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4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Mikhail Tsarev\New project\План продаж\05.2026\Соловьев_Прасолов\"/>
    </mc:Choice>
  </mc:AlternateContent>
  <xr:revisionPtr revIDLastSave="0" documentId="13_ncr:1_{811CF92F-12A3-4229-9F87-90F0BF361BC2}" xr6:coauthVersionLast="47" xr6:coauthVersionMax="47" xr10:uidLastSave="{00000000-0000-0000-0000-000000000000}"/>
  <bookViews>
    <workbookView xWindow="11520" yWindow="0" windowWidth="11520" windowHeight="12360" tabRatio="602" activeTab="1" xr2:uid="{00000000-000D-0000-FFFF-FFFF00000000}"/>
  </bookViews>
  <sheets>
    <sheet name="ТОРМОЗ" sheetId="1" r:id="rId1"/>
    <sheet name="ПНЕВМАТИКА" sheetId="2" r:id="rId2"/>
    <sheet name="АВТОВИК" sheetId="3" state="hidden" r:id="rId3"/>
    <sheet name="АВТОВИК_разбивка" sheetId="4" state="hidden" r:id="rId4"/>
    <sheet name="БАЗА" sheetId="6" r:id="rId5"/>
    <sheet name="S_ВСЕ" sheetId="5" r:id="rId6"/>
    <sheet name="#ПНЕВМАТИКА_2026" sheetId="9" r:id="rId7"/>
    <sheet name="#ТОРМОЗ_2026" sheetId="11" r:id="rId8"/>
  </sheets>
  <definedNames>
    <definedName name="_xlnm._FilterDatabase" localSheetId="1" hidden="1">ПНЕВМАТИКА!$A$5:$FU$351</definedName>
    <definedName name="_xlnm._FilterDatabase" localSheetId="0" hidden="1">ТОРМОЗ!$A$5:$HZ$79</definedName>
    <definedName name="ЕВРО">ПНЕВМАТИКА!$A$1</definedName>
    <definedName name="ЕВРО_2025_08_29">93.49</definedName>
    <definedName name="НДС">1.22</definedName>
    <definedName name="НДС_20">1.2</definedName>
    <definedName name="Список_артикулов">База[Артикул]</definedName>
    <definedName name="Список_комплектов">Комплекты[Комплект]</definedName>
    <definedName name="Список_Сводная_Пневматика_2026">Пневматика_СВОДНАЯ_2026[Ключ]</definedName>
    <definedName name="Список_Сводная_Тормоз_2026">Тормоз_СВОДНАЯ_2026[Ключ]</definedName>
    <definedName name="ЮАНЬ">ПНЕВМАТИКА!$A$2</definedName>
    <definedName name="ЮАНЬ_2025_08_29">11.25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9" i="1" l="1"/>
  <c r="AB8" i="1"/>
  <c r="T234" i="2"/>
  <c r="AJ298" i="2"/>
  <c r="AJ299" i="2"/>
  <c r="AJ301" i="2"/>
  <c r="AJ297" i="2"/>
  <c r="AJ286" i="2"/>
  <c r="AJ285" i="2"/>
  <c r="AJ284" i="2"/>
  <c r="AJ277" i="2"/>
  <c r="AJ276" i="2"/>
  <c r="AJ275" i="2"/>
  <c r="AJ269" i="2"/>
  <c r="AJ268" i="2"/>
  <c r="AJ215" i="2"/>
  <c r="AJ214" i="2"/>
  <c r="AJ202" i="2"/>
  <c r="A69" i="6"/>
  <c r="A70" i="6"/>
  <c r="G69" i="6"/>
  <c r="G70" i="6"/>
  <c r="H69" i="6"/>
  <c r="H70" i="6"/>
  <c r="I69" i="6"/>
  <c r="I70" i="6"/>
  <c r="C49" i="9"/>
  <c r="D49" i="9"/>
  <c r="E49" i="9"/>
  <c r="AH49" i="9"/>
  <c r="C50" i="9"/>
  <c r="D50" i="9"/>
  <c r="E50" i="9"/>
  <c r="AH50" i="9"/>
  <c r="I215" i="2"/>
  <c r="BO215" i="2" s="1"/>
  <c r="I214" i="2"/>
  <c r="BM214" i="2" s="1"/>
  <c r="E215" i="2"/>
  <c r="E214" i="2"/>
  <c r="E202" i="2"/>
  <c r="BQ215" i="2"/>
  <c r="BP215" i="2"/>
  <c r="BN215" i="2"/>
  <c r="BM215" i="2"/>
  <c r="BL215" i="2"/>
  <c r="BQ214" i="2"/>
  <c r="BP214" i="2"/>
  <c r="BN214" i="2"/>
  <c r="BL214" i="2"/>
  <c r="BP213" i="2"/>
  <c r="BN213" i="2"/>
  <c r="BL213" i="2"/>
  <c r="BP212" i="2"/>
  <c r="BN212" i="2"/>
  <c r="N212" i="2" s="1"/>
  <c r="BL212" i="2"/>
  <c r="BP211" i="2"/>
  <c r="BN211" i="2"/>
  <c r="BL211" i="2"/>
  <c r="BP210" i="2"/>
  <c r="BN210" i="2"/>
  <c r="BL210" i="2"/>
  <c r="BP207" i="2"/>
  <c r="BN207" i="2"/>
  <c r="BL207" i="2"/>
  <c r="BP206" i="2"/>
  <c r="BN206" i="2"/>
  <c r="BL206" i="2"/>
  <c r="BP205" i="2"/>
  <c r="BN205" i="2"/>
  <c r="BL205" i="2"/>
  <c r="BP204" i="2"/>
  <c r="BN204" i="2"/>
  <c r="BL204" i="2"/>
  <c r="BP203" i="2"/>
  <c r="BN203" i="2"/>
  <c r="BL203" i="2"/>
  <c r="BP202" i="2"/>
  <c r="N202" i="2" s="1"/>
  <c r="BN202" i="2"/>
  <c r="BL202" i="2"/>
  <c r="I202" i="2"/>
  <c r="BM202" i="2" s="1"/>
  <c r="AJ235" i="2"/>
  <c r="AJ118" i="2"/>
  <c r="AJ117" i="2"/>
  <c r="AJ116" i="2"/>
  <c r="AJ143" i="2"/>
  <c r="AJ142" i="2"/>
  <c r="AJ43" i="2"/>
  <c r="BP43" i="2" s="1"/>
  <c r="AJ45" i="2"/>
  <c r="AJ44" i="2"/>
  <c r="AJ42" i="2"/>
  <c r="AJ41" i="2"/>
  <c r="BL41" i="2" s="1"/>
  <c r="AJ40" i="2"/>
  <c r="AJ39" i="2"/>
  <c r="AJ38" i="2"/>
  <c r="AJ37" i="2"/>
  <c r="BP37" i="2" s="1"/>
  <c r="AJ36" i="2"/>
  <c r="BN36" i="2" s="1"/>
  <c r="AJ35" i="2"/>
  <c r="BN35" i="2" s="1"/>
  <c r="AJ34" i="2"/>
  <c r="BP34" i="2" s="1"/>
  <c r="BP42" i="2"/>
  <c r="BL42" i="2"/>
  <c r="BP41" i="2"/>
  <c r="BN41" i="2"/>
  <c r="BP40" i="2"/>
  <c r="BN40" i="2"/>
  <c r="BL40" i="2"/>
  <c r="BP39" i="2"/>
  <c r="BN39" i="2"/>
  <c r="BL39" i="2"/>
  <c r="BL36" i="2"/>
  <c r="BP35" i="2"/>
  <c r="BN34" i="2"/>
  <c r="BL34" i="2"/>
  <c r="J35" i="2"/>
  <c r="I35" i="2" s="1"/>
  <c r="BO35" i="2" s="1"/>
  <c r="J37" i="2"/>
  <c r="J45" i="2"/>
  <c r="J44" i="2"/>
  <c r="J36" i="2"/>
  <c r="J43" i="2"/>
  <c r="I43" i="2" s="1"/>
  <c r="J42" i="2"/>
  <c r="I42" i="2" s="1"/>
  <c r="J41" i="2"/>
  <c r="L41" i="2" s="1"/>
  <c r="J40" i="2"/>
  <c r="I40" i="2" s="1"/>
  <c r="BQ40" i="2" s="1"/>
  <c r="J39" i="2"/>
  <c r="I39" i="2" s="1"/>
  <c r="BO39" i="2" s="1"/>
  <c r="J34" i="2"/>
  <c r="I34" i="2"/>
  <c r="BO34" i="2" s="1"/>
  <c r="L35" i="2"/>
  <c r="L34" i="2"/>
  <c r="E43" i="2"/>
  <c r="E42" i="2"/>
  <c r="E41" i="2"/>
  <c r="E40" i="2"/>
  <c r="E39" i="2"/>
  <c r="E34" i="2"/>
  <c r="BQ202" i="2" l="1"/>
  <c r="L39" i="2"/>
  <c r="BP36" i="2"/>
  <c r="N36" i="2" s="1"/>
  <c r="L42" i="2"/>
  <c r="BL35" i="2"/>
  <c r="BO202" i="2"/>
  <c r="BO214" i="2"/>
  <c r="L40" i="2"/>
  <c r="BO43" i="2"/>
  <c r="BL37" i="2"/>
  <c r="BL43" i="2"/>
  <c r="N204" i="2"/>
  <c r="L43" i="2"/>
  <c r="BN37" i="2"/>
  <c r="N37" i="2" s="1"/>
  <c r="BN43" i="2"/>
  <c r="N203" i="2"/>
  <c r="N205" i="2"/>
  <c r="N206" i="2"/>
  <c r="N207" i="2"/>
  <c r="N210" i="2"/>
  <c r="N211" i="2"/>
  <c r="N213" i="2"/>
  <c r="N215" i="2"/>
  <c r="BQ34" i="2"/>
  <c r="N214" i="2"/>
  <c r="N39" i="2"/>
  <c r="F70" i="6"/>
  <c r="F69" i="6"/>
  <c r="BM34" i="2"/>
  <c r="N40" i="2"/>
  <c r="N41" i="2"/>
  <c r="BM35" i="2"/>
  <c r="BQ35" i="2"/>
  <c r="BM39" i="2"/>
  <c r="BQ39" i="2"/>
  <c r="BO40" i="2"/>
  <c r="BM43" i="2"/>
  <c r="BQ43" i="2"/>
  <c r="BO42" i="2"/>
  <c r="BM40" i="2"/>
  <c r="N43" i="2"/>
  <c r="BM42" i="2"/>
  <c r="BQ42" i="2"/>
  <c r="BN42" i="2"/>
  <c r="N42" i="2" s="1"/>
  <c r="N34" i="2"/>
  <c r="I41" i="2"/>
  <c r="AG328" i="2"/>
  <c r="AG327" i="2"/>
  <c r="AG326" i="2"/>
  <c r="AG325" i="2"/>
  <c r="AG324" i="2"/>
  <c r="AG323" i="2"/>
  <c r="AG322" i="2"/>
  <c r="AG321" i="2"/>
  <c r="AG320" i="2"/>
  <c r="AG319" i="2"/>
  <c r="AG318" i="2"/>
  <c r="AG317" i="2"/>
  <c r="AG316" i="2"/>
  <c r="AG315" i="2"/>
  <c r="AG314" i="2"/>
  <c r="AG313" i="2"/>
  <c r="AG312" i="2"/>
  <c r="AG311" i="2"/>
  <c r="AG310" i="2"/>
  <c r="AG309" i="2"/>
  <c r="AG308" i="2"/>
  <c r="AG263" i="2"/>
  <c r="AG262" i="2"/>
  <c r="AG261" i="2"/>
  <c r="AG260" i="2"/>
  <c r="AG259" i="2"/>
  <c r="AG258" i="2"/>
  <c r="AG257" i="2"/>
  <c r="AG256" i="2"/>
  <c r="AG255" i="2"/>
  <c r="AG254" i="2"/>
  <c r="AG253" i="2"/>
  <c r="AG252" i="2"/>
  <c r="AG251" i="2"/>
  <c r="AG250" i="2"/>
  <c r="AG249" i="2"/>
  <c r="AG248" i="2"/>
  <c r="AG247" i="2"/>
  <c r="AG246" i="2"/>
  <c r="AG245" i="2"/>
  <c r="AG244" i="2"/>
  <c r="AG243" i="2"/>
  <c r="AG242" i="2"/>
  <c r="AG241" i="2"/>
  <c r="AG240" i="2"/>
  <c r="AG239" i="2"/>
  <c r="AG192" i="2"/>
  <c r="AG191" i="2"/>
  <c r="AG190" i="2"/>
  <c r="AG189" i="2"/>
  <c r="AG188" i="2"/>
  <c r="AG187" i="2"/>
  <c r="AG186" i="2"/>
  <c r="AG185" i="2"/>
  <c r="AG184" i="2"/>
  <c r="AG183" i="2"/>
  <c r="AG182" i="2"/>
  <c r="AG181" i="2"/>
  <c r="AG180" i="2"/>
  <c r="AG179" i="2"/>
  <c r="AG178" i="2"/>
  <c r="AG177" i="2"/>
  <c r="AG176" i="2"/>
  <c r="AG175" i="2"/>
  <c r="AG174" i="2"/>
  <c r="AG173" i="2"/>
  <c r="AG172" i="2"/>
  <c r="AG171" i="2"/>
  <c r="AG170" i="2"/>
  <c r="AG169" i="2"/>
  <c r="AG168" i="2"/>
  <c r="AG167" i="2"/>
  <c r="AG166" i="2"/>
  <c r="AG165" i="2"/>
  <c r="AG164" i="2"/>
  <c r="AG163" i="2"/>
  <c r="AG162" i="2"/>
  <c r="AG161" i="2"/>
  <c r="AG160" i="2"/>
  <c r="AG159" i="2"/>
  <c r="AG158" i="2"/>
  <c r="AG157" i="2"/>
  <c r="AG156" i="2"/>
  <c r="AG155" i="2"/>
  <c r="AG154" i="2"/>
  <c r="AG153" i="2"/>
  <c r="AG152" i="2"/>
  <c r="AG151" i="2"/>
  <c r="AG150" i="2"/>
  <c r="AG149" i="2"/>
  <c r="AG97" i="2"/>
  <c r="AG96" i="2"/>
  <c r="AG95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BO41" i="2" l="1"/>
  <c r="BQ41" i="2"/>
  <c r="BM41" i="2"/>
  <c r="BN117" i="2"/>
  <c r="BP116" i="2"/>
  <c r="BP118" i="2"/>
  <c r="BN118" i="2"/>
  <c r="BL118" i="2"/>
  <c r="BN116" i="2"/>
  <c r="I117" i="2"/>
  <c r="I116" i="2"/>
  <c r="I118" i="2"/>
  <c r="BO118" i="2" s="1"/>
  <c r="E118" i="2"/>
  <c r="E117" i="2"/>
  <c r="E116" i="2"/>
  <c r="BL116" i="2" l="1"/>
  <c r="N118" i="2"/>
  <c r="BO116" i="2"/>
  <c r="BO117" i="2"/>
  <c r="BL117" i="2"/>
  <c r="BP117" i="2"/>
  <c r="N117" i="2" s="1"/>
  <c r="BQ117" i="2"/>
  <c r="BQ116" i="2"/>
  <c r="BM118" i="2"/>
  <c r="BM117" i="2"/>
  <c r="BM116" i="2"/>
  <c r="BQ118" i="2"/>
  <c r="N116" i="2"/>
  <c r="AN44" i="1" l="1"/>
  <c r="AJ43" i="1" l="1"/>
  <c r="AJ44" i="1" s="1"/>
  <c r="AF43" i="1"/>
  <c r="AJ53" i="1"/>
  <c r="AF53" i="1"/>
  <c r="AF61" i="1"/>
  <c r="AF59" i="1"/>
  <c r="AF58" i="1"/>
  <c r="AF57" i="1"/>
  <c r="AR11" i="1"/>
  <c r="AR10" i="1"/>
  <c r="AN297" i="2"/>
  <c r="AJ111" i="2"/>
  <c r="AJ267" i="2"/>
  <c r="AJ304" i="2" l="1"/>
  <c r="AF142" i="2"/>
  <c r="AF143" i="2"/>
  <c r="AF144" i="2"/>
  <c r="AF225" i="2"/>
  <c r="C89" i="9"/>
  <c r="D89" i="9"/>
  <c r="E89" i="9"/>
  <c r="AH89" i="9"/>
  <c r="I237" i="2"/>
  <c r="BQ237" i="2" s="1"/>
  <c r="AF237" i="2"/>
  <c r="BP237" i="2" s="1"/>
  <c r="A99" i="5"/>
  <c r="A100" i="5"/>
  <c r="A101" i="5"/>
  <c r="B99" i="5"/>
  <c r="B100" i="5"/>
  <c r="B101" i="5"/>
  <c r="C99" i="5"/>
  <c r="C100" i="5"/>
  <c r="C101" i="5"/>
  <c r="I99" i="5"/>
  <c r="I100" i="5"/>
  <c r="I101" i="5"/>
  <c r="J99" i="5"/>
  <c r="J100" i="5"/>
  <c r="J101" i="5"/>
  <c r="L99" i="5"/>
  <c r="L100" i="5"/>
  <c r="L101" i="5"/>
  <c r="M99" i="5"/>
  <c r="M100" i="5"/>
  <c r="M101" i="5"/>
  <c r="P99" i="5"/>
  <c r="P100" i="5"/>
  <c r="P101" i="5"/>
  <c r="Q99" i="5"/>
  <c r="Q100" i="5"/>
  <c r="Q101" i="5"/>
  <c r="R99" i="5"/>
  <c r="R100" i="5"/>
  <c r="R101" i="5"/>
  <c r="S99" i="5"/>
  <c r="S100" i="5"/>
  <c r="S101" i="5"/>
  <c r="T99" i="5"/>
  <c r="T100" i="5"/>
  <c r="T101" i="5"/>
  <c r="U99" i="5"/>
  <c r="U100" i="5"/>
  <c r="U101" i="5"/>
  <c r="V99" i="5"/>
  <c r="V100" i="5"/>
  <c r="V101" i="5"/>
  <c r="W99" i="5"/>
  <c r="W100" i="5"/>
  <c r="W101" i="5"/>
  <c r="A130" i="6"/>
  <c r="G130" i="6"/>
  <c r="H130" i="6"/>
  <c r="I130" i="6"/>
  <c r="BM237" i="2" l="1"/>
  <c r="BN237" i="2"/>
  <c r="BO237" i="2"/>
  <c r="BL237" i="2"/>
  <c r="N99" i="5"/>
  <c r="N100" i="5"/>
  <c r="N101" i="5"/>
  <c r="F130" i="6"/>
  <c r="N237" i="2" l="1"/>
  <c r="E237" i="2"/>
  <c r="AF234" i="2"/>
  <c r="AF235" i="2"/>
  <c r="AR304" i="2"/>
  <c r="AN304" i="2"/>
  <c r="AJ300" i="2"/>
  <c r="AJ291" i="2"/>
  <c r="AJ289" i="2"/>
  <c r="AJ282" i="2"/>
  <c r="I276" i="2" l="1"/>
  <c r="I277" i="2"/>
  <c r="I284" i="2"/>
  <c r="I285" i="2"/>
  <c r="I286" i="2"/>
  <c r="AF71" i="2" l="1"/>
  <c r="AF70" i="2"/>
  <c r="AF72" i="2"/>
  <c r="AF74" i="2"/>
  <c r="BP74" i="2" s="1"/>
  <c r="BP77" i="2"/>
  <c r="BN77" i="2"/>
  <c r="BL77" i="2"/>
  <c r="BP75" i="2"/>
  <c r="BN75" i="2"/>
  <c r="BL75" i="2"/>
  <c r="BP72" i="2"/>
  <c r="BN72" i="2"/>
  <c r="BL72" i="2"/>
  <c r="BP71" i="2"/>
  <c r="BN71" i="2"/>
  <c r="BL71" i="2"/>
  <c r="BP70" i="2"/>
  <c r="BN70" i="2"/>
  <c r="BL70" i="2"/>
  <c r="J72" i="2"/>
  <c r="I72" i="2" s="1"/>
  <c r="J71" i="2"/>
  <c r="I71" i="2" s="1"/>
  <c r="J70" i="2"/>
  <c r="L70" i="2" s="1"/>
  <c r="E74" i="2"/>
  <c r="E73" i="2"/>
  <c r="E72" i="2"/>
  <c r="E71" i="2"/>
  <c r="E70" i="2"/>
  <c r="L72" i="2"/>
  <c r="J74" i="2"/>
  <c r="I74" i="2" s="1"/>
  <c r="AF79" i="2"/>
  <c r="BP79" i="2" s="1"/>
  <c r="J79" i="2"/>
  <c r="L79" i="2" s="1"/>
  <c r="I79" i="2"/>
  <c r="E79" i="2"/>
  <c r="AF85" i="2" l="1"/>
  <c r="AF93" i="2"/>
  <c r="BL74" i="2"/>
  <c r="AF89" i="2"/>
  <c r="N75" i="2"/>
  <c r="N77" i="2"/>
  <c r="AF97" i="2"/>
  <c r="AF82" i="2"/>
  <c r="AF86" i="2"/>
  <c r="AF90" i="2"/>
  <c r="AF94" i="2"/>
  <c r="BN74" i="2"/>
  <c r="N74" i="2" s="1"/>
  <c r="BL79" i="2"/>
  <c r="AF83" i="2"/>
  <c r="AF87" i="2"/>
  <c r="AF91" i="2"/>
  <c r="AF95" i="2"/>
  <c r="BN79" i="2"/>
  <c r="N79" i="2" s="1"/>
  <c r="AF84" i="2"/>
  <c r="AF88" i="2"/>
  <c r="AF92" i="2"/>
  <c r="AF96" i="2"/>
  <c r="BO72" i="2"/>
  <c r="BQ71" i="2"/>
  <c r="BO79" i="2"/>
  <c r="BO74" i="2"/>
  <c r="BM79" i="2"/>
  <c r="BQ79" i="2"/>
  <c r="N72" i="2"/>
  <c r="N70" i="2"/>
  <c r="BO71" i="2"/>
  <c r="BM72" i="2"/>
  <c r="BQ72" i="2"/>
  <c r="BM74" i="2"/>
  <c r="BQ74" i="2"/>
  <c r="BM71" i="2"/>
  <c r="N71" i="2"/>
  <c r="I70" i="2"/>
  <c r="L71" i="2"/>
  <c r="L74" i="2"/>
  <c r="BO70" i="2" l="1"/>
  <c r="BQ70" i="2"/>
  <c r="BM70" i="2"/>
  <c r="AF121" i="2" l="1"/>
  <c r="AF304" i="2"/>
  <c r="L323" i="2"/>
  <c r="L322" i="2"/>
  <c r="L321" i="2"/>
  <c r="L320" i="2"/>
  <c r="L319" i="2"/>
  <c r="L318" i="2"/>
  <c r="L317" i="2"/>
  <c r="L316" i="2"/>
  <c r="L314" i="2"/>
  <c r="L313" i="2"/>
  <c r="L312" i="2"/>
  <c r="L311" i="2"/>
  <c r="L310" i="2"/>
  <c r="L309" i="2"/>
  <c r="L308" i="2"/>
  <c r="I307" i="2"/>
  <c r="J306" i="2"/>
  <c r="I306" i="2" s="1"/>
  <c r="L305" i="2"/>
  <c r="I305" i="2"/>
  <c r="I304" i="2"/>
  <c r="I303" i="2"/>
  <c r="I302" i="2"/>
  <c r="L301" i="2"/>
  <c r="I301" i="2"/>
  <c r="I300" i="2"/>
  <c r="L299" i="2"/>
  <c r="I299" i="2"/>
  <c r="L298" i="2"/>
  <c r="I298" i="2"/>
  <c r="J297" i="2"/>
  <c r="I297" i="2" s="1"/>
  <c r="J296" i="2"/>
  <c r="I296" i="2" s="1"/>
  <c r="L295" i="2"/>
  <c r="J295" i="2"/>
  <c r="I295" i="2"/>
  <c r="J294" i="2"/>
  <c r="I294" i="2" s="1"/>
  <c r="L293" i="2"/>
  <c r="I293" i="2"/>
  <c r="L292" i="2"/>
  <c r="I292" i="2"/>
  <c r="I291" i="2"/>
  <c r="L290" i="2"/>
  <c r="I290" i="2"/>
  <c r="I289" i="2"/>
  <c r="L288" i="2"/>
  <c r="I288" i="2"/>
  <c r="L287" i="2"/>
  <c r="I287" i="2"/>
  <c r="L286" i="2"/>
  <c r="L285" i="2"/>
  <c r="L284" i="2"/>
  <c r="I283" i="2"/>
  <c r="L282" i="2"/>
  <c r="I282" i="2"/>
  <c r="L281" i="2"/>
  <c r="I281" i="2"/>
  <c r="L280" i="2"/>
  <c r="I280" i="2"/>
  <c r="L279" i="2"/>
  <c r="L278" i="2"/>
  <c r="I278" i="2"/>
  <c r="L277" i="2"/>
  <c r="L276" i="2"/>
  <c r="J275" i="2"/>
  <c r="I275" i="2" s="1"/>
  <c r="L274" i="2"/>
  <c r="L273" i="2"/>
  <c r="L272" i="2"/>
  <c r="L271" i="2"/>
  <c r="L270" i="2"/>
  <c r="L269" i="2"/>
  <c r="I269" i="2"/>
  <c r="L268" i="2"/>
  <c r="I268" i="2"/>
  <c r="L267" i="2"/>
  <c r="I267" i="2"/>
  <c r="L266" i="2"/>
  <c r="I266" i="2"/>
  <c r="L265" i="2"/>
  <c r="L264" i="2"/>
  <c r="L263" i="2"/>
  <c r="L262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0" i="2"/>
  <c r="L239" i="2"/>
  <c r="L238" i="2"/>
  <c r="I238" i="2"/>
  <c r="I236" i="2"/>
  <c r="I235" i="2"/>
  <c r="L234" i="2"/>
  <c r="I234" i="2"/>
  <c r="I233" i="2"/>
  <c r="I232" i="2"/>
  <c r="L231" i="2"/>
  <c r="I231" i="2"/>
  <c r="I230" i="2"/>
  <c r="I229" i="2"/>
  <c r="L228" i="2"/>
  <c r="I228" i="2"/>
  <c r="I227" i="2"/>
  <c r="I226" i="2"/>
  <c r="I225" i="2"/>
  <c r="I224" i="2"/>
  <c r="L223" i="2"/>
  <c r="I223" i="2"/>
  <c r="L222" i="2"/>
  <c r="I222" i="2"/>
  <c r="L221" i="2"/>
  <c r="I221" i="2"/>
  <c r="I220" i="2"/>
  <c r="L219" i="2"/>
  <c r="I219" i="2"/>
  <c r="L218" i="2"/>
  <c r="I218" i="2"/>
  <c r="L217" i="2"/>
  <c r="I217" i="2"/>
  <c r="L216" i="2"/>
  <c r="I216" i="2"/>
  <c r="L213" i="2"/>
  <c r="I213" i="2"/>
  <c r="L212" i="2"/>
  <c r="I212" i="2"/>
  <c r="L211" i="2"/>
  <c r="I211" i="2"/>
  <c r="L210" i="2"/>
  <c r="I210" i="2"/>
  <c r="L209" i="2"/>
  <c r="I209" i="2"/>
  <c r="L208" i="2"/>
  <c r="I208" i="2"/>
  <c r="L207" i="2"/>
  <c r="I207" i="2"/>
  <c r="L206" i="2"/>
  <c r="I206" i="2"/>
  <c r="L205" i="2"/>
  <c r="I205" i="2"/>
  <c r="L204" i="2"/>
  <c r="I204" i="2"/>
  <c r="L203" i="2"/>
  <c r="I203" i="2"/>
  <c r="L201" i="2"/>
  <c r="I201" i="2"/>
  <c r="L200" i="2"/>
  <c r="I200" i="2"/>
  <c r="L199" i="2"/>
  <c r="I199" i="2"/>
  <c r="L198" i="2"/>
  <c r="I198" i="2"/>
  <c r="L197" i="2"/>
  <c r="I197" i="2"/>
  <c r="L196" i="2"/>
  <c r="I196" i="2"/>
  <c r="L195" i="2"/>
  <c r="I195" i="2"/>
  <c r="L194" i="2"/>
  <c r="L193" i="2"/>
  <c r="L186" i="2"/>
  <c r="L185" i="2"/>
  <c r="L184" i="2"/>
  <c r="L183" i="2"/>
  <c r="L182" i="2"/>
  <c r="L181" i="2"/>
  <c r="L180" i="2"/>
  <c r="L168" i="2"/>
  <c r="L167" i="2"/>
  <c r="L166" i="2"/>
  <c r="L165" i="2"/>
  <c r="L164" i="2"/>
  <c r="L163" i="2"/>
  <c r="L162" i="2"/>
  <c r="L161" i="2"/>
  <c r="L160" i="2"/>
  <c r="L158" i="2"/>
  <c r="L157" i="2"/>
  <c r="L156" i="2"/>
  <c r="L155" i="2"/>
  <c r="L154" i="2"/>
  <c r="L150" i="2"/>
  <c r="L149" i="2"/>
  <c r="J148" i="2"/>
  <c r="I148" i="2" s="1"/>
  <c r="J147" i="2"/>
  <c r="I147" i="2" s="1"/>
  <c r="J146" i="2"/>
  <c r="L146" i="2" s="1"/>
  <c r="I145" i="2"/>
  <c r="I144" i="2"/>
  <c r="I143" i="2"/>
  <c r="I142" i="2"/>
  <c r="L141" i="2"/>
  <c r="I141" i="2"/>
  <c r="I140" i="2"/>
  <c r="I139" i="2"/>
  <c r="I138" i="2"/>
  <c r="I137" i="2"/>
  <c r="I136" i="2"/>
  <c r="L135" i="2"/>
  <c r="I135" i="2"/>
  <c r="I134" i="2"/>
  <c r="I133" i="2"/>
  <c r="I132" i="2"/>
  <c r="I131" i="2"/>
  <c r="I130" i="2"/>
  <c r="L129" i="2"/>
  <c r="I129" i="2"/>
  <c r="I128" i="2"/>
  <c r="J127" i="2"/>
  <c r="I127" i="2" s="1"/>
  <c r="J126" i="2"/>
  <c r="L126" i="2" s="1"/>
  <c r="J125" i="2"/>
  <c r="I125" i="2" s="1"/>
  <c r="J124" i="2"/>
  <c r="I124" i="2" s="1"/>
  <c r="J123" i="2"/>
  <c r="L123" i="2" s="1"/>
  <c r="J122" i="2"/>
  <c r="I122" i="2" s="1"/>
  <c r="I121" i="2"/>
  <c r="J120" i="2"/>
  <c r="I120" i="2" s="1"/>
  <c r="J119" i="2"/>
  <c r="I119" i="2" s="1"/>
  <c r="I115" i="2"/>
  <c r="I114" i="2"/>
  <c r="I113" i="2"/>
  <c r="I112" i="2"/>
  <c r="I111" i="2"/>
  <c r="L109" i="2"/>
  <c r="I109" i="2"/>
  <c r="L108" i="2"/>
  <c r="I108" i="2"/>
  <c r="L107" i="2"/>
  <c r="I107" i="2"/>
  <c r="L106" i="2"/>
  <c r="I106" i="2"/>
  <c r="L105" i="2"/>
  <c r="L104" i="2"/>
  <c r="L103" i="2"/>
  <c r="I103" i="2"/>
  <c r="L102" i="2"/>
  <c r="I102" i="2"/>
  <c r="L101" i="2"/>
  <c r="I101" i="2"/>
  <c r="L100" i="2"/>
  <c r="I100" i="2"/>
  <c r="L99" i="2"/>
  <c r="L98" i="2"/>
  <c r="L89" i="2"/>
  <c r="L87" i="2"/>
  <c r="L86" i="2"/>
  <c r="L85" i="2"/>
  <c r="L84" i="2"/>
  <c r="L83" i="2"/>
  <c r="L82" i="2"/>
  <c r="J81" i="2"/>
  <c r="I81" i="2" s="1"/>
  <c r="J80" i="2"/>
  <c r="I80" i="2" s="1"/>
  <c r="J78" i="2"/>
  <c r="L78" i="2" s="1"/>
  <c r="J77" i="2"/>
  <c r="L77" i="2" s="1"/>
  <c r="L76" i="2"/>
  <c r="I76" i="2"/>
  <c r="L75" i="2"/>
  <c r="I75" i="2"/>
  <c r="I73" i="2"/>
  <c r="J69" i="2"/>
  <c r="L69" i="2" s="1"/>
  <c r="J68" i="2"/>
  <c r="I68" i="2" s="1"/>
  <c r="L67" i="2"/>
  <c r="I54" i="2"/>
  <c r="I53" i="2"/>
  <c r="I52" i="2"/>
  <c r="I51" i="2"/>
  <c r="I50" i="2"/>
  <c r="I49" i="2"/>
  <c r="I48" i="2"/>
  <c r="L47" i="2"/>
  <c r="L46" i="2"/>
  <c r="L45" i="2"/>
  <c r="I44" i="2"/>
  <c r="J38" i="2"/>
  <c r="L38" i="2" s="1"/>
  <c r="L37" i="2"/>
  <c r="L36" i="2"/>
  <c r="L32" i="2"/>
  <c r="I32" i="2"/>
  <c r="L31" i="2"/>
  <c r="I31" i="2"/>
  <c r="L30" i="2"/>
  <c r="I30" i="2"/>
  <c r="L29" i="2"/>
  <c r="I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I13" i="2"/>
  <c r="L12" i="2"/>
  <c r="I12" i="2"/>
  <c r="L11" i="2"/>
  <c r="I11" i="2"/>
  <c r="I10" i="2"/>
  <c r="L9" i="2"/>
  <c r="I9" i="2"/>
  <c r="L8" i="2"/>
  <c r="I8" i="2"/>
  <c r="I7" i="2"/>
  <c r="I6" i="2"/>
  <c r="I146" i="2" l="1"/>
  <c r="BQ205" i="2"/>
  <c r="BM205" i="2"/>
  <c r="BO205" i="2"/>
  <c r="BM213" i="2"/>
  <c r="BQ213" i="2"/>
  <c r="BO213" i="2"/>
  <c r="BM206" i="2"/>
  <c r="BO206" i="2"/>
  <c r="BQ206" i="2"/>
  <c r="BM210" i="2"/>
  <c r="BO210" i="2"/>
  <c r="BQ210" i="2"/>
  <c r="BM203" i="2"/>
  <c r="BO203" i="2"/>
  <c r="BQ203" i="2"/>
  <c r="BO207" i="2"/>
  <c r="BQ207" i="2"/>
  <c r="BM207" i="2"/>
  <c r="BO211" i="2"/>
  <c r="BQ211" i="2"/>
  <c r="BM211" i="2"/>
  <c r="BQ204" i="2"/>
  <c r="BO204" i="2"/>
  <c r="BM204" i="2"/>
  <c r="BQ212" i="2"/>
  <c r="BO212" i="2"/>
  <c r="BM212" i="2"/>
  <c r="I69" i="2"/>
  <c r="L275" i="2"/>
  <c r="L120" i="2"/>
  <c r="I77" i="2"/>
  <c r="BQ77" i="2" s="1"/>
  <c r="L127" i="2"/>
  <c r="L294" i="2"/>
  <c r="I38" i="2"/>
  <c r="L80" i="2"/>
  <c r="I123" i="2"/>
  <c r="I36" i="2"/>
  <c r="I45" i="2"/>
  <c r="L306" i="2"/>
  <c r="BO75" i="2"/>
  <c r="BQ75" i="2"/>
  <c r="BM75" i="2"/>
  <c r="L125" i="2"/>
  <c r="L297" i="2"/>
  <c r="L119" i="2"/>
  <c r="I126" i="2"/>
  <c r="L148" i="2"/>
  <c r="L122" i="2"/>
  <c r="I37" i="2"/>
  <c r="L44" i="2"/>
  <c r="L68" i="2"/>
  <c r="I78" i="2"/>
  <c r="L81" i="2"/>
  <c r="L124" i="2"/>
  <c r="L147" i="2"/>
  <c r="L296" i="2"/>
  <c r="BO37" i="2" l="1"/>
  <c r="BQ37" i="2"/>
  <c r="BM37" i="2"/>
  <c r="BQ36" i="2"/>
  <c r="BM36" i="2"/>
  <c r="BO36" i="2"/>
  <c r="BO77" i="2"/>
  <c r="BM77" i="2"/>
  <c r="AB43" i="1"/>
  <c r="AB269" i="2" l="1"/>
  <c r="AB268" i="2"/>
  <c r="AB144" i="2" l="1"/>
  <c r="AB143" i="2"/>
  <c r="AB142" i="2"/>
  <c r="AB267" i="2"/>
  <c r="AB271" i="2"/>
  <c r="AB270" i="2"/>
  <c r="AB11" i="2"/>
  <c r="AB224" i="2"/>
  <c r="AB220" i="2"/>
  <c r="AB238" i="2"/>
  <c r="AB234" i="2"/>
  <c r="AB290" i="2" l="1"/>
  <c r="AB128" i="2"/>
  <c r="BO128" i="2" s="1"/>
  <c r="BN128" i="2"/>
  <c r="BM128" i="2"/>
  <c r="E128" i="2"/>
  <c r="AB145" i="2"/>
  <c r="AB146" i="2"/>
  <c r="AB148" i="2"/>
  <c r="AB126" i="2"/>
  <c r="AB125" i="2"/>
  <c r="AB124" i="2"/>
  <c r="AB123" i="2"/>
  <c r="BQ128" i="2" l="1"/>
  <c r="BL128" i="2"/>
  <c r="BP128" i="2"/>
  <c r="N128" i="2" s="1"/>
  <c r="E220" i="2"/>
  <c r="BQ220" i="2"/>
  <c r="BP220" i="2"/>
  <c r="BO220" i="2"/>
  <c r="BN220" i="2"/>
  <c r="BM220" i="2"/>
  <c r="BL220" i="2"/>
  <c r="N220" i="2" l="1"/>
  <c r="BM283" i="2"/>
  <c r="AB283" i="2"/>
  <c r="BQ283" i="2" s="1"/>
  <c r="E283" i="2"/>
  <c r="BL283" i="2" l="1"/>
  <c r="BN283" i="2"/>
  <c r="BO283" i="2"/>
  <c r="BP283" i="2"/>
  <c r="AB198" i="2"/>
  <c r="N283" i="2" l="1"/>
  <c r="X43" i="1"/>
  <c r="AB301" i="2" l="1"/>
  <c r="AB299" i="2"/>
  <c r="AB298" i="2"/>
  <c r="AB293" i="2"/>
  <c r="AB292" i="2"/>
  <c r="AF54" i="1" l="1"/>
  <c r="Y328" i="2" l="1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AB197" i="2" l="1"/>
  <c r="X11" i="2" l="1"/>
  <c r="BP306" i="2"/>
  <c r="BN306" i="2"/>
  <c r="BL306" i="2"/>
  <c r="BP305" i="2"/>
  <c r="BN305" i="2"/>
  <c r="BL305" i="2"/>
  <c r="BP304" i="2"/>
  <c r="BN304" i="2"/>
  <c r="BL304" i="2"/>
  <c r="BP303" i="2"/>
  <c r="BN303" i="2"/>
  <c r="BL303" i="2"/>
  <c r="BP302" i="2"/>
  <c r="BN302" i="2"/>
  <c r="BL302" i="2"/>
  <c r="BQ301" i="2"/>
  <c r="BP301" i="2"/>
  <c r="BO301" i="2"/>
  <c r="BN301" i="2"/>
  <c r="BM301" i="2"/>
  <c r="BL301" i="2"/>
  <c r="BP294" i="2"/>
  <c r="BN294" i="2"/>
  <c r="BL294" i="2"/>
  <c r="BQ293" i="2"/>
  <c r="BP293" i="2"/>
  <c r="BO293" i="2"/>
  <c r="BN293" i="2"/>
  <c r="BM293" i="2"/>
  <c r="BL293" i="2"/>
  <c r="BQ292" i="2"/>
  <c r="BP292" i="2"/>
  <c r="BO292" i="2"/>
  <c r="BN292" i="2"/>
  <c r="BM292" i="2"/>
  <c r="BL292" i="2"/>
  <c r="BP288" i="2"/>
  <c r="BN288" i="2"/>
  <c r="BL288" i="2"/>
  <c r="BP287" i="2"/>
  <c r="BN287" i="2"/>
  <c r="BL287" i="2"/>
  <c r="BP286" i="2"/>
  <c r="BN286" i="2"/>
  <c r="BL286" i="2"/>
  <c r="BP285" i="2"/>
  <c r="BN285" i="2"/>
  <c r="BL285" i="2"/>
  <c r="BP284" i="2"/>
  <c r="BN284" i="2"/>
  <c r="BL284" i="2"/>
  <c r="BP281" i="2"/>
  <c r="BN281" i="2"/>
  <c r="BL281" i="2"/>
  <c r="BP280" i="2"/>
  <c r="BN280" i="2"/>
  <c r="BL280" i="2"/>
  <c r="BQ279" i="2"/>
  <c r="BP279" i="2"/>
  <c r="BO279" i="2"/>
  <c r="BN279" i="2"/>
  <c r="BM279" i="2"/>
  <c r="BL279" i="2"/>
  <c r="BP278" i="2"/>
  <c r="BN278" i="2"/>
  <c r="BL278" i="2"/>
  <c r="BP277" i="2"/>
  <c r="BN277" i="2"/>
  <c r="BL277" i="2"/>
  <c r="BP276" i="2"/>
  <c r="BN276" i="2"/>
  <c r="BL276" i="2"/>
  <c r="BQ274" i="2"/>
  <c r="BP274" i="2"/>
  <c r="BO274" i="2"/>
  <c r="BN274" i="2"/>
  <c r="BM274" i="2"/>
  <c r="BL274" i="2"/>
  <c r="BQ273" i="2"/>
  <c r="BP273" i="2"/>
  <c r="BO273" i="2"/>
  <c r="BN273" i="2"/>
  <c r="BM273" i="2"/>
  <c r="BL273" i="2"/>
  <c r="BQ272" i="2"/>
  <c r="BP272" i="2"/>
  <c r="BO272" i="2"/>
  <c r="BN272" i="2"/>
  <c r="BM272" i="2"/>
  <c r="BL272" i="2"/>
  <c r="BQ271" i="2"/>
  <c r="BP271" i="2"/>
  <c r="BO271" i="2"/>
  <c r="BN271" i="2"/>
  <c r="BM271" i="2"/>
  <c r="BL271" i="2"/>
  <c r="BP266" i="2"/>
  <c r="BN266" i="2"/>
  <c r="BL266" i="2"/>
  <c r="BQ265" i="2"/>
  <c r="BP265" i="2"/>
  <c r="BO265" i="2"/>
  <c r="BN265" i="2"/>
  <c r="BM265" i="2"/>
  <c r="BL265" i="2"/>
  <c r="BQ264" i="2"/>
  <c r="BP264" i="2"/>
  <c r="BO264" i="2"/>
  <c r="BN264" i="2"/>
  <c r="BM264" i="2"/>
  <c r="BL264" i="2"/>
  <c r="BP236" i="2"/>
  <c r="BN236" i="2"/>
  <c r="BL236" i="2"/>
  <c r="BH263" i="2"/>
  <c r="BH262" i="2"/>
  <c r="BH261" i="2"/>
  <c r="BH260" i="2"/>
  <c r="BH259" i="2"/>
  <c r="BH258" i="2"/>
  <c r="BH257" i="2"/>
  <c r="BH256" i="2"/>
  <c r="BH255" i="2"/>
  <c r="BH254" i="2"/>
  <c r="BH253" i="2"/>
  <c r="BH252" i="2"/>
  <c r="BH251" i="2"/>
  <c r="BH250" i="2"/>
  <c r="BH249" i="2"/>
  <c r="BH248" i="2"/>
  <c r="BH247" i="2"/>
  <c r="BH246" i="2"/>
  <c r="BH245" i="2"/>
  <c r="BH244" i="2"/>
  <c r="BH243" i="2"/>
  <c r="BH242" i="2"/>
  <c r="BH241" i="2"/>
  <c r="BH240" i="2"/>
  <c r="BH239" i="2"/>
  <c r="BD263" i="2"/>
  <c r="BD262" i="2"/>
  <c r="BD261" i="2"/>
  <c r="BD260" i="2"/>
  <c r="BD259" i="2"/>
  <c r="BD258" i="2"/>
  <c r="BD257" i="2"/>
  <c r="BD256" i="2"/>
  <c r="BD255" i="2"/>
  <c r="BD254" i="2"/>
  <c r="BD253" i="2"/>
  <c r="BD252" i="2"/>
  <c r="BD251" i="2"/>
  <c r="BD250" i="2"/>
  <c r="BD249" i="2"/>
  <c r="BD248" i="2"/>
  <c r="BD247" i="2"/>
  <c r="BD246" i="2"/>
  <c r="BD245" i="2"/>
  <c r="BD244" i="2"/>
  <c r="BD243" i="2"/>
  <c r="BD242" i="2"/>
  <c r="BD241" i="2"/>
  <c r="BD240" i="2"/>
  <c r="BD239" i="2"/>
  <c r="AZ263" i="2"/>
  <c r="AZ262" i="2"/>
  <c r="AZ261" i="2"/>
  <c r="AZ260" i="2"/>
  <c r="AZ259" i="2"/>
  <c r="AZ258" i="2"/>
  <c r="AZ257" i="2"/>
  <c r="AZ256" i="2"/>
  <c r="AZ255" i="2"/>
  <c r="AZ254" i="2"/>
  <c r="AZ253" i="2"/>
  <c r="AZ252" i="2"/>
  <c r="AZ251" i="2"/>
  <c r="AZ250" i="2"/>
  <c r="AZ249" i="2"/>
  <c r="AZ248" i="2"/>
  <c r="AZ247" i="2"/>
  <c r="AZ246" i="2"/>
  <c r="AZ245" i="2"/>
  <c r="AZ244" i="2"/>
  <c r="AZ243" i="2"/>
  <c r="AZ242" i="2"/>
  <c r="AZ241" i="2"/>
  <c r="AZ240" i="2"/>
  <c r="AZ239" i="2"/>
  <c r="AV263" i="2"/>
  <c r="AV262" i="2"/>
  <c r="AV261" i="2"/>
  <c r="AV260" i="2"/>
  <c r="AV259" i="2"/>
  <c r="AV258" i="2"/>
  <c r="AV257" i="2"/>
  <c r="AV256" i="2"/>
  <c r="AV255" i="2"/>
  <c r="AV254" i="2"/>
  <c r="AV253" i="2"/>
  <c r="AV252" i="2"/>
  <c r="AV251" i="2"/>
  <c r="AV250" i="2"/>
  <c r="AV249" i="2"/>
  <c r="AV248" i="2"/>
  <c r="AV247" i="2"/>
  <c r="AV246" i="2"/>
  <c r="AV245" i="2"/>
  <c r="AV244" i="2"/>
  <c r="AV243" i="2"/>
  <c r="AV242" i="2"/>
  <c r="AV241" i="2"/>
  <c r="AV240" i="2"/>
  <c r="AV239" i="2"/>
  <c r="AR263" i="2"/>
  <c r="AR262" i="2"/>
  <c r="AR261" i="2"/>
  <c r="AR260" i="2"/>
  <c r="AR259" i="2"/>
  <c r="AR258" i="2"/>
  <c r="AR257" i="2"/>
  <c r="AR256" i="2"/>
  <c r="AR255" i="2"/>
  <c r="AR254" i="2"/>
  <c r="AR253" i="2"/>
  <c r="AR252" i="2"/>
  <c r="AR251" i="2"/>
  <c r="AR250" i="2"/>
  <c r="AR249" i="2"/>
  <c r="AR248" i="2"/>
  <c r="AR247" i="2"/>
  <c r="AR246" i="2"/>
  <c r="AR245" i="2"/>
  <c r="AR244" i="2"/>
  <c r="AR243" i="2"/>
  <c r="AR242" i="2"/>
  <c r="AR241" i="2"/>
  <c r="AR240" i="2"/>
  <c r="AR239" i="2"/>
  <c r="AN263" i="2"/>
  <c r="AN262" i="2"/>
  <c r="AN261" i="2"/>
  <c r="AN260" i="2"/>
  <c r="AN259" i="2"/>
  <c r="AN258" i="2"/>
  <c r="AN257" i="2"/>
  <c r="AN256" i="2"/>
  <c r="AN255" i="2"/>
  <c r="AN254" i="2"/>
  <c r="AN253" i="2"/>
  <c r="AN252" i="2"/>
  <c r="AN251" i="2"/>
  <c r="AN250" i="2"/>
  <c r="AN249" i="2"/>
  <c r="AN248" i="2"/>
  <c r="AN247" i="2"/>
  <c r="AN246" i="2"/>
  <c r="AN245" i="2"/>
  <c r="AN244" i="2"/>
  <c r="AN243" i="2"/>
  <c r="AN242" i="2"/>
  <c r="AN241" i="2"/>
  <c r="AN240" i="2"/>
  <c r="AN239" i="2"/>
  <c r="AJ263" i="2"/>
  <c r="AJ262" i="2"/>
  <c r="AJ261" i="2"/>
  <c r="AJ260" i="2"/>
  <c r="AJ259" i="2"/>
  <c r="AJ258" i="2"/>
  <c r="AJ257" i="2"/>
  <c r="AJ256" i="2"/>
  <c r="AJ255" i="2"/>
  <c r="AJ254" i="2"/>
  <c r="AJ253" i="2"/>
  <c r="AJ252" i="2"/>
  <c r="AJ251" i="2"/>
  <c r="AJ250" i="2"/>
  <c r="AJ249" i="2"/>
  <c r="AJ248" i="2"/>
  <c r="AJ247" i="2"/>
  <c r="AJ246" i="2"/>
  <c r="AJ245" i="2"/>
  <c r="AJ244" i="2"/>
  <c r="AJ243" i="2"/>
  <c r="AJ242" i="2"/>
  <c r="AJ241" i="2"/>
  <c r="AJ240" i="2"/>
  <c r="AJ239" i="2"/>
  <c r="AF263" i="2"/>
  <c r="AF262" i="2"/>
  <c r="AF261" i="2"/>
  <c r="AF260" i="2"/>
  <c r="AF259" i="2"/>
  <c r="AF258" i="2"/>
  <c r="AF257" i="2"/>
  <c r="AF256" i="2"/>
  <c r="AF255" i="2"/>
  <c r="AF254" i="2"/>
  <c r="AF253" i="2"/>
  <c r="AF252" i="2"/>
  <c r="AF251" i="2"/>
  <c r="AF250" i="2"/>
  <c r="AF249" i="2"/>
  <c r="AF248" i="2"/>
  <c r="AF247" i="2"/>
  <c r="AF246" i="2"/>
  <c r="AF245" i="2"/>
  <c r="AF244" i="2"/>
  <c r="AF243" i="2"/>
  <c r="AF242" i="2"/>
  <c r="AF241" i="2"/>
  <c r="AF240" i="2"/>
  <c r="AF239" i="2"/>
  <c r="AB263" i="2"/>
  <c r="AB262" i="2"/>
  <c r="AB261" i="2"/>
  <c r="AB260" i="2"/>
  <c r="AB259" i="2"/>
  <c r="AB258" i="2"/>
  <c r="AB257" i="2"/>
  <c r="AB256" i="2"/>
  <c r="AB255" i="2"/>
  <c r="AB254" i="2"/>
  <c r="AB253" i="2"/>
  <c r="AB252" i="2"/>
  <c r="AB251" i="2"/>
  <c r="AB250" i="2"/>
  <c r="AB249" i="2"/>
  <c r="AB248" i="2"/>
  <c r="AB247" i="2"/>
  <c r="AB246" i="2"/>
  <c r="AB245" i="2"/>
  <c r="AB244" i="2"/>
  <c r="AB243" i="2"/>
  <c r="AB242" i="2"/>
  <c r="AB241" i="2"/>
  <c r="AB240" i="2"/>
  <c r="AB239" i="2"/>
  <c r="X235" i="2"/>
  <c r="BP235" i="2" s="1"/>
  <c r="E261" i="2"/>
  <c r="E260" i="2"/>
  <c r="E259" i="2"/>
  <c r="BH328" i="2"/>
  <c r="BH327" i="2"/>
  <c r="BH326" i="2"/>
  <c r="BH325" i="2"/>
  <c r="BH324" i="2"/>
  <c r="BH323" i="2"/>
  <c r="BH322" i="2"/>
  <c r="BH321" i="2"/>
  <c r="BH320" i="2"/>
  <c r="BH319" i="2"/>
  <c r="BH318" i="2"/>
  <c r="BH317" i="2"/>
  <c r="BH316" i="2"/>
  <c r="BH315" i="2"/>
  <c r="BH314" i="2"/>
  <c r="BH313" i="2"/>
  <c r="BH312" i="2"/>
  <c r="BH311" i="2"/>
  <c r="BH310" i="2"/>
  <c r="BH309" i="2"/>
  <c r="BH308" i="2"/>
  <c r="BD328" i="2"/>
  <c r="BD327" i="2"/>
  <c r="BD326" i="2"/>
  <c r="BD325" i="2"/>
  <c r="BD324" i="2"/>
  <c r="BD323" i="2"/>
  <c r="BD322" i="2"/>
  <c r="BD321" i="2"/>
  <c r="BD320" i="2"/>
  <c r="BD319" i="2"/>
  <c r="BD318" i="2"/>
  <c r="BD317" i="2"/>
  <c r="BD316" i="2"/>
  <c r="BD315" i="2"/>
  <c r="BD314" i="2"/>
  <c r="BD313" i="2"/>
  <c r="BD312" i="2"/>
  <c r="BD311" i="2"/>
  <c r="BD310" i="2"/>
  <c r="BD309" i="2"/>
  <c r="BD308" i="2"/>
  <c r="AZ328" i="2"/>
  <c r="AZ327" i="2"/>
  <c r="AZ326" i="2"/>
  <c r="AZ325" i="2"/>
  <c r="AZ324" i="2"/>
  <c r="AZ323" i="2"/>
  <c r="AZ322" i="2"/>
  <c r="AZ321" i="2"/>
  <c r="AZ320" i="2"/>
  <c r="AZ319" i="2"/>
  <c r="AZ318" i="2"/>
  <c r="AZ317" i="2"/>
  <c r="AZ316" i="2"/>
  <c r="AZ315" i="2"/>
  <c r="AZ314" i="2"/>
  <c r="AZ313" i="2"/>
  <c r="AZ312" i="2"/>
  <c r="AZ311" i="2"/>
  <c r="AZ310" i="2"/>
  <c r="AZ309" i="2"/>
  <c r="AZ308" i="2"/>
  <c r="AV328" i="2"/>
  <c r="AV327" i="2"/>
  <c r="AV326" i="2"/>
  <c r="AV325" i="2"/>
  <c r="AV324" i="2"/>
  <c r="AV323" i="2"/>
  <c r="AV322" i="2"/>
  <c r="AV321" i="2"/>
  <c r="AV320" i="2"/>
  <c r="AV319" i="2"/>
  <c r="AV318" i="2"/>
  <c r="AV317" i="2"/>
  <c r="AV316" i="2"/>
  <c r="AV315" i="2"/>
  <c r="AV314" i="2"/>
  <c r="AV313" i="2"/>
  <c r="AV312" i="2"/>
  <c r="AV311" i="2"/>
  <c r="AV310" i="2"/>
  <c r="AV309" i="2"/>
  <c r="AV308" i="2"/>
  <c r="AR328" i="2"/>
  <c r="AR327" i="2"/>
  <c r="AR326" i="2"/>
  <c r="AR325" i="2"/>
  <c r="AR324" i="2"/>
  <c r="AR323" i="2"/>
  <c r="AR322" i="2"/>
  <c r="AR321" i="2"/>
  <c r="AR320" i="2"/>
  <c r="AR319" i="2"/>
  <c r="AR318" i="2"/>
  <c r="AR317" i="2"/>
  <c r="AR316" i="2"/>
  <c r="AR315" i="2"/>
  <c r="AR314" i="2"/>
  <c r="AR313" i="2"/>
  <c r="AR312" i="2"/>
  <c r="AR311" i="2"/>
  <c r="AR310" i="2"/>
  <c r="AR309" i="2"/>
  <c r="AR308" i="2"/>
  <c r="AN328" i="2"/>
  <c r="AN327" i="2"/>
  <c r="AN326" i="2"/>
  <c r="AN325" i="2"/>
  <c r="AN324" i="2"/>
  <c r="AN323" i="2"/>
  <c r="AN322" i="2"/>
  <c r="AN321" i="2"/>
  <c r="AN320" i="2"/>
  <c r="AN319" i="2"/>
  <c r="AN318" i="2"/>
  <c r="AN317" i="2"/>
  <c r="AN316" i="2"/>
  <c r="AN315" i="2"/>
  <c r="AN314" i="2"/>
  <c r="AN313" i="2"/>
  <c r="AN312" i="2"/>
  <c r="AN311" i="2"/>
  <c r="AN310" i="2"/>
  <c r="AN309" i="2"/>
  <c r="AN308" i="2"/>
  <c r="AJ328" i="2"/>
  <c r="AJ327" i="2"/>
  <c r="AJ326" i="2"/>
  <c r="AJ325" i="2"/>
  <c r="AJ324" i="2"/>
  <c r="AJ323" i="2"/>
  <c r="AJ322" i="2"/>
  <c r="AJ321" i="2"/>
  <c r="AJ320" i="2"/>
  <c r="AJ319" i="2"/>
  <c r="AJ318" i="2"/>
  <c r="AJ317" i="2"/>
  <c r="AJ316" i="2"/>
  <c r="AJ315" i="2"/>
  <c r="AJ314" i="2"/>
  <c r="AJ313" i="2"/>
  <c r="AJ312" i="2"/>
  <c r="AJ311" i="2"/>
  <c r="AJ310" i="2"/>
  <c r="AJ309" i="2"/>
  <c r="AJ308" i="2"/>
  <c r="BQ236" i="2"/>
  <c r="BM236" i="2" l="1"/>
  <c r="BL235" i="2"/>
  <c r="BO236" i="2"/>
  <c r="BN235" i="2"/>
  <c r="N303" i="2"/>
  <c r="N235" i="2"/>
  <c r="N236" i="2"/>
  <c r="E236" i="2"/>
  <c r="E235" i="2"/>
  <c r="E303" i="2"/>
  <c r="C139" i="9"/>
  <c r="D139" i="9"/>
  <c r="E139" i="9"/>
  <c r="AH139" i="9"/>
  <c r="C140" i="9"/>
  <c r="D140" i="9"/>
  <c r="E140" i="9"/>
  <c r="AH140" i="9"/>
  <c r="A209" i="5"/>
  <c r="A210" i="5"/>
  <c r="A211" i="5"/>
  <c r="A212" i="5"/>
  <c r="A213" i="5"/>
  <c r="A214" i="5"/>
  <c r="A215" i="5"/>
  <c r="A216" i="5"/>
  <c r="A217" i="5"/>
  <c r="A218" i="5"/>
  <c r="A219" i="5"/>
  <c r="A220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S209" i="5"/>
  <c r="S210" i="5"/>
  <c r="S211" i="5"/>
  <c r="S212" i="5"/>
  <c r="S213" i="5"/>
  <c r="S214" i="5"/>
  <c r="S215" i="5"/>
  <c r="S216" i="5"/>
  <c r="S217" i="5"/>
  <c r="S218" i="5"/>
  <c r="S219" i="5"/>
  <c r="S220" i="5"/>
  <c r="T209" i="5"/>
  <c r="T210" i="5"/>
  <c r="T211" i="5"/>
  <c r="T212" i="5"/>
  <c r="T213" i="5"/>
  <c r="T214" i="5"/>
  <c r="T215" i="5"/>
  <c r="T216" i="5"/>
  <c r="T217" i="5"/>
  <c r="T218" i="5"/>
  <c r="T219" i="5"/>
  <c r="T220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W215" i="5"/>
  <c r="W216" i="5"/>
  <c r="W217" i="5"/>
  <c r="W218" i="5"/>
  <c r="W219" i="5"/>
  <c r="W220" i="5"/>
  <c r="A150" i="6"/>
  <c r="A151" i="6"/>
  <c r="G150" i="6"/>
  <c r="G151" i="6"/>
  <c r="H150" i="6"/>
  <c r="H151" i="6"/>
  <c r="I150" i="6"/>
  <c r="I151" i="6"/>
  <c r="A135" i="6"/>
  <c r="G135" i="6"/>
  <c r="H135" i="6"/>
  <c r="I135" i="6"/>
  <c r="BO302" i="2" l="1"/>
  <c r="BM302" i="2"/>
  <c r="BQ302" i="2"/>
  <c r="BQ303" i="2"/>
  <c r="BO303" i="2"/>
  <c r="BM303" i="2"/>
  <c r="BQ235" i="2"/>
  <c r="BO235" i="2"/>
  <c r="BM235" i="2"/>
  <c r="N218" i="5"/>
  <c r="N219" i="5"/>
  <c r="N217" i="5"/>
  <c r="N215" i="5"/>
  <c r="N220" i="5"/>
  <c r="N216" i="5"/>
  <c r="F150" i="6"/>
  <c r="F151" i="6"/>
  <c r="F135" i="6"/>
  <c r="X234" i="2"/>
  <c r="BP225" i="2" l="1"/>
  <c r="BN225" i="2"/>
  <c r="BL225" i="2"/>
  <c r="X225" i="2"/>
  <c r="BQ225" i="2"/>
  <c r="E225" i="2"/>
  <c r="BM225" i="2" l="1"/>
  <c r="BO225" i="2"/>
  <c r="N225" i="2"/>
  <c r="AB297" i="2" l="1"/>
  <c r="X268" i="2" l="1"/>
  <c r="X269" i="2"/>
  <c r="S149" i="9" l="1"/>
  <c r="X141" i="2"/>
  <c r="X134" i="2"/>
  <c r="X137" i="2"/>
  <c r="X219" i="2"/>
  <c r="X209" i="2"/>
  <c r="X208" i="2"/>
  <c r="X238" i="2"/>
  <c r="X61" i="1"/>
  <c r="X59" i="1"/>
  <c r="X58" i="1"/>
  <c r="X57" i="1"/>
  <c r="AB44" i="1"/>
  <c r="AJ54" i="1"/>
  <c r="BP208" i="2" l="1"/>
  <c r="N208" i="2" s="1"/>
  <c r="BL208" i="2"/>
  <c r="BN208" i="2"/>
  <c r="BO208" i="2"/>
  <c r="BQ208" i="2"/>
  <c r="BM208" i="2"/>
  <c r="BL209" i="2"/>
  <c r="BP209" i="2"/>
  <c r="N209" i="2" s="1"/>
  <c r="BN209" i="2"/>
  <c r="BQ209" i="2"/>
  <c r="BM209" i="2"/>
  <c r="BO209" i="2"/>
  <c r="BP238" i="2"/>
  <c r="BL238" i="2"/>
  <c r="BN238" i="2"/>
  <c r="AF44" i="1"/>
  <c r="N238" i="2" l="1"/>
  <c r="X229" i="2"/>
  <c r="FR221" i="2"/>
  <c r="DQ221" i="2"/>
  <c r="X221" i="2"/>
  <c r="BP221" i="2" s="1"/>
  <c r="FS221" i="2"/>
  <c r="E221" i="2"/>
  <c r="X263" i="2" l="1"/>
  <c r="X245" i="2"/>
  <c r="X256" i="2"/>
  <c r="X241" i="2"/>
  <c r="X244" i="2"/>
  <c r="X262" i="2"/>
  <c r="X258" i="2"/>
  <c r="X254" i="2"/>
  <c r="X261" i="2"/>
  <c r="X251" i="2"/>
  <c r="X240" i="2"/>
  <c r="X246" i="2"/>
  <c r="X243" i="2"/>
  <c r="X250" i="2"/>
  <c r="X257" i="2"/>
  <c r="X239" i="2"/>
  <c r="X259" i="2"/>
  <c r="X253" i="2"/>
  <c r="X247" i="2"/>
  <c r="X252" i="2"/>
  <c r="X248" i="2"/>
  <c r="X255" i="2"/>
  <c r="X242" i="2"/>
  <c r="X249" i="2"/>
  <c r="X260" i="2"/>
  <c r="BN221" i="2"/>
  <c r="N221" i="2" s="1"/>
  <c r="DR221" i="2"/>
  <c r="BO221" i="2"/>
  <c r="BL221" i="2"/>
  <c r="BM221" i="2"/>
  <c r="BQ221" i="2"/>
  <c r="U263" i="2"/>
  <c r="U262" i="2"/>
  <c r="U258" i="2"/>
  <c r="U257" i="2"/>
  <c r="U256" i="2"/>
  <c r="U255" i="2"/>
  <c r="U254" i="2"/>
  <c r="U253" i="2"/>
  <c r="U252" i="2"/>
  <c r="U251" i="2"/>
  <c r="U250" i="2"/>
  <c r="U249" i="2"/>
  <c r="U248" i="2"/>
  <c r="U247" i="2"/>
  <c r="U246" i="2"/>
  <c r="U245" i="2"/>
  <c r="U244" i="2"/>
  <c r="U243" i="2"/>
  <c r="U242" i="2"/>
  <c r="U241" i="2"/>
  <c r="U240" i="2"/>
  <c r="U239" i="2"/>
  <c r="U192" i="2"/>
  <c r="U191" i="2"/>
  <c r="U190" i="2"/>
  <c r="U189" i="2"/>
  <c r="U188" i="2"/>
  <c r="U187" i="2"/>
  <c r="U186" i="2"/>
  <c r="U185" i="2"/>
  <c r="U184" i="2"/>
  <c r="U183" i="2"/>
  <c r="U182" i="2"/>
  <c r="U181" i="2"/>
  <c r="U180" i="2"/>
  <c r="U179" i="2"/>
  <c r="U178" i="2"/>
  <c r="U177" i="2"/>
  <c r="U176" i="2"/>
  <c r="U175" i="2"/>
  <c r="U174" i="2"/>
  <c r="U173" i="2"/>
  <c r="U172" i="2"/>
  <c r="U171" i="2"/>
  <c r="U170" i="2"/>
  <c r="U169" i="2"/>
  <c r="U168" i="2"/>
  <c r="U167" i="2"/>
  <c r="U166" i="2"/>
  <c r="U165" i="2"/>
  <c r="U164" i="2"/>
  <c r="U163" i="2"/>
  <c r="U162" i="2"/>
  <c r="U161" i="2"/>
  <c r="U160" i="2"/>
  <c r="U159" i="2"/>
  <c r="U158" i="2"/>
  <c r="U157" i="2"/>
  <c r="U156" i="2"/>
  <c r="U155" i="2"/>
  <c r="U154" i="2"/>
  <c r="U153" i="2"/>
  <c r="U152" i="2"/>
  <c r="U151" i="2"/>
  <c r="U150" i="2"/>
  <c r="U149" i="2"/>
  <c r="U328" i="2"/>
  <c r="U327" i="2"/>
  <c r="U326" i="2"/>
  <c r="U325" i="2"/>
  <c r="U324" i="2"/>
  <c r="U323" i="2"/>
  <c r="U322" i="2"/>
  <c r="U321" i="2"/>
  <c r="U320" i="2"/>
  <c r="U319" i="2"/>
  <c r="U318" i="2"/>
  <c r="U317" i="2"/>
  <c r="U316" i="2"/>
  <c r="U315" i="2"/>
  <c r="U314" i="2"/>
  <c r="U313" i="2"/>
  <c r="U312" i="2"/>
  <c r="U311" i="2"/>
  <c r="U310" i="2"/>
  <c r="U309" i="2"/>
  <c r="U308" i="2"/>
  <c r="U97" i="2"/>
  <c r="U96" i="2"/>
  <c r="U95" i="2"/>
  <c r="U94" i="2"/>
  <c r="U93" i="2"/>
  <c r="U92" i="2"/>
  <c r="U91" i="2"/>
  <c r="U90" i="2"/>
  <c r="U89" i="2"/>
  <c r="U88" i="2"/>
  <c r="U87" i="2"/>
  <c r="U86" i="2"/>
  <c r="U85" i="2"/>
  <c r="U84" i="2"/>
  <c r="U83" i="2"/>
  <c r="U82" i="2"/>
  <c r="BQ260" i="2" l="1"/>
  <c r="BM260" i="2"/>
  <c r="BP260" i="2"/>
  <c r="BL260" i="2"/>
  <c r="BN260" i="2"/>
  <c r="BO260" i="2"/>
  <c r="BP259" i="2"/>
  <c r="BL259" i="2"/>
  <c r="BQ259" i="2"/>
  <c r="BM259" i="2"/>
  <c r="BN259" i="2"/>
  <c r="BO259" i="2"/>
  <c r="BL261" i="2"/>
  <c r="BM261" i="2"/>
  <c r="BO261" i="2"/>
  <c r="BP261" i="2"/>
  <c r="BQ261" i="2"/>
  <c r="BN261" i="2"/>
  <c r="BQ330" i="2"/>
  <c r="BP330" i="2"/>
  <c r="BO330" i="2"/>
  <c r="BN330" i="2"/>
  <c r="BM330" i="2"/>
  <c r="BL330" i="2"/>
  <c r="BQ329" i="2"/>
  <c r="BP329" i="2"/>
  <c r="BO329" i="2"/>
  <c r="BN329" i="2"/>
  <c r="BM329" i="2"/>
  <c r="BL329" i="2"/>
  <c r="BP233" i="2"/>
  <c r="BN233" i="2"/>
  <c r="BL233" i="2"/>
  <c r="BP232" i="2"/>
  <c r="BN232" i="2"/>
  <c r="BL232" i="2"/>
  <c r="BP231" i="2"/>
  <c r="BN231" i="2"/>
  <c r="BL231" i="2"/>
  <c r="BP230" i="2"/>
  <c r="BN230" i="2"/>
  <c r="BL230" i="2"/>
  <c r="BP228" i="2"/>
  <c r="BN228" i="2"/>
  <c r="BL228" i="2"/>
  <c r="BP227" i="2"/>
  <c r="BN227" i="2"/>
  <c r="BL227" i="2"/>
  <c r="BP226" i="2"/>
  <c r="BN226" i="2"/>
  <c r="BL226" i="2"/>
  <c r="BP224" i="2"/>
  <c r="BN224" i="2"/>
  <c r="BL224" i="2"/>
  <c r="BP223" i="2"/>
  <c r="BN223" i="2"/>
  <c r="BL223" i="2"/>
  <c r="BP222" i="2"/>
  <c r="BN222" i="2"/>
  <c r="BL222" i="2"/>
  <c r="BP219" i="2"/>
  <c r="BN219" i="2"/>
  <c r="BL219" i="2"/>
  <c r="BP218" i="2"/>
  <c r="BN218" i="2"/>
  <c r="BL218" i="2"/>
  <c r="BP217" i="2"/>
  <c r="BN217" i="2"/>
  <c r="BL217" i="2"/>
  <c r="BP216" i="2"/>
  <c r="BN216" i="2"/>
  <c r="BL216" i="2"/>
  <c r="BP201" i="2"/>
  <c r="BN201" i="2"/>
  <c r="BL201" i="2"/>
  <c r="BP200" i="2"/>
  <c r="BN200" i="2"/>
  <c r="BL200" i="2"/>
  <c r="BP199" i="2"/>
  <c r="BN199" i="2"/>
  <c r="BL199" i="2"/>
  <c r="BP196" i="2"/>
  <c r="BN196" i="2"/>
  <c r="BL196" i="2"/>
  <c r="BP195" i="2"/>
  <c r="BN195" i="2"/>
  <c r="BL195" i="2"/>
  <c r="BQ194" i="2"/>
  <c r="BP194" i="2"/>
  <c r="BO194" i="2"/>
  <c r="BN194" i="2"/>
  <c r="BM194" i="2"/>
  <c r="BL194" i="2"/>
  <c r="BQ193" i="2"/>
  <c r="BP193" i="2"/>
  <c r="BO193" i="2"/>
  <c r="BN193" i="2"/>
  <c r="BM193" i="2"/>
  <c r="BL193" i="2"/>
  <c r="BP144" i="2"/>
  <c r="BN144" i="2"/>
  <c r="BL144" i="2"/>
  <c r="BP143" i="2"/>
  <c r="BN143" i="2"/>
  <c r="BL143" i="2"/>
  <c r="BP140" i="2"/>
  <c r="BN140" i="2"/>
  <c r="BL140" i="2"/>
  <c r="BP139" i="2"/>
  <c r="BN139" i="2"/>
  <c r="BL139" i="2"/>
  <c r="BP138" i="2"/>
  <c r="BN138" i="2"/>
  <c r="BL138" i="2"/>
  <c r="BP136" i="2"/>
  <c r="BN136" i="2"/>
  <c r="BL136" i="2"/>
  <c r="BP135" i="2"/>
  <c r="BN135" i="2"/>
  <c r="BL135" i="2"/>
  <c r="BP133" i="2"/>
  <c r="BN133" i="2"/>
  <c r="BL133" i="2"/>
  <c r="BP132" i="2"/>
  <c r="BN132" i="2"/>
  <c r="BL132" i="2"/>
  <c r="BP131" i="2"/>
  <c r="BN131" i="2"/>
  <c r="BL131" i="2"/>
  <c r="BP130" i="2"/>
  <c r="BN130" i="2"/>
  <c r="BL130" i="2"/>
  <c r="BP129" i="2"/>
  <c r="BN129" i="2"/>
  <c r="BL129" i="2"/>
  <c r="BP122" i="2"/>
  <c r="BN122" i="2"/>
  <c r="BL122" i="2"/>
  <c r="BP120" i="2"/>
  <c r="BN120" i="2"/>
  <c r="BL120" i="2"/>
  <c r="BP119" i="2"/>
  <c r="BN119" i="2"/>
  <c r="BL119" i="2"/>
  <c r="BQ110" i="2"/>
  <c r="BP110" i="2"/>
  <c r="BO110" i="2"/>
  <c r="BN110" i="2"/>
  <c r="BM110" i="2"/>
  <c r="BL110" i="2"/>
  <c r="BP109" i="2"/>
  <c r="BN109" i="2"/>
  <c r="BL109" i="2"/>
  <c r="BP108" i="2"/>
  <c r="BN108" i="2"/>
  <c r="BL108" i="2"/>
  <c r="BP107" i="2"/>
  <c r="BN107" i="2"/>
  <c r="BL107" i="2"/>
  <c r="BP106" i="2"/>
  <c r="BN106" i="2"/>
  <c r="BL106" i="2"/>
  <c r="BQ105" i="2"/>
  <c r="BP105" i="2"/>
  <c r="BO105" i="2"/>
  <c r="BN105" i="2"/>
  <c r="BM105" i="2"/>
  <c r="BL105" i="2"/>
  <c r="BQ104" i="2"/>
  <c r="BP104" i="2"/>
  <c r="BO104" i="2"/>
  <c r="BN104" i="2"/>
  <c r="BM104" i="2"/>
  <c r="BL104" i="2"/>
  <c r="BP103" i="2"/>
  <c r="BN103" i="2"/>
  <c r="BL103" i="2"/>
  <c r="BP102" i="2"/>
  <c r="BN102" i="2"/>
  <c r="BL102" i="2"/>
  <c r="BP101" i="2"/>
  <c r="BN101" i="2"/>
  <c r="BL101" i="2"/>
  <c r="BP100" i="2"/>
  <c r="BN100" i="2"/>
  <c r="BL100" i="2"/>
  <c r="BQ99" i="2"/>
  <c r="BP99" i="2"/>
  <c r="BO99" i="2"/>
  <c r="BN99" i="2"/>
  <c r="BM99" i="2"/>
  <c r="BL99" i="2"/>
  <c r="BQ98" i="2"/>
  <c r="BP98" i="2"/>
  <c r="BO98" i="2"/>
  <c r="BN98" i="2"/>
  <c r="BM98" i="2"/>
  <c r="BL98" i="2"/>
  <c r="BP81" i="2"/>
  <c r="BN81" i="2"/>
  <c r="BL81" i="2"/>
  <c r="BP69" i="2"/>
  <c r="BN69" i="2"/>
  <c r="BL69" i="2"/>
  <c r="BP68" i="2"/>
  <c r="BN68" i="2"/>
  <c r="BL68" i="2"/>
  <c r="BQ67" i="2"/>
  <c r="BP67" i="2"/>
  <c r="BO67" i="2"/>
  <c r="BN67" i="2"/>
  <c r="BM67" i="2"/>
  <c r="BL67" i="2"/>
  <c r="BQ66" i="2"/>
  <c r="BP66" i="2"/>
  <c r="BO66" i="2"/>
  <c r="BN66" i="2"/>
  <c r="BM66" i="2"/>
  <c r="BL66" i="2"/>
  <c r="BP54" i="2"/>
  <c r="BN54" i="2"/>
  <c r="BL54" i="2"/>
  <c r="BP51" i="2"/>
  <c r="BN51" i="2"/>
  <c r="BL51" i="2"/>
  <c r="BP50" i="2"/>
  <c r="BN50" i="2"/>
  <c r="BL50" i="2"/>
  <c r="BP49" i="2"/>
  <c r="BN49" i="2"/>
  <c r="BL49" i="2"/>
  <c r="BP48" i="2"/>
  <c r="BN48" i="2"/>
  <c r="BL48" i="2"/>
  <c r="BQ47" i="2"/>
  <c r="BP47" i="2"/>
  <c r="BO47" i="2"/>
  <c r="BN47" i="2"/>
  <c r="BM47" i="2"/>
  <c r="BL47" i="2"/>
  <c r="BQ46" i="2"/>
  <c r="BP46" i="2"/>
  <c r="BO46" i="2"/>
  <c r="BN46" i="2"/>
  <c r="BM46" i="2"/>
  <c r="BL46" i="2"/>
  <c r="BP45" i="2"/>
  <c r="BN45" i="2"/>
  <c r="BL45" i="2"/>
  <c r="BP44" i="2"/>
  <c r="BN44" i="2"/>
  <c r="BL44" i="2"/>
  <c r="BQ33" i="2"/>
  <c r="BP33" i="2"/>
  <c r="BO33" i="2"/>
  <c r="BN33" i="2"/>
  <c r="BM33" i="2"/>
  <c r="BL33" i="2"/>
  <c r="BP32" i="2"/>
  <c r="BN32" i="2"/>
  <c r="BL32" i="2"/>
  <c r="BP31" i="2"/>
  <c r="BN31" i="2"/>
  <c r="BL31" i="2"/>
  <c r="BP30" i="2"/>
  <c r="BN30" i="2"/>
  <c r="BL30" i="2"/>
  <c r="BP29" i="2"/>
  <c r="BN29" i="2"/>
  <c r="BL29" i="2"/>
  <c r="BQ28" i="2"/>
  <c r="BP28" i="2"/>
  <c r="BO28" i="2"/>
  <c r="BN28" i="2"/>
  <c r="BM28" i="2"/>
  <c r="BL28" i="2"/>
  <c r="BQ27" i="2"/>
  <c r="BP27" i="2"/>
  <c r="BO27" i="2"/>
  <c r="BN27" i="2"/>
  <c r="BM27" i="2"/>
  <c r="BL27" i="2"/>
  <c r="BP13" i="2"/>
  <c r="BN13" i="2"/>
  <c r="BL13" i="2"/>
  <c r="BP12" i="2"/>
  <c r="BN12" i="2"/>
  <c r="BL12" i="2"/>
  <c r="BP10" i="2"/>
  <c r="BN10" i="2"/>
  <c r="BL10" i="2"/>
  <c r="BP7" i="2"/>
  <c r="BN7" i="2"/>
  <c r="BL7" i="2"/>
  <c r="T145" i="2"/>
  <c r="BN145" i="2" s="1"/>
  <c r="T121" i="2"/>
  <c r="BN121" i="2" s="1"/>
  <c r="T127" i="2"/>
  <c r="BP127" i="2" s="1"/>
  <c r="N127" i="2" s="1"/>
  <c r="T125" i="2"/>
  <c r="T124" i="2"/>
  <c r="T123" i="2"/>
  <c r="T147" i="2"/>
  <c r="BP147" i="2" s="1"/>
  <c r="T141" i="2"/>
  <c r="BP141" i="2" s="1"/>
  <c r="T137" i="2"/>
  <c r="T134" i="2"/>
  <c r="E121" i="2"/>
  <c r="E127" i="2"/>
  <c r="T142" i="2"/>
  <c r="BQ228" i="2"/>
  <c r="BQ230" i="2"/>
  <c r="T229" i="2"/>
  <c r="BN229" i="2" s="1"/>
  <c r="BH295" i="2"/>
  <c r="BD295" i="2"/>
  <c r="AZ295" i="2"/>
  <c r="AV295" i="2"/>
  <c r="AR295" i="2"/>
  <c r="AN295" i="2"/>
  <c r="AB275" i="2"/>
  <c r="AB282" i="2"/>
  <c r="AB289" i="2"/>
  <c r="AB291" i="2"/>
  <c r="AB300" i="2"/>
  <c r="X300" i="2"/>
  <c r="X297" i="2"/>
  <c r="X291" i="2"/>
  <c r="X289" i="2"/>
  <c r="X282" i="2"/>
  <c r="X275" i="2"/>
  <c r="X267" i="2"/>
  <c r="X6" i="2"/>
  <c r="BL11" i="2"/>
  <c r="BO127" i="2" l="1"/>
  <c r="N119" i="2"/>
  <c r="N260" i="2"/>
  <c r="N261" i="2"/>
  <c r="BL275" i="2"/>
  <c r="BP275" i="2"/>
  <c r="BN275" i="2"/>
  <c r="BL268" i="2"/>
  <c r="BP268" i="2"/>
  <c r="BN268" i="2"/>
  <c r="X327" i="2"/>
  <c r="X319" i="2"/>
  <c r="X311" i="2"/>
  <c r="BP300" i="2"/>
  <c r="X326" i="2"/>
  <c r="X318" i="2"/>
  <c r="X310" i="2"/>
  <c r="X325" i="2"/>
  <c r="X317" i="2"/>
  <c r="X309" i="2"/>
  <c r="X328" i="2"/>
  <c r="X320" i="2"/>
  <c r="X312" i="2"/>
  <c r="BN300" i="2"/>
  <c r="X324" i="2"/>
  <c r="X316" i="2"/>
  <c r="X308" i="2"/>
  <c r="X323" i="2"/>
  <c r="X315" i="2"/>
  <c r="BL300" i="2"/>
  <c r="X322" i="2"/>
  <c r="X314" i="2"/>
  <c r="X321" i="2"/>
  <c r="X313" i="2"/>
  <c r="AB322" i="2"/>
  <c r="AB314" i="2"/>
  <c r="AB321" i="2"/>
  <c r="AB313" i="2"/>
  <c r="AB328" i="2"/>
  <c r="AB320" i="2"/>
  <c r="AB312" i="2"/>
  <c r="AB323" i="2"/>
  <c r="AB315" i="2"/>
  <c r="AB327" i="2"/>
  <c r="AB319" i="2"/>
  <c r="AB311" i="2"/>
  <c r="AB326" i="2"/>
  <c r="AB318" i="2"/>
  <c r="AB310" i="2"/>
  <c r="AB325" i="2"/>
  <c r="AB317" i="2"/>
  <c r="AB309" i="2"/>
  <c r="AB324" i="2"/>
  <c r="AB316" i="2"/>
  <c r="AB308" i="2"/>
  <c r="N259" i="2"/>
  <c r="BL267" i="2"/>
  <c r="BP267" i="2"/>
  <c r="BN267" i="2"/>
  <c r="BL282" i="2"/>
  <c r="BP282" i="2"/>
  <c r="BN282" i="2"/>
  <c r="BP289" i="2"/>
  <c r="BN289" i="2"/>
  <c r="BL289" i="2"/>
  <c r="BP295" i="2"/>
  <c r="BN295" i="2"/>
  <c r="BL295" i="2"/>
  <c r="BL291" i="2"/>
  <c r="BP291" i="2"/>
  <c r="BN291" i="2"/>
  <c r="AF325" i="2"/>
  <c r="AF317" i="2"/>
  <c r="AF309" i="2"/>
  <c r="AF324" i="2"/>
  <c r="AF316" i="2"/>
  <c r="AF308" i="2"/>
  <c r="AF323" i="2"/>
  <c r="AF315" i="2"/>
  <c r="AF326" i="2"/>
  <c r="AF318" i="2"/>
  <c r="AF310" i="2"/>
  <c r="AF322" i="2"/>
  <c r="AF314" i="2"/>
  <c r="AF321" i="2"/>
  <c r="AF313" i="2"/>
  <c r="AF328" i="2"/>
  <c r="AF320" i="2"/>
  <c r="AF312" i="2"/>
  <c r="AF327" i="2"/>
  <c r="AF319" i="2"/>
  <c r="AF311" i="2"/>
  <c r="BP297" i="2"/>
  <c r="BN297" i="2"/>
  <c r="BL297" i="2"/>
  <c r="BN11" i="2"/>
  <c r="BP121" i="2"/>
  <c r="N121" i="2" s="1"/>
  <c r="BL127" i="2"/>
  <c r="BP145" i="2"/>
  <c r="BP229" i="2"/>
  <c r="BO230" i="2"/>
  <c r="BP11" i="2"/>
  <c r="BN127" i="2"/>
  <c r="BL141" i="2"/>
  <c r="BL147" i="2"/>
  <c r="BL121" i="2"/>
  <c r="BN141" i="2"/>
  <c r="BL145" i="2"/>
  <c r="BN147" i="2"/>
  <c r="BL229" i="2"/>
  <c r="BM230" i="2"/>
  <c r="BO229" i="2"/>
  <c r="BO228" i="2"/>
  <c r="BM229" i="2"/>
  <c r="BQ229" i="2"/>
  <c r="BM228" i="2"/>
  <c r="BO121" i="2"/>
  <c r="BQ121" i="2"/>
  <c r="BM121" i="2"/>
  <c r="BM127" i="2"/>
  <c r="BQ127" i="2"/>
  <c r="BQ7" i="2" l="1"/>
  <c r="BO7" i="2"/>
  <c r="BM7" i="2"/>
  <c r="BH192" i="2"/>
  <c r="BH191" i="2"/>
  <c r="BH190" i="2"/>
  <c r="BH189" i="2"/>
  <c r="BH188" i="2"/>
  <c r="BH187" i="2"/>
  <c r="BH186" i="2"/>
  <c r="BH185" i="2"/>
  <c r="BH184" i="2"/>
  <c r="BH183" i="2"/>
  <c r="BH182" i="2"/>
  <c r="BH181" i="2"/>
  <c r="BH180" i="2"/>
  <c r="BH179" i="2"/>
  <c r="BH178" i="2"/>
  <c r="BH177" i="2"/>
  <c r="BH176" i="2"/>
  <c r="BH175" i="2"/>
  <c r="BH174" i="2"/>
  <c r="BH173" i="2"/>
  <c r="BH172" i="2"/>
  <c r="BH171" i="2"/>
  <c r="BH170" i="2"/>
  <c r="BH169" i="2"/>
  <c r="BH168" i="2"/>
  <c r="BH167" i="2"/>
  <c r="BH166" i="2"/>
  <c r="BH165" i="2"/>
  <c r="BH164" i="2"/>
  <c r="BH163" i="2"/>
  <c r="BH162" i="2"/>
  <c r="BH161" i="2"/>
  <c r="BH160" i="2"/>
  <c r="BH159" i="2"/>
  <c r="BH158" i="2"/>
  <c r="BH157" i="2"/>
  <c r="BH156" i="2"/>
  <c r="BH155" i="2"/>
  <c r="BH154" i="2"/>
  <c r="BH153" i="2"/>
  <c r="BH152" i="2"/>
  <c r="BH151" i="2"/>
  <c r="BH150" i="2"/>
  <c r="BH149" i="2"/>
  <c r="BD192" i="2"/>
  <c r="BD191" i="2"/>
  <c r="BD190" i="2"/>
  <c r="BD189" i="2"/>
  <c r="BD188" i="2"/>
  <c r="BD187" i="2"/>
  <c r="BD186" i="2"/>
  <c r="BD185" i="2"/>
  <c r="BD184" i="2"/>
  <c r="BD183" i="2"/>
  <c r="BD182" i="2"/>
  <c r="BD181" i="2"/>
  <c r="BD180" i="2"/>
  <c r="BD179" i="2"/>
  <c r="BD178" i="2"/>
  <c r="BD177" i="2"/>
  <c r="BD176" i="2"/>
  <c r="BD175" i="2"/>
  <c r="BD174" i="2"/>
  <c r="BD173" i="2"/>
  <c r="BD172" i="2"/>
  <c r="BD171" i="2"/>
  <c r="BD170" i="2"/>
  <c r="BD169" i="2"/>
  <c r="BD168" i="2"/>
  <c r="BD167" i="2"/>
  <c r="BD166" i="2"/>
  <c r="BD165" i="2"/>
  <c r="BD164" i="2"/>
  <c r="BD163" i="2"/>
  <c r="BD162" i="2"/>
  <c r="BD161" i="2"/>
  <c r="BD160" i="2"/>
  <c r="BD159" i="2"/>
  <c r="BD158" i="2"/>
  <c r="BD157" i="2"/>
  <c r="BD156" i="2"/>
  <c r="BD155" i="2"/>
  <c r="BD154" i="2"/>
  <c r="BD153" i="2"/>
  <c r="BD152" i="2"/>
  <c r="BD151" i="2"/>
  <c r="BD150" i="2"/>
  <c r="BD149" i="2"/>
  <c r="AZ192" i="2"/>
  <c r="AZ191" i="2"/>
  <c r="AZ190" i="2"/>
  <c r="AZ189" i="2"/>
  <c r="AZ188" i="2"/>
  <c r="AZ187" i="2"/>
  <c r="AZ186" i="2"/>
  <c r="AZ185" i="2"/>
  <c r="AZ184" i="2"/>
  <c r="AZ183" i="2"/>
  <c r="AZ182" i="2"/>
  <c r="AZ181" i="2"/>
  <c r="AZ180" i="2"/>
  <c r="AZ179" i="2"/>
  <c r="AZ178" i="2"/>
  <c r="AZ177" i="2"/>
  <c r="AZ176" i="2"/>
  <c r="AZ175" i="2"/>
  <c r="AZ174" i="2"/>
  <c r="AZ173" i="2"/>
  <c r="AZ172" i="2"/>
  <c r="AZ171" i="2"/>
  <c r="AZ170" i="2"/>
  <c r="AZ169" i="2"/>
  <c r="AZ168" i="2"/>
  <c r="AZ167" i="2"/>
  <c r="AZ166" i="2"/>
  <c r="AZ165" i="2"/>
  <c r="AZ164" i="2"/>
  <c r="AZ163" i="2"/>
  <c r="AZ162" i="2"/>
  <c r="AZ161" i="2"/>
  <c r="AZ160" i="2"/>
  <c r="AZ159" i="2"/>
  <c r="AZ158" i="2"/>
  <c r="AZ157" i="2"/>
  <c r="AZ156" i="2"/>
  <c r="AZ155" i="2"/>
  <c r="AZ154" i="2"/>
  <c r="AZ153" i="2"/>
  <c r="AZ152" i="2"/>
  <c r="AZ151" i="2"/>
  <c r="AZ150" i="2"/>
  <c r="AZ149" i="2"/>
  <c r="AV192" i="2"/>
  <c r="AV191" i="2"/>
  <c r="AV190" i="2"/>
  <c r="AV189" i="2"/>
  <c r="AV188" i="2"/>
  <c r="AV187" i="2"/>
  <c r="AV186" i="2"/>
  <c r="AV185" i="2"/>
  <c r="AV184" i="2"/>
  <c r="AV183" i="2"/>
  <c r="AV182" i="2"/>
  <c r="AV181" i="2"/>
  <c r="AV180" i="2"/>
  <c r="AV179" i="2"/>
  <c r="AV178" i="2"/>
  <c r="AV177" i="2"/>
  <c r="AV176" i="2"/>
  <c r="AV175" i="2"/>
  <c r="AV174" i="2"/>
  <c r="AV173" i="2"/>
  <c r="AV172" i="2"/>
  <c r="AV171" i="2"/>
  <c r="AV170" i="2"/>
  <c r="AV169" i="2"/>
  <c r="AV168" i="2"/>
  <c r="AV167" i="2"/>
  <c r="AV166" i="2"/>
  <c r="AV165" i="2"/>
  <c r="AV164" i="2"/>
  <c r="AV163" i="2"/>
  <c r="AV162" i="2"/>
  <c r="AV161" i="2"/>
  <c r="AV160" i="2"/>
  <c r="AV159" i="2"/>
  <c r="AV158" i="2"/>
  <c r="AV157" i="2"/>
  <c r="AV156" i="2"/>
  <c r="AV155" i="2"/>
  <c r="AV154" i="2"/>
  <c r="AV153" i="2"/>
  <c r="AV152" i="2"/>
  <c r="AV151" i="2"/>
  <c r="AV150" i="2"/>
  <c r="AV149" i="2"/>
  <c r="AR192" i="2"/>
  <c r="AR191" i="2"/>
  <c r="AR190" i="2"/>
  <c r="AR189" i="2"/>
  <c r="AR188" i="2"/>
  <c r="AR187" i="2"/>
  <c r="AR186" i="2"/>
  <c r="AR185" i="2"/>
  <c r="AR184" i="2"/>
  <c r="AR183" i="2"/>
  <c r="AR182" i="2"/>
  <c r="AR181" i="2"/>
  <c r="AR180" i="2"/>
  <c r="AR179" i="2"/>
  <c r="AR178" i="2"/>
  <c r="AR177" i="2"/>
  <c r="AR176" i="2"/>
  <c r="AR175" i="2"/>
  <c r="AR174" i="2"/>
  <c r="AR173" i="2"/>
  <c r="AR172" i="2"/>
  <c r="AR171" i="2"/>
  <c r="AR170" i="2"/>
  <c r="AR169" i="2"/>
  <c r="AR168" i="2"/>
  <c r="AR167" i="2"/>
  <c r="AR166" i="2"/>
  <c r="AR165" i="2"/>
  <c r="AR164" i="2"/>
  <c r="AR163" i="2"/>
  <c r="AR162" i="2"/>
  <c r="AR161" i="2"/>
  <c r="AR160" i="2"/>
  <c r="AR159" i="2"/>
  <c r="AR158" i="2"/>
  <c r="AR157" i="2"/>
  <c r="AR156" i="2"/>
  <c r="AR155" i="2"/>
  <c r="AR154" i="2"/>
  <c r="AR153" i="2"/>
  <c r="AR152" i="2"/>
  <c r="AR151" i="2"/>
  <c r="AR150" i="2"/>
  <c r="AR149" i="2"/>
  <c r="AN192" i="2"/>
  <c r="AN191" i="2"/>
  <c r="AN190" i="2"/>
  <c r="AN189" i="2"/>
  <c r="AN188" i="2"/>
  <c r="AN187" i="2"/>
  <c r="AN186" i="2"/>
  <c r="AN185" i="2"/>
  <c r="AN184" i="2"/>
  <c r="AN183" i="2"/>
  <c r="AN182" i="2"/>
  <c r="AN181" i="2"/>
  <c r="AN180" i="2"/>
  <c r="AN179" i="2"/>
  <c r="AN178" i="2"/>
  <c r="AN177" i="2"/>
  <c r="AN176" i="2"/>
  <c r="AN175" i="2"/>
  <c r="AN174" i="2"/>
  <c r="AN173" i="2"/>
  <c r="AN172" i="2"/>
  <c r="AN171" i="2"/>
  <c r="AN170" i="2"/>
  <c r="AN169" i="2"/>
  <c r="AN168" i="2"/>
  <c r="AN167" i="2"/>
  <c r="AN166" i="2"/>
  <c r="AN165" i="2"/>
  <c r="AN164" i="2"/>
  <c r="AN163" i="2"/>
  <c r="AN162" i="2"/>
  <c r="AN161" i="2"/>
  <c r="AN160" i="2"/>
  <c r="AN159" i="2"/>
  <c r="AN158" i="2"/>
  <c r="AN157" i="2"/>
  <c r="AN156" i="2"/>
  <c r="AN155" i="2"/>
  <c r="AN154" i="2"/>
  <c r="AN153" i="2"/>
  <c r="AN152" i="2"/>
  <c r="AN151" i="2"/>
  <c r="AN150" i="2"/>
  <c r="AN149" i="2"/>
  <c r="AJ192" i="2"/>
  <c r="AJ191" i="2"/>
  <c r="AJ190" i="2"/>
  <c r="AJ189" i="2"/>
  <c r="AJ188" i="2"/>
  <c r="AJ187" i="2"/>
  <c r="AJ186" i="2"/>
  <c r="AJ185" i="2"/>
  <c r="AJ184" i="2"/>
  <c r="AJ183" i="2"/>
  <c r="AJ182" i="2"/>
  <c r="AJ181" i="2"/>
  <c r="AJ180" i="2"/>
  <c r="AJ179" i="2"/>
  <c r="AJ178" i="2"/>
  <c r="AJ177" i="2"/>
  <c r="AJ176" i="2"/>
  <c r="AJ175" i="2"/>
  <c r="AJ174" i="2"/>
  <c r="AJ173" i="2"/>
  <c r="AJ172" i="2"/>
  <c r="AJ171" i="2"/>
  <c r="AJ170" i="2"/>
  <c r="AJ169" i="2"/>
  <c r="AJ168" i="2"/>
  <c r="AJ167" i="2"/>
  <c r="AJ166" i="2"/>
  <c r="AJ165" i="2"/>
  <c r="AJ164" i="2"/>
  <c r="AJ163" i="2"/>
  <c r="AJ162" i="2"/>
  <c r="AJ161" i="2"/>
  <c r="AJ160" i="2"/>
  <c r="AJ159" i="2"/>
  <c r="AJ158" i="2"/>
  <c r="AJ157" i="2"/>
  <c r="AJ156" i="2"/>
  <c r="AJ155" i="2"/>
  <c r="AJ154" i="2"/>
  <c r="AJ153" i="2"/>
  <c r="AJ152" i="2"/>
  <c r="AJ151" i="2"/>
  <c r="AJ150" i="2"/>
  <c r="AJ149" i="2"/>
  <c r="AF192" i="2"/>
  <c r="AF191" i="2"/>
  <c r="AF190" i="2"/>
  <c r="AF189" i="2"/>
  <c r="AF188" i="2"/>
  <c r="AF187" i="2"/>
  <c r="AF186" i="2"/>
  <c r="AF185" i="2"/>
  <c r="AF184" i="2"/>
  <c r="AF183" i="2"/>
  <c r="AF182" i="2"/>
  <c r="AF181" i="2"/>
  <c r="AF180" i="2"/>
  <c r="AF179" i="2"/>
  <c r="AF178" i="2"/>
  <c r="AF177" i="2"/>
  <c r="AF176" i="2"/>
  <c r="AF175" i="2"/>
  <c r="AF174" i="2"/>
  <c r="AF173" i="2"/>
  <c r="AF172" i="2"/>
  <c r="AF171" i="2"/>
  <c r="AF170" i="2"/>
  <c r="AF169" i="2"/>
  <c r="AF168" i="2"/>
  <c r="AF167" i="2"/>
  <c r="AF166" i="2"/>
  <c r="AF165" i="2"/>
  <c r="AF164" i="2"/>
  <c r="AF163" i="2"/>
  <c r="AF162" i="2"/>
  <c r="AF161" i="2"/>
  <c r="AF160" i="2"/>
  <c r="AF159" i="2"/>
  <c r="AF158" i="2"/>
  <c r="AF157" i="2"/>
  <c r="AF156" i="2"/>
  <c r="AF155" i="2"/>
  <c r="AF154" i="2"/>
  <c r="AF153" i="2"/>
  <c r="AF152" i="2"/>
  <c r="AF151" i="2"/>
  <c r="AF150" i="2"/>
  <c r="AF149" i="2"/>
  <c r="AB192" i="2"/>
  <c r="AB191" i="2"/>
  <c r="AB190" i="2"/>
  <c r="AB189" i="2"/>
  <c r="AB188" i="2"/>
  <c r="AB187" i="2"/>
  <c r="AB186" i="2"/>
  <c r="AB185" i="2"/>
  <c r="AB184" i="2"/>
  <c r="AB183" i="2"/>
  <c r="AB182" i="2"/>
  <c r="AB181" i="2"/>
  <c r="AB180" i="2"/>
  <c r="AB179" i="2"/>
  <c r="AB178" i="2"/>
  <c r="AB177" i="2"/>
  <c r="AB176" i="2"/>
  <c r="AB175" i="2"/>
  <c r="AB174" i="2"/>
  <c r="AB173" i="2"/>
  <c r="AB172" i="2"/>
  <c r="AB171" i="2"/>
  <c r="AB170" i="2"/>
  <c r="AB169" i="2"/>
  <c r="AB168" i="2"/>
  <c r="AB167" i="2"/>
  <c r="AB166" i="2"/>
  <c r="AB165" i="2"/>
  <c r="AB164" i="2"/>
  <c r="AB163" i="2"/>
  <c r="AB162" i="2"/>
  <c r="AB161" i="2"/>
  <c r="AB160" i="2"/>
  <c r="AB159" i="2"/>
  <c r="AB158" i="2"/>
  <c r="AB157" i="2"/>
  <c r="AB156" i="2"/>
  <c r="AB155" i="2"/>
  <c r="AB154" i="2"/>
  <c r="AB153" i="2"/>
  <c r="AB152" i="2"/>
  <c r="AB151" i="2"/>
  <c r="AB150" i="2"/>
  <c r="AB149" i="2"/>
  <c r="X192" i="2"/>
  <c r="X191" i="2"/>
  <c r="X190" i="2"/>
  <c r="X189" i="2"/>
  <c r="X188" i="2"/>
  <c r="X187" i="2"/>
  <c r="X186" i="2"/>
  <c r="X185" i="2"/>
  <c r="X184" i="2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165" i="2"/>
  <c r="X164" i="2"/>
  <c r="X163" i="2"/>
  <c r="X162" i="2"/>
  <c r="X161" i="2"/>
  <c r="X160" i="2"/>
  <c r="X159" i="2"/>
  <c r="X158" i="2"/>
  <c r="X157" i="2"/>
  <c r="X156" i="2"/>
  <c r="X155" i="2"/>
  <c r="X154" i="2"/>
  <c r="X153" i="2"/>
  <c r="X152" i="2"/>
  <c r="X151" i="2"/>
  <c r="X150" i="2"/>
  <c r="X149" i="2"/>
  <c r="N144" i="2"/>
  <c r="E179" i="2"/>
  <c r="E178" i="2"/>
  <c r="E177" i="2"/>
  <c r="E176" i="2"/>
  <c r="E175" i="2"/>
  <c r="N143" i="2" l="1"/>
  <c r="BO143" i="2" l="1"/>
  <c r="BM143" i="2"/>
  <c r="BQ143" i="2"/>
  <c r="E144" i="2"/>
  <c r="E143" i="2"/>
  <c r="BQ144" i="2" l="1"/>
  <c r="BO144" i="2"/>
  <c r="BM144" i="2"/>
  <c r="E315" i="2"/>
  <c r="C23" i="9"/>
  <c r="D23" i="9"/>
  <c r="E23" i="9"/>
  <c r="AH23" i="9"/>
  <c r="C99" i="9"/>
  <c r="D99" i="9"/>
  <c r="E99" i="9"/>
  <c r="AH99" i="9"/>
  <c r="A84" i="6"/>
  <c r="G84" i="6"/>
  <c r="H84" i="6"/>
  <c r="I84" i="6"/>
  <c r="A199" i="5"/>
  <c r="A200" i="5"/>
  <c r="A201" i="5"/>
  <c r="A202" i="5"/>
  <c r="A203" i="5"/>
  <c r="A204" i="5"/>
  <c r="A205" i="5"/>
  <c r="A206" i="5"/>
  <c r="A207" i="5"/>
  <c r="A208" i="5"/>
  <c r="B199" i="5"/>
  <c r="B200" i="5"/>
  <c r="B201" i="5"/>
  <c r="B202" i="5"/>
  <c r="B203" i="5"/>
  <c r="B204" i="5"/>
  <c r="B205" i="5"/>
  <c r="B206" i="5"/>
  <c r="B207" i="5"/>
  <c r="B208" i="5"/>
  <c r="C199" i="5"/>
  <c r="C200" i="5"/>
  <c r="C201" i="5"/>
  <c r="C202" i="5"/>
  <c r="C203" i="5"/>
  <c r="C204" i="5"/>
  <c r="C205" i="5"/>
  <c r="C206" i="5"/>
  <c r="C207" i="5"/>
  <c r="C208" i="5"/>
  <c r="I199" i="5"/>
  <c r="I200" i="5"/>
  <c r="I201" i="5"/>
  <c r="I202" i="5"/>
  <c r="I203" i="5"/>
  <c r="I204" i="5"/>
  <c r="I205" i="5"/>
  <c r="I206" i="5"/>
  <c r="I207" i="5"/>
  <c r="I208" i="5"/>
  <c r="J199" i="5"/>
  <c r="J200" i="5"/>
  <c r="J201" i="5"/>
  <c r="J202" i="5"/>
  <c r="J203" i="5"/>
  <c r="J204" i="5"/>
  <c r="J205" i="5"/>
  <c r="J206" i="5"/>
  <c r="J207" i="5"/>
  <c r="J208" i="5"/>
  <c r="L199" i="5"/>
  <c r="L200" i="5"/>
  <c r="L201" i="5"/>
  <c r="L202" i="5"/>
  <c r="L203" i="5"/>
  <c r="L204" i="5"/>
  <c r="L205" i="5"/>
  <c r="L206" i="5"/>
  <c r="L207" i="5"/>
  <c r="L208" i="5"/>
  <c r="M199" i="5"/>
  <c r="M200" i="5"/>
  <c r="M201" i="5"/>
  <c r="M202" i="5"/>
  <c r="M203" i="5"/>
  <c r="M204" i="5"/>
  <c r="M205" i="5"/>
  <c r="M206" i="5"/>
  <c r="M207" i="5"/>
  <c r="M208" i="5"/>
  <c r="P199" i="5"/>
  <c r="P200" i="5"/>
  <c r="P201" i="5"/>
  <c r="P202" i="5"/>
  <c r="P203" i="5"/>
  <c r="P204" i="5"/>
  <c r="P205" i="5"/>
  <c r="P206" i="5"/>
  <c r="P207" i="5"/>
  <c r="P208" i="5"/>
  <c r="Q199" i="5"/>
  <c r="Q200" i="5"/>
  <c r="Q201" i="5"/>
  <c r="Q202" i="5"/>
  <c r="Q203" i="5"/>
  <c r="Q204" i="5"/>
  <c r="Q205" i="5"/>
  <c r="Q206" i="5"/>
  <c r="Q207" i="5"/>
  <c r="Q208" i="5"/>
  <c r="R199" i="5"/>
  <c r="R200" i="5"/>
  <c r="R201" i="5"/>
  <c r="R202" i="5"/>
  <c r="R203" i="5"/>
  <c r="R204" i="5"/>
  <c r="R205" i="5"/>
  <c r="R206" i="5"/>
  <c r="R207" i="5"/>
  <c r="R208" i="5"/>
  <c r="S199" i="5"/>
  <c r="S200" i="5"/>
  <c r="S201" i="5"/>
  <c r="S202" i="5"/>
  <c r="S203" i="5"/>
  <c r="S204" i="5"/>
  <c r="S205" i="5"/>
  <c r="S206" i="5"/>
  <c r="S207" i="5"/>
  <c r="S208" i="5"/>
  <c r="T199" i="5"/>
  <c r="T200" i="5"/>
  <c r="T201" i="5"/>
  <c r="T202" i="5"/>
  <c r="T203" i="5"/>
  <c r="T204" i="5"/>
  <c r="T205" i="5"/>
  <c r="T206" i="5"/>
  <c r="T207" i="5"/>
  <c r="T208" i="5"/>
  <c r="U199" i="5"/>
  <c r="U200" i="5"/>
  <c r="U201" i="5"/>
  <c r="U202" i="5"/>
  <c r="U203" i="5"/>
  <c r="U204" i="5"/>
  <c r="U205" i="5"/>
  <c r="U206" i="5"/>
  <c r="U207" i="5"/>
  <c r="U208" i="5"/>
  <c r="V199" i="5"/>
  <c r="V200" i="5"/>
  <c r="V201" i="5"/>
  <c r="V202" i="5"/>
  <c r="V203" i="5"/>
  <c r="V204" i="5"/>
  <c r="V205" i="5"/>
  <c r="V206" i="5"/>
  <c r="V207" i="5"/>
  <c r="V208" i="5"/>
  <c r="A149" i="6"/>
  <c r="G149" i="6"/>
  <c r="H149" i="6"/>
  <c r="I149" i="6"/>
  <c r="E300" i="2"/>
  <c r="BQ300" i="2" l="1"/>
  <c r="BO300" i="2"/>
  <c r="BM300" i="2"/>
  <c r="N285" i="2"/>
  <c r="N294" i="2"/>
  <c r="N275" i="2"/>
  <c r="N279" i="2"/>
  <c r="N284" i="2"/>
  <c r="N288" i="2"/>
  <c r="N305" i="2"/>
  <c r="N278" i="2"/>
  <c r="N293" i="2"/>
  <c r="N301" i="2"/>
  <c r="N277" i="2"/>
  <c r="N280" i="2"/>
  <c r="N281" i="2"/>
  <c r="N286" i="2"/>
  <c r="N287" i="2"/>
  <c r="N291" i="2"/>
  <c r="N292" i="2"/>
  <c r="N306" i="2"/>
  <c r="N276" i="2"/>
  <c r="N282" i="2"/>
  <c r="N297" i="2"/>
  <c r="N302" i="2"/>
  <c r="N304" i="2"/>
  <c r="N289" i="2"/>
  <c r="N295" i="2"/>
  <c r="N300" i="2"/>
  <c r="F84" i="6"/>
  <c r="F149" i="6"/>
  <c r="I9" i="1" l="1"/>
  <c r="E275" i="2"/>
  <c r="E289" i="2"/>
  <c r="C46" i="9"/>
  <c r="D46" i="9"/>
  <c r="E46" i="9"/>
  <c r="AH46" i="9"/>
  <c r="E291" i="2"/>
  <c r="BQ289" i="2" l="1"/>
  <c r="BO289" i="2"/>
  <c r="BM289" i="2"/>
  <c r="BM291" i="2"/>
  <c r="BQ291" i="2"/>
  <c r="BO291" i="2"/>
  <c r="BM282" i="2"/>
  <c r="BQ282" i="2"/>
  <c r="BO282" i="2"/>
  <c r="BL234" i="2"/>
  <c r="BP234" i="2"/>
  <c r="BN234" i="2"/>
  <c r="BH6" i="2"/>
  <c r="BD6" i="2"/>
  <c r="AZ6" i="2"/>
  <c r="AV6" i="2"/>
  <c r="AR6" i="2"/>
  <c r="AN6" i="2"/>
  <c r="AJ6" i="2"/>
  <c r="AB6" i="2"/>
  <c r="FR7" i="2"/>
  <c r="DQ7" i="2"/>
  <c r="FS7" i="2"/>
  <c r="E7" i="2"/>
  <c r="BO275" i="2" l="1"/>
  <c r="BQ275" i="2"/>
  <c r="BM275" i="2"/>
  <c r="N7" i="2"/>
  <c r="DR7" i="2"/>
  <c r="BQ6" i="2" l="1"/>
  <c r="BP6" i="2"/>
  <c r="BO6" i="2"/>
  <c r="BN6" i="2"/>
  <c r="BM6" i="2"/>
  <c r="BL6" i="2"/>
  <c r="E304" i="2"/>
  <c r="E302" i="2"/>
  <c r="FR294" i="2"/>
  <c r="DQ294" i="2"/>
  <c r="E294" i="2"/>
  <c r="FS274" i="2"/>
  <c r="FR274" i="2"/>
  <c r="DR274" i="2"/>
  <c r="DQ274" i="2"/>
  <c r="E274" i="2"/>
  <c r="FS273" i="2"/>
  <c r="FR273" i="2"/>
  <c r="DR273" i="2"/>
  <c r="DQ273" i="2"/>
  <c r="E273" i="2"/>
  <c r="FS272" i="2"/>
  <c r="FR272" i="2"/>
  <c r="DR272" i="2"/>
  <c r="DQ272" i="2"/>
  <c r="E272" i="2"/>
  <c r="FS271" i="2"/>
  <c r="FR271" i="2"/>
  <c r="DR271" i="2"/>
  <c r="DQ271" i="2"/>
  <c r="E271" i="2"/>
  <c r="FS270" i="2"/>
  <c r="FR270" i="2"/>
  <c r="DR270" i="2"/>
  <c r="DQ270" i="2"/>
  <c r="E270" i="2"/>
  <c r="FR269" i="2"/>
  <c r="DQ269" i="2"/>
  <c r="T269" i="2"/>
  <c r="E269" i="2"/>
  <c r="FR268" i="2"/>
  <c r="DQ268" i="2"/>
  <c r="E268" i="2"/>
  <c r="FR267" i="2"/>
  <c r="DQ267" i="2"/>
  <c r="E267" i="2"/>
  <c r="FR266" i="2"/>
  <c r="DQ266" i="2"/>
  <c r="E266" i="2"/>
  <c r="E35" i="2"/>
  <c r="E33" i="2"/>
  <c r="BO269" i="2" l="1"/>
  <c r="BM269" i="2"/>
  <c r="BQ269" i="2"/>
  <c r="BQ266" i="2"/>
  <c r="BO266" i="2"/>
  <c r="BM266" i="2"/>
  <c r="BQ304" i="2"/>
  <c r="BO304" i="2"/>
  <c r="BM304" i="2"/>
  <c r="BP269" i="2"/>
  <c r="BN269" i="2"/>
  <c r="BL269" i="2"/>
  <c r="BM268" i="2"/>
  <c r="BQ268" i="2"/>
  <c r="BO268" i="2"/>
  <c r="BQ267" i="2"/>
  <c r="BO267" i="2"/>
  <c r="BM267" i="2"/>
  <c r="BQ270" i="2"/>
  <c r="BP270" i="2"/>
  <c r="BO270" i="2"/>
  <c r="BN270" i="2"/>
  <c r="BM270" i="2"/>
  <c r="BL270" i="2"/>
  <c r="DR268" i="2"/>
  <c r="FS267" i="2"/>
  <c r="FS269" i="2"/>
  <c r="DR266" i="2"/>
  <c r="FS304" i="2"/>
  <c r="DR302" i="2"/>
  <c r="N33" i="2"/>
  <c r="N35" i="2"/>
  <c r="FS302" i="2"/>
  <c r="DR304" i="2"/>
  <c r="N267" i="2"/>
  <c r="N273" i="2"/>
  <c r="N274" i="2"/>
  <c r="N272" i="2"/>
  <c r="DR267" i="2"/>
  <c r="N271" i="2"/>
  <c r="N266" i="2"/>
  <c r="N268" i="2"/>
  <c r="FS266" i="2"/>
  <c r="FS268" i="2"/>
  <c r="DR269" i="2"/>
  <c r="T197" i="2"/>
  <c r="T198" i="2"/>
  <c r="BM305" i="2" l="1"/>
  <c r="BQ305" i="2"/>
  <c r="BO305" i="2"/>
  <c r="BQ294" i="2"/>
  <c r="BM294" i="2"/>
  <c r="BO294" i="2"/>
  <c r="BO12" i="2"/>
  <c r="BM12" i="2"/>
  <c r="BQ12" i="2"/>
  <c r="BO234" i="2"/>
  <c r="BQ234" i="2"/>
  <c r="BM234" i="2"/>
  <c r="BM11" i="2"/>
  <c r="BO11" i="2"/>
  <c r="BQ11" i="2"/>
  <c r="BM198" i="2"/>
  <c r="BQ198" i="2"/>
  <c r="BO198" i="2"/>
  <c r="BO197" i="2"/>
  <c r="BQ197" i="2"/>
  <c r="BM197" i="2"/>
  <c r="BN198" i="2"/>
  <c r="BL198" i="2"/>
  <c r="BP198" i="2"/>
  <c r="BL197" i="2"/>
  <c r="BP197" i="2"/>
  <c r="BN197" i="2"/>
  <c r="N270" i="2"/>
  <c r="N269" i="2"/>
  <c r="FS294" i="2"/>
  <c r="DR294" i="2"/>
  <c r="T38" i="2"/>
  <c r="E159" i="2"/>
  <c r="T126" i="2"/>
  <c r="C98" i="9"/>
  <c r="D98" i="9"/>
  <c r="E98" i="9"/>
  <c r="AH98" i="9"/>
  <c r="A193" i="5"/>
  <c r="A194" i="5"/>
  <c r="A195" i="5"/>
  <c r="A196" i="5"/>
  <c r="A197" i="5"/>
  <c r="A198" i="5"/>
  <c r="B193" i="5"/>
  <c r="B194" i="5"/>
  <c r="B195" i="5"/>
  <c r="B196" i="5"/>
  <c r="B197" i="5"/>
  <c r="B198" i="5"/>
  <c r="C193" i="5"/>
  <c r="C194" i="5"/>
  <c r="C195" i="5"/>
  <c r="C196" i="5"/>
  <c r="C197" i="5"/>
  <c r="C198" i="5"/>
  <c r="I193" i="5"/>
  <c r="I194" i="5"/>
  <c r="I195" i="5"/>
  <c r="I196" i="5"/>
  <c r="I197" i="5"/>
  <c r="I198" i="5"/>
  <c r="J193" i="5"/>
  <c r="J194" i="5"/>
  <c r="J195" i="5"/>
  <c r="J196" i="5"/>
  <c r="J197" i="5"/>
  <c r="J198" i="5"/>
  <c r="L193" i="5"/>
  <c r="L194" i="5"/>
  <c r="L195" i="5"/>
  <c r="L196" i="5"/>
  <c r="L197" i="5"/>
  <c r="L198" i="5"/>
  <c r="M193" i="5"/>
  <c r="M194" i="5"/>
  <c r="M195" i="5"/>
  <c r="M196" i="5"/>
  <c r="M197" i="5"/>
  <c r="M198" i="5"/>
  <c r="P193" i="5"/>
  <c r="P194" i="5"/>
  <c r="P195" i="5"/>
  <c r="P196" i="5"/>
  <c r="P197" i="5"/>
  <c r="P198" i="5"/>
  <c r="Q193" i="5"/>
  <c r="Q194" i="5"/>
  <c r="Q195" i="5"/>
  <c r="Q196" i="5"/>
  <c r="Q197" i="5"/>
  <c r="Q198" i="5"/>
  <c r="R193" i="5"/>
  <c r="R194" i="5"/>
  <c r="R195" i="5"/>
  <c r="R196" i="5"/>
  <c r="R197" i="5"/>
  <c r="R198" i="5"/>
  <c r="S193" i="5"/>
  <c r="S194" i="5"/>
  <c r="S195" i="5"/>
  <c r="S196" i="5"/>
  <c r="S197" i="5"/>
  <c r="S198" i="5"/>
  <c r="T193" i="5"/>
  <c r="T194" i="5"/>
  <c r="T195" i="5"/>
  <c r="T196" i="5"/>
  <c r="T197" i="5"/>
  <c r="T198" i="5"/>
  <c r="V193" i="5"/>
  <c r="V194" i="5"/>
  <c r="V195" i="5"/>
  <c r="V196" i="5"/>
  <c r="V197" i="5"/>
  <c r="V198" i="5"/>
  <c r="W193" i="5"/>
  <c r="W194" i="5"/>
  <c r="W195" i="5"/>
  <c r="W196" i="5"/>
  <c r="W197" i="5"/>
  <c r="W198" i="5"/>
  <c r="A148" i="6"/>
  <c r="G148" i="6"/>
  <c r="H148" i="6"/>
  <c r="I148" i="6"/>
  <c r="A146" i="6"/>
  <c r="A147" i="6"/>
  <c r="G146" i="6"/>
  <c r="G147" i="6"/>
  <c r="H146" i="6"/>
  <c r="H147" i="6"/>
  <c r="I146" i="6"/>
  <c r="I147" i="6"/>
  <c r="BP38" i="2" l="1"/>
  <c r="N38" i="2" s="1"/>
  <c r="BL38" i="2"/>
  <c r="BN38" i="2"/>
  <c r="BQ38" i="2"/>
  <c r="BO38" i="2"/>
  <c r="BM38" i="2"/>
  <c r="BQ238" i="2"/>
  <c r="BO238" i="2"/>
  <c r="BM238" i="2"/>
  <c r="BQ54" i="2"/>
  <c r="BO54" i="2"/>
  <c r="BM54" i="2"/>
  <c r="BQ13" i="2"/>
  <c r="BO13" i="2"/>
  <c r="BM13" i="2"/>
  <c r="F148" i="6"/>
  <c r="F146" i="6"/>
  <c r="F147" i="6"/>
  <c r="BQ147" i="2" l="1"/>
  <c r="BM147" i="2"/>
  <c r="BO147" i="2"/>
  <c r="N147" i="2"/>
  <c r="E147" i="2"/>
  <c r="E145" i="2"/>
  <c r="BQ145" i="2" l="1"/>
  <c r="BO145" i="2"/>
  <c r="BM145" i="2"/>
  <c r="Q65" i="2"/>
  <c r="Q64" i="2"/>
  <c r="Q63" i="2"/>
  <c r="Q62" i="2"/>
  <c r="Q61" i="2"/>
  <c r="Q60" i="2"/>
  <c r="Q59" i="2"/>
  <c r="Q58" i="2"/>
  <c r="Q57" i="2"/>
  <c r="Q56" i="2"/>
  <c r="Q55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8" i="2"/>
  <c r="Q157" i="2"/>
  <c r="Q156" i="2"/>
  <c r="Q155" i="2"/>
  <c r="Q154" i="2"/>
  <c r="Q153" i="2"/>
  <c r="Q152" i="2"/>
  <c r="Q151" i="2"/>
  <c r="Q150" i="2"/>
  <c r="Q149" i="2"/>
  <c r="N145" i="2" l="1"/>
  <c r="E97" i="2"/>
  <c r="E96" i="2"/>
  <c r="A191" i="5"/>
  <c r="A192" i="5"/>
  <c r="B191" i="5"/>
  <c r="B192" i="5"/>
  <c r="C191" i="5"/>
  <c r="C192" i="5"/>
  <c r="I191" i="5"/>
  <c r="I192" i="5"/>
  <c r="J191" i="5"/>
  <c r="J192" i="5"/>
  <c r="L191" i="5"/>
  <c r="L192" i="5"/>
  <c r="M191" i="5"/>
  <c r="M192" i="5"/>
  <c r="P191" i="5"/>
  <c r="P192" i="5"/>
  <c r="Q191" i="5"/>
  <c r="Q192" i="5"/>
  <c r="R191" i="5"/>
  <c r="R192" i="5"/>
  <c r="T191" i="5"/>
  <c r="T192" i="5"/>
  <c r="U191" i="5"/>
  <c r="U192" i="5"/>
  <c r="V191" i="5"/>
  <c r="V192" i="5"/>
  <c r="W191" i="5"/>
  <c r="W192" i="5"/>
  <c r="C138" i="9"/>
  <c r="D138" i="9"/>
  <c r="E138" i="9"/>
  <c r="AH138" i="9"/>
  <c r="A145" i="6"/>
  <c r="G145" i="6"/>
  <c r="H145" i="6"/>
  <c r="I145" i="6"/>
  <c r="N81" i="2" l="1"/>
  <c r="F145" i="6"/>
  <c r="BQ81" i="2" l="1"/>
  <c r="BM81" i="2"/>
  <c r="BO81" i="2"/>
  <c r="E81" i="2"/>
  <c r="FS351" i="2" l="1"/>
  <c r="FS350" i="2"/>
  <c r="FS349" i="2"/>
  <c r="FS348" i="2"/>
  <c r="FS347" i="2"/>
  <c r="FS346" i="2"/>
  <c r="FS345" i="2"/>
  <c r="FS344" i="2"/>
  <c r="FS343" i="2"/>
  <c r="FS342" i="2"/>
  <c r="FS341" i="2"/>
  <c r="FS340" i="2"/>
  <c r="FS339" i="2"/>
  <c r="FS338" i="2"/>
  <c r="FS337" i="2"/>
  <c r="FS336" i="2"/>
  <c r="FS335" i="2"/>
  <c r="FS334" i="2"/>
  <c r="FS333" i="2"/>
  <c r="FS332" i="2"/>
  <c r="FS331" i="2"/>
  <c r="FS330" i="2"/>
  <c r="FS329" i="2"/>
  <c r="FS328" i="2"/>
  <c r="FS327" i="2"/>
  <c r="FS326" i="2"/>
  <c r="FS325" i="2"/>
  <c r="FS324" i="2"/>
  <c r="FS323" i="2"/>
  <c r="FS322" i="2"/>
  <c r="FS321" i="2"/>
  <c r="FS320" i="2"/>
  <c r="FS319" i="2"/>
  <c r="FS318" i="2"/>
  <c r="FS317" i="2"/>
  <c r="FS316" i="2"/>
  <c r="FS314" i="2"/>
  <c r="FS313" i="2"/>
  <c r="FS312" i="2"/>
  <c r="FS311" i="2"/>
  <c r="FS310" i="2"/>
  <c r="FS309" i="2"/>
  <c r="FS308" i="2"/>
  <c r="FS305" i="2"/>
  <c r="FS282" i="2"/>
  <c r="FS279" i="2"/>
  <c r="FS265" i="2"/>
  <c r="FS264" i="2"/>
  <c r="FS263" i="2"/>
  <c r="FS262" i="2"/>
  <c r="FS258" i="2"/>
  <c r="FS257" i="2"/>
  <c r="FS256" i="2"/>
  <c r="FS255" i="2"/>
  <c r="FS254" i="2"/>
  <c r="FS253" i="2"/>
  <c r="FS252" i="2"/>
  <c r="FS251" i="2"/>
  <c r="FS250" i="2"/>
  <c r="FS249" i="2"/>
  <c r="FS248" i="2"/>
  <c r="FS247" i="2"/>
  <c r="FS246" i="2"/>
  <c r="FS245" i="2"/>
  <c r="FS244" i="2"/>
  <c r="FS243" i="2"/>
  <c r="FS242" i="2"/>
  <c r="FS241" i="2"/>
  <c r="FS240" i="2"/>
  <c r="FS239" i="2"/>
  <c r="FS238" i="2"/>
  <c r="FS234" i="2"/>
  <c r="FS198" i="2"/>
  <c r="FS197" i="2"/>
  <c r="FS194" i="2"/>
  <c r="FS193" i="2"/>
  <c r="FS192" i="2"/>
  <c r="FS191" i="2"/>
  <c r="FS190" i="2"/>
  <c r="FS189" i="2"/>
  <c r="FS188" i="2"/>
  <c r="FS187" i="2"/>
  <c r="FS186" i="2"/>
  <c r="FS185" i="2"/>
  <c r="FS184" i="2"/>
  <c r="FS183" i="2"/>
  <c r="FS182" i="2"/>
  <c r="FS181" i="2"/>
  <c r="FS180" i="2"/>
  <c r="FS174" i="2"/>
  <c r="FS173" i="2"/>
  <c r="FS172" i="2"/>
  <c r="FS171" i="2"/>
  <c r="FS170" i="2"/>
  <c r="FS169" i="2"/>
  <c r="FS168" i="2"/>
  <c r="FS167" i="2"/>
  <c r="FS166" i="2"/>
  <c r="FS165" i="2"/>
  <c r="FS164" i="2"/>
  <c r="FS163" i="2"/>
  <c r="FS162" i="2"/>
  <c r="FS161" i="2"/>
  <c r="FS160" i="2"/>
  <c r="FS158" i="2"/>
  <c r="FS157" i="2"/>
  <c r="FS156" i="2"/>
  <c r="FS155" i="2"/>
  <c r="FS154" i="2"/>
  <c r="FS153" i="2"/>
  <c r="FS152" i="2"/>
  <c r="FS151" i="2"/>
  <c r="FS150" i="2"/>
  <c r="FS149" i="2"/>
  <c r="FS142" i="2"/>
  <c r="FS110" i="2"/>
  <c r="FS105" i="2"/>
  <c r="FS104" i="2"/>
  <c r="FS99" i="2"/>
  <c r="FS98" i="2"/>
  <c r="FS95" i="2"/>
  <c r="FS94" i="2"/>
  <c r="FS93" i="2"/>
  <c r="FS92" i="2"/>
  <c r="FS91" i="2"/>
  <c r="FS90" i="2"/>
  <c r="FS89" i="2"/>
  <c r="FS88" i="2"/>
  <c r="FS87" i="2"/>
  <c r="FS86" i="2"/>
  <c r="FS85" i="2"/>
  <c r="FS84" i="2"/>
  <c r="FS83" i="2"/>
  <c r="FS82" i="2"/>
  <c r="FS67" i="2"/>
  <c r="FS66" i="2"/>
  <c r="FS65" i="2"/>
  <c r="FS64" i="2"/>
  <c r="FS63" i="2"/>
  <c r="FS62" i="2"/>
  <c r="FS61" i="2"/>
  <c r="FS60" i="2"/>
  <c r="FS59" i="2"/>
  <c r="FS58" i="2"/>
  <c r="FS57" i="2"/>
  <c r="FS56" i="2"/>
  <c r="FS55" i="2"/>
  <c r="FS54" i="2"/>
  <c r="FS47" i="2"/>
  <c r="FS46" i="2"/>
  <c r="FS28" i="2"/>
  <c r="FS27" i="2"/>
  <c r="FS26" i="2"/>
  <c r="FS25" i="2"/>
  <c r="FS24" i="2"/>
  <c r="FS23" i="2"/>
  <c r="FS22" i="2"/>
  <c r="FS21" i="2"/>
  <c r="FS20" i="2"/>
  <c r="FS19" i="2"/>
  <c r="FS18" i="2"/>
  <c r="FS17" i="2"/>
  <c r="FS16" i="2"/>
  <c r="FS15" i="2"/>
  <c r="FS14" i="2"/>
  <c r="FS13" i="2"/>
  <c r="FS12" i="2"/>
  <c r="FS11" i="2"/>
  <c r="DR351" i="2"/>
  <c r="DR350" i="2"/>
  <c r="DR349" i="2"/>
  <c r="DR348" i="2"/>
  <c r="DR347" i="2"/>
  <c r="DR346" i="2"/>
  <c r="DR345" i="2"/>
  <c r="DR344" i="2"/>
  <c r="DR343" i="2"/>
  <c r="DR342" i="2"/>
  <c r="DR341" i="2"/>
  <c r="DR340" i="2"/>
  <c r="DR339" i="2"/>
  <c r="DR338" i="2"/>
  <c r="DR337" i="2"/>
  <c r="DR336" i="2"/>
  <c r="DR335" i="2"/>
  <c r="DR334" i="2"/>
  <c r="DR333" i="2"/>
  <c r="DR332" i="2"/>
  <c r="DR331" i="2"/>
  <c r="DR330" i="2"/>
  <c r="DR329" i="2"/>
  <c r="DR328" i="2"/>
  <c r="DR327" i="2"/>
  <c r="DR326" i="2"/>
  <c r="DR325" i="2"/>
  <c r="DR324" i="2"/>
  <c r="DR323" i="2"/>
  <c r="DR322" i="2"/>
  <c r="DR321" i="2"/>
  <c r="DR320" i="2"/>
  <c r="DR319" i="2"/>
  <c r="DR318" i="2"/>
  <c r="DR317" i="2"/>
  <c r="DR316" i="2"/>
  <c r="DR314" i="2"/>
  <c r="DR313" i="2"/>
  <c r="DR312" i="2"/>
  <c r="DR311" i="2"/>
  <c r="DR310" i="2"/>
  <c r="DR309" i="2"/>
  <c r="DR308" i="2"/>
  <c r="DR305" i="2"/>
  <c r="DR282" i="2"/>
  <c r="DR279" i="2"/>
  <c r="DR265" i="2"/>
  <c r="DR264" i="2"/>
  <c r="DR263" i="2"/>
  <c r="DR262" i="2"/>
  <c r="DR258" i="2"/>
  <c r="DR257" i="2"/>
  <c r="DR256" i="2"/>
  <c r="DR255" i="2"/>
  <c r="DR254" i="2"/>
  <c r="DR253" i="2"/>
  <c r="DR252" i="2"/>
  <c r="DR251" i="2"/>
  <c r="DR250" i="2"/>
  <c r="DR249" i="2"/>
  <c r="DR248" i="2"/>
  <c r="DR247" i="2"/>
  <c r="DR246" i="2"/>
  <c r="DR245" i="2"/>
  <c r="DR244" i="2"/>
  <c r="DR243" i="2"/>
  <c r="DR242" i="2"/>
  <c r="DR241" i="2"/>
  <c r="DR240" i="2"/>
  <c r="DR239" i="2"/>
  <c r="DR238" i="2"/>
  <c r="DR234" i="2"/>
  <c r="DR198" i="2"/>
  <c r="DR197" i="2"/>
  <c r="DR194" i="2"/>
  <c r="DR193" i="2"/>
  <c r="DR192" i="2"/>
  <c r="DR191" i="2"/>
  <c r="DR190" i="2"/>
  <c r="DR189" i="2"/>
  <c r="DR188" i="2"/>
  <c r="DR187" i="2"/>
  <c r="DR186" i="2"/>
  <c r="DR185" i="2"/>
  <c r="DR184" i="2"/>
  <c r="DR183" i="2"/>
  <c r="DR182" i="2"/>
  <c r="DR181" i="2"/>
  <c r="DR180" i="2"/>
  <c r="DR174" i="2"/>
  <c r="DR173" i="2"/>
  <c r="DR172" i="2"/>
  <c r="DR171" i="2"/>
  <c r="DR170" i="2"/>
  <c r="DR169" i="2"/>
  <c r="DR168" i="2"/>
  <c r="DR167" i="2"/>
  <c r="DR166" i="2"/>
  <c r="DR165" i="2"/>
  <c r="DR164" i="2"/>
  <c r="DR163" i="2"/>
  <c r="DR162" i="2"/>
  <c r="DR161" i="2"/>
  <c r="DR160" i="2"/>
  <c r="DR158" i="2"/>
  <c r="DR157" i="2"/>
  <c r="DR156" i="2"/>
  <c r="DR155" i="2"/>
  <c r="DR154" i="2"/>
  <c r="DR153" i="2"/>
  <c r="DR152" i="2"/>
  <c r="DR151" i="2"/>
  <c r="DR150" i="2"/>
  <c r="DR149" i="2"/>
  <c r="DR142" i="2"/>
  <c r="DR110" i="2"/>
  <c r="DR105" i="2"/>
  <c r="DR104" i="2"/>
  <c r="DR99" i="2"/>
  <c r="DR98" i="2"/>
  <c r="DR95" i="2"/>
  <c r="DR94" i="2"/>
  <c r="DR93" i="2"/>
  <c r="DR92" i="2"/>
  <c r="DR91" i="2"/>
  <c r="DR90" i="2"/>
  <c r="DR89" i="2"/>
  <c r="DR88" i="2"/>
  <c r="DR87" i="2"/>
  <c r="DR86" i="2"/>
  <c r="DR85" i="2"/>
  <c r="DR84" i="2"/>
  <c r="DR83" i="2"/>
  <c r="DR82" i="2"/>
  <c r="DR67" i="2"/>
  <c r="DR66" i="2"/>
  <c r="DR65" i="2"/>
  <c r="DR64" i="2"/>
  <c r="DR63" i="2"/>
  <c r="DR62" i="2"/>
  <c r="DR61" i="2"/>
  <c r="DR60" i="2"/>
  <c r="DR59" i="2"/>
  <c r="DR58" i="2"/>
  <c r="DR57" i="2"/>
  <c r="DR56" i="2"/>
  <c r="DR55" i="2"/>
  <c r="DR54" i="2"/>
  <c r="DR47" i="2"/>
  <c r="DR46" i="2"/>
  <c r="DR28" i="2"/>
  <c r="DR27" i="2"/>
  <c r="DR26" i="2"/>
  <c r="DR25" i="2"/>
  <c r="DR24" i="2"/>
  <c r="DR23" i="2"/>
  <c r="DR22" i="2"/>
  <c r="DR21" i="2"/>
  <c r="DR20" i="2"/>
  <c r="DR19" i="2"/>
  <c r="DR18" i="2"/>
  <c r="DR17" i="2"/>
  <c r="DR16" i="2"/>
  <c r="DR15" i="2"/>
  <c r="DR14" i="2"/>
  <c r="DR13" i="2"/>
  <c r="DR12" i="2"/>
  <c r="DR11" i="2"/>
  <c r="T263" i="2"/>
  <c r="T262" i="2"/>
  <c r="T258" i="2"/>
  <c r="T257" i="2"/>
  <c r="T256" i="2"/>
  <c r="T255" i="2"/>
  <c r="T254" i="2"/>
  <c r="T253" i="2"/>
  <c r="T252" i="2"/>
  <c r="T251" i="2"/>
  <c r="T250" i="2"/>
  <c r="T249" i="2"/>
  <c r="T248" i="2"/>
  <c r="T247" i="2"/>
  <c r="T246" i="2"/>
  <c r="T245" i="2"/>
  <c r="T244" i="2"/>
  <c r="T243" i="2"/>
  <c r="T242" i="2"/>
  <c r="T241" i="2"/>
  <c r="T240" i="2"/>
  <c r="T239" i="2"/>
  <c r="BO239" i="2" l="1"/>
  <c r="BP239" i="2"/>
  <c r="BN239" i="2"/>
  <c r="BQ239" i="2"/>
  <c r="BM239" i="2"/>
  <c r="BL239" i="2"/>
  <c r="BQ240" i="2"/>
  <c r="BM240" i="2"/>
  <c r="BP240" i="2"/>
  <c r="BL240" i="2"/>
  <c r="BO240" i="2"/>
  <c r="BN240" i="2"/>
  <c r="BO241" i="2"/>
  <c r="BP241" i="2"/>
  <c r="N241" i="2" s="1"/>
  <c r="BN241" i="2"/>
  <c r="BL241" i="2"/>
  <c r="BQ241" i="2"/>
  <c r="BM241" i="2"/>
  <c r="BQ242" i="2"/>
  <c r="BM242" i="2"/>
  <c r="BP242" i="2"/>
  <c r="N242" i="2" s="1"/>
  <c r="BL242" i="2"/>
  <c r="BN242" i="2"/>
  <c r="BO242" i="2"/>
  <c r="BO243" i="2"/>
  <c r="BP243" i="2"/>
  <c r="N243" i="2" s="1"/>
  <c r="BN243" i="2"/>
  <c r="BQ243" i="2"/>
  <c r="BM243" i="2"/>
  <c r="BL243" i="2"/>
  <c r="BQ244" i="2"/>
  <c r="BM244" i="2"/>
  <c r="BP244" i="2"/>
  <c r="N244" i="2" s="1"/>
  <c r="BL244" i="2"/>
  <c r="BO244" i="2"/>
  <c r="BN244" i="2"/>
  <c r="BO245" i="2"/>
  <c r="BP245" i="2"/>
  <c r="N245" i="2" s="1"/>
  <c r="BN245" i="2"/>
  <c r="BL245" i="2"/>
  <c r="BQ245" i="2"/>
  <c r="BM245" i="2"/>
  <c r="BQ246" i="2"/>
  <c r="BM246" i="2"/>
  <c r="BP246" i="2"/>
  <c r="N246" i="2" s="1"/>
  <c r="BL246" i="2"/>
  <c r="BN246" i="2"/>
  <c r="BO246" i="2"/>
  <c r="BO247" i="2"/>
  <c r="BP247" i="2"/>
  <c r="N247" i="2" s="1"/>
  <c r="BN247" i="2"/>
  <c r="BQ247" i="2"/>
  <c r="BM247" i="2"/>
  <c r="BL247" i="2"/>
  <c r="BQ248" i="2"/>
  <c r="BM248" i="2"/>
  <c r="BP248" i="2"/>
  <c r="BL248" i="2"/>
  <c r="BO248" i="2"/>
  <c r="BN248" i="2"/>
  <c r="BO249" i="2"/>
  <c r="BP249" i="2"/>
  <c r="BN249" i="2"/>
  <c r="BL249" i="2"/>
  <c r="BQ249" i="2"/>
  <c r="BM249" i="2"/>
  <c r="BQ250" i="2"/>
  <c r="BM250" i="2"/>
  <c r="BP250" i="2"/>
  <c r="N250" i="2" s="1"/>
  <c r="BL250" i="2"/>
  <c r="BN250" i="2"/>
  <c r="BO250" i="2"/>
  <c r="BO251" i="2"/>
  <c r="BP251" i="2"/>
  <c r="N251" i="2" s="1"/>
  <c r="BN251" i="2"/>
  <c r="BQ251" i="2"/>
  <c r="BM251" i="2"/>
  <c r="BL251" i="2"/>
  <c r="BQ252" i="2"/>
  <c r="BM252" i="2"/>
  <c r="BP252" i="2"/>
  <c r="N252" i="2" s="1"/>
  <c r="BL252" i="2"/>
  <c r="BO252" i="2"/>
  <c r="BN252" i="2"/>
  <c r="BO253" i="2"/>
  <c r="BP253" i="2"/>
  <c r="N253" i="2" s="1"/>
  <c r="BN253" i="2"/>
  <c r="BL253" i="2"/>
  <c r="BQ253" i="2"/>
  <c r="BM253" i="2"/>
  <c r="BQ254" i="2"/>
  <c r="BM254" i="2"/>
  <c r="BP254" i="2"/>
  <c r="N254" i="2" s="1"/>
  <c r="BL254" i="2"/>
  <c r="BO254" i="2"/>
  <c r="BN254" i="2"/>
  <c r="BO255" i="2"/>
  <c r="BP255" i="2"/>
  <c r="N255" i="2" s="1"/>
  <c r="BN255" i="2"/>
  <c r="BL255" i="2"/>
  <c r="BQ255" i="2"/>
  <c r="BM255" i="2"/>
  <c r="BQ256" i="2"/>
  <c r="BM256" i="2"/>
  <c r="BP256" i="2"/>
  <c r="N256" i="2" s="1"/>
  <c r="BL256" i="2"/>
  <c r="BO256" i="2"/>
  <c r="BN256" i="2"/>
  <c r="BO257" i="2"/>
  <c r="BP257" i="2"/>
  <c r="N257" i="2" s="1"/>
  <c r="BN257" i="2"/>
  <c r="BL257" i="2"/>
  <c r="BQ257" i="2"/>
  <c r="BM257" i="2"/>
  <c r="BQ258" i="2"/>
  <c r="BM258" i="2"/>
  <c r="BP258" i="2"/>
  <c r="N258" i="2" s="1"/>
  <c r="BL258" i="2"/>
  <c r="BO258" i="2"/>
  <c r="BN258" i="2"/>
  <c r="BQ262" i="2"/>
  <c r="BM262" i="2"/>
  <c r="BP262" i="2"/>
  <c r="BL262" i="2"/>
  <c r="BO262" i="2"/>
  <c r="BN262" i="2"/>
  <c r="BO263" i="2"/>
  <c r="BP263" i="2"/>
  <c r="BN263" i="2"/>
  <c r="BL263" i="2"/>
  <c r="BQ263" i="2"/>
  <c r="BM263" i="2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8" i="5"/>
  <c r="B89" i="5"/>
  <c r="B90" i="5"/>
  <c r="B91" i="5"/>
  <c r="B92" i="5"/>
  <c r="B93" i="5"/>
  <c r="B94" i="5"/>
  <c r="B95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129" i="5"/>
  <c r="B130" i="5"/>
  <c r="B131" i="5"/>
  <c r="B132" i="5"/>
  <c r="B133" i="5"/>
  <c r="B134" i="5"/>
  <c r="B135" i="5"/>
  <c r="B136" i="5"/>
  <c r="B137" i="5"/>
  <c r="B138" i="5"/>
  <c r="B126" i="5"/>
  <c r="B127" i="5"/>
  <c r="B128" i="5"/>
  <c r="B81" i="5"/>
  <c r="B82" i="5"/>
  <c r="B83" i="5"/>
  <c r="B84" i="5"/>
  <c r="B85" i="5"/>
  <c r="B86" i="5"/>
  <c r="B87" i="5"/>
  <c r="B120" i="5"/>
  <c r="B121" i="5"/>
  <c r="B122" i="5"/>
  <c r="B123" i="5"/>
  <c r="B124" i="5"/>
  <c r="B125" i="5"/>
  <c r="B96" i="5"/>
  <c r="B97" i="5"/>
  <c r="B98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H2" i="9"/>
  <c r="G2" i="9"/>
  <c r="F2" i="9"/>
  <c r="Q249" i="5"/>
  <c r="P249" i="5"/>
  <c r="V248" i="5"/>
  <c r="U248" i="5"/>
  <c r="T248" i="5"/>
  <c r="S248" i="5"/>
  <c r="R248" i="5"/>
  <c r="Q248" i="5"/>
  <c r="P248" i="5"/>
  <c r="V247" i="5"/>
  <c r="U247" i="5"/>
  <c r="T247" i="5"/>
  <c r="S247" i="5"/>
  <c r="R247" i="5"/>
  <c r="Q247" i="5"/>
  <c r="P247" i="5"/>
  <c r="V246" i="5"/>
  <c r="U246" i="5"/>
  <c r="T246" i="5"/>
  <c r="S246" i="5"/>
  <c r="R246" i="5"/>
  <c r="Q246" i="5"/>
  <c r="P246" i="5"/>
  <c r="V245" i="5"/>
  <c r="U245" i="5"/>
  <c r="T245" i="5"/>
  <c r="S245" i="5"/>
  <c r="R245" i="5"/>
  <c r="Q245" i="5"/>
  <c r="P245" i="5"/>
  <c r="V244" i="5"/>
  <c r="U244" i="5"/>
  <c r="T244" i="5"/>
  <c r="S244" i="5"/>
  <c r="R244" i="5"/>
  <c r="Q244" i="5"/>
  <c r="P244" i="5"/>
  <c r="W243" i="5"/>
  <c r="V243" i="5"/>
  <c r="U243" i="5"/>
  <c r="T243" i="5"/>
  <c r="R243" i="5"/>
  <c r="Q243" i="5"/>
  <c r="P243" i="5"/>
  <c r="W242" i="5"/>
  <c r="V242" i="5"/>
  <c r="U242" i="5"/>
  <c r="T242" i="5"/>
  <c r="R242" i="5"/>
  <c r="Q242" i="5"/>
  <c r="P242" i="5"/>
  <c r="W241" i="5"/>
  <c r="V241" i="5"/>
  <c r="U241" i="5"/>
  <c r="T241" i="5"/>
  <c r="R241" i="5"/>
  <c r="Q241" i="5"/>
  <c r="P241" i="5"/>
  <c r="W240" i="5"/>
  <c r="V240" i="5"/>
  <c r="U240" i="5"/>
  <c r="T240" i="5"/>
  <c r="R240" i="5"/>
  <c r="Q240" i="5"/>
  <c r="P240" i="5"/>
  <c r="W239" i="5"/>
  <c r="V239" i="5"/>
  <c r="U239" i="5"/>
  <c r="T239" i="5"/>
  <c r="R239" i="5"/>
  <c r="Q239" i="5"/>
  <c r="P239" i="5"/>
  <c r="W238" i="5"/>
  <c r="V238" i="5"/>
  <c r="U238" i="5"/>
  <c r="T238" i="5"/>
  <c r="R238" i="5"/>
  <c r="Q238" i="5"/>
  <c r="P238" i="5"/>
  <c r="W237" i="5"/>
  <c r="V237" i="5"/>
  <c r="U237" i="5"/>
  <c r="T237" i="5"/>
  <c r="R237" i="5"/>
  <c r="Q237" i="5"/>
  <c r="P237" i="5"/>
  <c r="T98" i="5"/>
  <c r="S98" i="5"/>
  <c r="R98" i="5"/>
  <c r="Q98" i="5"/>
  <c r="P98" i="5"/>
  <c r="T97" i="5"/>
  <c r="S97" i="5"/>
  <c r="R97" i="5"/>
  <c r="Q97" i="5"/>
  <c r="P97" i="5"/>
  <c r="T96" i="5"/>
  <c r="S96" i="5"/>
  <c r="R96" i="5"/>
  <c r="Q96" i="5"/>
  <c r="P96" i="5"/>
  <c r="T125" i="5"/>
  <c r="S125" i="5"/>
  <c r="R125" i="5"/>
  <c r="Q125" i="5"/>
  <c r="P125" i="5"/>
  <c r="T124" i="5"/>
  <c r="S124" i="5"/>
  <c r="R124" i="5"/>
  <c r="Q124" i="5"/>
  <c r="P124" i="5"/>
  <c r="T123" i="5"/>
  <c r="S123" i="5"/>
  <c r="R123" i="5"/>
  <c r="Q123" i="5"/>
  <c r="P123" i="5"/>
  <c r="T122" i="5"/>
  <c r="S122" i="5"/>
  <c r="R122" i="5"/>
  <c r="Q122" i="5"/>
  <c r="P122" i="5"/>
  <c r="T121" i="5"/>
  <c r="S121" i="5"/>
  <c r="R121" i="5"/>
  <c r="Q121" i="5"/>
  <c r="P121" i="5"/>
  <c r="T120" i="5"/>
  <c r="S120" i="5"/>
  <c r="R120" i="5"/>
  <c r="Q120" i="5"/>
  <c r="P120" i="5"/>
  <c r="W87" i="5"/>
  <c r="V87" i="5"/>
  <c r="T87" i="5"/>
  <c r="S87" i="5"/>
  <c r="R87" i="5"/>
  <c r="Q87" i="5"/>
  <c r="P87" i="5"/>
  <c r="W86" i="5"/>
  <c r="V86" i="5"/>
  <c r="T86" i="5"/>
  <c r="S86" i="5"/>
  <c r="R86" i="5"/>
  <c r="Q86" i="5"/>
  <c r="P86" i="5"/>
  <c r="W85" i="5"/>
  <c r="V85" i="5"/>
  <c r="T85" i="5"/>
  <c r="S85" i="5"/>
  <c r="R85" i="5"/>
  <c r="Q85" i="5"/>
  <c r="P85" i="5"/>
  <c r="W84" i="5"/>
  <c r="V84" i="5"/>
  <c r="T84" i="5"/>
  <c r="S84" i="5"/>
  <c r="R84" i="5"/>
  <c r="Q84" i="5"/>
  <c r="P84" i="5"/>
  <c r="W83" i="5"/>
  <c r="V83" i="5"/>
  <c r="T83" i="5"/>
  <c r="S83" i="5"/>
  <c r="R83" i="5"/>
  <c r="Q83" i="5"/>
  <c r="P83" i="5"/>
  <c r="W82" i="5"/>
  <c r="V82" i="5"/>
  <c r="T82" i="5"/>
  <c r="S82" i="5"/>
  <c r="R82" i="5"/>
  <c r="Q82" i="5"/>
  <c r="P82" i="5"/>
  <c r="W81" i="5"/>
  <c r="V81" i="5"/>
  <c r="T81" i="5"/>
  <c r="S81" i="5"/>
  <c r="R81" i="5"/>
  <c r="Q81" i="5"/>
  <c r="P81" i="5"/>
  <c r="V128" i="5"/>
  <c r="U128" i="5"/>
  <c r="T128" i="5"/>
  <c r="S128" i="5"/>
  <c r="R128" i="5"/>
  <c r="Q128" i="5"/>
  <c r="P128" i="5"/>
  <c r="V127" i="5"/>
  <c r="U127" i="5"/>
  <c r="T127" i="5"/>
  <c r="S127" i="5"/>
  <c r="R127" i="5"/>
  <c r="Q127" i="5"/>
  <c r="P127" i="5"/>
  <c r="V126" i="5"/>
  <c r="U126" i="5"/>
  <c r="T126" i="5"/>
  <c r="S126" i="5"/>
  <c r="R126" i="5"/>
  <c r="Q126" i="5"/>
  <c r="P126" i="5"/>
  <c r="W138" i="5"/>
  <c r="V138" i="5"/>
  <c r="U138" i="5"/>
  <c r="T138" i="5"/>
  <c r="S138" i="5"/>
  <c r="R138" i="5"/>
  <c r="Q138" i="5"/>
  <c r="W137" i="5"/>
  <c r="V137" i="5"/>
  <c r="U137" i="5"/>
  <c r="T137" i="5"/>
  <c r="S137" i="5"/>
  <c r="R137" i="5"/>
  <c r="Q137" i="5"/>
  <c r="W136" i="5"/>
  <c r="V136" i="5"/>
  <c r="U136" i="5"/>
  <c r="T136" i="5"/>
  <c r="S136" i="5"/>
  <c r="R136" i="5"/>
  <c r="Q136" i="5"/>
  <c r="W135" i="5"/>
  <c r="V135" i="5"/>
  <c r="U135" i="5"/>
  <c r="T135" i="5"/>
  <c r="S135" i="5"/>
  <c r="R135" i="5"/>
  <c r="Q135" i="5"/>
  <c r="W134" i="5"/>
  <c r="V134" i="5"/>
  <c r="U134" i="5"/>
  <c r="T134" i="5"/>
  <c r="S134" i="5"/>
  <c r="R134" i="5"/>
  <c r="Q134" i="5"/>
  <c r="W133" i="5"/>
  <c r="V133" i="5"/>
  <c r="U133" i="5"/>
  <c r="T133" i="5"/>
  <c r="S133" i="5"/>
  <c r="R133" i="5"/>
  <c r="Q133" i="5"/>
  <c r="W132" i="5"/>
  <c r="V132" i="5"/>
  <c r="U132" i="5"/>
  <c r="T132" i="5"/>
  <c r="S132" i="5"/>
  <c r="R132" i="5"/>
  <c r="Q132" i="5"/>
  <c r="W131" i="5"/>
  <c r="V131" i="5"/>
  <c r="U131" i="5"/>
  <c r="T131" i="5"/>
  <c r="S131" i="5"/>
  <c r="R131" i="5"/>
  <c r="Q131" i="5"/>
  <c r="W130" i="5"/>
  <c r="V130" i="5"/>
  <c r="U130" i="5"/>
  <c r="T130" i="5"/>
  <c r="S130" i="5"/>
  <c r="R130" i="5"/>
  <c r="Q130" i="5"/>
  <c r="W129" i="5"/>
  <c r="V129" i="5"/>
  <c r="U129" i="5"/>
  <c r="T129" i="5"/>
  <c r="S129" i="5"/>
  <c r="R129" i="5"/>
  <c r="Q129" i="5"/>
  <c r="W236" i="5"/>
  <c r="T236" i="5"/>
  <c r="S236" i="5"/>
  <c r="R236" i="5"/>
  <c r="Q236" i="5"/>
  <c r="P236" i="5"/>
  <c r="W235" i="5"/>
  <c r="T235" i="5"/>
  <c r="S235" i="5"/>
  <c r="R235" i="5"/>
  <c r="Q235" i="5"/>
  <c r="P235" i="5"/>
  <c r="W234" i="5"/>
  <c r="T234" i="5"/>
  <c r="S234" i="5"/>
  <c r="R234" i="5"/>
  <c r="Q234" i="5"/>
  <c r="P234" i="5"/>
  <c r="W233" i="5"/>
  <c r="T233" i="5"/>
  <c r="S233" i="5"/>
  <c r="R233" i="5"/>
  <c r="Q233" i="5"/>
  <c r="P233" i="5"/>
  <c r="W232" i="5"/>
  <c r="T232" i="5"/>
  <c r="S232" i="5"/>
  <c r="R232" i="5"/>
  <c r="Q232" i="5"/>
  <c r="P232" i="5"/>
  <c r="W231" i="5"/>
  <c r="T231" i="5"/>
  <c r="S231" i="5"/>
  <c r="R231" i="5"/>
  <c r="Q231" i="5"/>
  <c r="P231" i="5"/>
  <c r="W230" i="5"/>
  <c r="T230" i="5"/>
  <c r="S230" i="5"/>
  <c r="R230" i="5"/>
  <c r="Q230" i="5"/>
  <c r="P230" i="5"/>
  <c r="W229" i="5"/>
  <c r="T229" i="5"/>
  <c r="S229" i="5"/>
  <c r="R229" i="5"/>
  <c r="Q229" i="5"/>
  <c r="P229" i="5"/>
  <c r="W228" i="5"/>
  <c r="T228" i="5"/>
  <c r="S228" i="5"/>
  <c r="R228" i="5"/>
  <c r="Q228" i="5"/>
  <c r="P228" i="5"/>
  <c r="W227" i="5"/>
  <c r="T227" i="5"/>
  <c r="S227" i="5"/>
  <c r="R227" i="5"/>
  <c r="Q227" i="5"/>
  <c r="P227" i="5"/>
  <c r="W226" i="5"/>
  <c r="T226" i="5"/>
  <c r="S226" i="5"/>
  <c r="R226" i="5"/>
  <c r="Q226" i="5"/>
  <c r="P226" i="5"/>
  <c r="W225" i="5"/>
  <c r="T225" i="5"/>
  <c r="S225" i="5"/>
  <c r="R225" i="5"/>
  <c r="Q225" i="5"/>
  <c r="P225" i="5"/>
  <c r="W224" i="5"/>
  <c r="T224" i="5"/>
  <c r="S224" i="5"/>
  <c r="R224" i="5"/>
  <c r="Q224" i="5"/>
  <c r="P224" i="5"/>
  <c r="W223" i="5"/>
  <c r="T223" i="5"/>
  <c r="S223" i="5"/>
  <c r="R223" i="5"/>
  <c r="Q223" i="5"/>
  <c r="P223" i="5"/>
  <c r="W222" i="5"/>
  <c r="T222" i="5"/>
  <c r="S222" i="5"/>
  <c r="R222" i="5"/>
  <c r="Q222" i="5"/>
  <c r="P222" i="5"/>
  <c r="W221" i="5"/>
  <c r="T221" i="5"/>
  <c r="S221" i="5"/>
  <c r="R221" i="5"/>
  <c r="Q221" i="5"/>
  <c r="P221" i="5"/>
  <c r="W190" i="5"/>
  <c r="V190" i="5"/>
  <c r="U190" i="5"/>
  <c r="T190" i="5"/>
  <c r="R190" i="5"/>
  <c r="Q190" i="5"/>
  <c r="P190" i="5"/>
  <c r="W189" i="5"/>
  <c r="V189" i="5"/>
  <c r="U189" i="5"/>
  <c r="T189" i="5"/>
  <c r="R189" i="5"/>
  <c r="Q189" i="5"/>
  <c r="P189" i="5"/>
  <c r="W188" i="5"/>
  <c r="V188" i="5"/>
  <c r="U188" i="5"/>
  <c r="T188" i="5"/>
  <c r="R188" i="5"/>
  <c r="Q188" i="5"/>
  <c r="P188" i="5"/>
  <c r="W187" i="5"/>
  <c r="V187" i="5"/>
  <c r="U187" i="5"/>
  <c r="T187" i="5"/>
  <c r="R187" i="5"/>
  <c r="Q187" i="5"/>
  <c r="P187" i="5"/>
  <c r="W186" i="5"/>
  <c r="V186" i="5"/>
  <c r="U186" i="5"/>
  <c r="T186" i="5"/>
  <c r="R186" i="5"/>
  <c r="Q186" i="5"/>
  <c r="P186" i="5"/>
  <c r="W185" i="5"/>
  <c r="V185" i="5"/>
  <c r="U185" i="5"/>
  <c r="T185" i="5"/>
  <c r="R185" i="5"/>
  <c r="Q185" i="5"/>
  <c r="P185" i="5"/>
  <c r="W184" i="5"/>
  <c r="T184" i="5"/>
  <c r="S184" i="5"/>
  <c r="R184" i="5"/>
  <c r="Q184" i="5"/>
  <c r="P184" i="5"/>
  <c r="W183" i="5"/>
  <c r="T183" i="5"/>
  <c r="S183" i="5"/>
  <c r="R183" i="5"/>
  <c r="Q183" i="5"/>
  <c r="P183" i="5"/>
  <c r="W182" i="5"/>
  <c r="T182" i="5"/>
  <c r="S182" i="5"/>
  <c r="R182" i="5"/>
  <c r="Q182" i="5"/>
  <c r="P182" i="5"/>
  <c r="W181" i="5"/>
  <c r="T181" i="5"/>
  <c r="S181" i="5"/>
  <c r="R181" i="5"/>
  <c r="Q181" i="5"/>
  <c r="P181" i="5"/>
  <c r="W180" i="5"/>
  <c r="T180" i="5"/>
  <c r="S180" i="5"/>
  <c r="R180" i="5"/>
  <c r="Q180" i="5"/>
  <c r="P180" i="5"/>
  <c r="W179" i="5"/>
  <c r="T179" i="5"/>
  <c r="S179" i="5"/>
  <c r="R179" i="5"/>
  <c r="Q179" i="5"/>
  <c r="P179" i="5"/>
  <c r="W178" i="5"/>
  <c r="T178" i="5"/>
  <c r="S178" i="5"/>
  <c r="R178" i="5"/>
  <c r="Q178" i="5"/>
  <c r="P178" i="5"/>
  <c r="W177" i="5"/>
  <c r="T177" i="5"/>
  <c r="S177" i="5"/>
  <c r="R177" i="5"/>
  <c r="Q177" i="5"/>
  <c r="P177" i="5"/>
  <c r="W176" i="5"/>
  <c r="T176" i="5"/>
  <c r="S176" i="5"/>
  <c r="R176" i="5"/>
  <c r="Q176" i="5"/>
  <c r="P176" i="5"/>
  <c r="W175" i="5"/>
  <c r="V175" i="5"/>
  <c r="U175" i="5"/>
  <c r="T175" i="5"/>
  <c r="S175" i="5"/>
  <c r="R175" i="5"/>
  <c r="Q175" i="5"/>
  <c r="P175" i="5"/>
  <c r="W174" i="5"/>
  <c r="V174" i="5"/>
  <c r="U174" i="5"/>
  <c r="T174" i="5"/>
  <c r="S174" i="5"/>
  <c r="R174" i="5"/>
  <c r="Q174" i="5"/>
  <c r="P174" i="5"/>
  <c r="W173" i="5"/>
  <c r="V173" i="5"/>
  <c r="U173" i="5"/>
  <c r="T173" i="5"/>
  <c r="S173" i="5"/>
  <c r="R173" i="5"/>
  <c r="Q173" i="5"/>
  <c r="P173" i="5"/>
  <c r="W172" i="5"/>
  <c r="V172" i="5"/>
  <c r="U172" i="5"/>
  <c r="T172" i="5"/>
  <c r="S172" i="5"/>
  <c r="R172" i="5"/>
  <c r="Q172" i="5"/>
  <c r="P172" i="5"/>
  <c r="W171" i="5"/>
  <c r="V171" i="5"/>
  <c r="U171" i="5"/>
  <c r="T171" i="5"/>
  <c r="S171" i="5"/>
  <c r="R171" i="5"/>
  <c r="Q171" i="5"/>
  <c r="P171" i="5"/>
  <c r="W170" i="5"/>
  <c r="V170" i="5"/>
  <c r="U170" i="5"/>
  <c r="T170" i="5"/>
  <c r="S170" i="5"/>
  <c r="R170" i="5"/>
  <c r="Q170" i="5"/>
  <c r="P170" i="5"/>
  <c r="W169" i="5"/>
  <c r="V169" i="5"/>
  <c r="U169" i="5"/>
  <c r="T169" i="5"/>
  <c r="S169" i="5"/>
  <c r="R169" i="5"/>
  <c r="Q169" i="5"/>
  <c r="P169" i="5"/>
  <c r="W168" i="5"/>
  <c r="T168" i="5"/>
  <c r="S168" i="5"/>
  <c r="R168" i="5"/>
  <c r="Q168" i="5"/>
  <c r="P168" i="5"/>
  <c r="W167" i="5"/>
  <c r="T167" i="5"/>
  <c r="S167" i="5"/>
  <c r="R167" i="5"/>
  <c r="Q167" i="5"/>
  <c r="P167" i="5"/>
  <c r="W166" i="5"/>
  <c r="T166" i="5"/>
  <c r="S166" i="5"/>
  <c r="R166" i="5"/>
  <c r="Q166" i="5"/>
  <c r="P166" i="5"/>
  <c r="W165" i="5"/>
  <c r="T165" i="5"/>
  <c r="S165" i="5"/>
  <c r="R165" i="5"/>
  <c r="Q165" i="5"/>
  <c r="P165" i="5"/>
  <c r="W164" i="5"/>
  <c r="T164" i="5"/>
  <c r="S164" i="5"/>
  <c r="R164" i="5"/>
  <c r="Q164" i="5"/>
  <c r="P164" i="5"/>
  <c r="W163" i="5"/>
  <c r="T163" i="5"/>
  <c r="S163" i="5"/>
  <c r="R163" i="5"/>
  <c r="Q163" i="5"/>
  <c r="P163" i="5"/>
  <c r="W162" i="5"/>
  <c r="T162" i="5"/>
  <c r="S162" i="5"/>
  <c r="R162" i="5"/>
  <c r="Q162" i="5"/>
  <c r="P162" i="5"/>
  <c r="W161" i="5"/>
  <c r="V161" i="5"/>
  <c r="T161" i="5"/>
  <c r="S161" i="5"/>
  <c r="R161" i="5"/>
  <c r="Q161" i="5"/>
  <c r="P161" i="5"/>
  <c r="W160" i="5"/>
  <c r="V160" i="5"/>
  <c r="T160" i="5"/>
  <c r="S160" i="5"/>
  <c r="R160" i="5"/>
  <c r="Q160" i="5"/>
  <c r="P160" i="5"/>
  <c r="W159" i="5"/>
  <c r="V159" i="5"/>
  <c r="T159" i="5"/>
  <c r="S159" i="5"/>
  <c r="R159" i="5"/>
  <c r="Q159" i="5"/>
  <c r="P159" i="5"/>
  <c r="W158" i="5"/>
  <c r="V158" i="5"/>
  <c r="T158" i="5"/>
  <c r="S158" i="5"/>
  <c r="R158" i="5"/>
  <c r="Q158" i="5"/>
  <c r="P158" i="5"/>
  <c r="W157" i="5"/>
  <c r="V157" i="5"/>
  <c r="T157" i="5"/>
  <c r="S157" i="5"/>
  <c r="R157" i="5"/>
  <c r="Q157" i="5"/>
  <c r="P157" i="5"/>
  <c r="W156" i="5"/>
  <c r="V156" i="5"/>
  <c r="T156" i="5"/>
  <c r="S156" i="5"/>
  <c r="R156" i="5"/>
  <c r="Q156" i="5"/>
  <c r="P156" i="5"/>
  <c r="W155" i="5"/>
  <c r="V155" i="5"/>
  <c r="T155" i="5"/>
  <c r="S155" i="5"/>
  <c r="R155" i="5"/>
  <c r="Q155" i="5"/>
  <c r="P155" i="5"/>
  <c r="W154" i="5"/>
  <c r="V154" i="5"/>
  <c r="T154" i="5"/>
  <c r="S154" i="5"/>
  <c r="R154" i="5"/>
  <c r="Q154" i="5"/>
  <c r="P154" i="5"/>
  <c r="W153" i="5"/>
  <c r="V153" i="5"/>
  <c r="T153" i="5"/>
  <c r="S153" i="5"/>
  <c r="R153" i="5"/>
  <c r="Q153" i="5"/>
  <c r="P153" i="5"/>
  <c r="W152" i="5"/>
  <c r="V152" i="5"/>
  <c r="U152" i="5"/>
  <c r="T152" i="5"/>
  <c r="S152" i="5"/>
  <c r="R152" i="5"/>
  <c r="Q152" i="5"/>
  <c r="P152" i="5"/>
  <c r="W151" i="5"/>
  <c r="V151" i="5"/>
  <c r="U151" i="5"/>
  <c r="T151" i="5"/>
  <c r="S151" i="5"/>
  <c r="R151" i="5"/>
  <c r="Q151" i="5"/>
  <c r="P151" i="5"/>
  <c r="W150" i="5"/>
  <c r="V150" i="5"/>
  <c r="U150" i="5"/>
  <c r="T150" i="5"/>
  <c r="S150" i="5"/>
  <c r="R150" i="5"/>
  <c r="Q150" i="5"/>
  <c r="P150" i="5"/>
  <c r="W149" i="5"/>
  <c r="V149" i="5"/>
  <c r="U149" i="5"/>
  <c r="T149" i="5"/>
  <c r="S149" i="5"/>
  <c r="R149" i="5"/>
  <c r="Q149" i="5"/>
  <c r="P149" i="5"/>
  <c r="W148" i="5"/>
  <c r="V148" i="5"/>
  <c r="U148" i="5"/>
  <c r="T148" i="5"/>
  <c r="S148" i="5"/>
  <c r="R148" i="5"/>
  <c r="Q148" i="5"/>
  <c r="P148" i="5"/>
  <c r="W147" i="5"/>
  <c r="V147" i="5"/>
  <c r="U147" i="5"/>
  <c r="T147" i="5"/>
  <c r="S147" i="5"/>
  <c r="R147" i="5"/>
  <c r="Q147" i="5"/>
  <c r="P147" i="5"/>
  <c r="W146" i="5"/>
  <c r="V146" i="5"/>
  <c r="U146" i="5"/>
  <c r="T146" i="5"/>
  <c r="S146" i="5"/>
  <c r="R146" i="5"/>
  <c r="Q146" i="5"/>
  <c r="P146" i="5"/>
  <c r="W145" i="5"/>
  <c r="V145" i="5"/>
  <c r="T145" i="5"/>
  <c r="S145" i="5"/>
  <c r="R145" i="5"/>
  <c r="Q145" i="5"/>
  <c r="P145" i="5"/>
  <c r="W144" i="5"/>
  <c r="V144" i="5"/>
  <c r="T144" i="5"/>
  <c r="S144" i="5"/>
  <c r="R144" i="5"/>
  <c r="Q144" i="5"/>
  <c r="P144" i="5"/>
  <c r="W143" i="5"/>
  <c r="V143" i="5"/>
  <c r="T143" i="5"/>
  <c r="S143" i="5"/>
  <c r="R143" i="5"/>
  <c r="Q143" i="5"/>
  <c r="P143" i="5"/>
  <c r="W142" i="5"/>
  <c r="V142" i="5"/>
  <c r="T142" i="5"/>
  <c r="S142" i="5"/>
  <c r="R142" i="5"/>
  <c r="Q142" i="5"/>
  <c r="P142" i="5"/>
  <c r="W141" i="5"/>
  <c r="V141" i="5"/>
  <c r="T141" i="5"/>
  <c r="S141" i="5"/>
  <c r="R141" i="5"/>
  <c r="Q141" i="5"/>
  <c r="P141" i="5"/>
  <c r="W140" i="5"/>
  <c r="V140" i="5"/>
  <c r="T140" i="5"/>
  <c r="S140" i="5"/>
  <c r="R140" i="5"/>
  <c r="Q140" i="5"/>
  <c r="P140" i="5"/>
  <c r="W139" i="5"/>
  <c r="V139" i="5"/>
  <c r="T139" i="5"/>
  <c r="S139" i="5"/>
  <c r="R139" i="5"/>
  <c r="Q139" i="5"/>
  <c r="P139" i="5"/>
  <c r="T119" i="5"/>
  <c r="S119" i="5"/>
  <c r="R119" i="5"/>
  <c r="Q119" i="5"/>
  <c r="P119" i="5"/>
  <c r="T118" i="5"/>
  <c r="S118" i="5"/>
  <c r="R118" i="5"/>
  <c r="Q118" i="5"/>
  <c r="P118" i="5"/>
  <c r="T117" i="5"/>
  <c r="S117" i="5"/>
  <c r="R117" i="5"/>
  <c r="Q117" i="5"/>
  <c r="P117" i="5"/>
  <c r="T116" i="5"/>
  <c r="S116" i="5"/>
  <c r="R116" i="5"/>
  <c r="Q116" i="5"/>
  <c r="P116" i="5"/>
  <c r="T115" i="5"/>
  <c r="S115" i="5"/>
  <c r="R115" i="5"/>
  <c r="Q115" i="5"/>
  <c r="P115" i="5"/>
  <c r="T114" i="5"/>
  <c r="S114" i="5"/>
  <c r="R114" i="5"/>
  <c r="Q114" i="5"/>
  <c r="P114" i="5"/>
  <c r="T113" i="5"/>
  <c r="S113" i="5"/>
  <c r="R113" i="5"/>
  <c r="Q113" i="5"/>
  <c r="P113" i="5"/>
  <c r="T112" i="5"/>
  <c r="S112" i="5"/>
  <c r="R112" i="5"/>
  <c r="Q112" i="5"/>
  <c r="P112" i="5"/>
  <c r="T111" i="5"/>
  <c r="S111" i="5"/>
  <c r="R111" i="5"/>
  <c r="Q111" i="5"/>
  <c r="P111" i="5"/>
  <c r="V110" i="5"/>
  <c r="U110" i="5"/>
  <c r="T110" i="5"/>
  <c r="S110" i="5"/>
  <c r="Q110" i="5"/>
  <c r="V109" i="5"/>
  <c r="U109" i="5"/>
  <c r="T109" i="5"/>
  <c r="S109" i="5"/>
  <c r="Q109" i="5"/>
  <c r="V108" i="5"/>
  <c r="U108" i="5"/>
  <c r="T108" i="5"/>
  <c r="S108" i="5"/>
  <c r="Q108" i="5"/>
  <c r="V107" i="5"/>
  <c r="U107" i="5"/>
  <c r="T107" i="5"/>
  <c r="S107" i="5"/>
  <c r="Q107" i="5"/>
  <c r="V106" i="5"/>
  <c r="U106" i="5"/>
  <c r="T106" i="5"/>
  <c r="S106" i="5"/>
  <c r="Q106" i="5"/>
  <c r="V105" i="5"/>
  <c r="U105" i="5"/>
  <c r="T105" i="5"/>
  <c r="S105" i="5"/>
  <c r="Q105" i="5"/>
  <c r="V104" i="5"/>
  <c r="U104" i="5"/>
  <c r="T104" i="5"/>
  <c r="S104" i="5"/>
  <c r="Q104" i="5"/>
  <c r="V103" i="5"/>
  <c r="U103" i="5"/>
  <c r="T103" i="5"/>
  <c r="S103" i="5"/>
  <c r="Q103" i="5"/>
  <c r="V102" i="5"/>
  <c r="U102" i="5"/>
  <c r="T102" i="5"/>
  <c r="S102" i="5"/>
  <c r="Q102" i="5"/>
  <c r="T95" i="5"/>
  <c r="S95" i="5"/>
  <c r="Q95" i="5"/>
  <c r="T94" i="5"/>
  <c r="S94" i="5"/>
  <c r="Q94" i="5"/>
  <c r="W93" i="5"/>
  <c r="V93" i="5"/>
  <c r="T93" i="5"/>
  <c r="R93" i="5"/>
  <c r="Q93" i="5"/>
  <c r="P93" i="5"/>
  <c r="W92" i="5"/>
  <c r="V92" i="5"/>
  <c r="T92" i="5"/>
  <c r="R92" i="5"/>
  <c r="Q92" i="5"/>
  <c r="P92" i="5"/>
  <c r="W91" i="5"/>
  <c r="V91" i="5"/>
  <c r="T91" i="5"/>
  <c r="R91" i="5"/>
  <c r="Q91" i="5"/>
  <c r="P91" i="5"/>
  <c r="W90" i="5"/>
  <c r="V90" i="5"/>
  <c r="T90" i="5"/>
  <c r="R90" i="5"/>
  <c r="Q90" i="5"/>
  <c r="P90" i="5"/>
  <c r="W89" i="5"/>
  <c r="V89" i="5"/>
  <c r="T89" i="5"/>
  <c r="R89" i="5"/>
  <c r="Q89" i="5"/>
  <c r="P89" i="5"/>
  <c r="W88" i="5"/>
  <c r="V88" i="5"/>
  <c r="T88" i="5"/>
  <c r="R88" i="5"/>
  <c r="Q88" i="5"/>
  <c r="P88" i="5"/>
  <c r="W80" i="5"/>
  <c r="T80" i="5"/>
  <c r="S80" i="5"/>
  <c r="R80" i="5"/>
  <c r="Q80" i="5"/>
  <c r="P80" i="5"/>
  <c r="W79" i="5"/>
  <c r="T79" i="5"/>
  <c r="S79" i="5"/>
  <c r="R79" i="5"/>
  <c r="Q79" i="5"/>
  <c r="P79" i="5"/>
  <c r="W78" i="5"/>
  <c r="T78" i="5"/>
  <c r="S78" i="5"/>
  <c r="R78" i="5"/>
  <c r="Q78" i="5"/>
  <c r="P78" i="5"/>
  <c r="W77" i="5"/>
  <c r="T77" i="5"/>
  <c r="S77" i="5"/>
  <c r="R77" i="5"/>
  <c r="Q77" i="5"/>
  <c r="P77" i="5"/>
  <c r="W76" i="5"/>
  <c r="T76" i="5"/>
  <c r="S76" i="5"/>
  <c r="R76" i="5"/>
  <c r="Q76" i="5"/>
  <c r="P76" i="5"/>
  <c r="W75" i="5"/>
  <c r="T75" i="5"/>
  <c r="S75" i="5"/>
  <c r="R75" i="5"/>
  <c r="Q75" i="5"/>
  <c r="P75" i="5"/>
  <c r="W74" i="5"/>
  <c r="T74" i="5"/>
  <c r="S74" i="5"/>
  <c r="R74" i="5"/>
  <c r="Q74" i="5"/>
  <c r="P74" i="5"/>
  <c r="W73" i="5"/>
  <c r="T73" i="5"/>
  <c r="S73" i="5"/>
  <c r="R73" i="5"/>
  <c r="Q73" i="5"/>
  <c r="P73" i="5"/>
  <c r="W72" i="5"/>
  <c r="T72" i="5"/>
  <c r="S72" i="5"/>
  <c r="R72" i="5"/>
  <c r="Q72" i="5"/>
  <c r="P72" i="5"/>
  <c r="W71" i="5"/>
  <c r="V71" i="5"/>
  <c r="U71" i="5"/>
  <c r="T71" i="5"/>
  <c r="S71" i="5"/>
  <c r="R71" i="5"/>
  <c r="Q71" i="5"/>
  <c r="P71" i="5"/>
  <c r="W70" i="5"/>
  <c r="V70" i="5"/>
  <c r="U70" i="5"/>
  <c r="T70" i="5"/>
  <c r="S70" i="5"/>
  <c r="R70" i="5"/>
  <c r="Q70" i="5"/>
  <c r="P70" i="5"/>
  <c r="W69" i="5"/>
  <c r="V69" i="5"/>
  <c r="U69" i="5"/>
  <c r="T69" i="5"/>
  <c r="S69" i="5"/>
  <c r="R69" i="5"/>
  <c r="Q69" i="5"/>
  <c r="P69" i="5"/>
  <c r="W68" i="5"/>
  <c r="V68" i="5"/>
  <c r="U68" i="5"/>
  <c r="T68" i="5"/>
  <c r="S68" i="5"/>
  <c r="R68" i="5"/>
  <c r="Q68" i="5"/>
  <c r="P68" i="5"/>
  <c r="W67" i="5"/>
  <c r="V67" i="5"/>
  <c r="U67" i="5"/>
  <c r="T67" i="5"/>
  <c r="S67" i="5"/>
  <c r="R67" i="5"/>
  <c r="Q67" i="5"/>
  <c r="P67" i="5"/>
  <c r="W66" i="5"/>
  <c r="V66" i="5"/>
  <c r="U66" i="5"/>
  <c r="T66" i="5"/>
  <c r="S66" i="5"/>
  <c r="R66" i="5"/>
  <c r="Q66" i="5"/>
  <c r="P66" i="5"/>
  <c r="W65" i="5"/>
  <c r="V65" i="5"/>
  <c r="U65" i="5"/>
  <c r="T65" i="5"/>
  <c r="S65" i="5"/>
  <c r="R65" i="5"/>
  <c r="Q65" i="5"/>
  <c r="P65" i="5"/>
  <c r="W64" i="5"/>
  <c r="T64" i="5"/>
  <c r="S64" i="5"/>
  <c r="R64" i="5"/>
  <c r="Q64" i="5"/>
  <c r="P64" i="5"/>
  <c r="W63" i="5"/>
  <c r="T63" i="5"/>
  <c r="S63" i="5"/>
  <c r="R63" i="5"/>
  <c r="Q63" i="5"/>
  <c r="P63" i="5"/>
  <c r="W62" i="5"/>
  <c r="T62" i="5"/>
  <c r="S62" i="5"/>
  <c r="R62" i="5"/>
  <c r="Q62" i="5"/>
  <c r="P62" i="5"/>
  <c r="W61" i="5"/>
  <c r="T61" i="5"/>
  <c r="S61" i="5"/>
  <c r="R61" i="5"/>
  <c r="Q61" i="5"/>
  <c r="P61" i="5"/>
  <c r="W60" i="5"/>
  <c r="T60" i="5"/>
  <c r="S60" i="5"/>
  <c r="R60" i="5"/>
  <c r="Q60" i="5"/>
  <c r="P60" i="5"/>
  <c r="W59" i="5"/>
  <c r="T59" i="5"/>
  <c r="S59" i="5"/>
  <c r="R59" i="5"/>
  <c r="Q59" i="5"/>
  <c r="P59" i="5"/>
  <c r="W58" i="5"/>
  <c r="T58" i="5"/>
  <c r="S58" i="5"/>
  <c r="R58" i="5"/>
  <c r="Q58" i="5"/>
  <c r="P58" i="5"/>
  <c r="W57" i="5"/>
  <c r="V57" i="5"/>
  <c r="T57" i="5"/>
  <c r="S57" i="5"/>
  <c r="R57" i="5"/>
  <c r="Q57" i="5"/>
  <c r="P57" i="5"/>
  <c r="W56" i="5"/>
  <c r="V56" i="5"/>
  <c r="T56" i="5"/>
  <c r="S56" i="5"/>
  <c r="R56" i="5"/>
  <c r="Q56" i="5"/>
  <c r="P56" i="5"/>
  <c r="W55" i="5"/>
  <c r="V55" i="5"/>
  <c r="T55" i="5"/>
  <c r="S55" i="5"/>
  <c r="R55" i="5"/>
  <c r="Q55" i="5"/>
  <c r="P55" i="5"/>
  <c r="W54" i="5"/>
  <c r="V54" i="5"/>
  <c r="T54" i="5"/>
  <c r="S54" i="5"/>
  <c r="R54" i="5"/>
  <c r="Q54" i="5"/>
  <c r="P54" i="5"/>
  <c r="W53" i="5"/>
  <c r="V53" i="5"/>
  <c r="T53" i="5"/>
  <c r="S53" i="5"/>
  <c r="R53" i="5"/>
  <c r="Q53" i="5"/>
  <c r="P53" i="5"/>
  <c r="W52" i="5"/>
  <c r="V52" i="5"/>
  <c r="T52" i="5"/>
  <c r="S52" i="5"/>
  <c r="R52" i="5"/>
  <c r="Q52" i="5"/>
  <c r="P52" i="5"/>
  <c r="W51" i="5"/>
  <c r="V51" i="5"/>
  <c r="T51" i="5"/>
  <c r="S51" i="5"/>
  <c r="R51" i="5"/>
  <c r="Q51" i="5"/>
  <c r="P51" i="5"/>
  <c r="W50" i="5"/>
  <c r="V50" i="5"/>
  <c r="T50" i="5"/>
  <c r="S50" i="5"/>
  <c r="R50" i="5"/>
  <c r="Q50" i="5"/>
  <c r="P50" i="5"/>
  <c r="W49" i="5"/>
  <c r="V49" i="5"/>
  <c r="T49" i="5"/>
  <c r="S49" i="5"/>
  <c r="R49" i="5"/>
  <c r="Q49" i="5"/>
  <c r="P49" i="5"/>
  <c r="W48" i="5"/>
  <c r="V48" i="5"/>
  <c r="T48" i="5"/>
  <c r="S48" i="5"/>
  <c r="R48" i="5"/>
  <c r="Q48" i="5"/>
  <c r="P48" i="5"/>
  <c r="W47" i="5"/>
  <c r="V47" i="5"/>
  <c r="T47" i="5"/>
  <c r="S47" i="5"/>
  <c r="R47" i="5"/>
  <c r="Q47" i="5"/>
  <c r="P47" i="5"/>
  <c r="W46" i="5"/>
  <c r="V46" i="5"/>
  <c r="T46" i="5"/>
  <c r="S46" i="5"/>
  <c r="R46" i="5"/>
  <c r="Q46" i="5"/>
  <c r="P46" i="5"/>
  <c r="W45" i="5"/>
  <c r="V45" i="5"/>
  <c r="T45" i="5"/>
  <c r="S45" i="5"/>
  <c r="R45" i="5"/>
  <c r="Q45" i="5"/>
  <c r="P45" i="5"/>
  <c r="W44" i="5"/>
  <c r="V44" i="5"/>
  <c r="T44" i="5"/>
  <c r="S44" i="5"/>
  <c r="R44" i="5"/>
  <c r="Q44" i="5"/>
  <c r="P44" i="5"/>
  <c r="W43" i="5"/>
  <c r="V43" i="5"/>
  <c r="T43" i="5"/>
  <c r="S43" i="5"/>
  <c r="R43" i="5"/>
  <c r="Q43" i="5"/>
  <c r="P43" i="5"/>
  <c r="W42" i="5"/>
  <c r="V42" i="5"/>
  <c r="T42" i="5"/>
  <c r="S42" i="5"/>
  <c r="R42" i="5"/>
  <c r="Q42" i="5"/>
  <c r="P42" i="5"/>
  <c r="W41" i="5"/>
  <c r="V41" i="5"/>
  <c r="T41" i="5"/>
  <c r="S41" i="5"/>
  <c r="R41" i="5"/>
  <c r="Q41" i="5"/>
  <c r="P41" i="5"/>
  <c r="W40" i="5"/>
  <c r="V40" i="5"/>
  <c r="T40" i="5"/>
  <c r="S40" i="5"/>
  <c r="R40" i="5"/>
  <c r="Q40" i="5"/>
  <c r="P40" i="5"/>
  <c r="W39" i="5"/>
  <c r="V39" i="5"/>
  <c r="U39" i="5"/>
  <c r="T39" i="5"/>
  <c r="S39" i="5"/>
  <c r="R39" i="5"/>
  <c r="Q39" i="5"/>
  <c r="P39" i="5"/>
  <c r="W38" i="5"/>
  <c r="V38" i="5"/>
  <c r="U38" i="5"/>
  <c r="T38" i="5"/>
  <c r="S38" i="5"/>
  <c r="R38" i="5"/>
  <c r="Q38" i="5"/>
  <c r="P38" i="5"/>
  <c r="W37" i="5"/>
  <c r="V37" i="5"/>
  <c r="U37" i="5"/>
  <c r="T37" i="5"/>
  <c r="S37" i="5"/>
  <c r="R37" i="5"/>
  <c r="Q37" i="5"/>
  <c r="P37" i="5"/>
  <c r="W36" i="5"/>
  <c r="V36" i="5"/>
  <c r="U36" i="5"/>
  <c r="T36" i="5"/>
  <c r="S36" i="5"/>
  <c r="R36" i="5"/>
  <c r="Q36" i="5"/>
  <c r="P36" i="5"/>
  <c r="W35" i="5"/>
  <c r="V35" i="5"/>
  <c r="U35" i="5"/>
  <c r="T35" i="5"/>
  <c r="S35" i="5"/>
  <c r="R35" i="5"/>
  <c r="Q35" i="5"/>
  <c r="P35" i="5"/>
  <c r="W34" i="5"/>
  <c r="V34" i="5"/>
  <c r="U34" i="5"/>
  <c r="T34" i="5"/>
  <c r="S34" i="5"/>
  <c r="R34" i="5"/>
  <c r="Q34" i="5"/>
  <c r="P34" i="5"/>
  <c r="W33" i="5"/>
  <c r="V33" i="5"/>
  <c r="U33" i="5"/>
  <c r="T33" i="5"/>
  <c r="S33" i="5"/>
  <c r="R33" i="5"/>
  <c r="Q33" i="5"/>
  <c r="P33" i="5"/>
  <c r="W32" i="5"/>
  <c r="V32" i="5"/>
  <c r="U32" i="5"/>
  <c r="T32" i="5"/>
  <c r="S32" i="5"/>
  <c r="R32" i="5"/>
  <c r="Q32" i="5"/>
  <c r="P32" i="5"/>
  <c r="W31" i="5"/>
  <c r="V31" i="5"/>
  <c r="U31" i="5"/>
  <c r="T31" i="5"/>
  <c r="S31" i="5"/>
  <c r="R31" i="5"/>
  <c r="Q31" i="5"/>
  <c r="P31" i="5"/>
  <c r="W30" i="5"/>
  <c r="V30" i="5"/>
  <c r="U30" i="5"/>
  <c r="T30" i="5"/>
  <c r="S30" i="5"/>
  <c r="R30" i="5"/>
  <c r="Q30" i="5"/>
  <c r="P30" i="5"/>
  <c r="W29" i="5"/>
  <c r="V29" i="5"/>
  <c r="U29" i="5"/>
  <c r="T29" i="5"/>
  <c r="S29" i="5"/>
  <c r="R29" i="5"/>
  <c r="Q29" i="5"/>
  <c r="P29" i="5"/>
  <c r="W28" i="5"/>
  <c r="V28" i="5"/>
  <c r="U28" i="5"/>
  <c r="T28" i="5"/>
  <c r="S28" i="5"/>
  <c r="R28" i="5"/>
  <c r="Q28" i="5"/>
  <c r="P28" i="5"/>
  <c r="W27" i="5"/>
  <c r="V27" i="5"/>
  <c r="U27" i="5"/>
  <c r="T27" i="5"/>
  <c r="S27" i="5"/>
  <c r="R27" i="5"/>
  <c r="Q27" i="5"/>
  <c r="P27" i="5"/>
  <c r="W26" i="5"/>
  <c r="V26" i="5"/>
  <c r="U26" i="5"/>
  <c r="T26" i="5"/>
  <c r="S26" i="5"/>
  <c r="R26" i="5"/>
  <c r="Q26" i="5"/>
  <c r="P26" i="5"/>
  <c r="W25" i="5"/>
  <c r="V25" i="5"/>
  <c r="T25" i="5"/>
  <c r="S25" i="5"/>
  <c r="R25" i="5"/>
  <c r="Q25" i="5"/>
  <c r="P25" i="5"/>
  <c r="W24" i="5"/>
  <c r="V24" i="5"/>
  <c r="T24" i="5"/>
  <c r="S24" i="5"/>
  <c r="R24" i="5"/>
  <c r="Q24" i="5"/>
  <c r="P24" i="5"/>
  <c r="W23" i="5"/>
  <c r="V23" i="5"/>
  <c r="T23" i="5"/>
  <c r="S23" i="5"/>
  <c r="R23" i="5"/>
  <c r="Q23" i="5"/>
  <c r="P23" i="5"/>
  <c r="W22" i="5"/>
  <c r="V22" i="5"/>
  <c r="T22" i="5"/>
  <c r="S22" i="5"/>
  <c r="R22" i="5"/>
  <c r="Q22" i="5"/>
  <c r="P22" i="5"/>
  <c r="W21" i="5"/>
  <c r="V21" i="5"/>
  <c r="T21" i="5"/>
  <c r="S21" i="5"/>
  <c r="R21" i="5"/>
  <c r="Q21" i="5"/>
  <c r="P21" i="5"/>
  <c r="W20" i="5"/>
  <c r="V20" i="5"/>
  <c r="T20" i="5"/>
  <c r="S20" i="5"/>
  <c r="R20" i="5"/>
  <c r="Q20" i="5"/>
  <c r="P20" i="5"/>
  <c r="W19" i="5"/>
  <c r="V19" i="5"/>
  <c r="T19" i="5"/>
  <c r="S19" i="5"/>
  <c r="R19" i="5"/>
  <c r="Q19" i="5"/>
  <c r="P19" i="5"/>
  <c r="W18" i="5"/>
  <c r="V18" i="5"/>
  <c r="T18" i="5"/>
  <c r="S18" i="5"/>
  <c r="R18" i="5"/>
  <c r="Q18" i="5"/>
  <c r="P18" i="5"/>
  <c r="W17" i="5"/>
  <c r="V17" i="5"/>
  <c r="T17" i="5"/>
  <c r="S17" i="5"/>
  <c r="R17" i="5"/>
  <c r="Q17" i="5"/>
  <c r="P17" i="5"/>
  <c r="W16" i="5"/>
  <c r="V16" i="5"/>
  <c r="T16" i="5"/>
  <c r="S16" i="5"/>
  <c r="R16" i="5"/>
  <c r="Q16" i="5"/>
  <c r="P16" i="5"/>
  <c r="W15" i="5"/>
  <c r="V15" i="5"/>
  <c r="T15" i="5"/>
  <c r="S15" i="5"/>
  <c r="R15" i="5"/>
  <c r="Q15" i="5"/>
  <c r="P15" i="5"/>
  <c r="W14" i="5"/>
  <c r="V14" i="5"/>
  <c r="T14" i="5"/>
  <c r="S14" i="5"/>
  <c r="R14" i="5"/>
  <c r="Q14" i="5"/>
  <c r="P14" i="5"/>
  <c r="W13" i="5"/>
  <c r="V13" i="5"/>
  <c r="T13" i="5"/>
  <c r="S13" i="5"/>
  <c r="R13" i="5"/>
  <c r="Q13" i="5"/>
  <c r="P13" i="5"/>
  <c r="W12" i="5"/>
  <c r="V12" i="5"/>
  <c r="T12" i="5"/>
  <c r="S12" i="5"/>
  <c r="R12" i="5"/>
  <c r="Q12" i="5"/>
  <c r="P12" i="5"/>
  <c r="V11" i="5"/>
  <c r="U11" i="5"/>
  <c r="T11" i="5"/>
  <c r="S11" i="5"/>
  <c r="R11" i="5"/>
  <c r="Q11" i="5"/>
  <c r="P11" i="5"/>
  <c r="V10" i="5"/>
  <c r="U10" i="5"/>
  <c r="T10" i="5"/>
  <c r="S10" i="5"/>
  <c r="R10" i="5"/>
  <c r="Q10" i="5"/>
  <c r="P10" i="5"/>
  <c r="W9" i="5"/>
  <c r="V9" i="5"/>
  <c r="T9" i="5"/>
  <c r="S9" i="5"/>
  <c r="R9" i="5"/>
  <c r="Q9" i="5"/>
  <c r="P9" i="5"/>
  <c r="W8" i="5"/>
  <c r="V8" i="5"/>
  <c r="T8" i="5"/>
  <c r="S8" i="5"/>
  <c r="R8" i="5"/>
  <c r="Q8" i="5"/>
  <c r="P8" i="5"/>
  <c r="W7" i="5"/>
  <c r="V7" i="5"/>
  <c r="T7" i="5"/>
  <c r="S7" i="5"/>
  <c r="R7" i="5"/>
  <c r="Q7" i="5"/>
  <c r="P7" i="5"/>
  <c r="W6" i="5"/>
  <c r="V6" i="5"/>
  <c r="T6" i="5"/>
  <c r="S6" i="5"/>
  <c r="R6" i="5"/>
  <c r="Q6" i="5"/>
  <c r="P6" i="5"/>
  <c r="W5" i="5"/>
  <c r="V5" i="5"/>
  <c r="T5" i="5"/>
  <c r="S5" i="5"/>
  <c r="R5" i="5"/>
  <c r="Q5" i="5"/>
  <c r="P5" i="5"/>
  <c r="W4" i="5"/>
  <c r="V4" i="5"/>
  <c r="T4" i="5"/>
  <c r="S4" i="5"/>
  <c r="R4" i="5"/>
  <c r="Q4" i="5"/>
  <c r="P4" i="5"/>
  <c r="W3" i="5"/>
  <c r="V3" i="5"/>
  <c r="T3" i="5"/>
  <c r="S3" i="5"/>
  <c r="R3" i="5"/>
  <c r="Q3" i="5"/>
  <c r="P3" i="5"/>
  <c r="H152" i="6"/>
  <c r="H144" i="6"/>
  <c r="H143" i="6"/>
  <c r="H142" i="6"/>
  <c r="H141" i="6"/>
  <c r="H140" i="6"/>
  <c r="H139" i="6"/>
  <c r="H138" i="6"/>
  <c r="H137" i="6"/>
  <c r="H134" i="6"/>
  <c r="H133" i="6"/>
  <c r="H132" i="6"/>
  <c r="H131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BH26" i="2"/>
  <c r="BD26" i="2"/>
  <c r="AZ26" i="2"/>
  <c r="AV26" i="2"/>
  <c r="AR26" i="2"/>
  <c r="AN26" i="2"/>
  <c r="AJ26" i="2"/>
  <c r="AF26" i="2"/>
  <c r="AB26" i="2"/>
  <c r="X26" i="2"/>
  <c r="BH25" i="2"/>
  <c r="BD25" i="2"/>
  <c r="AZ25" i="2"/>
  <c r="AV25" i="2"/>
  <c r="AR25" i="2"/>
  <c r="AN25" i="2"/>
  <c r="AJ25" i="2"/>
  <c r="AF25" i="2"/>
  <c r="AB25" i="2"/>
  <c r="X25" i="2"/>
  <c r="BH24" i="2"/>
  <c r="BD24" i="2"/>
  <c r="AZ24" i="2"/>
  <c r="AV24" i="2"/>
  <c r="AR24" i="2"/>
  <c r="AN24" i="2"/>
  <c r="AJ24" i="2"/>
  <c r="AF24" i="2"/>
  <c r="AB24" i="2"/>
  <c r="X24" i="2"/>
  <c r="BH23" i="2"/>
  <c r="BD23" i="2"/>
  <c r="AZ23" i="2"/>
  <c r="AV23" i="2"/>
  <c r="AR23" i="2"/>
  <c r="AN23" i="2"/>
  <c r="AJ23" i="2"/>
  <c r="AF23" i="2"/>
  <c r="AB23" i="2"/>
  <c r="X23" i="2"/>
  <c r="BH22" i="2"/>
  <c r="BD22" i="2"/>
  <c r="AZ22" i="2"/>
  <c r="AV22" i="2"/>
  <c r="AR22" i="2"/>
  <c r="AN22" i="2"/>
  <c r="AJ22" i="2"/>
  <c r="AF22" i="2"/>
  <c r="AB22" i="2"/>
  <c r="X22" i="2"/>
  <c r="BH21" i="2"/>
  <c r="BD21" i="2"/>
  <c r="AZ21" i="2"/>
  <c r="AV21" i="2"/>
  <c r="AR21" i="2"/>
  <c r="AN21" i="2"/>
  <c r="AJ21" i="2"/>
  <c r="AF21" i="2"/>
  <c r="AB21" i="2"/>
  <c r="X21" i="2"/>
  <c r="BH20" i="2"/>
  <c r="BD20" i="2"/>
  <c r="AZ20" i="2"/>
  <c r="AV20" i="2"/>
  <c r="AR20" i="2"/>
  <c r="AN20" i="2"/>
  <c r="AJ20" i="2"/>
  <c r="AF20" i="2"/>
  <c r="AB20" i="2"/>
  <c r="X20" i="2"/>
  <c r="BH19" i="2"/>
  <c r="BD19" i="2"/>
  <c r="AZ19" i="2"/>
  <c r="AV19" i="2"/>
  <c r="AR19" i="2"/>
  <c r="AN19" i="2"/>
  <c r="AJ19" i="2"/>
  <c r="AF19" i="2"/>
  <c r="AB19" i="2"/>
  <c r="X19" i="2"/>
  <c r="BH18" i="2"/>
  <c r="BD18" i="2"/>
  <c r="AZ18" i="2"/>
  <c r="AV18" i="2"/>
  <c r="AR18" i="2"/>
  <c r="AN18" i="2"/>
  <c r="AJ18" i="2"/>
  <c r="AF18" i="2"/>
  <c r="AB18" i="2"/>
  <c r="X18" i="2"/>
  <c r="BH17" i="2"/>
  <c r="BD17" i="2"/>
  <c r="AZ17" i="2"/>
  <c r="AV17" i="2"/>
  <c r="AR17" i="2"/>
  <c r="AN17" i="2"/>
  <c r="AJ17" i="2"/>
  <c r="AF17" i="2"/>
  <c r="AB17" i="2"/>
  <c r="X17" i="2"/>
  <c r="BH16" i="2"/>
  <c r="BD16" i="2"/>
  <c r="AZ16" i="2"/>
  <c r="AV16" i="2"/>
  <c r="AR16" i="2"/>
  <c r="AN16" i="2"/>
  <c r="AJ16" i="2"/>
  <c r="AF16" i="2"/>
  <c r="AB16" i="2"/>
  <c r="X16" i="2"/>
  <c r="BH15" i="2"/>
  <c r="BD15" i="2"/>
  <c r="AZ15" i="2"/>
  <c r="AV15" i="2"/>
  <c r="AR15" i="2"/>
  <c r="AN15" i="2"/>
  <c r="AJ15" i="2"/>
  <c r="AF15" i="2"/>
  <c r="AB15" i="2"/>
  <c r="X15" i="2"/>
  <c r="BH14" i="2"/>
  <c r="BD14" i="2"/>
  <c r="AZ14" i="2"/>
  <c r="AV14" i="2"/>
  <c r="AR14" i="2"/>
  <c r="AN14" i="2"/>
  <c r="AJ14" i="2"/>
  <c r="AF14" i="2"/>
  <c r="AB14" i="2"/>
  <c r="X14" i="2"/>
  <c r="H155" i="6"/>
  <c r="H154" i="6"/>
  <c r="H136" i="6"/>
  <c r="H153" i="6"/>
  <c r="V249" i="5"/>
  <c r="U249" i="5"/>
  <c r="T249" i="5"/>
  <c r="S249" i="5"/>
  <c r="R249" i="5"/>
  <c r="N248" i="2" l="1"/>
  <c r="N240" i="2"/>
  <c r="N249" i="2"/>
  <c r="N239" i="2"/>
  <c r="BO15" i="2"/>
  <c r="BQ15" i="2"/>
  <c r="BL15" i="2"/>
  <c r="BP15" i="2"/>
  <c r="BN15" i="2"/>
  <c r="BM15" i="2"/>
  <c r="BQ22" i="2"/>
  <c r="BM22" i="2"/>
  <c r="BL22" i="2"/>
  <c r="BP22" i="2"/>
  <c r="BO22" i="2"/>
  <c r="BN22" i="2"/>
  <c r="BQ26" i="2"/>
  <c r="BM26" i="2"/>
  <c r="BO26" i="2"/>
  <c r="BP26" i="2"/>
  <c r="BN26" i="2"/>
  <c r="BL26" i="2"/>
  <c r="BO17" i="2"/>
  <c r="BP17" i="2"/>
  <c r="BL17" i="2"/>
  <c r="BN17" i="2"/>
  <c r="BM17" i="2"/>
  <c r="BQ17" i="2"/>
  <c r="BO21" i="2"/>
  <c r="BM21" i="2"/>
  <c r="BP21" i="2"/>
  <c r="BQ21" i="2"/>
  <c r="BL21" i="2"/>
  <c r="BN21" i="2"/>
  <c r="BO25" i="2"/>
  <c r="BP25" i="2"/>
  <c r="BM25" i="2"/>
  <c r="BN25" i="2"/>
  <c r="BQ25" i="2"/>
  <c r="BL25" i="2"/>
  <c r="BO19" i="2"/>
  <c r="BN19" i="2"/>
  <c r="BL19" i="2"/>
  <c r="BM19" i="2"/>
  <c r="BP19" i="2"/>
  <c r="BQ19" i="2"/>
  <c r="BO23" i="2"/>
  <c r="BQ23" i="2"/>
  <c r="BL23" i="2"/>
  <c r="BP23" i="2"/>
  <c r="BN23" i="2"/>
  <c r="BM23" i="2"/>
  <c r="BQ14" i="2"/>
  <c r="BM14" i="2"/>
  <c r="BL14" i="2"/>
  <c r="BP14" i="2"/>
  <c r="BO14" i="2"/>
  <c r="BN14" i="2"/>
  <c r="BQ18" i="2"/>
  <c r="BM18" i="2"/>
  <c r="BO18" i="2"/>
  <c r="BN18" i="2"/>
  <c r="BL18" i="2"/>
  <c r="BP18" i="2"/>
  <c r="BQ16" i="2"/>
  <c r="BM16" i="2"/>
  <c r="BP16" i="2"/>
  <c r="BN16" i="2"/>
  <c r="BO16" i="2"/>
  <c r="BL16" i="2"/>
  <c r="BQ20" i="2"/>
  <c r="BM20" i="2"/>
  <c r="BN20" i="2"/>
  <c r="BO20" i="2"/>
  <c r="BL20" i="2"/>
  <c r="BP20" i="2"/>
  <c r="BQ24" i="2"/>
  <c r="BM24" i="2"/>
  <c r="BP24" i="2"/>
  <c r="BL24" i="2"/>
  <c r="BO24" i="2"/>
  <c r="BN24" i="2"/>
  <c r="T299" i="2"/>
  <c r="T298" i="2"/>
  <c r="T307" i="2"/>
  <c r="T290" i="2"/>
  <c r="T296" i="2"/>
  <c r="T73" i="2"/>
  <c r="T76" i="2"/>
  <c r="T80" i="2"/>
  <c r="T78" i="2"/>
  <c r="A137" i="6"/>
  <c r="G137" i="6"/>
  <c r="I137" i="6"/>
  <c r="A129" i="6"/>
  <c r="G129" i="6"/>
  <c r="I129" i="6"/>
  <c r="A125" i="6"/>
  <c r="A126" i="6"/>
  <c r="G125" i="6"/>
  <c r="G126" i="6"/>
  <c r="I125" i="6"/>
  <c r="I126" i="6"/>
  <c r="A110" i="6"/>
  <c r="G110" i="6"/>
  <c r="I110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7" i="6"/>
  <c r="G128" i="6"/>
  <c r="G131" i="6"/>
  <c r="G132" i="6"/>
  <c r="G133" i="6"/>
  <c r="G134" i="6"/>
  <c r="G138" i="6"/>
  <c r="G139" i="6"/>
  <c r="G140" i="6"/>
  <c r="G141" i="6"/>
  <c r="G142" i="6"/>
  <c r="G143" i="6"/>
  <c r="G144" i="6"/>
  <c r="G152" i="6"/>
  <c r="G153" i="6"/>
  <c r="G136" i="6"/>
  <c r="G154" i="6"/>
  <c r="G155" i="6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94" i="5"/>
  <c r="C95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10" i="5"/>
  <c r="C11" i="5"/>
  <c r="C129" i="5"/>
  <c r="C130" i="5"/>
  <c r="C131" i="5"/>
  <c r="C132" i="5"/>
  <c r="C133" i="5"/>
  <c r="C134" i="5"/>
  <c r="C135" i="5"/>
  <c r="C136" i="5"/>
  <c r="C137" i="5"/>
  <c r="C138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6" i="5"/>
  <c r="C127" i="5"/>
  <c r="C128" i="5"/>
  <c r="C81" i="5"/>
  <c r="C82" i="5"/>
  <c r="C83" i="5"/>
  <c r="C84" i="5"/>
  <c r="C85" i="5"/>
  <c r="C86" i="5"/>
  <c r="C87" i="5"/>
  <c r="C120" i="5"/>
  <c r="C121" i="5"/>
  <c r="C122" i="5"/>
  <c r="C123" i="5"/>
  <c r="C124" i="5"/>
  <c r="C125" i="5"/>
  <c r="C96" i="5"/>
  <c r="C97" i="5"/>
  <c r="C98" i="5"/>
  <c r="C88" i="5"/>
  <c r="C89" i="5"/>
  <c r="C90" i="5"/>
  <c r="C91" i="5"/>
  <c r="C92" i="5"/>
  <c r="C93" i="5"/>
  <c r="C237" i="5"/>
  <c r="C238" i="5"/>
  <c r="C239" i="5"/>
  <c r="C240" i="5"/>
  <c r="C241" i="5"/>
  <c r="C242" i="5"/>
  <c r="C243" i="5"/>
  <c r="C3" i="5"/>
  <c r="C4" i="5"/>
  <c r="C5" i="5"/>
  <c r="C6" i="5"/>
  <c r="C7" i="5"/>
  <c r="C8" i="5"/>
  <c r="C9" i="5"/>
  <c r="C244" i="5"/>
  <c r="C245" i="5"/>
  <c r="C246" i="5"/>
  <c r="C247" i="5"/>
  <c r="C248" i="5"/>
  <c r="C249" i="5"/>
  <c r="A144" i="6"/>
  <c r="I144" i="6"/>
  <c r="A143" i="6"/>
  <c r="I143" i="6"/>
  <c r="A138" i="6"/>
  <c r="I138" i="6"/>
  <c r="A134" i="6"/>
  <c r="I134" i="6"/>
  <c r="A133" i="6"/>
  <c r="I133" i="6"/>
  <c r="A132" i="6"/>
  <c r="I132" i="6"/>
  <c r="A131" i="6"/>
  <c r="I131" i="6"/>
  <c r="A127" i="6"/>
  <c r="A128" i="6"/>
  <c r="I127" i="6"/>
  <c r="I128" i="6"/>
  <c r="A112" i="6"/>
  <c r="I112" i="6"/>
  <c r="A111" i="6"/>
  <c r="I111" i="6"/>
  <c r="H49" i="9"/>
  <c r="L49" i="9"/>
  <c r="I50" i="9"/>
  <c r="AB50" i="9"/>
  <c r="Y49" i="9"/>
  <c r="AE89" i="9"/>
  <c r="T140" i="9"/>
  <c r="AB139" i="9"/>
  <c r="W89" i="9"/>
  <c r="I140" i="9"/>
  <c r="J140" i="9"/>
  <c r="X49" i="9"/>
  <c r="AB49" i="9"/>
  <c r="Z50" i="9"/>
  <c r="U50" i="9"/>
  <c r="H140" i="9"/>
  <c r="AB140" i="9"/>
  <c r="J139" i="9"/>
  <c r="AA139" i="9"/>
  <c r="AB89" i="9"/>
  <c r="U89" i="9"/>
  <c r="I49" i="9"/>
  <c r="T50" i="9"/>
  <c r="W49" i="9"/>
  <c r="V49" i="9"/>
  <c r="Y140" i="9"/>
  <c r="V89" i="9"/>
  <c r="Y139" i="9"/>
  <c r="Z140" i="9"/>
  <c r="X140" i="9"/>
  <c r="V140" i="9"/>
  <c r="K89" i="9"/>
  <c r="Z49" i="9"/>
  <c r="J49" i="9"/>
  <c r="K50" i="9"/>
  <c r="J50" i="9"/>
  <c r="V139" i="9"/>
  <c r="W140" i="9"/>
  <c r="AA89" i="9"/>
  <c r="J89" i="9"/>
  <c r="AD140" i="9"/>
  <c r="T89" i="9"/>
  <c r="AD139" i="9"/>
  <c r="K49" i="9"/>
  <c r="V50" i="9"/>
  <c r="AE50" i="9"/>
  <c r="AD50" i="9"/>
  <c r="AC89" i="9"/>
  <c r="T139" i="9"/>
  <c r="Y89" i="9"/>
  <c r="X139" i="9"/>
  <c r="AE49" i="9"/>
  <c r="AA50" i="9"/>
  <c r="AC50" i="9"/>
  <c r="Y50" i="9"/>
  <c r="I139" i="9"/>
  <c r="H89" i="9"/>
  <c r="I89" i="9"/>
  <c r="U140" i="9"/>
  <c r="AC139" i="9"/>
  <c r="AC140" i="9"/>
  <c r="W50" i="9"/>
  <c r="H50" i="9"/>
  <c r="T49" i="9"/>
  <c r="U49" i="9"/>
  <c r="X89" i="9"/>
  <c r="W139" i="9"/>
  <c r="H139" i="9"/>
  <c r="AA140" i="9"/>
  <c r="AD89" i="9"/>
  <c r="AA49" i="9"/>
  <c r="AC49" i="9"/>
  <c r="X50" i="9"/>
  <c r="L50" i="9"/>
  <c r="AD49" i="9"/>
  <c r="Z139" i="9"/>
  <c r="AE140" i="9"/>
  <c r="U139" i="9"/>
  <c r="AE139" i="9"/>
  <c r="Z89" i="9"/>
  <c r="AF49" i="9" l="1"/>
  <c r="AF50" i="9"/>
  <c r="AF89" i="9"/>
  <c r="BN78" i="2"/>
  <c r="BL78" i="2"/>
  <c r="BP78" i="2"/>
  <c r="N78" i="2" s="1"/>
  <c r="BO78" i="2"/>
  <c r="BM78" i="2"/>
  <c r="BQ78" i="2"/>
  <c r="BN73" i="2"/>
  <c r="BP73" i="2"/>
  <c r="BL73" i="2"/>
  <c r="BM73" i="2"/>
  <c r="BO73" i="2"/>
  <c r="BQ73" i="2"/>
  <c r="BN76" i="2"/>
  <c r="BP76" i="2"/>
  <c r="N76" i="2" s="1"/>
  <c r="BL76" i="2"/>
  <c r="BQ76" i="2"/>
  <c r="BM76" i="2"/>
  <c r="BO76" i="2"/>
  <c r="BO298" i="2"/>
  <c r="BM298" i="2"/>
  <c r="BQ298" i="2"/>
  <c r="BN298" i="2"/>
  <c r="BL298" i="2"/>
  <c r="BP298" i="2"/>
  <c r="BP299" i="2"/>
  <c r="BN299" i="2"/>
  <c r="BL299" i="2"/>
  <c r="BN296" i="2"/>
  <c r="BL296" i="2"/>
  <c r="BP296" i="2"/>
  <c r="BQ299" i="2"/>
  <c r="BO299" i="2"/>
  <c r="BM299" i="2"/>
  <c r="BQ290" i="2"/>
  <c r="BO290" i="2"/>
  <c r="BM290" i="2"/>
  <c r="BP290" i="2"/>
  <c r="BN290" i="2"/>
  <c r="BL290" i="2"/>
  <c r="BQ307" i="2"/>
  <c r="BM307" i="2"/>
  <c r="BP307" i="2"/>
  <c r="BL307" i="2"/>
  <c r="BO307" i="2"/>
  <c r="BN307" i="2"/>
  <c r="AF139" i="9"/>
  <c r="AF140" i="9"/>
  <c r="BO135" i="2"/>
  <c r="BM135" i="2"/>
  <c r="BQ135" i="2"/>
  <c r="BQ136" i="2"/>
  <c r="BO136" i="2"/>
  <c r="BM136" i="2"/>
  <c r="BQ129" i="2"/>
  <c r="BM129" i="2"/>
  <c r="BO129" i="2"/>
  <c r="BM130" i="2"/>
  <c r="BO130" i="2"/>
  <c r="BQ130" i="2"/>
  <c r="BM138" i="2"/>
  <c r="BQ138" i="2"/>
  <c r="BO138" i="2"/>
  <c r="BO131" i="2"/>
  <c r="BM131" i="2"/>
  <c r="BQ131" i="2"/>
  <c r="BO139" i="2"/>
  <c r="BM139" i="2"/>
  <c r="BQ139" i="2"/>
  <c r="BN80" i="2"/>
  <c r="BL80" i="2"/>
  <c r="BP80" i="2"/>
  <c r="BQ132" i="2"/>
  <c r="BO132" i="2"/>
  <c r="BM132" i="2"/>
  <c r="BQ140" i="2"/>
  <c r="BO140" i="2"/>
  <c r="BM140" i="2"/>
  <c r="BQ133" i="2"/>
  <c r="BM133" i="2"/>
  <c r="BO133" i="2"/>
  <c r="BM141" i="2"/>
  <c r="BQ141" i="2"/>
  <c r="BO141" i="2"/>
  <c r="T177" i="2"/>
  <c r="T189" i="2"/>
  <c r="T153" i="2"/>
  <c r="T166" i="2"/>
  <c r="T172" i="2"/>
  <c r="T150" i="2"/>
  <c r="T168" i="2"/>
  <c r="T171" i="2"/>
  <c r="T191" i="2"/>
  <c r="T165" i="2"/>
  <c r="T185" i="2"/>
  <c r="T151" i="2"/>
  <c r="T186" i="2"/>
  <c r="T174" i="2"/>
  <c r="T188" i="2"/>
  <c r="T176" i="2"/>
  <c r="T179" i="2"/>
  <c r="T161" i="2"/>
  <c r="T173" i="2"/>
  <c r="T162" i="2"/>
  <c r="T159" i="2"/>
  <c r="T156" i="2"/>
  <c r="T152" i="2"/>
  <c r="T163" i="2"/>
  <c r="T192" i="2"/>
  <c r="T180" i="2"/>
  <c r="T169" i="2"/>
  <c r="T182" i="2"/>
  <c r="T155" i="2"/>
  <c r="T175" i="2"/>
  <c r="T154" i="2"/>
  <c r="T187" i="2"/>
  <c r="T160" i="2"/>
  <c r="T181" i="2"/>
  <c r="T170" i="2"/>
  <c r="T158" i="2"/>
  <c r="T184" i="2"/>
  <c r="T164" i="2"/>
  <c r="T190" i="2"/>
  <c r="T178" i="2"/>
  <c r="T183" i="2"/>
  <c r="T157" i="2"/>
  <c r="T167" i="2"/>
  <c r="T149" i="2"/>
  <c r="T328" i="2"/>
  <c r="T324" i="2"/>
  <c r="T320" i="2"/>
  <c r="T316" i="2"/>
  <c r="T312" i="2"/>
  <c r="T308" i="2"/>
  <c r="T327" i="2"/>
  <c r="T323" i="2"/>
  <c r="T319" i="2"/>
  <c r="T315" i="2"/>
  <c r="T311" i="2"/>
  <c r="T326" i="2"/>
  <c r="T318" i="2"/>
  <c r="T310" i="2"/>
  <c r="T325" i="2"/>
  <c r="T321" i="2"/>
  <c r="T317" i="2"/>
  <c r="T313" i="2"/>
  <c r="T309" i="2"/>
  <c r="T322" i="2"/>
  <c r="T314" i="2"/>
  <c r="DR53" i="2"/>
  <c r="FS53" i="2"/>
  <c r="FS135" i="2"/>
  <c r="DR135" i="2"/>
  <c r="DR298" i="2"/>
  <c r="FS298" i="2"/>
  <c r="DR73" i="2"/>
  <c r="FS73" i="2"/>
  <c r="T95" i="2"/>
  <c r="T91" i="2"/>
  <c r="T87" i="2"/>
  <c r="T83" i="2"/>
  <c r="T94" i="2"/>
  <c r="T90" i="2"/>
  <c r="T86" i="2"/>
  <c r="T82" i="2"/>
  <c r="T97" i="2"/>
  <c r="T93" i="2"/>
  <c r="T89" i="2"/>
  <c r="T85" i="2"/>
  <c r="T96" i="2"/>
  <c r="T92" i="2"/>
  <c r="T88" i="2"/>
  <c r="T84" i="2"/>
  <c r="DR307" i="2"/>
  <c r="FS307" i="2"/>
  <c r="DR290" i="2"/>
  <c r="FS290" i="2"/>
  <c r="DR129" i="2"/>
  <c r="FS129" i="2"/>
  <c r="DR141" i="2"/>
  <c r="FS141" i="2"/>
  <c r="DR299" i="2"/>
  <c r="FS299" i="2"/>
  <c r="FS131" i="2"/>
  <c r="DR131" i="2"/>
  <c r="FS139" i="2"/>
  <c r="DR139" i="2"/>
  <c r="DR132" i="2"/>
  <c r="FS132" i="2"/>
  <c r="DR136" i="2"/>
  <c r="FS136" i="2"/>
  <c r="DR140" i="2"/>
  <c r="FS140" i="2"/>
  <c r="DR133" i="2"/>
  <c r="FS133" i="2"/>
  <c r="DR137" i="2"/>
  <c r="FS137" i="2"/>
  <c r="DR130" i="2"/>
  <c r="FS130" i="2"/>
  <c r="DR134" i="2"/>
  <c r="FS134" i="2"/>
  <c r="DR138" i="2"/>
  <c r="FS138" i="2"/>
  <c r="F129" i="6"/>
  <c r="F110" i="6"/>
  <c r="F137" i="6"/>
  <c r="F126" i="6"/>
  <c r="F125" i="6"/>
  <c r="F133" i="6"/>
  <c r="F134" i="6"/>
  <c r="F132" i="6"/>
  <c r="F112" i="6"/>
  <c r="F111" i="6"/>
  <c r="F127" i="6"/>
  <c r="F131" i="6"/>
  <c r="F143" i="6"/>
  <c r="F144" i="6"/>
  <c r="F138" i="6"/>
  <c r="F128" i="6"/>
  <c r="C97" i="9"/>
  <c r="D97" i="9"/>
  <c r="E97" i="9"/>
  <c r="AH97" i="9"/>
  <c r="C78" i="9"/>
  <c r="D78" i="9"/>
  <c r="E78" i="9"/>
  <c r="AH78" i="9"/>
  <c r="E88" i="2"/>
  <c r="G89" i="9"/>
  <c r="G139" i="9"/>
  <c r="G49" i="9"/>
  <c r="G140" i="9"/>
  <c r="G50" i="9"/>
  <c r="BQ93" i="2" l="1"/>
  <c r="BM93" i="2"/>
  <c r="BP93" i="2"/>
  <c r="BO93" i="2"/>
  <c r="BN93" i="2"/>
  <c r="BL93" i="2"/>
  <c r="BQ310" i="2"/>
  <c r="BM310" i="2"/>
  <c r="BP310" i="2"/>
  <c r="BL310" i="2"/>
  <c r="BO310" i="2"/>
  <c r="BN310" i="2"/>
  <c r="BQ324" i="2"/>
  <c r="BM324" i="2"/>
  <c r="BP324" i="2"/>
  <c r="BL324" i="2"/>
  <c r="BO324" i="2"/>
  <c r="BN324" i="2"/>
  <c r="BQ97" i="2"/>
  <c r="BM97" i="2"/>
  <c r="BP97" i="2"/>
  <c r="BL97" i="2"/>
  <c r="BO97" i="2"/>
  <c r="BN97" i="2"/>
  <c r="BO317" i="2"/>
  <c r="BN317" i="2"/>
  <c r="BQ317" i="2"/>
  <c r="BM317" i="2"/>
  <c r="BP317" i="2"/>
  <c r="BL317" i="2"/>
  <c r="BQ312" i="2"/>
  <c r="BM312" i="2"/>
  <c r="BP312" i="2"/>
  <c r="BL312" i="2"/>
  <c r="BO312" i="2"/>
  <c r="BN312" i="2"/>
  <c r="BO84" i="2"/>
  <c r="BQ84" i="2"/>
  <c r="BM84" i="2"/>
  <c r="BN84" i="2"/>
  <c r="BL84" i="2"/>
  <c r="BP84" i="2"/>
  <c r="BO82" i="2"/>
  <c r="BQ82" i="2"/>
  <c r="BM82" i="2"/>
  <c r="BP82" i="2"/>
  <c r="BN82" i="2"/>
  <c r="BL82" i="2"/>
  <c r="BQ322" i="2"/>
  <c r="BM322" i="2"/>
  <c r="BP322" i="2"/>
  <c r="BL322" i="2"/>
  <c r="BO322" i="2"/>
  <c r="BN322" i="2"/>
  <c r="BQ326" i="2"/>
  <c r="BM326" i="2"/>
  <c r="BP326" i="2"/>
  <c r="BL326" i="2"/>
  <c r="BO326" i="2"/>
  <c r="BN326" i="2"/>
  <c r="BQ178" i="2"/>
  <c r="BM178" i="2"/>
  <c r="BN178" i="2"/>
  <c r="BL178" i="2"/>
  <c r="BP178" i="2"/>
  <c r="BO178" i="2"/>
  <c r="BQ176" i="2"/>
  <c r="BM176" i="2"/>
  <c r="BO176" i="2"/>
  <c r="BN176" i="2"/>
  <c r="BL176" i="2"/>
  <c r="BP176" i="2"/>
  <c r="BO92" i="2"/>
  <c r="BQ92" i="2"/>
  <c r="BM92" i="2"/>
  <c r="BN92" i="2"/>
  <c r="BL92" i="2"/>
  <c r="BP92" i="2"/>
  <c r="BO313" i="2"/>
  <c r="BN313" i="2"/>
  <c r="BQ313" i="2"/>
  <c r="BM313" i="2"/>
  <c r="BP313" i="2"/>
  <c r="BL313" i="2"/>
  <c r="BQ308" i="2"/>
  <c r="BM308" i="2"/>
  <c r="BP308" i="2"/>
  <c r="BL308" i="2"/>
  <c r="BO308" i="2"/>
  <c r="BN308" i="2"/>
  <c r="BO175" i="2"/>
  <c r="BP175" i="2"/>
  <c r="BN175" i="2"/>
  <c r="BM175" i="2"/>
  <c r="BQ175" i="2"/>
  <c r="BL175" i="2"/>
  <c r="BO96" i="2"/>
  <c r="BN96" i="2"/>
  <c r="BQ96" i="2"/>
  <c r="BM96" i="2"/>
  <c r="BP96" i="2"/>
  <c r="BL96" i="2"/>
  <c r="BQ314" i="2"/>
  <c r="BM314" i="2"/>
  <c r="BP314" i="2"/>
  <c r="BL314" i="2"/>
  <c r="BO314" i="2"/>
  <c r="BN314" i="2"/>
  <c r="BO319" i="2"/>
  <c r="BN319" i="2"/>
  <c r="BQ319" i="2"/>
  <c r="BM319" i="2"/>
  <c r="BP319" i="2"/>
  <c r="BL319" i="2"/>
  <c r="BQ85" i="2"/>
  <c r="BM85" i="2"/>
  <c r="BO85" i="2"/>
  <c r="BP85" i="2"/>
  <c r="BN85" i="2"/>
  <c r="BL85" i="2"/>
  <c r="BQ83" i="2"/>
  <c r="BM83" i="2"/>
  <c r="BO83" i="2"/>
  <c r="BL83" i="2"/>
  <c r="BP83" i="2"/>
  <c r="BN83" i="2"/>
  <c r="BO321" i="2"/>
  <c r="BN321" i="2"/>
  <c r="BQ321" i="2"/>
  <c r="BM321" i="2"/>
  <c r="BP321" i="2"/>
  <c r="BL321" i="2"/>
  <c r="BO323" i="2"/>
  <c r="BN323" i="2"/>
  <c r="BQ323" i="2"/>
  <c r="BM323" i="2"/>
  <c r="BL323" i="2"/>
  <c r="BP323" i="2"/>
  <c r="BQ316" i="2"/>
  <c r="BM316" i="2"/>
  <c r="BP316" i="2"/>
  <c r="BL316" i="2"/>
  <c r="BO316" i="2"/>
  <c r="BN316" i="2"/>
  <c r="BO88" i="2"/>
  <c r="BQ88" i="2"/>
  <c r="BM88" i="2"/>
  <c r="BN88" i="2"/>
  <c r="BL88" i="2"/>
  <c r="BP88" i="2"/>
  <c r="BQ89" i="2"/>
  <c r="BM89" i="2"/>
  <c r="BO89" i="2"/>
  <c r="BP89" i="2"/>
  <c r="BN89" i="2"/>
  <c r="BL89" i="2"/>
  <c r="BO86" i="2"/>
  <c r="BQ86" i="2"/>
  <c r="BM86" i="2"/>
  <c r="BP86" i="2"/>
  <c r="BN86" i="2"/>
  <c r="BL86" i="2"/>
  <c r="BQ87" i="2"/>
  <c r="BM87" i="2"/>
  <c r="BO87" i="2"/>
  <c r="BL87" i="2"/>
  <c r="BP87" i="2"/>
  <c r="BN87" i="2"/>
  <c r="BO309" i="2"/>
  <c r="BN309" i="2"/>
  <c r="BQ309" i="2"/>
  <c r="BM309" i="2"/>
  <c r="BP309" i="2"/>
  <c r="BL309" i="2"/>
  <c r="BO325" i="2"/>
  <c r="BN325" i="2"/>
  <c r="BQ325" i="2"/>
  <c r="BM325" i="2"/>
  <c r="BP325" i="2"/>
  <c r="BL325" i="2"/>
  <c r="BO311" i="2"/>
  <c r="BN311" i="2"/>
  <c r="BQ311" i="2"/>
  <c r="BM311" i="2"/>
  <c r="BP311" i="2"/>
  <c r="BL311" i="2"/>
  <c r="BO327" i="2"/>
  <c r="BN327" i="2"/>
  <c r="BQ327" i="2"/>
  <c r="BM327" i="2"/>
  <c r="BP327" i="2"/>
  <c r="BL327" i="2"/>
  <c r="BQ320" i="2"/>
  <c r="BM320" i="2"/>
  <c r="BP320" i="2"/>
  <c r="BL320" i="2"/>
  <c r="BO320" i="2"/>
  <c r="BN320" i="2"/>
  <c r="BO90" i="2"/>
  <c r="BQ90" i="2"/>
  <c r="BM90" i="2"/>
  <c r="BP90" i="2"/>
  <c r="BN90" i="2"/>
  <c r="BL90" i="2"/>
  <c r="BQ91" i="2"/>
  <c r="BM91" i="2"/>
  <c r="BO91" i="2"/>
  <c r="BL91" i="2"/>
  <c r="BP91" i="2"/>
  <c r="BN91" i="2"/>
  <c r="BO315" i="2"/>
  <c r="BN315" i="2"/>
  <c r="BQ315" i="2"/>
  <c r="BM315" i="2"/>
  <c r="BL315" i="2"/>
  <c r="BP315" i="2"/>
  <c r="BO94" i="2"/>
  <c r="BN94" i="2"/>
  <c r="BQ94" i="2"/>
  <c r="BM94" i="2"/>
  <c r="BL94" i="2"/>
  <c r="BP94" i="2"/>
  <c r="BQ95" i="2"/>
  <c r="BM95" i="2"/>
  <c r="BP95" i="2"/>
  <c r="BL95" i="2"/>
  <c r="BO95" i="2"/>
  <c r="BN95" i="2"/>
  <c r="BQ318" i="2"/>
  <c r="BM318" i="2"/>
  <c r="BP318" i="2"/>
  <c r="BL318" i="2"/>
  <c r="BO318" i="2"/>
  <c r="BN318" i="2"/>
  <c r="BQ328" i="2"/>
  <c r="BM328" i="2"/>
  <c r="BP328" i="2"/>
  <c r="BL328" i="2"/>
  <c r="BO328" i="2"/>
  <c r="BN328" i="2"/>
  <c r="BO159" i="2"/>
  <c r="BP159" i="2"/>
  <c r="BN159" i="2"/>
  <c r="BM159" i="2"/>
  <c r="BL159" i="2"/>
  <c r="BQ159" i="2"/>
  <c r="BO179" i="2"/>
  <c r="BM179" i="2"/>
  <c r="BQ179" i="2"/>
  <c r="BL179" i="2"/>
  <c r="BP179" i="2"/>
  <c r="BN179" i="2"/>
  <c r="BO177" i="2"/>
  <c r="BN177" i="2"/>
  <c r="BM177" i="2"/>
  <c r="BQ177" i="2"/>
  <c r="BL177" i="2"/>
  <c r="BP177" i="2"/>
  <c r="N296" i="2"/>
  <c r="N290" i="2"/>
  <c r="N299" i="2"/>
  <c r="N298" i="2"/>
  <c r="N307" i="2"/>
  <c r="N73" i="2"/>
  <c r="FS78" i="2"/>
  <c r="DR78" i="2"/>
  <c r="E78" i="2"/>
  <c r="E76" i="2"/>
  <c r="N176" i="2" l="1"/>
  <c r="N178" i="2"/>
  <c r="N175" i="2"/>
  <c r="N177" i="2"/>
  <c r="N309" i="2"/>
  <c r="N327" i="2"/>
  <c r="N179" i="2"/>
  <c r="N319" i="2"/>
  <c r="N320" i="2"/>
  <c r="N311" i="2"/>
  <c r="N317" i="2"/>
  <c r="N313" i="2"/>
  <c r="N310" i="2"/>
  <c r="N316" i="2"/>
  <c r="N315" i="2"/>
  <c r="N328" i="2"/>
  <c r="N312" i="2"/>
  <c r="N308" i="2"/>
  <c r="N314" i="2"/>
  <c r="N325" i="2"/>
  <c r="N321" i="2"/>
  <c r="N322" i="2"/>
  <c r="N323" i="2"/>
  <c r="N326" i="2"/>
  <c r="N324" i="2"/>
  <c r="N318" i="2"/>
  <c r="N159" i="2"/>
  <c r="N97" i="2"/>
  <c r="N95" i="2"/>
  <c r="N89" i="2"/>
  <c r="N91" i="2"/>
  <c r="N96" i="2"/>
  <c r="N82" i="2"/>
  <c r="N93" i="2"/>
  <c r="N83" i="2"/>
  <c r="N92" i="2"/>
  <c r="N94" i="2"/>
  <c r="N87" i="2"/>
  <c r="N90" i="2"/>
  <c r="DR76" i="2"/>
  <c r="FS76" i="2"/>
  <c r="N86" i="2"/>
  <c r="N85" i="2"/>
  <c r="N88" i="2"/>
  <c r="N84" i="2"/>
  <c r="C81" i="9"/>
  <c r="C82" i="9"/>
  <c r="C95" i="9"/>
  <c r="C134" i="9"/>
  <c r="C135" i="9"/>
  <c r="C136" i="9"/>
  <c r="C83" i="9"/>
  <c r="C137" i="9"/>
  <c r="C84" i="9"/>
  <c r="C96" i="9"/>
  <c r="D81" i="9"/>
  <c r="D82" i="9"/>
  <c r="D95" i="9"/>
  <c r="D134" i="9"/>
  <c r="D135" i="9"/>
  <c r="D136" i="9"/>
  <c r="D83" i="9"/>
  <c r="D137" i="9"/>
  <c r="D84" i="9"/>
  <c r="D96" i="9"/>
  <c r="E81" i="9"/>
  <c r="E82" i="9"/>
  <c r="E95" i="9"/>
  <c r="E134" i="9"/>
  <c r="E135" i="9"/>
  <c r="E136" i="9"/>
  <c r="E83" i="9"/>
  <c r="E137" i="9"/>
  <c r="E84" i="9"/>
  <c r="E96" i="9"/>
  <c r="AH81" i="9"/>
  <c r="AH82" i="9"/>
  <c r="AH95" i="9"/>
  <c r="AH134" i="9"/>
  <c r="AH135" i="9"/>
  <c r="AH136" i="9"/>
  <c r="AH83" i="9"/>
  <c r="AH137" i="9"/>
  <c r="AH84" i="9"/>
  <c r="AH96" i="9"/>
  <c r="A185" i="5" l="1"/>
  <c r="A186" i="5"/>
  <c r="A187" i="5"/>
  <c r="A188" i="5"/>
  <c r="A189" i="5"/>
  <c r="A190" i="5"/>
  <c r="I185" i="5"/>
  <c r="I186" i="5"/>
  <c r="I187" i="5"/>
  <c r="I188" i="5"/>
  <c r="I189" i="5"/>
  <c r="I190" i="5"/>
  <c r="J185" i="5"/>
  <c r="J186" i="5"/>
  <c r="J187" i="5"/>
  <c r="J188" i="5"/>
  <c r="J189" i="5"/>
  <c r="J190" i="5"/>
  <c r="L185" i="5"/>
  <c r="L186" i="5"/>
  <c r="L187" i="5"/>
  <c r="L188" i="5"/>
  <c r="L189" i="5"/>
  <c r="L190" i="5"/>
  <c r="M185" i="5"/>
  <c r="M186" i="5"/>
  <c r="M187" i="5"/>
  <c r="M188" i="5"/>
  <c r="M189" i="5"/>
  <c r="M190" i="5"/>
  <c r="E151" i="9" l="1"/>
  <c r="E150" i="9"/>
  <c r="E149" i="9"/>
  <c r="E148" i="9"/>
  <c r="E147" i="9"/>
  <c r="E146" i="9"/>
  <c r="E242" i="2" l="1"/>
  <c r="E241" i="2"/>
  <c r="E153" i="2"/>
  <c r="E152" i="2"/>
  <c r="E151" i="2"/>
  <c r="P137" i="2"/>
  <c r="BL137" i="2" l="1"/>
  <c r="BP137" i="2"/>
  <c r="BN137" i="2"/>
  <c r="BQ137" i="2"/>
  <c r="BM137" i="2"/>
  <c r="BO137" i="2"/>
  <c r="A119" i="6"/>
  <c r="A121" i="6"/>
  <c r="A123" i="6"/>
  <c r="I119" i="6"/>
  <c r="I121" i="6"/>
  <c r="I123" i="6"/>
  <c r="F119" i="6" l="1"/>
  <c r="F123" i="6"/>
  <c r="F121" i="6"/>
  <c r="N233" i="2" l="1"/>
  <c r="N229" i="2"/>
  <c r="N224" i="2"/>
  <c r="N218" i="2"/>
  <c r="N200" i="2"/>
  <c r="N196" i="2"/>
  <c r="N194" i="2"/>
  <c r="N137" i="2"/>
  <c r="N132" i="2"/>
  <c r="E139" i="2"/>
  <c r="E138" i="2"/>
  <c r="E137" i="2"/>
  <c r="E136" i="2"/>
  <c r="E135" i="2"/>
  <c r="E134" i="2"/>
  <c r="E133" i="2"/>
  <c r="E132" i="2"/>
  <c r="E131" i="2"/>
  <c r="E130" i="2"/>
  <c r="A40" i="5"/>
  <c r="A41" i="5"/>
  <c r="A42" i="5"/>
  <c r="A43" i="5"/>
  <c r="A44" i="5"/>
  <c r="A45" i="5"/>
  <c r="A46" i="5"/>
  <c r="A47" i="5"/>
  <c r="A48" i="5"/>
  <c r="I40" i="5"/>
  <c r="I41" i="5"/>
  <c r="I42" i="5"/>
  <c r="I43" i="5"/>
  <c r="I44" i="5"/>
  <c r="I45" i="5"/>
  <c r="I46" i="5"/>
  <c r="I47" i="5"/>
  <c r="I48" i="5"/>
  <c r="J40" i="5"/>
  <c r="J41" i="5"/>
  <c r="J42" i="5"/>
  <c r="J43" i="5"/>
  <c r="J44" i="5"/>
  <c r="J45" i="5"/>
  <c r="J46" i="5"/>
  <c r="J47" i="5"/>
  <c r="J48" i="5"/>
  <c r="L40" i="5"/>
  <c r="L41" i="5"/>
  <c r="L42" i="5"/>
  <c r="L43" i="5"/>
  <c r="L44" i="5"/>
  <c r="L45" i="5"/>
  <c r="L46" i="5"/>
  <c r="L47" i="5"/>
  <c r="L48" i="5"/>
  <c r="M40" i="5"/>
  <c r="M41" i="5"/>
  <c r="M42" i="5"/>
  <c r="M43" i="5"/>
  <c r="M44" i="5"/>
  <c r="M45" i="5"/>
  <c r="M46" i="5"/>
  <c r="M47" i="5"/>
  <c r="M48" i="5"/>
  <c r="A26" i="5"/>
  <c r="A27" i="5"/>
  <c r="A28" i="5"/>
  <c r="A29" i="5"/>
  <c r="A30" i="5"/>
  <c r="A31" i="5"/>
  <c r="A32" i="5"/>
  <c r="I26" i="5"/>
  <c r="I27" i="5"/>
  <c r="I28" i="5"/>
  <c r="I29" i="5"/>
  <c r="I30" i="5"/>
  <c r="I31" i="5"/>
  <c r="I32" i="5"/>
  <c r="J26" i="5"/>
  <c r="J27" i="5"/>
  <c r="J28" i="5"/>
  <c r="J29" i="5"/>
  <c r="J30" i="5"/>
  <c r="J31" i="5"/>
  <c r="J32" i="5"/>
  <c r="L26" i="5"/>
  <c r="L27" i="5"/>
  <c r="L28" i="5"/>
  <c r="L29" i="5"/>
  <c r="L30" i="5"/>
  <c r="L31" i="5"/>
  <c r="L32" i="5"/>
  <c r="M26" i="5"/>
  <c r="M27" i="5"/>
  <c r="M28" i="5"/>
  <c r="M29" i="5"/>
  <c r="M30" i="5"/>
  <c r="M31" i="5"/>
  <c r="M32" i="5"/>
  <c r="A12" i="5"/>
  <c r="A13" i="5"/>
  <c r="A14" i="5"/>
  <c r="A15" i="5"/>
  <c r="A16" i="5"/>
  <c r="A17" i="5"/>
  <c r="A18" i="5"/>
  <c r="I12" i="5"/>
  <c r="I13" i="5"/>
  <c r="I14" i="5"/>
  <c r="I15" i="5"/>
  <c r="I16" i="5"/>
  <c r="I17" i="5"/>
  <c r="I18" i="5"/>
  <c r="J12" i="5"/>
  <c r="J13" i="5"/>
  <c r="J14" i="5"/>
  <c r="J15" i="5"/>
  <c r="J16" i="5"/>
  <c r="J17" i="5"/>
  <c r="J18" i="5"/>
  <c r="L12" i="5"/>
  <c r="L13" i="5"/>
  <c r="L14" i="5"/>
  <c r="L15" i="5"/>
  <c r="L16" i="5"/>
  <c r="L17" i="5"/>
  <c r="L18" i="5"/>
  <c r="M12" i="5"/>
  <c r="M13" i="5"/>
  <c r="M14" i="5"/>
  <c r="M15" i="5"/>
  <c r="M16" i="5"/>
  <c r="M17" i="5"/>
  <c r="M18" i="5"/>
  <c r="A117" i="6"/>
  <c r="I117" i="6"/>
  <c r="A115" i="6"/>
  <c r="I115" i="6"/>
  <c r="A113" i="6"/>
  <c r="I113" i="6"/>
  <c r="E229" i="2"/>
  <c r="E232" i="2"/>
  <c r="A72" i="5"/>
  <c r="A73" i="5"/>
  <c r="A74" i="5"/>
  <c r="A75" i="5"/>
  <c r="A76" i="5"/>
  <c r="A77" i="5"/>
  <c r="A78" i="5"/>
  <c r="A79" i="5"/>
  <c r="A80" i="5"/>
  <c r="I72" i="5"/>
  <c r="I73" i="5"/>
  <c r="I74" i="5"/>
  <c r="I75" i="5"/>
  <c r="I76" i="5"/>
  <c r="I77" i="5"/>
  <c r="I78" i="5"/>
  <c r="I79" i="5"/>
  <c r="I80" i="5"/>
  <c r="J72" i="5"/>
  <c r="J73" i="5"/>
  <c r="J74" i="5"/>
  <c r="J75" i="5"/>
  <c r="J76" i="5"/>
  <c r="J77" i="5"/>
  <c r="J78" i="5"/>
  <c r="J79" i="5"/>
  <c r="J80" i="5"/>
  <c r="L72" i="5"/>
  <c r="L73" i="5"/>
  <c r="L74" i="5"/>
  <c r="L75" i="5"/>
  <c r="L76" i="5"/>
  <c r="L77" i="5"/>
  <c r="L78" i="5"/>
  <c r="L79" i="5"/>
  <c r="L80" i="5"/>
  <c r="M72" i="5"/>
  <c r="M73" i="5"/>
  <c r="M74" i="5"/>
  <c r="M75" i="5"/>
  <c r="M76" i="5"/>
  <c r="M77" i="5"/>
  <c r="M78" i="5"/>
  <c r="M79" i="5"/>
  <c r="M80" i="5"/>
  <c r="A65" i="5"/>
  <c r="A66" i="5"/>
  <c r="A67" i="5"/>
  <c r="A68" i="5"/>
  <c r="A69" i="5"/>
  <c r="A70" i="5"/>
  <c r="A71" i="5"/>
  <c r="I65" i="5"/>
  <c r="I66" i="5"/>
  <c r="I67" i="5"/>
  <c r="I68" i="5"/>
  <c r="I69" i="5"/>
  <c r="I70" i="5"/>
  <c r="I71" i="5"/>
  <c r="J65" i="5"/>
  <c r="J66" i="5"/>
  <c r="J67" i="5"/>
  <c r="J68" i="5"/>
  <c r="J69" i="5"/>
  <c r="J70" i="5"/>
  <c r="J71" i="5"/>
  <c r="L65" i="5"/>
  <c r="L66" i="5"/>
  <c r="L67" i="5"/>
  <c r="L68" i="5"/>
  <c r="L69" i="5"/>
  <c r="L70" i="5"/>
  <c r="L71" i="5"/>
  <c r="M65" i="5"/>
  <c r="M66" i="5"/>
  <c r="M67" i="5"/>
  <c r="M68" i="5"/>
  <c r="M69" i="5"/>
  <c r="M70" i="5"/>
  <c r="M71" i="5"/>
  <c r="A122" i="6"/>
  <c r="I122" i="6"/>
  <c r="A116" i="6"/>
  <c r="I116" i="6"/>
  <c r="A124" i="6"/>
  <c r="I124" i="6"/>
  <c r="A118" i="6"/>
  <c r="I118" i="6"/>
  <c r="A120" i="6"/>
  <c r="I120" i="6"/>
  <c r="A114" i="6"/>
  <c r="I114" i="6"/>
  <c r="A139" i="6"/>
  <c r="I139" i="6"/>
  <c r="A58" i="5"/>
  <c r="A59" i="5"/>
  <c r="A60" i="5"/>
  <c r="A61" i="5"/>
  <c r="A62" i="5"/>
  <c r="A63" i="5"/>
  <c r="A64" i="5"/>
  <c r="I58" i="5"/>
  <c r="I59" i="5"/>
  <c r="I60" i="5"/>
  <c r="I61" i="5"/>
  <c r="I62" i="5"/>
  <c r="I63" i="5"/>
  <c r="I64" i="5"/>
  <c r="J58" i="5"/>
  <c r="J59" i="5"/>
  <c r="J60" i="5"/>
  <c r="J61" i="5"/>
  <c r="J62" i="5"/>
  <c r="J63" i="5"/>
  <c r="J64" i="5"/>
  <c r="L58" i="5"/>
  <c r="L59" i="5"/>
  <c r="L60" i="5"/>
  <c r="L61" i="5"/>
  <c r="L62" i="5"/>
  <c r="L63" i="5"/>
  <c r="L64" i="5"/>
  <c r="M58" i="5"/>
  <c r="M59" i="5"/>
  <c r="M60" i="5"/>
  <c r="M61" i="5"/>
  <c r="M62" i="5"/>
  <c r="M63" i="5"/>
  <c r="M64" i="5"/>
  <c r="A49" i="5"/>
  <c r="A50" i="5"/>
  <c r="A51" i="5"/>
  <c r="A52" i="5"/>
  <c r="A53" i="5"/>
  <c r="A54" i="5"/>
  <c r="A55" i="5"/>
  <c r="A56" i="5"/>
  <c r="A57" i="5"/>
  <c r="I49" i="5"/>
  <c r="I50" i="5"/>
  <c r="I51" i="5"/>
  <c r="I52" i="5"/>
  <c r="I53" i="5"/>
  <c r="I54" i="5"/>
  <c r="I55" i="5"/>
  <c r="I56" i="5"/>
  <c r="I57" i="5"/>
  <c r="J49" i="5"/>
  <c r="J50" i="5"/>
  <c r="J51" i="5"/>
  <c r="J52" i="5"/>
  <c r="J53" i="5"/>
  <c r="J54" i="5"/>
  <c r="J55" i="5"/>
  <c r="J56" i="5"/>
  <c r="J57" i="5"/>
  <c r="L49" i="5"/>
  <c r="L50" i="5"/>
  <c r="L51" i="5"/>
  <c r="L52" i="5"/>
  <c r="L53" i="5"/>
  <c r="L54" i="5"/>
  <c r="L55" i="5"/>
  <c r="L56" i="5"/>
  <c r="L57" i="5"/>
  <c r="M49" i="5"/>
  <c r="M50" i="5"/>
  <c r="M51" i="5"/>
  <c r="M52" i="5"/>
  <c r="M53" i="5"/>
  <c r="M54" i="5"/>
  <c r="M55" i="5"/>
  <c r="M56" i="5"/>
  <c r="M57" i="5"/>
  <c r="A33" i="5"/>
  <c r="A34" i="5"/>
  <c r="A35" i="5"/>
  <c r="A36" i="5"/>
  <c r="A37" i="5"/>
  <c r="A38" i="5"/>
  <c r="A39" i="5"/>
  <c r="I33" i="5"/>
  <c r="I34" i="5"/>
  <c r="I35" i="5"/>
  <c r="I36" i="5"/>
  <c r="I37" i="5"/>
  <c r="I38" i="5"/>
  <c r="I39" i="5"/>
  <c r="J33" i="5"/>
  <c r="J34" i="5"/>
  <c r="J35" i="5"/>
  <c r="J36" i="5"/>
  <c r="J37" i="5"/>
  <c r="J38" i="5"/>
  <c r="J39" i="5"/>
  <c r="L33" i="5"/>
  <c r="L34" i="5"/>
  <c r="L35" i="5"/>
  <c r="L36" i="5"/>
  <c r="L37" i="5"/>
  <c r="L38" i="5"/>
  <c r="L39" i="5"/>
  <c r="M33" i="5"/>
  <c r="M34" i="5"/>
  <c r="M35" i="5"/>
  <c r="M36" i="5"/>
  <c r="M37" i="5"/>
  <c r="M38" i="5"/>
  <c r="M39" i="5"/>
  <c r="A19" i="5"/>
  <c r="A20" i="5"/>
  <c r="A21" i="5"/>
  <c r="A22" i="5"/>
  <c r="A23" i="5"/>
  <c r="A24" i="5"/>
  <c r="A25" i="5"/>
  <c r="I19" i="5"/>
  <c r="I20" i="5"/>
  <c r="I21" i="5"/>
  <c r="I22" i="5"/>
  <c r="I23" i="5"/>
  <c r="I24" i="5"/>
  <c r="I25" i="5"/>
  <c r="J19" i="5"/>
  <c r="J20" i="5"/>
  <c r="J21" i="5"/>
  <c r="J22" i="5"/>
  <c r="J23" i="5"/>
  <c r="J24" i="5"/>
  <c r="J25" i="5"/>
  <c r="L19" i="5"/>
  <c r="L20" i="5"/>
  <c r="L21" i="5"/>
  <c r="L22" i="5"/>
  <c r="L23" i="5"/>
  <c r="L24" i="5"/>
  <c r="L25" i="5"/>
  <c r="M19" i="5"/>
  <c r="M20" i="5"/>
  <c r="M21" i="5"/>
  <c r="M22" i="5"/>
  <c r="M23" i="5"/>
  <c r="M24" i="5"/>
  <c r="M25" i="5"/>
  <c r="BO232" i="2" l="1"/>
  <c r="BQ232" i="2"/>
  <c r="BM232" i="2"/>
  <c r="DR229" i="2"/>
  <c r="FS229" i="2"/>
  <c r="DR232" i="2"/>
  <c r="FS232" i="2"/>
  <c r="N133" i="2"/>
  <c r="N138" i="2"/>
  <c r="N193" i="2"/>
  <c r="N197" i="2"/>
  <c r="N201" i="2"/>
  <c r="N219" i="2"/>
  <c r="N226" i="2"/>
  <c r="N230" i="2"/>
  <c r="N234" i="2"/>
  <c r="N131" i="2"/>
  <c r="N136" i="2"/>
  <c r="N195" i="2"/>
  <c r="N199" i="2"/>
  <c r="N217" i="2"/>
  <c r="N223" i="2"/>
  <c r="N228" i="2"/>
  <c r="N232" i="2"/>
  <c r="N130" i="2"/>
  <c r="N135" i="2"/>
  <c r="N139" i="2"/>
  <c r="N198" i="2"/>
  <c r="N216" i="2"/>
  <c r="N222" i="2"/>
  <c r="N227" i="2"/>
  <c r="N231" i="2"/>
  <c r="F120" i="6"/>
  <c r="F122" i="6"/>
  <c r="F115" i="6"/>
  <c r="F114" i="6"/>
  <c r="F116" i="6"/>
  <c r="F113" i="6"/>
  <c r="F139" i="6"/>
  <c r="F124" i="6"/>
  <c r="F118" i="6"/>
  <c r="F117" i="6"/>
  <c r="N29" i="5"/>
  <c r="N32" i="5"/>
  <c r="N30" i="5"/>
  <c r="N26" i="5"/>
  <c r="N28" i="5"/>
  <c r="N31" i="5"/>
  <c r="N27" i="5"/>
  <c r="N68" i="5"/>
  <c r="N70" i="5"/>
  <c r="N66" i="5"/>
  <c r="N71" i="5"/>
  <c r="N67" i="5"/>
  <c r="N69" i="5"/>
  <c r="N65" i="5"/>
  <c r="N36" i="5"/>
  <c r="N37" i="5"/>
  <c r="N33" i="5"/>
  <c r="N39" i="5"/>
  <c r="N35" i="5"/>
  <c r="N38" i="5"/>
  <c r="N34" i="5"/>
  <c r="BQ331" i="2" l="1"/>
  <c r="BP331" i="2"/>
  <c r="BO331" i="2"/>
  <c r="BN331" i="2"/>
  <c r="BM331" i="2"/>
  <c r="BL331" i="2"/>
  <c r="N265" i="2"/>
  <c r="N129" i="2"/>
  <c r="N120" i="2"/>
  <c r="N110" i="2"/>
  <c r="N109" i="2"/>
  <c r="N107" i="2"/>
  <c r="N106" i="2"/>
  <c r="N105" i="2"/>
  <c r="N103" i="2"/>
  <c r="N101" i="2"/>
  <c r="N100" i="2"/>
  <c r="N99" i="2"/>
  <c r="N80" i="2"/>
  <c r="N69" i="2"/>
  <c r="N68" i="2"/>
  <c r="N67" i="2"/>
  <c r="N51" i="2"/>
  <c r="N50" i="2"/>
  <c r="N49" i="2"/>
  <c r="N31" i="2"/>
  <c r="N27" i="2"/>
  <c r="N12" i="2"/>
  <c r="E233" i="2"/>
  <c r="E231" i="2"/>
  <c r="E230" i="2"/>
  <c r="E140" i="2"/>
  <c r="P134" i="2"/>
  <c r="A142" i="6"/>
  <c r="I142" i="6"/>
  <c r="A140" i="6"/>
  <c r="A141" i="6"/>
  <c r="I140" i="6"/>
  <c r="F140" i="6" s="1"/>
  <c r="I141" i="6"/>
  <c r="A176" i="5"/>
  <c r="A177" i="5"/>
  <c r="A178" i="5"/>
  <c r="A179" i="5"/>
  <c r="A180" i="5"/>
  <c r="A181" i="5"/>
  <c r="A182" i="5"/>
  <c r="A183" i="5"/>
  <c r="A184" i="5"/>
  <c r="I176" i="5"/>
  <c r="I177" i="5"/>
  <c r="I178" i="5"/>
  <c r="I179" i="5"/>
  <c r="I180" i="5"/>
  <c r="I181" i="5"/>
  <c r="I182" i="5"/>
  <c r="I183" i="5"/>
  <c r="I184" i="5"/>
  <c r="J176" i="5"/>
  <c r="J177" i="5"/>
  <c r="J178" i="5"/>
  <c r="J179" i="5"/>
  <c r="J180" i="5"/>
  <c r="J181" i="5"/>
  <c r="J182" i="5"/>
  <c r="J183" i="5"/>
  <c r="J184" i="5"/>
  <c r="L176" i="5"/>
  <c r="L177" i="5"/>
  <c r="L178" i="5"/>
  <c r="L179" i="5"/>
  <c r="L180" i="5"/>
  <c r="L181" i="5"/>
  <c r="L182" i="5"/>
  <c r="L183" i="5"/>
  <c r="L184" i="5"/>
  <c r="M176" i="5"/>
  <c r="M177" i="5"/>
  <c r="M178" i="5"/>
  <c r="M179" i="5"/>
  <c r="M180" i="5"/>
  <c r="M181" i="5"/>
  <c r="M182" i="5"/>
  <c r="M183" i="5"/>
  <c r="M184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A146" i="5"/>
  <c r="A147" i="5"/>
  <c r="A148" i="5"/>
  <c r="A149" i="5"/>
  <c r="A150" i="5"/>
  <c r="A151" i="5"/>
  <c r="A152" i="5"/>
  <c r="I146" i="5"/>
  <c r="I147" i="5"/>
  <c r="I148" i="5"/>
  <c r="I149" i="5"/>
  <c r="I150" i="5"/>
  <c r="I151" i="5"/>
  <c r="I152" i="5"/>
  <c r="J146" i="5"/>
  <c r="J147" i="5"/>
  <c r="J148" i="5"/>
  <c r="J149" i="5"/>
  <c r="J150" i="5"/>
  <c r="J151" i="5"/>
  <c r="J152" i="5"/>
  <c r="L146" i="5"/>
  <c r="L147" i="5"/>
  <c r="L148" i="5"/>
  <c r="L149" i="5"/>
  <c r="L150" i="5"/>
  <c r="L151" i="5"/>
  <c r="L152" i="5"/>
  <c r="M146" i="5"/>
  <c r="M147" i="5"/>
  <c r="M148" i="5"/>
  <c r="M149" i="5"/>
  <c r="M150" i="5"/>
  <c r="M151" i="5"/>
  <c r="M152" i="5"/>
  <c r="A139" i="5"/>
  <c r="A140" i="5"/>
  <c r="A141" i="5"/>
  <c r="A142" i="5"/>
  <c r="A143" i="5"/>
  <c r="A144" i="5"/>
  <c r="A145" i="5"/>
  <c r="I139" i="5"/>
  <c r="I140" i="5"/>
  <c r="I141" i="5"/>
  <c r="I142" i="5"/>
  <c r="I143" i="5"/>
  <c r="I144" i="5"/>
  <c r="I145" i="5"/>
  <c r="J139" i="5"/>
  <c r="J140" i="5"/>
  <c r="J141" i="5"/>
  <c r="J142" i="5"/>
  <c r="J143" i="5"/>
  <c r="J144" i="5"/>
  <c r="J145" i="5"/>
  <c r="L139" i="5"/>
  <c r="L140" i="5"/>
  <c r="L141" i="5"/>
  <c r="L142" i="5"/>
  <c r="L143" i="5"/>
  <c r="L144" i="5"/>
  <c r="L145" i="5"/>
  <c r="M139" i="5"/>
  <c r="M140" i="5"/>
  <c r="M141" i="5"/>
  <c r="M142" i="5"/>
  <c r="M143" i="5"/>
  <c r="M144" i="5"/>
  <c r="M145" i="5"/>
  <c r="BQ233" i="2" l="1"/>
  <c r="BM233" i="2"/>
  <c r="BO233" i="2"/>
  <c r="BL134" i="2"/>
  <c r="BP134" i="2"/>
  <c r="BN134" i="2"/>
  <c r="BM134" i="2"/>
  <c r="BO134" i="2"/>
  <c r="BQ134" i="2"/>
  <c r="DR233" i="2"/>
  <c r="FS233" i="2"/>
  <c r="FS230" i="2"/>
  <c r="DR230" i="2"/>
  <c r="N330" i="2"/>
  <c r="N6" i="2"/>
  <c r="N13" i="2"/>
  <c r="N32" i="2"/>
  <c r="N44" i="2"/>
  <c r="N46" i="2"/>
  <c r="N11" i="2"/>
  <c r="N30" i="2"/>
  <c r="N47" i="2"/>
  <c r="N48" i="2"/>
  <c r="N54" i="2"/>
  <c r="N98" i="2"/>
  <c r="N102" i="2"/>
  <c r="N104" i="2"/>
  <c r="N108" i="2"/>
  <c r="N122" i="2"/>
  <c r="N264" i="2"/>
  <c r="N10" i="2"/>
  <c r="N28" i="2"/>
  <c r="N29" i="2"/>
  <c r="N45" i="2"/>
  <c r="N66" i="2"/>
  <c r="N329" i="2"/>
  <c r="N331" i="2"/>
  <c r="F141" i="6"/>
  <c r="F142" i="6"/>
  <c r="N140" i="2"/>
  <c r="N263" i="2"/>
  <c r="N174" i="5"/>
  <c r="N170" i="5"/>
  <c r="N173" i="5"/>
  <c r="N169" i="5"/>
  <c r="N172" i="5"/>
  <c r="N175" i="5"/>
  <c r="N171" i="5"/>
  <c r="N152" i="5"/>
  <c r="N148" i="5"/>
  <c r="N151" i="5"/>
  <c r="N147" i="5"/>
  <c r="N149" i="5"/>
  <c r="N150" i="5"/>
  <c r="N146" i="5"/>
  <c r="N262" i="2" l="1"/>
  <c r="N134" i="2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G2" i="11" l="1"/>
  <c r="F2" i="11"/>
  <c r="H2" i="11"/>
  <c r="BJ77" i="1" l="1"/>
  <c r="BI77" i="1"/>
  <c r="BG77" i="1"/>
  <c r="BF77" i="1"/>
  <c r="BE77" i="1"/>
  <c r="BC77" i="1"/>
  <c r="BB77" i="1"/>
  <c r="BA77" i="1"/>
  <c r="AY77" i="1"/>
  <c r="AX77" i="1"/>
  <c r="AW77" i="1"/>
  <c r="AU77" i="1"/>
  <c r="AT77" i="1"/>
  <c r="AS77" i="1"/>
  <c r="AQ77" i="1"/>
  <c r="AP77" i="1"/>
  <c r="AO77" i="1"/>
  <c r="AM77" i="1"/>
  <c r="AL77" i="1"/>
  <c r="AK77" i="1"/>
  <c r="AI77" i="1"/>
  <c r="AH77" i="1"/>
  <c r="AG77" i="1"/>
  <c r="AE77" i="1"/>
  <c r="AD77" i="1"/>
  <c r="AC77" i="1"/>
  <c r="AA77" i="1"/>
  <c r="Z77" i="1"/>
  <c r="Y77" i="1"/>
  <c r="W77" i="1"/>
  <c r="V77" i="1"/>
  <c r="U77" i="1"/>
  <c r="S77" i="1"/>
  <c r="R77" i="1"/>
  <c r="Q77" i="1"/>
  <c r="P77" i="1"/>
  <c r="O77" i="1"/>
  <c r="X44" i="1"/>
  <c r="X77" i="1" s="1"/>
  <c r="BQ50" i="1"/>
  <c r="BP50" i="1"/>
  <c r="BO50" i="1"/>
  <c r="BN50" i="1"/>
  <c r="BM50" i="1"/>
  <c r="BL50" i="1"/>
  <c r="BQ49" i="1"/>
  <c r="BP49" i="1"/>
  <c r="BO49" i="1"/>
  <c r="BN49" i="1"/>
  <c r="BM49" i="1"/>
  <c r="BL49" i="1"/>
  <c r="BP48" i="1"/>
  <c r="BN48" i="1"/>
  <c r="BL48" i="1"/>
  <c r="BP47" i="1"/>
  <c r="BN47" i="1"/>
  <c r="BL47" i="1"/>
  <c r="BP46" i="1"/>
  <c r="BN46" i="1"/>
  <c r="BL46" i="1"/>
  <c r="BP45" i="1"/>
  <c r="BN45" i="1"/>
  <c r="BL45" i="1"/>
  <c r="BQ43" i="1"/>
  <c r="BP43" i="1"/>
  <c r="BO43" i="1"/>
  <c r="BN43" i="1"/>
  <c r="BM43" i="1"/>
  <c r="BL43" i="1"/>
  <c r="I48" i="1"/>
  <c r="BO48" i="1" s="1"/>
  <c r="I47" i="1"/>
  <c r="BQ47" i="1" s="1"/>
  <c r="I46" i="1"/>
  <c r="BO46" i="1" s="1"/>
  <c r="I45" i="1"/>
  <c r="BQ45" i="1" s="1"/>
  <c r="L49" i="1"/>
  <c r="L48" i="1"/>
  <c r="L47" i="1"/>
  <c r="L46" i="1"/>
  <c r="L45" i="1"/>
  <c r="L44" i="1"/>
  <c r="L43" i="1"/>
  <c r="I44" i="1"/>
  <c r="BN44" i="1" l="1"/>
  <c r="BP44" i="1"/>
  <c r="BO44" i="1"/>
  <c r="BL44" i="1"/>
  <c r="BQ48" i="1"/>
  <c r="BM44" i="1"/>
  <c r="BO45" i="1"/>
  <c r="BQ44" i="1"/>
  <c r="N46" i="1"/>
  <c r="BO47" i="1"/>
  <c r="BM48" i="1"/>
  <c r="BM45" i="1"/>
  <c r="BM47" i="1"/>
  <c r="N48" i="1"/>
  <c r="N50" i="1"/>
  <c r="BM46" i="1"/>
  <c r="BQ46" i="1"/>
  <c r="N45" i="1"/>
  <c r="N47" i="1"/>
  <c r="N49" i="1"/>
  <c r="N43" i="1"/>
  <c r="E174" i="2"/>
  <c r="E173" i="2"/>
  <c r="E172" i="2"/>
  <c r="E171" i="2"/>
  <c r="E170" i="2"/>
  <c r="E169" i="2"/>
  <c r="P142" i="2"/>
  <c r="E142" i="2"/>
  <c r="P148" i="2"/>
  <c r="E192" i="2"/>
  <c r="E191" i="2"/>
  <c r="E190" i="2"/>
  <c r="E189" i="2"/>
  <c r="E188" i="2"/>
  <c r="E187" i="2"/>
  <c r="N44" i="1" l="1"/>
  <c r="BP148" i="2"/>
  <c r="N148" i="2" s="1"/>
  <c r="BN148" i="2"/>
  <c r="BL148" i="2"/>
  <c r="BN142" i="2"/>
  <c r="BL142" i="2"/>
  <c r="BP142" i="2"/>
  <c r="N142" i="2" s="1"/>
  <c r="BM142" i="2"/>
  <c r="BO142" i="2"/>
  <c r="BQ142" i="2"/>
  <c r="E148" i="2"/>
  <c r="P123" i="2" l="1"/>
  <c r="P124" i="2"/>
  <c r="P125" i="2"/>
  <c r="P126" i="2"/>
  <c r="P146" i="2"/>
  <c r="BN146" i="2" l="1"/>
  <c r="BL146" i="2"/>
  <c r="BP146" i="2"/>
  <c r="N146" i="2" s="1"/>
  <c r="BL126" i="2"/>
  <c r="BP126" i="2"/>
  <c r="N126" i="2" s="1"/>
  <c r="BN126" i="2"/>
  <c r="BL125" i="2"/>
  <c r="BP125" i="2"/>
  <c r="N125" i="2" s="1"/>
  <c r="BN125" i="2"/>
  <c r="BP124" i="2"/>
  <c r="BN124" i="2"/>
  <c r="BL124" i="2"/>
  <c r="BN123" i="2"/>
  <c r="BL123" i="2"/>
  <c r="BP123" i="2"/>
  <c r="N123" i="2" s="1"/>
  <c r="BO148" i="2"/>
  <c r="BQ148" i="2"/>
  <c r="BM148" i="2"/>
  <c r="P172" i="2"/>
  <c r="P155" i="2"/>
  <c r="P184" i="2"/>
  <c r="P163" i="2"/>
  <c r="P191" i="2"/>
  <c r="P170" i="2"/>
  <c r="P153" i="2"/>
  <c r="P182" i="2"/>
  <c r="P161" i="2"/>
  <c r="P152" i="2"/>
  <c r="P189" i="2"/>
  <c r="P168" i="2"/>
  <c r="P151" i="2"/>
  <c r="P180" i="2"/>
  <c r="P158" i="2"/>
  <c r="P187" i="2"/>
  <c r="P166" i="2"/>
  <c r="P149" i="2"/>
  <c r="P173" i="2"/>
  <c r="P185" i="2"/>
  <c r="P164" i="2"/>
  <c r="P192" i="2"/>
  <c r="P171" i="2"/>
  <c r="P154" i="2"/>
  <c r="P183" i="2"/>
  <c r="P162" i="2"/>
  <c r="P190" i="2"/>
  <c r="P169" i="2"/>
  <c r="P181" i="2"/>
  <c r="P160" i="2"/>
  <c r="P188" i="2"/>
  <c r="P167" i="2"/>
  <c r="P150" i="2"/>
  <c r="P174" i="2"/>
  <c r="P157" i="2"/>
  <c r="P186" i="2"/>
  <c r="P165" i="2"/>
  <c r="P156" i="2"/>
  <c r="DR148" i="2"/>
  <c r="FS148" i="2"/>
  <c r="P53" i="2"/>
  <c r="BP53" i="2" l="1"/>
  <c r="N53" i="2" s="1"/>
  <c r="BN53" i="2"/>
  <c r="BL53" i="2"/>
  <c r="BO53" i="2"/>
  <c r="BM53" i="2"/>
  <c r="BQ53" i="2"/>
  <c r="BQ150" i="2"/>
  <c r="BM150" i="2"/>
  <c r="BP150" i="2"/>
  <c r="BO150" i="2"/>
  <c r="BN150" i="2"/>
  <c r="BL150" i="2"/>
  <c r="BQ164" i="2"/>
  <c r="BM164" i="2"/>
  <c r="BL164" i="2"/>
  <c r="BP164" i="2"/>
  <c r="BO164" i="2"/>
  <c r="BN164" i="2"/>
  <c r="BO151" i="2"/>
  <c r="BP151" i="2"/>
  <c r="BN151" i="2"/>
  <c r="BM151" i="2"/>
  <c r="BQ151" i="2"/>
  <c r="BL151" i="2"/>
  <c r="BQ172" i="2"/>
  <c r="BM172" i="2"/>
  <c r="BL172" i="2"/>
  <c r="BP172" i="2"/>
  <c r="BO172" i="2"/>
  <c r="BN172" i="2"/>
  <c r="BO186" i="2"/>
  <c r="BQ186" i="2"/>
  <c r="BM186" i="2"/>
  <c r="BP186" i="2"/>
  <c r="BN186" i="2"/>
  <c r="BL186" i="2"/>
  <c r="BO167" i="2"/>
  <c r="BP167" i="2"/>
  <c r="BN167" i="2"/>
  <c r="BM167" i="2"/>
  <c r="BQ167" i="2"/>
  <c r="BL167" i="2"/>
  <c r="BO169" i="2"/>
  <c r="BN169" i="2"/>
  <c r="BM169" i="2"/>
  <c r="BQ169" i="2"/>
  <c r="BL169" i="2"/>
  <c r="BP169" i="2"/>
  <c r="BQ154" i="2"/>
  <c r="BM154" i="2"/>
  <c r="BN154" i="2"/>
  <c r="BL154" i="2"/>
  <c r="BP154" i="2"/>
  <c r="N154" i="2" s="1"/>
  <c r="BO154" i="2"/>
  <c r="BQ185" i="2"/>
  <c r="BO185" i="2"/>
  <c r="BN185" i="2"/>
  <c r="BM185" i="2"/>
  <c r="BL185" i="2"/>
  <c r="BP185" i="2"/>
  <c r="BQ187" i="2"/>
  <c r="BM187" i="2"/>
  <c r="BO187" i="2"/>
  <c r="BP187" i="2"/>
  <c r="BN187" i="2"/>
  <c r="BL187" i="2"/>
  <c r="BQ168" i="2"/>
  <c r="BM168" i="2"/>
  <c r="BO168" i="2"/>
  <c r="BN168" i="2"/>
  <c r="BL168" i="2"/>
  <c r="BP168" i="2"/>
  <c r="BQ182" i="2"/>
  <c r="BM182" i="2"/>
  <c r="BP182" i="2"/>
  <c r="BO182" i="2"/>
  <c r="BN182" i="2"/>
  <c r="BL182" i="2"/>
  <c r="BO163" i="2"/>
  <c r="BM163" i="2"/>
  <c r="BQ163" i="2"/>
  <c r="BL163" i="2"/>
  <c r="BP163" i="2"/>
  <c r="BN163" i="2"/>
  <c r="BO165" i="2"/>
  <c r="BQ165" i="2"/>
  <c r="BL165" i="2"/>
  <c r="BP165" i="2"/>
  <c r="BN165" i="2"/>
  <c r="BM165" i="2"/>
  <c r="BO183" i="2"/>
  <c r="BP183" i="2"/>
  <c r="BN183" i="2"/>
  <c r="BM183" i="2"/>
  <c r="BQ183" i="2"/>
  <c r="BL183" i="2"/>
  <c r="BQ166" i="2"/>
  <c r="BM166" i="2"/>
  <c r="BP166" i="2"/>
  <c r="BO166" i="2"/>
  <c r="BN166" i="2"/>
  <c r="BL166" i="2"/>
  <c r="BO161" i="2"/>
  <c r="BN161" i="2"/>
  <c r="BM161" i="2"/>
  <c r="BQ161" i="2"/>
  <c r="BL161" i="2"/>
  <c r="BP161" i="2"/>
  <c r="BQ191" i="2"/>
  <c r="BM191" i="2"/>
  <c r="BO191" i="2"/>
  <c r="BP191" i="2"/>
  <c r="BN191" i="2"/>
  <c r="BL191" i="2"/>
  <c r="BO157" i="2"/>
  <c r="BQ157" i="2"/>
  <c r="BL157" i="2"/>
  <c r="BP157" i="2"/>
  <c r="N157" i="2" s="1"/>
  <c r="BN157" i="2"/>
  <c r="BM157" i="2"/>
  <c r="BO188" i="2"/>
  <c r="BQ188" i="2"/>
  <c r="BM188" i="2"/>
  <c r="BL188" i="2"/>
  <c r="BP188" i="2"/>
  <c r="BN188" i="2"/>
  <c r="BO190" i="2"/>
  <c r="BQ190" i="2"/>
  <c r="BM190" i="2"/>
  <c r="BP190" i="2"/>
  <c r="BN190" i="2"/>
  <c r="BL190" i="2"/>
  <c r="BO171" i="2"/>
  <c r="BM171" i="2"/>
  <c r="BQ171" i="2"/>
  <c r="BL171" i="2"/>
  <c r="BP171" i="2"/>
  <c r="BN171" i="2"/>
  <c r="BO173" i="2"/>
  <c r="BQ173" i="2"/>
  <c r="BL173" i="2"/>
  <c r="BP173" i="2"/>
  <c r="BN173" i="2"/>
  <c r="BM173" i="2"/>
  <c r="BQ158" i="2"/>
  <c r="BM158" i="2"/>
  <c r="BP158" i="2"/>
  <c r="N158" i="2" s="1"/>
  <c r="BO158" i="2"/>
  <c r="BN158" i="2"/>
  <c r="BL158" i="2"/>
  <c r="BQ189" i="2"/>
  <c r="BM189" i="2"/>
  <c r="BO189" i="2"/>
  <c r="BN189" i="2"/>
  <c r="BL189" i="2"/>
  <c r="BP189" i="2"/>
  <c r="BO153" i="2"/>
  <c r="BN153" i="2"/>
  <c r="BM153" i="2"/>
  <c r="BQ153" i="2"/>
  <c r="BL153" i="2"/>
  <c r="BP153" i="2"/>
  <c r="N153" i="2" s="1"/>
  <c r="BQ184" i="2"/>
  <c r="BM184" i="2"/>
  <c r="BO184" i="2"/>
  <c r="BN184" i="2"/>
  <c r="BL184" i="2"/>
  <c r="BP184" i="2"/>
  <c r="BO181" i="2"/>
  <c r="BQ181" i="2"/>
  <c r="BL181" i="2"/>
  <c r="BP181" i="2"/>
  <c r="BN181" i="2"/>
  <c r="BM181" i="2"/>
  <c r="BQ156" i="2"/>
  <c r="BM156" i="2"/>
  <c r="BL156" i="2"/>
  <c r="BP156" i="2"/>
  <c r="N156" i="2" s="1"/>
  <c r="BO156" i="2"/>
  <c r="BN156" i="2"/>
  <c r="BQ174" i="2"/>
  <c r="BM174" i="2"/>
  <c r="BP174" i="2"/>
  <c r="BO174" i="2"/>
  <c r="BN174" i="2"/>
  <c r="BL174" i="2"/>
  <c r="BQ160" i="2"/>
  <c r="BM160" i="2"/>
  <c r="BO160" i="2"/>
  <c r="BN160" i="2"/>
  <c r="BL160" i="2"/>
  <c r="BP160" i="2"/>
  <c r="BQ162" i="2"/>
  <c r="BM162" i="2"/>
  <c r="BN162" i="2"/>
  <c r="BL162" i="2"/>
  <c r="BP162" i="2"/>
  <c r="BO162" i="2"/>
  <c r="BO192" i="2"/>
  <c r="BQ192" i="2"/>
  <c r="BM192" i="2"/>
  <c r="BL192" i="2"/>
  <c r="BP192" i="2"/>
  <c r="BN192" i="2"/>
  <c r="BQ149" i="2"/>
  <c r="BM149" i="2"/>
  <c r="BP149" i="2"/>
  <c r="N149" i="2" s="1"/>
  <c r="BL149" i="2"/>
  <c r="BO149" i="2"/>
  <c r="BN149" i="2"/>
  <c r="BQ180" i="2"/>
  <c r="BM180" i="2"/>
  <c r="BL180" i="2"/>
  <c r="BP180" i="2"/>
  <c r="N180" i="2" s="1"/>
  <c r="BO180" i="2"/>
  <c r="BN180" i="2"/>
  <c r="BQ152" i="2"/>
  <c r="BM152" i="2"/>
  <c r="BO152" i="2"/>
  <c r="BN152" i="2"/>
  <c r="BL152" i="2"/>
  <c r="BP152" i="2"/>
  <c r="N152" i="2" s="1"/>
  <c r="BQ170" i="2"/>
  <c r="BM170" i="2"/>
  <c r="BN170" i="2"/>
  <c r="BL170" i="2"/>
  <c r="BP170" i="2"/>
  <c r="BO170" i="2"/>
  <c r="BO155" i="2"/>
  <c r="BM155" i="2"/>
  <c r="BQ155" i="2"/>
  <c r="BL155" i="2"/>
  <c r="BP155" i="2"/>
  <c r="N155" i="2" s="1"/>
  <c r="BN155" i="2"/>
  <c r="P63" i="2"/>
  <c r="P59" i="2"/>
  <c r="P55" i="2"/>
  <c r="P62" i="2"/>
  <c r="P58" i="2"/>
  <c r="P65" i="2"/>
  <c r="P61" i="2"/>
  <c r="P57" i="2"/>
  <c r="P64" i="2"/>
  <c r="P60" i="2"/>
  <c r="P56" i="2"/>
  <c r="P52" i="2"/>
  <c r="N124" i="2"/>
  <c r="BQ65" i="1"/>
  <c r="BP65" i="1"/>
  <c r="BO65" i="1"/>
  <c r="BN65" i="1"/>
  <c r="BM65" i="1"/>
  <c r="BL65" i="1"/>
  <c r="BQ64" i="1"/>
  <c r="BP64" i="1"/>
  <c r="BO64" i="1"/>
  <c r="BN64" i="1"/>
  <c r="BM64" i="1"/>
  <c r="BL64" i="1"/>
  <c r="BQ63" i="1"/>
  <c r="BP63" i="1"/>
  <c r="BO63" i="1"/>
  <c r="BN63" i="1"/>
  <c r="BM63" i="1"/>
  <c r="BL63" i="1"/>
  <c r="BP62" i="1"/>
  <c r="BN62" i="1"/>
  <c r="BL62" i="1"/>
  <c r="BP61" i="1"/>
  <c r="BN61" i="1"/>
  <c r="BL61" i="1"/>
  <c r="BP60" i="1"/>
  <c r="BN60" i="1"/>
  <c r="BL60" i="1"/>
  <c r="BP59" i="1"/>
  <c r="BN59" i="1"/>
  <c r="BL59" i="1"/>
  <c r="BQ53" i="1"/>
  <c r="BP53" i="1"/>
  <c r="BO53" i="1"/>
  <c r="BN53" i="1"/>
  <c r="BM53" i="1"/>
  <c r="BL53" i="1"/>
  <c r="BP52" i="1"/>
  <c r="BN52" i="1"/>
  <c r="BL52" i="1"/>
  <c r="BP51" i="1"/>
  <c r="BN51" i="1"/>
  <c r="BL51" i="1"/>
  <c r="BQ42" i="1"/>
  <c r="BP42" i="1"/>
  <c r="BO42" i="1"/>
  <c r="BN42" i="1"/>
  <c r="BM42" i="1"/>
  <c r="BL42" i="1"/>
  <c r="BQ41" i="1"/>
  <c r="BP41" i="1"/>
  <c r="BO41" i="1"/>
  <c r="BN41" i="1"/>
  <c r="BM41" i="1"/>
  <c r="BL41" i="1"/>
  <c r="BP40" i="1"/>
  <c r="BN40" i="1"/>
  <c r="BL40" i="1"/>
  <c r="BP39" i="1"/>
  <c r="BN39" i="1"/>
  <c r="BL39" i="1"/>
  <c r="BP38" i="1"/>
  <c r="BN38" i="1"/>
  <c r="BL38" i="1"/>
  <c r="BP37" i="1"/>
  <c r="BN37" i="1"/>
  <c r="BL37" i="1"/>
  <c r="BP36" i="1"/>
  <c r="BN36" i="1"/>
  <c r="BL36" i="1"/>
  <c r="BP35" i="1"/>
  <c r="BN35" i="1"/>
  <c r="BL35" i="1"/>
  <c r="BQ34" i="1"/>
  <c r="BP34" i="1"/>
  <c r="BO34" i="1"/>
  <c r="BN34" i="1"/>
  <c r="BM34" i="1"/>
  <c r="BL34" i="1"/>
  <c r="BQ33" i="1"/>
  <c r="BP33" i="1"/>
  <c r="BO33" i="1"/>
  <c r="BN33" i="1"/>
  <c r="BM33" i="1"/>
  <c r="BL33" i="1"/>
  <c r="BP32" i="1"/>
  <c r="BN32" i="1"/>
  <c r="BL32" i="1"/>
  <c r="BP31" i="1"/>
  <c r="BN31" i="1"/>
  <c r="BL31" i="1"/>
  <c r="BP30" i="1"/>
  <c r="BN30" i="1"/>
  <c r="BL30" i="1"/>
  <c r="BP29" i="1"/>
  <c r="BN29" i="1"/>
  <c r="BL29" i="1"/>
  <c r="BP28" i="1"/>
  <c r="BN28" i="1"/>
  <c r="BL28" i="1"/>
  <c r="BP27" i="1"/>
  <c r="BN27" i="1"/>
  <c r="BL27" i="1"/>
  <c r="BP26" i="1"/>
  <c r="BN26" i="1"/>
  <c r="BL26" i="1"/>
  <c r="BP25" i="1"/>
  <c r="BN25" i="1"/>
  <c r="BL25" i="1"/>
  <c r="BP24" i="1"/>
  <c r="BN24" i="1"/>
  <c r="BL24" i="1"/>
  <c r="BP23" i="1"/>
  <c r="BN23" i="1"/>
  <c r="BL23" i="1"/>
  <c r="BQ22" i="1"/>
  <c r="BP22" i="1"/>
  <c r="BO22" i="1"/>
  <c r="BN22" i="1"/>
  <c r="BM22" i="1"/>
  <c r="BL22" i="1"/>
  <c r="BQ21" i="1"/>
  <c r="BP21" i="1"/>
  <c r="BO21" i="1"/>
  <c r="BN21" i="1"/>
  <c r="BM21" i="1"/>
  <c r="BL21" i="1"/>
  <c r="BP20" i="1"/>
  <c r="BN20" i="1"/>
  <c r="BL20" i="1"/>
  <c r="BP19" i="1"/>
  <c r="BN19" i="1"/>
  <c r="BL19" i="1"/>
  <c r="BP18" i="1"/>
  <c r="BN18" i="1"/>
  <c r="BL18" i="1"/>
  <c r="BP17" i="1"/>
  <c r="BN17" i="1"/>
  <c r="BL17" i="1"/>
  <c r="BP16" i="1"/>
  <c r="BN16" i="1"/>
  <c r="BL16" i="1"/>
  <c r="BP15" i="1"/>
  <c r="BN15" i="1"/>
  <c r="BL15" i="1"/>
  <c r="BQ14" i="1"/>
  <c r="BP14" i="1"/>
  <c r="BO14" i="1"/>
  <c r="BN14" i="1"/>
  <c r="BM14" i="1"/>
  <c r="BL14" i="1"/>
  <c r="BQ13" i="1"/>
  <c r="BP13" i="1"/>
  <c r="BO13" i="1"/>
  <c r="BN13" i="1"/>
  <c r="BM13" i="1"/>
  <c r="BL13" i="1"/>
  <c r="BP12" i="1"/>
  <c r="BN12" i="1"/>
  <c r="BL12" i="1"/>
  <c r="BP11" i="1"/>
  <c r="BN11" i="1"/>
  <c r="BL11" i="1"/>
  <c r="BP10" i="1"/>
  <c r="BN10" i="1"/>
  <c r="BL10" i="1"/>
  <c r="BJ79" i="1"/>
  <c r="BI79" i="1"/>
  <c r="BG79" i="1"/>
  <c r="BF79" i="1"/>
  <c r="BE79" i="1"/>
  <c r="BC79" i="1"/>
  <c r="BB79" i="1"/>
  <c r="BA79" i="1"/>
  <c r="AY79" i="1"/>
  <c r="AX79" i="1"/>
  <c r="AW79" i="1"/>
  <c r="AU79" i="1"/>
  <c r="AT79" i="1"/>
  <c r="AS79" i="1"/>
  <c r="AQ79" i="1"/>
  <c r="AP79" i="1"/>
  <c r="AO79" i="1"/>
  <c r="AM79" i="1"/>
  <c r="AL79" i="1"/>
  <c r="AK79" i="1"/>
  <c r="AI79" i="1"/>
  <c r="AH79" i="1"/>
  <c r="AG79" i="1"/>
  <c r="AE79" i="1"/>
  <c r="AD79" i="1"/>
  <c r="AC79" i="1"/>
  <c r="AA79" i="1"/>
  <c r="Z79" i="1"/>
  <c r="Y79" i="1"/>
  <c r="X79" i="1"/>
  <c r="W79" i="1"/>
  <c r="V79" i="1"/>
  <c r="U79" i="1"/>
  <c r="S79" i="1"/>
  <c r="R79" i="1"/>
  <c r="Q79" i="1"/>
  <c r="BJ78" i="1"/>
  <c r="BI78" i="1"/>
  <c r="BG78" i="1"/>
  <c r="BF78" i="1"/>
  <c r="BE78" i="1"/>
  <c r="BC78" i="1"/>
  <c r="BB78" i="1"/>
  <c r="BA78" i="1"/>
  <c r="AY78" i="1"/>
  <c r="AX78" i="1"/>
  <c r="AW78" i="1"/>
  <c r="AU78" i="1"/>
  <c r="AT78" i="1"/>
  <c r="AS78" i="1"/>
  <c r="AQ78" i="1"/>
  <c r="AP78" i="1"/>
  <c r="AO78" i="1"/>
  <c r="AM78" i="1"/>
  <c r="AL78" i="1"/>
  <c r="AK78" i="1"/>
  <c r="AI78" i="1"/>
  <c r="AH78" i="1"/>
  <c r="AG78" i="1"/>
  <c r="AE78" i="1"/>
  <c r="AD78" i="1"/>
  <c r="AC78" i="1"/>
  <c r="AA78" i="1"/>
  <c r="Z78" i="1"/>
  <c r="Y78" i="1"/>
  <c r="X78" i="1"/>
  <c r="W78" i="1"/>
  <c r="V78" i="1"/>
  <c r="U78" i="1"/>
  <c r="S78" i="1"/>
  <c r="R78" i="1"/>
  <c r="Q78" i="1"/>
  <c r="BJ76" i="1"/>
  <c r="BI76" i="1"/>
  <c r="BG76" i="1"/>
  <c r="BF76" i="1"/>
  <c r="BE76" i="1"/>
  <c r="BC76" i="1"/>
  <c r="BB76" i="1"/>
  <c r="BA76" i="1"/>
  <c r="AY76" i="1"/>
  <c r="AX76" i="1"/>
  <c r="AW76" i="1"/>
  <c r="AU76" i="1"/>
  <c r="AT76" i="1"/>
  <c r="AS76" i="1"/>
  <c r="AQ76" i="1"/>
  <c r="AP76" i="1"/>
  <c r="AO76" i="1"/>
  <c r="AM76" i="1"/>
  <c r="AL76" i="1"/>
  <c r="AK76" i="1"/>
  <c r="AI76" i="1"/>
  <c r="AH76" i="1"/>
  <c r="AG76" i="1"/>
  <c r="AE76" i="1"/>
  <c r="AD76" i="1"/>
  <c r="AC76" i="1"/>
  <c r="AA76" i="1"/>
  <c r="Z76" i="1"/>
  <c r="Y76" i="1"/>
  <c r="X76" i="1"/>
  <c r="W76" i="1"/>
  <c r="V76" i="1"/>
  <c r="U76" i="1"/>
  <c r="S76" i="1"/>
  <c r="R76" i="1"/>
  <c r="Q76" i="1"/>
  <c r="BJ75" i="1"/>
  <c r="BI75" i="1"/>
  <c r="BG75" i="1"/>
  <c r="BF75" i="1"/>
  <c r="BE75" i="1"/>
  <c r="BC75" i="1"/>
  <c r="BB75" i="1"/>
  <c r="BA75" i="1"/>
  <c r="AY75" i="1"/>
  <c r="AX75" i="1"/>
  <c r="AW75" i="1"/>
  <c r="AU75" i="1"/>
  <c r="AT75" i="1"/>
  <c r="AS75" i="1"/>
  <c r="AQ75" i="1"/>
  <c r="AP75" i="1"/>
  <c r="AO75" i="1"/>
  <c r="AM75" i="1"/>
  <c r="AL75" i="1"/>
  <c r="AK75" i="1"/>
  <c r="AI75" i="1"/>
  <c r="AH75" i="1"/>
  <c r="AG75" i="1"/>
  <c r="AE75" i="1"/>
  <c r="AD75" i="1"/>
  <c r="AC75" i="1"/>
  <c r="AA75" i="1"/>
  <c r="Z75" i="1"/>
  <c r="Y75" i="1"/>
  <c r="X75" i="1"/>
  <c r="W75" i="1"/>
  <c r="V75" i="1"/>
  <c r="U75" i="1"/>
  <c r="S75" i="1"/>
  <c r="R75" i="1"/>
  <c r="Q75" i="1"/>
  <c r="BJ74" i="1"/>
  <c r="BI74" i="1"/>
  <c r="BG74" i="1"/>
  <c r="BF74" i="1"/>
  <c r="BE74" i="1"/>
  <c r="BC74" i="1"/>
  <c r="BB74" i="1"/>
  <c r="BA74" i="1"/>
  <c r="AY74" i="1"/>
  <c r="AX74" i="1"/>
  <c r="AW74" i="1"/>
  <c r="AU74" i="1"/>
  <c r="AT74" i="1"/>
  <c r="AS74" i="1"/>
  <c r="AQ74" i="1"/>
  <c r="AP74" i="1"/>
  <c r="AO74" i="1"/>
  <c r="AM74" i="1"/>
  <c r="AL74" i="1"/>
  <c r="AK74" i="1"/>
  <c r="AI74" i="1"/>
  <c r="AH74" i="1"/>
  <c r="AG74" i="1"/>
  <c r="AE74" i="1"/>
  <c r="AD74" i="1"/>
  <c r="AC74" i="1"/>
  <c r="AA74" i="1"/>
  <c r="Z74" i="1"/>
  <c r="Y74" i="1"/>
  <c r="X74" i="1"/>
  <c r="W74" i="1"/>
  <c r="V74" i="1"/>
  <c r="U74" i="1"/>
  <c r="S74" i="1"/>
  <c r="R74" i="1"/>
  <c r="Q74" i="1"/>
  <c r="BJ73" i="1"/>
  <c r="BI73" i="1"/>
  <c r="BG73" i="1"/>
  <c r="BF73" i="1"/>
  <c r="BE73" i="1"/>
  <c r="BC73" i="1"/>
  <c r="BB73" i="1"/>
  <c r="BA73" i="1"/>
  <c r="AY73" i="1"/>
  <c r="AX73" i="1"/>
  <c r="AW73" i="1"/>
  <c r="AU73" i="1"/>
  <c r="AT73" i="1"/>
  <c r="AS73" i="1"/>
  <c r="AQ73" i="1"/>
  <c r="AP73" i="1"/>
  <c r="AO73" i="1"/>
  <c r="AM73" i="1"/>
  <c r="AL73" i="1"/>
  <c r="AK73" i="1"/>
  <c r="AI73" i="1"/>
  <c r="AH73" i="1"/>
  <c r="AG73" i="1"/>
  <c r="AE73" i="1"/>
  <c r="AD73" i="1"/>
  <c r="AC73" i="1"/>
  <c r="AA73" i="1"/>
  <c r="Z73" i="1"/>
  <c r="Y73" i="1"/>
  <c r="X73" i="1"/>
  <c r="W73" i="1"/>
  <c r="V73" i="1"/>
  <c r="U73" i="1"/>
  <c r="S73" i="1"/>
  <c r="R73" i="1"/>
  <c r="Q73" i="1"/>
  <c r="F50" i="9"/>
  <c r="F49" i="9"/>
  <c r="F89" i="9"/>
  <c r="BQ56" i="2" l="1"/>
  <c r="BM56" i="2"/>
  <c r="BO56" i="2"/>
  <c r="BN56" i="2"/>
  <c r="BL56" i="2"/>
  <c r="BP56" i="2"/>
  <c r="BO61" i="2"/>
  <c r="BQ61" i="2"/>
  <c r="BM61" i="2"/>
  <c r="BP61" i="2"/>
  <c r="BN61" i="2"/>
  <c r="BL61" i="2"/>
  <c r="BO55" i="2"/>
  <c r="BQ55" i="2"/>
  <c r="BM55" i="2"/>
  <c r="BL55" i="2"/>
  <c r="BP55" i="2"/>
  <c r="BN55" i="2"/>
  <c r="BQ60" i="2"/>
  <c r="BM60" i="2"/>
  <c r="BO60" i="2"/>
  <c r="BN60" i="2"/>
  <c r="BL60" i="2"/>
  <c r="BP60" i="2"/>
  <c r="BO65" i="2"/>
  <c r="BQ65" i="2"/>
  <c r="BM65" i="2"/>
  <c r="BP65" i="2"/>
  <c r="BN65" i="2"/>
  <c r="BL65" i="2"/>
  <c r="BO59" i="2"/>
  <c r="BQ59" i="2"/>
  <c r="BM59" i="2"/>
  <c r="BL59" i="2"/>
  <c r="BN59" i="2"/>
  <c r="BP59" i="2"/>
  <c r="BQ64" i="2"/>
  <c r="BM64" i="2"/>
  <c r="BO64" i="2"/>
  <c r="BN64" i="2"/>
  <c r="BP64" i="2"/>
  <c r="BL64" i="2"/>
  <c r="BQ58" i="2"/>
  <c r="BM58" i="2"/>
  <c r="BO58" i="2"/>
  <c r="BL58" i="2"/>
  <c r="BP58" i="2"/>
  <c r="BN58" i="2"/>
  <c r="BO63" i="2"/>
  <c r="BQ63" i="2"/>
  <c r="BM63" i="2"/>
  <c r="BL63" i="2"/>
  <c r="BP63" i="2"/>
  <c r="BN63" i="2"/>
  <c r="BP52" i="2"/>
  <c r="BN52" i="2"/>
  <c r="BL52" i="2"/>
  <c r="BO57" i="2"/>
  <c r="BQ57" i="2"/>
  <c r="BM57" i="2"/>
  <c r="BP57" i="2"/>
  <c r="BN57" i="2"/>
  <c r="BL57" i="2"/>
  <c r="BQ62" i="2"/>
  <c r="BM62" i="2"/>
  <c r="BO62" i="2"/>
  <c r="BP62" i="2"/>
  <c r="BN62" i="2"/>
  <c r="BL62" i="2"/>
  <c r="N151" i="2"/>
  <c r="N150" i="2"/>
  <c r="N64" i="1"/>
  <c r="N63" i="1"/>
  <c r="N65" i="1"/>
  <c r="BJ349" i="2"/>
  <c r="BI349" i="2"/>
  <c r="BG349" i="2"/>
  <c r="BF349" i="2"/>
  <c r="BE349" i="2"/>
  <c r="BC349" i="2"/>
  <c r="BB349" i="2"/>
  <c r="BA349" i="2"/>
  <c r="AY349" i="2"/>
  <c r="AX349" i="2"/>
  <c r="AW349" i="2"/>
  <c r="AU349" i="2"/>
  <c r="AT349" i="2"/>
  <c r="AS349" i="2"/>
  <c r="AQ349" i="2"/>
  <c r="AP349" i="2"/>
  <c r="AO349" i="2"/>
  <c r="AM349" i="2"/>
  <c r="AL349" i="2"/>
  <c r="AK349" i="2"/>
  <c r="AI349" i="2"/>
  <c r="AH349" i="2"/>
  <c r="AG349" i="2"/>
  <c r="AE349" i="2"/>
  <c r="AD349" i="2"/>
  <c r="AC349" i="2"/>
  <c r="AA349" i="2"/>
  <c r="Z349" i="2"/>
  <c r="Y349" i="2"/>
  <c r="W349" i="2"/>
  <c r="V349" i="2"/>
  <c r="U349" i="2"/>
  <c r="S349" i="2"/>
  <c r="R349" i="2"/>
  <c r="Q349" i="2"/>
  <c r="BJ348" i="2"/>
  <c r="BI348" i="2"/>
  <c r="BG348" i="2"/>
  <c r="BF348" i="2"/>
  <c r="BE348" i="2"/>
  <c r="BC348" i="2"/>
  <c r="BB348" i="2"/>
  <c r="BA348" i="2"/>
  <c r="AY348" i="2"/>
  <c r="AX348" i="2"/>
  <c r="AW348" i="2"/>
  <c r="AU348" i="2"/>
  <c r="AT348" i="2"/>
  <c r="AS348" i="2"/>
  <c r="AQ348" i="2"/>
  <c r="AP348" i="2"/>
  <c r="AO348" i="2"/>
  <c r="AM348" i="2"/>
  <c r="AL348" i="2"/>
  <c r="AK348" i="2"/>
  <c r="AI348" i="2"/>
  <c r="AH348" i="2"/>
  <c r="AG348" i="2"/>
  <c r="AE348" i="2"/>
  <c r="AD348" i="2"/>
  <c r="AC348" i="2"/>
  <c r="AA348" i="2"/>
  <c r="Z348" i="2"/>
  <c r="Y348" i="2"/>
  <c r="W348" i="2"/>
  <c r="V348" i="2"/>
  <c r="U348" i="2"/>
  <c r="S348" i="2"/>
  <c r="R348" i="2"/>
  <c r="Q348" i="2"/>
  <c r="BJ347" i="2"/>
  <c r="BI347" i="2"/>
  <c r="BG347" i="2"/>
  <c r="BF347" i="2"/>
  <c r="BE347" i="2"/>
  <c r="BC347" i="2"/>
  <c r="BB347" i="2"/>
  <c r="BA347" i="2"/>
  <c r="AY347" i="2"/>
  <c r="AX347" i="2"/>
  <c r="AW347" i="2"/>
  <c r="AU347" i="2"/>
  <c r="AT347" i="2"/>
  <c r="AS347" i="2"/>
  <c r="AQ347" i="2"/>
  <c r="AP347" i="2"/>
  <c r="AO347" i="2"/>
  <c r="AM347" i="2"/>
  <c r="AL347" i="2"/>
  <c r="AK347" i="2"/>
  <c r="AI347" i="2"/>
  <c r="AH347" i="2"/>
  <c r="AG347" i="2"/>
  <c r="AE347" i="2"/>
  <c r="AD347" i="2"/>
  <c r="AC347" i="2"/>
  <c r="AA347" i="2"/>
  <c r="Z347" i="2"/>
  <c r="Y347" i="2"/>
  <c r="W347" i="2"/>
  <c r="V347" i="2"/>
  <c r="U347" i="2"/>
  <c r="S347" i="2"/>
  <c r="R347" i="2"/>
  <c r="Q347" i="2"/>
  <c r="BJ346" i="2"/>
  <c r="BI346" i="2"/>
  <c r="BG346" i="2"/>
  <c r="BF346" i="2"/>
  <c r="BE346" i="2"/>
  <c r="BC346" i="2"/>
  <c r="BB346" i="2"/>
  <c r="BA346" i="2"/>
  <c r="AY346" i="2"/>
  <c r="AX346" i="2"/>
  <c r="AW346" i="2"/>
  <c r="AU346" i="2"/>
  <c r="AT346" i="2"/>
  <c r="AS346" i="2"/>
  <c r="AQ346" i="2"/>
  <c r="AP346" i="2"/>
  <c r="AO346" i="2"/>
  <c r="AM346" i="2"/>
  <c r="AL346" i="2"/>
  <c r="AK346" i="2"/>
  <c r="AI346" i="2"/>
  <c r="AH346" i="2"/>
  <c r="AG346" i="2"/>
  <c r="AE346" i="2"/>
  <c r="AD346" i="2"/>
  <c r="AC346" i="2"/>
  <c r="AA346" i="2"/>
  <c r="Z346" i="2"/>
  <c r="Y346" i="2"/>
  <c r="W346" i="2"/>
  <c r="V346" i="2"/>
  <c r="U346" i="2"/>
  <c r="S346" i="2"/>
  <c r="R346" i="2"/>
  <c r="Q346" i="2"/>
  <c r="BJ345" i="2"/>
  <c r="BI345" i="2"/>
  <c r="BG345" i="2"/>
  <c r="BF345" i="2"/>
  <c r="BE345" i="2"/>
  <c r="BC345" i="2"/>
  <c r="BB345" i="2"/>
  <c r="BA345" i="2"/>
  <c r="AY345" i="2"/>
  <c r="AX345" i="2"/>
  <c r="AW345" i="2"/>
  <c r="AU345" i="2"/>
  <c r="AT345" i="2"/>
  <c r="AS345" i="2"/>
  <c r="AQ345" i="2"/>
  <c r="AP345" i="2"/>
  <c r="AO345" i="2"/>
  <c r="AM345" i="2"/>
  <c r="AL345" i="2"/>
  <c r="AK345" i="2"/>
  <c r="AI345" i="2"/>
  <c r="AH345" i="2"/>
  <c r="AG345" i="2"/>
  <c r="AE345" i="2"/>
  <c r="AD345" i="2"/>
  <c r="AC345" i="2"/>
  <c r="AA345" i="2"/>
  <c r="Z345" i="2"/>
  <c r="Y345" i="2"/>
  <c r="W345" i="2"/>
  <c r="V345" i="2"/>
  <c r="U345" i="2"/>
  <c r="S345" i="2"/>
  <c r="R345" i="2"/>
  <c r="Q345" i="2"/>
  <c r="BJ344" i="2"/>
  <c r="BI344" i="2"/>
  <c r="BG344" i="2"/>
  <c r="BF344" i="2"/>
  <c r="BE344" i="2"/>
  <c r="BC344" i="2"/>
  <c r="BB344" i="2"/>
  <c r="BA344" i="2"/>
  <c r="AY344" i="2"/>
  <c r="AX344" i="2"/>
  <c r="AW344" i="2"/>
  <c r="AU344" i="2"/>
  <c r="AT344" i="2"/>
  <c r="AS344" i="2"/>
  <c r="AQ344" i="2"/>
  <c r="AP344" i="2"/>
  <c r="AO344" i="2"/>
  <c r="AM344" i="2"/>
  <c r="AL344" i="2"/>
  <c r="AK344" i="2"/>
  <c r="AI344" i="2"/>
  <c r="AH344" i="2"/>
  <c r="AG344" i="2"/>
  <c r="AE344" i="2"/>
  <c r="AD344" i="2"/>
  <c r="AC344" i="2"/>
  <c r="AA344" i="2"/>
  <c r="Z344" i="2"/>
  <c r="Y344" i="2"/>
  <c r="W344" i="2"/>
  <c r="V344" i="2"/>
  <c r="U344" i="2"/>
  <c r="S344" i="2"/>
  <c r="R344" i="2"/>
  <c r="Q344" i="2"/>
  <c r="BJ343" i="2"/>
  <c r="BI343" i="2"/>
  <c r="BG343" i="2"/>
  <c r="BF343" i="2"/>
  <c r="BE343" i="2"/>
  <c r="BC343" i="2"/>
  <c r="BB343" i="2"/>
  <c r="BA343" i="2"/>
  <c r="AY343" i="2"/>
  <c r="AX343" i="2"/>
  <c r="AW343" i="2"/>
  <c r="AU343" i="2"/>
  <c r="AT343" i="2"/>
  <c r="AS343" i="2"/>
  <c r="AQ343" i="2"/>
  <c r="AP343" i="2"/>
  <c r="AO343" i="2"/>
  <c r="AM343" i="2"/>
  <c r="AL343" i="2"/>
  <c r="AK343" i="2"/>
  <c r="AI343" i="2"/>
  <c r="AH343" i="2"/>
  <c r="AG343" i="2"/>
  <c r="AE343" i="2"/>
  <c r="AD343" i="2"/>
  <c r="AC343" i="2"/>
  <c r="AA343" i="2"/>
  <c r="Z343" i="2"/>
  <c r="Y343" i="2"/>
  <c r="W343" i="2"/>
  <c r="V343" i="2"/>
  <c r="U343" i="2"/>
  <c r="S343" i="2"/>
  <c r="R343" i="2"/>
  <c r="Q343" i="2"/>
  <c r="BJ342" i="2"/>
  <c r="BI342" i="2"/>
  <c r="BG342" i="2"/>
  <c r="BF342" i="2"/>
  <c r="BE342" i="2"/>
  <c r="BC342" i="2"/>
  <c r="BB342" i="2"/>
  <c r="BA342" i="2"/>
  <c r="AY342" i="2"/>
  <c r="AX342" i="2"/>
  <c r="AW342" i="2"/>
  <c r="AU342" i="2"/>
  <c r="AT342" i="2"/>
  <c r="AS342" i="2"/>
  <c r="AQ342" i="2"/>
  <c r="AP342" i="2"/>
  <c r="AO342" i="2"/>
  <c r="AM342" i="2"/>
  <c r="AL342" i="2"/>
  <c r="AK342" i="2"/>
  <c r="AI342" i="2"/>
  <c r="AH342" i="2"/>
  <c r="AG342" i="2"/>
  <c r="AE342" i="2"/>
  <c r="AD342" i="2"/>
  <c r="AC342" i="2"/>
  <c r="AA342" i="2"/>
  <c r="Z342" i="2"/>
  <c r="Y342" i="2"/>
  <c r="W342" i="2"/>
  <c r="V342" i="2"/>
  <c r="U342" i="2"/>
  <c r="S342" i="2"/>
  <c r="R342" i="2"/>
  <c r="Q342" i="2"/>
  <c r="BJ341" i="2"/>
  <c r="BI341" i="2"/>
  <c r="BG341" i="2"/>
  <c r="BF341" i="2"/>
  <c r="BE341" i="2"/>
  <c r="BC341" i="2"/>
  <c r="BB341" i="2"/>
  <c r="BA341" i="2"/>
  <c r="AY341" i="2"/>
  <c r="AX341" i="2"/>
  <c r="AW341" i="2"/>
  <c r="AU341" i="2"/>
  <c r="AT341" i="2"/>
  <c r="AS341" i="2"/>
  <c r="AQ341" i="2"/>
  <c r="AP341" i="2"/>
  <c r="AO341" i="2"/>
  <c r="AM341" i="2"/>
  <c r="AL341" i="2"/>
  <c r="AK341" i="2"/>
  <c r="AI341" i="2"/>
  <c r="AH341" i="2"/>
  <c r="AG341" i="2"/>
  <c r="AE341" i="2"/>
  <c r="AD341" i="2"/>
  <c r="AC341" i="2"/>
  <c r="AA341" i="2"/>
  <c r="Z341" i="2"/>
  <c r="Y341" i="2"/>
  <c r="W341" i="2"/>
  <c r="V341" i="2"/>
  <c r="U341" i="2"/>
  <c r="S341" i="2"/>
  <c r="R341" i="2"/>
  <c r="Q341" i="2"/>
  <c r="N52" i="2" l="1"/>
  <c r="E330" i="2"/>
  <c r="E329" i="2"/>
  <c r="O343" i="2" l="1"/>
  <c r="E52" i="2"/>
  <c r="E51" i="2"/>
  <c r="E50" i="2"/>
  <c r="E49" i="2"/>
  <c r="E48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FR47" i="2"/>
  <c r="DQ47" i="2"/>
  <c r="E47" i="2"/>
  <c r="I35" i="1"/>
  <c r="O76" i="1"/>
  <c r="FS42" i="1"/>
  <c r="FR42" i="1"/>
  <c r="DR42" i="1"/>
  <c r="DQ42" i="1"/>
  <c r="L42" i="1"/>
  <c r="FS41" i="1"/>
  <c r="FR41" i="1"/>
  <c r="DR41" i="1"/>
  <c r="DQ41" i="1"/>
  <c r="N41" i="1"/>
  <c r="L41" i="1"/>
  <c r="L40" i="1"/>
  <c r="I40" i="1"/>
  <c r="N39" i="1"/>
  <c r="L39" i="1"/>
  <c r="I39" i="1"/>
  <c r="L38" i="1"/>
  <c r="L37" i="1"/>
  <c r="I37" i="1"/>
  <c r="L36" i="1"/>
  <c r="FS35" i="1"/>
  <c r="FR35" i="1"/>
  <c r="DR35" i="1"/>
  <c r="DQ35" i="1"/>
  <c r="L35" i="1"/>
  <c r="BQ49" i="2" l="1"/>
  <c r="BO49" i="2"/>
  <c r="BM49" i="2"/>
  <c r="BO50" i="2"/>
  <c r="BM50" i="2"/>
  <c r="BQ50" i="2"/>
  <c r="BQ51" i="2"/>
  <c r="BO51" i="2"/>
  <c r="BM51" i="2"/>
  <c r="BO48" i="2"/>
  <c r="BM48" i="2"/>
  <c r="BQ48" i="2"/>
  <c r="BO52" i="2"/>
  <c r="BQ52" i="2"/>
  <c r="BM52" i="2"/>
  <c r="DR49" i="2"/>
  <c r="FS49" i="2"/>
  <c r="FS51" i="2"/>
  <c r="DR51" i="2"/>
  <c r="DR48" i="2"/>
  <c r="FS48" i="2"/>
  <c r="DR50" i="2"/>
  <c r="FS50" i="2"/>
  <c r="DR52" i="2"/>
  <c r="FS52" i="2"/>
  <c r="N57" i="2"/>
  <c r="N55" i="2"/>
  <c r="N59" i="2"/>
  <c r="N63" i="2"/>
  <c r="N61" i="2"/>
  <c r="N65" i="2"/>
  <c r="BO39" i="1"/>
  <c r="BQ39" i="1"/>
  <c r="BM39" i="1"/>
  <c r="BQ40" i="1"/>
  <c r="BM40" i="1"/>
  <c r="BO40" i="1"/>
  <c r="BQ38" i="1"/>
  <c r="BM38" i="1"/>
  <c r="BO38" i="1"/>
  <c r="I36" i="1"/>
  <c r="BO35" i="1"/>
  <c r="BQ35" i="1"/>
  <c r="BM35" i="1"/>
  <c r="BO37" i="1"/>
  <c r="BQ37" i="1"/>
  <c r="BM37" i="1"/>
  <c r="N35" i="1"/>
  <c r="N42" i="1"/>
  <c r="N37" i="1"/>
  <c r="DR36" i="1"/>
  <c r="FS36" i="1"/>
  <c r="N38" i="1"/>
  <c r="N40" i="1"/>
  <c r="N36" i="1"/>
  <c r="FR36" i="1"/>
  <c r="DQ36" i="1"/>
  <c r="N60" i="2" l="1"/>
  <c r="N58" i="2"/>
  <c r="N64" i="2"/>
  <c r="N56" i="2"/>
  <c r="N62" i="2"/>
  <c r="BQ36" i="1"/>
  <c r="BM36" i="1"/>
  <c r="BO36" i="1"/>
  <c r="FR37" i="1"/>
  <c r="FS39" i="1"/>
  <c r="DR40" i="1"/>
  <c r="DQ40" i="1"/>
  <c r="FS37" i="1"/>
  <c r="FS40" i="1"/>
  <c r="FR40" i="1"/>
  <c r="FS38" i="1"/>
  <c r="FR38" i="1"/>
  <c r="FR39" i="1"/>
  <c r="DR38" i="1"/>
  <c r="DQ38" i="1"/>
  <c r="DR39" i="1"/>
  <c r="DQ39" i="1"/>
  <c r="DR37" i="1"/>
  <c r="DQ37" i="1"/>
  <c r="N59" i="1" l="1"/>
  <c r="N61" i="1"/>
  <c r="N60" i="1"/>
  <c r="N62" i="1"/>
  <c r="N11" i="1"/>
  <c r="N13" i="1"/>
  <c r="N15" i="1"/>
  <c r="N17" i="1"/>
  <c r="N19" i="1"/>
  <c r="N21" i="1"/>
  <c r="N23" i="1"/>
  <c r="N25" i="1"/>
  <c r="N27" i="1"/>
  <c r="N29" i="1"/>
  <c r="N31" i="1"/>
  <c r="N10" i="1"/>
  <c r="N12" i="1"/>
  <c r="N14" i="1"/>
  <c r="N16" i="1"/>
  <c r="N18" i="1"/>
  <c r="N20" i="1"/>
  <c r="N22" i="1"/>
  <c r="N24" i="1"/>
  <c r="N26" i="1"/>
  <c r="N28" i="1"/>
  <c r="N30" i="1"/>
  <c r="N32" i="1"/>
  <c r="N33" i="1"/>
  <c r="N34" i="1"/>
  <c r="N51" i="1"/>
  <c r="N52" i="1"/>
  <c r="BO125" i="2" l="1"/>
  <c r="BQ125" i="2"/>
  <c r="BM125" i="2"/>
  <c r="BQ126" i="2"/>
  <c r="BM126" i="2"/>
  <c r="BO126" i="2"/>
  <c r="BQ124" i="2"/>
  <c r="BM124" i="2"/>
  <c r="BO124" i="2"/>
  <c r="BO123" i="2"/>
  <c r="BQ123" i="2"/>
  <c r="BM123" i="2"/>
  <c r="BO146" i="2"/>
  <c r="BQ146" i="2"/>
  <c r="BM146" i="2"/>
  <c r="DR146" i="2"/>
  <c r="FS146" i="2"/>
  <c r="DR123" i="2"/>
  <c r="FS123" i="2"/>
  <c r="DR124" i="2"/>
  <c r="FS124" i="2"/>
  <c r="FS125" i="2"/>
  <c r="DR125" i="2"/>
  <c r="DR126" i="2"/>
  <c r="FS126" i="2"/>
  <c r="E296" i="2"/>
  <c r="BH54" i="1"/>
  <c r="BH58" i="1" s="1"/>
  <c r="BH7" i="1"/>
  <c r="BD54" i="1"/>
  <c r="BD58" i="1" s="1"/>
  <c r="BD7" i="1"/>
  <c r="AZ54" i="1"/>
  <c r="AZ58" i="1" s="1"/>
  <c r="AZ7" i="1"/>
  <c r="AV54" i="1"/>
  <c r="AV58" i="1" s="1"/>
  <c r="AR54" i="1"/>
  <c r="AN54" i="1"/>
  <c r="AH26" i="11"/>
  <c r="E26" i="11"/>
  <c r="D26" i="11"/>
  <c r="C26" i="11"/>
  <c r="AH25" i="11"/>
  <c r="E25" i="11"/>
  <c r="D25" i="11"/>
  <c r="C25" i="11"/>
  <c r="AH24" i="11"/>
  <c r="E24" i="11"/>
  <c r="D24" i="11"/>
  <c r="C24" i="11"/>
  <c r="AH23" i="11"/>
  <c r="E23" i="11"/>
  <c r="D23" i="11"/>
  <c r="C23" i="11"/>
  <c r="AH22" i="11"/>
  <c r="E22" i="11"/>
  <c r="D22" i="11"/>
  <c r="C22" i="11"/>
  <c r="AH11" i="11"/>
  <c r="E11" i="11"/>
  <c r="D11" i="11"/>
  <c r="C11" i="11"/>
  <c r="AH10" i="11"/>
  <c r="E10" i="11"/>
  <c r="D10" i="11"/>
  <c r="C10" i="11"/>
  <c r="AH19" i="11"/>
  <c r="E19" i="11"/>
  <c r="D19" i="11"/>
  <c r="C19" i="11"/>
  <c r="AH18" i="11"/>
  <c r="E18" i="11"/>
  <c r="D18" i="11"/>
  <c r="C18" i="11"/>
  <c r="AH7" i="11"/>
  <c r="E7" i="11"/>
  <c r="D7" i="11"/>
  <c r="C7" i="11"/>
  <c r="AH6" i="11"/>
  <c r="E6" i="11"/>
  <c r="D6" i="11"/>
  <c r="C6" i="11"/>
  <c r="AH17" i="11"/>
  <c r="E17" i="11"/>
  <c r="D17" i="11"/>
  <c r="C17" i="11"/>
  <c r="AH16" i="11"/>
  <c r="E16" i="11"/>
  <c r="D16" i="11"/>
  <c r="C16" i="11"/>
  <c r="AH15" i="11"/>
  <c r="E15" i="11"/>
  <c r="D15" i="11"/>
  <c r="C15" i="11"/>
  <c r="AH27" i="11"/>
  <c r="E27" i="11"/>
  <c r="D27" i="11"/>
  <c r="C27" i="11"/>
  <c r="AH12" i="11"/>
  <c r="E12" i="11"/>
  <c r="D12" i="11"/>
  <c r="C12" i="11"/>
  <c r="AH21" i="11"/>
  <c r="E21" i="11"/>
  <c r="D21" i="11"/>
  <c r="C21" i="11"/>
  <c r="AH20" i="11"/>
  <c r="E20" i="11"/>
  <c r="D20" i="11"/>
  <c r="C20" i="11"/>
  <c r="AH9" i="11"/>
  <c r="E9" i="11"/>
  <c r="D9" i="11"/>
  <c r="C9" i="11"/>
  <c r="AH8" i="11"/>
  <c r="E8" i="11"/>
  <c r="D8" i="11"/>
  <c r="C8" i="11"/>
  <c r="AH5" i="11"/>
  <c r="E5" i="11"/>
  <c r="D5" i="11"/>
  <c r="C5" i="11"/>
  <c r="AH14" i="11"/>
  <c r="E14" i="11"/>
  <c r="D14" i="11"/>
  <c r="C14" i="11"/>
  <c r="AH13" i="11"/>
  <c r="E13" i="11"/>
  <c r="D13" i="11"/>
  <c r="C13" i="11"/>
  <c r="BH111" i="2"/>
  <c r="BH114" i="2" s="1"/>
  <c r="BH9" i="2"/>
  <c r="BH8" i="2"/>
  <c r="BD111" i="2"/>
  <c r="BD115" i="2" s="1"/>
  <c r="BD9" i="2"/>
  <c r="BD8" i="2"/>
  <c r="AZ111" i="2"/>
  <c r="AZ115" i="2" s="1"/>
  <c r="AZ9" i="2"/>
  <c r="AZ8" i="2"/>
  <c r="AV111" i="2"/>
  <c r="AV115" i="2" s="1"/>
  <c r="AV9" i="2"/>
  <c r="AV8" i="2"/>
  <c r="AR111" i="2"/>
  <c r="AR115" i="2" l="1"/>
  <c r="BN8" i="2"/>
  <c r="BL8" i="2"/>
  <c r="BP8" i="2"/>
  <c r="BP9" i="2"/>
  <c r="BN9" i="2"/>
  <c r="BL9" i="2"/>
  <c r="BP111" i="2"/>
  <c r="BL111" i="2"/>
  <c r="BN111" i="2"/>
  <c r="T77" i="1"/>
  <c r="T75" i="1"/>
  <c r="T76" i="1"/>
  <c r="T78" i="1"/>
  <c r="T73" i="1"/>
  <c r="T79" i="1"/>
  <c r="T74" i="1"/>
  <c r="AV7" i="1"/>
  <c r="AV9" i="1" s="1"/>
  <c r="BO6" i="1"/>
  <c r="BN6" i="1"/>
  <c r="BQ6" i="1"/>
  <c r="BM6" i="1"/>
  <c r="BP6" i="1"/>
  <c r="BL6" i="1"/>
  <c r="BN54" i="1"/>
  <c r="BP54" i="1"/>
  <c r="BL54" i="1"/>
  <c r="BD9" i="1"/>
  <c r="AZ9" i="1"/>
  <c r="BH9" i="1"/>
  <c r="AZ8" i="1"/>
  <c r="BH57" i="1"/>
  <c r="AV114" i="2"/>
  <c r="BD55" i="1"/>
  <c r="BH56" i="1"/>
  <c r="AZ114" i="2"/>
  <c r="AR112" i="2"/>
  <c r="BD113" i="2"/>
  <c r="AV56" i="1"/>
  <c r="BH8" i="1"/>
  <c r="AV57" i="1"/>
  <c r="AZ55" i="1"/>
  <c r="AZ56" i="1"/>
  <c r="AZ57" i="1"/>
  <c r="BD114" i="2"/>
  <c r="AV112" i="2"/>
  <c r="AZ112" i="2"/>
  <c r="BD112" i="2"/>
  <c r="BH55" i="1"/>
  <c r="BD8" i="1"/>
  <c r="BD56" i="1"/>
  <c r="BD57" i="1"/>
  <c r="AV55" i="1"/>
  <c r="BH115" i="2"/>
  <c r="BH112" i="2"/>
  <c r="BH113" i="2"/>
  <c r="AZ113" i="2"/>
  <c r="AV113" i="2"/>
  <c r="AR113" i="2"/>
  <c r="AR114" i="2"/>
  <c r="O50" i="9"/>
  <c r="M89" i="9"/>
  <c r="O49" i="9"/>
  <c r="N89" i="9"/>
  <c r="P89" i="9"/>
  <c r="Q49" i="9"/>
  <c r="O89" i="9"/>
  <c r="Q50" i="9"/>
  <c r="L89" i="9"/>
  <c r="N50" i="9"/>
  <c r="P50" i="9"/>
  <c r="N49" i="9"/>
  <c r="P49" i="9"/>
  <c r="M50" i="9"/>
  <c r="M49" i="9"/>
  <c r="Q89" i="9"/>
  <c r="R50" i="9" l="1"/>
  <c r="R49" i="9"/>
  <c r="AV8" i="1"/>
  <c r="R89" i="9"/>
  <c r="BQ296" i="2"/>
  <c r="BM296" i="2"/>
  <c r="BO296" i="2"/>
  <c r="BP113" i="2"/>
  <c r="BL113" i="2"/>
  <c r="BN113" i="2"/>
  <c r="BN112" i="2"/>
  <c r="BP112" i="2"/>
  <c r="BL112" i="2"/>
  <c r="BP115" i="2"/>
  <c r="BL115" i="2"/>
  <c r="BN115" i="2"/>
  <c r="BN114" i="2"/>
  <c r="BL114" i="2"/>
  <c r="BP114" i="2"/>
  <c r="AV78" i="1"/>
  <c r="N111" i="2"/>
  <c r="DR296" i="2"/>
  <c r="FS296" i="2"/>
  <c r="AJ79" i="1"/>
  <c r="AF76" i="1"/>
  <c r="BD75" i="1"/>
  <c r="BD74" i="1"/>
  <c r="AV76" i="1"/>
  <c r="BD76" i="1"/>
  <c r="AB77" i="1"/>
  <c r="AZ76" i="1"/>
  <c r="AR77" i="1"/>
  <c r="BH78" i="1"/>
  <c r="BD78" i="1"/>
  <c r="BD77" i="1"/>
  <c r="AF78" i="1"/>
  <c r="AF74" i="1"/>
  <c r="BH75" i="1"/>
  <c r="BH76" i="1"/>
  <c r="AZ79" i="1"/>
  <c r="AZ77" i="1"/>
  <c r="AJ78" i="1"/>
  <c r="AJ77" i="1"/>
  <c r="AV74" i="1"/>
  <c r="BD79" i="1"/>
  <c r="AV75" i="1"/>
  <c r="AV79" i="1"/>
  <c r="AV73" i="1"/>
  <c r="AV77" i="1"/>
  <c r="AF75" i="1"/>
  <c r="AF79" i="1"/>
  <c r="BH74" i="1"/>
  <c r="BH77" i="1"/>
  <c r="AZ73" i="1"/>
  <c r="AJ76" i="1"/>
  <c r="AF73" i="1"/>
  <c r="AF77" i="1"/>
  <c r="BH79" i="1"/>
  <c r="AZ75" i="1"/>
  <c r="AZ78" i="1"/>
  <c r="AJ75" i="1"/>
  <c r="AJ74" i="1"/>
  <c r="AR79" i="1"/>
  <c r="BD73" i="1"/>
  <c r="BH73" i="1"/>
  <c r="AZ74" i="1"/>
  <c r="AJ73" i="1"/>
  <c r="BP55" i="1"/>
  <c r="BL55" i="1"/>
  <c r="BN55" i="1"/>
  <c r="AB76" i="1"/>
  <c r="AB73" i="1"/>
  <c r="BN56" i="1"/>
  <c r="BP56" i="1"/>
  <c r="BL56" i="1"/>
  <c r="AB74" i="1"/>
  <c r="AB79" i="1"/>
  <c r="AB78" i="1"/>
  <c r="AB75" i="1"/>
  <c r="AR76" i="1"/>
  <c r="AR78" i="1"/>
  <c r="AR74" i="1"/>
  <c r="AR75" i="1"/>
  <c r="AR73" i="1"/>
  <c r="BP7" i="1"/>
  <c r="BL7" i="1"/>
  <c r="BN7" i="1"/>
  <c r="AV343" i="2"/>
  <c r="BH348" i="2"/>
  <c r="AN343" i="2"/>
  <c r="AJ348" i="2"/>
  <c r="AB348" i="2"/>
  <c r="BD343" i="2"/>
  <c r="AR348" i="2"/>
  <c r="AZ348" i="2"/>
  <c r="AF343" i="2"/>
  <c r="BD342" i="2"/>
  <c r="BD345" i="2"/>
  <c r="BD347" i="2"/>
  <c r="AV342" i="2"/>
  <c r="AV345" i="2"/>
  <c r="AV347" i="2"/>
  <c r="AN342" i="2"/>
  <c r="AN345" i="2"/>
  <c r="AN347" i="2"/>
  <c r="AF342" i="2"/>
  <c r="AF345" i="2"/>
  <c r="AF347" i="2"/>
  <c r="BH341" i="2"/>
  <c r="BH344" i="2"/>
  <c r="BH343" i="2"/>
  <c r="BD346" i="2"/>
  <c r="BD349" i="2"/>
  <c r="BD348" i="2"/>
  <c r="AZ341" i="2"/>
  <c r="AZ344" i="2"/>
  <c r="AZ343" i="2"/>
  <c r="AV346" i="2"/>
  <c r="AV349" i="2"/>
  <c r="AV348" i="2"/>
  <c r="AR341" i="2"/>
  <c r="AR344" i="2"/>
  <c r="AR343" i="2"/>
  <c r="AN346" i="2"/>
  <c r="AN349" i="2"/>
  <c r="AN348" i="2"/>
  <c r="AJ341" i="2"/>
  <c r="AJ344" i="2"/>
  <c r="AJ343" i="2"/>
  <c r="AF346" i="2"/>
  <c r="AF349" i="2"/>
  <c r="AF348" i="2"/>
  <c r="AB341" i="2"/>
  <c r="AB344" i="2"/>
  <c r="AB343" i="2"/>
  <c r="BH342" i="2"/>
  <c r="BH345" i="2"/>
  <c r="BH347" i="2"/>
  <c r="AZ342" i="2"/>
  <c r="AZ345" i="2"/>
  <c r="AZ347" i="2"/>
  <c r="AR342" i="2"/>
  <c r="AR345" i="2"/>
  <c r="AR347" i="2"/>
  <c r="AJ342" i="2"/>
  <c r="AJ345" i="2"/>
  <c r="AJ347" i="2"/>
  <c r="AB342" i="2"/>
  <c r="AB345" i="2"/>
  <c r="AB347" i="2"/>
  <c r="BH346" i="2"/>
  <c r="BH349" i="2"/>
  <c r="BD341" i="2"/>
  <c r="BD344" i="2"/>
  <c r="AZ346" i="2"/>
  <c r="AZ349" i="2"/>
  <c r="AV341" i="2"/>
  <c r="AV344" i="2"/>
  <c r="AR346" i="2"/>
  <c r="AR349" i="2"/>
  <c r="AN341" i="2"/>
  <c r="AN344" i="2"/>
  <c r="AJ346" i="2"/>
  <c r="AJ349" i="2"/>
  <c r="AF341" i="2"/>
  <c r="AF344" i="2"/>
  <c r="AB346" i="2"/>
  <c r="AB349" i="2"/>
  <c r="N6" i="1"/>
  <c r="N53" i="1"/>
  <c r="I54" i="1"/>
  <c r="I7" i="1"/>
  <c r="BQ7" i="1" s="1"/>
  <c r="L330" i="2"/>
  <c r="L329" i="2"/>
  <c r="BO115" i="2"/>
  <c r="BO114" i="2"/>
  <c r="BQ113" i="2"/>
  <c r="BQ112" i="2"/>
  <c r="L64" i="1"/>
  <c r="L63" i="1"/>
  <c r="L62" i="1"/>
  <c r="I62" i="1"/>
  <c r="L61" i="1"/>
  <c r="L60" i="1"/>
  <c r="I60" i="1"/>
  <c r="L59" i="1"/>
  <c r="I59" i="1"/>
  <c r="L58" i="1"/>
  <c r="L57" i="1"/>
  <c r="L56" i="1"/>
  <c r="I56" i="1"/>
  <c r="BO56" i="1" s="1"/>
  <c r="L55" i="1"/>
  <c r="I55" i="1"/>
  <c r="BQ55" i="1" s="1"/>
  <c r="L54" i="1"/>
  <c r="L53" i="1"/>
  <c r="L52" i="1"/>
  <c r="L51" i="1"/>
  <c r="I51" i="1"/>
  <c r="L34" i="1"/>
  <c r="L33" i="1"/>
  <c r="L32" i="1"/>
  <c r="I32" i="1"/>
  <c r="L31" i="1"/>
  <c r="I31" i="1"/>
  <c r="L30" i="1"/>
  <c r="I30" i="1"/>
  <c r="L29" i="1"/>
  <c r="I29" i="1"/>
  <c r="L28" i="1"/>
  <c r="I28" i="1"/>
  <c r="L27" i="1"/>
  <c r="I27" i="1"/>
  <c r="L26" i="1"/>
  <c r="I26" i="1"/>
  <c r="L25" i="1"/>
  <c r="I25" i="1"/>
  <c r="L24" i="1"/>
  <c r="L23" i="1"/>
  <c r="I23" i="1"/>
  <c r="L22" i="1"/>
  <c r="L21" i="1"/>
  <c r="L20" i="1"/>
  <c r="I20" i="1"/>
  <c r="L19" i="1"/>
  <c r="I19" i="1"/>
  <c r="L18" i="1"/>
  <c r="I18" i="1"/>
  <c r="L17" i="1"/>
  <c r="I17" i="1"/>
  <c r="L16" i="1"/>
  <c r="L15" i="1"/>
  <c r="I15" i="1"/>
  <c r="L14" i="1"/>
  <c r="L13" i="1"/>
  <c r="L12" i="1"/>
  <c r="I12" i="1"/>
  <c r="L11" i="1"/>
  <c r="I11" i="1"/>
  <c r="L10" i="1"/>
  <c r="I10" i="1"/>
  <c r="L9" i="1"/>
  <c r="L8" i="1"/>
  <c r="I8" i="1"/>
  <c r="L7" i="1"/>
  <c r="L6" i="1"/>
  <c r="S49" i="9" l="1"/>
  <c r="AG49" i="9"/>
  <c r="S50" i="9"/>
  <c r="AG50" i="9"/>
  <c r="S89" i="9"/>
  <c r="AG89" i="9"/>
  <c r="BQ280" i="2"/>
  <c r="BO280" i="2"/>
  <c r="BM280" i="2"/>
  <c r="BQ285" i="2"/>
  <c r="BO285" i="2"/>
  <c r="BM285" i="2"/>
  <c r="BQ276" i="2"/>
  <c r="BO276" i="2"/>
  <c r="BM276" i="2"/>
  <c r="BQ286" i="2"/>
  <c r="BO286" i="2"/>
  <c r="BM286" i="2"/>
  <c r="BQ281" i="2"/>
  <c r="BO281" i="2"/>
  <c r="BM281" i="2"/>
  <c r="BQ277" i="2"/>
  <c r="BO277" i="2"/>
  <c r="BM277" i="2"/>
  <c r="BM287" i="2"/>
  <c r="BQ287" i="2"/>
  <c r="BO287" i="2"/>
  <c r="BM278" i="2"/>
  <c r="BQ278" i="2"/>
  <c r="BO278" i="2"/>
  <c r="BO284" i="2"/>
  <c r="BM284" i="2"/>
  <c r="BQ284" i="2"/>
  <c r="BO288" i="2"/>
  <c r="BM288" i="2"/>
  <c r="BQ288" i="2"/>
  <c r="BO29" i="2"/>
  <c r="BQ29" i="2"/>
  <c r="BM29" i="2"/>
  <c r="BM216" i="2"/>
  <c r="BO216" i="2"/>
  <c r="BQ216" i="2"/>
  <c r="BM222" i="2"/>
  <c r="BO222" i="2"/>
  <c r="BQ222" i="2"/>
  <c r="BM231" i="2"/>
  <c r="BO231" i="2"/>
  <c r="BQ231" i="2"/>
  <c r="BQ10" i="2"/>
  <c r="BO10" i="2"/>
  <c r="BM10" i="2"/>
  <c r="BQ8" i="2"/>
  <c r="BM8" i="2"/>
  <c r="BO8" i="2"/>
  <c r="BO102" i="2"/>
  <c r="BQ102" i="2"/>
  <c r="BM102" i="2"/>
  <c r="BQ107" i="2"/>
  <c r="BM107" i="2"/>
  <c r="BO107" i="2"/>
  <c r="BO112" i="2"/>
  <c r="BM114" i="2"/>
  <c r="BM115" i="2"/>
  <c r="BQ114" i="2"/>
  <c r="BQ115" i="2"/>
  <c r="BO113" i="2"/>
  <c r="BQ30" i="2"/>
  <c r="BO30" i="2"/>
  <c r="BM30" i="2"/>
  <c r="BO199" i="2"/>
  <c r="BM199" i="2"/>
  <c r="BQ199" i="2"/>
  <c r="BO217" i="2"/>
  <c r="BQ217" i="2"/>
  <c r="BM217" i="2"/>
  <c r="BO223" i="2"/>
  <c r="BM223" i="2"/>
  <c r="BQ223" i="2"/>
  <c r="BQ9" i="2"/>
  <c r="BO9" i="2"/>
  <c r="BM9" i="2"/>
  <c r="BM103" i="2"/>
  <c r="BQ103" i="2"/>
  <c r="BO103" i="2"/>
  <c r="BO108" i="2"/>
  <c r="BM108" i="2"/>
  <c r="BQ108" i="2"/>
  <c r="BQ31" i="2"/>
  <c r="BO31" i="2"/>
  <c r="BM31" i="2"/>
  <c r="BO195" i="2"/>
  <c r="BQ195" i="2"/>
  <c r="BM195" i="2"/>
  <c r="BQ200" i="2"/>
  <c r="BM200" i="2"/>
  <c r="BO200" i="2"/>
  <c r="BM218" i="2"/>
  <c r="BQ218" i="2"/>
  <c r="BO218" i="2"/>
  <c r="BQ224" i="2"/>
  <c r="BO224" i="2"/>
  <c r="BM224" i="2"/>
  <c r="BM109" i="2"/>
  <c r="BQ109" i="2"/>
  <c r="BO109" i="2"/>
  <c r="BM112" i="2"/>
  <c r="BM113" i="2"/>
  <c r="BO100" i="2"/>
  <c r="BM100" i="2"/>
  <c r="BQ100" i="2"/>
  <c r="BO226" i="2"/>
  <c r="BM226" i="2"/>
  <c r="BQ226" i="2"/>
  <c r="BM32" i="2"/>
  <c r="BO32" i="2"/>
  <c r="BQ32" i="2"/>
  <c r="BQ196" i="2"/>
  <c r="BM196" i="2"/>
  <c r="BO196" i="2"/>
  <c r="BO201" i="2"/>
  <c r="BM201" i="2"/>
  <c r="BQ201" i="2"/>
  <c r="BO219" i="2"/>
  <c r="BQ219" i="2"/>
  <c r="BM219" i="2"/>
  <c r="BM227" i="2"/>
  <c r="BQ227" i="2"/>
  <c r="BO227" i="2"/>
  <c r="BM101" i="2"/>
  <c r="BQ101" i="2"/>
  <c r="BO101" i="2"/>
  <c r="BQ106" i="2"/>
  <c r="BO106" i="2"/>
  <c r="BM106" i="2"/>
  <c r="BQ111" i="2"/>
  <c r="BO111" i="2"/>
  <c r="BM111" i="2"/>
  <c r="AN78" i="1"/>
  <c r="DR8" i="2"/>
  <c r="FS8" i="2"/>
  <c r="DR102" i="2"/>
  <c r="FS102" i="2"/>
  <c r="DR109" i="2"/>
  <c r="FS109" i="2"/>
  <c r="FS113" i="2"/>
  <c r="DR113" i="2"/>
  <c r="DR207" i="2"/>
  <c r="FS207" i="2"/>
  <c r="DR6" i="2"/>
  <c r="FS6" i="2"/>
  <c r="DR29" i="2"/>
  <c r="FS29" i="2"/>
  <c r="DR31" i="2"/>
  <c r="FS31" i="2"/>
  <c r="DR75" i="2"/>
  <c r="FS75" i="2"/>
  <c r="DR112" i="2"/>
  <c r="FS112" i="2"/>
  <c r="DR228" i="2"/>
  <c r="FS228" i="2"/>
  <c r="DR276" i="2"/>
  <c r="FS276" i="2"/>
  <c r="FS278" i="2"/>
  <c r="DR278" i="2"/>
  <c r="DR284" i="2"/>
  <c r="FS284" i="2"/>
  <c r="DR286" i="2"/>
  <c r="FS286" i="2"/>
  <c r="FS100" i="2"/>
  <c r="DR100" i="2"/>
  <c r="DR107" i="2"/>
  <c r="FS107" i="2"/>
  <c r="DR205" i="2"/>
  <c r="FS205" i="2"/>
  <c r="DR209" i="2"/>
  <c r="FS209" i="2"/>
  <c r="DR218" i="2"/>
  <c r="FS218" i="2"/>
  <c r="DR222" i="2"/>
  <c r="FS222" i="2"/>
  <c r="DR224" i="2"/>
  <c r="FS224" i="2"/>
  <c r="DR281" i="2"/>
  <c r="FS281" i="2"/>
  <c r="FS292" i="2"/>
  <c r="DR292" i="2"/>
  <c r="FS301" i="2"/>
  <c r="DR301" i="2"/>
  <c r="FS30" i="2"/>
  <c r="DR30" i="2"/>
  <c r="DR32" i="2"/>
  <c r="FS32" i="2"/>
  <c r="DR114" i="2"/>
  <c r="FS114" i="2"/>
  <c r="FS226" i="2"/>
  <c r="DR226" i="2"/>
  <c r="DR231" i="2"/>
  <c r="FS231" i="2"/>
  <c r="DR277" i="2"/>
  <c r="FS277" i="2"/>
  <c r="DR285" i="2"/>
  <c r="FS285" i="2"/>
  <c r="FS287" i="2"/>
  <c r="DR287" i="2"/>
  <c r="DR288" i="2"/>
  <c r="FS288" i="2"/>
  <c r="FS10" i="2"/>
  <c r="DR10" i="2"/>
  <c r="DR195" i="2"/>
  <c r="FS195" i="2"/>
  <c r="DR203" i="2"/>
  <c r="FS203" i="2"/>
  <c r="FS9" i="2"/>
  <c r="DR9" i="2"/>
  <c r="DR101" i="2"/>
  <c r="FS101" i="2"/>
  <c r="DR103" i="2"/>
  <c r="FS103" i="2"/>
  <c r="DR106" i="2"/>
  <c r="FS106" i="2"/>
  <c r="FS108" i="2"/>
  <c r="DR108" i="2"/>
  <c r="DR115" i="2"/>
  <c r="FS115" i="2"/>
  <c r="FS196" i="2"/>
  <c r="DR196" i="2"/>
  <c r="FS204" i="2"/>
  <c r="DR204" i="2"/>
  <c r="DR206" i="2"/>
  <c r="FS206" i="2"/>
  <c r="FS208" i="2"/>
  <c r="DR208" i="2"/>
  <c r="FS219" i="2"/>
  <c r="DR219" i="2"/>
  <c r="DR223" i="2"/>
  <c r="FS223" i="2"/>
  <c r="DR227" i="2"/>
  <c r="FS227" i="2"/>
  <c r="DR280" i="2"/>
  <c r="FS280" i="2"/>
  <c r="DR293" i="2"/>
  <c r="FS293" i="2"/>
  <c r="N112" i="2"/>
  <c r="DR111" i="2"/>
  <c r="FS111" i="2"/>
  <c r="DR200" i="2"/>
  <c r="FS200" i="2"/>
  <c r="DR211" i="2"/>
  <c r="FS211" i="2"/>
  <c r="DR212" i="2"/>
  <c r="FS212" i="2"/>
  <c r="DR216" i="2"/>
  <c r="FS216" i="2"/>
  <c r="DR199" i="2"/>
  <c r="FS199" i="2"/>
  <c r="FS201" i="2"/>
  <c r="DR201" i="2"/>
  <c r="FS210" i="2"/>
  <c r="DR210" i="2"/>
  <c r="FS213" i="2"/>
  <c r="DR213" i="2"/>
  <c r="DR217" i="2"/>
  <c r="FS217" i="2"/>
  <c r="N115" i="2"/>
  <c r="N114" i="2"/>
  <c r="N113" i="2"/>
  <c r="BO7" i="1"/>
  <c r="BM56" i="1"/>
  <c r="BQ28" i="1"/>
  <c r="BM28" i="1"/>
  <c r="BO28" i="1"/>
  <c r="BQ30" i="1"/>
  <c r="BM30" i="1"/>
  <c r="BO30" i="1"/>
  <c r="BQ32" i="1"/>
  <c r="BM32" i="1"/>
  <c r="BO32" i="1"/>
  <c r="BO17" i="1"/>
  <c r="BQ17" i="1"/>
  <c r="BM17" i="1"/>
  <c r="BO19" i="1"/>
  <c r="BQ19" i="1"/>
  <c r="BM19" i="1"/>
  <c r="BO59" i="1"/>
  <c r="BQ59" i="1"/>
  <c r="BM59" i="1"/>
  <c r="BO61" i="1"/>
  <c r="BQ61" i="1"/>
  <c r="BM61" i="1"/>
  <c r="AN79" i="1"/>
  <c r="BQ56" i="1"/>
  <c r="BO11" i="1"/>
  <c r="BQ11" i="1"/>
  <c r="BM11" i="1"/>
  <c r="BQ26" i="1"/>
  <c r="BM26" i="1"/>
  <c r="BO26" i="1"/>
  <c r="BQ10" i="1"/>
  <c r="BM10" i="1"/>
  <c r="BO10" i="1"/>
  <c r="BQ12" i="1"/>
  <c r="BM12" i="1"/>
  <c r="BO12" i="1"/>
  <c r="BO15" i="1"/>
  <c r="BQ15" i="1"/>
  <c r="BM15" i="1"/>
  <c r="BO25" i="1"/>
  <c r="BQ25" i="1"/>
  <c r="BM25" i="1"/>
  <c r="BO27" i="1"/>
  <c r="BQ27" i="1"/>
  <c r="BM27" i="1"/>
  <c r="BO29" i="1"/>
  <c r="BQ29" i="1"/>
  <c r="BM29" i="1"/>
  <c r="BO31" i="1"/>
  <c r="BQ31" i="1"/>
  <c r="BM31" i="1"/>
  <c r="AN75" i="1"/>
  <c r="BM55" i="1"/>
  <c r="BQ18" i="1"/>
  <c r="BM18" i="1"/>
  <c r="BO18" i="1"/>
  <c r="BQ20" i="1"/>
  <c r="BM20" i="1"/>
  <c r="BO20" i="1"/>
  <c r="BO23" i="1"/>
  <c r="BQ23" i="1"/>
  <c r="BM23" i="1"/>
  <c r="BQ60" i="1"/>
  <c r="BM60" i="1"/>
  <c r="BO60" i="1"/>
  <c r="BQ62" i="1"/>
  <c r="BM62" i="1"/>
  <c r="BO62" i="1"/>
  <c r="BM54" i="1"/>
  <c r="BO54" i="1"/>
  <c r="BQ54" i="1"/>
  <c r="BM7" i="1"/>
  <c r="BO55" i="1"/>
  <c r="AN77" i="1"/>
  <c r="BP77" i="1" s="1"/>
  <c r="BO51" i="1"/>
  <c r="BQ51" i="1"/>
  <c r="BM51" i="1"/>
  <c r="AN76" i="1"/>
  <c r="BO8" i="1"/>
  <c r="BN8" i="1"/>
  <c r="BP8" i="1"/>
  <c r="BQ8" i="1"/>
  <c r="BM8" i="1"/>
  <c r="BL8" i="1"/>
  <c r="BQ9" i="1"/>
  <c r="BM9" i="1"/>
  <c r="BP9" i="1"/>
  <c r="BL9" i="1"/>
  <c r="BO9" i="1"/>
  <c r="BN9" i="1"/>
  <c r="AN74" i="1"/>
  <c r="AN73" i="1"/>
  <c r="BO58" i="1"/>
  <c r="BN58" i="1"/>
  <c r="BQ58" i="1"/>
  <c r="BP58" i="1"/>
  <c r="BL58" i="1"/>
  <c r="BM58" i="1"/>
  <c r="BQ57" i="1"/>
  <c r="BM57" i="1"/>
  <c r="P76" i="1"/>
  <c r="P74" i="1"/>
  <c r="BP57" i="1"/>
  <c r="BL57" i="1"/>
  <c r="P78" i="1"/>
  <c r="P73" i="1"/>
  <c r="P79" i="1"/>
  <c r="BN57" i="1"/>
  <c r="P75" i="1"/>
  <c r="BO57" i="1"/>
  <c r="I24" i="1"/>
  <c r="N7" i="1"/>
  <c r="I16" i="1"/>
  <c r="N54" i="1"/>
  <c r="I52" i="1"/>
  <c r="BO295" i="2" l="1"/>
  <c r="BM295" i="2"/>
  <c r="BQ295" i="2"/>
  <c r="BQ306" i="2"/>
  <c r="BM306" i="2"/>
  <c r="BO306" i="2"/>
  <c r="BO297" i="2"/>
  <c r="BM297" i="2"/>
  <c r="BQ297" i="2"/>
  <c r="V97" i="5"/>
  <c r="V98" i="5"/>
  <c r="V96" i="5"/>
  <c r="W209" i="5"/>
  <c r="N209" i="5" s="1"/>
  <c r="W213" i="5"/>
  <c r="N213" i="5" s="1"/>
  <c r="W214" i="5"/>
  <c r="N214" i="5" s="1"/>
  <c r="W210" i="5"/>
  <c r="N210" i="5" s="1"/>
  <c r="W211" i="5"/>
  <c r="N211" i="5" s="1"/>
  <c r="W212" i="5"/>
  <c r="N212" i="5" s="1"/>
  <c r="V125" i="5"/>
  <c r="V123" i="5"/>
  <c r="V121" i="5"/>
  <c r="V124" i="5"/>
  <c r="V122" i="5"/>
  <c r="V120" i="5"/>
  <c r="BO45" i="2"/>
  <c r="BQ45" i="2"/>
  <c r="BM45" i="2"/>
  <c r="BO119" i="2"/>
  <c r="BQ119" i="2"/>
  <c r="BM119" i="2"/>
  <c r="BO69" i="2"/>
  <c r="BQ69" i="2"/>
  <c r="BM69" i="2"/>
  <c r="BQ68" i="2"/>
  <c r="BM68" i="2"/>
  <c r="BO68" i="2"/>
  <c r="BQ122" i="2"/>
  <c r="BM122" i="2"/>
  <c r="BO122" i="2"/>
  <c r="BQ120" i="2"/>
  <c r="BM120" i="2"/>
  <c r="BO120" i="2"/>
  <c r="BO80" i="2"/>
  <c r="BQ80" i="2"/>
  <c r="BM80" i="2"/>
  <c r="BQ44" i="2"/>
  <c r="BM44" i="2"/>
  <c r="BO44" i="2"/>
  <c r="U125" i="5"/>
  <c r="U121" i="5"/>
  <c r="U96" i="5"/>
  <c r="U122" i="5"/>
  <c r="U97" i="5"/>
  <c r="U123" i="5"/>
  <c r="U98" i="5"/>
  <c r="U124" i="5"/>
  <c r="U120" i="5"/>
  <c r="W202" i="5"/>
  <c r="N202" i="5" s="1"/>
  <c r="W206" i="5"/>
  <c r="N206" i="5" s="1"/>
  <c r="W207" i="5"/>
  <c r="N207" i="5" s="1"/>
  <c r="W200" i="5"/>
  <c r="N200" i="5" s="1"/>
  <c r="W204" i="5"/>
  <c r="N204" i="5" s="1"/>
  <c r="W208" i="5"/>
  <c r="N208" i="5" s="1"/>
  <c r="W203" i="5"/>
  <c r="N203" i="5" s="1"/>
  <c r="W201" i="5"/>
  <c r="N201" i="5" s="1"/>
  <c r="W205" i="5"/>
  <c r="N205" i="5" s="1"/>
  <c r="W199" i="5"/>
  <c r="N199" i="5" s="1"/>
  <c r="S191" i="5"/>
  <c r="N191" i="5" s="1"/>
  <c r="U195" i="5"/>
  <c r="N195" i="5" s="1"/>
  <c r="U198" i="5"/>
  <c r="N198" i="5" s="1"/>
  <c r="U196" i="5"/>
  <c r="N196" i="5" s="1"/>
  <c r="U193" i="5"/>
  <c r="N193" i="5" s="1"/>
  <c r="U197" i="5"/>
  <c r="N197" i="5" s="1"/>
  <c r="U194" i="5"/>
  <c r="N194" i="5" s="1"/>
  <c r="U95" i="5"/>
  <c r="U94" i="5"/>
  <c r="DR38" i="2"/>
  <c r="FS38" i="2"/>
  <c r="DR36" i="2"/>
  <c r="FS36" i="2"/>
  <c r="DR68" i="2"/>
  <c r="FS68" i="2"/>
  <c r="DR306" i="2"/>
  <c r="FS306" i="2"/>
  <c r="FS295" i="2"/>
  <c r="DR295" i="2"/>
  <c r="DR297" i="2"/>
  <c r="FS297" i="2"/>
  <c r="DR80" i="2"/>
  <c r="FS80" i="2"/>
  <c r="FS37" i="2"/>
  <c r="DR37" i="2"/>
  <c r="DR69" i="2"/>
  <c r="FS69" i="2"/>
  <c r="DR77" i="2"/>
  <c r="FS77" i="2"/>
  <c r="DR44" i="2"/>
  <c r="FS44" i="2"/>
  <c r="DR45" i="2"/>
  <c r="FS45" i="2"/>
  <c r="S192" i="5"/>
  <c r="N192" i="5" s="1"/>
  <c r="FS120" i="2"/>
  <c r="DR120" i="2"/>
  <c r="DR122" i="2"/>
  <c r="FS122" i="2"/>
  <c r="DR119" i="2"/>
  <c r="FS119" i="2"/>
  <c r="U57" i="5"/>
  <c r="N57" i="5" s="1"/>
  <c r="U55" i="5"/>
  <c r="N55" i="5" s="1"/>
  <c r="U53" i="5"/>
  <c r="N53" i="5" s="1"/>
  <c r="U51" i="5"/>
  <c r="N51" i="5" s="1"/>
  <c r="U46" i="5"/>
  <c r="N46" i="5" s="1"/>
  <c r="U45" i="5"/>
  <c r="N45" i="5" s="1"/>
  <c r="U42" i="5"/>
  <c r="N42" i="5" s="1"/>
  <c r="U25" i="5"/>
  <c r="N25" i="5" s="1"/>
  <c r="U21" i="5"/>
  <c r="N21" i="5" s="1"/>
  <c r="U17" i="5"/>
  <c r="N17" i="5" s="1"/>
  <c r="U13" i="5"/>
  <c r="N13" i="5" s="1"/>
  <c r="U8" i="5"/>
  <c r="U4" i="5"/>
  <c r="U58" i="5"/>
  <c r="U56" i="5"/>
  <c r="N56" i="5" s="1"/>
  <c r="U54" i="5"/>
  <c r="N54" i="5" s="1"/>
  <c r="U50" i="5"/>
  <c r="N50" i="5" s="1"/>
  <c r="U48" i="5"/>
  <c r="N48" i="5" s="1"/>
  <c r="U43" i="5"/>
  <c r="N43" i="5" s="1"/>
  <c r="U40" i="5"/>
  <c r="N40" i="5" s="1"/>
  <c r="U24" i="5"/>
  <c r="N24" i="5" s="1"/>
  <c r="U20" i="5"/>
  <c r="N20" i="5" s="1"/>
  <c r="U16" i="5"/>
  <c r="N16" i="5" s="1"/>
  <c r="U12" i="5"/>
  <c r="N12" i="5" s="1"/>
  <c r="U6" i="5"/>
  <c r="W249" i="5"/>
  <c r="U22" i="5"/>
  <c r="N22" i="5" s="1"/>
  <c r="U18" i="5"/>
  <c r="N18" i="5" s="1"/>
  <c r="U14" i="5"/>
  <c r="N14" i="5" s="1"/>
  <c r="U7" i="5"/>
  <c r="U3" i="5"/>
  <c r="W11" i="5"/>
  <c r="W10" i="5"/>
  <c r="U52" i="5"/>
  <c r="N52" i="5" s="1"/>
  <c r="U49" i="5"/>
  <c r="N49" i="5" s="1"/>
  <c r="U47" i="5"/>
  <c r="N47" i="5" s="1"/>
  <c r="U44" i="5"/>
  <c r="N44" i="5" s="1"/>
  <c r="U41" i="5"/>
  <c r="N41" i="5" s="1"/>
  <c r="U23" i="5"/>
  <c r="N23" i="5" s="1"/>
  <c r="U19" i="5"/>
  <c r="N19" i="5" s="1"/>
  <c r="U15" i="5"/>
  <c r="N15" i="5" s="1"/>
  <c r="U9" i="5"/>
  <c r="U5" i="5"/>
  <c r="V236" i="5"/>
  <c r="V235" i="5"/>
  <c r="V234" i="5"/>
  <c r="V233" i="5"/>
  <c r="V232" i="5"/>
  <c r="V231" i="5"/>
  <c r="V230" i="5"/>
  <c r="V229" i="5"/>
  <c r="V228" i="5"/>
  <c r="V227" i="5"/>
  <c r="V226" i="5"/>
  <c r="V225" i="5"/>
  <c r="V224" i="5"/>
  <c r="V223" i="5"/>
  <c r="V222" i="5"/>
  <c r="V221" i="5"/>
  <c r="V184" i="5"/>
  <c r="V183" i="5"/>
  <c r="V182" i="5"/>
  <c r="V181" i="5"/>
  <c r="V180" i="5"/>
  <c r="V179" i="5"/>
  <c r="V178" i="5"/>
  <c r="V177" i="5"/>
  <c r="V176" i="5"/>
  <c r="V168" i="5"/>
  <c r="V167" i="5"/>
  <c r="V166" i="5"/>
  <c r="V165" i="5"/>
  <c r="V164" i="5"/>
  <c r="V163" i="5"/>
  <c r="V162" i="5"/>
  <c r="V119" i="5"/>
  <c r="V118" i="5"/>
  <c r="V117" i="5"/>
  <c r="V116" i="5"/>
  <c r="V115" i="5"/>
  <c r="V114" i="5"/>
  <c r="V113" i="5"/>
  <c r="V112" i="5"/>
  <c r="V111" i="5"/>
  <c r="R110" i="5"/>
  <c r="R109" i="5"/>
  <c r="R108" i="5"/>
  <c r="R107" i="5"/>
  <c r="R106" i="5"/>
  <c r="R105" i="5"/>
  <c r="R104" i="5"/>
  <c r="R103" i="5"/>
  <c r="R102" i="5"/>
  <c r="V95" i="5"/>
  <c r="R95" i="5"/>
  <c r="V94" i="5"/>
  <c r="R94" i="5"/>
  <c r="V80" i="5"/>
  <c r="V79" i="5"/>
  <c r="V78" i="5"/>
  <c r="V77" i="5"/>
  <c r="V76" i="5"/>
  <c r="V75" i="5"/>
  <c r="V74" i="5"/>
  <c r="V73" i="5"/>
  <c r="V72" i="5"/>
  <c r="V64" i="5"/>
  <c r="V63" i="5"/>
  <c r="V62" i="5"/>
  <c r="V61" i="5"/>
  <c r="V60" i="5"/>
  <c r="V59" i="5"/>
  <c r="V58" i="5"/>
  <c r="U87" i="5"/>
  <c r="U86" i="5"/>
  <c r="U85" i="5"/>
  <c r="U84" i="5"/>
  <c r="U83" i="5"/>
  <c r="U82" i="5"/>
  <c r="U81" i="5"/>
  <c r="U236" i="5"/>
  <c r="U235" i="5"/>
  <c r="U234" i="5"/>
  <c r="U233" i="5"/>
  <c r="U232" i="5"/>
  <c r="U231" i="5"/>
  <c r="U230" i="5"/>
  <c r="U229" i="5"/>
  <c r="U228" i="5"/>
  <c r="U227" i="5"/>
  <c r="U226" i="5"/>
  <c r="U225" i="5"/>
  <c r="U224" i="5"/>
  <c r="U223" i="5"/>
  <c r="U222" i="5"/>
  <c r="U221" i="5"/>
  <c r="U184" i="5"/>
  <c r="U183" i="5"/>
  <c r="U182" i="5"/>
  <c r="U181" i="5"/>
  <c r="U180" i="5"/>
  <c r="U179" i="5"/>
  <c r="U178" i="5"/>
  <c r="U177" i="5"/>
  <c r="U176" i="5"/>
  <c r="U168" i="5"/>
  <c r="U167" i="5"/>
  <c r="U166" i="5"/>
  <c r="U165" i="5"/>
  <c r="U164" i="5"/>
  <c r="U163" i="5"/>
  <c r="U162" i="5"/>
  <c r="U161" i="5"/>
  <c r="N161" i="5" s="1"/>
  <c r="U160" i="5"/>
  <c r="N160" i="5" s="1"/>
  <c r="U159" i="5"/>
  <c r="N159" i="5" s="1"/>
  <c r="U158" i="5"/>
  <c r="N158" i="5" s="1"/>
  <c r="U157" i="5"/>
  <c r="N157" i="5" s="1"/>
  <c r="U156" i="5"/>
  <c r="N156" i="5" s="1"/>
  <c r="U155" i="5"/>
  <c r="N155" i="5" s="1"/>
  <c r="U154" i="5"/>
  <c r="N154" i="5" s="1"/>
  <c r="U153" i="5"/>
  <c r="N153" i="5" s="1"/>
  <c r="U145" i="5"/>
  <c r="N145" i="5" s="1"/>
  <c r="U144" i="5"/>
  <c r="N144" i="5" s="1"/>
  <c r="U143" i="5"/>
  <c r="N143" i="5" s="1"/>
  <c r="U142" i="5"/>
  <c r="N142" i="5" s="1"/>
  <c r="U141" i="5"/>
  <c r="N141" i="5" s="1"/>
  <c r="U140" i="5"/>
  <c r="N140" i="5" s="1"/>
  <c r="U139" i="5"/>
  <c r="N139" i="5" s="1"/>
  <c r="U119" i="5"/>
  <c r="U118" i="5"/>
  <c r="U117" i="5"/>
  <c r="U116" i="5"/>
  <c r="U115" i="5"/>
  <c r="U114" i="5"/>
  <c r="U113" i="5"/>
  <c r="U112" i="5"/>
  <c r="U111" i="5"/>
  <c r="U93" i="5"/>
  <c r="U92" i="5"/>
  <c r="U91" i="5"/>
  <c r="U90" i="5"/>
  <c r="U89" i="5"/>
  <c r="U88" i="5"/>
  <c r="U80" i="5"/>
  <c r="U79" i="5"/>
  <c r="U78" i="5"/>
  <c r="U77" i="5"/>
  <c r="U76" i="5"/>
  <c r="U75" i="5"/>
  <c r="U74" i="5"/>
  <c r="U73" i="5"/>
  <c r="U72" i="5"/>
  <c r="U64" i="5"/>
  <c r="U63" i="5"/>
  <c r="U62" i="5"/>
  <c r="U61" i="5"/>
  <c r="U60" i="5"/>
  <c r="U59" i="5"/>
  <c r="P138" i="5"/>
  <c r="P137" i="5"/>
  <c r="P136" i="5"/>
  <c r="P135" i="5"/>
  <c r="P134" i="5"/>
  <c r="P133" i="5"/>
  <c r="P132" i="5"/>
  <c r="P131" i="5"/>
  <c r="P130" i="5"/>
  <c r="P129" i="5"/>
  <c r="P110" i="5"/>
  <c r="P109" i="5"/>
  <c r="P108" i="5"/>
  <c r="P107" i="5"/>
  <c r="P106" i="5"/>
  <c r="P105" i="5"/>
  <c r="P104" i="5"/>
  <c r="P103" i="5"/>
  <c r="P102" i="5"/>
  <c r="P95" i="5"/>
  <c r="P94" i="5"/>
  <c r="W248" i="5"/>
  <c r="W247" i="5"/>
  <c r="W246" i="5"/>
  <c r="W245" i="5"/>
  <c r="W244" i="5"/>
  <c r="S243" i="5"/>
  <c r="S242" i="5"/>
  <c r="S241" i="5"/>
  <c r="S240" i="5"/>
  <c r="S239" i="5"/>
  <c r="S238" i="5"/>
  <c r="S237" i="5"/>
  <c r="W98" i="5"/>
  <c r="W97" i="5"/>
  <c r="W96" i="5"/>
  <c r="W125" i="5"/>
  <c r="W124" i="5"/>
  <c r="W123" i="5"/>
  <c r="W122" i="5"/>
  <c r="W121" i="5"/>
  <c r="W120" i="5"/>
  <c r="W128" i="5"/>
  <c r="W127" i="5"/>
  <c r="W126" i="5"/>
  <c r="S190" i="5"/>
  <c r="N190" i="5" s="1"/>
  <c r="S189" i="5"/>
  <c r="N189" i="5" s="1"/>
  <c r="S188" i="5"/>
  <c r="N188" i="5" s="1"/>
  <c r="S187" i="5"/>
  <c r="N187" i="5" s="1"/>
  <c r="S186" i="5"/>
  <c r="N186" i="5" s="1"/>
  <c r="S185" i="5"/>
  <c r="N185" i="5" s="1"/>
  <c r="W119" i="5"/>
  <c r="W118" i="5"/>
  <c r="W117" i="5"/>
  <c r="W116" i="5"/>
  <c r="W115" i="5"/>
  <c r="W114" i="5"/>
  <c r="W113" i="5"/>
  <c r="W112" i="5"/>
  <c r="W111" i="5"/>
  <c r="W110" i="5"/>
  <c r="W109" i="5"/>
  <c r="W108" i="5"/>
  <c r="W107" i="5"/>
  <c r="W106" i="5"/>
  <c r="W105" i="5"/>
  <c r="W104" i="5"/>
  <c r="W103" i="5"/>
  <c r="W102" i="5"/>
  <c r="W95" i="5"/>
  <c r="W94" i="5"/>
  <c r="S93" i="5"/>
  <c r="S92" i="5"/>
  <c r="S91" i="5"/>
  <c r="S90" i="5"/>
  <c r="S89" i="5"/>
  <c r="S88" i="5"/>
  <c r="BF70" i="1"/>
  <c r="AR71" i="1"/>
  <c r="BL77" i="1"/>
  <c r="AR70" i="1"/>
  <c r="AA70" i="1"/>
  <c r="AQ70" i="1"/>
  <c r="BG70" i="1"/>
  <c r="AB70" i="1"/>
  <c r="BD70" i="1"/>
  <c r="Y70" i="1"/>
  <c r="AO70" i="1"/>
  <c r="BE70" i="1"/>
  <c r="Z70" i="1"/>
  <c r="AP70" i="1"/>
  <c r="BQ24" i="1"/>
  <c r="BM24" i="1"/>
  <c r="BO24" i="1"/>
  <c r="BQ16" i="1"/>
  <c r="BM16" i="1"/>
  <c r="BO16" i="1"/>
  <c r="P66" i="1"/>
  <c r="P69" i="1"/>
  <c r="O70" i="1"/>
  <c r="AE70" i="1"/>
  <c r="AU70" i="1"/>
  <c r="P70" i="1"/>
  <c r="AF70" i="1"/>
  <c r="BH70" i="1"/>
  <c r="AC70" i="1"/>
  <c r="AS70" i="1"/>
  <c r="BI70" i="1"/>
  <c r="AD70" i="1"/>
  <c r="AT70" i="1"/>
  <c r="BJ70" i="1"/>
  <c r="P71" i="1"/>
  <c r="AV70" i="1"/>
  <c r="S70" i="1"/>
  <c r="AI70" i="1"/>
  <c r="AY70" i="1"/>
  <c r="T70" i="1"/>
  <c r="AJ70" i="1"/>
  <c r="Q70" i="1"/>
  <c r="AG70" i="1"/>
  <c r="AW70" i="1"/>
  <c r="R70" i="1"/>
  <c r="AH70" i="1"/>
  <c r="AX70" i="1"/>
  <c r="AN69" i="1"/>
  <c r="BM77" i="1"/>
  <c r="BO77" i="1"/>
  <c r="BQ77" i="1"/>
  <c r="AN70" i="1"/>
  <c r="W70" i="1"/>
  <c r="AM70" i="1"/>
  <c r="BC70" i="1"/>
  <c r="X70" i="1"/>
  <c r="AZ70" i="1"/>
  <c r="U70" i="1"/>
  <c r="AK70" i="1"/>
  <c r="BA70" i="1"/>
  <c r="V70" i="1"/>
  <c r="AL70" i="1"/>
  <c r="BB70" i="1"/>
  <c r="BN77" i="1"/>
  <c r="N77" i="1" s="1"/>
  <c r="AB69" i="1"/>
  <c r="AR66" i="1"/>
  <c r="V66" i="1"/>
  <c r="AE66" i="1"/>
  <c r="AJ67" i="1"/>
  <c r="AY68" i="1"/>
  <c r="Z71" i="1"/>
  <c r="AJ72" i="1"/>
  <c r="AJ350" i="2" s="1"/>
  <c r="W66" i="1"/>
  <c r="Y66" i="1"/>
  <c r="AQ66" i="1"/>
  <c r="BH66" i="1"/>
  <c r="AE67" i="1"/>
  <c r="AW67" i="1"/>
  <c r="S68" i="1"/>
  <c r="AJ68" i="1"/>
  <c r="BB68" i="1"/>
  <c r="X69" i="1"/>
  <c r="AP69" i="1"/>
  <c r="BG69" i="1"/>
  <c r="AD71" i="1"/>
  <c r="AV71" i="1"/>
  <c r="R72" i="1"/>
  <c r="R350" i="2" s="1"/>
  <c r="AI72" i="1"/>
  <c r="AI350" i="2" s="1"/>
  <c r="BA72" i="1"/>
  <c r="BA350" i="2" s="1"/>
  <c r="T68" i="1"/>
  <c r="AQ69" i="1"/>
  <c r="BF67" i="1"/>
  <c r="AD69" i="1"/>
  <c r="AW71" i="1"/>
  <c r="AX72" i="1"/>
  <c r="AX350" i="2" s="1"/>
  <c r="AA66" i="1"/>
  <c r="AT66" i="1"/>
  <c r="BJ66" i="1"/>
  <c r="AG67" i="1"/>
  <c r="AY67" i="1"/>
  <c r="U68" i="1"/>
  <c r="AL68" i="1"/>
  <c r="BD68" i="1"/>
  <c r="Z69" i="1"/>
  <c r="AS69" i="1"/>
  <c r="BI69" i="1"/>
  <c r="AF71" i="1"/>
  <c r="AX71" i="1"/>
  <c r="T72" i="1"/>
  <c r="T350" i="2" s="1"/>
  <c r="AK72" i="1"/>
  <c r="AK350" i="2" s="1"/>
  <c r="BC72" i="1"/>
  <c r="BC350" i="2" s="1"/>
  <c r="AF67" i="1"/>
  <c r="AP68" i="1"/>
  <c r="V71" i="1"/>
  <c r="S66" i="1"/>
  <c r="X66" i="1"/>
  <c r="AP66" i="1"/>
  <c r="BG66" i="1"/>
  <c r="AD67" i="1"/>
  <c r="AV67" i="1"/>
  <c r="R68" i="1"/>
  <c r="AI68" i="1"/>
  <c r="BA68" i="1"/>
  <c r="W69" i="1"/>
  <c r="AO69" i="1"/>
  <c r="BF69" i="1"/>
  <c r="AC71" i="1"/>
  <c r="AU71" i="1"/>
  <c r="Q72" i="1"/>
  <c r="Q350" i="2" s="1"/>
  <c r="AH72" i="1"/>
  <c r="AH350" i="2" s="1"/>
  <c r="AZ72" i="1"/>
  <c r="AZ350" i="2" s="1"/>
  <c r="AR67" i="1"/>
  <c r="AB67" i="1"/>
  <c r="P67" i="1"/>
  <c r="P68" i="1"/>
  <c r="AN67" i="1"/>
  <c r="AN68" i="1"/>
  <c r="AR68" i="1"/>
  <c r="O69" i="1"/>
  <c r="AM66" i="1"/>
  <c r="AW66" i="1"/>
  <c r="AT67" i="1"/>
  <c r="U69" i="1"/>
  <c r="AS71" i="1"/>
  <c r="AT72" i="1"/>
  <c r="AT350" i="2" s="1"/>
  <c r="O68" i="1"/>
  <c r="AD66" i="1"/>
  <c r="AV66" i="1"/>
  <c r="R67" i="1"/>
  <c r="AI67" i="1"/>
  <c r="BA67" i="1"/>
  <c r="W68" i="1"/>
  <c r="AO68" i="1"/>
  <c r="BF68" i="1"/>
  <c r="AC69" i="1"/>
  <c r="AU69" i="1"/>
  <c r="Q71" i="1"/>
  <c r="AH71" i="1"/>
  <c r="AZ71" i="1"/>
  <c r="V72" i="1"/>
  <c r="V350" i="2" s="1"/>
  <c r="AM72" i="1"/>
  <c r="AM350" i="2" s="1"/>
  <c r="BE72" i="1"/>
  <c r="BE350" i="2" s="1"/>
  <c r="AK68" i="1"/>
  <c r="BH69" i="1"/>
  <c r="AC68" i="1"/>
  <c r="AV69" i="1"/>
  <c r="S72" i="1"/>
  <c r="S350" i="2" s="1"/>
  <c r="BB72" i="1"/>
  <c r="BB350" i="2" s="1"/>
  <c r="AF66" i="1"/>
  <c r="AX66" i="1"/>
  <c r="T67" i="1"/>
  <c r="AK67" i="1"/>
  <c r="BC67" i="1"/>
  <c r="Y68" i="1"/>
  <c r="AQ68" i="1"/>
  <c r="BH68" i="1"/>
  <c r="AE69" i="1"/>
  <c r="AW69" i="1"/>
  <c r="S71" i="1"/>
  <c r="AJ71" i="1"/>
  <c r="BB71" i="1"/>
  <c r="X72" i="1"/>
  <c r="X350" i="2" s="1"/>
  <c r="AP72" i="1"/>
  <c r="AP350" i="2" s="1"/>
  <c r="BG72" i="1"/>
  <c r="BG350" i="2" s="1"/>
  <c r="AO67" i="1"/>
  <c r="Q69" i="1"/>
  <c r="AM71" i="1"/>
  <c r="O67" i="1"/>
  <c r="AC66" i="1"/>
  <c r="AU66" i="1"/>
  <c r="Q67" i="1"/>
  <c r="AH67" i="1"/>
  <c r="AZ67" i="1"/>
  <c r="V68" i="1"/>
  <c r="AM68" i="1"/>
  <c r="BE68" i="1"/>
  <c r="AA69" i="1"/>
  <c r="AT69" i="1"/>
  <c r="BJ69" i="1"/>
  <c r="AG71" i="1"/>
  <c r="AY71" i="1"/>
  <c r="U72" i="1"/>
  <c r="U350" i="2" s="1"/>
  <c r="AL72" i="1"/>
  <c r="AL350" i="2" s="1"/>
  <c r="BD72" i="1"/>
  <c r="BD350" i="2" s="1"/>
  <c r="AB66" i="1"/>
  <c r="BQ52" i="1"/>
  <c r="BM52" i="1"/>
  <c r="BO52" i="1"/>
  <c r="P72" i="1"/>
  <c r="P350" i="2" s="1"/>
  <c r="AR72" i="1"/>
  <c r="AR350" i="2" s="1"/>
  <c r="R66" i="1"/>
  <c r="Z66" i="1"/>
  <c r="BI66" i="1"/>
  <c r="BJ67" i="1"/>
  <c r="AL69" i="1"/>
  <c r="BI71" i="1"/>
  <c r="BF72" i="1"/>
  <c r="BF350" i="2" s="1"/>
  <c r="Q66" i="1"/>
  <c r="AH66" i="1"/>
  <c r="AZ66" i="1"/>
  <c r="V67" i="1"/>
  <c r="AM67" i="1"/>
  <c r="BE67" i="1"/>
  <c r="AA68" i="1"/>
  <c r="AT68" i="1"/>
  <c r="BJ68" i="1"/>
  <c r="AG69" i="1"/>
  <c r="AY69" i="1"/>
  <c r="U71" i="1"/>
  <c r="AL71" i="1"/>
  <c r="BD71" i="1"/>
  <c r="Z72" i="1"/>
  <c r="Z350" i="2" s="1"/>
  <c r="AS72" i="1"/>
  <c r="AS350" i="2" s="1"/>
  <c r="BI72" i="1"/>
  <c r="BI350" i="2" s="1"/>
  <c r="BC68" i="1"/>
  <c r="AE71" i="1"/>
  <c r="BA66" i="1"/>
  <c r="AU68" i="1"/>
  <c r="R71" i="1"/>
  <c r="AF72" i="1"/>
  <c r="AF350" i="2" s="1"/>
  <c r="BJ72" i="1"/>
  <c r="BJ350" i="2" s="1"/>
  <c r="AJ66" i="1"/>
  <c r="BB66" i="1"/>
  <c r="X67" i="1"/>
  <c r="AP67" i="1"/>
  <c r="BG67" i="1"/>
  <c r="AD68" i="1"/>
  <c r="AV68" i="1"/>
  <c r="R69" i="1"/>
  <c r="AI69" i="1"/>
  <c r="BA69" i="1"/>
  <c r="W71" i="1"/>
  <c r="AO71" i="1"/>
  <c r="BF71" i="1"/>
  <c r="AC72" i="1"/>
  <c r="AC350" i="2" s="1"/>
  <c r="AU72" i="1"/>
  <c r="AU350" i="2" s="1"/>
  <c r="BE66" i="1"/>
  <c r="AX67" i="1"/>
  <c r="AH69" i="1"/>
  <c r="BA71" i="1"/>
  <c r="O72" i="1"/>
  <c r="O350" i="2" s="1"/>
  <c r="AG66" i="1"/>
  <c r="AY66" i="1"/>
  <c r="U67" i="1"/>
  <c r="AL67" i="1"/>
  <c r="BD67" i="1"/>
  <c r="Z68" i="1"/>
  <c r="AS68" i="1"/>
  <c r="BI68" i="1"/>
  <c r="AF69" i="1"/>
  <c r="AX69" i="1"/>
  <c r="T71" i="1"/>
  <c r="AK71" i="1"/>
  <c r="BC71" i="1"/>
  <c r="Y72" i="1"/>
  <c r="Y350" i="2" s="1"/>
  <c r="AQ72" i="1"/>
  <c r="AQ350" i="2" s="1"/>
  <c r="BH72" i="1"/>
  <c r="BH350" i="2" s="1"/>
  <c r="AB71" i="1"/>
  <c r="AN66" i="1"/>
  <c r="AN71" i="1"/>
  <c r="AB68" i="1"/>
  <c r="AR69" i="1"/>
  <c r="AI66" i="1"/>
  <c r="AS66" i="1"/>
  <c r="AA67" i="1"/>
  <c r="AG68" i="1"/>
  <c r="BD69" i="1"/>
  <c r="AA72" i="1"/>
  <c r="AA350" i="2" s="1"/>
  <c r="O66" i="1"/>
  <c r="U66" i="1"/>
  <c r="AL66" i="1"/>
  <c r="BD66" i="1"/>
  <c r="Z67" i="1"/>
  <c r="AS67" i="1"/>
  <c r="BI67" i="1"/>
  <c r="AF68" i="1"/>
  <c r="AX68" i="1"/>
  <c r="T69" i="1"/>
  <c r="AK69" i="1"/>
  <c r="BC69" i="1"/>
  <c r="Y71" i="1"/>
  <c r="AQ71" i="1"/>
  <c r="BH71" i="1"/>
  <c r="AE72" i="1"/>
  <c r="AE350" i="2" s="1"/>
  <c r="AW72" i="1"/>
  <c r="AW350" i="2" s="1"/>
  <c r="BB67" i="1"/>
  <c r="Y69" i="1"/>
  <c r="BE71" i="1"/>
  <c r="S67" i="1"/>
  <c r="BG68" i="1"/>
  <c r="AI71" i="1"/>
  <c r="AO72" i="1"/>
  <c r="AO350" i="2" s="1"/>
  <c r="O71" i="1"/>
  <c r="AO66" i="1"/>
  <c r="BF66" i="1"/>
  <c r="AC67" i="1"/>
  <c r="AU67" i="1"/>
  <c r="Q68" i="1"/>
  <c r="AH68" i="1"/>
  <c r="AZ68" i="1"/>
  <c r="V69" i="1"/>
  <c r="AM69" i="1"/>
  <c r="BE69" i="1"/>
  <c r="AA71" i="1"/>
  <c r="AT71" i="1"/>
  <c r="BJ71" i="1"/>
  <c r="AG72" i="1"/>
  <c r="AG350" i="2" s="1"/>
  <c r="AY72" i="1"/>
  <c r="AY350" i="2" s="1"/>
  <c r="W67" i="1"/>
  <c r="X68" i="1"/>
  <c r="AZ69" i="1"/>
  <c r="W72" i="1"/>
  <c r="W350" i="2" s="1"/>
  <c r="T66" i="1"/>
  <c r="AK66" i="1"/>
  <c r="BC66" i="1"/>
  <c r="Y67" i="1"/>
  <c r="AQ67" i="1"/>
  <c r="BH67" i="1"/>
  <c r="AE68" i="1"/>
  <c r="AW68" i="1"/>
  <c r="S69" i="1"/>
  <c r="AJ69" i="1"/>
  <c r="BB69" i="1"/>
  <c r="X71" i="1"/>
  <c r="AP71" i="1"/>
  <c r="BG71" i="1"/>
  <c r="AD72" i="1"/>
  <c r="AD350" i="2" s="1"/>
  <c r="AV72" i="1"/>
  <c r="AV350" i="2" s="1"/>
  <c r="AN72" i="1"/>
  <c r="AN350" i="2" s="1"/>
  <c r="AB72" i="1"/>
  <c r="AB350" i="2" s="1"/>
  <c r="BO76" i="1"/>
  <c r="BL76" i="1"/>
  <c r="BP76" i="1"/>
  <c r="BQ76" i="1"/>
  <c r="BN76" i="1"/>
  <c r="BM76" i="1"/>
  <c r="BJ340" i="2"/>
  <c r="BF340" i="2"/>
  <c r="BB340" i="2"/>
  <c r="AX340" i="2"/>
  <c r="AT340" i="2"/>
  <c r="AP340" i="2"/>
  <c r="AL340" i="2"/>
  <c r="AH340" i="2"/>
  <c r="AD340" i="2"/>
  <c r="Z340" i="2"/>
  <c r="U340" i="2"/>
  <c r="BJ339" i="2"/>
  <c r="BF339" i="2"/>
  <c r="BB339" i="2"/>
  <c r="AX339" i="2"/>
  <c r="AT339" i="2"/>
  <c r="AP339" i="2"/>
  <c r="AL339" i="2"/>
  <c r="AH339" i="2"/>
  <c r="AD339" i="2"/>
  <c r="Z339" i="2"/>
  <c r="U339" i="2"/>
  <c r="BJ338" i="2"/>
  <c r="BF338" i="2"/>
  <c r="BB338" i="2"/>
  <c r="AX338" i="2"/>
  <c r="AT338" i="2"/>
  <c r="AP338" i="2"/>
  <c r="AL338" i="2"/>
  <c r="AH338" i="2"/>
  <c r="AD338" i="2"/>
  <c r="Z338" i="2"/>
  <c r="U338" i="2"/>
  <c r="BJ337" i="2"/>
  <c r="BF337" i="2"/>
  <c r="BB337" i="2"/>
  <c r="AX337" i="2"/>
  <c r="AT337" i="2"/>
  <c r="AP337" i="2"/>
  <c r="AL337" i="2"/>
  <c r="AH337" i="2"/>
  <c r="AD337" i="2"/>
  <c r="Z337" i="2"/>
  <c r="U337" i="2"/>
  <c r="BJ336" i="2"/>
  <c r="BF336" i="2"/>
  <c r="BI340" i="2"/>
  <c r="BE340" i="2"/>
  <c r="BA340" i="2"/>
  <c r="AW340" i="2"/>
  <c r="AS340" i="2"/>
  <c r="AO340" i="2"/>
  <c r="AK340" i="2"/>
  <c r="AG340" i="2"/>
  <c r="AC340" i="2"/>
  <c r="Y340" i="2"/>
  <c r="S340" i="2"/>
  <c r="BI339" i="2"/>
  <c r="BE339" i="2"/>
  <c r="BA339" i="2"/>
  <c r="AW339" i="2"/>
  <c r="AS339" i="2"/>
  <c r="AO339" i="2"/>
  <c r="AK339" i="2"/>
  <c r="AG339" i="2"/>
  <c r="AC339" i="2"/>
  <c r="Y339" i="2"/>
  <c r="S339" i="2"/>
  <c r="BI338" i="2"/>
  <c r="BE338" i="2"/>
  <c r="BA338" i="2"/>
  <c r="AW338" i="2"/>
  <c r="AS338" i="2"/>
  <c r="AO338" i="2"/>
  <c r="AK338" i="2"/>
  <c r="AG338" i="2"/>
  <c r="AC338" i="2"/>
  <c r="Y338" i="2"/>
  <c r="S338" i="2"/>
  <c r="BI337" i="2"/>
  <c r="BE337" i="2"/>
  <c r="BA337" i="2"/>
  <c r="AW337" i="2"/>
  <c r="AS337" i="2"/>
  <c r="AO337" i="2"/>
  <c r="AK337" i="2"/>
  <c r="AG337" i="2"/>
  <c r="AC337" i="2"/>
  <c r="Y337" i="2"/>
  <c r="S337" i="2"/>
  <c r="BI336" i="2"/>
  <c r="BE336" i="2"/>
  <c r="BA336" i="2"/>
  <c r="AW336" i="2"/>
  <c r="AS336" i="2"/>
  <c r="AO336" i="2"/>
  <c r="AK336" i="2"/>
  <c r="AG336" i="2"/>
  <c r="W340" i="2"/>
  <c r="R340" i="2"/>
  <c r="W339" i="2"/>
  <c r="R339" i="2"/>
  <c r="W338" i="2"/>
  <c r="R338" i="2"/>
  <c r="BG340" i="2"/>
  <c r="BC340" i="2"/>
  <c r="AY340" i="2"/>
  <c r="AU340" i="2"/>
  <c r="AQ340" i="2"/>
  <c r="AM340" i="2"/>
  <c r="AI340" i="2"/>
  <c r="AE340" i="2"/>
  <c r="AA340" i="2"/>
  <c r="V340" i="2"/>
  <c r="Q340" i="2"/>
  <c r="BG339" i="2"/>
  <c r="BC339" i="2"/>
  <c r="AY339" i="2"/>
  <c r="AU339" i="2"/>
  <c r="AQ339" i="2"/>
  <c r="AM339" i="2"/>
  <c r="AI339" i="2"/>
  <c r="AE339" i="2"/>
  <c r="AA339" i="2"/>
  <c r="V339" i="2"/>
  <c r="Q339" i="2"/>
  <c r="BG338" i="2"/>
  <c r="BC338" i="2"/>
  <c r="AY338" i="2"/>
  <c r="AU338" i="2"/>
  <c r="AQ338" i="2"/>
  <c r="AM338" i="2"/>
  <c r="AI338" i="2"/>
  <c r="AE338" i="2"/>
  <c r="AA338" i="2"/>
  <c r="V338" i="2"/>
  <c r="Q338" i="2"/>
  <c r="BG337" i="2"/>
  <c r="BC337" i="2"/>
  <c r="AY337" i="2"/>
  <c r="AU337" i="2"/>
  <c r="AQ337" i="2"/>
  <c r="AM337" i="2"/>
  <c r="AI337" i="2"/>
  <c r="AE337" i="2"/>
  <c r="AA337" i="2"/>
  <c r="V337" i="2"/>
  <c r="BG336" i="2"/>
  <c r="AU336" i="2"/>
  <c r="AP336" i="2"/>
  <c r="AE336" i="2"/>
  <c r="AA336" i="2"/>
  <c r="V336" i="2"/>
  <c r="Q336" i="2"/>
  <c r="BG335" i="2"/>
  <c r="BC335" i="2"/>
  <c r="AY335" i="2"/>
  <c r="AU335" i="2"/>
  <c r="AQ335" i="2"/>
  <c r="AM335" i="2"/>
  <c r="AI335" i="2"/>
  <c r="AE335" i="2"/>
  <c r="AA335" i="2"/>
  <c r="V335" i="2"/>
  <c r="Q335" i="2"/>
  <c r="BG334" i="2"/>
  <c r="BC334" i="2"/>
  <c r="AY334" i="2"/>
  <c r="AU334" i="2"/>
  <c r="AQ334" i="2"/>
  <c r="AM334" i="2"/>
  <c r="AI334" i="2"/>
  <c r="AE334" i="2"/>
  <c r="AA334" i="2"/>
  <c r="V334" i="2"/>
  <c r="Q334" i="2"/>
  <c r="BG333" i="2"/>
  <c r="BC333" i="2"/>
  <c r="AY333" i="2"/>
  <c r="AU333" i="2"/>
  <c r="AQ333" i="2"/>
  <c r="AM333" i="2"/>
  <c r="AI333" i="2"/>
  <c r="AE333" i="2"/>
  <c r="AA333" i="2"/>
  <c r="V333" i="2"/>
  <c r="Q333" i="2"/>
  <c r="BG332" i="2"/>
  <c r="BC332" i="2"/>
  <c r="AY332" i="2"/>
  <c r="AU332" i="2"/>
  <c r="AQ332" i="2"/>
  <c r="AM332" i="2"/>
  <c r="AI332" i="2"/>
  <c r="AE332" i="2"/>
  <c r="AA332" i="2"/>
  <c r="V332" i="2"/>
  <c r="Q332" i="2"/>
  <c r="R337" i="2"/>
  <c r="AY336" i="2"/>
  <c r="AT336" i="2"/>
  <c r="AI336" i="2"/>
  <c r="AD336" i="2"/>
  <c r="Z336" i="2"/>
  <c r="U336" i="2"/>
  <c r="BJ335" i="2"/>
  <c r="BF335" i="2"/>
  <c r="BB335" i="2"/>
  <c r="AX335" i="2"/>
  <c r="AT335" i="2"/>
  <c r="AP335" i="2"/>
  <c r="AL335" i="2"/>
  <c r="AH335" i="2"/>
  <c r="AD335" i="2"/>
  <c r="Z335" i="2"/>
  <c r="U335" i="2"/>
  <c r="BJ334" i="2"/>
  <c r="BF334" i="2"/>
  <c r="BB334" i="2"/>
  <c r="AX334" i="2"/>
  <c r="AT334" i="2"/>
  <c r="AP334" i="2"/>
  <c r="AL334" i="2"/>
  <c r="AH334" i="2"/>
  <c r="AD334" i="2"/>
  <c r="Z334" i="2"/>
  <c r="U334" i="2"/>
  <c r="BJ333" i="2"/>
  <c r="BF333" i="2"/>
  <c r="BB333" i="2"/>
  <c r="AX333" i="2"/>
  <c r="AT333" i="2"/>
  <c r="AP333" i="2"/>
  <c r="AL333" i="2"/>
  <c r="AH333" i="2"/>
  <c r="AD333" i="2"/>
  <c r="Z333" i="2"/>
  <c r="U333" i="2"/>
  <c r="BJ332" i="2"/>
  <c r="BF332" i="2"/>
  <c r="BB332" i="2"/>
  <c r="AX332" i="2"/>
  <c r="AT332" i="2"/>
  <c r="AP332" i="2"/>
  <c r="AL332" i="2"/>
  <c r="AH332" i="2"/>
  <c r="AD332" i="2"/>
  <c r="Z332" i="2"/>
  <c r="U332" i="2"/>
  <c r="O340" i="2"/>
  <c r="O335" i="2"/>
  <c r="O333" i="2"/>
  <c r="O336" i="2"/>
  <c r="Q337" i="2"/>
  <c r="BC336" i="2"/>
  <c r="AX336" i="2"/>
  <c r="AM336" i="2"/>
  <c r="AH336" i="2"/>
  <c r="AC336" i="2"/>
  <c r="Y336" i="2"/>
  <c r="S336" i="2"/>
  <c r="BI335" i="2"/>
  <c r="BE335" i="2"/>
  <c r="BA335" i="2"/>
  <c r="AW335" i="2"/>
  <c r="AS335" i="2"/>
  <c r="AO335" i="2"/>
  <c r="AK335" i="2"/>
  <c r="AG335" i="2"/>
  <c r="AC335" i="2"/>
  <c r="Y335" i="2"/>
  <c r="S335" i="2"/>
  <c r="BI334" i="2"/>
  <c r="BE334" i="2"/>
  <c r="BA334" i="2"/>
  <c r="AW334" i="2"/>
  <c r="AS334" i="2"/>
  <c r="AO334" i="2"/>
  <c r="AK334" i="2"/>
  <c r="AG334" i="2"/>
  <c r="AC334" i="2"/>
  <c r="Y334" i="2"/>
  <c r="S334" i="2"/>
  <c r="BI333" i="2"/>
  <c r="BE333" i="2"/>
  <c r="BA333" i="2"/>
  <c r="AW333" i="2"/>
  <c r="AS333" i="2"/>
  <c r="AO333" i="2"/>
  <c r="AK333" i="2"/>
  <c r="AG333" i="2"/>
  <c r="AC333" i="2"/>
  <c r="Y333" i="2"/>
  <c r="S333" i="2"/>
  <c r="BI332" i="2"/>
  <c r="BE332" i="2"/>
  <c r="BA332" i="2"/>
  <c r="AW332" i="2"/>
  <c r="AS332" i="2"/>
  <c r="AO332" i="2"/>
  <c r="AK332" i="2"/>
  <c r="AG332" i="2"/>
  <c r="AC332" i="2"/>
  <c r="Y332" i="2"/>
  <c r="S332" i="2"/>
  <c r="O339" i="2"/>
  <c r="O338" i="2"/>
  <c r="O334" i="2"/>
  <c r="W337" i="2"/>
  <c r="BB336" i="2"/>
  <c r="AQ336" i="2"/>
  <c r="AL336" i="2"/>
  <c r="W336" i="2"/>
  <c r="R336" i="2"/>
  <c r="W335" i="2"/>
  <c r="R335" i="2"/>
  <c r="W334" i="2"/>
  <c r="R334" i="2"/>
  <c r="W333" i="2"/>
  <c r="R333" i="2"/>
  <c r="W332" i="2"/>
  <c r="R332" i="2"/>
  <c r="O337" i="2"/>
  <c r="O332" i="2"/>
  <c r="AB340" i="2"/>
  <c r="AB335" i="2"/>
  <c r="AF337" i="2"/>
  <c r="AF333" i="2"/>
  <c r="AN340" i="2"/>
  <c r="AN335" i="2"/>
  <c r="AV337" i="2"/>
  <c r="AV333" i="2"/>
  <c r="BD340" i="2"/>
  <c r="BD335" i="2"/>
  <c r="AJ337" i="2"/>
  <c r="AJ333" i="2"/>
  <c r="AR340" i="2"/>
  <c r="AR335" i="2"/>
  <c r="AZ337" i="2"/>
  <c r="AZ333" i="2"/>
  <c r="BH340" i="2"/>
  <c r="BH335" i="2"/>
  <c r="AB339" i="2"/>
  <c r="AB338" i="2"/>
  <c r="AB334" i="2"/>
  <c r="AF336" i="2"/>
  <c r="AF332" i="2"/>
  <c r="AN339" i="2"/>
  <c r="AN338" i="2"/>
  <c r="AN334" i="2"/>
  <c r="AV336" i="2"/>
  <c r="AV332" i="2"/>
  <c r="BD339" i="2"/>
  <c r="BD338" i="2"/>
  <c r="BD334" i="2"/>
  <c r="AJ336" i="2"/>
  <c r="AJ332" i="2"/>
  <c r="AR339" i="2"/>
  <c r="AR338" i="2"/>
  <c r="AR334" i="2"/>
  <c r="AZ336" i="2"/>
  <c r="AZ332" i="2"/>
  <c r="BH339" i="2"/>
  <c r="BH338" i="2"/>
  <c r="BH334" i="2"/>
  <c r="AB337" i="2"/>
  <c r="AB333" i="2"/>
  <c r="AF340" i="2"/>
  <c r="AF335" i="2"/>
  <c r="AN336" i="2"/>
  <c r="AN333" i="2"/>
  <c r="AV340" i="2"/>
  <c r="AV335" i="2"/>
  <c r="BD337" i="2"/>
  <c r="BD333" i="2"/>
  <c r="AJ340" i="2"/>
  <c r="AJ335" i="2"/>
  <c r="AR337" i="2"/>
  <c r="AR333" i="2"/>
  <c r="AZ340" i="2"/>
  <c r="AZ335" i="2"/>
  <c r="BH337" i="2"/>
  <c r="BH333" i="2"/>
  <c r="AB336" i="2"/>
  <c r="AB332" i="2"/>
  <c r="AF339" i="2"/>
  <c r="AF338" i="2"/>
  <c r="AF334" i="2"/>
  <c r="AN337" i="2"/>
  <c r="AN332" i="2"/>
  <c r="AV339" i="2"/>
  <c r="AV338" i="2"/>
  <c r="AV334" i="2"/>
  <c r="BD336" i="2"/>
  <c r="BD332" i="2"/>
  <c r="AJ339" i="2"/>
  <c r="AJ338" i="2"/>
  <c r="AJ334" i="2"/>
  <c r="AR336" i="2"/>
  <c r="AR332" i="2"/>
  <c r="AZ339" i="2"/>
  <c r="AZ338" i="2"/>
  <c r="AZ334" i="2"/>
  <c r="BH336" i="2"/>
  <c r="BH332" i="2"/>
  <c r="N55" i="1"/>
  <c r="N57" i="1"/>
  <c r="N56" i="1"/>
  <c r="N58" i="1"/>
  <c r="N9" i="1"/>
  <c r="N8" i="1"/>
  <c r="N79" i="5" l="1"/>
  <c r="N166" i="5"/>
  <c r="N74" i="5"/>
  <c r="AQ351" i="2"/>
  <c r="N76" i="5"/>
  <c r="AM351" i="2"/>
  <c r="BF351" i="2"/>
  <c r="N183" i="5"/>
  <c r="N162" i="5"/>
  <c r="N177" i="5"/>
  <c r="U351" i="2"/>
  <c r="AA351" i="2"/>
  <c r="BG351" i="2"/>
  <c r="N61" i="5"/>
  <c r="AX351" i="2"/>
  <c r="N59" i="5"/>
  <c r="N176" i="5"/>
  <c r="W351" i="2"/>
  <c r="AO351" i="2"/>
  <c r="AK351" i="2"/>
  <c r="AH351" i="2"/>
  <c r="BA351" i="2"/>
  <c r="N80" i="5"/>
  <c r="N75" i="5"/>
  <c r="N63" i="5"/>
  <c r="N164" i="5"/>
  <c r="N168" i="5"/>
  <c r="N62" i="5"/>
  <c r="N178" i="5"/>
  <c r="N163" i="5"/>
  <c r="N184" i="5"/>
  <c r="N72" i="5"/>
  <c r="N167" i="5"/>
  <c r="N58" i="5"/>
  <c r="N181" i="5"/>
  <c r="N179" i="5"/>
  <c r="N73" i="5"/>
  <c r="N78" i="5"/>
  <c r="N182" i="5"/>
  <c r="N180" i="5"/>
  <c r="N165" i="5"/>
  <c r="N60" i="5"/>
  <c r="N64" i="5"/>
  <c r="N77" i="5"/>
  <c r="AC351" i="2"/>
  <c r="N76" i="1"/>
  <c r="AT351" i="2"/>
  <c r="AS351" i="2"/>
  <c r="Q351" i="2"/>
  <c r="BQ70" i="1"/>
  <c r="BO70" i="1"/>
  <c r="BP70" i="1"/>
  <c r="BL70" i="1"/>
  <c r="BM70" i="1"/>
  <c r="BN70" i="1"/>
  <c r="BH351" i="2"/>
  <c r="BJ351" i="2"/>
  <c r="BC351" i="2"/>
  <c r="R351" i="2"/>
  <c r="S351" i="2"/>
  <c r="AZ351" i="2"/>
  <c r="Y351" i="2"/>
  <c r="AL351" i="2"/>
  <c r="AP351" i="2"/>
  <c r="AD351" i="2"/>
  <c r="AR351" i="2"/>
  <c r="BE351" i="2"/>
  <c r="BI351" i="2"/>
  <c r="AB351" i="2"/>
  <c r="AN351" i="2"/>
  <c r="AW351" i="2"/>
  <c r="BM68" i="1"/>
  <c r="AF351" i="2"/>
  <c r="AE351" i="2"/>
  <c r="AU351" i="2"/>
  <c r="AI351" i="2"/>
  <c r="AY351" i="2"/>
  <c r="AG351" i="2"/>
  <c r="BB351" i="2"/>
  <c r="BL72" i="1"/>
  <c r="BL69" i="1"/>
  <c r="BP66" i="1"/>
  <c r="AV351" i="2"/>
  <c r="BD351" i="2"/>
  <c r="BQ71" i="1"/>
  <c r="BL67" i="1"/>
  <c r="BO68" i="1"/>
  <c r="AJ351" i="2"/>
  <c r="V351" i="2"/>
  <c r="Z351" i="2"/>
  <c r="BP72" i="1"/>
  <c r="BM72" i="1"/>
  <c r="BN68" i="1"/>
  <c r="BP69" i="1"/>
  <c r="BO66" i="1"/>
  <c r="BL66" i="1"/>
  <c r="BL68" i="1"/>
  <c r="BO69" i="1"/>
  <c r="BN67" i="1"/>
  <c r="BM66" i="1"/>
  <c r="BP71" i="1"/>
  <c r="BM69" i="1"/>
  <c r="BQ69" i="1"/>
  <c r="BM71" i="1"/>
  <c r="BP68" i="1"/>
  <c r="BQ67" i="1"/>
  <c r="BN69" i="1"/>
  <c r="BN66" i="1"/>
  <c r="BP67" i="1"/>
  <c r="BQ72" i="1"/>
  <c r="BM67" i="1"/>
  <c r="BL71" i="1"/>
  <c r="BO71" i="1"/>
  <c r="BN71" i="1"/>
  <c r="BQ66" i="1"/>
  <c r="BO72" i="1"/>
  <c r="BN72" i="1"/>
  <c r="BQ68" i="1"/>
  <c r="BO67" i="1"/>
  <c r="BN350" i="2"/>
  <c r="BL350" i="2"/>
  <c r="BQ350" i="2"/>
  <c r="BO350" i="2"/>
  <c r="BP350" i="2"/>
  <c r="BM350" i="2"/>
  <c r="AH79" i="9"/>
  <c r="E79" i="9"/>
  <c r="D79" i="9"/>
  <c r="C79" i="9"/>
  <c r="AH141" i="9"/>
  <c r="E141" i="9"/>
  <c r="D141" i="9"/>
  <c r="C141" i="9"/>
  <c r="AH87" i="9"/>
  <c r="E87" i="9"/>
  <c r="D87" i="9"/>
  <c r="C87" i="9"/>
  <c r="AH86" i="9"/>
  <c r="E86" i="9"/>
  <c r="D86" i="9"/>
  <c r="C86" i="9"/>
  <c r="AH88" i="9"/>
  <c r="E88" i="9"/>
  <c r="D88" i="9"/>
  <c r="C88" i="9"/>
  <c r="AH92" i="9"/>
  <c r="E92" i="9"/>
  <c r="D92" i="9"/>
  <c r="C92" i="9"/>
  <c r="AH85" i="9"/>
  <c r="E85" i="9"/>
  <c r="D85" i="9"/>
  <c r="C85" i="9"/>
  <c r="AH94" i="9"/>
  <c r="E94" i="9"/>
  <c r="D94" i="9"/>
  <c r="C94" i="9"/>
  <c r="AH101" i="9"/>
  <c r="E101" i="9"/>
  <c r="D101" i="9"/>
  <c r="C101" i="9"/>
  <c r="AH100" i="9"/>
  <c r="E100" i="9"/>
  <c r="D100" i="9"/>
  <c r="C100" i="9"/>
  <c r="AH133" i="9"/>
  <c r="E133" i="9"/>
  <c r="D133" i="9"/>
  <c r="C133" i="9"/>
  <c r="AH76" i="9"/>
  <c r="E76" i="9"/>
  <c r="D76" i="9"/>
  <c r="C76" i="9"/>
  <c r="AH75" i="9"/>
  <c r="E75" i="9"/>
  <c r="D75" i="9"/>
  <c r="C75" i="9"/>
  <c r="AH74" i="9"/>
  <c r="E74" i="9"/>
  <c r="D74" i="9"/>
  <c r="C74" i="9"/>
  <c r="AH73" i="9"/>
  <c r="E73" i="9"/>
  <c r="D73" i="9"/>
  <c r="C73" i="9"/>
  <c r="AH132" i="9"/>
  <c r="E132" i="9"/>
  <c r="D132" i="9"/>
  <c r="C132" i="9"/>
  <c r="AH131" i="9"/>
  <c r="E131" i="9"/>
  <c r="D131" i="9"/>
  <c r="C131" i="9"/>
  <c r="AH72" i="9"/>
  <c r="E72" i="9"/>
  <c r="D72" i="9"/>
  <c r="C72" i="9"/>
  <c r="AH130" i="9"/>
  <c r="E130" i="9"/>
  <c r="D130" i="9"/>
  <c r="C130" i="9"/>
  <c r="AH71" i="9"/>
  <c r="E71" i="9"/>
  <c r="D71" i="9"/>
  <c r="C71" i="9"/>
  <c r="AH70" i="9"/>
  <c r="E70" i="9"/>
  <c r="D70" i="9"/>
  <c r="C70" i="9"/>
  <c r="AH129" i="9"/>
  <c r="E129" i="9"/>
  <c r="D129" i="9"/>
  <c r="C129" i="9"/>
  <c r="AH128" i="9"/>
  <c r="E128" i="9"/>
  <c r="D128" i="9"/>
  <c r="C128" i="9"/>
  <c r="AH127" i="9"/>
  <c r="E127" i="9"/>
  <c r="D127" i="9"/>
  <c r="C127" i="9"/>
  <c r="AH69" i="9"/>
  <c r="E69" i="9"/>
  <c r="D69" i="9"/>
  <c r="C69" i="9"/>
  <c r="AH68" i="9"/>
  <c r="E68" i="9"/>
  <c r="D68" i="9"/>
  <c r="C68" i="9"/>
  <c r="AH67" i="9"/>
  <c r="E67" i="9"/>
  <c r="D67" i="9"/>
  <c r="C67" i="9"/>
  <c r="AH126" i="9"/>
  <c r="E126" i="9"/>
  <c r="D126" i="9"/>
  <c r="C126" i="9"/>
  <c r="AH125" i="9"/>
  <c r="E125" i="9"/>
  <c r="D125" i="9"/>
  <c r="C125" i="9"/>
  <c r="AH124" i="9"/>
  <c r="E124" i="9"/>
  <c r="D124" i="9"/>
  <c r="C124" i="9"/>
  <c r="AH123" i="9"/>
  <c r="E123" i="9"/>
  <c r="D123" i="9"/>
  <c r="C123" i="9"/>
  <c r="AH66" i="9"/>
  <c r="E66" i="9"/>
  <c r="D66" i="9"/>
  <c r="C66" i="9"/>
  <c r="AH122" i="9"/>
  <c r="E122" i="9"/>
  <c r="D122" i="9"/>
  <c r="C122" i="9"/>
  <c r="AH65" i="9"/>
  <c r="E65" i="9"/>
  <c r="D65" i="9"/>
  <c r="C65" i="9"/>
  <c r="AH64" i="9"/>
  <c r="E64" i="9"/>
  <c r="D64" i="9"/>
  <c r="C64" i="9"/>
  <c r="AH63" i="9"/>
  <c r="E63" i="9"/>
  <c r="D63" i="9"/>
  <c r="C63" i="9"/>
  <c r="AH62" i="9"/>
  <c r="E62" i="9"/>
  <c r="D62" i="9"/>
  <c r="C62" i="9"/>
  <c r="AH121" i="9"/>
  <c r="E121" i="9"/>
  <c r="D121" i="9"/>
  <c r="C121" i="9"/>
  <c r="AH120" i="9"/>
  <c r="E120" i="9"/>
  <c r="D120" i="9"/>
  <c r="C120" i="9"/>
  <c r="AH119" i="9"/>
  <c r="E119" i="9"/>
  <c r="D119" i="9"/>
  <c r="C119" i="9"/>
  <c r="AH118" i="9"/>
  <c r="E118" i="9"/>
  <c r="D118" i="9"/>
  <c r="C118" i="9"/>
  <c r="AH61" i="9"/>
  <c r="E61" i="9"/>
  <c r="D61" i="9"/>
  <c r="C61" i="9"/>
  <c r="AH117" i="9"/>
  <c r="E117" i="9"/>
  <c r="D117" i="9"/>
  <c r="C117" i="9"/>
  <c r="AH60" i="9"/>
  <c r="E60" i="9"/>
  <c r="D60" i="9"/>
  <c r="C60" i="9"/>
  <c r="AH116" i="9"/>
  <c r="E116" i="9"/>
  <c r="D116" i="9"/>
  <c r="C116" i="9"/>
  <c r="AH59" i="9"/>
  <c r="E59" i="9"/>
  <c r="D59" i="9"/>
  <c r="C59" i="9"/>
  <c r="AH58" i="9"/>
  <c r="E58" i="9"/>
  <c r="D58" i="9"/>
  <c r="C58" i="9"/>
  <c r="AH115" i="9"/>
  <c r="E115" i="9"/>
  <c r="D115" i="9"/>
  <c r="C115" i="9"/>
  <c r="AH57" i="9"/>
  <c r="E57" i="9"/>
  <c r="D57" i="9"/>
  <c r="C57" i="9"/>
  <c r="AH56" i="9"/>
  <c r="E56" i="9"/>
  <c r="D56" i="9"/>
  <c r="C56" i="9"/>
  <c r="AH55" i="9"/>
  <c r="E55" i="9"/>
  <c r="D55" i="9"/>
  <c r="C55" i="9"/>
  <c r="AH54" i="9"/>
  <c r="E54" i="9"/>
  <c r="D54" i="9"/>
  <c r="C54" i="9"/>
  <c r="AH53" i="9"/>
  <c r="E53" i="9"/>
  <c r="D53" i="9"/>
  <c r="C53" i="9"/>
  <c r="AH52" i="9"/>
  <c r="E52" i="9"/>
  <c r="D52" i="9"/>
  <c r="C52" i="9"/>
  <c r="AH51" i="9"/>
  <c r="E51" i="9"/>
  <c r="D51" i="9"/>
  <c r="C51" i="9"/>
  <c r="AH40" i="9"/>
  <c r="E40" i="9"/>
  <c r="D40" i="9"/>
  <c r="C40" i="9"/>
  <c r="AH37" i="9"/>
  <c r="E37" i="9"/>
  <c r="D37" i="9"/>
  <c r="C37" i="9"/>
  <c r="AH31" i="9"/>
  <c r="E31" i="9"/>
  <c r="D31" i="9"/>
  <c r="C31" i="9"/>
  <c r="AH30" i="9"/>
  <c r="E30" i="9"/>
  <c r="D30" i="9"/>
  <c r="C30" i="9"/>
  <c r="AH29" i="9"/>
  <c r="E29" i="9"/>
  <c r="D29" i="9"/>
  <c r="C29" i="9"/>
  <c r="AH112" i="9"/>
  <c r="E112" i="9"/>
  <c r="D112" i="9"/>
  <c r="C112" i="9"/>
  <c r="AH111" i="9"/>
  <c r="E111" i="9"/>
  <c r="D111" i="9"/>
  <c r="C111" i="9"/>
  <c r="AH110" i="9"/>
  <c r="E110" i="9"/>
  <c r="D110" i="9"/>
  <c r="C110" i="9"/>
  <c r="AH20" i="9"/>
  <c r="E20" i="9"/>
  <c r="D20" i="9"/>
  <c r="C20" i="9"/>
  <c r="AH109" i="9"/>
  <c r="E109" i="9"/>
  <c r="D109" i="9"/>
  <c r="C109" i="9"/>
  <c r="AH108" i="9"/>
  <c r="E108" i="9"/>
  <c r="D108" i="9"/>
  <c r="C108" i="9"/>
  <c r="AH18" i="9"/>
  <c r="E18" i="9"/>
  <c r="D18" i="9"/>
  <c r="C18" i="9"/>
  <c r="AH15" i="9"/>
  <c r="E15" i="9"/>
  <c r="D15" i="9"/>
  <c r="C15" i="9"/>
  <c r="AH107" i="9"/>
  <c r="E107" i="9"/>
  <c r="D107" i="9"/>
  <c r="C107" i="9"/>
  <c r="AH14" i="9"/>
  <c r="E14" i="9"/>
  <c r="D14" i="9"/>
  <c r="C14" i="9"/>
  <c r="AH106" i="9"/>
  <c r="E106" i="9"/>
  <c r="D106" i="9"/>
  <c r="C106" i="9"/>
  <c r="AH105" i="9"/>
  <c r="E105" i="9"/>
  <c r="D105" i="9"/>
  <c r="C105" i="9"/>
  <c r="AH10" i="9"/>
  <c r="E10" i="9"/>
  <c r="D10" i="9"/>
  <c r="C10" i="9"/>
  <c r="AH7" i="9"/>
  <c r="E7" i="9"/>
  <c r="D7" i="9"/>
  <c r="C7" i="9"/>
  <c r="AH103" i="9"/>
  <c r="E103" i="9"/>
  <c r="D103" i="9"/>
  <c r="C103" i="9"/>
  <c r="AH102" i="9"/>
  <c r="E102" i="9"/>
  <c r="D102" i="9"/>
  <c r="C102" i="9"/>
  <c r="AH5" i="9"/>
  <c r="E5" i="9"/>
  <c r="D5" i="9"/>
  <c r="C5" i="9"/>
  <c r="AH142" i="9"/>
  <c r="E142" i="9"/>
  <c r="D142" i="9"/>
  <c r="C142" i="9"/>
  <c r="AH93" i="9"/>
  <c r="E93" i="9"/>
  <c r="D93" i="9"/>
  <c r="C93" i="9"/>
  <c r="AH91" i="9"/>
  <c r="E91" i="9"/>
  <c r="D91" i="9"/>
  <c r="C91" i="9"/>
  <c r="AH90" i="9"/>
  <c r="E90" i="9"/>
  <c r="D90" i="9"/>
  <c r="C90" i="9"/>
  <c r="AH80" i="9"/>
  <c r="E80" i="9"/>
  <c r="D80" i="9"/>
  <c r="C80" i="9"/>
  <c r="AH77" i="9"/>
  <c r="E77" i="9"/>
  <c r="D77" i="9"/>
  <c r="C77" i="9"/>
  <c r="AH114" i="9"/>
  <c r="E114" i="9"/>
  <c r="D114" i="9"/>
  <c r="C114" i="9"/>
  <c r="AH48" i="9"/>
  <c r="E48" i="9"/>
  <c r="D48" i="9"/>
  <c r="C48" i="9"/>
  <c r="AH113" i="9"/>
  <c r="E113" i="9"/>
  <c r="D113" i="9"/>
  <c r="C113" i="9"/>
  <c r="AH47" i="9"/>
  <c r="E47" i="9"/>
  <c r="D47" i="9"/>
  <c r="C47" i="9"/>
  <c r="AH45" i="9"/>
  <c r="E45" i="9"/>
  <c r="D45" i="9"/>
  <c r="C45" i="9"/>
  <c r="AH44" i="9"/>
  <c r="E44" i="9"/>
  <c r="D44" i="9"/>
  <c r="C44" i="9"/>
  <c r="AH43" i="9"/>
  <c r="E43" i="9"/>
  <c r="D43" i="9"/>
  <c r="C43" i="9"/>
  <c r="AH42" i="9"/>
  <c r="E42" i="9"/>
  <c r="D42" i="9"/>
  <c r="C42" i="9"/>
  <c r="AH41" i="9"/>
  <c r="E41" i="9"/>
  <c r="D41" i="9"/>
  <c r="C41" i="9"/>
  <c r="AH39" i="9"/>
  <c r="E39" i="9"/>
  <c r="D39" i="9"/>
  <c r="C39" i="9"/>
  <c r="AH38" i="9"/>
  <c r="E38" i="9"/>
  <c r="D38" i="9"/>
  <c r="C38" i="9"/>
  <c r="AH36" i="9"/>
  <c r="E36" i="9"/>
  <c r="D36" i="9"/>
  <c r="C36" i="9"/>
  <c r="AH35" i="9"/>
  <c r="E35" i="9"/>
  <c r="D35" i="9"/>
  <c r="C35" i="9"/>
  <c r="AH34" i="9"/>
  <c r="E34" i="9"/>
  <c r="D34" i="9"/>
  <c r="C34" i="9"/>
  <c r="AH33" i="9"/>
  <c r="E33" i="9"/>
  <c r="D33" i="9"/>
  <c r="C33" i="9"/>
  <c r="AH32" i="9"/>
  <c r="E32" i="9"/>
  <c r="D32" i="9"/>
  <c r="C32" i="9"/>
  <c r="AH28" i="9"/>
  <c r="E28" i="9"/>
  <c r="D28" i="9"/>
  <c r="C28" i="9"/>
  <c r="AH27" i="9"/>
  <c r="E27" i="9"/>
  <c r="D27" i="9"/>
  <c r="C27" i="9"/>
  <c r="AH26" i="9"/>
  <c r="E26" i="9"/>
  <c r="D26" i="9"/>
  <c r="C26" i="9"/>
  <c r="AH25" i="9"/>
  <c r="E25" i="9"/>
  <c r="D25" i="9"/>
  <c r="C25" i="9"/>
  <c r="AH24" i="9"/>
  <c r="E24" i="9"/>
  <c r="D24" i="9"/>
  <c r="C24" i="9"/>
  <c r="AH22" i="9"/>
  <c r="E22" i="9"/>
  <c r="D22" i="9"/>
  <c r="C22" i="9"/>
  <c r="AH21" i="9"/>
  <c r="E21" i="9"/>
  <c r="D21" i="9"/>
  <c r="C21" i="9"/>
  <c r="AH19" i="9"/>
  <c r="E19" i="9"/>
  <c r="D19" i="9"/>
  <c r="C19" i="9"/>
  <c r="AH17" i="9"/>
  <c r="E17" i="9"/>
  <c r="D17" i="9"/>
  <c r="C17" i="9"/>
  <c r="AH16" i="9"/>
  <c r="E16" i="9"/>
  <c r="D16" i="9"/>
  <c r="C16" i="9"/>
  <c r="AH13" i="9"/>
  <c r="E13" i="9"/>
  <c r="D13" i="9"/>
  <c r="C13" i="9"/>
  <c r="AH12" i="9"/>
  <c r="E12" i="9"/>
  <c r="D12" i="9"/>
  <c r="C12" i="9"/>
  <c r="AH11" i="9"/>
  <c r="E11" i="9"/>
  <c r="D11" i="9"/>
  <c r="C11" i="9"/>
  <c r="AH9" i="9"/>
  <c r="E9" i="9"/>
  <c r="D9" i="9"/>
  <c r="C9" i="9"/>
  <c r="AH8" i="9"/>
  <c r="E8" i="9"/>
  <c r="D8" i="9"/>
  <c r="C8" i="9"/>
  <c r="AH6" i="9"/>
  <c r="E6" i="9"/>
  <c r="D6" i="9"/>
  <c r="C6" i="9"/>
  <c r="AH104" i="9"/>
  <c r="E104" i="9"/>
  <c r="D104" i="9"/>
  <c r="C104" i="9"/>
  <c r="A120" i="5"/>
  <c r="A121" i="5"/>
  <c r="A122" i="5"/>
  <c r="A123" i="5"/>
  <c r="A124" i="5"/>
  <c r="A125" i="5"/>
  <c r="I120" i="5"/>
  <c r="I121" i="5"/>
  <c r="I122" i="5"/>
  <c r="I123" i="5"/>
  <c r="I124" i="5"/>
  <c r="I125" i="5"/>
  <c r="J120" i="5"/>
  <c r="J121" i="5"/>
  <c r="J122" i="5"/>
  <c r="J123" i="5"/>
  <c r="J124" i="5"/>
  <c r="J125" i="5"/>
  <c r="L120" i="5"/>
  <c r="L121" i="5"/>
  <c r="L122" i="5"/>
  <c r="L123" i="5"/>
  <c r="L124" i="5"/>
  <c r="L125" i="5"/>
  <c r="M120" i="5"/>
  <c r="M121" i="5"/>
  <c r="M122" i="5"/>
  <c r="M123" i="5"/>
  <c r="M124" i="5"/>
  <c r="M125" i="5"/>
  <c r="E328" i="2"/>
  <c r="E327" i="2"/>
  <c r="E326" i="2"/>
  <c r="E325" i="2"/>
  <c r="E324" i="2"/>
  <c r="E307" i="2"/>
  <c r="A10" i="5"/>
  <c r="A11" i="5"/>
  <c r="I10" i="5"/>
  <c r="I11" i="5"/>
  <c r="J10" i="5"/>
  <c r="J11" i="5"/>
  <c r="L10" i="5"/>
  <c r="L11" i="5"/>
  <c r="M10" i="5"/>
  <c r="M11" i="5"/>
  <c r="N67" i="1" l="1"/>
  <c r="N350" i="2"/>
  <c r="N68" i="1"/>
  <c r="N14" i="2"/>
  <c r="N18" i="2"/>
  <c r="N22" i="2"/>
  <c r="N26" i="2"/>
  <c r="N16" i="2"/>
  <c r="N20" i="2"/>
  <c r="N24" i="2"/>
  <c r="N71" i="1"/>
  <c r="N70" i="1"/>
  <c r="N72" i="1"/>
  <c r="N69" i="1"/>
  <c r="N66" i="1"/>
  <c r="N8" i="2" l="1"/>
  <c r="N21" i="2"/>
  <c r="N19" i="2"/>
  <c r="N17" i="2"/>
  <c r="N141" i="2"/>
  <c r="N25" i="2"/>
  <c r="N9" i="2"/>
  <c r="N23" i="2"/>
  <c r="N15" i="2"/>
  <c r="N166" i="2"/>
  <c r="N165" i="2"/>
  <c r="N191" i="2"/>
  <c r="N160" i="2"/>
  <c r="N189" i="2"/>
  <c r="T343" i="2"/>
  <c r="X343" i="2"/>
  <c r="P347" i="2"/>
  <c r="P342" i="2"/>
  <c r="P345" i="2"/>
  <c r="T342" i="2"/>
  <c r="T346" i="2"/>
  <c r="T344" i="2"/>
  <c r="P337" i="2"/>
  <c r="P333" i="2"/>
  <c r="P339" i="2"/>
  <c r="P338" i="2"/>
  <c r="P334" i="2"/>
  <c r="P340" i="2"/>
  <c r="P335" i="2"/>
  <c r="P336" i="2"/>
  <c r="P332" i="2"/>
  <c r="X341" i="2"/>
  <c r="X344" i="2"/>
  <c r="P346" i="2"/>
  <c r="P349" i="2"/>
  <c r="P348" i="2"/>
  <c r="T345" i="2"/>
  <c r="T337" i="2"/>
  <c r="T333" i="2"/>
  <c r="T339" i="2"/>
  <c r="T338" i="2"/>
  <c r="T334" i="2"/>
  <c r="T340" i="2"/>
  <c r="T351" i="2" s="1"/>
  <c r="T335" i="2"/>
  <c r="T336" i="2"/>
  <c r="T332" i="2"/>
  <c r="X337" i="2"/>
  <c r="X333" i="2"/>
  <c r="X339" i="2"/>
  <c r="X338" i="2"/>
  <c r="X334" i="2"/>
  <c r="X340" i="2"/>
  <c r="X351" i="2" s="1"/>
  <c r="X335" i="2"/>
  <c r="X336" i="2"/>
  <c r="X332" i="2"/>
  <c r="X342" i="2"/>
  <c r="X345" i="2"/>
  <c r="X347" i="2"/>
  <c r="T349" i="2"/>
  <c r="X346" i="2"/>
  <c r="X349" i="2"/>
  <c r="X348" i="2"/>
  <c r="P341" i="2"/>
  <c r="P344" i="2"/>
  <c r="P343" i="2"/>
  <c r="T347" i="2"/>
  <c r="T348" i="2"/>
  <c r="T341" i="2"/>
  <c r="A48" i="6"/>
  <c r="A49" i="6"/>
  <c r="A64" i="6"/>
  <c r="I48" i="6"/>
  <c r="I49" i="6"/>
  <c r="I64" i="6"/>
  <c r="N183" i="2" l="1"/>
  <c r="N186" i="2"/>
  <c r="N169" i="2"/>
  <c r="N163" i="2"/>
  <c r="N184" i="2"/>
  <c r="N182" i="2"/>
  <c r="N172" i="2"/>
  <c r="N162" i="2"/>
  <c r="N174" i="2"/>
  <c r="N181" i="2"/>
  <c r="N188" i="2"/>
  <c r="N173" i="2"/>
  <c r="N187" i="2"/>
  <c r="N168" i="2"/>
  <c r="N185" i="2"/>
  <c r="N190" i="2"/>
  <c r="N171" i="2"/>
  <c r="N170" i="2"/>
  <c r="N161" i="2"/>
  <c r="N164" i="2"/>
  <c r="N192" i="2"/>
  <c r="N167" i="2"/>
  <c r="F64" i="6"/>
  <c r="F49" i="6"/>
  <c r="F48" i="6"/>
  <c r="BO336" i="2"/>
  <c r="BQ336" i="2"/>
  <c r="BN336" i="2"/>
  <c r="BM336" i="2"/>
  <c r="BP336" i="2"/>
  <c r="BL336" i="2"/>
  <c r="BO332" i="2"/>
  <c r="BQ332" i="2"/>
  <c r="BN332" i="2"/>
  <c r="BM332" i="2"/>
  <c r="BP332" i="2"/>
  <c r="BL332" i="2"/>
  <c r="BO334" i="2"/>
  <c r="BM334" i="2"/>
  <c r="BN334" i="2"/>
  <c r="BQ334" i="2"/>
  <c r="BP334" i="2"/>
  <c r="BL334" i="2"/>
  <c r="BQ337" i="2"/>
  <c r="BM337" i="2"/>
  <c r="BP337" i="2"/>
  <c r="BL337" i="2"/>
  <c r="BO337" i="2"/>
  <c r="BN337" i="2"/>
  <c r="BO338" i="2"/>
  <c r="BM338" i="2"/>
  <c r="BN338" i="2"/>
  <c r="BQ338" i="2"/>
  <c r="BP338" i="2"/>
  <c r="BL338" i="2"/>
  <c r="BQ335" i="2"/>
  <c r="BM335" i="2"/>
  <c r="BO335" i="2"/>
  <c r="BP335" i="2"/>
  <c r="BL335" i="2"/>
  <c r="BN335" i="2"/>
  <c r="BQ339" i="2"/>
  <c r="BM339" i="2"/>
  <c r="BO339" i="2"/>
  <c r="BP339" i="2"/>
  <c r="BL339" i="2"/>
  <c r="BN339" i="2"/>
  <c r="BQ333" i="2"/>
  <c r="BM333" i="2"/>
  <c r="BP333" i="2"/>
  <c r="BL333" i="2"/>
  <c r="BO333" i="2"/>
  <c r="BN333" i="2"/>
  <c r="BO343" i="2"/>
  <c r="BM343" i="2"/>
  <c r="BP343" i="2"/>
  <c r="BN343" i="2"/>
  <c r="BL343" i="2"/>
  <c r="BQ343" i="2"/>
  <c r="P351" i="2"/>
  <c r="BN340" i="2"/>
  <c r="BO340" i="2"/>
  <c r="BL340" i="2"/>
  <c r="BM340" i="2"/>
  <c r="BQ340" i="2"/>
  <c r="BP340" i="2"/>
  <c r="A98" i="5"/>
  <c r="A96" i="5"/>
  <c r="A97" i="5"/>
  <c r="I98" i="5"/>
  <c r="I96" i="5"/>
  <c r="I97" i="5"/>
  <c r="J98" i="5"/>
  <c r="J96" i="5"/>
  <c r="J97" i="5"/>
  <c r="L98" i="5"/>
  <c r="L96" i="5"/>
  <c r="L97" i="5"/>
  <c r="M98" i="5"/>
  <c r="M96" i="5"/>
  <c r="M97" i="5"/>
  <c r="N334" i="2" l="1"/>
  <c r="N343" i="2"/>
  <c r="E113" i="2" l="1"/>
  <c r="E112" i="2"/>
  <c r="FR329" i="2"/>
  <c r="FR323" i="2"/>
  <c r="FR322" i="2"/>
  <c r="FR321" i="2"/>
  <c r="FR306" i="2"/>
  <c r="FR305" i="2"/>
  <c r="FR301" i="2"/>
  <c r="FR299" i="2"/>
  <c r="FR298" i="2"/>
  <c r="FR297" i="2"/>
  <c r="FR295" i="2"/>
  <c r="FR293" i="2"/>
  <c r="FR292" i="2"/>
  <c r="FR290" i="2"/>
  <c r="FR288" i="2"/>
  <c r="FR287" i="2"/>
  <c r="FR286" i="2"/>
  <c r="FR285" i="2"/>
  <c r="FR284" i="2"/>
  <c r="FR282" i="2"/>
  <c r="FR281" i="2"/>
  <c r="FR280" i="2"/>
  <c r="FR279" i="2"/>
  <c r="FR278" i="2"/>
  <c r="FR277" i="2"/>
  <c r="FR276" i="2"/>
  <c r="FR265" i="2"/>
  <c r="FR264" i="2"/>
  <c r="FR238" i="2"/>
  <c r="FR234" i="2"/>
  <c r="FR231" i="2"/>
  <c r="FR228" i="2"/>
  <c r="FR227" i="2"/>
  <c r="FR226" i="2"/>
  <c r="FR224" i="2"/>
  <c r="FR223" i="2"/>
  <c r="FR222" i="2"/>
  <c r="FR219" i="2"/>
  <c r="FR218" i="2"/>
  <c r="FR217" i="2"/>
  <c r="FR216" i="2"/>
  <c r="FR213" i="2"/>
  <c r="FR212" i="2"/>
  <c r="FR211" i="2"/>
  <c r="FR210" i="2"/>
  <c r="FR201" i="2"/>
  <c r="FR200" i="2"/>
  <c r="FR199" i="2"/>
  <c r="FR198" i="2"/>
  <c r="FR197" i="2"/>
  <c r="FR196" i="2"/>
  <c r="FR195" i="2"/>
  <c r="FR194" i="2"/>
  <c r="FR193" i="2"/>
  <c r="FR146" i="2"/>
  <c r="FR141" i="2"/>
  <c r="FR135" i="2"/>
  <c r="FR129" i="2"/>
  <c r="FR126" i="2"/>
  <c r="FR125" i="2"/>
  <c r="FR124" i="2"/>
  <c r="FR123" i="2"/>
  <c r="FR122" i="2"/>
  <c r="FR120" i="2"/>
  <c r="FR119" i="2"/>
  <c r="FR110" i="2"/>
  <c r="FR109" i="2"/>
  <c r="FR108" i="2"/>
  <c r="FR107" i="2"/>
  <c r="FR106" i="2"/>
  <c r="FR105" i="2"/>
  <c r="FR104" i="2"/>
  <c r="FR103" i="2"/>
  <c r="FR102" i="2"/>
  <c r="FR101" i="2"/>
  <c r="FR100" i="2"/>
  <c r="FR99" i="2"/>
  <c r="FR98" i="2"/>
  <c r="FR95" i="2"/>
  <c r="FR94" i="2"/>
  <c r="FR93" i="2"/>
  <c r="FR92" i="2"/>
  <c r="FR91" i="2"/>
  <c r="FR90" i="2"/>
  <c r="FR89" i="2"/>
  <c r="FR87" i="2"/>
  <c r="FR86" i="2"/>
  <c r="FR85" i="2"/>
  <c r="FR84" i="2"/>
  <c r="FR83" i="2"/>
  <c r="FR82" i="2"/>
  <c r="FR80" i="2"/>
  <c r="FR77" i="2"/>
  <c r="FR75" i="2"/>
  <c r="FR69" i="2"/>
  <c r="FR68" i="2"/>
  <c r="FR67" i="2"/>
  <c r="FR46" i="2"/>
  <c r="FR45" i="2"/>
  <c r="FR44" i="2"/>
  <c r="FR38" i="2"/>
  <c r="FR37" i="2"/>
  <c r="FR36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6" i="2"/>
  <c r="DQ323" i="2"/>
  <c r="DQ322" i="2"/>
  <c r="DQ321" i="2"/>
  <c r="DQ306" i="2"/>
  <c r="DQ305" i="2"/>
  <c r="DQ301" i="2"/>
  <c r="DQ299" i="2"/>
  <c r="DQ298" i="2"/>
  <c r="DQ297" i="2"/>
  <c r="DQ295" i="2"/>
  <c r="DQ293" i="2"/>
  <c r="DQ292" i="2"/>
  <c r="DQ290" i="2"/>
  <c r="DQ288" i="2"/>
  <c r="DQ287" i="2"/>
  <c r="DQ286" i="2"/>
  <c r="DQ285" i="2"/>
  <c r="DQ284" i="2"/>
  <c r="DQ282" i="2"/>
  <c r="DQ281" i="2"/>
  <c r="DQ280" i="2"/>
  <c r="DQ279" i="2"/>
  <c r="DQ278" i="2"/>
  <c r="DQ277" i="2"/>
  <c r="DQ276" i="2"/>
  <c r="DQ265" i="2"/>
  <c r="DQ264" i="2"/>
  <c r="DQ238" i="2"/>
  <c r="DQ234" i="2"/>
  <c r="DQ231" i="2"/>
  <c r="DQ228" i="2"/>
  <c r="DQ227" i="2"/>
  <c r="DQ226" i="2"/>
  <c r="DQ224" i="2"/>
  <c r="DQ223" i="2"/>
  <c r="DQ222" i="2"/>
  <c r="DQ219" i="2"/>
  <c r="DQ218" i="2"/>
  <c r="DQ217" i="2"/>
  <c r="DQ216" i="2"/>
  <c r="DQ213" i="2"/>
  <c r="DQ212" i="2"/>
  <c r="DQ211" i="2"/>
  <c r="DQ210" i="2"/>
  <c r="DQ201" i="2"/>
  <c r="DQ200" i="2"/>
  <c r="DQ199" i="2"/>
  <c r="DQ198" i="2"/>
  <c r="DQ197" i="2"/>
  <c r="DQ196" i="2"/>
  <c r="DQ195" i="2"/>
  <c r="DQ194" i="2"/>
  <c r="DQ193" i="2"/>
  <c r="DQ146" i="2"/>
  <c r="DQ141" i="2"/>
  <c r="DQ135" i="2"/>
  <c r="DQ129" i="2"/>
  <c r="DQ126" i="2"/>
  <c r="DQ125" i="2"/>
  <c r="DQ124" i="2"/>
  <c r="DQ123" i="2"/>
  <c r="DQ122" i="2"/>
  <c r="DQ120" i="2"/>
  <c r="DQ119" i="2"/>
  <c r="DQ110" i="2"/>
  <c r="DQ109" i="2"/>
  <c r="DQ108" i="2"/>
  <c r="DQ107" i="2"/>
  <c r="DQ106" i="2"/>
  <c r="DQ105" i="2"/>
  <c r="DQ104" i="2"/>
  <c r="DQ103" i="2"/>
  <c r="DQ102" i="2"/>
  <c r="DQ101" i="2"/>
  <c r="DQ100" i="2"/>
  <c r="DQ99" i="2"/>
  <c r="DQ98" i="2"/>
  <c r="DQ95" i="2"/>
  <c r="DQ94" i="2"/>
  <c r="DQ93" i="2"/>
  <c r="DQ92" i="2"/>
  <c r="DQ91" i="2"/>
  <c r="DQ90" i="2"/>
  <c r="DQ89" i="2"/>
  <c r="DQ87" i="2"/>
  <c r="DQ86" i="2"/>
  <c r="DQ85" i="2"/>
  <c r="DQ84" i="2"/>
  <c r="DQ83" i="2"/>
  <c r="DQ82" i="2"/>
  <c r="DQ80" i="2"/>
  <c r="DQ77" i="2"/>
  <c r="DQ75" i="2"/>
  <c r="DQ69" i="2"/>
  <c r="DQ68" i="2"/>
  <c r="DQ67" i="2"/>
  <c r="DQ46" i="2"/>
  <c r="DQ45" i="2"/>
  <c r="DQ44" i="2"/>
  <c r="DQ38" i="2"/>
  <c r="DQ37" i="2"/>
  <c r="DQ36" i="2"/>
  <c r="DQ32" i="2"/>
  <c r="DQ31" i="2"/>
  <c r="DQ30" i="2"/>
  <c r="DQ29" i="2"/>
  <c r="DQ28" i="2"/>
  <c r="DQ27" i="2"/>
  <c r="DQ26" i="2"/>
  <c r="DQ25" i="2"/>
  <c r="DQ24" i="2"/>
  <c r="DQ23" i="2"/>
  <c r="DQ22" i="2"/>
  <c r="DQ21" i="2"/>
  <c r="DQ20" i="2"/>
  <c r="DQ19" i="2"/>
  <c r="DQ18" i="2"/>
  <c r="DQ17" i="2"/>
  <c r="DQ16" i="2"/>
  <c r="DQ15" i="2"/>
  <c r="DQ14" i="2"/>
  <c r="DQ13" i="2"/>
  <c r="DQ12" i="2"/>
  <c r="DQ11" i="2"/>
  <c r="DQ10" i="2"/>
  <c r="DQ9" i="2"/>
  <c r="DQ8" i="2"/>
  <c r="DQ6" i="2"/>
  <c r="E119" i="2"/>
  <c r="E115" i="2"/>
  <c r="E114" i="2"/>
  <c r="E111" i="2"/>
  <c r="E110" i="2"/>
  <c r="E227" i="2"/>
  <c r="E226" i="2"/>
  <c r="E224" i="2"/>
  <c r="E10" i="2"/>
  <c r="E6" i="2"/>
  <c r="E99" i="2"/>
  <c r="E98" i="2"/>
  <c r="E95" i="2"/>
  <c r="E94" i="2"/>
  <c r="E93" i="2"/>
  <c r="E92" i="2"/>
  <c r="E91" i="2"/>
  <c r="E90" i="2"/>
  <c r="A93" i="5"/>
  <c r="I93" i="5"/>
  <c r="J93" i="5"/>
  <c r="L93" i="5"/>
  <c r="M93" i="5"/>
  <c r="A88" i="5"/>
  <c r="A89" i="5"/>
  <c r="A90" i="5"/>
  <c r="A91" i="5"/>
  <c r="A92" i="5"/>
  <c r="I88" i="5"/>
  <c r="I89" i="5"/>
  <c r="I90" i="5"/>
  <c r="I91" i="5"/>
  <c r="I92" i="5"/>
  <c r="J88" i="5"/>
  <c r="J89" i="5"/>
  <c r="J90" i="5"/>
  <c r="J91" i="5"/>
  <c r="J92" i="5"/>
  <c r="L88" i="5"/>
  <c r="L89" i="5"/>
  <c r="L90" i="5"/>
  <c r="L91" i="5"/>
  <c r="L92" i="5"/>
  <c r="M88" i="5"/>
  <c r="M89" i="5"/>
  <c r="M90" i="5"/>
  <c r="M91" i="5"/>
  <c r="M92" i="5"/>
  <c r="FR111" i="2" l="1"/>
  <c r="DQ111" i="2"/>
  <c r="FR112" i="2" l="1"/>
  <c r="FR113" i="2"/>
  <c r="DQ113" i="2"/>
  <c r="DQ112" i="2"/>
  <c r="FR115" i="2"/>
  <c r="FR114" i="2"/>
  <c r="DQ115" i="2"/>
  <c r="DQ114" i="2"/>
  <c r="E80" i="2"/>
  <c r="E75" i="2"/>
  <c r="DQ53" i="1" l="1"/>
  <c r="FR53" i="1"/>
  <c r="FS53" i="1" l="1"/>
  <c r="DR53" i="1"/>
  <c r="FR54" i="1"/>
  <c r="DQ54" i="1"/>
  <c r="E323" i="2"/>
  <c r="E322" i="2"/>
  <c r="E321" i="2"/>
  <c r="M249" i="5"/>
  <c r="L249" i="5"/>
  <c r="J249" i="5"/>
  <c r="I249" i="5"/>
  <c r="M248" i="5"/>
  <c r="L248" i="5"/>
  <c r="J248" i="5"/>
  <c r="I248" i="5"/>
  <c r="M247" i="5"/>
  <c r="L247" i="5"/>
  <c r="J247" i="5"/>
  <c r="I247" i="5"/>
  <c r="M246" i="5"/>
  <c r="L246" i="5"/>
  <c r="J246" i="5"/>
  <c r="I246" i="5"/>
  <c r="M245" i="5"/>
  <c r="L245" i="5"/>
  <c r="J245" i="5"/>
  <c r="I245" i="5"/>
  <c r="M244" i="5"/>
  <c r="L244" i="5"/>
  <c r="J244" i="5"/>
  <c r="I244" i="5"/>
  <c r="M128" i="5"/>
  <c r="L128" i="5"/>
  <c r="J128" i="5"/>
  <c r="I128" i="5"/>
  <c r="M127" i="5"/>
  <c r="L127" i="5"/>
  <c r="J127" i="5"/>
  <c r="I127" i="5"/>
  <c r="M126" i="5"/>
  <c r="L126" i="5"/>
  <c r="J126" i="5"/>
  <c r="I126" i="5"/>
  <c r="M8" i="5"/>
  <c r="L8" i="5"/>
  <c r="J8" i="5"/>
  <c r="I8" i="5"/>
  <c r="M7" i="5"/>
  <c r="L7" i="5"/>
  <c r="J7" i="5"/>
  <c r="I7" i="5"/>
  <c r="M6" i="5"/>
  <c r="L6" i="5"/>
  <c r="J6" i="5"/>
  <c r="I6" i="5"/>
  <c r="M5" i="5"/>
  <c r="L5" i="5"/>
  <c r="J5" i="5"/>
  <c r="I5" i="5"/>
  <c r="M4" i="5"/>
  <c r="L4" i="5"/>
  <c r="J4" i="5"/>
  <c r="I4" i="5"/>
  <c r="M3" i="5"/>
  <c r="L3" i="5"/>
  <c r="J3" i="5"/>
  <c r="I3" i="5"/>
  <c r="M243" i="5"/>
  <c r="L243" i="5"/>
  <c r="J243" i="5"/>
  <c r="I243" i="5"/>
  <c r="M242" i="5"/>
  <c r="L242" i="5"/>
  <c r="J242" i="5"/>
  <c r="I242" i="5"/>
  <c r="M241" i="5"/>
  <c r="L241" i="5"/>
  <c r="J241" i="5"/>
  <c r="I241" i="5"/>
  <c r="M240" i="5"/>
  <c r="L240" i="5"/>
  <c r="J240" i="5"/>
  <c r="I240" i="5"/>
  <c r="M239" i="5"/>
  <c r="L239" i="5"/>
  <c r="J239" i="5"/>
  <c r="I239" i="5"/>
  <c r="M238" i="5"/>
  <c r="L238" i="5"/>
  <c r="J238" i="5"/>
  <c r="I238" i="5"/>
  <c r="M237" i="5"/>
  <c r="L237" i="5"/>
  <c r="J237" i="5"/>
  <c r="I237" i="5"/>
  <c r="M95" i="5"/>
  <c r="L95" i="5"/>
  <c r="J95" i="5"/>
  <c r="I95" i="5"/>
  <c r="M94" i="5"/>
  <c r="L94" i="5"/>
  <c r="J94" i="5"/>
  <c r="I94" i="5"/>
  <c r="M87" i="5"/>
  <c r="L87" i="5"/>
  <c r="J87" i="5"/>
  <c r="I87" i="5"/>
  <c r="M86" i="5"/>
  <c r="L86" i="5"/>
  <c r="J86" i="5"/>
  <c r="I86" i="5"/>
  <c r="M85" i="5"/>
  <c r="L85" i="5"/>
  <c r="J85" i="5"/>
  <c r="I85" i="5"/>
  <c r="M84" i="5"/>
  <c r="L84" i="5"/>
  <c r="J84" i="5"/>
  <c r="I84" i="5"/>
  <c r="M83" i="5"/>
  <c r="L83" i="5"/>
  <c r="J83" i="5"/>
  <c r="I83" i="5"/>
  <c r="M82" i="5"/>
  <c r="L82" i="5"/>
  <c r="J82" i="5"/>
  <c r="I82" i="5"/>
  <c r="M81" i="5"/>
  <c r="L81" i="5"/>
  <c r="J81" i="5"/>
  <c r="I81" i="5"/>
  <c r="M119" i="5"/>
  <c r="L119" i="5"/>
  <c r="J119" i="5"/>
  <c r="I119" i="5"/>
  <c r="M118" i="5"/>
  <c r="L118" i="5"/>
  <c r="J118" i="5"/>
  <c r="I118" i="5"/>
  <c r="M117" i="5"/>
  <c r="L117" i="5"/>
  <c r="J117" i="5"/>
  <c r="I117" i="5"/>
  <c r="M116" i="5"/>
  <c r="L116" i="5"/>
  <c r="J116" i="5"/>
  <c r="I116" i="5"/>
  <c r="M115" i="5"/>
  <c r="L115" i="5"/>
  <c r="J115" i="5"/>
  <c r="I115" i="5"/>
  <c r="M114" i="5"/>
  <c r="L114" i="5"/>
  <c r="J114" i="5"/>
  <c r="I114" i="5"/>
  <c r="M113" i="5"/>
  <c r="L113" i="5"/>
  <c r="J113" i="5"/>
  <c r="I113" i="5"/>
  <c r="M112" i="5"/>
  <c r="L112" i="5"/>
  <c r="J112" i="5"/>
  <c r="I112" i="5"/>
  <c r="M111" i="5"/>
  <c r="L111" i="5"/>
  <c r="J111" i="5"/>
  <c r="I111" i="5"/>
  <c r="M110" i="5"/>
  <c r="L110" i="5"/>
  <c r="J110" i="5"/>
  <c r="I110" i="5"/>
  <c r="M109" i="5"/>
  <c r="L109" i="5"/>
  <c r="J109" i="5"/>
  <c r="I109" i="5"/>
  <c r="M108" i="5"/>
  <c r="L108" i="5"/>
  <c r="J108" i="5"/>
  <c r="I108" i="5"/>
  <c r="M107" i="5"/>
  <c r="L107" i="5"/>
  <c r="J107" i="5"/>
  <c r="I107" i="5"/>
  <c r="M106" i="5"/>
  <c r="L106" i="5"/>
  <c r="J106" i="5"/>
  <c r="I106" i="5"/>
  <c r="M105" i="5"/>
  <c r="L105" i="5"/>
  <c r="J105" i="5"/>
  <c r="I105" i="5"/>
  <c r="M104" i="5"/>
  <c r="L104" i="5"/>
  <c r="J104" i="5"/>
  <c r="I104" i="5"/>
  <c r="M103" i="5"/>
  <c r="L103" i="5"/>
  <c r="J103" i="5"/>
  <c r="I103" i="5"/>
  <c r="M102" i="5"/>
  <c r="L102" i="5"/>
  <c r="J102" i="5"/>
  <c r="I102" i="5"/>
  <c r="M136" i="5"/>
  <c r="L136" i="5"/>
  <c r="J136" i="5"/>
  <c r="I136" i="5"/>
  <c r="M135" i="5"/>
  <c r="L135" i="5"/>
  <c r="J135" i="5"/>
  <c r="I135" i="5"/>
  <c r="M134" i="5"/>
  <c r="L134" i="5"/>
  <c r="J134" i="5"/>
  <c r="I134" i="5"/>
  <c r="M133" i="5"/>
  <c r="L133" i="5"/>
  <c r="J133" i="5"/>
  <c r="I133" i="5"/>
  <c r="M132" i="5"/>
  <c r="L132" i="5"/>
  <c r="J132" i="5"/>
  <c r="I132" i="5"/>
  <c r="M131" i="5"/>
  <c r="L131" i="5"/>
  <c r="J131" i="5"/>
  <c r="I131" i="5"/>
  <c r="M130" i="5"/>
  <c r="L130" i="5"/>
  <c r="J130" i="5"/>
  <c r="I130" i="5"/>
  <c r="M138" i="5"/>
  <c r="L138" i="5"/>
  <c r="J138" i="5"/>
  <c r="I138" i="5"/>
  <c r="M137" i="5"/>
  <c r="L137" i="5"/>
  <c r="J137" i="5"/>
  <c r="I137" i="5"/>
  <c r="M129" i="5"/>
  <c r="L129" i="5"/>
  <c r="J129" i="5"/>
  <c r="I129" i="5"/>
  <c r="M229" i="5"/>
  <c r="L229" i="5"/>
  <c r="J229" i="5"/>
  <c r="I229" i="5"/>
  <c r="M228" i="5"/>
  <c r="L228" i="5"/>
  <c r="J228" i="5"/>
  <c r="I228" i="5"/>
  <c r="M227" i="5"/>
  <c r="L227" i="5"/>
  <c r="J227" i="5"/>
  <c r="I227" i="5"/>
  <c r="M222" i="5"/>
  <c r="L222" i="5"/>
  <c r="J222" i="5"/>
  <c r="I222" i="5"/>
  <c r="M226" i="5"/>
  <c r="L226" i="5"/>
  <c r="J226" i="5"/>
  <c r="I226" i="5"/>
  <c r="M221" i="5"/>
  <c r="L221" i="5"/>
  <c r="J221" i="5"/>
  <c r="I221" i="5"/>
  <c r="M225" i="5"/>
  <c r="L225" i="5"/>
  <c r="J225" i="5"/>
  <c r="I225" i="5"/>
  <c r="M224" i="5"/>
  <c r="L224" i="5"/>
  <c r="J224" i="5"/>
  <c r="I224" i="5"/>
  <c r="M223" i="5"/>
  <c r="L223" i="5"/>
  <c r="J223" i="5"/>
  <c r="I223" i="5"/>
  <c r="M236" i="5"/>
  <c r="L236" i="5"/>
  <c r="J236" i="5"/>
  <c r="I236" i="5"/>
  <c r="M235" i="5"/>
  <c r="L235" i="5"/>
  <c r="J235" i="5"/>
  <c r="I235" i="5"/>
  <c r="M234" i="5"/>
  <c r="L234" i="5"/>
  <c r="J234" i="5"/>
  <c r="I234" i="5"/>
  <c r="M233" i="5"/>
  <c r="L233" i="5"/>
  <c r="J233" i="5"/>
  <c r="I233" i="5"/>
  <c r="M232" i="5"/>
  <c r="L232" i="5"/>
  <c r="J232" i="5"/>
  <c r="I232" i="5"/>
  <c r="M231" i="5"/>
  <c r="L231" i="5"/>
  <c r="J231" i="5"/>
  <c r="I231" i="5"/>
  <c r="M230" i="5"/>
  <c r="L230" i="5"/>
  <c r="J230" i="5"/>
  <c r="I230" i="5"/>
  <c r="I9" i="5"/>
  <c r="A245" i="5"/>
  <c r="A246" i="5"/>
  <c r="A247" i="5"/>
  <c r="A248" i="5"/>
  <c r="A249" i="5"/>
  <c r="A230" i="5"/>
  <c r="A231" i="5"/>
  <c r="A232" i="5"/>
  <c r="A233" i="5"/>
  <c r="A234" i="5"/>
  <c r="A235" i="5"/>
  <c r="A236" i="5"/>
  <c r="A223" i="5"/>
  <c r="A224" i="5"/>
  <c r="A225" i="5"/>
  <c r="A221" i="5"/>
  <c r="A226" i="5"/>
  <c r="A222" i="5"/>
  <c r="A227" i="5"/>
  <c r="A228" i="5"/>
  <c r="A229" i="5"/>
  <c r="A129" i="5"/>
  <c r="A137" i="5"/>
  <c r="A138" i="5"/>
  <c r="A130" i="5"/>
  <c r="A131" i="5"/>
  <c r="A132" i="5"/>
  <c r="A133" i="5"/>
  <c r="A134" i="5"/>
  <c r="A135" i="5"/>
  <c r="A136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81" i="5"/>
  <c r="A82" i="5"/>
  <c r="A83" i="5"/>
  <c r="A84" i="5"/>
  <c r="A85" i="5"/>
  <c r="A86" i="5"/>
  <c r="A87" i="5"/>
  <c r="A94" i="5"/>
  <c r="A95" i="5"/>
  <c r="A237" i="5"/>
  <c r="A238" i="5"/>
  <c r="A239" i="5"/>
  <c r="A240" i="5"/>
  <c r="A241" i="5"/>
  <c r="A242" i="5"/>
  <c r="A243" i="5"/>
  <c r="A3" i="5"/>
  <c r="A4" i="5"/>
  <c r="A5" i="5"/>
  <c r="A6" i="5"/>
  <c r="A7" i="5"/>
  <c r="A8" i="5"/>
  <c r="A9" i="5"/>
  <c r="A126" i="5"/>
  <c r="A127" i="5"/>
  <c r="A128" i="5"/>
  <c r="A244" i="5"/>
  <c r="E306" i="2"/>
  <c r="A155" i="6"/>
  <c r="I155" i="6"/>
  <c r="F155" i="6" l="1"/>
  <c r="DR54" i="1"/>
  <c r="FS54" i="1"/>
  <c r="E45" i="2" l="1"/>
  <c r="E44" i="2"/>
  <c r="I80" i="6" l="1"/>
  <c r="I136" i="6"/>
  <c r="I154" i="6"/>
  <c r="I152" i="6"/>
  <c r="I153" i="6"/>
  <c r="I109" i="6"/>
  <c r="I108" i="6"/>
  <c r="I107" i="6"/>
  <c r="I106" i="6"/>
  <c r="I105" i="6"/>
  <c r="I104" i="6"/>
  <c r="I103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3" i="6"/>
  <c r="I82" i="6"/>
  <c r="I81" i="6"/>
  <c r="I79" i="6"/>
  <c r="I78" i="6"/>
  <c r="I77" i="6"/>
  <c r="I76" i="6"/>
  <c r="I75" i="6"/>
  <c r="I74" i="6"/>
  <c r="I73" i="6"/>
  <c r="I72" i="6"/>
  <c r="I71" i="6"/>
  <c r="I68" i="6"/>
  <c r="I67" i="6"/>
  <c r="I66" i="6"/>
  <c r="I65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F30" i="6" s="1"/>
  <c r="I29" i="6"/>
  <c r="I28" i="6"/>
  <c r="F28" i="6" s="1"/>
  <c r="I27" i="6"/>
  <c r="F27" i="6" s="1"/>
  <c r="I26" i="6"/>
  <c r="F26" i="6" s="1"/>
  <c r="I25" i="6"/>
  <c r="F25" i="6" s="1"/>
  <c r="I24" i="6"/>
  <c r="F24" i="6" s="1"/>
  <c r="I23" i="6"/>
  <c r="F23" i="6" s="1"/>
  <c r="I22" i="6"/>
  <c r="F22" i="6" s="1"/>
  <c r="I21" i="6"/>
  <c r="F21" i="6" s="1"/>
  <c r="I20" i="6"/>
  <c r="F20" i="6" s="1"/>
  <c r="I19" i="6"/>
  <c r="F19" i="6" s="1"/>
  <c r="I18" i="6"/>
  <c r="F18" i="6" s="1"/>
  <c r="I17" i="6"/>
  <c r="F17" i="6" s="1"/>
  <c r="I16" i="6"/>
  <c r="F16" i="6" s="1"/>
  <c r="I15" i="6"/>
  <c r="F15" i="6" s="1"/>
  <c r="I14" i="6"/>
  <c r="F14" i="6" s="1"/>
  <c r="I13" i="6"/>
  <c r="F13" i="6" s="1"/>
  <c r="I12" i="6"/>
  <c r="F12" i="6" s="1"/>
  <c r="I11" i="6"/>
  <c r="F11" i="6" s="1"/>
  <c r="I10" i="6"/>
  <c r="F10" i="6" s="1"/>
  <c r="I9" i="6"/>
  <c r="F9" i="6" s="1"/>
  <c r="I8" i="6"/>
  <c r="F8" i="6" s="1"/>
  <c r="I7" i="6"/>
  <c r="F7" i="6" s="1"/>
  <c r="I6" i="6"/>
  <c r="F6" i="6" s="1"/>
  <c r="I5" i="6"/>
  <c r="F5" i="6" s="1"/>
  <c r="I4" i="6"/>
  <c r="F4" i="6" s="1"/>
  <c r="I3" i="6"/>
  <c r="F3" i="6" s="1"/>
  <c r="I2" i="6"/>
  <c r="F2" i="6" s="1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5" i="6"/>
  <c r="A66" i="6"/>
  <c r="A67" i="6"/>
  <c r="A68" i="6"/>
  <c r="A71" i="6"/>
  <c r="A72" i="6"/>
  <c r="A73" i="6"/>
  <c r="A74" i="6"/>
  <c r="A75" i="6"/>
  <c r="A76" i="6"/>
  <c r="A77" i="6"/>
  <c r="A78" i="6"/>
  <c r="A79" i="6"/>
  <c r="A81" i="6"/>
  <c r="A82" i="6"/>
  <c r="A83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53" i="6"/>
  <c r="A152" i="6"/>
  <c r="A154" i="6"/>
  <c r="A136" i="6"/>
  <c r="A80" i="6"/>
  <c r="F152" i="6" l="1"/>
  <c r="F136" i="6"/>
  <c r="F32" i="6"/>
  <c r="F34" i="6"/>
  <c r="F36" i="6"/>
  <c r="F38" i="6"/>
  <c r="F40" i="6"/>
  <c r="F42" i="6"/>
  <c r="F44" i="6"/>
  <c r="F46" i="6"/>
  <c r="F50" i="6"/>
  <c r="F52" i="6"/>
  <c r="F54" i="6"/>
  <c r="F56" i="6"/>
  <c r="F58" i="6"/>
  <c r="F60" i="6"/>
  <c r="F62" i="6"/>
  <c r="F65" i="6"/>
  <c r="F67" i="6"/>
  <c r="F71" i="6"/>
  <c r="F73" i="6"/>
  <c r="F75" i="6"/>
  <c r="F77" i="6"/>
  <c r="F79" i="6"/>
  <c r="F82" i="6"/>
  <c r="F85" i="6"/>
  <c r="F87" i="6"/>
  <c r="F89" i="6"/>
  <c r="F91" i="6"/>
  <c r="F93" i="6"/>
  <c r="F95" i="6"/>
  <c r="F108" i="6"/>
  <c r="F29" i="6"/>
  <c r="F31" i="6"/>
  <c r="F33" i="6"/>
  <c r="F35" i="6"/>
  <c r="F37" i="6"/>
  <c r="F39" i="6"/>
  <c r="F41" i="6"/>
  <c r="F43" i="6"/>
  <c r="F45" i="6"/>
  <c r="F47" i="6"/>
  <c r="F51" i="6"/>
  <c r="F53" i="6"/>
  <c r="F55" i="6"/>
  <c r="F57" i="6"/>
  <c r="F59" i="6"/>
  <c r="F61" i="6"/>
  <c r="F63" i="6"/>
  <c r="F66" i="6"/>
  <c r="F68" i="6"/>
  <c r="F72" i="6"/>
  <c r="F74" i="6"/>
  <c r="F76" i="6"/>
  <c r="F78" i="6"/>
  <c r="F81" i="6"/>
  <c r="F83" i="6"/>
  <c r="F86" i="6"/>
  <c r="F88" i="6"/>
  <c r="F90" i="6"/>
  <c r="F92" i="6"/>
  <c r="F94" i="6"/>
  <c r="F96" i="6"/>
  <c r="F98" i="6"/>
  <c r="F100" i="6"/>
  <c r="F103" i="6"/>
  <c r="F105" i="6"/>
  <c r="F107" i="6"/>
  <c r="F109" i="6"/>
  <c r="F153" i="6"/>
  <c r="F154" i="6"/>
  <c r="F80" i="6"/>
  <c r="F97" i="6"/>
  <c r="F99" i="6"/>
  <c r="F101" i="6"/>
  <c r="F104" i="6"/>
  <c r="F106" i="6"/>
  <c r="DQ330" i="2"/>
  <c r="DQ329" i="2"/>
  <c r="DQ156" i="2" l="1"/>
  <c r="DQ180" i="2"/>
  <c r="DQ184" i="2"/>
  <c r="DQ240" i="2"/>
  <c r="DQ246" i="2"/>
  <c r="DQ250" i="2"/>
  <c r="DQ254" i="2"/>
  <c r="DQ258" i="2"/>
  <c r="DQ309" i="2"/>
  <c r="DQ313" i="2"/>
  <c r="DQ318" i="2"/>
  <c r="DQ203" i="2"/>
  <c r="DQ207" i="2"/>
  <c r="FR240" i="2"/>
  <c r="FR246" i="2"/>
  <c r="FR250" i="2"/>
  <c r="FR254" i="2"/>
  <c r="FR258" i="2"/>
  <c r="FR149" i="2"/>
  <c r="FR156" i="2"/>
  <c r="FR161" i="2"/>
  <c r="FR165" i="2"/>
  <c r="FR180" i="2"/>
  <c r="FR184" i="2"/>
  <c r="FR204" i="2"/>
  <c r="FR208" i="2"/>
  <c r="FR310" i="2"/>
  <c r="FR314" i="2"/>
  <c r="FR319" i="2"/>
  <c r="DQ149" i="2"/>
  <c r="DQ150" i="2"/>
  <c r="DQ157" i="2"/>
  <c r="DQ162" i="2"/>
  <c r="DQ166" i="2"/>
  <c r="DQ181" i="2"/>
  <c r="DQ185" i="2"/>
  <c r="DQ243" i="2"/>
  <c r="DQ247" i="2"/>
  <c r="DQ251" i="2"/>
  <c r="DQ255" i="2"/>
  <c r="DQ262" i="2"/>
  <c r="DQ310" i="2"/>
  <c r="DQ314" i="2"/>
  <c r="DQ319" i="2"/>
  <c r="DQ204" i="2"/>
  <c r="DQ208" i="2"/>
  <c r="FR243" i="2"/>
  <c r="FR247" i="2"/>
  <c r="FR251" i="2"/>
  <c r="FR255" i="2"/>
  <c r="FR262" i="2"/>
  <c r="FR150" i="2"/>
  <c r="FR157" i="2"/>
  <c r="FR162" i="2"/>
  <c r="FR166" i="2"/>
  <c r="FR181" i="2"/>
  <c r="FR185" i="2"/>
  <c r="FR205" i="2"/>
  <c r="FR209" i="2"/>
  <c r="FR311" i="2"/>
  <c r="FR316" i="2"/>
  <c r="FR320" i="2"/>
  <c r="DQ165" i="2"/>
  <c r="DQ158" i="2"/>
  <c r="DQ163" i="2"/>
  <c r="DQ167" i="2"/>
  <c r="DQ182" i="2"/>
  <c r="DQ186" i="2"/>
  <c r="DQ244" i="2"/>
  <c r="DQ248" i="2"/>
  <c r="DQ252" i="2"/>
  <c r="DQ256" i="2"/>
  <c r="DQ263" i="2"/>
  <c r="DQ311" i="2"/>
  <c r="DQ316" i="2"/>
  <c r="DQ320" i="2"/>
  <c r="DQ205" i="2"/>
  <c r="DQ209" i="2"/>
  <c r="FR244" i="2"/>
  <c r="FR248" i="2"/>
  <c r="FR252" i="2"/>
  <c r="FR256" i="2"/>
  <c r="FR263" i="2"/>
  <c r="FR154" i="2"/>
  <c r="FR158" i="2"/>
  <c r="FR163" i="2"/>
  <c r="FR167" i="2"/>
  <c r="FR182" i="2"/>
  <c r="FR186" i="2"/>
  <c r="FR206" i="2"/>
  <c r="FR308" i="2"/>
  <c r="FR312" i="2"/>
  <c r="FR317" i="2"/>
  <c r="DQ161" i="2"/>
  <c r="DQ154" i="2"/>
  <c r="DQ155" i="2"/>
  <c r="DQ160" i="2"/>
  <c r="DQ164" i="2"/>
  <c r="DQ168" i="2"/>
  <c r="DQ183" i="2"/>
  <c r="DQ239" i="2"/>
  <c r="DQ245" i="2"/>
  <c r="DQ249" i="2"/>
  <c r="DQ253" i="2"/>
  <c r="DQ257" i="2"/>
  <c r="DQ308" i="2"/>
  <c r="DQ312" i="2"/>
  <c r="DQ317" i="2"/>
  <c r="DQ206" i="2"/>
  <c r="FR239" i="2"/>
  <c r="FR245" i="2"/>
  <c r="FR249" i="2"/>
  <c r="FR253" i="2"/>
  <c r="FR257" i="2"/>
  <c r="FR155" i="2"/>
  <c r="FR160" i="2"/>
  <c r="FR164" i="2"/>
  <c r="FR168" i="2"/>
  <c r="FR183" i="2"/>
  <c r="FR203" i="2"/>
  <c r="FR207" i="2"/>
  <c r="FR309" i="2"/>
  <c r="FR313" i="2"/>
  <c r="FR318" i="2"/>
  <c r="E201" i="2"/>
  <c r="E20" i="2" l="1"/>
  <c r="E26" i="2" l="1"/>
  <c r="E25" i="2"/>
  <c r="E13" i="2"/>
  <c r="E12" i="2"/>
  <c r="I102" i="6" l="1"/>
  <c r="M9" i="5"/>
  <c r="L9" i="5"/>
  <c r="J9" i="5"/>
  <c r="EB254" i="4"/>
  <c r="EC254" i="4" s="1"/>
  <c r="DZ254" i="4"/>
  <c r="EA254" i="4" s="1"/>
  <c r="DX254" i="4"/>
  <c r="DY254" i="4" s="1"/>
  <c r="DV254" i="4"/>
  <c r="DW254" i="4" s="1"/>
  <c r="BL254" i="4"/>
  <c r="BM254" i="4" s="1"/>
  <c r="BJ254" i="4"/>
  <c r="BK254" i="4" s="1"/>
  <c r="BH254" i="4"/>
  <c r="BI254" i="4" s="1"/>
  <c r="EB253" i="4"/>
  <c r="EC253" i="4" s="1"/>
  <c r="DZ253" i="4"/>
  <c r="EA253" i="4" s="1"/>
  <c r="DX253" i="4"/>
  <c r="DY253" i="4" s="1"/>
  <c r="DV253" i="4"/>
  <c r="DW253" i="4" s="1"/>
  <c r="BL253" i="4"/>
  <c r="BM253" i="4" s="1"/>
  <c r="BJ253" i="4"/>
  <c r="BK253" i="4" s="1"/>
  <c r="BH253" i="4"/>
  <c r="BI253" i="4" s="1"/>
  <c r="EB252" i="4"/>
  <c r="EC252" i="4" s="1"/>
  <c r="DZ252" i="4"/>
  <c r="EA252" i="4" s="1"/>
  <c r="DX252" i="4"/>
  <c r="DY252" i="4" s="1"/>
  <c r="DV252" i="4"/>
  <c r="DW252" i="4" s="1"/>
  <c r="BL252" i="4"/>
  <c r="BM252" i="4" s="1"/>
  <c r="BJ252" i="4"/>
  <c r="BK252" i="4" s="1"/>
  <c r="BH252" i="4"/>
  <c r="BI252" i="4" s="1"/>
  <c r="EB251" i="4"/>
  <c r="EC251" i="4" s="1"/>
  <c r="DZ251" i="4"/>
  <c r="EA251" i="4" s="1"/>
  <c r="DX251" i="4"/>
  <c r="DY251" i="4" s="1"/>
  <c r="DV251" i="4"/>
  <c r="DW251" i="4" s="1"/>
  <c r="BL251" i="4"/>
  <c r="BM251" i="4" s="1"/>
  <c r="BJ251" i="4"/>
  <c r="BK251" i="4" s="1"/>
  <c r="BH251" i="4"/>
  <c r="BI251" i="4" s="1"/>
  <c r="EB250" i="4"/>
  <c r="EC250" i="4" s="1"/>
  <c r="DZ250" i="4"/>
  <c r="EA250" i="4" s="1"/>
  <c r="DX250" i="4"/>
  <c r="DY250" i="4" s="1"/>
  <c r="DV250" i="4"/>
  <c r="DW250" i="4" s="1"/>
  <c r="BL250" i="4"/>
  <c r="BM250" i="4" s="1"/>
  <c r="BJ250" i="4"/>
  <c r="BK250" i="4" s="1"/>
  <c r="BH250" i="4"/>
  <c r="BI250" i="4" s="1"/>
  <c r="EB249" i="4"/>
  <c r="EC249" i="4" s="1"/>
  <c r="DZ249" i="4"/>
  <c r="EA249" i="4" s="1"/>
  <c r="DX249" i="4"/>
  <c r="DY249" i="4" s="1"/>
  <c r="DV249" i="4"/>
  <c r="DW249" i="4" s="1"/>
  <c r="BL249" i="4"/>
  <c r="BM249" i="4" s="1"/>
  <c r="BJ249" i="4"/>
  <c r="BK249" i="4" s="1"/>
  <c r="BH249" i="4"/>
  <c r="BI249" i="4" s="1"/>
  <c r="EB248" i="4"/>
  <c r="EC248" i="4" s="1"/>
  <c r="DZ248" i="4"/>
  <c r="EA248" i="4" s="1"/>
  <c r="DX248" i="4"/>
  <c r="DY248" i="4" s="1"/>
  <c r="DV248" i="4"/>
  <c r="DW248" i="4" s="1"/>
  <c r="BL248" i="4"/>
  <c r="BM248" i="4" s="1"/>
  <c r="BJ248" i="4"/>
  <c r="BK248" i="4" s="1"/>
  <c r="BH248" i="4"/>
  <c r="BI248" i="4" s="1"/>
  <c r="EB247" i="4"/>
  <c r="EC247" i="4" s="1"/>
  <c r="DZ247" i="4"/>
  <c r="EA247" i="4" s="1"/>
  <c r="DX247" i="4"/>
  <c r="DY247" i="4" s="1"/>
  <c r="DV247" i="4"/>
  <c r="DW247" i="4" s="1"/>
  <c r="BL247" i="4"/>
  <c r="BM247" i="4" s="1"/>
  <c r="BJ247" i="4"/>
  <c r="BK247" i="4" s="1"/>
  <c r="BH247" i="4"/>
  <c r="BI247" i="4" s="1"/>
  <c r="EB246" i="4"/>
  <c r="EC246" i="4" s="1"/>
  <c r="DZ246" i="4"/>
  <c r="EA246" i="4" s="1"/>
  <c r="DX246" i="4"/>
  <c r="DY246" i="4" s="1"/>
  <c r="DV246" i="4"/>
  <c r="DW246" i="4" s="1"/>
  <c r="BL246" i="4"/>
  <c r="BM246" i="4" s="1"/>
  <c r="BJ246" i="4"/>
  <c r="BK246" i="4" s="1"/>
  <c r="BH246" i="4"/>
  <c r="BI246" i="4" s="1"/>
  <c r="EB245" i="4"/>
  <c r="EC245" i="4" s="1"/>
  <c r="DZ245" i="4"/>
  <c r="EA245" i="4" s="1"/>
  <c r="DX245" i="4"/>
  <c r="DY245" i="4" s="1"/>
  <c r="DV245" i="4"/>
  <c r="DW245" i="4" s="1"/>
  <c r="BL245" i="4"/>
  <c r="BM245" i="4" s="1"/>
  <c r="BJ245" i="4"/>
  <c r="BK245" i="4" s="1"/>
  <c r="BH245" i="4"/>
  <c r="BI245" i="4" s="1"/>
  <c r="DS244" i="4"/>
  <c r="DZ244" i="4" s="1"/>
  <c r="EA244" i="4" s="1"/>
  <c r="BE244" i="4"/>
  <c r="AO244" i="4"/>
  <c r="DS243" i="4"/>
  <c r="EB243" i="4" s="1"/>
  <c r="EC243" i="4" s="1"/>
  <c r="BE243" i="4"/>
  <c r="AO243" i="4"/>
  <c r="DS242" i="4"/>
  <c r="BE242" i="4"/>
  <c r="AO242" i="4"/>
  <c r="DS241" i="4"/>
  <c r="DZ241" i="4" s="1"/>
  <c r="EA241" i="4" s="1"/>
  <c r="BE241" i="4"/>
  <c r="AO241" i="4"/>
  <c r="DS240" i="4"/>
  <c r="BE240" i="4"/>
  <c r="AO240" i="4"/>
  <c r="BL240" i="4" s="1"/>
  <c r="BM240" i="4" s="1"/>
  <c r="DS239" i="4"/>
  <c r="EB239" i="4" s="1"/>
  <c r="EC239" i="4" s="1"/>
  <c r="BE239" i="4"/>
  <c r="AO239" i="4"/>
  <c r="DS238" i="4"/>
  <c r="EB238" i="4" s="1"/>
  <c r="EC238" i="4" s="1"/>
  <c r="BE238" i="4"/>
  <c r="AO238" i="4"/>
  <c r="DS237" i="4"/>
  <c r="DZ237" i="4" s="1"/>
  <c r="EA237" i="4" s="1"/>
  <c r="BE237" i="4"/>
  <c r="AO237" i="4"/>
  <c r="DS236" i="4"/>
  <c r="DZ236" i="4" s="1"/>
  <c r="EA236" i="4" s="1"/>
  <c r="BE236" i="4"/>
  <c r="AO236" i="4"/>
  <c r="DS235" i="4"/>
  <c r="DV235" i="4" s="1"/>
  <c r="DW235" i="4" s="1"/>
  <c r="BL235" i="4"/>
  <c r="BM235" i="4" s="1"/>
  <c r="BJ235" i="4"/>
  <c r="BK235" i="4" s="1"/>
  <c r="BH235" i="4"/>
  <c r="BI235" i="4" s="1"/>
  <c r="DS234" i="4"/>
  <c r="BL234" i="4"/>
  <c r="BM234" i="4" s="1"/>
  <c r="BJ234" i="4"/>
  <c r="BK234" i="4" s="1"/>
  <c r="BH234" i="4"/>
  <c r="BI234" i="4" s="1"/>
  <c r="EB233" i="4"/>
  <c r="EC233" i="4" s="1"/>
  <c r="DZ233" i="4"/>
  <c r="EA233" i="4" s="1"/>
  <c r="DX233" i="4"/>
  <c r="DY233" i="4" s="1"/>
  <c r="DV233" i="4"/>
  <c r="DW233" i="4" s="1"/>
  <c r="BL233" i="4"/>
  <c r="BM233" i="4" s="1"/>
  <c r="BJ233" i="4"/>
  <c r="BK233" i="4" s="1"/>
  <c r="BH233" i="4"/>
  <c r="BI233" i="4" s="1"/>
  <c r="EB232" i="4"/>
  <c r="EC232" i="4" s="1"/>
  <c r="DZ232" i="4"/>
  <c r="EA232" i="4" s="1"/>
  <c r="DX232" i="4"/>
  <c r="DY232" i="4" s="1"/>
  <c r="DV232" i="4"/>
  <c r="DW232" i="4" s="1"/>
  <c r="BL232" i="4"/>
  <c r="BM232" i="4" s="1"/>
  <c r="BJ232" i="4"/>
  <c r="BK232" i="4" s="1"/>
  <c r="BH232" i="4"/>
  <c r="BI232" i="4" s="1"/>
  <c r="EB231" i="4"/>
  <c r="EC231" i="4" s="1"/>
  <c r="DZ231" i="4"/>
  <c r="EA231" i="4" s="1"/>
  <c r="DX231" i="4"/>
  <c r="DY231" i="4" s="1"/>
  <c r="DV231" i="4"/>
  <c r="DW231" i="4" s="1"/>
  <c r="BL231" i="4"/>
  <c r="BM231" i="4" s="1"/>
  <c r="BJ231" i="4"/>
  <c r="BK231" i="4" s="1"/>
  <c r="BH231" i="4"/>
  <c r="BI231" i="4" s="1"/>
  <c r="EB230" i="4"/>
  <c r="EC230" i="4" s="1"/>
  <c r="DZ230" i="4"/>
  <c r="EA230" i="4" s="1"/>
  <c r="DX230" i="4"/>
  <c r="DY230" i="4" s="1"/>
  <c r="DV230" i="4"/>
  <c r="DW230" i="4" s="1"/>
  <c r="BL230" i="4"/>
  <c r="BM230" i="4" s="1"/>
  <c r="BJ230" i="4"/>
  <c r="BK230" i="4" s="1"/>
  <c r="BH230" i="4"/>
  <c r="BI230" i="4" s="1"/>
  <c r="EB229" i="4"/>
  <c r="EC229" i="4" s="1"/>
  <c r="DZ229" i="4"/>
  <c r="EA229" i="4" s="1"/>
  <c r="DX229" i="4"/>
  <c r="DY229" i="4" s="1"/>
  <c r="DV229" i="4"/>
  <c r="DW229" i="4" s="1"/>
  <c r="BL229" i="4"/>
  <c r="BM229" i="4" s="1"/>
  <c r="BJ229" i="4"/>
  <c r="BK229" i="4" s="1"/>
  <c r="BH229" i="4"/>
  <c r="BI229" i="4" s="1"/>
  <c r="EB228" i="4"/>
  <c r="EC228" i="4" s="1"/>
  <c r="DZ228" i="4"/>
  <c r="EA228" i="4" s="1"/>
  <c r="DX228" i="4"/>
  <c r="DY228" i="4" s="1"/>
  <c r="DV228" i="4"/>
  <c r="DW228" i="4" s="1"/>
  <c r="BL228" i="4"/>
  <c r="BM228" i="4" s="1"/>
  <c r="BJ228" i="4"/>
  <c r="BK228" i="4" s="1"/>
  <c r="BH228" i="4"/>
  <c r="BI228" i="4" s="1"/>
  <c r="EB227" i="4"/>
  <c r="EC227" i="4" s="1"/>
  <c r="DZ227" i="4"/>
  <c r="EA227" i="4" s="1"/>
  <c r="DX227" i="4"/>
  <c r="DY227" i="4" s="1"/>
  <c r="DV227" i="4"/>
  <c r="DW227" i="4" s="1"/>
  <c r="BL227" i="4"/>
  <c r="BM227" i="4" s="1"/>
  <c r="BJ227" i="4"/>
  <c r="BK227" i="4" s="1"/>
  <c r="BH227" i="4"/>
  <c r="BI227" i="4" s="1"/>
  <c r="EB226" i="4"/>
  <c r="EC226" i="4" s="1"/>
  <c r="DZ226" i="4"/>
  <c r="EA226" i="4" s="1"/>
  <c r="DX226" i="4"/>
  <c r="DY226" i="4" s="1"/>
  <c r="DV226" i="4"/>
  <c r="DW226" i="4" s="1"/>
  <c r="BL226" i="4"/>
  <c r="BM226" i="4" s="1"/>
  <c r="BJ226" i="4"/>
  <c r="BK226" i="4" s="1"/>
  <c r="BH226" i="4"/>
  <c r="BI226" i="4" s="1"/>
  <c r="EB225" i="4"/>
  <c r="EC225" i="4" s="1"/>
  <c r="DZ225" i="4"/>
  <c r="EA225" i="4" s="1"/>
  <c r="DX225" i="4"/>
  <c r="DY225" i="4" s="1"/>
  <c r="DV225" i="4"/>
  <c r="DW225" i="4" s="1"/>
  <c r="BL225" i="4"/>
  <c r="BM225" i="4" s="1"/>
  <c r="BJ225" i="4"/>
  <c r="BK225" i="4" s="1"/>
  <c r="BH225" i="4"/>
  <c r="BI225" i="4" s="1"/>
  <c r="EB224" i="4"/>
  <c r="EC224" i="4" s="1"/>
  <c r="DZ224" i="4"/>
  <c r="EA224" i="4" s="1"/>
  <c r="DX224" i="4"/>
  <c r="DY224" i="4" s="1"/>
  <c r="DV224" i="4"/>
  <c r="DW224" i="4" s="1"/>
  <c r="BL224" i="4"/>
  <c r="BM224" i="4" s="1"/>
  <c r="BJ224" i="4"/>
  <c r="BK224" i="4" s="1"/>
  <c r="BH224" i="4"/>
  <c r="BI224" i="4" s="1"/>
  <c r="EB223" i="4"/>
  <c r="EC223" i="4" s="1"/>
  <c r="DZ223" i="4"/>
  <c r="EA223" i="4" s="1"/>
  <c r="DX223" i="4"/>
  <c r="DY223" i="4" s="1"/>
  <c r="DV223" i="4"/>
  <c r="DW223" i="4" s="1"/>
  <c r="BL223" i="4"/>
  <c r="BM223" i="4" s="1"/>
  <c r="BJ223" i="4"/>
  <c r="BK223" i="4" s="1"/>
  <c r="BH223" i="4"/>
  <c r="BI223" i="4" s="1"/>
  <c r="EB222" i="4"/>
  <c r="EC222" i="4" s="1"/>
  <c r="DZ222" i="4"/>
  <c r="EA222" i="4" s="1"/>
  <c r="DX222" i="4"/>
  <c r="DY222" i="4" s="1"/>
  <c r="DV222" i="4"/>
  <c r="DW222" i="4" s="1"/>
  <c r="BL222" i="4"/>
  <c r="BM222" i="4" s="1"/>
  <c r="BJ222" i="4"/>
  <c r="BK222" i="4" s="1"/>
  <c r="BH222" i="4"/>
  <c r="BI222" i="4" s="1"/>
  <c r="EB221" i="4"/>
  <c r="EC221" i="4" s="1"/>
  <c r="DZ221" i="4"/>
  <c r="EA221" i="4" s="1"/>
  <c r="DX221" i="4"/>
  <c r="DY221" i="4" s="1"/>
  <c r="DV221" i="4"/>
  <c r="DW221" i="4" s="1"/>
  <c r="BL221" i="4"/>
  <c r="BM221" i="4" s="1"/>
  <c r="BJ221" i="4"/>
  <c r="BK221" i="4" s="1"/>
  <c r="BH221" i="4"/>
  <c r="BI221" i="4" s="1"/>
  <c r="EB220" i="4"/>
  <c r="EC220" i="4" s="1"/>
  <c r="DZ220" i="4"/>
  <c r="EA220" i="4" s="1"/>
  <c r="DX220" i="4"/>
  <c r="DY220" i="4" s="1"/>
  <c r="DV220" i="4"/>
  <c r="DW220" i="4" s="1"/>
  <c r="BL220" i="4"/>
  <c r="BM220" i="4" s="1"/>
  <c r="BJ220" i="4"/>
  <c r="BK220" i="4" s="1"/>
  <c r="BH220" i="4"/>
  <c r="BI220" i="4" s="1"/>
  <c r="EB219" i="4"/>
  <c r="EC219" i="4" s="1"/>
  <c r="DZ219" i="4"/>
  <c r="EA219" i="4" s="1"/>
  <c r="DX219" i="4"/>
  <c r="DY219" i="4" s="1"/>
  <c r="DV219" i="4"/>
  <c r="DW219" i="4" s="1"/>
  <c r="BL219" i="4"/>
  <c r="BM219" i="4" s="1"/>
  <c r="BJ219" i="4"/>
  <c r="BK219" i="4" s="1"/>
  <c r="BH219" i="4"/>
  <c r="BI219" i="4" s="1"/>
  <c r="EB218" i="4"/>
  <c r="EC218" i="4" s="1"/>
  <c r="DZ218" i="4"/>
  <c r="EA218" i="4" s="1"/>
  <c r="DX218" i="4"/>
  <c r="DY218" i="4" s="1"/>
  <c r="DV218" i="4"/>
  <c r="DW218" i="4" s="1"/>
  <c r="BL218" i="4"/>
  <c r="BM218" i="4" s="1"/>
  <c r="BJ218" i="4"/>
  <c r="BK218" i="4" s="1"/>
  <c r="BH218" i="4"/>
  <c r="BI218" i="4" s="1"/>
  <c r="EB217" i="4"/>
  <c r="EC217" i="4" s="1"/>
  <c r="DZ217" i="4"/>
  <c r="EA217" i="4" s="1"/>
  <c r="DX217" i="4"/>
  <c r="DY217" i="4" s="1"/>
  <c r="DV217" i="4"/>
  <c r="DW217" i="4" s="1"/>
  <c r="BL217" i="4"/>
  <c r="BM217" i="4" s="1"/>
  <c r="BJ217" i="4"/>
  <c r="BK217" i="4" s="1"/>
  <c r="BH217" i="4"/>
  <c r="BI217" i="4" s="1"/>
  <c r="EB216" i="4"/>
  <c r="EC216" i="4" s="1"/>
  <c r="DZ216" i="4"/>
  <c r="EA216" i="4" s="1"/>
  <c r="DX216" i="4"/>
  <c r="DY216" i="4" s="1"/>
  <c r="DV216" i="4"/>
  <c r="DW216" i="4" s="1"/>
  <c r="BL216" i="4"/>
  <c r="BM216" i="4" s="1"/>
  <c r="BJ216" i="4"/>
  <c r="BK216" i="4" s="1"/>
  <c r="BH216" i="4"/>
  <c r="BI216" i="4" s="1"/>
  <c r="EB215" i="4"/>
  <c r="EC215" i="4" s="1"/>
  <c r="DZ215" i="4"/>
  <c r="EA215" i="4" s="1"/>
  <c r="DX215" i="4"/>
  <c r="DY215" i="4" s="1"/>
  <c r="DV215" i="4"/>
  <c r="DW215" i="4" s="1"/>
  <c r="BL215" i="4"/>
  <c r="BM215" i="4" s="1"/>
  <c r="BJ215" i="4"/>
  <c r="BK215" i="4" s="1"/>
  <c r="BH215" i="4"/>
  <c r="BI215" i="4" s="1"/>
  <c r="EB214" i="4"/>
  <c r="EC214" i="4" s="1"/>
  <c r="DZ214" i="4"/>
  <c r="EA214" i="4" s="1"/>
  <c r="DX214" i="4"/>
  <c r="DY214" i="4" s="1"/>
  <c r="DV214" i="4"/>
  <c r="DW214" i="4" s="1"/>
  <c r="BL214" i="4"/>
  <c r="BM214" i="4" s="1"/>
  <c r="BJ214" i="4"/>
  <c r="BK214" i="4" s="1"/>
  <c r="BH214" i="4"/>
  <c r="BI214" i="4" s="1"/>
  <c r="EB213" i="4"/>
  <c r="EC213" i="4" s="1"/>
  <c r="DZ213" i="4"/>
  <c r="EA213" i="4" s="1"/>
  <c r="DX213" i="4"/>
  <c r="DY213" i="4" s="1"/>
  <c r="DV213" i="4"/>
  <c r="DW213" i="4" s="1"/>
  <c r="BL213" i="4"/>
  <c r="BM213" i="4" s="1"/>
  <c r="BJ213" i="4"/>
  <c r="BK213" i="4" s="1"/>
  <c r="BH213" i="4"/>
  <c r="BI213" i="4" s="1"/>
  <c r="EB212" i="4"/>
  <c r="EC212" i="4" s="1"/>
  <c r="DZ212" i="4"/>
  <c r="EA212" i="4" s="1"/>
  <c r="DX212" i="4"/>
  <c r="DY212" i="4" s="1"/>
  <c r="DV212" i="4"/>
  <c r="DW212" i="4" s="1"/>
  <c r="BL212" i="4"/>
  <c r="BM212" i="4" s="1"/>
  <c r="BJ212" i="4"/>
  <c r="BK212" i="4" s="1"/>
  <c r="BH212" i="4"/>
  <c r="BI212" i="4" s="1"/>
  <c r="EB211" i="4"/>
  <c r="EC211" i="4" s="1"/>
  <c r="DZ211" i="4"/>
  <c r="EA211" i="4" s="1"/>
  <c r="DX211" i="4"/>
  <c r="DY211" i="4" s="1"/>
  <c r="DV211" i="4"/>
  <c r="DW211" i="4" s="1"/>
  <c r="BL211" i="4"/>
  <c r="BM211" i="4" s="1"/>
  <c r="BJ211" i="4"/>
  <c r="BK211" i="4" s="1"/>
  <c r="BH211" i="4"/>
  <c r="BI211" i="4" s="1"/>
  <c r="EB210" i="4"/>
  <c r="EC210" i="4" s="1"/>
  <c r="DZ210" i="4"/>
  <c r="EA210" i="4" s="1"/>
  <c r="DX210" i="4"/>
  <c r="DY210" i="4" s="1"/>
  <c r="DV210" i="4"/>
  <c r="DW210" i="4" s="1"/>
  <c r="BL210" i="4"/>
  <c r="BM210" i="4" s="1"/>
  <c r="BJ210" i="4"/>
  <c r="BK210" i="4" s="1"/>
  <c r="BH210" i="4"/>
  <c r="BI210" i="4" s="1"/>
  <c r="EB209" i="4"/>
  <c r="EC209" i="4" s="1"/>
  <c r="DZ209" i="4"/>
  <c r="EA209" i="4" s="1"/>
  <c r="DX209" i="4"/>
  <c r="DY209" i="4" s="1"/>
  <c r="DV209" i="4"/>
  <c r="DW209" i="4" s="1"/>
  <c r="BL209" i="4"/>
  <c r="BM209" i="4" s="1"/>
  <c r="BJ209" i="4"/>
  <c r="BK209" i="4" s="1"/>
  <c r="BH209" i="4"/>
  <c r="BI209" i="4" s="1"/>
  <c r="EB208" i="4"/>
  <c r="EC208" i="4" s="1"/>
  <c r="DZ208" i="4"/>
  <c r="EA208" i="4" s="1"/>
  <c r="DX208" i="4"/>
  <c r="DY208" i="4" s="1"/>
  <c r="DV208" i="4"/>
  <c r="DW208" i="4" s="1"/>
  <c r="BL208" i="4"/>
  <c r="BM208" i="4" s="1"/>
  <c r="BJ208" i="4"/>
  <c r="BK208" i="4" s="1"/>
  <c r="BH208" i="4"/>
  <c r="BI208" i="4" s="1"/>
  <c r="EB207" i="4"/>
  <c r="EC207" i="4" s="1"/>
  <c r="DZ207" i="4"/>
  <c r="EA207" i="4" s="1"/>
  <c r="DX207" i="4"/>
  <c r="DY207" i="4" s="1"/>
  <c r="DV207" i="4"/>
  <c r="DW207" i="4" s="1"/>
  <c r="BL207" i="4"/>
  <c r="BM207" i="4" s="1"/>
  <c r="BJ207" i="4"/>
  <c r="BK207" i="4" s="1"/>
  <c r="BH207" i="4"/>
  <c r="BI207" i="4" s="1"/>
  <c r="EB206" i="4"/>
  <c r="EC206" i="4" s="1"/>
  <c r="DZ206" i="4"/>
  <c r="EA206" i="4" s="1"/>
  <c r="DX206" i="4"/>
  <c r="DY206" i="4" s="1"/>
  <c r="DV206" i="4"/>
  <c r="DW206" i="4" s="1"/>
  <c r="BL206" i="4"/>
  <c r="BM206" i="4" s="1"/>
  <c r="BJ206" i="4"/>
  <c r="BK206" i="4" s="1"/>
  <c r="BH206" i="4"/>
  <c r="BI206" i="4" s="1"/>
  <c r="EB205" i="4"/>
  <c r="EC205" i="4" s="1"/>
  <c r="DZ205" i="4"/>
  <c r="EA205" i="4" s="1"/>
  <c r="DX205" i="4"/>
  <c r="DY205" i="4" s="1"/>
  <c r="DV205" i="4"/>
  <c r="DW205" i="4" s="1"/>
  <c r="BL205" i="4"/>
  <c r="BM205" i="4" s="1"/>
  <c r="BJ205" i="4"/>
  <c r="BK205" i="4" s="1"/>
  <c r="BH205" i="4"/>
  <c r="BI205" i="4" s="1"/>
  <c r="EB204" i="4"/>
  <c r="EC204" i="4" s="1"/>
  <c r="DZ204" i="4"/>
  <c r="EA204" i="4" s="1"/>
  <c r="DX204" i="4"/>
  <c r="DY204" i="4" s="1"/>
  <c r="DV204" i="4"/>
  <c r="DW204" i="4" s="1"/>
  <c r="BL204" i="4"/>
  <c r="BM204" i="4" s="1"/>
  <c r="BJ204" i="4"/>
  <c r="BK204" i="4" s="1"/>
  <c r="BH204" i="4"/>
  <c r="BI204" i="4" s="1"/>
  <c r="EB203" i="4"/>
  <c r="EC203" i="4" s="1"/>
  <c r="DZ203" i="4"/>
  <c r="EA203" i="4" s="1"/>
  <c r="DX203" i="4"/>
  <c r="DY203" i="4" s="1"/>
  <c r="DV203" i="4"/>
  <c r="DW203" i="4" s="1"/>
  <c r="BL203" i="4"/>
  <c r="BM203" i="4" s="1"/>
  <c r="BJ203" i="4"/>
  <c r="BK203" i="4" s="1"/>
  <c r="BH203" i="4"/>
  <c r="BI203" i="4" s="1"/>
  <c r="EB202" i="4"/>
  <c r="EC202" i="4" s="1"/>
  <c r="DZ202" i="4"/>
  <c r="EA202" i="4" s="1"/>
  <c r="DX202" i="4"/>
  <c r="DY202" i="4" s="1"/>
  <c r="DV202" i="4"/>
  <c r="DW202" i="4" s="1"/>
  <c r="BL202" i="4"/>
  <c r="BM202" i="4" s="1"/>
  <c r="BJ202" i="4"/>
  <c r="BK202" i="4" s="1"/>
  <c r="BH202" i="4"/>
  <c r="BI202" i="4" s="1"/>
  <c r="EB201" i="4"/>
  <c r="EC201" i="4" s="1"/>
  <c r="DZ201" i="4"/>
  <c r="EA201" i="4" s="1"/>
  <c r="DX201" i="4"/>
  <c r="DY201" i="4" s="1"/>
  <c r="DV201" i="4"/>
  <c r="DW201" i="4" s="1"/>
  <c r="BL201" i="4"/>
  <c r="BM201" i="4" s="1"/>
  <c r="BJ201" i="4"/>
  <c r="BK201" i="4" s="1"/>
  <c r="BH201" i="4"/>
  <c r="BI201" i="4" s="1"/>
  <c r="EB200" i="4"/>
  <c r="EC200" i="4" s="1"/>
  <c r="DZ200" i="4"/>
  <c r="EA200" i="4" s="1"/>
  <c r="DX200" i="4"/>
  <c r="DY200" i="4" s="1"/>
  <c r="DV200" i="4"/>
  <c r="DW200" i="4" s="1"/>
  <c r="BL200" i="4"/>
  <c r="BM200" i="4" s="1"/>
  <c r="BJ200" i="4"/>
  <c r="BK200" i="4" s="1"/>
  <c r="BH200" i="4"/>
  <c r="BI200" i="4" s="1"/>
  <c r="EB199" i="4"/>
  <c r="EC199" i="4" s="1"/>
  <c r="DZ199" i="4"/>
  <c r="EA199" i="4" s="1"/>
  <c r="DX199" i="4"/>
  <c r="DY199" i="4" s="1"/>
  <c r="DV199" i="4"/>
  <c r="DW199" i="4" s="1"/>
  <c r="BL199" i="4"/>
  <c r="BM199" i="4" s="1"/>
  <c r="BJ199" i="4"/>
  <c r="BK199" i="4" s="1"/>
  <c r="BH199" i="4"/>
  <c r="BI199" i="4" s="1"/>
  <c r="EB198" i="4"/>
  <c r="EC198" i="4" s="1"/>
  <c r="DZ198" i="4"/>
  <c r="EA198" i="4" s="1"/>
  <c r="DX198" i="4"/>
  <c r="DY198" i="4" s="1"/>
  <c r="DV198" i="4"/>
  <c r="DW198" i="4" s="1"/>
  <c r="BL198" i="4"/>
  <c r="BM198" i="4" s="1"/>
  <c r="BJ198" i="4"/>
  <c r="BK198" i="4" s="1"/>
  <c r="BH198" i="4"/>
  <c r="BI198" i="4" s="1"/>
  <c r="EB197" i="4"/>
  <c r="EC197" i="4" s="1"/>
  <c r="DZ197" i="4"/>
  <c r="EA197" i="4" s="1"/>
  <c r="DX197" i="4"/>
  <c r="DY197" i="4" s="1"/>
  <c r="DV197" i="4"/>
  <c r="DW197" i="4" s="1"/>
  <c r="BL197" i="4"/>
  <c r="BM197" i="4" s="1"/>
  <c r="BJ197" i="4"/>
  <c r="BK197" i="4" s="1"/>
  <c r="BH197" i="4"/>
  <c r="BI197" i="4" s="1"/>
  <c r="EB196" i="4"/>
  <c r="EC196" i="4" s="1"/>
  <c r="DZ196" i="4"/>
  <c r="EA196" i="4" s="1"/>
  <c r="DX196" i="4"/>
  <c r="DY196" i="4" s="1"/>
  <c r="DV196" i="4"/>
  <c r="DW196" i="4" s="1"/>
  <c r="BL196" i="4"/>
  <c r="BM196" i="4" s="1"/>
  <c r="BJ196" i="4"/>
  <c r="BK196" i="4" s="1"/>
  <c r="BH196" i="4"/>
  <c r="BI196" i="4" s="1"/>
  <c r="EB195" i="4"/>
  <c r="EC195" i="4" s="1"/>
  <c r="DZ195" i="4"/>
  <c r="EA195" i="4" s="1"/>
  <c r="DX195" i="4"/>
  <c r="DY195" i="4" s="1"/>
  <c r="DV195" i="4"/>
  <c r="DW195" i="4" s="1"/>
  <c r="BL195" i="4"/>
  <c r="BM195" i="4" s="1"/>
  <c r="BJ195" i="4"/>
  <c r="BK195" i="4" s="1"/>
  <c r="BH195" i="4"/>
  <c r="BI195" i="4" s="1"/>
  <c r="EB194" i="4"/>
  <c r="EC194" i="4" s="1"/>
  <c r="DZ194" i="4"/>
  <c r="EA194" i="4" s="1"/>
  <c r="DX194" i="4"/>
  <c r="DY194" i="4" s="1"/>
  <c r="DV194" i="4"/>
  <c r="DW194" i="4" s="1"/>
  <c r="BL194" i="4"/>
  <c r="BM194" i="4" s="1"/>
  <c r="BJ194" i="4"/>
  <c r="BK194" i="4" s="1"/>
  <c r="BH194" i="4"/>
  <c r="BI194" i="4" s="1"/>
  <c r="EB193" i="4"/>
  <c r="EC193" i="4" s="1"/>
  <c r="DZ193" i="4"/>
  <c r="EA193" i="4" s="1"/>
  <c r="DX193" i="4"/>
  <c r="DY193" i="4" s="1"/>
  <c r="DV193" i="4"/>
  <c r="DW193" i="4" s="1"/>
  <c r="BL193" i="4"/>
  <c r="BM193" i="4" s="1"/>
  <c r="BJ193" i="4"/>
  <c r="BK193" i="4" s="1"/>
  <c r="BH193" i="4"/>
  <c r="BI193" i="4" s="1"/>
  <c r="EB192" i="4"/>
  <c r="EC192" i="4" s="1"/>
  <c r="DZ192" i="4"/>
  <c r="EA192" i="4" s="1"/>
  <c r="DX192" i="4"/>
  <c r="DY192" i="4" s="1"/>
  <c r="DV192" i="4"/>
  <c r="DW192" i="4" s="1"/>
  <c r="BL192" i="4"/>
  <c r="BM192" i="4" s="1"/>
  <c r="BJ192" i="4"/>
  <c r="BK192" i="4" s="1"/>
  <c r="BH192" i="4"/>
  <c r="BI192" i="4" s="1"/>
  <c r="EB191" i="4"/>
  <c r="EC191" i="4" s="1"/>
  <c r="DZ191" i="4"/>
  <c r="EA191" i="4" s="1"/>
  <c r="DX191" i="4"/>
  <c r="DY191" i="4" s="1"/>
  <c r="DV191" i="4"/>
  <c r="DW191" i="4" s="1"/>
  <c r="BL191" i="4"/>
  <c r="BM191" i="4" s="1"/>
  <c r="BJ191" i="4"/>
  <c r="BK191" i="4" s="1"/>
  <c r="BH191" i="4"/>
  <c r="BI191" i="4" s="1"/>
  <c r="EB190" i="4"/>
  <c r="EC190" i="4" s="1"/>
  <c r="DZ190" i="4"/>
  <c r="EA190" i="4" s="1"/>
  <c r="DX190" i="4"/>
  <c r="DY190" i="4" s="1"/>
  <c r="DV190" i="4"/>
  <c r="DW190" i="4" s="1"/>
  <c r="BL190" i="4"/>
  <c r="BM190" i="4" s="1"/>
  <c r="BJ190" i="4"/>
  <c r="BK190" i="4" s="1"/>
  <c r="BH190" i="4"/>
  <c r="BI190" i="4" s="1"/>
  <c r="EB189" i="4"/>
  <c r="EC189" i="4" s="1"/>
  <c r="DZ189" i="4"/>
  <c r="EA189" i="4" s="1"/>
  <c r="DX189" i="4"/>
  <c r="DY189" i="4" s="1"/>
  <c r="DV189" i="4"/>
  <c r="DW189" i="4" s="1"/>
  <c r="BL189" i="4"/>
  <c r="BM189" i="4" s="1"/>
  <c r="BJ189" i="4"/>
  <c r="BK189" i="4" s="1"/>
  <c r="BH189" i="4"/>
  <c r="BI189" i="4" s="1"/>
  <c r="EB188" i="4"/>
  <c r="EC188" i="4" s="1"/>
  <c r="DZ188" i="4"/>
  <c r="EA188" i="4" s="1"/>
  <c r="DX188" i="4"/>
  <c r="DY188" i="4" s="1"/>
  <c r="DV188" i="4"/>
  <c r="DW188" i="4" s="1"/>
  <c r="BL188" i="4"/>
  <c r="BM188" i="4" s="1"/>
  <c r="BJ188" i="4"/>
  <c r="BK188" i="4" s="1"/>
  <c r="BH188" i="4"/>
  <c r="BI188" i="4" s="1"/>
  <c r="EB187" i="4"/>
  <c r="EC187" i="4" s="1"/>
  <c r="DZ187" i="4"/>
  <c r="EA187" i="4" s="1"/>
  <c r="DX187" i="4"/>
  <c r="DY187" i="4" s="1"/>
  <c r="DV187" i="4"/>
  <c r="DW187" i="4" s="1"/>
  <c r="BL187" i="4"/>
  <c r="BM187" i="4" s="1"/>
  <c r="BJ187" i="4"/>
  <c r="BK187" i="4" s="1"/>
  <c r="BH187" i="4"/>
  <c r="BI187" i="4" s="1"/>
  <c r="EB186" i="4"/>
  <c r="EC186" i="4" s="1"/>
  <c r="DZ186" i="4"/>
  <c r="EA186" i="4" s="1"/>
  <c r="DX186" i="4"/>
  <c r="DY186" i="4" s="1"/>
  <c r="DV186" i="4"/>
  <c r="DW186" i="4" s="1"/>
  <c r="BL186" i="4"/>
  <c r="BM186" i="4" s="1"/>
  <c r="BJ186" i="4"/>
  <c r="BK186" i="4" s="1"/>
  <c r="BH186" i="4"/>
  <c r="BI186" i="4" s="1"/>
  <c r="EB185" i="4"/>
  <c r="EC185" i="4" s="1"/>
  <c r="DZ185" i="4"/>
  <c r="EA185" i="4" s="1"/>
  <c r="DX185" i="4"/>
  <c r="DY185" i="4" s="1"/>
  <c r="DV185" i="4"/>
  <c r="DW185" i="4" s="1"/>
  <c r="BL185" i="4"/>
  <c r="BM185" i="4" s="1"/>
  <c r="BJ185" i="4"/>
  <c r="BK185" i="4" s="1"/>
  <c r="BH185" i="4"/>
  <c r="BI185" i="4" s="1"/>
  <c r="EB184" i="4"/>
  <c r="EC184" i="4" s="1"/>
  <c r="DZ184" i="4"/>
  <c r="EA184" i="4" s="1"/>
  <c r="DX184" i="4"/>
  <c r="DY184" i="4" s="1"/>
  <c r="DV184" i="4"/>
  <c r="DW184" i="4" s="1"/>
  <c r="BL184" i="4"/>
  <c r="BM184" i="4" s="1"/>
  <c r="BJ184" i="4"/>
  <c r="BK184" i="4" s="1"/>
  <c r="BH184" i="4"/>
  <c r="BI184" i="4" s="1"/>
  <c r="EB183" i="4"/>
  <c r="EC183" i="4" s="1"/>
  <c r="DZ183" i="4"/>
  <c r="EA183" i="4" s="1"/>
  <c r="DX183" i="4"/>
  <c r="DY183" i="4" s="1"/>
  <c r="DV183" i="4"/>
  <c r="DW183" i="4" s="1"/>
  <c r="BL183" i="4"/>
  <c r="BM183" i="4" s="1"/>
  <c r="BJ183" i="4"/>
  <c r="BK183" i="4" s="1"/>
  <c r="BH183" i="4"/>
  <c r="BI183" i="4" s="1"/>
  <c r="EB182" i="4"/>
  <c r="EC182" i="4" s="1"/>
  <c r="DZ182" i="4"/>
  <c r="EA182" i="4" s="1"/>
  <c r="DX182" i="4"/>
  <c r="DY182" i="4" s="1"/>
  <c r="DV182" i="4"/>
  <c r="DW182" i="4" s="1"/>
  <c r="BL182" i="4"/>
  <c r="BM182" i="4" s="1"/>
  <c r="BJ182" i="4"/>
  <c r="BK182" i="4" s="1"/>
  <c r="BH182" i="4"/>
  <c r="BI182" i="4" s="1"/>
  <c r="EB181" i="4"/>
  <c r="EC181" i="4" s="1"/>
  <c r="DZ181" i="4"/>
  <c r="EA181" i="4" s="1"/>
  <c r="DX181" i="4"/>
  <c r="DY181" i="4" s="1"/>
  <c r="DV181" i="4"/>
  <c r="DW181" i="4" s="1"/>
  <c r="BL181" i="4"/>
  <c r="BM181" i="4" s="1"/>
  <c r="BJ181" i="4"/>
  <c r="BK181" i="4" s="1"/>
  <c r="BH181" i="4"/>
  <c r="BI181" i="4" s="1"/>
  <c r="EB180" i="4"/>
  <c r="EC180" i="4" s="1"/>
  <c r="DZ180" i="4"/>
  <c r="EA180" i="4" s="1"/>
  <c r="DX180" i="4"/>
  <c r="DY180" i="4" s="1"/>
  <c r="DV180" i="4"/>
  <c r="DW180" i="4" s="1"/>
  <c r="BL180" i="4"/>
  <c r="BM180" i="4" s="1"/>
  <c r="BJ180" i="4"/>
  <c r="BK180" i="4" s="1"/>
  <c r="BH180" i="4"/>
  <c r="BI180" i="4" s="1"/>
  <c r="EB179" i="4"/>
  <c r="EC179" i="4" s="1"/>
  <c r="DZ179" i="4"/>
  <c r="EA179" i="4" s="1"/>
  <c r="DX179" i="4"/>
  <c r="DY179" i="4" s="1"/>
  <c r="DV179" i="4"/>
  <c r="DW179" i="4" s="1"/>
  <c r="BL179" i="4"/>
  <c r="BM179" i="4" s="1"/>
  <c r="BJ179" i="4"/>
  <c r="BK179" i="4" s="1"/>
  <c r="BH179" i="4"/>
  <c r="BI179" i="4" s="1"/>
  <c r="EB178" i="4"/>
  <c r="EC178" i="4" s="1"/>
  <c r="DZ178" i="4"/>
  <c r="EA178" i="4" s="1"/>
  <c r="DX178" i="4"/>
  <c r="DY178" i="4" s="1"/>
  <c r="DV178" i="4"/>
  <c r="DW178" i="4" s="1"/>
  <c r="BL178" i="4"/>
  <c r="BM178" i="4" s="1"/>
  <c r="BJ178" i="4"/>
  <c r="BK178" i="4" s="1"/>
  <c r="BH178" i="4"/>
  <c r="BI178" i="4" s="1"/>
  <c r="EB177" i="4"/>
  <c r="EC177" i="4" s="1"/>
  <c r="DZ177" i="4"/>
  <c r="EA177" i="4" s="1"/>
  <c r="DX177" i="4"/>
  <c r="DY177" i="4" s="1"/>
  <c r="DV177" i="4"/>
  <c r="DW177" i="4" s="1"/>
  <c r="BL177" i="4"/>
  <c r="BM177" i="4" s="1"/>
  <c r="BJ177" i="4"/>
  <c r="BK177" i="4" s="1"/>
  <c r="BH177" i="4"/>
  <c r="BI177" i="4" s="1"/>
  <c r="EB176" i="4"/>
  <c r="EC176" i="4" s="1"/>
  <c r="DZ176" i="4"/>
  <c r="EA176" i="4" s="1"/>
  <c r="DX176" i="4"/>
  <c r="DY176" i="4" s="1"/>
  <c r="DV176" i="4"/>
  <c r="DW176" i="4" s="1"/>
  <c r="BL176" i="4"/>
  <c r="BM176" i="4" s="1"/>
  <c r="BJ176" i="4"/>
  <c r="BK176" i="4" s="1"/>
  <c r="BH176" i="4"/>
  <c r="BI176" i="4" s="1"/>
  <c r="EB175" i="4"/>
  <c r="EC175" i="4" s="1"/>
  <c r="DZ175" i="4"/>
  <c r="EA175" i="4" s="1"/>
  <c r="DX175" i="4"/>
  <c r="DY175" i="4" s="1"/>
  <c r="DV175" i="4"/>
  <c r="DW175" i="4" s="1"/>
  <c r="BL175" i="4"/>
  <c r="BM175" i="4" s="1"/>
  <c r="BJ175" i="4"/>
  <c r="BK175" i="4" s="1"/>
  <c r="BH175" i="4"/>
  <c r="BI175" i="4" s="1"/>
  <c r="EB174" i="4"/>
  <c r="EC174" i="4" s="1"/>
  <c r="DZ174" i="4"/>
  <c r="EA174" i="4" s="1"/>
  <c r="DX174" i="4"/>
  <c r="DY174" i="4" s="1"/>
  <c r="DV174" i="4"/>
  <c r="DW174" i="4" s="1"/>
  <c r="BL174" i="4"/>
  <c r="BM174" i="4" s="1"/>
  <c r="BJ174" i="4"/>
  <c r="BK174" i="4" s="1"/>
  <c r="BH174" i="4"/>
  <c r="BI174" i="4" s="1"/>
  <c r="EB173" i="4"/>
  <c r="EC173" i="4" s="1"/>
  <c r="DZ173" i="4"/>
  <c r="EA173" i="4" s="1"/>
  <c r="DX173" i="4"/>
  <c r="DY173" i="4" s="1"/>
  <c r="DV173" i="4"/>
  <c r="DW173" i="4" s="1"/>
  <c r="BL173" i="4"/>
  <c r="BM173" i="4" s="1"/>
  <c r="BJ173" i="4"/>
  <c r="BK173" i="4" s="1"/>
  <c r="BH173" i="4"/>
  <c r="BI173" i="4" s="1"/>
  <c r="EB172" i="4"/>
  <c r="EC172" i="4" s="1"/>
  <c r="DZ172" i="4"/>
  <c r="EA172" i="4" s="1"/>
  <c r="DX172" i="4"/>
  <c r="DY172" i="4" s="1"/>
  <c r="DV172" i="4"/>
  <c r="DW172" i="4" s="1"/>
  <c r="BL172" i="4"/>
  <c r="BM172" i="4" s="1"/>
  <c r="BJ172" i="4"/>
  <c r="BK172" i="4" s="1"/>
  <c r="BH172" i="4"/>
  <c r="BI172" i="4" s="1"/>
  <c r="EB171" i="4"/>
  <c r="EC171" i="4" s="1"/>
  <c r="DZ171" i="4"/>
  <c r="EA171" i="4" s="1"/>
  <c r="DX171" i="4"/>
  <c r="DY171" i="4" s="1"/>
  <c r="DV171" i="4"/>
  <c r="DW171" i="4" s="1"/>
  <c r="BL171" i="4"/>
  <c r="BM171" i="4" s="1"/>
  <c r="BJ171" i="4"/>
  <c r="BK171" i="4" s="1"/>
  <c r="BH171" i="4"/>
  <c r="BI171" i="4" s="1"/>
  <c r="EB170" i="4"/>
  <c r="EC170" i="4" s="1"/>
  <c r="DZ170" i="4"/>
  <c r="EA170" i="4" s="1"/>
  <c r="DX170" i="4"/>
  <c r="DY170" i="4" s="1"/>
  <c r="DV170" i="4"/>
  <c r="DW170" i="4" s="1"/>
  <c r="BL170" i="4"/>
  <c r="BM170" i="4" s="1"/>
  <c r="BJ170" i="4"/>
  <c r="BK170" i="4" s="1"/>
  <c r="BH170" i="4"/>
  <c r="BI170" i="4" s="1"/>
  <c r="EB169" i="4"/>
  <c r="EC169" i="4" s="1"/>
  <c r="DZ169" i="4"/>
  <c r="EA169" i="4" s="1"/>
  <c r="DX169" i="4"/>
  <c r="DY169" i="4" s="1"/>
  <c r="DV169" i="4"/>
  <c r="DW169" i="4" s="1"/>
  <c r="BL169" i="4"/>
  <c r="BM169" i="4" s="1"/>
  <c r="BJ169" i="4"/>
  <c r="BK169" i="4" s="1"/>
  <c r="BH169" i="4"/>
  <c r="BI169" i="4" s="1"/>
  <c r="EB168" i="4"/>
  <c r="EC168" i="4" s="1"/>
  <c r="DZ168" i="4"/>
  <c r="EA168" i="4" s="1"/>
  <c r="DX168" i="4"/>
  <c r="DY168" i="4" s="1"/>
  <c r="DV168" i="4"/>
  <c r="DW168" i="4" s="1"/>
  <c r="BL168" i="4"/>
  <c r="BM168" i="4" s="1"/>
  <c r="BJ168" i="4"/>
  <c r="BK168" i="4" s="1"/>
  <c r="BH168" i="4"/>
  <c r="BI168" i="4" s="1"/>
  <c r="EB167" i="4"/>
  <c r="EC167" i="4" s="1"/>
  <c r="DZ167" i="4"/>
  <c r="EA167" i="4" s="1"/>
  <c r="DX167" i="4"/>
  <c r="DY167" i="4" s="1"/>
  <c r="DV167" i="4"/>
  <c r="DW167" i="4" s="1"/>
  <c r="BL167" i="4"/>
  <c r="BM167" i="4" s="1"/>
  <c r="BJ167" i="4"/>
  <c r="BK167" i="4" s="1"/>
  <c r="BH167" i="4"/>
  <c r="BI167" i="4" s="1"/>
  <c r="EB166" i="4"/>
  <c r="EC166" i="4" s="1"/>
  <c r="DZ166" i="4"/>
  <c r="EA166" i="4" s="1"/>
  <c r="DX166" i="4"/>
  <c r="DY166" i="4" s="1"/>
  <c r="DV166" i="4"/>
  <c r="DW166" i="4" s="1"/>
  <c r="BL166" i="4"/>
  <c r="BM166" i="4" s="1"/>
  <c r="BJ166" i="4"/>
  <c r="BK166" i="4" s="1"/>
  <c r="BH166" i="4"/>
  <c r="BI166" i="4" s="1"/>
  <c r="EB165" i="4"/>
  <c r="EC165" i="4" s="1"/>
  <c r="DZ165" i="4"/>
  <c r="EA165" i="4" s="1"/>
  <c r="DX165" i="4"/>
  <c r="DY165" i="4" s="1"/>
  <c r="DV165" i="4"/>
  <c r="DW165" i="4" s="1"/>
  <c r="BL165" i="4"/>
  <c r="BM165" i="4" s="1"/>
  <c r="BJ165" i="4"/>
  <c r="BK165" i="4" s="1"/>
  <c r="BH165" i="4"/>
  <c r="BI165" i="4" s="1"/>
  <c r="EB164" i="4"/>
  <c r="EC164" i="4" s="1"/>
  <c r="DZ164" i="4"/>
  <c r="EA164" i="4" s="1"/>
  <c r="DX164" i="4"/>
  <c r="DY164" i="4" s="1"/>
  <c r="DV164" i="4"/>
  <c r="DW164" i="4" s="1"/>
  <c r="BL164" i="4"/>
  <c r="BM164" i="4" s="1"/>
  <c r="BJ164" i="4"/>
  <c r="BK164" i="4" s="1"/>
  <c r="BH164" i="4"/>
  <c r="BI164" i="4" s="1"/>
  <c r="EB163" i="4"/>
  <c r="EC163" i="4" s="1"/>
  <c r="DZ163" i="4"/>
  <c r="EA163" i="4" s="1"/>
  <c r="DX163" i="4"/>
  <c r="DY163" i="4" s="1"/>
  <c r="DV163" i="4"/>
  <c r="DW163" i="4" s="1"/>
  <c r="BL163" i="4"/>
  <c r="BM163" i="4" s="1"/>
  <c r="BJ163" i="4"/>
  <c r="BK163" i="4" s="1"/>
  <c r="BH163" i="4"/>
  <c r="BI163" i="4" s="1"/>
  <c r="EB162" i="4"/>
  <c r="EC162" i="4" s="1"/>
  <c r="DZ162" i="4"/>
  <c r="EA162" i="4" s="1"/>
  <c r="DX162" i="4"/>
  <c r="DY162" i="4" s="1"/>
  <c r="DV162" i="4"/>
  <c r="DW162" i="4" s="1"/>
  <c r="BL162" i="4"/>
  <c r="BM162" i="4" s="1"/>
  <c r="BJ162" i="4"/>
  <c r="BK162" i="4" s="1"/>
  <c r="BH162" i="4"/>
  <c r="BI162" i="4" s="1"/>
  <c r="EB161" i="4"/>
  <c r="EC161" i="4" s="1"/>
  <c r="DZ161" i="4"/>
  <c r="EA161" i="4" s="1"/>
  <c r="DX161" i="4"/>
  <c r="DY161" i="4" s="1"/>
  <c r="DV161" i="4"/>
  <c r="DW161" i="4" s="1"/>
  <c r="BL161" i="4"/>
  <c r="BM161" i="4" s="1"/>
  <c r="BJ161" i="4"/>
  <c r="BK161" i="4" s="1"/>
  <c r="BH161" i="4"/>
  <c r="BI161" i="4" s="1"/>
  <c r="EB160" i="4"/>
  <c r="EC160" i="4" s="1"/>
  <c r="DZ160" i="4"/>
  <c r="EA160" i="4" s="1"/>
  <c r="DX160" i="4"/>
  <c r="DY160" i="4" s="1"/>
  <c r="DV160" i="4"/>
  <c r="DW160" i="4" s="1"/>
  <c r="BL160" i="4"/>
  <c r="BM160" i="4" s="1"/>
  <c r="BJ160" i="4"/>
  <c r="BK160" i="4" s="1"/>
  <c r="BH160" i="4"/>
  <c r="BI160" i="4" s="1"/>
  <c r="EB159" i="4"/>
  <c r="EC159" i="4" s="1"/>
  <c r="DZ159" i="4"/>
  <c r="EA159" i="4" s="1"/>
  <c r="DX159" i="4"/>
  <c r="DY159" i="4" s="1"/>
  <c r="DV159" i="4"/>
  <c r="DW159" i="4" s="1"/>
  <c r="BL159" i="4"/>
  <c r="BM159" i="4" s="1"/>
  <c r="BJ159" i="4"/>
  <c r="BK159" i="4" s="1"/>
  <c r="BH159" i="4"/>
  <c r="BI159" i="4" s="1"/>
  <c r="DS158" i="4"/>
  <c r="DN158" i="4"/>
  <c r="DI158" i="4"/>
  <c r="DD158" i="4"/>
  <c r="CY158" i="4"/>
  <c r="CT158" i="4"/>
  <c r="CO158" i="4"/>
  <c r="CJ158" i="4"/>
  <c r="CE158" i="4"/>
  <c r="BZ158" i="4"/>
  <c r="AW158" i="4"/>
  <c r="AS158" i="4"/>
  <c r="AO158" i="4"/>
  <c r="AK158" i="4"/>
  <c r="AG158" i="4"/>
  <c r="AC158" i="4"/>
  <c r="Y158" i="4"/>
  <c r="U158" i="4"/>
  <c r="Q158" i="4"/>
  <c r="M158" i="4"/>
  <c r="DS157" i="4"/>
  <c r="DN157" i="4"/>
  <c r="DI157" i="4"/>
  <c r="DD157" i="4"/>
  <c r="CY157" i="4"/>
  <c r="CT157" i="4"/>
  <c r="CO157" i="4"/>
  <c r="CJ157" i="4"/>
  <c r="CE157" i="4"/>
  <c r="BZ157" i="4"/>
  <c r="AW157" i="4"/>
  <c r="AS157" i="4"/>
  <c r="AO157" i="4"/>
  <c r="AK157" i="4"/>
  <c r="AG157" i="4"/>
  <c r="AC157" i="4"/>
  <c r="Y157" i="4"/>
  <c r="U157" i="4"/>
  <c r="Q157" i="4"/>
  <c r="M157" i="4"/>
  <c r="DS156" i="4"/>
  <c r="DN156" i="4"/>
  <c r="DI156" i="4"/>
  <c r="DD156" i="4"/>
  <c r="CY156" i="4"/>
  <c r="CT156" i="4"/>
  <c r="CO156" i="4"/>
  <c r="CJ156" i="4"/>
  <c r="CE156" i="4"/>
  <c r="BZ156" i="4"/>
  <c r="AW156" i="4"/>
  <c r="AS156" i="4"/>
  <c r="AO156" i="4"/>
  <c r="AK156" i="4"/>
  <c r="AG156" i="4"/>
  <c r="AC156" i="4"/>
  <c r="Y156" i="4"/>
  <c r="U156" i="4"/>
  <c r="Q156" i="4"/>
  <c r="M156" i="4"/>
  <c r="DS155" i="4"/>
  <c r="DN155" i="4"/>
  <c r="DI155" i="4"/>
  <c r="DD155" i="4"/>
  <c r="CY155" i="4"/>
  <c r="CT155" i="4"/>
  <c r="CO155" i="4"/>
  <c r="CJ155" i="4"/>
  <c r="CE155" i="4"/>
  <c r="BZ155" i="4"/>
  <c r="AW155" i="4"/>
  <c r="AS155" i="4"/>
  <c r="AO155" i="4"/>
  <c r="AK155" i="4"/>
  <c r="AG155" i="4"/>
  <c r="AC155" i="4"/>
  <c r="Y155" i="4"/>
  <c r="U155" i="4"/>
  <c r="Q155" i="4"/>
  <c r="M155" i="4"/>
  <c r="DS154" i="4"/>
  <c r="DN154" i="4"/>
  <c r="DI154" i="4"/>
  <c r="DD154" i="4"/>
  <c r="CY154" i="4"/>
  <c r="CT154" i="4"/>
  <c r="CO154" i="4"/>
  <c r="CJ154" i="4"/>
  <c r="CE154" i="4"/>
  <c r="BZ154" i="4"/>
  <c r="AW154" i="4"/>
  <c r="AS154" i="4"/>
  <c r="AO154" i="4"/>
  <c r="AK154" i="4"/>
  <c r="AG154" i="4"/>
  <c r="AC154" i="4"/>
  <c r="Y154" i="4"/>
  <c r="U154" i="4"/>
  <c r="Q154" i="4"/>
  <c r="M154" i="4"/>
  <c r="DS153" i="4"/>
  <c r="DN153" i="4"/>
  <c r="DI153" i="4"/>
  <c r="DD153" i="4"/>
  <c r="CY153" i="4"/>
  <c r="CT153" i="4"/>
  <c r="CO153" i="4"/>
  <c r="CJ153" i="4"/>
  <c r="CE153" i="4"/>
  <c r="BZ153" i="4"/>
  <c r="AW153" i="4"/>
  <c r="AS153" i="4"/>
  <c r="AO153" i="4"/>
  <c r="AK153" i="4"/>
  <c r="AG153" i="4"/>
  <c r="AC153" i="4"/>
  <c r="Y153" i="4"/>
  <c r="U153" i="4"/>
  <c r="Q153" i="4"/>
  <c r="M153" i="4"/>
  <c r="DS152" i="4"/>
  <c r="DN152" i="4"/>
  <c r="DI152" i="4"/>
  <c r="DD152" i="4"/>
  <c r="CY152" i="4"/>
  <c r="CT152" i="4"/>
  <c r="CO152" i="4"/>
  <c r="CJ152" i="4"/>
  <c r="CE152" i="4"/>
  <c r="BZ152" i="4"/>
  <c r="AW152" i="4"/>
  <c r="AS152" i="4"/>
  <c r="AO152" i="4"/>
  <c r="AK152" i="4"/>
  <c r="AG152" i="4"/>
  <c r="AC152" i="4"/>
  <c r="Y152" i="4"/>
  <c r="U152" i="4"/>
  <c r="Q152" i="4"/>
  <c r="M152" i="4"/>
  <c r="DS151" i="4"/>
  <c r="DN151" i="4"/>
  <c r="DI151" i="4"/>
  <c r="DD151" i="4"/>
  <c r="CY151" i="4"/>
  <c r="CT151" i="4"/>
  <c r="CO151" i="4"/>
  <c r="CJ151" i="4"/>
  <c r="CE151" i="4"/>
  <c r="BZ151" i="4"/>
  <c r="AW151" i="4"/>
  <c r="AS151" i="4"/>
  <c r="AO151" i="4"/>
  <c r="AK151" i="4"/>
  <c r="AG151" i="4"/>
  <c r="AC151" i="4"/>
  <c r="Y151" i="4"/>
  <c r="U151" i="4"/>
  <c r="Q151" i="4"/>
  <c r="M151" i="4"/>
  <c r="DS150" i="4"/>
  <c r="DN150" i="4"/>
  <c r="DI150" i="4"/>
  <c r="DD150" i="4"/>
  <c r="CY150" i="4"/>
  <c r="CT150" i="4"/>
  <c r="CO150" i="4"/>
  <c r="CJ150" i="4"/>
  <c r="CE150" i="4"/>
  <c r="BZ150" i="4"/>
  <c r="AW150" i="4"/>
  <c r="AS150" i="4"/>
  <c r="AO150" i="4"/>
  <c r="AK150" i="4"/>
  <c r="AG150" i="4"/>
  <c r="AC150" i="4"/>
  <c r="Y150" i="4"/>
  <c r="U150" i="4"/>
  <c r="Q150" i="4"/>
  <c r="M150" i="4"/>
  <c r="DS149" i="4"/>
  <c r="DN149" i="4"/>
  <c r="DI149" i="4"/>
  <c r="DD149" i="4"/>
  <c r="CY149" i="4"/>
  <c r="CT149" i="4"/>
  <c r="CO149" i="4"/>
  <c r="CJ149" i="4"/>
  <c r="CE149" i="4"/>
  <c r="BZ149" i="4"/>
  <c r="AW149" i="4"/>
  <c r="AS149" i="4"/>
  <c r="AO149" i="4"/>
  <c r="AK149" i="4"/>
  <c r="AG149" i="4"/>
  <c r="AC149" i="4"/>
  <c r="Y149" i="4"/>
  <c r="U149" i="4"/>
  <c r="Q149" i="4"/>
  <c r="M149" i="4"/>
  <c r="DS148" i="4"/>
  <c r="DN148" i="4"/>
  <c r="DI148" i="4"/>
  <c r="DD148" i="4"/>
  <c r="CY148" i="4"/>
  <c r="CT148" i="4"/>
  <c r="CO148" i="4"/>
  <c r="CJ148" i="4"/>
  <c r="CE148" i="4"/>
  <c r="BZ148" i="4"/>
  <c r="AW148" i="4"/>
  <c r="AS148" i="4"/>
  <c r="AO148" i="4"/>
  <c r="AK148" i="4"/>
  <c r="AG148" i="4"/>
  <c r="AC148" i="4"/>
  <c r="Y148" i="4"/>
  <c r="U148" i="4"/>
  <c r="Q148" i="4"/>
  <c r="M148" i="4"/>
  <c r="EB147" i="4"/>
  <c r="EC147" i="4" s="1"/>
  <c r="DZ147" i="4"/>
  <c r="EA147" i="4" s="1"/>
  <c r="DX147" i="4"/>
  <c r="DY147" i="4" s="1"/>
  <c r="DV147" i="4"/>
  <c r="DW147" i="4" s="1"/>
  <c r="BL147" i="4"/>
  <c r="BM147" i="4" s="1"/>
  <c r="BJ147" i="4"/>
  <c r="BK147" i="4" s="1"/>
  <c r="BH147" i="4"/>
  <c r="BI147" i="4" s="1"/>
  <c r="EB146" i="4"/>
  <c r="EC146" i="4" s="1"/>
  <c r="DZ146" i="4"/>
  <c r="EA146" i="4" s="1"/>
  <c r="DX146" i="4"/>
  <c r="DY146" i="4" s="1"/>
  <c r="DV146" i="4"/>
  <c r="DW146" i="4" s="1"/>
  <c r="BL146" i="4"/>
  <c r="BM146" i="4" s="1"/>
  <c r="BJ146" i="4"/>
  <c r="BK146" i="4" s="1"/>
  <c r="BH146" i="4"/>
  <c r="BI146" i="4" s="1"/>
  <c r="EB145" i="4"/>
  <c r="EC145" i="4" s="1"/>
  <c r="DZ145" i="4"/>
  <c r="EA145" i="4" s="1"/>
  <c r="DX145" i="4"/>
  <c r="DY145" i="4" s="1"/>
  <c r="DV145" i="4"/>
  <c r="DW145" i="4" s="1"/>
  <c r="AW145" i="4"/>
  <c r="BH145" i="4" s="1"/>
  <c r="BI145" i="4" s="1"/>
  <c r="EB144" i="4"/>
  <c r="EC144" i="4" s="1"/>
  <c r="DZ144" i="4"/>
  <c r="EA144" i="4" s="1"/>
  <c r="DX144" i="4"/>
  <c r="DY144" i="4" s="1"/>
  <c r="DV144" i="4"/>
  <c r="DW144" i="4" s="1"/>
  <c r="AW144" i="4"/>
  <c r="BJ144" i="4" s="1"/>
  <c r="BK144" i="4" s="1"/>
  <c r="EB143" i="4"/>
  <c r="EC143" i="4" s="1"/>
  <c r="DZ143" i="4"/>
  <c r="EA143" i="4" s="1"/>
  <c r="DX143" i="4"/>
  <c r="DY143" i="4" s="1"/>
  <c r="DV143" i="4"/>
  <c r="DW143" i="4" s="1"/>
  <c r="AW143" i="4"/>
  <c r="BJ143" i="4" s="1"/>
  <c r="BK143" i="4" s="1"/>
  <c r="EB142" i="4"/>
  <c r="EC142" i="4" s="1"/>
  <c r="DZ142" i="4"/>
  <c r="EA142" i="4" s="1"/>
  <c r="DX142" i="4"/>
  <c r="DY142" i="4" s="1"/>
  <c r="DV142" i="4"/>
  <c r="DW142" i="4" s="1"/>
  <c r="AW142" i="4"/>
  <c r="BL142" i="4" s="1"/>
  <c r="BM142" i="4" s="1"/>
  <c r="EB141" i="4"/>
  <c r="EC141" i="4" s="1"/>
  <c r="DZ141" i="4"/>
  <c r="EA141" i="4" s="1"/>
  <c r="DX141" i="4"/>
  <c r="DY141" i="4" s="1"/>
  <c r="DV141" i="4"/>
  <c r="DW141" i="4" s="1"/>
  <c r="AW141" i="4"/>
  <c r="BL141" i="4" s="1"/>
  <c r="BM141" i="4" s="1"/>
  <c r="EB140" i="4"/>
  <c r="EC140" i="4" s="1"/>
  <c r="DZ140" i="4"/>
  <c r="EA140" i="4" s="1"/>
  <c r="DX140" i="4"/>
  <c r="DY140" i="4" s="1"/>
  <c r="DV140" i="4"/>
  <c r="DW140" i="4" s="1"/>
  <c r="AW140" i="4"/>
  <c r="BJ140" i="4" s="1"/>
  <c r="BK140" i="4" s="1"/>
  <c r="EB139" i="4"/>
  <c r="EC139" i="4" s="1"/>
  <c r="DZ139" i="4"/>
  <c r="EA139" i="4" s="1"/>
  <c r="DX139" i="4"/>
  <c r="DY139" i="4" s="1"/>
  <c r="DV139" i="4"/>
  <c r="DW139" i="4" s="1"/>
  <c r="AW139" i="4"/>
  <c r="BJ139" i="4" s="1"/>
  <c r="BK139" i="4" s="1"/>
  <c r="EB138" i="4"/>
  <c r="EC138" i="4" s="1"/>
  <c r="DZ138" i="4"/>
  <c r="EA138" i="4" s="1"/>
  <c r="DX138" i="4"/>
  <c r="DY138" i="4" s="1"/>
  <c r="DV138" i="4"/>
  <c r="DW138" i="4" s="1"/>
  <c r="AW138" i="4"/>
  <c r="BL138" i="4" s="1"/>
  <c r="BM138" i="4" s="1"/>
  <c r="EB137" i="4"/>
  <c r="EC137" i="4" s="1"/>
  <c r="DZ137" i="4"/>
  <c r="EA137" i="4" s="1"/>
  <c r="DX137" i="4"/>
  <c r="DY137" i="4" s="1"/>
  <c r="DV137" i="4"/>
  <c r="DW137" i="4" s="1"/>
  <c r="AW137" i="4"/>
  <c r="BL137" i="4" s="1"/>
  <c r="BM137" i="4" s="1"/>
  <c r="EB136" i="4"/>
  <c r="EC136" i="4" s="1"/>
  <c r="DZ136" i="4"/>
  <c r="EA136" i="4" s="1"/>
  <c r="DX136" i="4"/>
  <c r="DY136" i="4" s="1"/>
  <c r="DV136" i="4"/>
  <c r="DW136" i="4" s="1"/>
  <c r="BL136" i="4"/>
  <c r="BM136" i="4" s="1"/>
  <c r="BJ136" i="4"/>
  <c r="BK136" i="4" s="1"/>
  <c r="BH136" i="4"/>
  <c r="BI136" i="4" s="1"/>
  <c r="EB135" i="4"/>
  <c r="EC135" i="4" s="1"/>
  <c r="DZ135" i="4"/>
  <c r="EA135" i="4" s="1"/>
  <c r="DX135" i="4"/>
  <c r="DY135" i="4" s="1"/>
  <c r="DV135" i="4"/>
  <c r="DW135" i="4" s="1"/>
  <c r="BL135" i="4"/>
  <c r="BM135" i="4" s="1"/>
  <c r="BJ135" i="4"/>
  <c r="BK135" i="4" s="1"/>
  <c r="BH135" i="4"/>
  <c r="BI135" i="4" s="1"/>
  <c r="EB134" i="4"/>
  <c r="EC134" i="4" s="1"/>
  <c r="DZ134" i="4"/>
  <c r="EA134" i="4" s="1"/>
  <c r="DX134" i="4"/>
  <c r="DY134" i="4" s="1"/>
  <c r="DV134" i="4"/>
  <c r="DW134" i="4" s="1"/>
  <c r="BL134" i="4"/>
  <c r="BM134" i="4" s="1"/>
  <c r="BJ134" i="4"/>
  <c r="BK134" i="4" s="1"/>
  <c r="BH134" i="4"/>
  <c r="BI134" i="4" s="1"/>
  <c r="DS133" i="4"/>
  <c r="DN133" i="4"/>
  <c r="DI133" i="4"/>
  <c r="DD133" i="4"/>
  <c r="CY133" i="4"/>
  <c r="CT133" i="4"/>
  <c r="CO133" i="4"/>
  <c r="CJ133" i="4"/>
  <c r="CE133" i="4"/>
  <c r="BZ133" i="4"/>
  <c r="BU133" i="4"/>
  <c r="BP133" i="4"/>
  <c r="BE133" i="4"/>
  <c r="BA133" i="4"/>
  <c r="AW133" i="4"/>
  <c r="AS133" i="4"/>
  <c r="AO133" i="4"/>
  <c r="AK133" i="4"/>
  <c r="AG133" i="4"/>
  <c r="AC133" i="4"/>
  <c r="Y133" i="4"/>
  <c r="U133" i="4"/>
  <c r="DS132" i="4"/>
  <c r="DN132" i="4"/>
  <c r="DI132" i="4"/>
  <c r="DD132" i="4"/>
  <c r="CY132" i="4"/>
  <c r="CT132" i="4"/>
  <c r="CO132" i="4"/>
  <c r="CJ132" i="4"/>
  <c r="CE132" i="4"/>
  <c r="BZ132" i="4"/>
  <c r="BU132" i="4"/>
  <c r="BP132" i="4"/>
  <c r="BE132" i="4"/>
  <c r="BA132" i="4"/>
  <c r="AW132" i="4"/>
  <c r="AS132" i="4"/>
  <c r="AO132" i="4"/>
  <c r="AK132" i="4"/>
  <c r="AG132" i="4"/>
  <c r="AC132" i="4"/>
  <c r="Y132" i="4"/>
  <c r="U132" i="4"/>
  <c r="DS131" i="4"/>
  <c r="DN131" i="4"/>
  <c r="DI131" i="4"/>
  <c r="DD131" i="4"/>
  <c r="CY131" i="4"/>
  <c r="CT131" i="4"/>
  <c r="CO131" i="4"/>
  <c r="CJ131" i="4"/>
  <c r="CE131" i="4"/>
  <c r="BZ131" i="4"/>
  <c r="BU131" i="4"/>
  <c r="BP131" i="4"/>
  <c r="BE131" i="4"/>
  <c r="BA131" i="4"/>
  <c r="AW131" i="4"/>
  <c r="AS131" i="4"/>
  <c r="AO131" i="4"/>
  <c r="AK131" i="4"/>
  <c r="AG131" i="4"/>
  <c r="AC131" i="4"/>
  <c r="Y131" i="4"/>
  <c r="U131" i="4"/>
  <c r="DS130" i="4"/>
  <c r="DN130" i="4"/>
  <c r="DI130" i="4"/>
  <c r="DD130" i="4"/>
  <c r="CY130" i="4"/>
  <c r="CT130" i="4"/>
  <c r="CO130" i="4"/>
  <c r="CJ130" i="4"/>
  <c r="CE130" i="4"/>
  <c r="BZ130" i="4"/>
  <c r="BU130" i="4"/>
  <c r="BP130" i="4"/>
  <c r="BE130" i="4"/>
  <c r="BA130" i="4"/>
  <c r="AW130" i="4"/>
  <c r="AS130" i="4"/>
  <c r="AO130" i="4"/>
  <c r="AK130" i="4"/>
  <c r="AG130" i="4"/>
  <c r="AC130" i="4"/>
  <c r="Y130" i="4"/>
  <c r="U130" i="4"/>
  <c r="DS129" i="4"/>
  <c r="DN129" i="4"/>
  <c r="DI129" i="4"/>
  <c r="DD129" i="4"/>
  <c r="CY129" i="4"/>
  <c r="CT129" i="4"/>
  <c r="CO129" i="4"/>
  <c r="CJ129" i="4"/>
  <c r="CE129" i="4"/>
  <c r="BZ129" i="4"/>
  <c r="BU129" i="4"/>
  <c r="BP129" i="4"/>
  <c r="BE129" i="4"/>
  <c r="BA129" i="4"/>
  <c r="AW129" i="4"/>
  <c r="AS129" i="4"/>
  <c r="AO129" i="4"/>
  <c r="AK129" i="4"/>
  <c r="AG129" i="4"/>
  <c r="AC129" i="4"/>
  <c r="Y129" i="4"/>
  <c r="U129" i="4"/>
  <c r="DS128" i="4"/>
  <c r="DN128" i="4"/>
  <c r="DI128" i="4"/>
  <c r="DD128" i="4"/>
  <c r="CY128" i="4"/>
  <c r="CT128" i="4"/>
  <c r="CO128" i="4"/>
  <c r="CJ128" i="4"/>
  <c r="CE128" i="4"/>
  <c r="BZ128" i="4"/>
  <c r="BU128" i="4"/>
  <c r="BP128" i="4"/>
  <c r="BE128" i="4"/>
  <c r="BA128" i="4"/>
  <c r="AW128" i="4"/>
  <c r="AS128" i="4"/>
  <c r="AO128" i="4"/>
  <c r="AK128" i="4"/>
  <c r="AG128" i="4"/>
  <c r="AC128" i="4"/>
  <c r="Y128" i="4"/>
  <c r="U128" i="4"/>
  <c r="DS127" i="4"/>
  <c r="DN127" i="4"/>
  <c r="DI127" i="4"/>
  <c r="DD127" i="4"/>
  <c r="CY127" i="4"/>
  <c r="CT127" i="4"/>
  <c r="CO127" i="4"/>
  <c r="CJ127" i="4"/>
  <c r="CE127" i="4"/>
  <c r="BZ127" i="4"/>
  <c r="BU127" i="4"/>
  <c r="BP127" i="4"/>
  <c r="BE127" i="4"/>
  <c r="BA127" i="4"/>
  <c r="AW127" i="4"/>
  <c r="AS127" i="4"/>
  <c r="AO127" i="4"/>
  <c r="AK127" i="4"/>
  <c r="AG127" i="4"/>
  <c r="AC127" i="4"/>
  <c r="Y127" i="4"/>
  <c r="U127" i="4"/>
  <c r="DS126" i="4"/>
  <c r="DN126" i="4"/>
  <c r="DI126" i="4"/>
  <c r="DD126" i="4"/>
  <c r="CY126" i="4"/>
  <c r="CT126" i="4"/>
  <c r="CO126" i="4"/>
  <c r="CJ126" i="4"/>
  <c r="CE126" i="4"/>
  <c r="BZ126" i="4"/>
  <c r="BU126" i="4"/>
  <c r="BP126" i="4"/>
  <c r="BE126" i="4"/>
  <c r="BA126" i="4"/>
  <c r="AW126" i="4"/>
  <c r="AS126" i="4"/>
  <c r="AO126" i="4"/>
  <c r="AK126" i="4"/>
  <c r="AG126" i="4"/>
  <c r="AC126" i="4"/>
  <c r="Y126" i="4"/>
  <c r="U126" i="4"/>
  <c r="DS125" i="4"/>
  <c r="DN125" i="4"/>
  <c r="DI125" i="4"/>
  <c r="DD125" i="4"/>
  <c r="CY125" i="4"/>
  <c r="CT125" i="4"/>
  <c r="CO125" i="4"/>
  <c r="CJ125" i="4"/>
  <c r="CE125" i="4"/>
  <c r="BZ125" i="4"/>
  <c r="BU125" i="4"/>
  <c r="BP125" i="4"/>
  <c r="BE125" i="4"/>
  <c r="BA125" i="4"/>
  <c r="AW125" i="4"/>
  <c r="AS125" i="4"/>
  <c r="AO125" i="4"/>
  <c r="AK125" i="4"/>
  <c r="AG125" i="4"/>
  <c r="AC125" i="4"/>
  <c r="Y125" i="4"/>
  <c r="U125" i="4"/>
  <c r="EB124" i="4"/>
  <c r="EC124" i="4" s="1"/>
  <c r="DZ124" i="4"/>
  <c r="EA124" i="4" s="1"/>
  <c r="DX124" i="4"/>
  <c r="DY124" i="4" s="1"/>
  <c r="DV124" i="4"/>
  <c r="DW124" i="4" s="1"/>
  <c r="BL124" i="4"/>
  <c r="BM124" i="4" s="1"/>
  <c r="BJ124" i="4"/>
  <c r="BK124" i="4" s="1"/>
  <c r="BH124" i="4"/>
  <c r="BI124" i="4" s="1"/>
  <c r="EB123" i="4"/>
  <c r="EC123" i="4" s="1"/>
  <c r="DZ123" i="4"/>
  <c r="EA123" i="4" s="1"/>
  <c r="DX123" i="4"/>
  <c r="DY123" i="4" s="1"/>
  <c r="DV123" i="4"/>
  <c r="DW123" i="4" s="1"/>
  <c r="BL123" i="4"/>
  <c r="BM123" i="4" s="1"/>
  <c r="BJ123" i="4"/>
  <c r="BK123" i="4" s="1"/>
  <c r="BH123" i="4"/>
  <c r="BI123" i="4" s="1"/>
  <c r="EB122" i="4"/>
  <c r="EC122" i="4" s="1"/>
  <c r="DZ122" i="4"/>
  <c r="EA122" i="4" s="1"/>
  <c r="DX122" i="4"/>
  <c r="DY122" i="4" s="1"/>
  <c r="DV122" i="4"/>
  <c r="DW122" i="4" s="1"/>
  <c r="Q122" i="4"/>
  <c r="BL122" i="4" s="1"/>
  <c r="BM122" i="4" s="1"/>
  <c r="EB121" i="4"/>
  <c r="EC121" i="4" s="1"/>
  <c r="DZ121" i="4"/>
  <c r="EA121" i="4" s="1"/>
  <c r="DX121" i="4"/>
  <c r="DY121" i="4" s="1"/>
  <c r="DV121" i="4"/>
  <c r="DW121" i="4" s="1"/>
  <c r="Q121" i="4"/>
  <c r="BL121" i="4" s="1"/>
  <c r="BM121" i="4" s="1"/>
  <c r="EB120" i="4"/>
  <c r="EC120" i="4" s="1"/>
  <c r="DZ120" i="4"/>
  <c r="EA120" i="4" s="1"/>
  <c r="DX120" i="4"/>
  <c r="DY120" i="4" s="1"/>
  <c r="DV120" i="4"/>
  <c r="DW120" i="4" s="1"/>
  <c r="Q120" i="4"/>
  <c r="BJ120" i="4" s="1"/>
  <c r="BK120" i="4" s="1"/>
  <c r="EB119" i="4"/>
  <c r="EC119" i="4" s="1"/>
  <c r="DZ119" i="4"/>
  <c r="EA119" i="4" s="1"/>
  <c r="DX119" i="4"/>
  <c r="DY119" i="4" s="1"/>
  <c r="DV119" i="4"/>
  <c r="DW119" i="4" s="1"/>
  <c r="Q119" i="4"/>
  <c r="BJ119" i="4" s="1"/>
  <c r="BK119" i="4" s="1"/>
  <c r="EB118" i="4"/>
  <c r="EC118" i="4" s="1"/>
  <c r="DZ118" i="4"/>
  <c r="EA118" i="4" s="1"/>
  <c r="DX118" i="4"/>
  <c r="DY118" i="4" s="1"/>
  <c r="DV118" i="4"/>
  <c r="DW118" i="4" s="1"/>
  <c r="Q118" i="4"/>
  <c r="BL118" i="4" s="1"/>
  <c r="BM118" i="4" s="1"/>
  <c r="EB117" i="4"/>
  <c r="EC117" i="4" s="1"/>
  <c r="DZ117" i="4"/>
  <c r="EA117" i="4" s="1"/>
  <c r="DX117" i="4"/>
  <c r="DY117" i="4" s="1"/>
  <c r="DV117" i="4"/>
  <c r="DW117" i="4" s="1"/>
  <c r="Q117" i="4"/>
  <c r="BL117" i="4" s="1"/>
  <c r="BM117" i="4" s="1"/>
  <c r="EB116" i="4"/>
  <c r="EC116" i="4" s="1"/>
  <c r="DZ116" i="4"/>
  <c r="EA116" i="4" s="1"/>
  <c r="DX116" i="4"/>
  <c r="DY116" i="4" s="1"/>
  <c r="DV116" i="4"/>
  <c r="DW116" i="4" s="1"/>
  <c r="Q116" i="4"/>
  <c r="BL116" i="4" s="1"/>
  <c r="BM116" i="4" s="1"/>
  <c r="EB115" i="4"/>
  <c r="EC115" i="4" s="1"/>
  <c r="DZ115" i="4"/>
  <c r="EA115" i="4" s="1"/>
  <c r="DX115" i="4"/>
  <c r="DY115" i="4" s="1"/>
  <c r="DV115" i="4"/>
  <c r="DW115" i="4" s="1"/>
  <c r="Q115" i="4"/>
  <c r="BJ115" i="4" s="1"/>
  <c r="BK115" i="4" s="1"/>
  <c r="EB114" i="4"/>
  <c r="EC114" i="4" s="1"/>
  <c r="DZ114" i="4"/>
  <c r="EA114" i="4" s="1"/>
  <c r="DX114" i="4"/>
  <c r="DY114" i="4" s="1"/>
  <c r="DV114" i="4"/>
  <c r="DW114" i="4" s="1"/>
  <c r="Q114" i="4"/>
  <c r="BH114" i="4" s="1"/>
  <c r="BI114" i="4" s="1"/>
  <c r="EB113" i="4"/>
  <c r="EC113" i="4" s="1"/>
  <c r="DZ113" i="4"/>
  <c r="EA113" i="4" s="1"/>
  <c r="DX113" i="4"/>
  <c r="DY113" i="4" s="1"/>
  <c r="DV113" i="4"/>
  <c r="DW113" i="4" s="1"/>
  <c r="Q113" i="4"/>
  <c r="EB112" i="4"/>
  <c r="EC112" i="4" s="1"/>
  <c r="DZ112" i="4"/>
  <c r="EA112" i="4" s="1"/>
  <c r="DX112" i="4"/>
  <c r="DY112" i="4" s="1"/>
  <c r="DV112" i="4"/>
  <c r="DW112" i="4" s="1"/>
  <c r="Q112" i="4"/>
  <c r="BJ112" i="4" s="1"/>
  <c r="BK112" i="4" s="1"/>
  <c r="EB111" i="4"/>
  <c r="EC111" i="4" s="1"/>
  <c r="DZ111" i="4"/>
  <c r="EA111" i="4" s="1"/>
  <c r="DX111" i="4"/>
  <c r="DY111" i="4" s="1"/>
  <c r="DV111" i="4"/>
  <c r="DW111" i="4" s="1"/>
  <c r="Q111" i="4"/>
  <c r="EB110" i="4"/>
  <c r="EC110" i="4" s="1"/>
  <c r="DZ110" i="4"/>
  <c r="EA110" i="4" s="1"/>
  <c r="DX110" i="4"/>
  <c r="DY110" i="4" s="1"/>
  <c r="DV110" i="4"/>
  <c r="DW110" i="4" s="1"/>
  <c r="Q110" i="4"/>
  <c r="BH110" i="4" s="1"/>
  <c r="BI110" i="4" s="1"/>
  <c r="DS109" i="4"/>
  <c r="DN109" i="4"/>
  <c r="DI109" i="4"/>
  <c r="DD109" i="4"/>
  <c r="CY109" i="4"/>
  <c r="CT109" i="4"/>
  <c r="CO109" i="4"/>
  <c r="CJ109" i="4"/>
  <c r="CE109" i="4"/>
  <c r="BZ109" i="4"/>
  <c r="BU109" i="4"/>
  <c r="BP109" i="4"/>
  <c r="BE109" i="4"/>
  <c r="BA109" i="4"/>
  <c r="AW109" i="4"/>
  <c r="AS109" i="4"/>
  <c r="AO109" i="4"/>
  <c r="AK109" i="4"/>
  <c r="AG109" i="4"/>
  <c r="AC109" i="4"/>
  <c r="Y109" i="4"/>
  <c r="U109" i="4"/>
  <c r="Q109" i="4"/>
  <c r="M109" i="4"/>
  <c r="DS108" i="4"/>
  <c r="DN108" i="4"/>
  <c r="DI108" i="4"/>
  <c r="DD108" i="4"/>
  <c r="CY108" i="4"/>
  <c r="CT108" i="4"/>
  <c r="CO108" i="4"/>
  <c r="CJ108" i="4"/>
  <c r="CE108" i="4"/>
  <c r="BZ108" i="4"/>
  <c r="BU108" i="4"/>
  <c r="BP108" i="4"/>
  <c r="BE108" i="4"/>
  <c r="BA108" i="4"/>
  <c r="AW108" i="4"/>
  <c r="AS108" i="4"/>
  <c r="AO108" i="4"/>
  <c r="AK108" i="4"/>
  <c r="AG108" i="4"/>
  <c r="AC108" i="4"/>
  <c r="Y108" i="4"/>
  <c r="U108" i="4"/>
  <c r="Q108" i="4"/>
  <c r="M108" i="4"/>
  <c r="DS107" i="4"/>
  <c r="DN107" i="4"/>
  <c r="DI107" i="4"/>
  <c r="DD107" i="4"/>
  <c r="CY107" i="4"/>
  <c r="CT107" i="4"/>
  <c r="CO107" i="4"/>
  <c r="CJ107" i="4"/>
  <c r="CE107" i="4"/>
  <c r="BZ107" i="4"/>
  <c r="BU107" i="4"/>
  <c r="BP107" i="4"/>
  <c r="BE107" i="4"/>
  <c r="BA107" i="4"/>
  <c r="AW107" i="4"/>
  <c r="AS107" i="4"/>
  <c r="AO107" i="4"/>
  <c r="AK107" i="4"/>
  <c r="AG107" i="4"/>
  <c r="AC107" i="4"/>
  <c r="Y107" i="4"/>
  <c r="U107" i="4"/>
  <c r="Q107" i="4"/>
  <c r="M107" i="4"/>
  <c r="DS106" i="4"/>
  <c r="DN106" i="4"/>
  <c r="DI106" i="4"/>
  <c r="DD106" i="4"/>
  <c r="CY106" i="4"/>
  <c r="CT106" i="4"/>
  <c r="CO106" i="4"/>
  <c r="CJ106" i="4"/>
  <c r="CE106" i="4"/>
  <c r="BZ106" i="4"/>
  <c r="BU106" i="4"/>
  <c r="BP106" i="4"/>
  <c r="BE106" i="4"/>
  <c r="BA106" i="4"/>
  <c r="AW106" i="4"/>
  <c r="AS106" i="4"/>
  <c r="AO106" i="4"/>
  <c r="AK106" i="4"/>
  <c r="AG106" i="4"/>
  <c r="AC106" i="4"/>
  <c r="Y106" i="4"/>
  <c r="U106" i="4"/>
  <c r="Q106" i="4"/>
  <c r="M106" i="4"/>
  <c r="DS105" i="4"/>
  <c r="DN105" i="4"/>
  <c r="DI105" i="4"/>
  <c r="DD105" i="4"/>
  <c r="CY105" i="4"/>
  <c r="CT105" i="4"/>
  <c r="CO105" i="4"/>
  <c r="CJ105" i="4"/>
  <c r="CE105" i="4"/>
  <c r="BZ105" i="4"/>
  <c r="BU105" i="4"/>
  <c r="BP105" i="4"/>
  <c r="BE105" i="4"/>
  <c r="BA105" i="4"/>
  <c r="AW105" i="4"/>
  <c r="AS105" i="4"/>
  <c r="AO105" i="4"/>
  <c r="AK105" i="4"/>
  <c r="AG105" i="4"/>
  <c r="AC105" i="4"/>
  <c r="Y105" i="4"/>
  <c r="U105" i="4"/>
  <c r="Q105" i="4"/>
  <c r="M105" i="4"/>
  <c r="DS104" i="4"/>
  <c r="DN104" i="4"/>
  <c r="DI104" i="4"/>
  <c r="DD104" i="4"/>
  <c r="CY104" i="4"/>
  <c r="CT104" i="4"/>
  <c r="CO104" i="4"/>
  <c r="CJ104" i="4"/>
  <c r="CE104" i="4"/>
  <c r="BZ104" i="4"/>
  <c r="BU104" i="4"/>
  <c r="BP104" i="4"/>
  <c r="BE104" i="4"/>
  <c r="BA104" i="4"/>
  <c r="AW104" i="4"/>
  <c r="AS104" i="4"/>
  <c r="AO104" i="4"/>
  <c r="AK104" i="4"/>
  <c r="AG104" i="4"/>
  <c r="AC104" i="4"/>
  <c r="Y104" i="4"/>
  <c r="U104" i="4"/>
  <c r="Q104" i="4"/>
  <c r="M104" i="4"/>
  <c r="DS103" i="4"/>
  <c r="DN103" i="4"/>
  <c r="DI103" i="4"/>
  <c r="DD103" i="4"/>
  <c r="CY103" i="4"/>
  <c r="CT103" i="4"/>
  <c r="CO103" i="4"/>
  <c r="CJ103" i="4"/>
  <c r="CE103" i="4"/>
  <c r="BZ103" i="4"/>
  <c r="BU103" i="4"/>
  <c r="BP103" i="4"/>
  <c r="BE103" i="4"/>
  <c r="BA103" i="4"/>
  <c r="AW103" i="4"/>
  <c r="AS103" i="4"/>
  <c r="AO103" i="4"/>
  <c r="AK103" i="4"/>
  <c r="AG103" i="4"/>
  <c r="AC103" i="4"/>
  <c r="Y103" i="4"/>
  <c r="U103" i="4"/>
  <c r="Q103" i="4"/>
  <c r="M103" i="4"/>
  <c r="DS102" i="4"/>
  <c r="DN102" i="4"/>
  <c r="DI102" i="4"/>
  <c r="DD102" i="4"/>
  <c r="CY102" i="4"/>
  <c r="CT102" i="4"/>
  <c r="CO102" i="4"/>
  <c r="CJ102" i="4"/>
  <c r="CE102" i="4"/>
  <c r="BZ102" i="4"/>
  <c r="BU102" i="4"/>
  <c r="BP102" i="4"/>
  <c r="BE102" i="4"/>
  <c r="BA102" i="4"/>
  <c r="AW102" i="4"/>
  <c r="AS102" i="4"/>
  <c r="AO102" i="4"/>
  <c r="AK102" i="4"/>
  <c r="AG102" i="4"/>
  <c r="AC102" i="4"/>
  <c r="Y102" i="4"/>
  <c r="U102" i="4"/>
  <c r="Q102" i="4"/>
  <c r="M102" i="4"/>
  <c r="DS101" i="4"/>
  <c r="DN101" i="4"/>
  <c r="DI101" i="4"/>
  <c r="DD101" i="4"/>
  <c r="CY101" i="4"/>
  <c r="CT101" i="4"/>
  <c r="CO101" i="4"/>
  <c r="CJ101" i="4"/>
  <c r="CE101" i="4"/>
  <c r="BZ101" i="4"/>
  <c r="BU101" i="4"/>
  <c r="BP101" i="4"/>
  <c r="BE101" i="4"/>
  <c r="BA101" i="4"/>
  <c r="AW101" i="4"/>
  <c r="AS101" i="4"/>
  <c r="AO101" i="4"/>
  <c r="AK101" i="4"/>
  <c r="AG101" i="4"/>
  <c r="AC101" i="4"/>
  <c r="Y101" i="4"/>
  <c r="U101" i="4"/>
  <c r="Q101" i="4"/>
  <c r="M101" i="4"/>
  <c r="DS100" i="4"/>
  <c r="DN100" i="4"/>
  <c r="DI100" i="4"/>
  <c r="DD100" i="4"/>
  <c r="CY100" i="4"/>
  <c r="CT100" i="4"/>
  <c r="CO100" i="4"/>
  <c r="CJ100" i="4"/>
  <c r="CE100" i="4"/>
  <c r="BZ100" i="4"/>
  <c r="BU100" i="4"/>
  <c r="BP100" i="4"/>
  <c r="BE100" i="4"/>
  <c r="BA100" i="4"/>
  <c r="AW100" i="4"/>
  <c r="AS100" i="4"/>
  <c r="AO100" i="4"/>
  <c r="AK100" i="4"/>
  <c r="AG100" i="4"/>
  <c r="AC100" i="4"/>
  <c r="Y100" i="4"/>
  <c r="U100" i="4"/>
  <c r="Q100" i="4"/>
  <c r="M100" i="4"/>
  <c r="DS99" i="4"/>
  <c r="DN99" i="4"/>
  <c r="DI99" i="4"/>
  <c r="DD99" i="4"/>
  <c r="CY99" i="4"/>
  <c r="CT99" i="4"/>
  <c r="CO99" i="4"/>
  <c r="CJ99" i="4"/>
  <c r="CE99" i="4"/>
  <c r="BZ99" i="4"/>
  <c r="BU99" i="4"/>
  <c r="BP99" i="4"/>
  <c r="BE99" i="4"/>
  <c r="BA99" i="4"/>
  <c r="AW99" i="4"/>
  <c r="AS99" i="4"/>
  <c r="AO99" i="4"/>
  <c r="AK99" i="4"/>
  <c r="AG99" i="4"/>
  <c r="AC99" i="4"/>
  <c r="Y99" i="4"/>
  <c r="U99" i="4"/>
  <c r="Q99" i="4"/>
  <c r="M99" i="4"/>
  <c r="EB98" i="4"/>
  <c r="EC98" i="4" s="1"/>
  <c r="DZ98" i="4"/>
  <c r="EA98" i="4" s="1"/>
  <c r="DX98" i="4"/>
  <c r="DY98" i="4" s="1"/>
  <c r="DV98" i="4"/>
  <c r="DW98" i="4" s="1"/>
  <c r="BL98" i="4"/>
  <c r="BM98" i="4" s="1"/>
  <c r="BJ98" i="4"/>
  <c r="BK98" i="4" s="1"/>
  <c r="BH98" i="4"/>
  <c r="BI98" i="4" s="1"/>
  <c r="EB97" i="4"/>
  <c r="EC97" i="4" s="1"/>
  <c r="DZ97" i="4"/>
  <c r="EA97" i="4" s="1"/>
  <c r="DX97" i="4"/>
  <c r="DY97" i="4" s="1"/>
  <c r="DV97" i="4"/>
  <c r="DW97" i="4" s="1"/>
  <c r="BL97" i="4"/>
  <c r="BM97" i="4" s="1"/>
  <c r="BJ97" i="4"/>
  <c r="BK97" i="4" s="1"/>
  <c r="BH97" i="4"/>
  <c r="BI97" i="4" s="1"/>
  <c r="EB96" i="4"/>
  <c r="EC96" i="4" s="1"/>
  <c r="DZ96" i="4"/>
  <c r="EA96" i="4" s="1"/>
  <c r="DX96" i="4"/>
  <c r="DY96" i="4" s="1"/>
  <c r="DV96" i="4"/>
  <c r="DW96" i="4" s="1"/>
  <c r="BL96" i="4"/>
  <c r="BM96" i="4" s="1"/>
  <c r="BJ96" i="4"/>
  <c r="BK96" i="4" s="1"/>
  <c r="BH96" i="4"/>
  <c r="BI96" i="4" s="1"/>
  <c r="EB95" i="4"/>
  <c r="EC95" i="4" s="1"/>
  <c r="DZ95" i="4"/>
  <c r="EA95" i="4" s="1"/>
  <c r="DX95" i="4"/>
  <c r="DY95" i="4" s="1"/>
  <c r="DV95" i="4"/>
  <c r="DW95" i="4" s="1"/>
  <c r="BL95" i="4"/>
  <c r="BM95" i="4" s="1"/>
  <c r="BJ95" i="4"/>
  <c r="BK95" i="4" s="1"/>
  <c r="BH95" i="4"/>
  <c r="BI95" i="4" s="1"/>
  <c r="DS94" i="4"/>
  <c r="DN94" i="4"/>
  <c r="DI94" i="4"/>
  <c r="DD94" i="4"/>
  <c r="CY94" i="4"/>
  <c r="CT94" i="4"/>
  <c r="CO94" i="4"/>
  <c r="CJ94" i="4"/>
  <c r="CE94" i="4"/>
  <c r="BZ94" i="4"/>
  <c r="BU94" i="4"/>
  <c r="BP94" i="4"/>
  <c r="AW94" i="4"/>
  <c r="AS94" i="4"/>
  <c r="AO94" i="4"/>
  <c r="AK94" i="4"/>
  <c r="AG94" i="4"/>
  <c r="AC94" i="4"/>
  <c r="Z94" i="4"/>
  <c r="Y94" i="4"/>
  <c r="V94" i="4"/>
  <c r="U94" i="4"/>
  <c r="R94" i="4"/>
  <c r="Q94" i="4"/>
  <c r="M94" i="4"/>
  <c r="DS93" i="4"/>
  <c r="DN93" i="4"/>
  <c r="DI93" i="4"/>
  <c r="DD93" i="4"/>
  <c r="CY93" i="4"/>
  <c r="CT93" i="4"/>
  <c r="CO93" i="4"/>
  <c r="CJ93" i="4"/>
  <c r="CE93" i="4"/>
  <c r="BZ93" i="4"/>
  <c r="BU93" i="4"/>
  <c r="BP93" i="4"/>
  <c r="AW93" i="4"/>
  <c r="AS93" i="4"/>
  <c r="AO93" i="4"/>
  <c r="AK93" i="4"/>
  <c r="AG93" i="4"/>
  <c r="AC93" i="4"/>
  <c r="Z93" i="4"/>
  <c r="Y93" i="4"/>
  <c r="V93" i="4"/>
  <c r="U93" i="4"/>
  <c r="R93" i="4"/>
  <c r="Q93" i="4"/>
  <c r="M93" i="4"/>
  <c r="DS92" i="4"/>
  <c r="DN92" i="4"/>
  <c r="DI92" i="4"/>
  <c r="DD92" i="4"/>
  <c r="CY92" i="4"/>
  <c r="CT92" i="4"/>
  <c r="CO92" i="4"/>
  <c r="CJ92" i="4"/>
  <c r="CE92" i="4"/>
  <c r="BZ92" i="4"/>
  <c r="BU92" i="4"/>
  <c r="BP92" i="4"/>
  <c r="AW92" i="4"/>
  <c r="AS92" i="4"/>
  <c r="AO92" i="4"/>
  <c r="AK92" i="4"/>
  <c r="AG92" i="4"/>
  <c r="AC92" i="4"/>
  <c r="Z92" i="4"/>
  <c r="Y92" i="4"/>
  <c r="V92" i="4"/>
  <c r="U92" i="4"/>
  <c r="R92" i="4"/>
  <c r="Q92" i="4"/>
  <c r="M92" i="4"/>
  <c r="DS91" i="4"/>
  <c r="DN91" i="4"/>
  <c r="DI91" i="4"/>
  <c r="DD91" i="4"/>
  <c r="CY91" i="4"/>
  <c r="CT91" i="4"/>
  <c r="CO91" i="4"/>
  <c r="CJ91" i="4"/>
  <c r="CE91" i="4"/>
  <c r="BZ91" i="4"/>
  <c r="BU91" i="4"/>
  <c r="BP91" i="4"/>
  <c r="AW91" i="4"/>
  <c r="AS91" i="4"/>
  <c r="AO91" i="4"/>
  <c r="AK91" i="4"/>
  <c r="AG91" i="4"/>
  <c r="AC91" i="4"/>
  <c r="Z91" i="4"/>
  <c r="Y91" i="4"/>
  <c r="V91" i="4"/>
  <c r="U91" i="4"/>
  <c r="R91" i="4"/>
  <c r="Q91" i="4"/>
  <c r="M91" i="4"/>
  <c r="DS90" i="4"/>
  <c r="DN90" i="4"/>
  <c r="DI90" i="4"/>
  <c r="DD90" i="4"/>
  <c r="CY90" i="4"/>
  <c r="CT90" i="4"/>
  <c r="CO90" i="4"/>
  <c r="CJ90" i="4"/>
  <c r="CE90" i="4"/>
  <c r="BZ90" i="4"/>
  <c r="BU90" i="4"/>
  <c r="BP90" i="4"/>
  <c r="AW90" i="4"/>
  <c r="AS90" i="4"/>
  <c r="AO90" i="4"/>
  <c r="AK90" i="4"/>
  <c r="AG90" i="4"/>
  <c r="AC90" i="4"/>
  <c r="Z90" i="4"/>
  <c r="Y90" i="4"/>
  <c r="V90" i="4"/>
  <c r="U90" i="4"/>
  <c r="R90" i="4"/>
  <c r="Q90" i="4"/>
  <c r="M90" i="4"/>
  <c r="DS89" i="4"/>
  <c r="DN89" i="4"/>
  <c r="DI89" i="4"/>
  <c r="DD89" i="4"/>
  <c r="CY89" i="4"/>
  <c r="CT89" i="4"/>
  <c r="CO89" i="4"/>
  <c r="CJ89" i="4"/>
  <c r="CE89" i="4"/>
  <c r="BZ89" i="4"/>
  <c r="BU89" i="4"/>
  <c r="BP89" i="4"/>
  <c r="AW89" i="4"/>
  <c r="AS89" i="4"/>
  <c r="AO89" i="4"/>
  <c r="AK89" i="4"/>
  <c r="AG89" i="4"/>
  <c r="AC89" i="4"/>
  <c r="Z89" i="4"/>
  <c r="Y89" i="4"/>
  <c r="V89" i="4"/>
  <c r="V69" i="3" s="1"/>
  <c r="U89" i="4"/>
  <c r="R89" i="4"/>
  <c r="Q89" i="4"/>
  <c r="M89" i="4"/>
  <c r="DS88" i="4"/>
  <c r="DN88" i="4"/>
  <c r="DI88" i="4"/>
  <c r="DD88" i="4"/>
  <c r="CY88" i="4"/>
  <c r="CT88" i="4"/>
  <c r="CO88" i="4"/>
  <c r="CJ88" i="4"/>
  <c r="CE88" i="4"/>
  <c r="BZ88" i="4"/>
  <c r="BU88" i="4"/>
  <c r="BP88" i="4"/>
  <c r="AW88" i="4"/>
  <c r="AS88" i="4"/>
  <c r="AO88" i="4"/>
  <c r="AK88" i="4"/>
  <c r="AG88" i="4"/>
  <c r="AC88" i="4"/>
  <c r="Z88" i="4"/>
  <c r="Y88" i="4"/>
  <c r="V88" i="4"/>
  <c r="U88" i="4"/>
  <c r="R88" i="4"/>
  <c r="Q88" i="4"/>
  <c r="M88" i="4"/>
  <c r="DS87" i="4"/>
  <c r="DN87" i="4"/>
  <c r="DI87" i="4"/>
  <c r="DD87" i="4"/>
  <c r="CY87" i="4"/>
  <c r="CT87" i="4"/>
  <c r="CO87" i="4"/>
  <c r="CJ87" i="4"/>
  <c r="CE87" i="4"/>
  <c r="BZ87" i="4"/>
  <c r="BU87" i="4"/>
  <c r="BP87" i="4"/>
  <c r="AW87" i="4"/>
  <c r="AS87" i="4"/>
  <c r="AO87" i="4"/>
  <c r="AK87" i="4"/>
  <c r="AG87" i="4"/>
  <c r="AC87" i="4"/>
  <c r="Z87" i="4"/>
  <c r="Z69" i="3" s="1"/>
  <c r="Y87" i="4"/>
  <c r="V87" i="4"/>
  <c r="U87" i="4"/>
  <c r="R87" i="4"/>
  <c r="Q87" i="4"/>
  <c r="M87" i="4"/>
  <c r="DS86" i="4"/>
  <c r="DN86" i="4"/>
  <c r="DI86" i="4"/>
  <c r="DD86" i="4"/>
  <c r="CY86" i="4"/>
  <c r="CT86" i="4"/>
  <c r="CO86" i="4"/>
  <c r="CJ86" i="4"/>
  <c r="CE86" i="4"/>
  <c r="BZ86" i="4"/>
  <c r="BU86" i="4"/>
  <c r="BP86" i="4"/>
  <c r="AW86" i="4"/>
  <c r="AS86" i="4"/>
  <c r="AO86" i="4"/>
  <c r="AK86" i="4"/>
  <c r="AG86" i="4"/>
  <c r="AC86" i="4"/>
  <c r="Z86" i="4"/>
  <c r="Y86" i="4"/>
  <c r="V86" i="4"/>
  <c r="U86" i="4"/>
  <c r="R86" i="4"/>
  <c r="Q86" i="4"/>
  <c r="M86" i="4"/>
  <c r="DS85" i="4"/>
  <c r="DN85" i="4"/>
  <c r="DI85" i="4"/>
  <c r="DD85" i="4"/>
  <c r="CY85" i="4"/>
  <c r="CT85" i="4"/>
  <c r="CO85" i="4"/>
  <c r="CJ85" i="4"/>
  <c r="CE85" i="4"/>
  <c r="BZ85" i="4"/>
  <c r="BU85" i="4"/>
  <c r="BP85" i="4"/>
  <c r="AW85" i="4"/>
  <c r="AS85" i="4"/>
  <c r="AO85" i="4"/>
  <c r="AK85" i="4"/>
  <c r="AG85" i="4"/>
  <c r="AC85" i="4"/>
  <c r="Z85" i="4"/>
  <c r="Y85" i="4"/>
  <c r="V85" i="4"/>
  <c r="U85" i="4"/>
  <c r="R85" i="4"/>
  <c r="Q85" i="4"/>
  <c r="M85" i="4"/>
  <c r="DS84" i="4"/>
  <c r="DN84" i="4"/>
  <c r="DI84" i="4"/>
  <c r="DD84" i="4"/>
  <c r="CY84" i="4"/>
  <c r="CT84" i="4"/>
  <c r="CO84" i="4"/>
  <c r="CJ84" i="4"/>
  <c r="CE84" i="4"/>
  <c r="BZ84" i="4"/>
  <c r="BU84" i="4"/>
  <c r="BP84" i="4"/>
  <c r="AW84" i="4"/>
  <c r="AS84" i="4"/>
  <c r="AO84" i="4"/>
  <c r="AK84" i="4"/>
  <c r="AG84" i="4"/>
  <c r="AC84" i="4"/>
  <c r="Z84" i="4"/>
  <c r="Y84" i="4"/>
  <c r="V84" i="4"/>
  <c r="U84" i="4"/>
  <c r="R84" i="4"/>
  <c r="Q84" i="4"/>
  <c r="M84" i="4"/>
  <c r="EB83" i="4"/>
  <c r="EC83" i="4" s="1"/>
  <c r="DZ83" i="4"/>
  <c r="EA83" i="4" s="1"/>
  <c r="DX83" i="4"/>
  <c r="DY83" i="4" s="1"/>
  <c r="DV83" i="4"/>
  <c r="DW83" i="4" s="1"/>
  <c r="BL83" i="4"/>
  <c r="BM83" i="4" s="1"/>
  <c r="BJ83" i="4"/>
  <c r="BK83" i="4" s="1"/>
  <c r="BH83" i="4"/>
  <c r="BI83" i="4" s="1"/>
  <c r="EB82" i="4"/>
  <c r="EC82" i="4" s="1"/>
  <c r="DZ82" i="4"/>
  <c r="EA82" i="4" s="1"/>
  <c r="DX82" i="4"/>
  <c r="DY82" i="4" s="1"/>
  <c r="DV82" i="4"/>
  <c r="DW82" i="4" s="1"/>
  <c r="BL82" i="4"/>
  <c r="BM82" i="4" s="1"/>
  <c r="BJ82" i="4"/>
  <c r="BK82" i="4" s="1"/>
  <c r="BH82" i="4"/>
  <c r="BI82" i="4" s="1"/>
  <c r="DS81" i="4"/>
  <c r="DN81" i="4"/>
  <c r="DI81" i="4"/>
  <c r="DD81" i="4"/>
  <c r="CY81" i="4"/>
  <c r="CT81" i="4"/>
  <c r="CO81" i="4"/>
  <c r="CJ81" i="4"/>
  <c r="CE81" i="4"/>
  <c r="BZ81" i="4"/>
  <c r="BU81" i="4"/>
  <c r="BP81" i="4"/>
  <c r="BE81" i="4"/>
  <c r="BA81" i="4"/>
  <c r="AW81" i="4"/>
  <c r="AS81" i="4"/>
  <c r="AO81" i="4"/>
  <c r="AK81" i="4"/>
  <c r="AG81" i="4"/>
  <c r="AC81" i="4"/>
  <c r="Y81" i="4"/>
  <c r="U81" i="4"/>
  <c r="Q81" i="4"/>
  <c r="M81" i="4"/>
  <c r="DS80" i="4"/>
  <c r="DN80" i="4"/>
  <c r="DI80" i="4"/>
  <c r="DD80" i="4"/>
  <c r="CY80" i="4"/>
  <c r="CT80" i="4"/>
  <c r="CO80" i="4"/>
  <c r="CJ80" i="4"/>
  <c r="CE80" i="4"/>
  <c r="BZ80" i="4"/>
  <c r="BU80" i="4"/>
  <c r="BP80" i="4"/>
  <c r="BE80" i="4"/>
  <c r="BA80" i="4"/>
  <c r="AW80" i="4"/>
  <c r="AS80" i="4"/>
  <c r="AO80" i="4"/>
  <c r="AK80" i="4"/>
  <c r="AG80" i="4"/>
  <c r="AC80" i="4"/>
  <c r="Y80" i="4"/>
  <c r="U80" i="4"/>
  <c r="Q80" i="4"/>
  <c r="M80" i="4"/>
  <c r="DS79" i="4"/>
  <c r="DN79" i="4"/>
  <c r="DI79" i="4"/>
  <c r="DD79" i="4"/>
  <c r="CY79" i="4"/>
  <c r="CT79" i="4"/>
  <c r="CO79" i="4"/>
  <c r="CJ79" i="4"/>
  <c r="CE79" i="4"/>
  <c r="BZ79" i="4"/>
  <c r="BU79" i="4"/>
  <c r="BP79" i="4"/>
  <c r="BE79" i="4"/>
  <c r="BA79" i="4"/>
  <c r="AW79" i="4"/>
  <c r="AS79" i="4"/>
  <c r="AO79" i="4"/>
  <c r="AK79" i="4"/>
  <c r="AG79" i="4"/>
  <c r="AC79" i="4"/>
  <c r="Y79" i="4"/>
  <c r="U79" i="4"/>
  <c r="Q79" i="4"/>
  <c r="M79" i="4"/>
  <c r="DS78" i="4"/>
  <c r="DN78" i="4"/>
  <c r="DI78" i="4"/>
  <c r="DD78" i="4"/>
  <c r="CY78" i="4"/>
  <c r="CT78" i="4"/>
  <c r="CO78" i="4"/>
  <c r="CJ78" i="4"/>
  <c r="CE78" i="4"/>
  <c r="BZ78" i="4"/>
  <c r="BU78" i="4"/>
  <c r="BP78" i="4"/>
  <c r="BE78" i="4"/>
  <c r="BA78" i="4"/>
  <c r="AW78" i="4"/>
  <c r="AS78" i="4"/>
  <c r="AO78" i="4"/>
  <c r="AK78" i="4"/>
  <c r="AG78" i="4"/>
  <c r="AC78" i="4"/>
  <c r="Y78" i="4"/>
  <c r="U78" i="4"/>
  <c r="Q78" i="4"/>
  <c r="M78" i="4"/>
  <c r="DS77" i="4"/>
  <c r="DN77" i="4"/>
  <c r="DI77" i="4"/>
  <c r="DD77" i="4"/>
  <c r="CY77" i="4"/>
  <c r="CT77" i="4"/>
  <c r="CO77" i="4"/>
  <c r="CJ77" i="4"/>
  <c r="CE77" i="4"/>
  <c r="BZ77" i="4"/>
  <c r="BU77" i="4"/>
  <c r="BP77" i="4"/>
  <c r="BE77" i="4"/>
  <c r="BA77" i="4"/>
  <c r="AW77" i="4"/>
  <c r="AS77" i="4"/>
  <c r="AO77" i="4"/>
  <c r="AK77" i="4"/>
  <c r="AG77" i="4"/>
  <c r="AC77" i="4"/>
  <c r="Y77" i="4"/>
  <c r="U77" i="4"/>
  <c r="Q77" i="4"/>
  <c r="M77" i="4"/>
  <c r="DS76" i="4"/>
  <c r="DN76" i="4"/>
  <c r="DI76" i="4"/>
  <c r="DD76" i="4"/>
  <c r="CY76" i="4"/>
  <c r="CT76" i="4"/>
  <c r="CO76" i="4"/>
  <c r="CJ76" i="4"/>
  <c r="CE76" i="4"/>
  <c r="BZ76" i="4"/>
  <c r="BU76" i="4"/>
  <c r="BP76" i="4"/>
  <c r="BE76" i="4"/>
  <c r="BA76" i="4"/>
  <c r="AW76" i="4"/>
  <c r="AS76" i="4"/>
  <c r="AO76" i="4"/>
  <c r="AK76" i="4"/>
  <c r="AG76" i="4"/>
  <c r="AC76" i="4"/>
  <c r="Y76" i="4"/>
  <c r="U76" i="4"/>
  <c r="Q76" i="4"/>
  <c r="M76" i="4"/>
  <c r="DS75" i="4"/>
  <c r="DN75" i="4"/>
  <c r="DI75" i="4"/>
  <c r="DD75" i="4"/>
  <c r="CY75" i="4"/>
  <c r="CT75" i="4"/>
  <c r="CO75" i="4"/>
  <c r="CJ75" i="4"/>
  <c r="CE75" i="4"/>
  <c r="BZ75" i="4"/>
  <c r="BU75" i="4"/>
  <c r="BP75" i="4"/>
  <c r="BE75" i="4"/>
  <c r="BA75" i="4"/>
  <c r="AW75" i="4"/>
  <c r="AS75" i="4"/>
  <c r="AO75" i="4"/>
  <c r="AK75" i="4"/>
  <c r="AG75" i="4"/>
  <c r="AC75" i="4"/>
  <c r="Y75" i="4"/>
  <c r="U75" i="4"/>
  <c r="Q75" i="4"/>
  <c r="M75" i="4"/>
  <c r="DS74" i="4"/>
  <c r="DN74" i="4"/>
  <c r="DI74" i="4"/>
  <c r="DD74" i="4"/>
  <c r="CY74" i="4"/>
  <c r="CT74" i="4"/>
  <c r="CO74" i="4"/>
  <c r="CJ74" i="4"/>
  <c r="CE74" i="4"/>
  <c r="BZ74" i="4"/>
  <c r="BU74" i="4"/>
  <c r="BP74" i="4"/>
  <c r="BL74" i="4"/>
  <c r="BM74" i="4" s="1"/>
  <c r="BJ74" i="4"/>
  <c r="BK74" i="4" s="1"/>
  <c r="BH74" i="4"/>
  <c r="BI74" i="4" s="1"/>
  <c r="DS73" i="4"/>
  <c r="DN73" i="4"/>
  <c r="DI73" i="4"/>
  <c r="DD73" i="4"/>
  <c r="CY73" i="4"/>
  <c r="CT73" i="4"/>
  <c r="CO73" i="4"/>
  <c r="CJ73" i="4"/>
  <c r="CE73" i="4"/>
  <c r="BZ73" i="4"/>
  <c r="BU73" i="4"/>
  <c r="BP73" i="4"/>
  <c r="BE73" i="4"/>
  <c r="BA73" i="4"/>
  <c r="AW73" i="4"/>
  <c r="AS73" i="4"/>
  <c r="AO73" i="4"/>
  <c r="AK73" i="4"/>
  <c r="AG73" i="4"/>
  <c r="AC73" i="4"/>
  <c r="Y73" i="4"/>
  <c r="U73" i="4"/>
  <c r="Q73" i="4"/>
  <c r="M73" i="4"/>
  <c r="DS72" i="4"/>
  <c r="DN72" i="4"/>
  <c r="DI72" i="4"/>
  <c r="DD72" i="4"/>
  <c r="CY72" i="4"/>
  <c r="CT72" i="4"/>
  <c r="CO72" i="4"/>
  <c r="CJ72" i="4"/>
  <c r="CE72" i="4"/>
  <c r="BZ72" i="4"/>
  <c r="BU72" i="4"/>
  <c r="BP72" i="4"/>
  <c r="BE72" i="4"/>
  <c r="BA72" i="4"/>
  <c r="AW72" i="4"/>
  <c r="AS72" i="4"/>
  <c r="AO72" i="4"/>
  <c r="AK72" i="4"/>
  <c r="AG72" i="4"/>
  <c r="AC72" i="4"/>
  <c r="Y72" i="4"/>
  <c r="U72" i="4"/>
  <c r="Q72" i="4"/>
  <c r="M72" i="4"/>
  <c r="DS71" i="4"/>
  <c r="DN71" i="4"/>
  <c r="DI71" i="4"/>
  <c r="DD71" i="4"/>
  <c r="CY71" i="4"/>
  <c r="CT71" i="4"/>
  <c r="CO71" i="4"/>
  <c r="CJ71" i="4"/>
  <c r="CE71" i="4"/>
  <c r="BZ71" i="4"/>
  <c r="BU71" i="4"/>
  <c r="BP71" i="4"/>
  <c r="BE71" i="4"/>
  <c r="BA71" i="4"/>
  <c r="AW71" i="4"/>
  <c r="AS71" i="4"/>
  <c r="AO71" i="4"/>
  <c r="AK71" i="4"/>
  <c r="AG71" i="4"/>
  <c r="AC71" i="4"/>
  <c r="Y71" i="4"/>
  <c r="U71" i="4"/>
  <c r="Q71" i="4"/>
  <c r="M71" i="4"/>
  <c r="DS70" i="4"/>
  <c r="DN70" i="4"/>
  <c r="DI70" i="4"/>
  <c r="DD70" i="4"/>
  <c r="CY70" i="4"/>
  <c r="CT70" i="4"/>
  <c r="CO70" i="4"/>
  <c r="CJ70" i="4"/>
  <c r="CE70" i="4"/>
  <c r="BZ70" i="4"/>
  <c r="BU70" i="4"/>
  <c r="BP70" i="4"/>
  <c r="BE70" i="4"/>
  <c r="BA70" i="4"/>
  <c r="AW70" i="4"/>
  <c r="AS70" i="4"/>
  <c r="AO70" i="4"/>
  <c r="AK70" i="4"/>
  <c r="AG70" i="4"/>
  <c r="AC70" i="4"/>
  <c r="Y70" i="4"/>
  <c r="U70" i="4"/>
  <c r="Q70" i="4"/>
  <c r="M70" i="4"/>
  <c r="EB69" i="4"/>
  <c r="EC69" i="4" s="1"/>
  <c r="DZ69" i="4"/>
  <c r="EA69" i="4" s="1"/>
  <c r="DX69" i="4"/>
  <c r="DY69" i="4" s="1"/>
  <c r="DV69" i="4"/>
  <c r="DW69" i="4" s="1"/>
  <c r="BL69" i="4"/>
  <c r="BM69" i="4" s="1"/>
  <c r="BJ69" i="4"/>
  <c r="BK69" i="4" s="1"/>
  <c r="BH69" i="4"/>
  <c r="BI69" i="4" s="1"/>
  <c r="EB68" i="4"/>
  <c r="EC68" i="4" s="1"/>
  <c r="DZ68" i="4"/>
  <c r="EA68" i="4" s="1"/>
  <c r="DX68" i="4"/>
  <c r="DY68" i="4" s="1"/>
  <c r="DV68" i="4"/>
  <c r="DW68" i="4" s="1"/>
  <c r="BL68" i="4"/>
  <c r="BM68" i="4" s="1"/>
  <c r="BJ68" i="4"/>
  <c r="BK68" i="4" s="1"/>
  <c r="BH68" i="4"/>
  <c r="BI68" i="4" s="1"/>
  <c r="DS67" i="4"/>
  <c r="DN67" i="4"/>
  <c r="DI67" i="4"/>
  <c r="DD67" i="4"/>
  <c r="CY67" i="4"/>
  <c r="CT67" i="4"/>
  <c r="CO67" i="4"/>
  <c r="CJ67" i="4"/>
  <c r="CE67" i="4"/>
  <c r="BZ67" i="4"/>
  <c r="BU67" i="4"/>
  <c r="BP67" i="4"/>
  <c r="AW67" i="4"/>
  <c r="AS67" i="4"/>
  <c r="AO67" i="4"/>
  <c r="AK67" i="4"/>
  <c r="AG67" i="4"/>
  <c r="AC67" i="4"/>
  <c r="Y67" i="4"/>
  <c r="U67" i="4"/>
  <c r="Q67" i="4"/>
  <c r="M67" i="4"/>
  <c r="DS66" i="4"/>
  <c r="DN66" i="4"/>
  <c r="DI66" i="4"/>
  <c r="DD66" i="4"/>
  <c r="CY66" i="4"/>
  <c r="CT66" i="4"/>
  <c r="CO66" i="4"/>
  <c r="CJ66" i="4"/>
  <c r="CE66" i="4"/>
  <c r="BZ66" i="4"/>
  <c r="BU66" i="4"/>
  <c r="BP66" i="4"/>
  <c r="AW66" i="4"/>
  <c r="AS66" i="4"/>
  <c r="AO66" i="4"/>
  <c r="AK66" i="4"/>
  <c r="AG66" i="4"/>
  <c r="AC66" i="4"/>
  <c r="Y66" i="4"/>
  <c r="U66" i="4"/>
  <c r="Q66" i="4"/>
  <c r="M66" i="4"/>
  <c r="DS65" i="4"/>
  <c r="DN65" i="4"/>
  <c r="DI65" i="4"/>
  <c r="DD65" i="4"/>
  <c r="CY65" i="4"/>
  <c r="CT65" i="4"/>
  <c r="CO65" i="4"/>
  <c r="CJ65" i="4"/>
  <c r="CE65" i="4"/>
  <c r="BZ65" i="4"/>
  <c r="BU65" i="4"/>
  <c r="BP65" i="4"/>
  <c r="AW65" i="4"/>
  <c r="AS65" i="4"/>
  <c r="AO65" i="4"/>
  <c r="AK65" i="4"/>
  <c r="AG65" i="4"/>
  <c r="AC65" i="4"/>
  <c r="Y65" i="4"/>
  <c r="U65" i="4"/>
  <c r="Q65" i="4"/>
  <c r="M65" i="4"/>
  <c r="DS64" i="4"/>
  <c r="DN64" i="4"/>
  <c r="DI64" i="4"/>
  <c r="DD64" i="4"/>
  <c r="CY64" i="4"/>
  <c r="CT64" i="4"/>
  <c r="CO64" i="4"/>
  <c r="CJ64" i="4"/>
  <c r="CE64" i="4"/>
  <c r="BZ64" i="4"/>
  <c r="BU64" i="4"/>
  <c r="BP64" i="4"/>
  <c r="AW64" i="4"/>
  <c r="AS64" i="4"/>
  <c r="AO64" i="4"/>
  <c r="AK64" i="4"/>
  <c r="AG64" i="4"/>
  <c r="AC64" i="4"/>
  <c r="Y64" i="4"/>
  <c r="U64" i="4"/>
  <c r="Q64" i="4"/>
  <c r="M64" i="4"/>
  <c r="DS63" i="4"/>
  <c r="DN63" i="4"/>
  <c r="DI63" i="4"/>
  <c r="DD63" i="4"/>
  <c r="CY63" i="4"/>
  <c r="CT63" i="4"/>
  <c r="CO63" i="4"/>
  <c r="CJ63" i="4"/>
  <c r="CE63" i="4"/>
  <c r="BZ63" i="4"/>
  <c r="BU63" i="4"/>
  <c r="BP63" i="4"/>
  <c r="AW63" i="4"/>
  <c r="AS63" i="4"/>
  <c r="AO63" i="4"/>
  <c r="AK63" i="4"/>
  <c r="AG63" i="4"/>
  <c r="AC63" i="4"/>
  <c r="Y63" i="4"/>
  <c r="U63" i="4"/>
  <c r="Q63" i="4"/>
  <c r="M63" i="4"/>
  <c r="DS62" i="4"/>
  <c r="DN62" i="4"/>
  <c r="DI62" i="4"/>
  <c r="DD62" i="4"/>
  <c r="CY62" i="4"/>
  <c r="CT62" i="4"/>
  <c r="CO62" i="4"/>
  <c r="CJ62" i="4"/>
  <c r="CE62" i="4"/>
  <c r="BZ62" i="4"/>
  <c r="BU62" i="4"/>
  <c r="BP62" i="4"/>
  <c r="AW62" i="4"/>
  <c r="AS62" i="4"/>
  <c r="AO62" i="4"/>
  <c r="AK62" i="4"/>
  <c r="AG62" i="4"/>
  <c r="AC62" i="4"/>
  <c r="Y62" i="4"/>
  <c r="U62" i="4"/>
  <c r="Q62" i="4"/>
  <c r="M62" i="4"/>
  <c r="DS61" i="4"/>
  <c r="DN61" i="4"/>
  <c r="DI61" i="4"/>
  <c r="DD61" i="4"/>
  <c r="CY61" i="4"/>
  <c r="CT61" i="4"/>
  <c r="CO61" i="4"/>
  <c r="CJ61" i="4"/>
  <c r="CE61" i="4"/>
  <c r="BZ61" i="4"/>
  <c r="BU61" i="4"/>
  <c r="BP61" i="4"/>
  <c r="AW61" i="4"/>
  <c r="AS61" i="4"/>
  <c r="AO61" i="4"/>
  <c r="AK61" i="4"/>
  <c r="AG61" i="4"/>
  <c r="AC61" i="4"/>
  <c r="Y61" i="4"/>
  <c r="U61" i="4"/>
  <c r="Q61" i="4"/>
  <c r="M61" i="4"/>
  <c r="DS60" i="4"/>
  <c r="DN60" i="4"/>
  <c r="DI60" i="4"/>
  <c r="DD60" i="4"/>
  <c r="CY60" i="4"/>
  <c r="CT60" i="4"/>
  <c r="CO60" i="4"/>
  <c r="CJ60" i="4"/>
  <c r="CE60" i="4"/>
  <c r="BZ60" i="4"/>
  <c r="BU60" i="4"/>
  <c r="BP60" i="4"/>
  <c r="AW60" i="4"/>
  <c r="AS60" i="4"/>
  <c r="AO60" i="4"/>
  <c r="AK60" i="4"/>
  <c r="AG60" i="4"/>
  <c r="AC60" i="4"/>
  <c r="Y60" i="4"/>
  <c r="U60" i="4"/>
  <c r="Q60" i="4"/>
  <c r="M60" i="4"/>
  <c r="DS59" i="4"/>
  <c r="DN59" i="4"/>
  <c r="DI59" i="4"/>
  <c r="DD59" i="4"/>
  <c r="CY59" i="4"/>
  <c r="CT59" i="4"/>
  <c r="CO59" i="4"/>
  <c r="CJ59" i="4"/>
  <c r="CE59" i="4"/>
  <c r="BZ59" i="4"/>
  <c r="BU59" i="4"/>
  <c r="BP59" i="4"/>
  <c r="AW59" i="4"/>
  <c r="AS59" i="4"/>
  <c r="AO59" i="4"/>
  <c r="AK59" i="4"/>
  <c r="AG59" i="4"/>
  <c r="AC59" i="4"/>
  <c r="Y59" i="4"/>
  <c r="U59" i="4"/>
  <c r="Q59" i="4"/>
  <c r="M59" i="4"/>
  <c r="DS58" i="4"/>
  <c r="DN58" i="4"/>
  <c r="DI58" i="4"/>
  <c r="DD58" i="4"/>
  <c r="CY58" i="4"/>
  <c r="CT58" i="4"/>
  <c r="CO58" i="4"/>
  <c r="CJ58" i="4"/>
  <c r="CE58" i="4"/>
  <c r="BZ58" i="4"/>
  <c r="BU58" i="4"/>
  <c r="BP58" i="4"/>
  <c r="AW58" i="4"/>
  <c r="AS58" i="4"/>
  <c r="AO58" i="4"/>
  <c r="AK58" i="4"/>
  <c r="AG58" i="4"/>
  <c r="AC58" i="4"/>
  <c r="Y58" i="4"/>
  <c r="U58" i="4"/>
  <c r="Q58" i="4"/>
  <c r="M58" i="4"/>
  <c r="M69" i="3" s="1"/>
  <c r="DS57" i="4"/>
  <c r="DN57" i="4"/>
  <c r="DI57" i="4"/>
  <c r="DD57" i="4"/>
  <c r="CY57" i="4"/>
  <c r="CT57" i="4"/>
  <c r="CO57" i="4"/>
  <c r="CJ57" i="4"/>
  <c r="CE57" i="4"/>
  <c r="BZ57" i="4"/>
  <c r="BU57" i="4"/>
  <c r="BP57" i="4"/>
  <c r="AW57" i="4"/>
  <c r="AS57" i="4"/>
  <c r="AO57" i="4"/>
  <c r="AK57" i="4"/>
  <c r="AG57" i="4"/>
  <c r="AC57" i="4"/>
  <c r="Y57" i="4"/>
  <c r="U57" i="4"/>
  <c r="Q57" i="4"/>
  <c r="M57" i="4"/>
  <c r="EB56" i="4"/>
  <c r="EC56" i="4" s="1"/>
  <c r="DZ56" i="4"/>
  <c r="EA56" i="4" s="1"/>
  <c r="DX56" i="4"/>
  <c r="DY56" i="4" s="1"/>
  <c r="DV56" i="4"/>
  <c r="DW56" i="4" s="1"/>
  <c r="BL56" i="4"/>
  <c r="BM56" i="4" s="1"/>
  <c r="BJ56" i="4"/>
  <c r="BK56" i="4" s="1"/>
  <c r="BH56" i="4"/>
  <c r="BI56" i="4" s="1"/>
  <c r="EB55" i="4"/>
  <c r="EC55" i="4" s="1"/>
  <c r="DZ55" i="4"/>
  <c r="EA55" i="4" s="1"/>
  <c r="DX55" i="4"/>
  <c r="DY55" i="4" s="1"/>
  <c r="DV55" i="4"/>
  <c r="DW55" i="4" s="1"/>
  <c r="BL55" i="4"/>
  <c r="BM55" i="4" s="1"/>
  <c r="BJ55" i="4"/>
  <c r="BK55" i="4" s="1"/>
  <c r="BH55" i="4"/>
  <c r="BI55" i="4" s="1"/>
  <c r="EB54" i="4"/>
  <c r="EC54" i="4" s="1"/>
  <c r="DZ54" i="4"/>
  <c r="EA54" i="4" s="1"/>
  <c r="DX54" i="4"/>
  <c r="DY54" i="4" s="1"/>
  <c r="DV54" i="4"/>
  <c r="DW54" i="4" s="1"/>
  <c r="BL54" i="4"/>
  <c r="BM54" i="4" s="1"/>
  <c r="BJ54" i="4"/>
  <c r="BK54" i="4" s="1"/>
  <c r="BH54" i="4"/>
  <c r="BI54" i="4" s="1"/>
  <c r="DS53" i="4"/>
  <c r="DN53" i="4"/>
  <c r="DI53" i="4"/>
  <c r="DD53" i="4"/>
  <c r="CY53" i="4"/>
  <c r="CT53" i="4"/>
  <c r="CO53" i="4"/>
  <c r="CJ53" i="4"/>
  <c r="CE53" i="4"/>
  <c r="BZ53" i="4"/>
  <c r="BU53" i="4"/>
  <c r="BP53" i="4"/>
  <c r="BE53" i="4"/>
  <c r="BA53" i="4"/>
  <c r="AW53" i="4"/>
  <c r="AS53" i="4"/>
  <c r="AO53" i="4"/>
  <c r="AK53" i="4"/>
  <c r="AG53" i="4"/>
  <c r="AC53" i="4"/>
  <c r="Y53" i="4"/>
  <c r="U53" i="4"/>
  <c r="Q53" i="4"/>
  <c r="M53" i="4"/>
  <c r="DS52" i="4"/>
  <c r="DN52" i="4"/>
  <c r="DI52" i="4"/>
  <c r="DD52" i="4"/>
  <c r="CY52" i="4"/>
  <c r="CT52" i="4"/>
  <c r="CO52" i="4"/>
  <c r="CJ52" i="4"/>
  <c r="CE52" i="4"/>
  <c r="BZ52" i="4"/>
  <c r="BU52" i="4"/>
  <c r="BP52" i="4"/>
  <c r="BE52" i="4"/>
  <c r="BA52" i="4"/>
  <c r="AW52" i="4"/>
  <c r="AS52" i="4"/>
  <c r="AO52" i="4"/>
  <c r="AK52" i="4"/>
  <c r="AG52" i="4"/>
  <c r="AC52" i="4"/>
  <c r="Y52" i="4"/>
  <c r="U52" i="4"/>
  <c r="Q52" i="4"/>
  <c r="M52" i="4"/>
  <c r="DS51" i="4"/>
  <c r="DN51" i="4"/>
  <c r="DI51" i="4"/>
  <c r="DD51" i="4"/>
  <c r="CY51" i="4"/>
  <c r="CT51" i="4"/>
  <c r="CO51" i="4"/>
  <c r="CJ51" i="4"/>
  <c r="CE51" i="4"/>
  <c r="BZ51" i="4"/>
  <c r="BU51" i="4"/>
  <c r="BP51" i="4"/>
  <c r="BE51" i="4"/>
  <c r="BA51" i="4"/>
  <c r="AW51" i="4"/>
  <c r="AS51" i="4"/>
  <c r="AO51" i="4"/>
  <c r="AK51" i="4"/>
  <c r="AG51" i="4"/>
  <c r="AC51" i="4"/>
  <c r="Y51" i="4"/>
  <c r="U51" i="4"/>
  <c r="Q51" i="4"/>
  <c r="M51" i="4"/>
  <c r="BZ50" i="4"/>
  <c r="BU50" i="4"/>
  <c r="BP50" i="4"/>
  <c r="BE50" i="4"/>
  <c r="DS49" i="4"/>
  <c r="DN49" i="4"/>
  <c r="DI49" i="4"/>
  <c r="DD49" i="4"/>
  <c r="CY49" i="4"/>
  <c r="CT49" i="4"/>
  <c r="CO49" i="4"/>
  <c r="CJ49" i="4"/>
  <c r="CE49" i="4"/>
  <c r="BZ49" i="4"/>
  <c r="BU49" i="4"/>
  <c r="BP49" i="4"/>
  <c r="BE49" i="4"/>
  <c r="BA49" i="4"/>
  <c r="AW49" i="4"/>
  <c r="AS49" i="4"/>
  <c r="AO49" i="4"/>
  <c r="AK49" i="4"/>
  <c r="AG49" i="4"/>
  <c r="AC49" i="4"/>
  <c r="Y49" i="4"/>
  <c r="U49" i="4"/>
  <c r="Q49" i="4"/>
  <c r="M49" i="4"/>
  <c r="DS48" i="4"/>
  <c r="DN48" i="4"/>
  <c r="DI48" i="4"/>
  <c r="DD48" i="4"/>
  <c r="CY48" i="4"/>
  <c r="CT48" i="4"/>
  <c r="CO48" i="4"/>
  <c r="CJ48" i="4"/>
  <c r="CE48" i="4"/>
  <c r="BZ48" i="4"/>
  <c r="BU48" i="4"/>
  <c r="BP48" i="4"/>
  <c r="BE48" i="4"/>
  <c r="BA48" i="4"/>
  <c r="AW48" i="4"/>
  <c r="AS48" i="4"/>
  <c r="AO48" i="4"/>
  <c r="AK48" i="4"/>
  <c r="AG48" i="4"/>
  <c r="AC48" i="4"/>
  <c r="Y48" i="4"/>
  <c r="U48" i="4"/>
  <c r="Q48" i="4"/>
  <c r="M48" i="4"/>
  <c r="BZ47" i="4"/>
  <c r="BU47" i="4"/>
  <c r="BP47" i="4"/>
  <c r="BE47" i="4"/>
  <c r="DS46" i="4"/>
  <c r="DN46" i="4"/>
  <c r="DI46" i="4"/>
  <c r="DD46" i="4"/>
  <c r="CY46" i="4"/>
  <c r="CT46" i="4"/>
  <c r="CO46" i="4"/>
  <c r="CJ46" i="4"/>
  <c r="CE46" i="4"/>
  <c r="BZ46" i="4"/>
  <c r="BU46" i="4"/>
  <c r="BP46" i="4"/>
  <c r="BE46" i="4"/>
  <c r="AS46" i="4"/>
  <c r="AO46" i="4"/>
  <c r="AK46" i="4"/>
  <c r="AG46" i="4"/>
  <c r="AC46" i="4"/>
  <c r="Y46" i="4"/>
  <c r="U46" i="4"/>
  <c r="Q46" i="4"/>
  <c r="M46" i="4"/>
  <c r="DS45" i="4"/>
  <c r="DN45" i="4"/>
  <c r="DI45" i="4"/>
  <c r="DD45" i="4"/>
  <c r="CY45" i="4"/>
  <c r="CT45" i="4"/>
  <c r="CO45" i="4"/>
  <c r="CJ45" i="4"/>
  <c r="CE45" i="4"/>
  <c r="BZ45" i="4"/>
  <c r="BU45" i="4"/>
  <c r="BP45" i="4"/>
  <c r="BE45" i="4"/>
  <c r="BA45" i="4"/>
  <c r="AS45" i="4"/>
  <c r="AO45" i="4"/>
  <c r="AK45" i="4"/>
  <c r="AG45" i="4"/>
  <c r="AC45" i="4"/>
  <c r="Z45" i="4"/>
  <c r="Y45" i="4"/>
  <c r="U45" i="4"/>
  <c r="Q45" i="4"/>
  <c r="Q69" i="3" s="1"/>
  <c r="M45" i="4"/>
  <c r="DS44" i="4"/>
  <c r="DN44" i="4"/>
  <c r="DI44" i="4"/>
  <c r="DD44" i="4"/>
  <c r="CY44" i="4"/>
  <c r="CT44" i="4"/>
  <c r="CO44" i="4"/>
  <c r="CJ44" i="4"/>
  <c r="CE44" i="4"/>
  <c r="BZ44" i="4"/>
  <c r="BU44" i="4"/>
  <c r="BP44" i="4"/>
  <c r="BE44" i="4"/>
  <c r="BA44" i="4"/>
  <c r="AS44" i="4"/>
  <c r="AO44" i="4"/>
  <c r="AK44" i="4"/>
  <c r="AG44" i="4"/>
  <c r="AC44" i="4"/>
  <c r="Y44" i="4"/>
  <c r="U44" i="4"/>
  <c r="Q44" i="4"/>
  <c r="DS43" i="4"/>
  <c r="DN43" i="4"/>
  <c r="DI43" i="4"/>
  <c r="DD43" i="4"/>
  <c r="CY43" i="4"/>
  <c r="CT43" i="4"/>
  <c r="CO43" i="4"/>
  <c r="CJ43" i="4"/>
  <c r="CE43" i="4"/>
  <c r="BZ43" i="4"/>
  <c r="BU43" i="4"/>
  <c r="BP43" i="4"/>
  <c r="BE43" i="4"/>
  <c r="BA43" i="4"/>
  <c r="AW43" i="4"/>
  <c r="AS43" i="4"/>
  <c r="AO43" i="4"/>
  <c r="AK43" i="4"/>
  <c r="AG43" i="4"/>
  <c r="AC43" i="4"/>
  <c r="Y43" i="4"/>
  <c r="U43" i="4"/>
  <c r="Q43" i="4"/>
  <c r="M43" i="4"/>
  <c r="DS42" i="4"/>
  <c r="DN42" i="4"/>
  <c r="DI42" i="4"/>
  <c r="DD42" i="4"/>
  <c r="CY42" i="4"/>
  <c r="CT42" i="4"/>
  <c r="CO42" i="4"/>
  <c r="CJ42" i="4"/>
  <c r="CE42" i="4"/>
  <c r="BZ42" i="4"/>
  <c r="BU42" i="4"/>
  <c r="BP42" i="4"/>
  <c r="BE42" i="4"/>
  <c r="BA42" i="4"/>
  <c r="AW42" i="4"/>
  <c r="AS42" i="4"/>
  <c r="AO42" i="4"/>
  <c r="AK42" i="4"/>
  <c r="AG42" i="4"/>
  <c r="AC42" i="4"/>
  <c r="Y42" i="4"/>
  <c r="U42" i="4"/>
  <c r="Q42" i="4"/>
  <c r="M42" i="4"/>
  <c r="DS41" i="4"/>
  <c r="DN41" i="4"/>
  <c r="DI41" i="4"/>
  <c r="DD41" i="4"/>
  <c r="CY41" i="4"/>
  <c r="CT41" i="4"/>
  <c r="CO41" i="4"/>
  <c r="CJ41" i="4"/>
  <c r="CE41" i="4"/>
  <c r="BZ41" i="4"/>
  <c r="BU41" i="4"/>
  <c r="BP41" i="4"/>
  <c r="BE41" i="4"/>
  <c r="BA41" i="4"/>
  <c r="AW41" i="4"/>
  <c r="AS41" i="4"/>
  <c r="AO41" i="4"/>
  <c r="AK41" i="4"/>
  <c r="AG41" i="4"/>
  <c r="AC41" i="4"/>
  <c r="Y41" i="4"/>
  <c r="U41" i="4"/>
  <c r="Q41" i="4"/>
  <c r="M41" i="4"/>
  <c r="DS40" i="4"/>
  <c r="DS68" i="3" s="1"/>
  <c r="DN40" i="4"/>
  <c r="DI40" i="4"/>
  <c r="DD40" i="4"/>
  <c r="CY40" i="4"/>
  <c r="CT40" i="4"/>
  <c r="CO40" i="4"/>
  <c r="CJ40" i="4"/>
  <c r="CE40" i="4"/>
  <c r="BZ40" i="4"/>
  <c r="BU40" i="4"/>
  <c r="BP40" i="4"/>
  <c r="BE40" i="4"/>
  <c r="BA40" i="4"/>
  <c r="AW40" i="4"/>
  <c r="AS40" i="4"/>
  <c r="AO40" i="4"/>
  <c r="AK40" i="4"/>
  <c r="AG40" i="4"/>
  <c r="AC40" i="4"/>
  <c r="Y40" i="4"/>
  <c r="U40" i="4"/>
  <c r="Q40" i="4"/>
  <c r="M40" i="4"/>
  <c r="EB39" i="4"/>
  <c r="EC39" i="4" s="1"/>
  <c r="DZ39" i="4"/>
  <c r="EA39" i="4" s="1"/>
  <c r="DX39" i="4"/>
  <c r="DY39" i="4" s="1"/>
  <c r="DV39" i="4"/>
  <c r="DW39" i="4" s="1"/>
  <c r="BL39" i="4"/>
  <c r="BM39" i="4" s="1"/>
  <c r="BJ39" i="4"/>
  <c r="BK39" i="4" s="1"/>
  <c r="BH39" i="4"/>
  <c r="BI39" i="4" s="1"/>
  <c r="EB38" i="4"/>
  <c r="EC38" i="4" s="1"/>
  <c r="DZ38" i="4"/>
  <c r="EA38" i="4" s="1"/>
  <c r="DX38" i="4"/>
  <c r="DY38" i="4" s="1"/>
  <c r="DV38" i="4"/>
  <c r="DW38" i="4" s="1"/>
  <c r="BL38" i="4"/>
  <c r="BM38" i="4" s="1"/>
  <c r="BJ38" i="4"/>
  <c r="BK38" i="4" s="1"/>
  <c r="BH38" i="4"/>
  <c r="BI38" i="4" s="1"/>
  <c r="DS37" i="4"/>
  <c r="DN37" i="4"/>
  <c r="DI37" i="4"/>
  <c r="DD37" i="4"/>
  <c r="CY37" i="4"/>
  <c r="CT37" i="4"/>
  <c r="CO37" i="4"/>
  <c r="CJ37" i="4"/>
  <c r="CE37" i="4"/>
  <c r="BZ37" i="4"/>
  <c r="BU37" i="4"/>
  <c r="BP37" i="4"/>
  <c r="BE37" i="4"/>
  <c r="BA37" i="4"/>
  <c r="AW37" i="4"/>
  <c r="AS37" i="4"/>
  <c r="AO37" i="4"/>
  <c r="AK37" i="4"/>
  <c r="AG37" i="4"/>
  <c r="AC37" i="4"/>
  <c r="Y37" i="4"/>
  <c r="U37" i="4"/>
  <c r="Q37" i="4"/>
  <c r="M37" i="4"/>
  <c r="DS36" i="4"/>
  <c r="DN36" i="4"/>
  <c r="DI36" i="4"/>
  <c r="DD36" i="4"/>
  <c r="CY36" i="4"/>
  <c r="CT36" i="4"/>
  <c r="CO36" i="4"/>
  <c r="CJ36" i="4"/>
  <c r="CE36" i="4"/>
  <c r="BZ36" i="4"/>
  <c r="BU36" i="4"/>
  <c r="BP36" i="4"/>
  <c r="BE36" i="4"/>
  <c r="BA36" i="4"/>
  <c r="AW36" i="4"/>
  <c r="AS36" i="4"/>
  <c r="AO36" i="4"/>
  <c r="AK36" i="4"/>
  <c r="AG36" i="4"/>
  <c r="AC36" i="4"/>
  <c r="Y36" i="4"/>
  <c r="U36" i="4"/>
  <c r="Q36" i="4"/>
  <c r="M36" i="4"/>
  <c r="DS35" i="4"/>
  <c r="DN35" i="4"/>
  <c r="DI35" i="4"/>
  <c r="DD35" i="4"/>
  <c r="CY35" i="4"/>
  <c r="CT35" i="4"/>
  <c r="CO35" i="4"/>
  <c r="CJ35" i="4"/>
  <c r="CE35" i="4"/>
  <c r="BZ35" i="4"/>
  <c r="BU35" i="4"/>
  <c r="BP35" i="4"/>
  <c r="BE35" i="4"/>
  <c r="BA35" i="4"/>
  <c r="AW35" i="4"/>
  <c r="AS35" i="4"/>
  <c r="AO35" i="4"/>
  <c r="AK35" i="4"/>
  <c r="AG35" i="4"/>
  <c r="AC35" i="4"/>
  <c r="Y35" i="4"/>
  <c r="U35" i="4"/>
  <c r="Q35" i="4"/>
  <c r="M35" i="4"/>
  <c r="DS34" i="4"/>
  <c r="DN34" i="4"/>
  <c r="DI34" i="4"/>
  <c r="DD34" i="4"/>
  <c r="CY34" i="4"/>
  <c r="CT34" i="4"/>
  <c r="CO34" i="4"/>
  <c r="CJ34" i="4"/>
  <c r="CE34" i="4"/>
  <c r="BZ34" i="4"/>
  <c r="BU34" i="4"/>
  <c r="BP34" i="4"/>
  <c r="BE34" i="4"/>
  <c r="BA34" i="4"/>
  <c r="AW34" i="4"/>
  <c r="AS34" i="4"/>
  <c r="AO34" i="4"/>
  <c r="AK34" i="4"/>
  <c r="AG34" i="4"/>
  <c r="AC34" i="4"/>
  <c r="Y34" i="4"/>
  <c r="U34" i="4"/>
  <c r="Q34" i="4"/>
  <c r="M34" i="4"/>
  <c r="DS33" i="4"/>
  <c r="DN33" i="4"/>
  <c r="DI33" i="4"/>
  <c r="DD33" i="4"/>
  <c r="CY33" i="4"/>
  <c r="CT33" i="4"/>
  <c r="CO33" i="4"/>
  <c r="CJ33" i="4"/>
  <c r="CE33" i="4"/>
  <c r="BZ33" i="4"/>
  <c r="BU33" i="4"/>
  <c r="BP33" i="4"/>
  <c r="BE33" i="4"/>
  <c r="BA33" i="4"/>
  <c r="AW33" i="4"/>
  <c r="AS33" i="4"/>
  <c r="AO33" i="4"/>
  <c r="AK33" i="4"/>
  <c r="AG33" i="4"/>
  <c r="AC33" i="4"/>
  <c r="Y33" i="4"/>
  <c r="U33" i="4"/>
  <c r="Q33" i="4"/>
  <c r="M33" i="4"/>
  <c r="DS32" i="4"/>
  <c r="DN32" i="4"/>
  <c r="DI32" i="4"/>
  <c r="DD32" i="4"/>
  <c r="CY32" i="4"/>
  <c r="CT32" i="4"/>
  <c r="CO32" i="4"/>
  <c r="CJ32" i="4"/>
  <c r="CE32" i="4"/>
  <c r="BZ32" i="4"/>
  <c r="BU32" i="4"/>
  <c r="BP32" i="4"/>
  <c r="BE32" i="4"/>
  <c r="BA32" i="4"/>
  <c r="AW32" i="4"/>
  <c r="AS32" i="4"/>
  <c r="AO32" i="4"/>
  <c r="AK32" i="4"/>
  <c r="AG32" i="4"/>
  <c r="AC32" i="4"/>
  <c r="Y32" i="4"/>
  <c r="U32" i="4"/>
  <c r="Q32" i="4"/>
  <c r="M32" i="4"/>
  <c r="DS31" i="4"/>
  <c r="DN31" i="4"/>
  <c r="DI31" i="4"/>
  <c r="DD31" i="4"/>
  <c r="CY31" i="4"/>
  <c r="CT31" i="4"/>
  <c r="CO31" i="4"/>
  <c r="CJ31" i="4"/>
  <c r="CE31" i="4"/>
  <c r="BZ31" i="4"/>
  <c r="BU31" i="4"/>
  <c r="BP31" i="4"/>
  <c r="BE31" i="4"/>
  <c r="BA31" i="4"/>
  <c r="AW31" i="4"/>
  <c r="AS31" i="4"/>
  <c r="AO31" i="4"/>
  <c r="AK31" i="4"/>
  <c r="AG31" i="4"/>
  <c r="AC31" i="4"/>
  <c r="Y31" i="4"/>
  <c r="U31" i="4"/>
  <c r="Q31" i="4"/>
  <c r="M31" i="4"/>
  <c r="DS30" i="4"/>
  <c r="DN30" i="4"/>
  <c r="DI30" i="4"/>
  <c r="DD30" i="4"/>
  <c r="CY30" i="4"/>
  <c r="CT30" i="4"/>
  <c r="CO30" i="4"/>
  <c r="CJ30" i="4"/>
  <c r="CE30" i="4"/>
  <c r="BZ30" i="4"/>
  <c r="BU30" i="4"/>
  <c r="BP30" i="4"/>
  <c r="BE30" i="4"/>
  <c r="BL30" i="4" s="1"/>
  <c r="BM30" i="4" s="1"/>
  <c r="DS29" i="4"/>
  <c r="DN29" i="4"/>
  <c r="DI29" i="4"/>
  <c r="DD29" i="4"/>
  <c r="CY29" i="4"/>
  <c r="CT29" i="4"/>
  <c r="CO29" i="4"/>
  <c r="CJ29" i="4"/>
  <c r="CE29" i="4"/>
  <c r="BZ29" i="4"/>
  <c r="BU29" i="4"/>
  <c r="BP29" i="4"/>
  <c r="BE29" i="4"/>
  <c r="BA29" i="4"/>
  <c r="AW29" i="4"/>
  <c r="AS29" i="4"/>
  <c r="AO29" i="4"/>
  <c r="AK29" i="4"/>
  <c r="AG29" i="4"/>
  <c r="AC29" i="4"/>
  <c r="Y29" i="4"/>
  <c r="U29" i="4"/>
  <c r="Q29" i="4"/>
  <c r="M29" i="4"/>
  <c r="DS28" i="4"/>
  <c r="DN28" i="4"/>
  <c r="DI28" i="4"/>
  <c r="DD28" i="4"/>
  <c r="CY28" i="4"/>
  <c r="CT28" i="4"/>
  <c r="CO28" i="4"/>
  <c r="CJ28" i="4"/>
  <c r="CE28" i="4"/>
  <c r="BZ28" i="4"/>
  <c r="BU28" i="4"/>
  <c r="BP28" i="4"/>
  <c r="BE28" i="4"/>
  <c r="BA28" i="4"/>
  <c r="AW28" i="4"/>
  <c r="AS28" i="4"/>
  <c r="AO28" i="4"/>
  <c r="AK28" i="4"/>
  <c r="AG28" i="4"/>
  <c r="AC28" i="4"/>
  <c r="Y28" i="4"/>
  <c r="U28" i="4"/>
  <c r="Q28" i="4"/>
  <c r="M28" i="4"/>
  <c r="DS27" i="4"/>
  <c r="DN27" i="4"/>
  <c r="DI27" i="4"/>
  <c r="DD27" i="4"/>
  <c r="CY27" i="4"/>
  <c r="CT27" i="4"/>
  <c r="CO27" i="4"/>
  <c r="CJ27" i="4"/>
  <c r="CE27" i="4"/>
  <c r="BZ27" i="4"/>
  <c r="BU27" i="4"/>
  <c r="BP27" i="4"/>
  <c r="BE27" i="4"/>
  <c r="BA27" i="4"/>
  <c r="AW27" i="4"/>
  <c r="AS27" i="4"/>
  <c r="AO27" i="4"/>
  <c r="AK27" i="4"/>
  <c r="AG27" i="4"/>
  <c r="AC27" i="4"/>
  <c r="Y27" i="4"/>
  <c r="U27" i="4"/>
  <c r="Q27" i="4"/>
  <c r="M27" i="4"/>
  <c r="DS26" i="4"/>
  <c r="DN26" i="4"/>
  <c r="DI26" i="4"/>
  <c r="DD26" i="4"/>
  <c r="CY26" i="4"/>
  <c r="CT26" i="4"/>
  <c r="CO26" i="4"/>
  <c r="CJ26" i="4"/>
  <c r="CE26" i="4"/>
  <c r="BZ26" i="4"/>
  <c r="BU26" i="4"/>
  <c r="BP26" i="4"/>
  <c r="BE26" i="4"/>
  <c r="BA26" i="4"/>
  <c r="AW26" i="4"/>
  <c r="AS26" i="4"/>
  <c r="AO26" i="4"/>
  <c r="AK26" i="4"/>
  <c r="AG26" i="4"/>
  <c r="AC26" i="4"/>
  <c r="Y26" i="4"/>
  <c r="U26" i="4"/>
  <c r="Q26" i="4"/>
  <c r="M26" i="4"/>
  <c r="EB25" i="4"/>
  <c r="EC25" i="4" s="1"/>
  <c r="DZ25" i="4"/>
  <c r="EA25" i="4" s="1"/>
  <c r="DX25" i="4"/>
  <c r="DY25" i="4" s="1"/>
  <c r="DV25" i="4"/>
  <c r="DW25" i="4" s="1"/>
  <c r="BL25" i="4"/>
  <c r="BM25" i="4" s="1"/>
  <c r="BJ25" i="4"/>
  <c r="BK25" i="4" s="1"/>
  <c r="BH25" i="4"/>
  <c r="BI25" i="4" s="1"/>
  <c r="EB24" i="4"/>
  <c r="EC24" i="4" s="1"/>
  <c r="DZ24" i="4"/>
  <c r="EA24" i="4" s="1"/>
  <c r="DX24" i="4"/>
  <c r="DY24" i="4" s="1"/>
  <c r="DV24" i="4"/>
  <c r="DW24" i="4" s="1"/>
  <c r="BL24" i="4"/>
  <c r="BM24" i="4" s="1"/>
  <c r="BJ24" i="4"/>
  <c r="BK24" i="4" s="1"/>
  <c r="BH24" i="4"/>
  <c r="BI24" i="4" s="1"/>
  <c r="EB23" i="4"/>
  <c r="EC23" i="4" s="1"/>
  <c r="DZ23" i="4"/>
  <c r="EA23" i="4" s="1"/>
  <c r="DX23" i="4"/>
  <c r="DY23" i="4" s="1"/>
  <c r="DV23" i="4"/>
  <c r="DW23" i="4" s="1"/>
  <c r="BL23" i="4"/>
  <c r="BM23" i="4" s="1"/>
  <c r="BJ23" i="4"/>
  <c r="BK23" i="4" s="1"/>
  <c r="BH23" i="4"/>
  <c r="BI23" i="4" s="1"/>
  <c r="EB22" i="4"/>
  <c r="EC22" i="4" s="1"/>
  <c r="DZ22" i="4"/>
  <c r="EA22" i="4" s="1"/>
  <c r="DX22" i="4"/>
  <c r="DY22" i="4" s="1"/>
  <c r="DV22" i="4"/>
  <c r="DW22" i="4" s="1"/>
  <c r="BL22" i="4"/>
  <c r="BM22" i="4" s="1"/>
  <c r="BJ22" i="4"/>
  <c r="BK22" i="4" s="1"/>
  <c r="BH22" i="4"/>
  <c r="BI22" i="4" s="1"/>
  <c r="EB21" i="4"/>
  <c r="EC21" i="4" s="1"/>
  <c r="DZ21" i="4"/>
  <c r="EA21" i="4" s="1"/>
  <c r="DX21" i="4"/>
  <c r="DY21" i="4" s="1"/>
  <c r="DV21" i="4"/>
  <c r="DW21" i="4" s="1"/>
  <c r="BL21" i="4"/>
  <c r="BM21" i="4" s="1"/>
  <c r="BJ21" i="4"/>
  <c r="BK21" i="4" s="1"/>
  <c r="BH21" i="4"/>
  <c r="BI21" i="4" s="1"/>
  <c r="DS20" i="4"/>
  <c r="DN20" i="4"/>
  <c r="DI20" i="4"/>
  <c r="DD20" i="4"/>
  <c r="CY20" i="4"/>
  <c r="CT20" i="4"/>
  <c r="CO20" i="4"/>
  <c r="CJ20" i="4"/>
  <c r="CE20" i="4"/>
  <c r="BZ20" i="4"/>
  <c r="BU20" i="4"/>
  <c r="BP20" i="4"/>
  <c r="BE20" i="4"/>
  <c r="BA20" i="4"/>
  <c r="AW20" i="4"/>
  <c r="AS20" i="4"/>
  <c r="AO20" i="4"/>
  <c r="AK20" i="4"/>
  <c r="AG20" i="4"/>
  <c r="AC20" i="4"/>
  <c r="Y20" i="4"/>
  <c r="U20" i="4"/>
  <c r="Q20" i="4"/>
  <c r="M20" i="4"/>
  <c r="DS19" i="4"/>
  <c r="DN19" i="4"/>
  <c r="DI19" i="4"/>
  <c r="DD19" i="4"/>
  <c r="CY19" i="4"/>
  <c r="CT19" i="4"/>
  <c r="CO19" i="4"/>
  <c r="CJ19" i="4"/>
  <c r="CE19" i="4"/>
  <c r="BZ19" i="4"/>
  <c r="BU19" i="4"/>
  <c r="BP19" i="4"/>
  <c r="BE19" i="4"/>
  <c r="BA19" i="4"/>
  <c r="AW19" i="4"/>
  <c r="AS19" i="4"/>
  <c r="AO19" i="4"/>
  <c r="AK19" i="4"/>
  <c r="AG19" i="4"/>
  <c r="AC19" i="4"/>
  <c r="Y19" i="4"/>
  <c r="U19" i="4"/>
  <c r="Q19" i="4"/>
  <c r="M19" i="4"/>
  <c r="DS18" i="4"/>
  <c r="DN18" i="4"/>
  <c r="DI18" i="4"/>
  <c r="DD18" i="4"/>
  <c r="CY18" i="4"/>
  <c r="CT18" i="4"/>
  <c r="CO18" i="4"/>
  <c r="CJ18" i="4"/>
  <c r="CE18" i="4"/>
  <c r="BZ18" i="4"/>
  <c r="BU18" i="4"/>
  <c r="BP18" i="4"/>
  <c r="BE18" i="4"/>
  <c r="BA18" i="4"/>
  <c r="AW18" i="4"/>
  <c r="AS18" i="4"/>
  <c r="AO18" i="4"/>
  <c r="AK18" i="4"/>
  <c r="AG18" i="4"/>
  <c r="AC18" i="4"/>
  <c r="Y18" i="4"/>
  <c r="U18" i="4"/>
  <c r="Q18" i="4"/>
  <c r="M18" i="4"/>
  <c r="DS17" i="4"/>
  <c r="DN17" i="4"/>
  <c r="DI17" i="4"/>
  <c r="DI68" i="3" s="1"/>
  <c r="DD17" i="4"/>
  <c r="CY17" i="4"/>
  <c r="CT17" i="4"/>
  <c r="CO17" i="4"/>
  <c r="CJ17" i="4"/>
  <c r="CE17" i="4"/>
  <c r="BZ17" i="4"/>
  <c r="BU17" i="4"/>
  <c r="BP17" i="4"/>
  <c r="BE17" i="4"/>
  <c r="BA17" i="4"/>
  <c r="DS16" i="4"/>
  <c r="DN16" i="4"/>
  <c r="DI16" i="4"/>
  <c r="DD16" i="4"/>
  <c r="CY16" i="4"/>
  <c r="CT16" i="4"/>
  <c r="CO16" i="4"/>
  <c r="CJ16" i="4"/>
  <c r="CE16" i="4"/>
  <c r="BZ16" i="4"/>
  <c r="BU16" i="4"/>
  <c r="BP16" i="4"/>
  <c r="BE16" i="4"/>
  <c r="BA16" i="4"/>
  <c r="AW16" i="4"/>
  <c r="AS16" i="4"/>
  <c r="AO16" i="4"/>
  <c r="AK16" i="4"/>
  <c r="AG16" i="4"/>
  <c r="AC16" i="4"/>
  <c r="Y16" i="4"/>
  <c r="U16" i="4"/>
  <c r="Q16" i="4"/>
  <c r="M16" i="4"/>
  <c r="DS15" i="4"/>
  <c r="DN15" i="4"/>
  <c r="DI15" i="4"/>
  <c r="DD15" i="4"/>
  <c r="CY15" i="4"/>
  <c r="CY68" i="3" s="1"/>
  <c r="CT15" i="4"/>
  <c r="CO15" i="4"/>
  <c r="CJ15" i="4"/>
  <c r="CE15" i="4"/>
  <c r="BZ15" i="4"/>
  <c r="BU15" i="4"/>
  <c r="BP15" i="4"/>
  <c r="BE15" i="4"/>
  <c r="BA15" i="4"/>
  <c r="AW15" i="4"/>
  <c r="AS15" i="4"/>
  <c r="AO15" i="4"/>
  <c r="AK15" i="4"/>
  <c r="AG15" i="4"/>
  <c r="AC15" i="4"/>
  <c r="Y15" i="4"/>
  <c r="U15" i="4"/>
  <c r="Q15" i="4"/>
  <c r="M15" i="4"/>
  <c r="CE14" i="4"/>
  <c r="BZ14" i="4"/>
  <c r="BU14" i="4"/>
  <c r="BP14" i="4"/>
  <c r="BE14" i="4"/>
  <c r="DS13" i="4"/>
  <c r="DN13" i="4"/>
  <c r="DI13" i="4"/>
  <c r="DD13" i="4"/>
  <c r="CY13" i="4"/>
  <c r="CT13" i="4"/>
  <c r="CO13" i="4"/>
  <c r="CJ13" i="4"/>
  <c r="CJ68" i="3" s="1"/>
  <c r="CE13" i="4"/>
  <c r="BZ13" i="4"/>
  <c r="BU13" i="4"/>
  <c r="BP13" i="4"/>
  <c r="BE13" i="4"/>
  <c r="AS13" i="4"/>
  <c r="AO13" i="4"/>
  <c r="AK13" i="4"/>
  <c r="AK69" i="3" s="1"/>
  <c r="AG13" i="4"/>
  <c r="AC13" i="4"/>
  <c r="Y13" i="4"/>
  <c r="U13" i="4"/>
  <c r="Q13" i="4"/>
  <c r="M13" i="4"/>
  <c r="DS12" i="4"/>
  <c r="DN12" i="4"/>
  <c r="DN68" i="3" s="1"/>
  <c r="DI12" i="4"/>
  <c r="DD12" i="4"/>
  <c r="CY12" i="4"/>
  <c r="CT12" i="4"/>
  <c r="CO12" i="4"/>
  <c r="CJ12" i="4"/>
  <c r="CE12" i="4"/>
  <c r="BZ12" i="4"/>
  <c r="BU12" i="4"/>
  <c r="BP12" i="4"/>
  <c r="BE12" i="4"/>
  <c r="BA12" i="4"/>
  <c r="AS12" i="4"/>
  <c r="AO12" i="4"/>
  <c r="AK12" i="4"/>
  <c r="AG12" i="4"/>
  <c r="AC12" i="4"/>
  <c r="Y12" i="4"/>
  <c r="U12" i="4"/>
  <c r="Q12" i="4"/>
  <c r="M12" i="4"/>
  <c r="CE11" i="4"/>
  <c r="BZ11" i="4"/>
  <c r="BU11" i="4"/>
  <c r="BU68" i="3" s="1"/>
  <c r="BP11" i="4"/>
  <c r="BE11" i="4"/>
  <c r="CE10" i="4"/>
  <c r="BZ10" i="4"/>
  <c r="BU10" i="4"/>
  <c r="BP10" i="4"/>
  <c r="BE10" i="4"/>
  <c r="BL10" i="4" s="1"/>
  <c r="BM10" i="4" s="1"/>
  <c r="CE9" i="4"/>
  <c r="CE69" i="3" s="1"/>
  <c r="BZ9" i="4"/>
  <c r="BU9" i="4"/>
  <c r="BP9" i="4"/>
  <c r="BE9" i="4"/>
  <c r="DS8" i="4"/>
  <c r="DN8" i="4"/>
  <c r="DI8" i="4"/>
  <c r="DD8" i="4"/>
  <c r="DD68" i="3" s="1"/>
  <c r="CY8" i="4"/>
  <c r="CT8" i="4"/>
  <c r="CO8" i="4"/>
  <c r="CJ8" i="4"/>
  <c r="CE8" i="4"/>
  <c r="BZ8" i="4"/>
  <c r="BU8" i="4"/>
  <c r="BP8" i="4"/>
  <c r="BP68" i="3" s="1"/>
  <c r="BE8" i="4"/>
  <c r="AS8" i="4"/>
  <c r="AO8" i="4"/>
  <c r="AK8" i="4"/>
  <c r="AG8" i="4"/>
  <c r="AC8" i="4"/>
  <c r="Y8" i="4"/>
  <c r="U8" i="4"/>
  <c r="Q8" i="4"/>
  <c r="M8" i="4"/>
  <c r="DS7" i="4"/>
  <c r="DN7" i="4"/>
  <c r="DI7" i="4"/>
  <c r="DD7" i="4"/>
  <c r="CY7" i="4"/>
  <c r="CT7" i="4"/>
  <c r="CT68" i="3" s="1"/>
  <c r="CO7" i="4"/>
  <c r="CJ7" i="4"/>
  <c r="CE7" i="4"/>
  <c r="BZ7" i="4"/>
  <c r="BU7" i="4"/>
  <c r="BP7" i="4"/>
  <c r="BE7" i="4"/>
  <c r="BA7" i="4"/>
  <c r="AW7" i="4"/>
  <c r="AS7" i="4"/>
  <c r="AO7" i="4"/>
  <c r="AK7" i="4"/>
  <c r="AG7" i="4"/>
  <c r="AC7" i="4"/>
  <c r="Y7" i="4"/>
  <c r="U7" i="4"/>
  <c r="Q7" i="4"/>
  <c r="M7" i="4"/>
  <c r="EB6" i="4"/>
  <c r="EC6" i="4" s="1"/>
  <c r="DZ6" i="4"/>
  <c r="EA6" i="4" s="1"/>
  <c r="DX6" i="4"/>
  <c r="DY6" i="4" s="1"/>
  <c r="DV6" i="4"/>
  <c r="DW6" i="4" s="1"/>
  <c r="BE6" i="4"/>
  <c r="BA6" i="4"/>
  <c r="AW6" i="4"/>
  <c r="AS6" i="4"/>
  <c r="AO6" i="4"/>
  <c r="AK6" i="4"/>
  <c r="AG6" i="4"/>
  <c r="AC6" i="4"/>
  <c r="Y6" i="4"/>
  <c r="U6" i="4"/>
  <c r="Q6" i="4"/>
  <c r="M6" i="4"/>
  <c r="EB5" i="4"/>
  <c r="EC5" i="4" s="1"/>
  <c r="DZ5" i="4"/>
  <c r="EA5" i="4" s="1"/>
  <c r="DX5" i="4"/>
  <c r="DY5" i="4" s="1"/>
  <c r="DV5" i="4"/>
  <c r="DW5" i="4" s="1"/>
  <c r="BE5" i="4"/>
  <c r="BA5" i="4"/>
  <c r="BA68" i="3" s="1"/>
  <c r="AW5" i="4"/>
  <c r="AS5" i="4"/>
  <c r="AO5" i="4"/>
  <c r="AK5" i="4"/>
  <c r="AG5" i="4"/>
  <c r="AC5" i="4"/>
  <c r="Y5" i="4"/>
  <c r="U5" i="4"/>
  <c r="U69" i="3" s="1"/>
  <c r="Q5" i="4"/>
  <c r="M5" i="4"/>
  <c r="G2" i="4"/>
  <c r="B2" i="4"/>
  <c r="H1" i="4"/>
  <c r="DU70" i="3"/>
  <c r="DT70" i="3"/>
  <c r="DR70" i="3"/>
  <c r="DQ70" i="3"/>
  <c r="DP70" i="3"/>
  <c r="DO70" i="3"/>
  <c r="DM70" i="3"/>
  <c r="DL70" i="3"/>
  <c r="DK70" i="3"/>
  <c r="DJ70" i="3"/>
  <c r="DH70" i="3"/>
  <c r="DG70" i="3"/>
  <c r="DF70" i="3"/>
  <c r="DE70" i="3"/>
  <c r="DC70" i="3"/>
  <c r="DB70" i="3"/>
  <c r="DA70" i="3"/>
  <c r="CZ70" i="3"/>
  <c r="CX70" i="3"/>
  <c r="CW70" i="3"/>
  <c r="CV70" i="3"/>
  <c r="CU70" i="3"/>
  <c r="CS70" i="3"/>
  <c r="CR70" i="3"/>
  <c r="CQ70" i="3"/>
  <c r="CP70" i="3"/>
  <c r="CN70" i="3"/>
  <c r="CM70" i="3"/>
  <c r="CL70" i="3"/>
  <c r="CK70" i="3"/>
  <c r="CI70" i="3"/>
  <c r="CH70" i="3"/>
  <c r="CG70" i="3"/>
  <c r="CF70" i="3"/>
  <c r="CD70" i="3"/>
  <c r="CC70" i="3"/>
  <c r="CB70" i="3"/>
  <c r="CA70" i="3"/>
  <c r="BY70" i="3"/>
  <c r="BX70" i="3"/>
  <c r="BW70" i="3"/>
  <c r="BV70" i="3"/>
  <c r="BT70" i="3"/>
  <c r="BS70" i="3"/>
  <c r="BR70" i="3"/>
  <c r="BQ70" i="3"/>
  <c r="BO70" i="3"/>
  <c r="BN70" i="3"/>
  <c r="BG70" i="3"/>
  <c r="BF70" i="3"/>
  <c r="BD70" i="3"/>
  <c r="BC70" i="3"/>
  <c r="BB70" i="3"/>
  <c r="AZ70" i="3"/>
  <c r="AY70" i="3"/>
  <c r="AX70" i="3"/>
  <c r="AV70" i="3"/>
  <c r="AU70" i="3"/>
  <c r="AT70" i="3"/>
  <c r="AR70" i="3"/>
  <c r="AQ70" i="3"/>
  <c r="AP70" i="3"/>
  <c r="AN70" i="3"/>
  <c r="AM70" i="3"/>
  <c r="AL70" i="3"/>
  <c r="AJ70" i="3"/>
  <c r="AI70" i="3"/>
  <c r="AH70" i="3"/>
  <c r="AF70" i="3"/>
  <c r="AE70" i="3"/>
  <c r="AD70" i="3"/>
  <c r="AB70" i="3"/>
  <c r="AA70" i="3"/>
  <c r="X70" i="3"/>
  <c r="W70" i="3"/>
  <c r="T70" i="3"/>
  <c r="S70" i="3"/>
  <c r="P70" i="3"/>
  <c r="O70" i="3"/>
  <c r="N70" i="3"/>
  <c r="L70" i="3"/>
  <c r="DU69" i="3"/>
  <c r="DT69" i="3"/>
  <c r="DR69" i="3"/>
  <c r="DQ69" i="3"/>
  <c r="DP69" i="3"/>
  <c r="DO69" i="3"/>
  <c r="DM69" i="3"/>
  <c r="DL69" i="3"/>
  <c r="DK69" i="3"/>
  <c r="DJ69" i="3"/>
  <c r="DH69" i="3"/>
  <c r="DG69" i="3"/>
  <c r="DF69" i="3"/>
  <c r="DE69" i="3"/>
  <c r="DC69" i="3"/>
  <c r="DB69" i="3"/>
  <c r="DA69" i="3"/>
  <c r="CZ69" i="3"/>
  <c r="CX69" i="3"/>
  <c r="CW69" i="3"/>
  <c r="CV69" i="3"/>
  <c r="CU69" i="3"/>
  <c r="CS69" i="3"/>
  <c r="CR69" i="3"/>
  <c r="CQ69" i="3"/>
  <c r="CP69" i="3"/>
  <c r="CN69" i="3"/>
  <c r="CM69" i="3"/>
  <c r="CL69" i="3"/>
  <c r="CK69" i="3"/>
  <c r="CI69" i="3"/>
  <c r="CH69" i="3"/>
  <c r="CG69" i="3"/>
  <c r="CF69" i="3"/>
  <c r="CD69" i="3"/>
  <c r="CC69" i="3"/>
  <c r="CB69" i="3"/>
  <c r="CA69" i="3"/>
  <c r="BY69" i="3"/>
  <c r="BX69" i="3"/>
  <c r="BW69" i="3"/>
  <c r="BV69" i="3"/>
  <c r="BT69" i="3"/>
  <c r="BS69" i="3"/>
  <c r="BR69" i="3"/>
  <c r="BQ69" i="3"/>
  <c r="BO69" i="3"/>
  <c r="BN69" i="3"/>
  <c r="BG69" i="3"/>
  <c r="BF69" i="3"/>
  <c r="BD69" i="3"/>
  <c r="BC69" i="3"/>
  <c r="BB69" i="3"/>
  <c r="AZ69" i="3"/>
  <c r="AY69" i="3"/>
  <c r="AX69" i="3"/>
  <c r="AV69" i="3"/>
  <c r="AU69" i="3"/>
  <c r="AT69" i="3"/>
  <c r="AR69" i="3"/>
  <c r="AQ69" i="3"/>
  <c r="AP69" i="3"/>
  <c r="AN69" i="3"/>
  <c r="AM69" i="3"/>
  <c r="AL69" i="3"/>
  <c r="AJ69" i="3"/>
  <c r="AI69" i="3"/>
  <c r="AH69" i="3"/>
  <c r="AF69" i="3"/>
  <c r="AE69" i="3"/>
  <c r="AD69" i="3"/>
  <c r="AC69" i="3"/>
  <c r="AB69" i="3"/>
  <c r="AA69" i="3"/>
  <c r="X69" i="3"/>
  <c r="W69" i="3"/>
  <c r="T69" i="3"/>
  <c r="S69" i="3"/>
  <c r="P69" i="3"/>
  <c r="O69" i="3"/>
  <c r="N69" i="3"/>
  <c r="L69" i="3"/>
  <c r="DU68" i="3"/>
  <c r="DT68" i="3"/>
  <c r="DR68" i="3"/>
  <c r="DQ68" i="3"/>
  <c r="DP68" i="3"/>
  <c r="DO68" i="3"/>
  <c r="DM68" i="3"/>
  <c r="DL68" i="3"/>
  <c r="DK68" i="3"/>
  <c r="DJ68" i="3"/>
  <c r="DH68" i="3"/>
  <c r="DG68" i="3"/>
  <c r="DF68" i="3"/>
  <c r="DE68" i="3"/>
  <c r="DC68" i="3"/>
  <c r="DB68" i="3"/>
  <c r="DA68" i="3"/>
  <c r="CZ68" i="3"/>
  <c r="CX68" i="3"/>
  <c r="CW68" i="3"/>
  <c r="CV68" i="3"/>
  <c r="CU68" i="3"/>
  <c r="CS68" i="3"/>
  <c r="CR68" i="3"/>
  <c r="CQ68" i="3"/>
  <c r="CP68" i="3"/>
  <c r="CO68" i="3"/>
  <c r="CN68" i="3"/>
  <c r="CM68" i="3"/>
  <c r="CL68" i="3"/>
  <c r="CK68" i="3"/>
  <c r="CI68" i="3"/>
  <c r="CH68" i="3"/>
  <c r="CG68" i="3"/>
  <c r="CF68" i="3"/>
  <c r="CD68" i="3"/>
  <c r="CC68" i="3"/>
  <c r="CB68" i="3"/>
  <c r="CA68" i="3"/>
  <c r="BZ68" i="3"/>
  <c r="BY68" i="3"/>
  <c r="BX68" i="3"/>
  <c r="BW68" i="3"/>
  <c r="BV68" i="3"/>
  <c r="BT68" i="3"/>
  <c r="BS68" i="3"/>
  <c r="BR68" i="3"/>
  <c r="BQ68" i="3"/>
  <c r="BO68" i="3"/>
  <c r="BN68" i="3"/>
  <c r="BG68" i="3"/>
  <c r="BF68" i="3"/>
  <c r="BE68" i="3"/>
  <c r="BD68" i="3"/>
  <c r="BC68" i="3"/>
  <c r="BB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J68" i="3"/>
  <c r="DU67" i="3"/>
  <c r="DT67" i="3"/>
  <c r="DS67" i="3"/>
  <c r="DR67" i="3"/>
  <c r="DQ67" i="3"/>
  <c r="DP67" i="3"/>
  <c r="DO67" i="3"/>
  <c r="DN67" i="3"/>
  <c r="DM67" i="3"/>
  <c r="DL67" i="3"/>
  <c r="DK67" i="3"/>
  <c r="DJ67" i="3"/>
  <c r="DI67" i="3"/>
  <c r="DH67" i="3"/>
  <c r="DG67" i="3"/>
  <c r="DF67" i="3"/>
  <c r="DE67" i="3"/>
  <c r="DD67" i="3"/>
  <c r="DC67" i="3"/>
  <c r="DB67" i="3"/>
  <c r="DA67" i="3"/>
  <c r="CZ67" i="3"/>
  <c r="CY67" i="3"/>
  <c r="CX67" i="3"/>
  <c r="CW67" i="3"/>
  <c r="CV67" i="3"/>
  <c r="CU67" i="3"/>
  <c r="CT67" i="3"/>
  <c r="CS67" i="3"/>
  <c r="CR67" i="3"/>
  <c r="CQ67" i="3"/>
  <c r="CP67" i="3"/>
  <c r="CO67" i="3"/>
  <c r="CN67" i="3"/>
  <c r="CM67" i="3"/>
  <c r="CL67" i="3"/>
  <c r="CK67" i="3"/>
  <c r="CJ67" i="3"/>
  <c r="CI67" i="3"/>
  <c r="CH67" i="3"/>
  <c r="CG67" i="3"/>
  <c r="CF67" i="3"/>
  <c r="CE67" i="3"/>
  <c r="CD67" i="3"/>
  <c r="CC67" i="3"/>
  <c r="CB67" i="3"/>
  <c r="CA67" i="3"/>
  <c r="BZ67" i="3"/>
  <c r="BY67" i="3"/>
  <c r="BX67" i="3"/>
  <c r="BW67" i="3"/>
  <c r="BV67" i="3"/>
  <c r="BU67" i="3"/>
  <c r="BT67" i="3"/>
  <c r="BS67" i="3"/>
  <c r="BR67" i="3"/>
  <c r="BQ67" i="3"/>
  <c r="BP67" i="3"/>
  <c r="BO67" i="3"/>
  <c r="BN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J67" i="3"/>
  <c r="DU66" i="3"/>
  <c r="DT66" i="3"/>
  <c r="DS66" i="3"/>
  <c r="DR66" i="3"/>
  <c r="DQ66" i="3"/>
  <c r="DP66" i="3"/>
  <c r="DO66" i="3"/>
  <c r="DN66" i="3"/>
  <c r="DM66" i="3"/>
  <c r="DL66" i="3"/>
  <c r="DK66" i="3"/>
  <c r="DJ66" i="3"/>
  <c r="DI66" i="3"/>
  <c r="DH66" i="3"/>
  <c r="DG66" i="3"/>
  <c r="DF66" i="3"/>
  <c r="DE66" i="3"/>
  <c r="DD66" i="3"/>
  <c r="DC66" i="3"/>
  <c r="DB66" i="3"/>
  <c r="DA66" i="3"/>
  <c r="CZ66" i="3"/>
  <c r="CY66" i="3"/>
  <c r="CX66" i="3"/>
  <c r="CW66" i="3"/>
  <c r="CV66" i="3"/>
  <c r="CU66" i="3"/>
  <c r="CT66" i="3"/>
  <c r="CS66" i="3"/>
  <c r="CR66" i="3"/>
  <c r="CQ66" i="3"/>
  <c r="CP66" i="3"/>
  <c r="CO66" i="3"/>
  <c r="CN66" i="3"/>
  <c r="CM66" i="3"/>
  <c r="CL66" i="3"/>
  <c r="CK66" i="3"/>
  <c r="CJ66" i="3"/>
  <c r="CI66" i="3"/>
  <c r="CH66" i="3"/>
  <c r="CG66" i="3"/>
  <c r="CF66" i="3"/>
  <c r="CE66" i="3"/>
  <c r="CD66" i="3"/>
  <c r="CC66" i="3"/>
  <c r="CB66" i="3"/>
  <c r="CA66" i="3"/>
  <c r="BZ66" i="3"/>
  <c r="BY66" i="3"/>
  <c r="BX66" i="3"/>
  <c r="BW66" i="3"/>
  <c r="BV66" i="3"/>
  <c r="BU66" i="3"/>
  <c r="BT66" i="3"/>
  <c r="BS66" i="3"/>
  <c r="BR66" i="3"/>
  <c r="BQ66" i="3"/>
  <c r="BP66" i="3"/>
  <c r="BO66" i="3"/>
  <c r="BN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DU65" i="3"/>
  <c r="DT65" i="3"/>
  <c r="DS65" i="3"/>
  <c r="DR65" i="3"/>
  <c r="DQ65" i="3"/>
  <c r="DP65" i="3"/>
  <c r="DO65" i="3"/>
  <c r="DN65" i="3"/>
  <c r="DM65" i="3"/>
  <c r="DL65" i="3"/>
  <c r="DK65" i="3"/>
  <c r="DJ65" i="3"/>
  <c r="DI65" i="3"/>
  <c r="DH65" i="3"/>
  <c r="DG65" i="3"/>
  <c r="DF65" i="3"/>
  <c r="DE65" i="3"/>
  <c r="DD65" i="3"/>
  <c r="DC65" i="3"/>
  <c r="DB65" i="3"/>
  <c r="DA65" i="3"/>
  <c r="CZ65" i="3"/>
  <c r="CY65" i="3"/>
  <c r="CX65" i="3"/>
  <c r="CW65" i="3"/>
  <c r="CV65" i="3"/>
  <c r="CU65" i="3"/>
  <c r="CT65" i="3"/>
  <c r="CS65" i="3"/>
  <c r="CR65" i="3"/>
  <c r="CQ65" i="3"/>
  <c r="CP65" i="3"/>
  <c r="CO65" i="3"/>
  <c r="CN65" i="3"/>
  <c r="CM65" i="3"/>
  <c r="CL65" i="3"/>
  <c r="CK65" i="3"/>
  <c r="CJ65" i="3"/>
  <c r="CI65" i="3"/>
  <c r="CH65" i="3"/>
  <c r="CG65" i="3"/>
  <c r="CF65" i="3"/>
  <c r="CE65" i="3"/>
  <c r="CD65" i="3"/>
  <c r="CC65" i="3"/>
  <c r="CB65" i="3"/>
  <c r="CA65" i="3"/>
  <c r="BZ65" i="3"/>
  <c r="BY65" i="3"/>
  <c r="BX65" i="3"/>
  <c r="BW65" i="3"/>
  <c r="BV65" i="3"/>
  <c r="BU65" i="3"/>
  <c r="BT65" i="3"/>
  <c r="BS65" i="3"/>
  <c r="BR65" i="3"/>
  <c r="BQ65" i="3"/>
  <c r="BP65" i="3"/>
  <c r="BO65" i="3"/>
  <c r="BN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DU64" i="3"/>
  <c r="DT64" i="3"/>
  <c r="DS64" i="3"/>
  <c r="DR64" i="3"/>
  <c r="DQ64" i="3"/>
  <c r="DP64" i="3"/>
  <c r="DO64" i="3"/>
  <c r="DN64" i="3"/>
  <c r="DM64" i="3"/>
  <c r="DL64" i="3"/>
  <c r="DK64" i="3"/>
  <c r="DJ64" i="3"/>
  <c r="DI64" i="3"/>
  <c r="DH64" i="3"/>
  <c r="DG64" i="3"/>
  <c r="DF64" i="3"/>
  <c r="DE64" i="3"/>
  <c r="DD64" i="3"/>
  <c r="DC64" i="3"/>
  <c r="DB64" i="3"/>
  <c r="DA64" i="3"/>
  <c r="CZ64" i="3"/>
  <c r="CY64" i="3"/>
  <c r="CX64" i="3"/>
  <c r="CW64" i="3"/>
  <c r="CV64" i="3"/>
  <c r="CU64" i="3"/>
  <c r="CT64" i="3"/>
  <c r="CS64" i="3"/>
  <c r="CR64" i="3"/>
  <c r="CQ64" i="3"/>
  <c r="CP64" i="3"/>
  <c r="CO64" i="3"/>
  <c r="CN64" i="3"/>
  <c r="CM64" i="3"/>
  <c r="CL64" i="3"/>
  <c r="CK64" i="3"/>
  <c r="CJ64" i="3"/>
  <c r="CI64" i="3"/>
  <c r="CH64" i="3"/>
  <c r="CG64" i="3"/>
  <c r="CF64" i="3"/>
  <c r="CE64" i="3"/>
  <c r="CD64" i="3"/>
  <c r="CC64" i="3"/>
  <c r="CB64" i="3"/>
  <c r="CA64" i="3"/>
  <c r="BZ64" i="3"/>
  <c r="BY64" i="3"/>
  <c r="BX64" i="3"/>
  <c r="BW64" i="3"/>
  <c r="BV64" i="3"/>
  <c r="BU64" i="3"/>
  <c r="BT64" i="3"/>
  <c r="BS64" i="3"/>
  <c r="BR64" i="3"/>
  <c r="BQ64" i="3"/>
  <c r="BP64" i="3"/>
  <c r="BO64" i="3"/>
  <c r="BN64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DU63" i="3"/>
  <c r="DT63" i="3"/>
  <c r="DS63" i="3"/>
  <c r="DR63" i="3"/>
  <c r="DQ63" i="3"/>
  <c r="DP63" i="3"/>
  <c r="DO63" i="3"/>
  <c r="DN63" i="3"/>
  <c r="DM63" i="3"/>
  <c r="DL63" i="3"/>
  <c r="DK63" i="3"/>
  <c r="DJ63" i="3"/>
  <c r="DI63" i="3"/>
  <c r="DH63" i="3"/>
  <c r="DG63" i="3"/>
  <c r="DF63" i="3"/>
  <c r="DE63" i="3"/>
  <c r="DD63" i="3"/>
  <c r="DC63" i="3"/>
  <c r="DB63" i="3"/>
  <c r="DA63" i="3"/>
  <c r="CZ63" i="3"/>
  <c r="CY63" i="3"/>
  <c r="CX63" i="3"/>
  <c r="CW63" i="3"/>
  <c r="CV63" i="3"/>
  <c r="CU63" i="3"/>
  <c r="CT63" i="3"/>
  <c r="CS63" i="3"/>
  <c r="CR63" i="3"/>
  <c r="CQ63" i="3"/>
  <c r="CP63" i="3"/>
  <c r="CO63" i="3"/>
  <c r="CN63" i="3"/>
  <c r="CM63" i="3"/>
  <c r="CL63" i="3"/>
  <c r="CK63" i="3"/>
  <c r="CJ63" i="3"/>
  <c r="CI63" i="3"/>
  <c r="CH63" i="3"/>
  <c r="CG63" i="3"/>
  <c r="CF63" i="3"/>
  <c r="CE63" i="3"/>
  <c r="CD63" i="3"/>
  <c r="CC63" i="3"/>
  <c r="CB63" i="3"/>
  <c r="CA63" i="3"/>
  <c r="BZ63" i="3"/>
  <c r="BY63" i="3"/>
  <c r="BX63" i="3"/>
  <c r="BW63" i="3"/>
  <c r="BV63" i="3"/>
  <c r="BU63" i="3"/>
  <c r="BT63" i="3"/>
  <c r="BS63" i="3"/>
  <c r="BR63" i="3"/>
  <c r="BQ63" i="3"/>
  <c r="BP63" i="3"/>
  <c r="BO63" i="3"/>
  <c r="BN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DU62" i="3"/>
  <c r="DT62" i="3"/>
  <c r="DS62" i="3"/>
  <c r="DR62" i="3"/>
  <c r="DQ62" i="3"/>
  <c r="DP62" i="3"/>
  <c r="DO62" i="3"/>
  <c r="DN62" i="3"/>
  <c r="DM62" i="3"/>
  <c r="DL62" i="3"/>
  <c r="DK62" i="3"/>
  <c r="DJ62" i="3"/>
  <c r="DI62" i="3"/>
  <c r="DH62" i="3"/>
  <c r="DG62" i="3"/>
  <c r="DF62" i="3"/>
  <c r="DE62" i="3"/>
  <c r="DD62" i="3"/>
  <c r="DC62" i="3"/>
  <c r="DB62" i="3"/>
  <c r="DA62" i="3"/>
  <c r="CZ62" i="3"/>
  <c r="CY62" i="3"/>
  <c r="CX62" i="3"/>
  <c r="CW62" i="3"/>
  <c r="CV62" i="3"/>
  <c r="CU62" i="3"/>
  <c r="CT62" i="3"/>
  <c r="CS62" i="3"/>
  <c r="CR62" i="3"/>
  <c r="CQ62" i="3"/>
  <c r="CP62" i="3"/>
  <c r="CO62" i="3"/>
  <c r="CN62" i="3"/>
  <c r="CM62" i="3"/>
  <c r="CL62" i="3"/>
  <c r="CK62" i="3"/>
  <c r="CJ62" i="3"/>
  <c r="CI62" i="3"/>
  <c r="CH62" i="3"/>
  <c r="CG62" i="3"/>
  <c r="CF62" i="3"/>
  <c r="CE62" i="3"/>
  <c r="CD62" i="3"/>
  <c r="CC62" i="3"/>
  <c r="CB62" i="3"/>
  <c r="CA62" i="3"/>
  <c r="BZ62" i="3"/>
  <c r="BY62" i="3"/>
  <c r="BX62" i="3"/>
  <c r="BW62" i="3"/>
  <c r="BV62" i="3"/>
  <c r="BU62" i="3"/>
  <c r="BT62" i="3"/>
  <c r="BS62" i="3"/>
  <c r="BR62" i="3"/>
  <c r="BQ62" i="3"/>
  <c r="BP62" i="3"/>
  <c r="BO62" i="3"/>
  <c r="BN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DU61" i="3"/>
  <c r="DT61" i="3"/>
  <c r="DS61" i="3"/>
  <c r="DR61" i="3"/>
  <c r="DQ61" i="3"/>
  <c r="DP61" i="3"/>
  <c r="DO61" i="3"/>
  <c r="DN61" i="3"/>
  <c r="DM61" i="3"/>
  <c r="DL61" i="3"/>
  <c r="DK61" i="3"/>
  <c r="DJ61" i="3"/>
  <c r="DI61" i="3"/>
  <c r="DH61" i="3"/>
  <c r="DG61" i="3"/>
  <c r="DF61" i="3"/>
  <c r="DE61" i="3"/>
  <c r="DD61" i="3"/>
  <c r="DC61" i="3"/>
  <c r="DB61" i="3"/>
  <c r="DA61" i="3"/>
  <c r="CZ61" i="3"/>
  <c r="CY61" i="3"/>
  <c r="CX61" i="3"/>
  <c r="CW61" i="3"/>
  <c r="CV61" i="3"/>
  <c r="CU61" i="3"/>
  <c r="CT61" i="3"/>
  <c r="CS61" i="3"/>
  <c r="CR61" i="3"/>
  <c r="CQ61" i="3"/>
  <c r="CP61" i="3"/>
  <c r="CO61" i="3"/>
  <c r="CN61" i="3"/>
  <c r="CM61" i="3"/>
  <c r="CL61" i="3"/>
  <c r="CK61" i="3"/>
  <c r="CJ61" i="3"/>
  <c r="CI61" i="3"/>
  <c r="CH61" i="3"/>
  <c r="CG61" i="3"/>
  <c r="CF61" i="3"/>
  <c r="CE61" i="3"/>
  <c r="CD61" i="3"/>
  <c r="CC61" i="3"/>
  <c r="CB61" i="3"/>
  <c r="CA61" i="3"/>
  <c r="BZ61" i="3"/>
  <c r="BY61" i="3"/>
  <c r="BX61" i="3"/>
  <c r="BW61" i="3"/>
  <c r="BV61" i="3"/>
  <c r="BU61" i="3"/>
  <c r="BT61" i="3"/>
  <c r="BS61" i="3"/>
  <c r="BR61" i="3"/>
  <c r="BQ61" i="3"/>
  <c r="BP61" i="3"/>
  <c r="BO61" i="3"/>
  <c r="BN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DU60" i="3"/>
  <c r="DT60" i="3"/>
  <c r="DS60" i="3"/>
  <c r="DR60" i="3"/>
  <c r="DQ60" i="3"/>
  <c r="DP60" i="3"/>
  <c r="DO60" i="3"/>
  <c r="DN60" i="3"/>
  <c r="DM60" i="3"/>
  <c r="DL60" i="3"/>
  <c r="DK60" i="3"/>
  <c r="DJ60" i="3"/>
  <c r="DI60" i="3"/>
  <c r="DH60" i="3"/>
  <c r="DG60" i="3"/>
  <c r="DF60" i="3"/>
  <c r="DE60" i="3"/>
  <c r="DD60" i="3"/>
  <c r="DC60" i="3"/>
  <c r="DB60" i="3"/>
  <c r="DA60" i="3"/>
  <c r="CZ60" i="3"/>
  <c r="CY60" i="3"/>
  <c r="CX60" i="3"/>
  <c r="CW60" i="3"/>
  <c r="CV60" i="3"/>
  <c r="CU60" i="3"/>
  <c r="CT60" i="3"/>
  <c r="CS60" i="3"/>
  <c r="CR60" i="3"/>
  <c r="CQ60" i="3"/>
  <c r="CP60" i="3"/>
  <c r="CO60" i="3"/>
  <c r="CN60" i="3"/>
  <c r="CM60" i="3"/>
  <c r="CL60" i="3"/>
  <c r="CK60" i="3"/>
  <c r="CJ60" i="3"/>
  <c r="CI60" i="3"/>
  <c r="CH60" i="3"/>
  <c r="CG60" i="3"/>
  <c r="CF60" i="3"/>
  <c r="CE60" i="3"/>
  <c r="CD60" i="3"/>
  <c r="CC60" i="3"/>
  <c r="CB60" i="3"/>
  <c r="CA60" i="3"/>
  <c r="BZ60" i="3"/>
  <c r="BY60" i="3"/>
  <c r="BX60" i="3"/>
  <c r="BW60" i="3"/>
  <c r="BV60" i="3"/>
  <c r="BU60" i="3"/>
  <c r="BT60" i="3"/>
  <c r="BS60" i="3"/>
  <c r="BR60" i="3"/>
  <c r="BQ60" i="3"/>
  <c r="BP60" i="3"/>
  <c r="BO60" i="3"/>
  <c r="BN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DU59" i="3"/>
  <c r="DT59" i="3"/>
  <c r="DS59" i="3"/>
  <c r="DR59" i="3"/>
  <c r="DQ59" i="3"/>
  <c r="DP59" i="3"/>
  <c r="DO59" i="3"/>
  <c r="DN59" i="3"/>
  <c r="DM59" i="3"/>
  <c r="DL59" i="3"/>
  <c r="DK59" i="3"/>
  <c r="DJ59" i="3"/>
  <c r="DI59" i="3"/>
  <c r="DH59" i="3"/>
  <c r="DG59" i="3"/>
  <c r="DF59" i="3"/>
  <c r="DE59" i="3"/>
  <c r="DD59" i="3"/>
  <c r="DC59" i="3"/>
  <c r="DB59" i="3"/>
  <c r="DA59" i="3"/>
  <c r="CZ59" i="3"/>
  <c r="CY59" i="3"/>
  <c r="CX59" i="3"/>
  <c r="CW59" i="3"/>
  <c r="CV59" i="3"/>
  <c r="CU59" i="3"/>
  <c r="CT59" i="3"/>
  <c r="CS59" i="3"/>
  <c r="CR59" i="3"/>
  <c r="CQ59" i="3"/>
  <c r="CP59" i="3"/>
  <c r="CO59" i="3"/>
  <c r="CN59" i="3"/>
  <c r="CM59" i="3"/>
  <c r="CL59" i="3"/>
  <c r="CK59" i="3"/>
  <c r="CJ59" i="3"/>
  <c r="CI59" i="3"/>
  <c r="CH59" i="3"/>
  <c r="CG59" i="3"/>
  <c r="CF59" i="3"/>
  <c r="CE59" i="3"/>
  <c r="CD59" i="3"/>
  <c r="CC59" i="3"/>
  <c r="CB59" i="3"/>
  <c r="CA59" i="3"/>
  <c r="BZ59" i="3"/>
  <c r="BY59" i="3"/>
  <c r="BX59" i="3"/>
  <c r="BW59" i="3"/>
  <c r="BV59" i="3"/>
  <c r="BU59" i="3"/>
  <c r="BT59" i="3"/>
  <c r="BS59" i="3"/>
  <c r="BR59" i="3"/>
  <c r="BQ59" i="3"/>
  <c r="BP59" i="3"/>
  <c r="BO59" i="3"/>
  <c r="BN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DU58" i="3"/>
  <c r="DT58" i="3"/>
  <c r="DS58" i="3"/>
  <c r="DR58" i="3"/>
  <c r="DQ58" i="3"/>
  <c r="DP58" i="3"/>
  <c r="DO58" i="3"/>
  <c r="DN58" i="3"/>
  <c r="DM58" i="3"/>
  <c r="DL58" i="3"/>
  <c r="DK58" i="3"/>
  <c r="DJ58" i="3"/>
  <c r="DI58" i="3"/>
  <c r="DH58" i="3"/>
  <c r="DG58" i="3"/>
  <c r="DF58" i="3"/>
  <c r="DE58" i="3"/>
  <c r="DD58" i="3"/>
  <c r="DC58" i="3"/>
  <c r="DB58" i="3"/>
  <c r="DA58" i="3"/>
  <c r="CZ58" i="3"/>
  <c r="CY58" i="3"/>
  <c r="CX58" i="3"/>
  <c r="CW58" i="3"/>
  <c r="CV58" i="3"/>
  <c r="CU58" i="3"/>
  <c r="CT58" i="3"/>
  <c r="CS58" i="3"/>
  <c r="CR58" i="3"/>
  <c r="CQ58" i="3"/>
  <c r="CP58" i="3"/>
  <c r="CO58" i="3"/>
  <c r="CN58" i="3"/>
  <c r="CM58" i="3"/>
  <c r="CL58" i="3"/>
  <c r="CK58" i="3"/>
  <c r="CJ58" i="3"/>
  <c r="CI58" i="3"/>
  <c r="CH58" i="3"/>
  <c r="CG58" i="3"/>
  <c r="CF58" i="3"/>
  <c r="CE58" i="3"/>
  <c r="CD58" i="3"/>
  <c r="CC58" i="3"/>
  <c r="CB58" i="3"/>
  <c r="CA58" i="3"/>
  <c r="BZ58" i="3"/>
  <c r="BY58" i="3"/>
  <c r="BX58" i="3"/>
  <c r="BW58" i="3"/>
  <c r="BV58" i="3"/>
  <c r="BU58" i="3"/>
  <c r="BT58" i="3"/>
  <c r="BS58" i="3"/>
  <c r="BR58" i="3"/>
  <c r="BQ58" i="3"/>
  <c r="BP58" i="3"/>
  <c r="BO58" i="3"/>
  <c r="BN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DU57" i="3"/>
  <c r="DT57" i="3"/>
  <c r="DS57" i="3"/>
  <c r="DR57" i="3"/>
  <c r="DQ57" i="3"/>
  <c r="DP57" i="3"/>
  <c r="DO57" i="3"/>
  <c r="DN57" i="3"/>
  <c r="DM57" i="3"/>
  <c r="DL57" i="3"/>
  <c r="DK57" i="3"/>
  <c r="DJ57" i="3"/>
  <c r="DI57" i="3"/>
  <c r="DH57" i="3"/>
  <c r="DG57" i="3"/>
  <c r="DF57" i="3"/>
  <c r="DE57" i="3"/>
  <c r="DD57" i="3"/>
  <c r="DC57" i="3"/>
  <c r="DB57" i="3"/>
  <c r="DA57" i="3"/>
  <c r="CZ57" i="3"/>
  <c r="CY57" i="3"/>
  <c r="CX57" i="3"/>
  <c r="CW57" i="3"/>
  <c r="CV57" i="3"/>
  <c r="CU57" i="3"/>
  <c r="CT57" i="3"/>
  <c r="CS57" i="3"/>
  <c r="CR57" i="3"/>
  <c r="CQ57" i="3"/>
  <c r="CP57" i="3"/>
  <c r="CO57" i="3"/>
  <c r="CN57" i="3"/>
  <c r="CM57" i="3"/>
  <c r="CL57" i="3"/>
  <c r="CK57" i="3"/>
  <c r="CJ57" i="3"/>
  <c r="CI57" i="3"/>
  <c r="CH57" i="3"/>
  <c r="CG57" i="3"/>
  <c r="CF57" i="3"/>
  <c r="CE57" i="3"/>
  <c r="CD57" i="3"/>
  <c r="CC57" i="3"/>
  <c r="CB57" i="3"/>
  <c r="CA57" i="3"/>
  <c r="BZ57" i="3"/>
  <c r="BY57" i="3"/>
  <c r="BX57" i="3"/>
  <c r="BW57" i="3"/>
  <c r="BV57" i="3"/>
  <c r="BU57" i="3"/>
  <c r="BT57" i="3"/>
  <c r="BS57" i="3"/>
  <c r="BR57" i="3"/>
  <c r="BQ57" i="3"/>
  <c r="BP57" i="3"/>
  <c r="BO57" i="3"/>
  <c r="BN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DU56" i="3"/>
  <c r="DT56" i="3"/>
  <c r="DS56" i="3"/>
  <c r="DR56" i="3"/>
  <c r="DQ56" i="3"/>
  <c r="DP56" i="3"/>
  <c r="DO56" i="3"/>
  <c r="DN56" i="3"/>
  <c r="DM56" i="3"/>
  <c r="DL56" i="3"/>
  <c r="DK56" i="3"/>
  <c r="DJ56" i="3"/>
  <c r="DI56" i="3"/>
  <c r="DH56" i="3"/>
  <c r="DG56" i="3"/>
  <c r="DF56" i="3"/>
  <c r="DE56" i="3"/>
  <c r="DD56" i="3"/>
  <c r="DC56" i="3"/>
  <c r="DB56" i="3"/>
  <c r="DA56" i="3"/>
  <c r="CZ56" i="3"/>
  <c r="CY56" i="3"/>
  <c r="CX56" i="3"/>
  <c r="CW56" i="3"/>
  <c r="CV56" i="3"/>
  <c r="CU56" i="3"/>
  <c r="CT56" i="3"/>
  <c r="CS56" i="3"/>
  <c r="CR56" i="3"/>
  <c r="CQ56" i="3"/>
  <c r="CP56" i="3"/>
  <c r="CO56" i="3"/>
  <c r="CN56" i="3"/>
  <c r="CM56" i="3"/>
  <c r="CL56" i="3"/>
  <c r="CK56" i="3"/>
  <c r="CJ56" i="3"/>
  <c r="CI56" i="3"/>
  <c r="CH56" i="3"/>
  <c r="CG56" i="3"/>
  <c r="CF56" i="3"/>
  <c r="CE56" i="3"/>
  <c r="CD56" i="3"/>
  <c r="CC56" i="3"/>
  <c r="CB56" i="3"/>
  <c r="CA56" i="3"/>
  <c r="BZ56" i="3"/>
  <c r="BY56" i="3"/>
  <c r="BX56" i="3"/>
  <c r="BW56" i="3"/>
  <c r="BV56" i="3"/>
  <c r="BU56" i="3"/>
  <c r="BT56" i="3"/>
  <c r="BS56" i="3"/>
  <c r="BR56" i="3"/>
  <c r="BQ56" i="3"/>
  <c r="BP56" i="3"/>
  <c r="BO56" i="3"/>
  <c r="BN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DU55" i="3"/>
  <c r="DT55" i="3"/>
  <c r="DS55" i="3"/>
  <c r="DR55" i="3"/>
  <c r="DQ55" i="3"/>
  <c r="DP55" i="3"/>
  <c r="DO55" i="3"/>
  <c r="DN55" i="3"/>
  <c r="DM55" i="3"/>
  <c r="DL55" i="3"/>
  <c r="DK55" i="3"/>
  <c r="DJ55" i="3"/>
  <c r="DI55" i="3"/>
  <c r="DH55" i="3"/>
  <c r="DG55" i="3"/>
  <c r="DF55" i="3"/>
  <c r="DE55" i="3"/>
  <c r="DD55" i="3"/>
  <c r="DC55" i="3"/>
  <c r="DB55" i="3"/>
  <c r="DA55" i="3"/>
  <c r="CZ55" i="3"/>
  <c r="CY55" i="3"/>
  <c r="CX55" i="3"/>
  <c r="CW55" i="3"/>
  <c r="CV55" i="3"/>
  <c r="CU55" i="3"/>
  <c r="CT55" i="3"/>
  <c r="CS55" i="3"/>
  <c r="CR55" i="3"/>
  <c r="CQ55" i="3"/>
  <c r="CP55" i="3"/>
  <c r="CO55" i="3"/>
  <c r="CN55" i="3"/>
  <c r="CM55" i="3"/>
  <c r="CL55" i="3"/>
  <c r="CK55" i="3"/>
  <c r="CJ55" i="3"/>
  <c r="CI55" i="3"/>
  <c r="CH55" i="3"/>
  <c r="CG55" i="3"/>
  <c r="CF55" i="3"/>
  <c r="CE55" i="3"/>
  <c r="CD55" i="3"/>
  <c r="CC55" i="3"/>
  <c r="CB55" i="3"/>
  <c r="CA55" i="3"/>
  <c r="BZ55" i="3"/>
  <c r="BY55" i="3"/>
  <c r="BX55" i="3"/>
  <c r="BW55" i="3"/>
  <c r="BV55" i="3"/>
  <c r="BU55" i="3"/>
  <c r="BT55" i="3"/>
  <c r="BS55" i="3"/>
  <c r="BR55" i="3"/>
  <c r="BQ55" i="3"/>
  <c r="BP55" i="3"/>
  <c r="BO55" i="3"/>
  <c r="BN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DU54" i="3"/>
  <c r="DT54" i="3"/>
  <c r="DS54" i="3"/>
  <c r="DR54" i="3"/>
  <c r="DQ54" i="3"/>
  <c r="DP54" i="3"/>
  <c r="DO54" i="3"/>
  <c r="DN54" i="3"/>
  <c r="DM54" i="3"/>
  <c r="DL54" i="3"/>
  <c r="DK54" i="3"/>
  <c r="DJ54" i="3"/>
  <c r="DI54" i="3"/>
  <c r="DH54" i="3"/>
  <c r="DG54" i="3"/>
  <c r="DF54" i="3"/>
  <c r="DE54" i="3"/>
  <c r="DD54" i="3"/>
  <c r="DC54" i="3"/>
  <c r="DB54" i="3"/>
  <c r="DA54" i="3"/>
  <c r="CZ54" i="3"/>
  <c r="CY54" i="3"/>
  <c r="CX54" i="3"/>
  <c r="CW54" i="3"/>
  <c r="CV54" i="3"/>
  <c r="CU54" i="3"/>
  <c r="CT54" i="3"/>
  <c r="CS54" i="3"/>
  <c r="CR54" i="3"/>
  <c r="CQ54" i="3"/>
  <c r="CP54" i="3"/>
  <c r="CO54" i="3"/>
  <c r="CN54" i="3"/>
  <c r="CM54" i="3"/>
  <c r="CL54" i="3"/>
  <c r="CK54" i="3"/>
  <c r="CJ54" i="3"/>
  <c r="CI54" i="3"/>
  <c r="CH54" i="3"/>
  <c r="CG54" i="3"/>
  <c r="CF54" i="3"/>
  <c r="CE54" i="3"/>
  <c r="CD54" i="3"/>
  <c r="CC54" i="3"/>
  <c r="CB54" i="3"/>
  <c r="CA54" i="3"/>
  <c r="BZ54" i="3"/>
  <c r="BY54" i="3"/>
  <c r="BX54" i="3"/>
  <c r="BW54" i="3"/>
  <c r="BV54" i="3"/>
  <c r="BU54" i="3"/>
  <c r="BT54" i="3"/>
  <c r="BS54" i="3"/>
  <c r="BR54" i="3"/>
  <c r="BQ54" i="3"/>
  <c r="BP54" i="3"/>
  <c r="BO54" i="3"/>
  <c r="BN54" i="3"/>
  <c r="BG54" i="3"/>
  <c r="BF54" i="3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DU53" i="3"/>
  <c r="DT53" i="3"/>
  <c r="DS53" i="3"/>
  <c r="DR53" i="3"/>
  <c r="DQ53" i="3"/>
  <c r="DP53" i="3"/>
  <c r="DO53" i="3"/>
  <c r="DN53" i="3"/>
  <c r="DM53" i="3"/>
  <c r="DL53" i="3"/>
  <c r="DK53" i="3"/>
  <c r="DJ53" i="3"/>
  <c r="DI53" i="3"/>
  <c r="DH53" i="3"/>
  <c r="DG53" i="3"/>
  <c r="DF53" i="3"/>
  <c r="DE53" i="3"/>
  <c r="DD53" i="3"/>
  <c r="DC53" i="3"/>
  <c r="DB53" i="3"/>
  <c r="DA53" i="3"/>
  <c r="CZ53" i="3"/>
  <c r="CY53" i="3"/>
  <c r="CX53" i="3"/>
  <c r="CW53" i="3"/>
  <c r="CV53" i="3"/>
  <c r="CU53" i="3"/>
  <c r="CT53" i="3"/>
  <c r="CS53" i="3"/>
  <c r="CR53" i="3"/>
  <c r="CQ53" i="3"/>
  <c r="CP53" i="3"/>
  <c r="CO53" i="3"/>
  <c r="CN53" i="3"/>
  <c r="CM53" i="3"/>
  <c r="CL53" i="3"/>
  <c r="CK53" i="3"/>
  <c r="CJ53" i="3"/>
  <c r="CI53" i="3"/>
  <c r="CH53" i="3"/>
  <c r="CG53" i="3"/>
  <c r="CF53" i="3"/>
  <c r="CE53" i="3"/>
  <c r="CD53" i="3"/>
  <c r="CC53" i="3"/>
  <c r="CB53" i="3"/>
  <c r="CA53" i="3"/>
  <c r="BZ53" i="3"/>
  <c r="BY53" i="3"/>
  <c r="BX53" i="3"/>
  <c r="BW53" i="3"/>
  <c r="BV53" i="3"/>
  <c r="BU53" i="3"/>
  <c r="BT53" i="3"/>
  <c r="BS53" i="3"/>
  <c r="BR53" i="3"/>
  <c r="BQ53" i="3"/>
  <c r="BP53" i="3"/>
  <c r="BO53" i="3"/>
  <c r="BN53" i="3"/>
  <c r="BG53" i="3"/>
  <c r="BF53" i="3"/>
  <c r="BE53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DU52" i="3"/>
  <c r="DT52" i="3"/>
  <c r="DS52" i="3"/>
  <c r="DR52" i="3"/>
  <c r="DQ52" i="3"/>
  <c r="DP52" i="3"/>
  <c r="DO52" i="3"/>
  <c r="DN52" i="3"/>
  <c r="DM52" i="3"/>
  <c r="DL52" i="3"/>
  <c r="DK52" i="3"/>
  <c r="DJ52" i="3"/>
  <c r="DI52" i="3"/>
  <c r="DH52" i="3"/>
  <c r="DG52" i="3"/>
  <c r="DF52" i="3"/>
  <c r="DE52" i="3"/>
  <c r="DD52" i="3"/>
  <c r="DC52" i="3"/>
  <c r="DB52" i="3"/>
  <c r="DA52" i="3"/>
  <c r="CZ52" i="3"/>
  <c r="CY52" i="3"/>
  <c r="CX52" i="3"/>
  <c r="CW52" i="3"/>
  <c r="CV52" i="3"/>
  <c r="CU52" i="3"/>
  <c r="CT52" i="3"/>
  <c r="CS52" i="3"/>
  <c r="CR52" i="3"/>
  <c r="CQ52" i="3"/>
  <c r="CP52" i="3"/>
  <c r="CO52" i="3"/>
  <c r="CN52" i="3"/>
  <c r="CM52" i="3"/>
  <c r="CL52" i="3"/>
  <c r="CK52" i="3"/>
  <c r="CJ52" i="3"/>
  <c r="CI52" i="3"/>
  <c r="CH52" i="3"/>
  <c r="CG52" i="3"/>
  <c r="CF52" i="3"/>
  <c r="CE52" i="3"/>
  <c r="CD52" i="3"/>
  <c r="CC52" i="3"/>
  <c r="CB52" i="3"/>
  <c r="CA52" i="3"/>
  <c r="BZ52" i="3"/>
  <c r="BY52" i="3"/>
  <c r="BX52" i="3"/>
  <c r="BW52" i="3"/>
  <c r="BV52" i="3"/>
  <c r="BU52" i="3"/>
  <c r="BT52" i="3"/>
  <c r="BS52" i="3"/>
  <c r="BR52" i="3"/>
  <c r="BQ52" i="3"/>
  <c r="BP52" i="3"/>
  <c r="BO52" i="3"/>
  <c r="BN52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J52" i="3"/>
  <c r="DU51" i="3"/>
  <c r="DT51" i="3"/>
  <c r="DS51" i="3"/>
  <c r="DR51" i="3"/>
  <c r="DQ51" i="3"/>
  <c r="DP51" i="3"/>
  <c r="DO51" i="3"/>
  <c r="DN51" i="3"/>
  <c r="DM51" i="3"/>
  <c r="DL51" i="3"/>
  <c r="DK51" i="3"/>
  <c r="DJ51" i="3"/>
  <c r="DI51" i="3"/>
  <c r="DH51" i="3"/>
  <c r="DG51" i="3"/>
  <c r="DF51" i="3"/>
  <c r="DE51" i="3"/>
  <c r="DD51" i="3"/>
  <c r="DC51" i="3"/>
  <c r="DB51" i="3"/>
  <c r="DA51" i="3"/>
  <c r="CZ51" i="3"/>
  <c r="CY51" i="3"/>
  <c r="CX51" i="3"/>
  <c r="CW51" i="3"/>
  <c r="CV51" i="3"/>
  <c r="CU51" i="3"/>
  <c r="CT51" i="3"/>
  <c r="CS51" i="3"/>
  <c r="CR51" i="3"/>
  <c r="CQ51" i="3"/>
  <c r="CP51" i="3"/>
  <c r="CO51" i="3"/>
  <c r="CN51" i="3"/>
  <c r="CM51" i="3"/>
  <c r="CL51" i="3"/>
  <c r="CK51" i="3"/>
  <c r="CJ51" i="3"/>
  <c r="CI51" i="3"/>
  <c r="CH51" i="3"/>
  <c r="CG51" i="3"/>
  <c r="CF51" i="3"/>
  <c r="CE51" i="3"/>
  <c r="CD51" i="3"/>
  <c r="CC51" i="3"/>
  <c r="CB51" i="3"/>
  <c r="CA51" i="3"/>
  <c r="BZ51" i="3"/>
  <c r="BY51" i="3"/>
  <c r="BX51" i="3"/>
  <c r="BW51" i="3"/>
  <c r="BV51" i="3"/>
  <c r="BU51" i="3"/>
  <c r="BT51" i="3"/>
  <c r="BS51" i="3"/>
  <c r="BR51" i="3"/>
  <c r="BQ51" i="3"/>
  <c r="BP51" i="3"/>
  <c r="BO51" i="3"/>
  <c r="BN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J51" i="3"/>
  <c r="DU50" i="3"/>
  <c r="DT50" i="3"/>
  <c r="DS50" i="3"/>
  <c r="DR50" i="3"/>
  <c r="DQ50" i="3"/>
  <c r="DP50" i="3"/>
  <c r="DO50" i="3"/>
  <c r="DN50" i="3"/>
  <c r="DM50" i="3"/>
  <c r="DL50" i="3"/>
  <c r="DK50" i="3"/>
  <c r="DJ50" i="3"/>
  <c r="DI50" i="3"/>
  <c r="DH50" i="3"/>
  <c r="DG50" i="3"/>
  <c r="DF50" i="3"/>
  <c r="DE50" i="3"/>
  <c r="DD50" i="3"/>
  <c r="DC50" i="3"/>
  <c r="DB50" i="3"/>
  <c r="DA50" i="3"/>
  <c r="CZ50" i="3"/>
  <c r="CY50" i="3"/>
  <c r="CX50" i="3"/>
  <c r="CW50" i="3"/>
  <c r="CV50" i="3"/>
  <c r="CU50" i="3"/>
  <c r="CT50" i="3"/>
  <c r="CS50" i="3"/>
  <c r="CR50" i="3"/>
  <c r="CQ50" i="3"/>
  <c r="CP50" i="3"/>
  <c r="CO50" i="3"/>
  <c r="CN50" i="3"/>
  <c r="CM50" i="3"/>
  <c r="CL50" i="3"/>
  <c r="CK50" i="3"/>
  <c r="CJ50" i="3"/>
  <c r="CI50" i="3"/>
  <c r="CH50" i="3"/>
  <c r="CG50" i="3"/>
  <c r="CF50" i="3"/>
  <c r="CE50" i="3"/>
  <c r="CD50" i="3"/>
  <c r="CC50" i="3"/>
  <c r="CB50" i="3"/>
  <c r="CA50" i="3"/>
  <c r="BZ50" i="3"/>
  <c r="BY50" i="3"/>
  <c r="BX50" i="3"/>
  <c r="BW50" i="3"/>
  <c r="BV50" i="3"/>
  <c r="BU50" i="3"/>
  <c r="BT50" i="3"/>
  <c r="BS50" i="3"/>
  <c r="BR50" i="3"/>
  <c r="BQ50" i="3"/>
  <c r="BP50" i="3"/>
  <c r="BO50" i="3"/>
  <c r="BN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J50" i="3"/>
  <c r="DU49" i="3"/>
  <c r="DT49" i="3"/>
  <c r="DS49" i="3"/>
  <c r="DR49" i="3"/>
  <c r="DQ49" i="3"/>
  <c r="DP49" i="3"/>
  <c r="DO49" i="3"/>
  <c r="DN49" i="3"/>
  <c r="DM49" i="3"/>
  <c r="DL49" i="3"/>
  <c r="DK49" i="3"/>
  <c r="DJ49" i="3"/>
  <c r="DI49" i="3"/>
  <c r="DH49" i="3"/>
  <c r="DG49" i="3"/>
  <c r="DF49" i="3"/>
  <c r="DE49" i="3"/>
  <c r="DD49" i="3"/>
  <c r="DC49" i="3"/>
  <c r="DB49" i="3"/>
  <c r="DA49" i="3"/>
  <c r="CZ49" i="3"/>
  <c r="CY49" i="3"/>
  <c r="CX49" i="3"/>
  <c r="CW49" i="3"/>
  <c r="CV49" i="3"/>
  <c r="CU49" i="3"/>
  <c r="CT49" i="3"/>
  <c r="CS49" i="3"/>
  <c r="CR49" i="3"/>
  <c r="CQ49" i="3"/>
  <c r="CP49" i="3"/>
  <c r="CO49" i="3"/>
  <c r="CN49" i="3"/>
  <c r="CM49" i="3"/>
  <c r="CL49" i="3"/>
  <c r="CK49" i="3"/>
  <c r="CJ49" i="3"/>
  <c r="CI49" i="3"/>
  <c r="CH49" i="3"/>
  <c r="CG49" i="3"/>
  <c r="CF49" i="3"/>
  <c r="CE49" i="3"/>
  <c r="CD49" i="3"/>
  <c r="CC49" i="3"/>
  <c r="CB49" i="3"/>
  <c r="CA49" i="3"/>
  <c r="BZ49" i="3"/>
  <c r="BY49" i="3"/>
  <c r="BX49" i="3"/>
  <c r="BW49" i="3"/>
  <c r="BV49" i="3"/>
  <c r="BU49" i="3"/>
  <c r="BT49" i="3"/>
  <c r="BS49" i="3"/>
  <c r="BR49" i="3"/>
  <c r="BQ49" i="3"/>
  <c r="BP49" i="3"/>
  <c r="BO49" i="3"/>
  <c r="BN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J49" i="3"/>
  <c r="DU48" i="3"/>
  <c r="DT48" i="3"/>
  <c r="DS48" i="3"/>
  <c r="DR48" i="3"/>
  <c r="DQ48" i="3"/>
  <c r="DP48" i="3"/>
  <c r="DO48" i="3"/>
  <c r="DN48" i="3"/>
  <c r="DM48" i="3"/>
  <c r="DL48" i="3"/>
  <c r="DK48" i="3"/>
  <c r="DJ48" i="3"/>
  <c r="DI48" i="3"/>
  <c r="DH48" i="3"/>
  <c r="DG48" i="3"/>
  <c r="DF48" i="3"/>
  <c r="DE48" i="3"/>
  <c r="DD48" i="3"/>
  <c r="DC48" i="3"/>
  <c r="DB48" i="3"/>
  <c r="DA48" i="3"/>
  <c r="CZ48" i="3"/>
  <c r="CY48" i="3"/>
  <c r="CX48" i="3"/>
  <c r="CW48" i="3"/>
  <c r="CV48" i="3"/>
  <c r="CU48" i="3"/>
  <c r="CT48" i="3"/>
  <c r="CS48" i="3"/>
  <c r="CR48" i="3"/>
  <c r="CQ48" i="3"/>
  <c r="CP48" i="3"/>
  <c r="CO48" i="3"/>
  <c r="CN48" i="3"/>
  <c r="CM48" i="3"/>
  <c r="CL48" i="3"/>
  <c r="CK48" i="3"/>
  <c r="CJ48" i="3"/>
  <c r="CI48" i="3"/>
  <c r="CH48" i="3"/>
  <c r="CG48" i="3"/>
  <c r="CF48" i="3"/>
  <c r="CE48" i="3"/>
  <c r="CD48" i="3"/>
  <c r="CC48" i="3"/>
  <c r="CB48" i="3"/>
  <c r="CA48" i="3"/>
  <c r="BZ48" i="3"/>
  <c r="BY48" i="3"/>
  <c r="BX48" i="3"/>
  <c r="BW48" i="3"/>
  <c r="BV48" i="3"/>
  <c r="BU48" i="3"/>
  <c r="BT48" i="3"/>
  <c r="BS48" i="3"/>
  <c r="BR48" i="3"/>
  <c r="BQ48" i="3"/>
  <c r="BP48" i="3"/>
  <c r="BO48" i="3"/>
  <c r="BN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DU47" i="3"/>
  <c r="DT47" i="3"/>
  <c r="DS47" i="3"/>
  <c r="DR47" i="3"/>
  <c r="DQ47" i="3"/>
  <c r="DP47" i="3"/>
  <c r="DO47" i="3"/>
  <c r="DN47" i="3"/>
  <c r="DM47" i="3"/>
  <c r="DL47" i="3"/>
  <c r="DK47" i="3"/>
  <c r="DJ47" i="3"/>
  <c r="DI47" i="3"/>
  <c r="DH47" i="3"/>
  <c r="DG47" i="3"/>
  <c r="DF47" i="3"/>
  <c r="DE47" i="3"/>
  <c r="DD47" i="3"/>
  <c r="DC47" i="3"/>
  <c r="DB47" i="3"/>
  <c r="DA47" i="3"/>
  <c r="CZ47" i="3"/>
  <c r="CY47" i="3"/>
  <c r="CX47" i="3"/>
  <c r="CW47" i="3"/>
  <c r="CV47" i="3"/>
  <c r="CU47" i="3"/>
  <c r="CT47" i="3"/>
  <c r="CS47" i="3"/>
  <c r="CR47" i="3"/>
  <c r="CQ47" i="3"/>
  <c r="CP47" i="3"/>
  <c r="CO47" i="3"/>
  <c r="CN47" i="3"/>
  <c r="CM47" i="3"/>
  <c r="CL47" i="3"/>
  <c r="CK47" i="3"/>
  <c r="CJ47" i="3"/>
  <c r="CI47" i="3"/>
  <c r="CH47" i="3"/>
  <c r="CG47" i="3"/>
  <c r="CF47" i="3"/>
  <c r="CE47" i="3"/>
  <c r="CD47" i="3"/>
  <c r="CC47" i="3"/>
  <c r="CB47" i="3"/>
  <c r="CA47" i="3"/>
  <c r="BZ47" i="3"/>
  <c r="BY47" i="3"/>
  <c r="BX47" i="3"/>
  <c r="BW47" i="3"/>
  <c r="BV47" i="3"/>
  <c r="BU47" i="3"/>
  <c r="BT47" i="3"/>
  <c r="BS47" i="3"/>
  <c r="BR47" i="3"/>
  <c r="BQ47" i="3"/>
  <c r="BP47" i="3"/>
  <c r="BO47" i="3"/>
  <c r="BN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J47" i="3"/>
  <c r="DU46" i="3"/>
  <c r="DT46" i="3"/>
  <c r="DS46" i="3"/>
  <c r="DR46" i="3"/>
  <c r="DQ46" i="3"/>
  <c r="DP46" i="3"/>
  <c r="DO46" i="3"/>
  <c r="DN46" i="3"/>
  <c r="DM46" i="3"/>
  <c r="DL46" i="3"/>
  <c r="DK46" i="3"/>
  <c r="DJ46" i="3"/>
  <c r="DI46" i="3"/>
  <c r="DH46" i="3"/>
  <c r="DG46" i="3"/>
  <c r="DF46" i="3"/>
  <c r="DE46" i="3"/>
  <c r="DD46" i="3"/>
  <c r="DC46" i="3"/>
  <c r="DB46" i="3"/>
  <c r="DA46" i="3"/>
  <c r="CZ46" i="3"/>
  <c r="CY46" i="3"/>
  <c r="CX46" i="3"/>
  <c r="CW46" i="3"/>
  <c r="CV46" i="3"/>
  <c r="CU46" i="3"/>
  <c r="CT46" i="3"/>
  <c r="CS46" i="3"/>
  <c r="CR46" i="3"/>
  <c r="CQ46" i="3"/>
  <c r="CP46" i="3"/>
  <c r="CO46" i="3"/>
  <c r="CN46" i="3"/>
  <c r="CM46" i="3"/>
  <c r="CL46" i="3"/>
  <c r="CK46" i="3"/>
  <c r="CJ46" i="3"/>
  <c r="CI46" i="3"/>
  <c r="CH46" i="3"/>
  <c r="CG46" i="3"/>
  <c r="CF46" i="3"/>
  <c r="CE46" i="3"/>
  <c r="CD46" i="3"/>
  <c r="CC46" i="3"/>
  <c r="CB46" i="3"/>
  <c r="CA46" i="3"/>
  <c r="BZ46" i="3"/>
  <c r="BY46" i="3"/>
  <c r="BX46" i="3"/>
  <c r="BW46" i="3"/>
  <c r="BV46" i="3"/>
  <c r="BU46" i="3"/>
  <c r="BT46" i="3"/>
  <c r="BS46" i="3"/>
  <c r="BR46" i="3"/>
  <c r="BQ46" i="3"/>
  <c r="BP46" i="3"/>
  <c r="BO46" i="3"/>
  <c r="BN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J46" i="3"/>
  <c r="DU45" i="3"/>
  <c r="DT45" i="3"/>
  <c r="DS45" i="3"/>
  <c r="DR45" i="3"/>
  <c r="DQ45" i="3"/>
  <c r="DP45" i="3"/>
  <c r="DO45" i="3"/>
  <c r="DN45" i="3"/>
  <c r="DM45" i="3"/>
  <c r="DL45" i="3"/>
  <c r="DK45" i="3"/>
  <c r="DJ45" i="3"/>
  <c r="DI45" i="3"/>
  <c r="DH45" i="3"/>
  <c r="DG45" i="3"/>
  <c r="DF45" i="3"/>
  <c r="DE45" i="3"/>
  <c r="DD45" i="3"/>
  <c r="DC45" i="3"/>
  <c r="DB45" i="3"/>
  <c r="DA45" i="3"/>
  <c r="CZ45" i="3"/>
  <c r="CY45" i="3"/>
  <c r="CX45" i="3"/>
  <c r="CW45" i="3"/>
  <c r="CV45" i="3"/>
  <c r="CU45" i="3"/>
  <c r="CT45" i="3"/>
  <c r="CS45" i="3"/>
  <c r="CR45" i="3"/>
  <c r="CQ45" i="3"/>
  <c r="CP45" i="3"/>
  <c r="CO45" i="3"/>
  <c r="CN45" i="3"/>
  <c r="CM45" i="3"/>
  <c r="CL45" i="3"/>
  <c r="CK45" i="3"/>
  <c r="CJ45" i="3"/>
  <c r="CI45" i="3"/>
  <c r="CH45" i="3"/>
  <c r="CG45" i="3"/>
  <c r="CF45" i="3"/>
  <c r="CE45" i="3"/>
  <c r="CD45" i="3"/>
  <c r="CC45" i="3"/>
  <c r="CB45" i="3"/>
  <c r="CA45" i="3"/>
  <c r="BZ45" i="3"/>
  <c r="BY45" i="3"/>
  <c r="BX45" i="3"/>
  <c r="BW45" i="3"/>
  <c r="BV45" i="3"/>
  <c r="BU45" i="3"/>
  <c r="BT45" i="3"/>
  <c r="BS45" i="3"/>
  <c r="BR45" i="3"/>
  <c r="BQ45" i="3"/>
  <c r="BP45" i="3"/>
  <c r="BO45" i="3"/>
  <c r="BN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J45" i="3"/>
  <c r="DU44" i="3"/>
  <c r="DT44" i="3"/>
  <c r="DS44" i="3"/>
  <c r="DR44" i="3"/>
  <c r="DQ44" i="3"/>
  <c r="DP44" i="3"/>
  <c r="DO44" i="3"/>
  <c r="DN44" i="3"/>
  <c r="DM44" i="3"/>
  <c r="DL44" i="3"/>
  <c r="DK44" i="3"/>
  <c r="DJ44" i="3"/>
  <c r="DI44" i="3"/>
  <c r="DH44" i="3"/>
  <c r="DG44" i="3"/>
  <c r="DF44" i="3"/>
  <c r="DE44" i="3"/>
  <c r="DD44" i="3"/>
  <c r="DC44" i="3"/>
  <c r="DB44" i="3"/>
  <c r="DA44" i="3"/>
  <c r="CZ44" i="3"/>
  <c r="CY44" i="3"/>
  <c r="CX44" i="3"/>
  <c r="CW44" i="3"/>
  <c r="CV44" i="3"/>
  <c r="CU44" i="3"/>
  <c r="CT44" i="3"/>
  <c r="CS44" i="3"/>
  <c r="CR44" i="3"/>
  <c r="CQ44" i="3"/>
  <c r="CP44" i="3"/>
  <c r="CO44" i="3"/>
  <c r="CN44" i="3"/>
  <c r="CM44" i="3"/>
  <c r="CL44" i="3"/>
  <c r="CK44" i="3"/>
  <c r="CJ44" i="3"/>
  <c r="CI44" i="3"/>
  <c r="CH44" i="3"/>
  <c r="CG44" i="3"/>
  <c r="CF44" i="3"/>
  <c r="CE44" i="3"/>
  <c r="CD44" i="3"/>
  <c r="CC44" i="3"/>
  <c r="CB44" i="3"/>
  <c r="CA44" i="3"/>
  <c r="BZ44" i="3"/>
  <c r="BY44" i="3"/>
  <c r="BX44" i="3"/>
  <c r="BW44" i="3"/>
  <c r="BV44" i="3"/>
  <c r="BU44" i="3"/>
  <c r="BT44" i="3"/>
  <c r="BS44" i="3"/>
  <c r="BR44" i="3"/>
  <c r="BQ44" i="3"/>
  <c r="BP44" i="3"/>
  <c r="BO44" i="3"/>
  <c r="BN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J44" i="3"/>
  <c r="DU43" i="3"/>
  <c r="DT43" i="3"/>
  <c r="DS43" i="3"/>
  <c r="DR43" i="3"/>
  <c r="DQ43" i="3"/>
  <c r="DP43" i="3"/>
  <c r="DO43" i="3"/>
  <c r="DN43" i="3"/>
  <c r="DM43" i="3"/>
  <c r="DL43" i="3"/>
  <c r="DK43" i="3"/>
  <c r="DJ43" i="3"/>
  <c r="DI43" i="3"/>
  <c r="DH43" i="3"/>
  <c r="DG43" i="3"/>
  <c r="DF43" i="3"/>
  <c r="DE43" i="3"/>
  <c r="DD43" i="3"/>
  <c r="DC43" i="3"/>
  <c r="DB43" i="3"/>
  <c r="DA43" i="3"/>
  <c r="CZ43" i="3"/>
  <c r="CY43" i="3"/>
  <c r="CX43" i="3"/>
  <c r="CW43" i="3"/>
  <c r="CV43" i="3"/>
  <c r="CU43" i="3"/>
  <c r="CT43" i="3"/>
  <c r="CS43" i="3"/>
  <c r="CR43" i="3"/>
  <c r="CQ43" i="3"/>
  <c r="CP43" i="3"/>
  <c r="CO43" i="3"/>
  <c r="CN43" i="3"/>
  <c r="CM43" i="3"/>
  <c r="CL43" i="3"/>
  <c r="CK43" i="3"/>
  <c r="CJ43" i="3"/>
  <c r="CI43" i="3"/>
  <c r="CH43" i="3"/>
  <c r="CG43" i="3"/>
  <c r="CF43" i="3"/>
  <c r="CE43" i="3"/>
  <c r="CD43" i="3"/>
  <c r="CC43" i="3"/>
  <c r="CB43" i="3"/>
  <c r="CA43" i="3"/>
  <c r="BZ43" i="3"/>
  <c r="BY43" i="3"/>
  <c r="BX43" i="3"/>
  <c r="BW43" i="3"/>
  <c r="BV43" i="3"/>
  <c r="BU43" i="3"/>
  <c r="BT43" i="3"/>
  <c r="BS43" i="3"/>
  <c r="BR43" i="3"/>
  <c r="BQ43" i="3"/>
  <c r="BP43" i="3"/>
  <c r="BO43" i="3"/>
  <c r="BN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DU42" i="3"/>
  <c r="DT42" i="3"/>
  <c r="DS42" i="3"/>
  <c r="DR42" i="3"/>
  <c r="DQ42" i="3"/>
  <c r="DP42" i="3"/>
  <c r="DO42" i="3"/>
  <c r="DN42" i="3"/>
  <c r="DM42" i="3"/>
  <c r="DL42" i="3"/>
  <c r="DK42" i="3"/>
  <c r="DJ42" i="3"/>
  <c r="DI42" i="3"/>
  <c r="DH42" i="3"/>
  <c r="DG42" i="3"/>
  <c r="DF42" i="3"/>
  <c r="DE42" i="3"/>
  <c r="DD42" i="3"/>
  <c r="DC42" i="3"/>
  <c r="DB42" i="3"/>
  <c r="DA42" i="3"/>
  <c r="CZ42" i="3"/>
  <c r="CY42" i="3"/>
  <c r="CX42" i="3"/>
  <c r="CW42" i="3"/>
  <c r="CV42" i="3"/>
  <c r="CU42" i="3"/>
  <c r="CT42" i="3"/>
  <c r="CS42" i="3"/>
  <c r="CR42" i="3"/>
  <c r="CQ42" i="3"/>
  <c r="CP42" i="3"/>
  <c r="CO42" i="3"/>
  <c r="CN42" i="3"/>
  <c r="CM42" i="3"/>
  <c r="CL42" i="3"/>
  <c r="CK42" i="3"/>
  <c r="CJ42" i="3"/>
  <c r="CI42" i="3"/>
  <c r="CH42" i="3"/>
  <c r="CG42" i="3"/>
  <c r="CF42" i="3"/>
  <c r="CE42" i="3"/>
  <c r="CD42" i="3"/>
  <c r="CC42" i="3"/>
  <c r="CB42" i="3"/>
  <c r="CA42" i="3"/>
  <c r="BZ42" i="3"/>
  <c r="BY42" i="3"/>
  <c r="BX42" i="3"/>
  <c r="BW42" i="3"/>
  <c r="BV42" i="3"/>
  <c r="BU42" i="3"/>
  <c r="BT42" i="3"/>
  <c r="BS42" i="3"/>
  <c r="BR42" i="3"/>
  <c r="BQ42" i="3"/>
  <c r="BP42" i="3"/>
  <c r="BO42" i="3"/>
  <c r="BN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J42" i="3"/>
  <c r="DU41" i="3"/>
  <c r="DT41" i="3"/>
  <c r="DS41" i="3"/>
  <c r="DR41" i="3"/>
  <c r="DQ41" i="3"/>
  <c r="DP41" i="3"/>
  <c r="DO41" i="3"/>
  <c r="DN41" i="3"/>
  <c r="DM41" i="3"/>
  <c r="DL41" i="3"/>
  <c r="DK41" i="3"/>
  <c r="DJ41" i="3"/>
  <c r="DI41" i="3"/>
  <c r="DH41" i="3"/>
  <c r="DG41" i="3"/>
  <c r="DF41" i="3"/>
  <c r="DE41" i="3"/>
  <c r="DD41" i="3"/>
  <c r="DC41" i="3"/>
  <c r="DB41" i="3"/>
  <c r="DA41" i="3"/>
  <c r="CZ41" i="3"/>
  <c r="CY41" i="3"/>
  <c r="CX41" i="3"/>
  <c r="CW41" i="3"/>
  <c r="CV41" i="3"/>
  <c r="CU41" i="3"/>
  <c r="CT41" i="3"/>
  <c r="CS41" i="3"/>
  <c r="CR41" i="3"/>
  <c r="CQ41" i="3"/>
  <c r="CP41" i="3"/>
  <c r="CO41" i="3"/>
  <c r="CN41" i="3"/>
  <c r="CM41" i="3"/>
  <c r="CL41" i="3"/>
  <c r="CK41" i="3"/>
  <c r="CJ41" i="3"/>
  <c r="CI41" i="3"/>
  <c r="CH41" i="3"/>
  <c r="CG41" i="3"/>
  <c r="CF41" i="3"/>
  <c r="CE41" i="3"/>
  <c r="CD41" i="3"/>
  <c r="CC41" i="3"/>
  <c r="CB41" i="3"/>
  <c r="CA41" i="3"/>
  <c r="BZ41" i="3"/>
  <c r="BY41" i="3"/>
  <c r="BX41" i="3"/>
  <c r="BW41" i="3"/>
  <c r="BV41" i="3"/>
  <c r="BU41" i="3"/>
  <c r="BT41" i="3"/>
  <c r="BS41" i="3"/>
  <c r="BR41" i="3"/>
  <c r="BQ41" i="3"/>
  <c r="BP41" i="3"/>
  <c r="BO41" i="3"/>
  <c r="BN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J41" i="3"/>
  <c r="DU40" i="3"/>
  <c r="DT40" i="3"/>
  <c r="DS40" i="3"/>
  <c r="DR40" i="3"/>
  <c r="DQ40" i="3"/>
  <c r="DP40" i="3"/>
  <c r="DO40" i="3"/>
  <c r="DN40" i="3"/>
  <c r="DM40" i="3"/>
  <c r="DL40" i="3"/>
  <c r="DK40" i="3"/>
  <c r="DJ40" i="3"/>
  <c r="DI40" i="3"/>
  <c r="DH40" i="3"/>
  <c r="DG40" i="3"/>
  <c r="DF40" i="3"/>
  <c r="DE40" i="3"/>
  <c r="DD40" i="3"/>
  <c r="DC40" i="3"/>
  <c r="DB40" i="3"/>
  <c r="DA40" i="3"/>
  <c r="CZ40" i="3"/>
  <c r="CY40" i="3"/>
  <c r="CX40" i="3"/>
  <c r="CW40" i="3"/>
  <c r="CV40" i="3"/>
  <c r="CU40" i="3"/>
  <c r="CT40" i="3"/>
  <c r="CS40" i="3"/>
  <c r="CR40" i="3"/>
  <c r="CQ40" i="3"/>
  <c r="CP40" i="3"/>
  <c r="CO40" i="3"/>
  <c r="CN40" i="3"/>
  <c r="CM40" i="3"/>
  <c r="CL40" i="3"/>
  <c r="CK40" i="3"/>
  <c r="CJ40" i="3"/>
  <c r="CI40" i="3"/>
  <c r="CH40" i="3"/>
  <c r="CG40" i="3"/>
  <c r="CF40" i="3"/>
  <c r="CE40" i="3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BO40" i="3"/>
  <c r="BN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J40" i="3"/>
  <c r="DU39" i="3"/>
  <c r="DT39" i="3"/>
  <c r="DS39" i="3"/>
  <c r="DR39" i="3"/>
  <c r="DQ39" i="3"/>
  <c r="DP39" i="3"/>
  <c r="DO39" i="3"/>
  <c r="DN39" i="3"/>
  <c r="DM39" i="3"/>
  <c r="DL39" i="3"/>
  <c r="DK39" i="3"/>
  <c r="DJ39" i="3"/>
  <c r="DI39" i="3"/>
  <c r="DH39" i="3"/>
  <c r="DG39" i="3"/>
  <c r="DF39" i="3"/>
  <c r="DE39" i="3"/>
  <c r="DD39" i="3"/>
  <c r="DC39" i="3"/>
  <c r="DB39" i="3"/>
  <c r="DA39" i="3"/>
  <c r="CZ39" i="3"/>
  <c r="CY39" i="3"/>
  <c r="CX39" i="3"/>
  <c r="CW39" i="3"/>
  <c r="CV39" i="3"/>
  <c r="CU39" i="3"/>
  <c r="CT39" i="3"/>
  <c r="CS39" i="3"/>
  <c r="CR39" i="3"/>
  <c r="CQ39" i="3"/>
  <c r="CP39" i="3"/>
  <c r="CO39" i="3"/>
  <c r="CN39" i="3"/>
  <c r="CM39" i="3"/>
  <c r="CL39" i="3"/>
  <c r="CK39" i="3"/>
  <c r="CJ39" i="3"/>
  <c r="CI39" i="3"/>
  <c r="CH39" i="3"/>
  <c r="CG39" i="3"/>
  <c r="CF39" i="3"/>
  <c r="CE39" i="3"/>
  <c r="CD39" i="3"/>
  <c r="CC39" i="3"/>
  <c r="CB39" i="3"/>
  <c r="CA39" i="3"/>
  <c r="BZ39" i="3"/>
  <c r="BY39" i="3"/>
  <c r="BX39" i="3"/>
  <c r="BW39" i="3"/>
  <c r="BV39" i="3"/>
  <c r="BU39" i="3"/>
  <c r="BT39" i="3"/>
  <c r="BS39" i="3"/>
  <c r="BR39" i="3"/>
  <c r="BQ39" i="3"/>
  <c r="BP39" i="3"/>
  <c r="BO39" i="3"/>
  <c r="BN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J39" i="3"/>
  <c r="DU38" i="3"/>
  <c r="DT38" i="3"/>
  <c r="DS38" i="3"/>
  <c r="DR38" i="3"/>
  <c r="DQ38" i="3"/>
  <c r="DP38" i="3"/>
  <c r="DO38" i="3"/>
  <c r="DN38" i="3"/>
  <c r="DM38" i="3"/>
  <c r="DL38" i="3"/>
  <c r="DK38" i="3"/>
  <c r="DJ38" i="3"/>
  <c r="DI38" i="3"/>
  <c r="DH38" i="3"/>
  <c r="DG38" i="3"/>
  <c r="DF38" i="3"/>
  <c r="DE38" i="3"/>
  <c r="DD38" i="3"/>
  <c r="DC38" i="3"/>
  <c r="DB38" i="3"/>
  <c r="DA38" i="3"/>
  <c r="CZ38" i="3"/>
  <c r="CY38" i="3"/>
  <c r="CX38" i="3"/>
  <c r="CW38" i="3"/>
  <c r="CV38" i="3"/>
  <c r="CU38" i="3"/>
  <c r="CT38" i="3"/>
  <c r="CS38" i="3"/>
  <c r="CR38" i="3"/>
  <c r="CQ38" i="3"/>
  <c r="CP38" i="3"/>
  <c r="CO38" i="3"/>
  <c r="CN38" i="3"/>
  <c r="CM38" i="3"/>
  <c r="CL38" i="3"/>
  <c r="CK38" i="3"/>
  <c r="CJ38" i="3"/>
  <c r="CI38" i="3"/>
  <c r="CH38" i="3"/>
  <c r="CG38" i="3"/>
  <c r="CF38" i="3"/>
  <c r="CE38" i="3"/>
  <c r="CD38" i="3"/>
  <c r="CC38" i="3"/>
  <c r="CB38" i="3"/>
  <c r="CA38" i="3"/>
  <c r="BZ38" i="3"/>
  <c r="BY38" i="3"/>
  <c r="BX38" i="3"/>
  <c r="BW38" i="3"/>
  <c r="BV38" i="3"/>
  <c r="BU38" i="3"/>
  <c r="BT38" i="3"/>
  <c r="BS38" i="3"/>
  <c r="BR38" i="3"/>
  <c r="BQ38" i="3"/>
  <c r="BP38" i="3"/>
  <c r="BO38" i="3"/>
  <c r="BN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J38" i="3"/>
  <c r="DU37" i="3"/>
  <c r="DT37" i="3"/>
  <c r="DS37" i="3"/>
  <c r="DR37" i="3"/>
  <c r="DQ37" i="3"/>
  <c r="DP37" i="3"/>
  <c r="DO37" i="3"/>
  <c r="DN37" i="3"/>
  <c r="DM37" i="3"/>
  <c r="DL37" i="3"/>
  <c r="DK37" i="3"/>
  <c r="DJ37" i="3"/>
  <c r="DI37" i="3"/>
  <c r="DH37" i="3"/>
  <c r="DG37" i="3"/>
  <c r="DF37" i="3"/>
  <c r="DE37" i="3"/>
  <c r="DD37" i="3"/>
  <c r="DC37" i="3"/>
  <c r="DB37" i="3"/>
  <c r="DA37" i="3"/>
  <c r="CZ37" i="3"/>
  <c r="CY37" i="3"/>
  <c r="CX37" i="3"/>
  <c r="CW37" i="3"/>
  <c r="CV37" i="3"/>
  <c r="CU37" i="3"/>
  <c r="CT37" i="3"/>
  <c r="CS37" i="3"/>
  <c r="CR37" i="3"/>
  <c r="CQ37" i="3"/>
  <c r="CP37" i="3"/>
  <c r="CO37" i="3"/>
  <c r="CN37" i="3"/>
  <c r="CM37" i="3"/>
  <c r="CL37" i="3"/>
  <c r="CK37" i="3"/>
  <c r="CJ37" i="3"/>
  <c r="CI37" i="3"/>
  <c r="CH37" i="3"/>
  <c r="CG37" i="3"/>
  <c r="CF37" i="3"/>
  <c r="CE37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J37" i="3"/>
  <c r="DU36" i="3"/>
  <c r="DT36" i="3"/>
  <c r="DS36" i="3"/>
  <c r="DR36" i="3"/>
  <c r="DQ36" i="3"/>
  <c r="DP36" i="3"/>
  <c r="DO36" i="3"/>
  <c r="DN36" i="3"/>
  <c r="DM36" i="3"/>
  <c r="DL36" i="3"/>
  <c r="DK36" i="3"/>
  <c r="DJ36" i="3"/>
  <c r="DI36" i="3"/>
  <c r="DH36" i="3"/>
  <c r="DG36" i="3"/>
  <c r="DF36" i="3"/>
  <c r="DE36" i="3"/>
  <c r="DD36" i="3"/>
  <c r="DC36" i="3"/>
  <c r="DB36" i="3"/>
  <c r="DA36" i="3"/>
  <c r="CZ36" i="3"/>
  <c r="CY36" i="3"/>
  <c r="CX36" i="3"/>
  <c r="CW36" i="3"/>
  <c r="CV36" i="3"/>
  <c r="CU36" i="3"/>
  <c r="CT36" i="3"/>
  <c r="CS36" i="3"/>
  <c r="CR36" i="3"/>
  <c r="CQ36" i="3"/>
  <c r="CP36" i="3"/>
  <c r="CO36" i="3"/>
  <c r="CN36" i="3"/>
  <c r="CM36" i="3"/>
  <c r="CL36" i="3"/>
  <c r="CK36" i="3"/>
  <c r="CJ36" i="3"/>
  <c r="CI36" i="3"/>
  <c r="CH36" i="3"/>
  <c r="CG36" i="3"/>
  <c r="CF36" i="3"/>
  <c r="CE36" i="3"/>
  <c r="CD36" i="3"/>
  <c r="CC36" i="3"/>
  <c r="CB36" i="3"/>
  <c r="CA36" i="3"/>
  <c r="BZ36" i="3"/>
  <c r="BY36" i="3"/>
  <c r="BX36" i="3"/>
  <c r="BW36" i="3"/>
  <c r="BV36" i="3"/>
  <c r="BU36" i="3"/>
  <c r="BT36" i="3"/>
  <c r="BS36" i="3"/>
  <c r="BR36" i="3"/>
  <c r="BQ36" i="3"/>
  <c r="BP36" i="3"/>
  <c r="BO36" i="3"/>
  <c r="BN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J36" i="3"/>
  <c r="DU35" i="3"/>
  <c r="DT35" i="3"/>
  <c r="DS35" i="3"/>
  <c r="DR35" i="3"/>
  <c r="DQ35" i="3"/>
  <c r="DP35" i="3"/>
  <c r="DO35" i="3"/>
  <c r="DN35" i="3"/>
  <c r="DM35" i="3"/>
  <c r="DL35" i="3"/>
  <c r="DK35" i="3"/>
  <c r="DJ35" i="3"/>
  <c r="DI35" i="3"/>
  <c r="DH35" i="3"/>
  <c r="DG35" i="3"/>
  <c r="DF35" i="3"/>
  <c r="DE35" i="3"/>
  <c r="DD35" i="3"/>
  <c r="DC35" i="3"/>
  <c r="DB35" i="3"/>
  <c r="DA35" i="3"/>
  <c r="CZ35" i="3"/>
  <c r="CY35" i="3"/>
  <c r="CX35" i="3"/>
  <c r="CW35" i="3"/>
  <c r="CV35" i="3"/>
  <c r="CU35" i="3"/>
  <c r="CT35" i="3"/>
  <c r="CS35" i="3"/>
  <c r="CR35" i="3"/>
  <c r="CQ35" i="3"/>
  <c r="CP35" i="3"/>
  <c r="CO35" i="3"/>
  <c r="CN35" i="3"/>
  <c r="CM35" i="3"/>
  <c r="CL35" i="3"/>
  <c r="CK35" i="3"/>
  <c r="CJ35" i="3"/>
  <c r="CI35" i="3"/>
  <c r="CH35" i="3"/>
  <c r="CG35" i="3"/>
  <c r="CF35" i="3"/>
  <c r="CE35" i="3"/>
  <c r="CD35" i="3"/>
  <c r="CC35" i="3"/>
  <c r="CB35" i="3"/>
  <c r="CA35" i="3"/>
  <c r="BZ35" i="3"/>
  <c r="BY35" i="3"/>
  <c r="BX35" i="3"/>
  <c r="BW35" i="3"/>
  <c r="BV35" i="3"/>
  <c r="BU35" i="3"/>
  <c r="BT35" i="3"/>
  <c r="BS35" i="3"/>
  <c r="BR35" i="3"/>
  <c r="BQ35" i="3"/>
  <c r="BP35" i="3"/>
  <c r="BO35" i="3"/>
  <c r="BN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J35" i="3"/>
  <c r="DU34" i="3"/>
  <c r="DT34" i="3"/>
  <c r="DS34" i="3"/>
  <c r="DR34" i="3"/>
  <c r="DQ34" i="3"/>
  <c r="DP34" i="3"/>
  <c r="DO34" i="3"/>
  <c r="DN34" i="3"/>
  <c r="DM34" i="3"/>
  <c r="DL34" i="3"/>
  <c r="DK34" i="3"/>
  <c r="DJ34" i="3"/>
  <c r="DI34" i="3"/>
  <c r="DH34" i="3"/>
  <c r="DG34" i="3"/>
  <c r="DF34" i="3"/>
  <c r="DE34" i="3"/>
  <c r="DD34" i="3"/>
  <c r="DC34" i="3"/>
  <c r="DB34" i="3"/>
  <c r="DA34" i="3"/>
  <c r="CZ34" i="3"/>
  <c r="CY34" i="3"/>
  <c r="CX34" i="3"/>
  <c r="CW34" i="3"/>
  <c r="CV34" i="3"/>
  <c r="CU34" i="3"/>
  <c r="CT34" i="3"/>
  <c r="CS34" i="3"/>
  <c r="CR34" i="3"/>
  <c r="CQ34" i="3"/>
  <c r="CP34" i="3"/>
  <c r="CO34" i="3"/>
  <c r="CN34" i="3"/>
  <c r="CM34" i="3"/>
  <c r="CL34" i="3"/>
  <c r="CK34" i="3"/>
  <c r="CJ34" i="3"/>
  <c r="CI34" i="3"/>
  <c r="CH34" i="3"/>
  <c r="CG34" i="3"/>
  <c r="CF34" i="3"/>
  <c r="CE34" i="3"/>
  <c r="CD34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J34" i="3"/>
  <c r="DU33" i="3"/>
  <c r="DT33" i="3"/>
  <c r="DS33" i="3"/>
  <c r="DR33" i="3"/>
  <c r="DQ33" i="3"/>
  <c r="DP33" i="3"/>
  <c r="DO33" i="3"/>
  <c r="DN33" i="3"/>
  <c r="DM33" i="3"/>
  <c r="DL33" i="3"/>
  <c r="DK33" i="3"/>
  <c r="DJ33" i="3"/>
  <c r="DI33" i="3"/>
  <c r="DH33" i="3"/>
  <c r="DG33" i="3"/>
  <c r="DF33" i="3"/>
  <c r="DE33" i="3"/>
  <c r="DD33" i="3"/>
  <c r="DC33" i="3"/>
  <c r="DB33" i="3"/>
  <c r="DA33" i="3"/>
  <c r="CZ33" i="3"/>
  <c r="CY33" i="3"/>
  <c r="CX33" i="3"/>
  <c r="CW33" i="3"/>
  <c r="CV33" i="3"/>
  <c r="CU33" i="3"/>
  <c r="CT33" i="3"/>
  <c r="CS33" i="3"/>
  <c r="CR33" i="3"/>
  <c r="CQ33" i="3"/>
  <c r="CP33" i="3"/>
  <c r="CO33" i="3"/>
  <c r="CN33" i="3"/>
  <c r="CM33" i="3"/>
  <c r="CL33" i="3"/>
  <c r="CK33" i="3"/>
  <c r="CJ33" i="3"/>
  <c r="CI33" i="3"/>
  <c r="CH33" i="3"/>
  <c r="CG33" i="3"/>
  <c r="CF33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J33" i="3"/>
  <c r="DU32" i="3"/>
  <c r="DT32" i="3"/>
  <c r="DS32" i="3"/>
  <c r="DR32" i="3"/>
  <c r="DQ32" i="3"/>
  <c r="DP32" i="3"/>
  <c r="DO32" i="3"/>
  <c r="DN32" i="3"/>
  <c r="DM32" i="3"/>
  <c r="DL32" i="3"/>
  <c r="DK32" i="3"/>
  <c r="DJ32" i="3"/>
  <c r="DI32" i="3"/>
  <c r="DH32" i="3"/>
  <c r="DG32" i="3"/>
  <c r="DF32" i="3"/>
  <c r="DE32" i="3"/>
  <c r="DD32" i="3"/>
  <c r="DC32" i="3"/>
  <c r="DB32" i="3"/>
  <c r="DA32" i="3"/>
  <c r="CZ32" i="3"/>
  <c r="CY32" i="3"/>
  <c r="CX32" i="3"/>
  <c r="CW32" i="3"/>
  <c r="CV32" i="3"/>
  <c r="CU32" i="3"/>
  <c r="CT32" i="3"/>
  <c r="CS32" i="3"/>
  <c r="CR32" i="3"/>
  <c r="CQ32" i="3"/>
  <c r="CP32" i="3"/>
  <c r="CO32" i="3"/>
  <c r="CN32" i="3"/>
  <c r="CM32" i="3"/>
  <c r="CL32" i="3"/>
  <c r="CK32" i="3"/>
  <c r="CJ32" i="3"/>
  <c r="CI32" i="3"/>
  <c r="CH32" i="3"/>
  <c r="CG32" i="3"/>
  <c r="CF32" i="3"/>
  <c r="CE32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J32" i="3"/>
  <c r="DU31" i="3"/>
  <c r="DT31" i="3"/>
  <c r="DS31" i="3"/>
  <c r="DR31" i="3"/>
  <c r="DQ31" i="3"/>
  <c r="DP31" i="3"/>
  <c r="DO31" i="3"/>
  <c r="DN31" i="3"/>
  <c r="DM31" i="3"/>
  <c r="DL31" i="3"/>
  <c r="DK31" i="3"/>
  <c r="DJ31" i="3"/>
  <c r="DI31" i="3"/>
  <c r="DH31" i="3"/>
  <c r="DG31" i="3"/>
  <c r="DF31" i="3"/>
  <c r="DE31" i="3"/>
  <c r="DD31" i="3"/>
  <c r="DC31" i="3"/>
  <c r="DB31" i="3"/>
  <c r="DA31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J31" i="3"/>
  <c r="DU30" i="3"/>
  <c r="DT30" i="3"/>
  <c r="DS30" i="3"/>
  <c r="DR30" i="3"/>
  <c r="DQ30" i="3"/>
  <c r="DP30" i="3"/>
  <c r="DO30" i="3"/>
  <c r="DN30" i="3"/>
  <c r="DM30" i="3"/>
  <c r="DL30" i="3"/>
  <c r="DK30" i="3"/>
  <c r="DJ30" i="3"/>
  <c r="DI30" i="3"/>
  <c r="DH30" i="3"/>
  <c r="DG30" i="3"/>
  <c r="DF30" i="3"/>
  <c r="DE30" i="3"/>
  <c r="DD30" i="3"/>
  <c r="DC30" i="3"/>
  <c r="DB30" i="3"/>
  <c r="DA30" i="3"/>
  <c r="CZ30" i="3"/>
  <c r="CY30" i="3"/>
  <c r="CX30" i="3"/>
  <c r="CW30" i="3"/>
  <c r="CV30" i="3"/>
  <c r="CU30" i="3"/>
  <c r="CT30" i="3"/>
  <c r="CS30" i="3"/>
  <c r="CR30" i="3"/>
  <c r="CQ30" i="3"/>
  <c r="CP30" i="3"/>
  <c r="CO30" i="3"/>
  <c r="CN30" i="3"/>
  <c r="CM30" i="3"/>
  <c r="CL30" i="3"/>
  <c r="CK30" i="3"/>
  <c r="CJ30" i="3"/>
  <c r="CI30" i="3"/>
  <c r="CH30" i="3"/>
  <c r="CG30" i="3"/>
  <c r="CF30" i="3"/>
  <c r="CE30" i="3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J30" i="3"/>
  <c r="DU29" i="3"/>
  <c r="DT29" i="3"/>
  <c r="DS29" i="3"/>
  <c r="DR29" i="3"/>
  <c r="DQ29" i="3"/>
  <c r="DP29" i="3"/>
  <c r="DO29" i="3"/>
  <c r="DN29" i="3"/>
  <c r="DM29" i="3"/>
  <c r="DL29" i="3"/>
  <c r="DK29" i="3"/>
  <c r="DJ29" i="3"/>
  <c r="DI29" i="3"/>
  <c r="DH29" i="3"/>
  <c r="DG29" i="3"/>
  <c r="DF29" i="3"/>
  <c r="DE29" i="3"/>
  <c r="DD29" i="3"/>
  <c r="DC29" i="3"/>
  <c r="DB29" i="3"/>
  <c r="DA29" i="3"/>
  <c r="CZ29" i="3"/>
  <c r="CY29" i="3"/>
  <c r="CX29" i="3"/>
  <c r="CW29" i="3"/>
  <c r="CV29" i="3"/>
  <c r="CU29" i="3"/>
  <c r="CT29" i="3"/>
  <c r="CS29" i="3"/>
  <c r="CR29" i="3"/>
  <c r="CQ29" i="3"/>
  <c r="CP29" i="3"/>
  <c r="CO29" i="3"/>
  <c r="CN29" i="3"/>
  <c r="CM29" i="3"/>
  <c r="CL29" i="3"/>
  <c r="CK29" i="3"/>
  <c r="CJ29" i="3"/>
  <c r="CI29" i="3"/>
  <c r="CH29" i="3"/>
  <c r="CG29" i="3"/>
  <c r="CF29" i="3"/>
  <c r="CE29" i="3"/>
  <c r="CD29" i="3"/>
  <c r="CC29" i="3"/>
  <c r="CB29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BO29" i="3"/>
  <c r="BN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J29" i="3"/>
  <c r="DU28" i="3"/>
  <c r="DT28" i="3"/>
  <c r="DS28" i="3"/>
  <c r="DR28" i="3"/>
  <c r="DQ28" i="3"/>
  <c r="DP28" i="3"/>
  <c r="DO28" i="3"/>
  <c r="DN28" i="3"/>
  <c r="DM28" i="3"/>
  <c r="DL28" i="3"/>
  <c r="DK28" i="3"/>
  <c r="DJ28" i="3"/>
  <c r="DI28" i="3"/>
  <c r="DH28" i="3"/>
  <c r="DG28" i="3"/>
  <c r="DF28" i="3"/>
  <c r="DE28" i="3"/>
  <c r="DD28" i="3"/>
  <c r="DC28" i="3"/>
  <c r="DB28" i="3"/>
  <c r="DA28" i="3"/>
  <c r="CZ28" i="3"/>
  <c r="CY28" i="3"/>
  <c r="CX28" i="3"/>
  <c r="CW28" i="3"/>
  <c r="CV28" i="3"/>
  <c r="CU28" i="3"/>
  <c r="CT28" i="3"/>
  <c r="CS28" i="3"/>
  <c r="CR28" i="3"/>
  <c r="CQ28" i="3"/>
  <c r="CP28" i="3"/>
  <c r="CO28" i="3"/>
  <c r="CN28" i="3"/>
  <c r="CM28" i="3"/>
  <c r="CL28" i="3"/>
  <c r="CK28" i="3"/>
  <c r="CJ28" i="3"/>
  <c r="CI28" i="3"/>
  <c r="CH28" i="3"/>
  <c r="CG28" i="3"/>
  <c r="CF28" i="3"/>
  <c r="CE28" i="3"/>
  <c r="CD28" i="3"/>
  <c r="CC28" i="3"/>
  <c r="CB28" i="3"/>
  <c r="CA28" i="3"/>
  <c r="BZ28" i="3"/>
  <c r="BY28" i="3"/>
  <c r="BX28" i="3"/>
  <c r="BW28" i="3"/>
  <c r="BV28" i="3"/>
  <c r="BU28" i="3"/>
  <c r="BT28" i="3"/>
  <c r="BS28" i="3"/>
  <c r="BR28" i="3"/>
  <c r="BQ28" i="3"/>
  <c r="BP28" i="3"/>
  <c r="BO28" i="3"/>
  <c r="BN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J28" i="3"/>
  <c r="DU27" i="3"/>
  <c r="DT27" i="3"/>
  <c r="DS27" i="3"/>
  <c r="DR27" i="3"/>
  <c r="DQ27" i="3"/>
  <c r="DP27" i="3"/>
  <c r="DO27" i="3"/>
  <c r="DN27" i="3"/>
  <c r="DM27" i="3"/>
  <c r="DL27" i="3"/>
  <c r="DK27" i="3"/>
  <c r="DJ27" i="3"/>
  <c r="DI27" i="3"/>
  <c r="DH27" i="3"/>
  <c r="DG27" i="3"/>
  <c r="DF27" i="3"/>
  <c r="DE27" i="3"/>
  <c r="DD27" i="3"/>
  <c r="DC27" i="3"/>
  <c r="DB27" i="3"/>
  <c r="DA27" i="3"/>
  <c r="CZ27" i="3"/>
  <c r="CY27" i="3"/>
  <c r="CX27" i="3"/>
  <c r="CW27" i="3"/>
  <c r="CV27" i="3"/>
  <c r="CU27" i="3"/>
  <c r="CT27" i="3"/>
  <c r="CS27" i="3"/>
  <c r="CR27" i="3"/>
  <c r="CQ27" i="3"/>
  <c r="CP27" i="3"/>
  <c r="CO27" i="3"/>
  <c r="CN27" i="3"/>
  <c r="CM27" i="3"/>
  <c r="CL27" i="3"/>
  <c r="CK27" i="3"/>
  <c r="CJ27" i="3"/>
  <c r="CI27" i="3"/>
  <c r="CH27" i="3"/>
  <c r="CG27" i="3"/>
  <c r="CF27" i="3"/>
  <c r="CE27" i="3"/>
  <c r="CD27" i="3"/>
  <c r="CC27" i="3"/>
  <c r="CB27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BO27" i="3"/>
  <c r="BN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J27" i="3"/>
  <c r="DU26" i="3"/>
  <c r="DT26" i="3"/>
  <c r="DS26" i="3"/>
  <c r="DR26" i="3"/>
  <c r="DQ26" i="3"/>
  <c r="DP26" i="3"/>
  <c r="DO26" i="3"/>
  <c r="DN26" i="3"/>
  <c r="DM26" i="3"/>
  <c r="DL26" i="3"/>
  <c r="DK26" i="3"/>
  <c r="DJ26" i="3"/>
  <c r="DI26" i="3"/>
  <c r="DH26" i="3"/>
  <c r="DG26" i="3"/>
  <c r="DF26" i="3"/>
  <c r="DE26" i="3"/>
  <c r="DD26" i="3"/>
  <c r="DC26" i="3"/>
  <c r="DB26" i="3"/>
  <c r="DA26" i="3"/>
  <c r="CZ26" i="3"/>
  <c r="CY26" i="3"/>
  <c r="CX26" i="3"/>
  <c r="CW26" i="3"/>
  <c r="CV26" i="3"/>
  <c r="CU26" i="3"/>
  <c r="CT26" i="3"/>
  <c r="CS26" i="3"/>
  <c r="CR26" i="3"/>
  <c r="CQ26" i="3"/>
  <c r="CP26" i="3"/>
  <c r="CO26" i="3"/>
  <c r="CN26" i="3"/>
  <c r="CM26" i="3"/>
  <c r="CL26" i="3"/>
  <c r="CK26" i="3"/>
  <c r="CJ26" i="3"/>
  <c r="CI26" i="3"/>
  <c r="CH26" i="3"/>
  <c r="CG26" i="3"/>
  <c r="CF26" i="3"/>
  <c r="CE26" i="3"/>
  <c r="CD26" i="3"/>
  <c r="CC26" i="3"/>
  <c r="CB26" i="3"/>
  <c r="CA26" i="3"/>
  <c r="BZ26" i="3"/>
  <c r="BY26" i="3"/>
  <c r="BX26" i="3"/>
  <c r="BW26" i="3"/>
  <c r="BV26" i="3"/>
  <c r="BU26" i="3"/>
  <c r="BT26" i="3"/>
  <c r="BS26" i="3"/>
  <c r="BR26" i="3"/>
  <c r="BQ26" i="3"/>
  <c r="BP26" i="3"/>
  <c r="BO26" i="3"/>
  <c r="BN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J26" i="3"/>
  <c r="DU25" i="3"/>
  <c r="DT25" i="3"/>
  <c r="DS25" i="3"/>
  <c r="DR25" i="3"/>
  <c r="DQ25" i="3"/>
  <c r="DP25" i="3"/>
  <c r="DO25" i="3"/>
  <c r="DN25" i="3"/>
  <c r="DM25" i="3"/>
  <c r="DL25" i="3"/>
  <c r="DK25" i="3"/>
  <c r="DJ25" i="3"/>
  <c r="DI25" i="3"/>
  <c r="DH25" i="3"/>
  <c r="DG25" i="3"/>
  <c r="DF25" i="3"/>
  <c r="DE25" i="3"/>
  <c r="DD25" i="3"/>
  <c r="DC25" i="3"/>
  <c r="DB25" i="3"/>
  <c r="DA25" i="3"/>
  <c r="CZ25" i="3"/>
  <c r="CY25" i="3"/>
  <c r="CX25" i="3"/>
  <c r="CW25" i="3"/>
  <c r="CV25" i="3"/>
  <c r="CU25" i="3"/>
  <c r="CT25" i="3"/>
  <c r="CS25" i="3"/>
  <c r="CR25" i="3"/>
  <c r="CQ25" i="3"/>
  <c r="CP25" i="3"/>
  <c r="CO25" i="3"/>
  <c r="CN25" i="3"/>
  <c r="CM25" i="3"/>
  <c r="CL25" i="3"/>
  <c r="CK25" i="3"/>
  <c r="CJ25" i="3"/>
  <c r="CI25" i="3"/>
  <c r="CH25" i="3"/>
  <c r="CG25" i="3"/>
  <c r="CF25" i="3"/>
  <c r="CE25" i="3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J25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J24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J23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J22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J21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J20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J19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J18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J16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J15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J14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J13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J12" i="3"/>
  <c r="DU11" i="3"/>
  <c r="DT11" i="3"/>
  <c r="DS11" i="3"/>
  <c r="DR11" i="3"/>
  <c r="DQ11" i="3"/>
  <c r="DP11" i="3"/>
  <c r="DO11" i="3"/>
  <c r="DN11" i="3"/>
  <c r="DM11" i="3"/>
  <c r="DL11" i="3"/>
  <c r="DK11" i="3"/>
  <c r="DJ11" i="3"/>
  <c r="DI11" i="3"/>
  <c r="DH11" i="3"/>
  <c r="DG11" i="3"/>
  <c r="DF11" i="3"/>
  <c r="DE11" i="3"/>
  <c r="DD11" i="3"/>
  <c r="DC11" i="3"/>
  <c r="DB11" i="3"/>
  <c r="DA11" i="3"/>
  <c r="CZ11" i="3"/>
  <c r="CY11" i="3"/>
  <c r="CX11" i="3"/>
  <c r="CW11" i="3"/>
  <c r="CV11" i="3"/>
  <c r="CU11" i="3"/>
  <c r="CT11" i="3"/>
  <c r="CS11" i="3"/>
  <c r="CR11" i="3"/>
  <c r="CQ11" i="3"/>
  <c r="CP11" i="3"/>
  <c r="CO11" i="3"/>
  <c r="CN11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CA11" i="3"/>
  <c r="BZ11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J11" i="3"/>
  <c r="DU10" i="3"/>
  <c r="DT10" i="3"/>
  <c r="DS10" i="3"/>
  <c r="DR10" i="3"/>
  <c r="DQ10" i="3"/>
  <c r="DP10" i="3"/>
  <c r="DO10" i="3"/>
  <c r="DN10" i="3"/>
  <c r="DM10" i="3"/>
  <c r="DL10" i="3"/>
  <c r="DK10" i="3"/>
  <c r="DJ10" i="3"/>
  <c r="DI10" i="3"/>
  <c r="DH10" i="3"/>
  <c r="DG10" i="3"/>
  <c r="DF10" i="3"/>
  <c r="DE10" i="3"/>
  <c r="DD10" i="3"/>
  <c r="DC10" i="3"/>
  <c r="DB10" i="3"/>
  <c r="DA10" i="3"/>
  <c r="CZ10" i="3"/>
  <c r="CY10" i="3"/>
  <c r="CX10" i="3"/>
  <c r="CW10" i="3"/>
  <c r="CV10" i="3"/>
  <c r="CU10" i="3"/>
  <c r="CT10" i="3"/>
  <c r="CS10" i="3"/>
  <c r="CR10" i="3"/>
  <c r="CQ10" i="3"/>
  <c r="CP10" i="3"/>
  <c r="CO10" i="3"/>
  <c r="CN10" i="3"/>
  <c r="CM10" i="3"/>
  <c r="CL10" i="3"/>
  <c r="CK10" i="3"/>
  <c r="CJ10" i="3"/>
  <c r="CI10" i="3"/>
  <c r="CH10" i="3"/>
  <c r="CG10" i="3"/>
  <c r="CF10" i="3"/>
  <c r="CE10" i="3"/>
  <c r="CD10" i="3"/>
  <c r="CC10" i="3"/>
  <c r="CB10" i="3"/>
  <c r="CA10" i="3"/>
  <c r="BZ10" i="3"/>
  <c r="BY10" i="3"/>
  <c r="BX10" i="3"/>
  <c r="BW10" i="3"/>
  <c r="BV10" i="3"/>
  <c r="BU10" i="3"/>
  <c r="BT10" i="3"/>
  <c r="BS10" i="3"/>
  <c r="BR10" i="3"/>
  <c r="BQ10" i="3"/>
  <c r="BP10" i="3"/>
  <c r="BO10" i="3"/>
  <c r="BN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J10" i="3"/>
  <c r="DU9" i="3"/>
  <c r="DT9" i="3"/>
  <c r="DS9" i="3"/>
  <c r="DR9" i="3"/>
  <c r="DQ9" i="3"/>
  <c r="DP9" i="3"/>
  <c r="DO9" i="3"/>
  <c r="DN9" i="3"/>
  <c r="DM9" i="3"/>
  <c r="DL9" i="3"/>
  <c r="DK9" i="3"/>
  <c r="DJ9" i="3"/>
  <c r="DI9" i="3"/>
  <c r="DH9" i="3"/>
  <c r="DG9" i="3"/>
  <c r="DF9" i="3"/>
  <c r="DE9" i="3"/>
  <c r="DD9" i="3"/>
  <c r="DC9" i="3"/>
  <c r="DB9" i="3"/>
  <c r="DA9" i="3"/>
  <c r="CZ9" i="3"/>
  <c r="CY9" i="3"/>
  <c r="CX9" i="3"/>
  <c r="CW9" i="3"/>
  <c r="CV9" i="3"/>
  <c r="CU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C9" i="3"/>
  <c r="CB9" i="3"/>
  <c r="CA9" i="3"/>
  <c r="BZ9" i="3"/>
  <c r="BY9" i="3"/>
  <c r="BX9" i="3"/>
  <c r="BW9" i="3"/>
  <c r="BV9" i="3"/>
  <c r="BU9" i="3"/>
  <c r="BT9" i="3"/>
  <c r="BS9" i="3"/>
  <c r="BR9" i="3"/>
  <c r="BQ9" i="3"/>
  <c r="BP9" i="3"/>
  <c r="BO9" i="3"/>
  <c r="BN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J9" i="3"/>
  <c r="DU8" i="3"/>
  <c r="DT8" i="3"/>
  <c r="DS8" i="3"/>
  <c r="DR8" i="3"/>
  <c r="DQ8" i="3"/>
  <c r="DP8" i="3"/>
  <c r="DO8" i="3"/>
  <c r="DN8" i="3"/>
  <c r="DM8" i="3"/>
  <c r="DL8" i="3"/>
  <c r="DK8" i="3"/>
  <c r="DJ8" i="3"/>
  <c r="DI8" i="3"/>
  <c r="DH8" i="3"/>
  <c r="DG8" i="3"/>
  <c r="DF8" i="3"/>
  <c r="DE8" i="3"/>
  <c r="DD8" i="3"/>
  <c r="DC8" i="3"/>
  <c r="DB8" i="3"/>
  <c r="DA8" i="3"/>
  <c r="CZ8" i="3"/>
  <c r="CY8" i="3"/>
  <c r="CX8" i="3"/>
  <c r="CW8" i="3"/>
  <c r="CV8" i="3"/>
  <c r="CU8" i="3"/>
  <c r="CT8" i="3"/>
  <c r="CS8" i="3"/>
  <c r="CR8" i="3"/>
  <c r="CQ8" i="3"/>
  <c r="CP8" i="3"/>
  <c r="CO8" i="3"/>
  <c r="CN8" i="3"/>
  <c r="CM8" i="3"/>
  <c r="CL8" i="3"/>
  <c r="CK8" i="3"/>
  <c r="CJ8" i="3"/>
  <c r="CI8" i="3"/>
  <c r="CH8" i="3"/>
  <c r="CG8" i="3"/>
  <c r="CF8" i="3"/>
  <c r="CE8" i="3"/>
  <c r="CD8" i="3"/>
  <c r="CC8" i="3"/>
  <c r="CB8" i="3"/>
  <c r="CA8" i="3"/>
  <c r="BZ8" i="3"/>
  <c r="BY8" i="3"/>
  <c r="BX8" i="3"/>
  <c r="BW8" i="3"/>
  <c r="BV8" i="3"/>
  <c r="BU8" i="3"/>
  <c r="BT8" i="3"/>
  <c r="BS8" i="3"/>
  <c r="BR8" i="3"/>
  <c r="BQ8" i="3"/>
  <c r="BP8" i="3"/>
  <c r="BO8" i="3"/>
  <c r="BN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J8" i="3"/>
  <c r="DU7" i="3"/>
  <c r="DT7" i="3"/>
  <c r="DS7" i="3"/>
  <c r="DR7" i="3"/>
  <c r="DQ7" i="3"/>
  <c r="DP7" i="3"/>
  <c r="DO7" i="3"/>
  <c r="DN7" i="3"/>
  <c r="DM7" i="3"/>
  <c r="DL7" i="3"/>
  <c r="DK7" i="3"/>
  <c r="DJ7" i="3"/>
  <c r="DI7" i="3"/>
  <c r="DH7" i="3"/>
  <c r="DG7" i="3"/>
  <c r="DF7" i="3"/>
  <c r="DE7" i="3"/>
  <c r="DD7" i="3"/>
  <c r="DC7" i="3"/>
  <c r="DB7" i="3"/>
  <c r="DA7" i="3"/>
  <c r="CZ7" i="3"/>
  <c r="CY7" i="3"/>
  <c r="CX7" i="3"/>
  <c r="CW7" i="3"/>
  <c r="CV7" i="3"/>
  <c r="CU7" i="3"/>
  <c r="CT7" i="3"/>
  <c r="CS7" i="3"/>
  <c r="CR7" i="3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J7" i="3"/>
  <c r="DU6" i="3"/>
  <c r="DT6" i="3"/>
  <c r="DS6" i="3"/>
  <c r="DR6" i="3"/>
  <c r="DQ6" i="3"/>
  <c r="DP6" i="3"/>
  <c r="DO6" i="3"/>
  <c r="DN6" i="3"/>
  <c r="DM6" i="3"/>
  <c r="DL6" i="3"/>
  <c r="DK6" i="3"/>
  <c r="DJ6" i="3"/>
  <c r="DI6" i="3"/>
  <c r="DH6" i="3"/>
  <c r="DG6" i="3"/>
  <c r="DF6" i="3"/>
  <c r="DE6" i="3"/>
  <c r="DD6" i="3"/>
  <c r="DC6" i="3"/>
  <c r="DB6" i="3"/>
  <c r="DA6" i="3"/>
  <c r="CZ6" i="3"/>
  <c r="CY6" i="3"/>
  <c r="CX6" i="3"/>
  <c r="CW6" i="3"/>
  <c r="CV6" i="3"/>
  <c r="CU6" i="3"/>
  <c r="CT6" i="3"/>
  <c r="CS6" i="3"/>
  <c r="CR6" i="3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J6" i="3"/>
  <c r="DU5" i="3"/>
  <c r="DT5" i="3"/>
  <c r="DS5" i="3"/>
  <c r="DR5" i="3"/>
  <c r="DQ5" i="3"/>
  <c r="DP5" i="3"/>
  <c r="DO5" i="3"/>
  <c r="DN5" i="3"/>
  <c r="DM5" i="3"/>
  <c r="DL5" i="3"/>
  <c r="DK5" i="3"/>
  <c r="DJ5" i="3"/>
  <c r="DI5" i="3"/>
  <c r="DH5" i="3"/>
  <c r="DG5" i="3"/>
  <c r="DF5" i="3"/>
  <c r="DE5" i="3"/>
  <c r="DD5" i="3"/>
  <c r="DC5" i="3"/>
  <c r="DB5" i="3"/>
  <c r="DA5" i="3"/>
  <c r="CZ5" i="3"/>
  <c r="CY5" i="3"/>
  <c r="CX5" i="3"/>
  <c r="CW5" i="3"/>
  <c r="CV5" i="3"/>
  <c r="CU5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J5" i="3"/>
  <c r="G2" i="3"/>
  <c r="B2" i="3"/>
  <c r="H1" i="3"/>
  <c r="O349" i="2"/>
  <c r="O348" i="2"/>
  <c r="O347" i="2"/>
  <c r="O346" i="2"/>
  <c r="O345" i="2"/>
  <c r="O344" i="2"/>
  <c r="O342" i="2"/>
  <c r="O341" i="2"/>
  <c r="FR331" i="2"/>
  <c r="DQ331" i="2"/>
  <c r="FR330" i="2"/>
  <c r="E320" i="2"/>
  <c r="E319" i="2"/>
  <c r="E318" i="2"/>
  <c r="E317" i="2"/>
  <c r="E316" i="2"/>
  <c r="E314" i="2"/>
  <c r="E313" i="2"/>
  <c r="E312" i="2"/>
  <c r="E311" i="2"/>
  <c r="E310" i="2"/>
  <c r="E309" i="2"/>
  <c r="E308" i="2"/>
  <c r="E305" i="2"/>
  <c r="E301" i="2"/>
  <c r="E299" i="2"/>
  <c r="E298" i="2"/>
  <c r="E297" i="2"/>
  <c r="E295" i="2"/>
  <c r="E293" i="2"/>
  <c r="E292" i="2"/>
  <c r="E290" i="2"/>
  <c r="E288" i="2"/>
  <c r="E287" i="2"/>
  <c r="E286" i="2"/>
  <c r="E285" i="2"/>
  <c r="E284" i="2"/>
  <c r="E282" i="2"/>
  <c r="E281" i="2"/>
  <c r="E280" i="2"/>
  <c r="E279" i="2"/>
  <c r="E278" i="2"/>
  <c r="E277" i="2"/>
  <c r="E276" i="2"/>
  <c r="E265" i="2"/>
  <c r="E264" i="2"/>
  <c r="E263" i="2"/>
  <c r="E262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0" i="2"/>
  <c r="E239" i="2"/>
  <c r="E238" i="2"/>
  <c r="E234" i="2"/>
  <c r="E228" i="2"/>
  <c r="E223" i="2"/>
  <c r="E222" i="2"/>
  <c r="E219" i="2"/>
  <c r="E218" i="2"/>
  <c r="E217" i="2"/>
  <c r="E216" i="2"/>
  <c r="E213" i="2"/>
  <c r="E212" i="2"/>
  <c r="E211" i="2"/>
  <c r="E210" i="2"/>
  <c r="E209" i="2"/>
  <c r="E208" i="2"/>
  <c r="E207" i="2"/>
  <c r="E206" i="2"/>
  <c r="E205" i="2"/>
  <c r="E204" i="2"/>
  <c r="E203" i="2"/>
  <c r="E200" i="2"/>
  <c r="E199" i="2"/>
  <c r="E198" i="2"/>
  <c r="E197" i="2"/>
  <c r="E196" i="2"/>
  <c r="E195" i="2"/>
  <c r="E194" i="2"/>
  <c r="E193" i="2"/>
  <c r="E186" i="2"/>
  <c r="E185" i="2"/>
  <c r="E184" i="2"/>
  <c r="E183" i="2"/>
  <c r="E182" i="2"/>
  <c r="E181" i="2"/>
  <c r="E180" i="2"/>
  <c r="E168" i="2"/>
  <c r="E167" i="2"/>
  <c r="E166" i="2"/>
  <c r="E165" i="2"/>
  <c r="E164" i="2"/>
  <c r="E163" i="2"/>
  <c r="E162" i="2"/>
  <c r="E161" i="2"/>
  <c r="E160" i="2"/>
  <c r="E158" i="2"/>
  <c r="E157" i="2"/>
  <c r="E156" i="2"/>
  <c r="E155" i="2"/>
  <c r="E154" i="2"/>
  <c r="E150" i="2"/>
  <c r="E149" i="2"/>
  <c r="E146" i="2"/>
  <c r="E141" i="2"/>
  <c r="E129" i="2"/>
  <c r="E126" i="2"/>
  <c r="E125" i="2"/>
  <c r="E124" i="2"/>
  <c r="E123" i="2"/>
  <c r="E122" i="2"/>
  <c r="E120" i="2"/>
  <c r="E109" i="2"/>
  <c r="E108" i="2"/>
  <c r="E107" i="2"/>
  <c r="E106" i="2"/>
  <c r="E105" i="2"/>
  <c r="E104" i="2"/>
  <c r="E103" i="2"/>
  <c r="E102" i="2"/>
  <c r="E101" i="2"/>
  <c r="E100" i="2"/>
  <c r="E89" i="2"/>
  <c r="E87" i="2"/>
  <c r="E86" i="2"/>
  <c r="E85" i="2"/>
  <c r="E84" i="2"/>
  <c r="E83" i="2"/>
  <c r="E82" i="2"/>
  <c r="E77" i="2"/>
  <c r="E69" i="2"/>
  <c r="E68" i="2"/>
  <c r="E67" i="2"/>
  <c r="E46" i="2"/>
  <c r="E38" i="2"/>
  <c r="E37" i="2"/>
  <c r="E36" i="2"/>
  <c r="E32" i="2"/>
  <c r="E31" i="2"/>
  <c r="E30" i="2"/>
  <c r="E29" i="2"/>
  <c r="E28" i="2"/>
  <c r="E27" i="2"/>
  <c r="E24" i="2"/>
  <c r="E23" i="2"/>
  <c r="E22" i="2"/>
  <c r="E21" i="2"/>
  <c r="E19" i="2"/>
  <c r="E18" i="2"/>
  <c r="E17" i="2"/>
  <c r="E16" i="2"/>
  <c r="E15" i="2"/>
  <c r="E14" i="2"/>
  <c r="E11" i="2"/>
  <c r="E9" i="2"/>
  <c r="E8" i="2"/>
  <c r="FS65" i="1"/>
  <c r="FR65" i="1"/>
  <c r="DR65" i="1"/>
  <c r="DQ65" i="1"/>
  <c r="FS64" i="1"/>
  <c r="FR64" i="1"/>
  <c r="DR64" i="1"/>
  <c r="DQ64" i="1"/>
  <c r="FS63" i="1"/>
  <c r="FR63" i="1"/>
  <c r="DR63" i="1"/>
  <c r="DQ63" i="1"/>
  <c r="FR62" i="1"/>
  <c r="DQ62" i="1"/>
  <c r="FS62" i="1"/>
  <c r="FR61" i="1"/>
  <c r="DQ61" i="1"/>
  <c r="DR61" i="1"/>
  <c r="FR60" i="1"/>
  <c r="DQ60" i="1"/>
  <c r="FS60" i="1"/>
  <c r="FR59" i="1"/>
  <c r="DQ59" i="1"/>
  <c r="DR59" i="1"/>
  <c r="FS51" i="1"/>
  <c r="FR51" i="1"/>
  <c r="DR51" i="1"/>
  <c r="DQ51" i="1"/>
  <c r="FS34" i="1"/>
  <c r="FR34" i="1"/>
  <c r="DR34" i="1"/>
  <c r="DQ34" i="1"/>
  <c r="FS33" i="1"/>
  <c r="FR33" i="1"/>
  <c r="DR33" i="1"/>
  <c r="DQ33" i="1"/>
  <c r="FR32" i="1"/>
  <c r="DQ32" i="1"/>
  <c r="DR32" i="1"/>
  <c r="FR31" i="1"/>
  <c r="DQ31" i="1"/>
  <c r="FR30" i="1"/>
  <c r="DQ30" i="1"/>
  <c r="FS30" i="1"/>
  <c r="FR29" i="1"/>
  <c r="DQ29" i="1"/>
  <c r="DR29" i="1"/>
  <c r="FR28" i="1"/>
  <c r="DQ28" i="1"/>
  <c r="DR28" i="1"/>
  <c r="FR27" i="1"/>
  <c r="DQ27" i="1"/>
  <c r="FS27" i="1"/>
  <c r="FR23" i="1"/>
  <c r="DQ23" i="1"/>
  <c r="FS22" i="1"/>
  <c r="FR22" i="1"/>
  <c r="DR22" i="1"/>
  <c r="DQ22" i="1"/>
  <c r="FS21" i="1"/>
  <c r="FR21" i="1"/>
  <c r="DR21" i="1"/>
  <c r="DQ21" i="1"/>
  <c r="FR15" i="1"/>
  <c r="DQ15" i="1"/>
  <c r="FS14" i="1"/>
  <c r="FR14" i="1"/>
  <c r="DR14" i="1"/>
  <c r="DQ14" i="1"/>
  <c r="FS13" i="1"/>
  <c r="FR13" i="1"/>
  <c r="DR13" i="1"/>
  <c r="DQ13" i="1"/>
  <c r="FR12" i="1"/>
  <c r="DQ12" i="1"/>
  <c r="FS12" i="1"/>
  <c r="FR6" i="1"/>
  <c r="DQ6" i="1"/>
  <c r="E6" i="1"/>
  <c r="R69" i="3" l="1"/>
  <c r="CE68" i="3"/>
  <c r="CE71" i="3" s="1"/>
  <c r="AS69" i="3"/>
  <c r="BA69" i="3"/>
  <c r="DV239" i="4"/>
  <c r="DW239" i="4" s="1"/>
  <c r="DD69" i="3"/>
  <c r="V70" i="3"/>
  <c r="F102" i="6"/>
  <c r="BY71" i="3"/>
  <c r="DU71" i="3"/>
  <c r="DM71" i="3"/>
  <c r="BE69" i="3"/>
  <c r="Y69" i="3"/>
  <c r="DI69" i="3"/>
  <c r="AG69" i="3"/>
  <c r="BZ69" i="3"/>
  <c r="DN69" i="3"/>
  <c r="AW69" i="3"/>
  <c r="Z70" i="3"/>
  <c r="BQ71" i="3"/>
  <c r="CW71" i="3"/>
  <c r="CG71" i="3"/>
  <c r="DE71" i="3"/>
  <c r="BN341" i="2"/>
  <c r="BO341" i="2"/>
  <c r="BM341" i="2"/>
  <c r="BQ341" i="2"/>
  <c r="BL341" i="2"/>
  <c r="BP341" i="2"/>
  <c r="BP342" i="2"/>
  <c r="BL342" i="2"/>
  <c r="BN342" i="2"/>
  <c r="BM342" i="2"/>
  <c r="BQ342" i="2"/>
  <c r="BO342" i="2"/>
  <c r="BP344" i="2"/>
  <c r="BL344" i="2"/>
  <c r="BN344" i="2"/>
  <c r="BO344" i="2"/>
  <c r="BM344" i="2"/>
  <c r="BQ344" i="2"/>
  <c r="BN345" i="2"/>
  <c r="BP345" i="2"/>
  <c r="BL345" i="2"/>
  <c r="BO345" i="2"/>
  <c r="BQ345" i="2"/>
  <c r="BM345" i="2"/>
  <c r="BP346" i="2"/>
  <c r="BL346" i="2"/>
  <c r="BN346" i="2"/>
  <c r="BQ346" i="2"/>
  <c r="BM346" i="2"/>
  <c r="BO346" i="2"/>
  <c r="BN347" i="2"/>
  <c r="BP347" i="2"/>
  <c r="BL347" i="2"/>
  <c r="BO347" i="2"/>
  <c r="BQ347" i="2"/>
  <c r="BM347" i="2"/>
  <c r="BN348" i="2"/>
  <c r="BP348" i="2"/>
  <c r="BL348" i="2"/>
  <c r="BO348" i="2"/>
  <c r="BQ348" i="2"/>
  <c r="BM348" i="2"/>
  <c r="BP349" i="2"/>
  <c r="BL349" i="2"/>
  <c r="BN349" i="2"/>
  <c r="BQ349" i="2"/>
  <c r="BM349" i="2"/>
  <c r="BO349" i="2"/>
  <c r="AO69" i="3"/>
  <c r="BP69" i="3"/>
  <c r="R70" i="3"/>
  <c r="CJ69" i="3"/>
  <c r="CT69" i="3"/>
  <c r="BU69" i="3"/>
  <c r="BJ244" i="4"/>
  <c r="BK244" i="4" s="1"/>
  <c r="AO70" i="3"/>
  <c r="CE70" i="3"/>
  <c r="BJ10" i="4"/>
  <c r="BK10" i="4" s="1"/>
  <c r="EB49" i="4"/>
  <c r="EC49" i="4" s="1"/>
  <c r="EB63" i="4"/>
  <c r="EC63" i="4" s="1"/>
  <c r="BH120" i="4"/>
  <c r="BI120" i="4" s="1"/>
  <c r="DX10" i="4"/>
  <c r="DY10" i="4" s="1"/>
  <c r="M70" i="3"/>
  <c r="AS70" i="3"/>
  <c r="CO70" i="3"/>
  <c r="Q70" i="3"/>
  <c r="Q71" i="3" s="1"/>
  <c r="CY69" i="3"/>
  <c r="BL139" i="4"/>
  <c r="BM139" i="4" s="1"/>
  <c r="DX73" i="4"/>
  <c r="DY73" i="4" s="1"/>
  <c r="BJ76" i="4"/>
  <c r="BK76" i="4" s="1"/>
  <c r="DS69" i="3"/>
  <c r="BJ141" i="4"/>
  <c r="BK141" i="4" s="1"/>
  <c r="DX239" i="4"/>
  <c r="DY239" i="4" s="1"/>
  <c r="BH244" i="4"/>
  <c r="BI244" i="4" s="1"/>
  <c r="DZ239" i="4"/>
  <c r="EA239" i="4" s="1"/>
  <c r="BH242" i="4"/>
  <c r="BI242" i="4" s="1"/>
  <c r="CC71" i="3"/>
  <c r="CK71" i="3"/>
  <c r="CS71" i="3"/>
  <c r="DA71" i="3"/>
  <c r="DQ71" i="3"/>
  <c r="BJ239" i="4"/>
  <c r="BK239" i="4" s="1"/>
  <c r="DZ17" i="3"/>
  <c r="EA17" i="3" s="1"/>
  <c r="AC70" i="3"/>
  <c r="BL77" i="4"/>
  <c r="BM77" i="4" s="1"/>
  <c r="DX77" i="4"/>
  <c r="DY77" i="4" s="1"/>
  <c r="CT70" i="3"/>
  <c r="BH112" i="4"/>
  <c r="BI112" i="4" s="1"/>
  <c r="AW70" i="3"/>
  <c r="U70" i="3"/>
  <c r="U71" i="3" s="1"/>
  <c r="Y70" i="3"/>
  <c r="BJ243" i="4"/>
  <c r="BK243" i="4" s="1"/>
  <c r="AK70" i="3"/>
  <c r="CJ70" i="3"/>
  <c r="CJ71" i="3" s="1"/>
  <c r="AG70" i="3"/>
  <c r="BU70" i="3"/>
  <c r="BH238" i="4"/>
  <c r="BI238" i="4" s="1"/>
  <c r="CO69" i="3"/>
  <c r="BP70" i="3"/>
  <c r="DZ10" i="4"/>
  <c r="EA10" i="4" s="1"/>
  <c r="DR15" i="1"/>
  <c r="BH236" i="4"/>
  <c r="BI236" i="4" s="1"/>
  <c r="DV241" i="4"/>
  <c r="DW241" i="4" s="1"/>
  <c r="DV243" i="4"/>
  <c r="DW243" i="4" s="1"/>
  <c r="BL34" i="3"/>
  <c r="BM34" i="3" s="1"/>
  <c r="EB34" i="3"/>
  <c r="EC34" i="3" s="1"/>
  <c r="BL52" i="3"/>
  <c r="BM52" i="3" s="1"/>
  <c r="EB52" i="3"/>
  <c r="EC52" i="3" s="1"/>
  <c r="BL54" i="3"/>
  <c r="BM54" i="3" s="1"/>
  <c r="EB54" i="3"/>
  <c r="EC54" i="3" s="1"/>
  <c r="BL56" i="3"/>
  <c r="BM56" i="3" s="1"/>
  <c r="EB56" i="3"/>
  <c r="EC56" i="3" s="1"/>
  <c r="BE70" i="3"/>
  <c r="DX238" i="4"/>
  <c r="DY238" i="4" s="1"/>
  <c r="DX241" i="4"/>
  <c r="DY241" i="4" s="1"/>
  <c r="DX243" i="4"/>
  <c r="DY243" i="4" s="1"/>
  <c r="BA70" i="3"/>
  <c r="DD70" i="3"/>
  <c r="DD71" i="3" s="1"/>
  <c r="DX47" i="4"/>
  <c r="DY47" i="4" s="1"/>
  <c r="DZ243" i="4"/>
  <c r="EA243" i="4" s="1"/>
  <c r="DR27" i="1"/>
  <c r="FS59" i="1"/>
  <c r="FS61" i="1"/>
  <c r="DX6" i="3"/>
  <c r="DY6" i="3" s="1"/>
  <c r="DX14" i="3"/>
  <c r="DY14" i="3" s="1"/>
  <c r="DX19" i="3"/>
  <c r="DY19" i="3" s="1"/>
  <c r="EB6" i="3"/>
  <c r="EC6" i="3" s="1"/>
  <c r="EB14" i="3"/>
  <c r="EC14" i="3" s="1"/>
  <c r="BZ70" i="3"/>
  <c r="BJ13" i="4"/>
  <c r="BK13" i="4" s="1"/>
  <c r="EB33" i="4"/>
  <c r="EC33" i="4" s="1"/>
  <c r="BH36" i="4"/>
  <c r="BI36" i="4" s="1"/>
  <c r="DX50" i="4"/>
  <c r="DY50" i="4" s="1"/>
  <c r="EB53" i="4"/>
  <c r="EC53" i="4" s="1"/>
  <c r="BL61" i="4"/>
  <c r="BM61" i="4" s="1"/>
  <c r="EB66" i="4"/>
  <c r="EC66" i="4" s="1"/>
  <c r="BJ108" i="4"/>
  <c r="BK108" i="4" s="1"/>
  <c r="BL112" i="4"/>
  <c r="BM112" i="4" s="1"/>
  <c r="BJ118" i="4"/>
  <c r="BK118" i="4" s="1"/>
  <c r="BL120" i="4"/>
  <c r="BM120" i="4" s="1"/>
  <c r="BJ155" i="4"/>
  <c r="BK155" i="4" s="1"/>
  <c r="BJ16" i="3"/>
  <c r="BK16" i="3" s="1"/>
  <c r="DV16" i="3"/>
  <c r="DW16" i="3" s="1"/>
  <c r="CY70" i="3"/>
  <c r="BJ7" i="4"/>
  <c r="BK7" i="4" s="1"/>
  <c r="BJ17" i="4"/>
  <c r="BK17" i="4" s="1"/>
  <c r="BL49" i="4"/>
  <c r="BM49" i="4" s="1"/>
  <c r="BL65" i="4"/>
  <c r="BM65" i="4" s="1"/>
  <c r="BJ72" i="4"/>
  <c r="BK72" i="4" s="1"/>
  <c r="BJ99" i="4"/>
  <c r="BK99" i="4" s="1"/>
  <c r="BJ101" i="4"/>
  <c r="BK101" i="4" s="1"/>
  <c r="BJ107" i="4"/>
  <c r="BK107" i="4" s="1"/>
  <c r="DR23" i="1"/>
  <c r="EB8" i="3"/>
  <c r="EC8" i="3" s="1"/>
  <c r="BL26" i="3"/>
  <c r="BM26" i="3" s="1"/>
  <c r="EB26" i="3"/>
  <c r="EC26" i="3" s="1"/>
  <c r="BL58" i="3"/>
  <c r="BM58" i="3" s="1"/>
  <c r="EB58" i="3"/>
  <c r="EC58" i="3" s="1"/>
  <c r="BL60" i="3"/>
  <c r="BM60" i="3" s="1"/>
  <c r="EB60" i="3"/>
  <c r="EC60" i="3" s="1"/>
  <c r="BL62" i="3"/>
  <c r="BM62" i="3" s="1"/>
  <c r="EB62" i="3"/>
  <c r="EC62" i="3" s="1"/>
  <c r="BL64" i="3"/>
  <c r="BM64" i="3" s="1"/>
  <c r="EB64" i="3"/>
  <c r="EC64" i="3" s="1"/>
  <c r="EB12" i="4"/>
  <c r="EC12" i="4" s="1"/>
  <c r="BL33" i="4"/>
  <c r="BM33" i="4" s="1"/>
  <c r="DX43" i="4"/>
  <c r="DY43" i="4" s="1"/>
  <c r="DX51" i="4"/>
  <c r="DY51" i="4" s="1"/>
  <c r="EB59" i="4"/>
  <c r="EC59" i="4" s="1"/>
  <c r="EB65" i="4"/>
  <c r="EC65" i="4" s="1"/>
  <c r="DX66" i="4"/>
  <c r="DY66" i="4" s="1"/>
  <c r="EB125" i="4"/>
  <c r="EC125" i="4" s="1"/>
  <c r="BJ127" i="4"/>
  <c r="BK127" i="4" s="1"/>
  <c r="BL128" i="4"/>
  <c r="BM128" i="4" s="1"/>
  <c r="DZ128" i="4"/>
  <c r="EA128" i="4" s="1"/>
  <c r="EB129" i="4"/>
  <c r="EC129" i="4" s="1"/>
  <c r="BJ131" i="4"/>
  <c r="BK131" i="4" s="1"/>
  <c r="DZ132" i="4"/>
  <c r="EA132" i="4" s="1"/>
  <c r="BH158" i="4"/>
  <c r="BI158" i="4" s="1"/>
  <c r="DX10" i="3"/>
  <c r="DY10" i="3" s="1"/>
  <c r="DZ21" i="3"/>
  <c r="EA21" i="3" s="1"/>
  <c r="DI70" i="3"/>
  <c r="DI71" i="3" s="1"/>
  <c r="BJ30" i="4"/>
  <c r="BK30" i="4" s="1"/>
  <c r="BJ52" i="4"/>
  <c r="BK52" i="4" s="1"/>
  <c r="DX57" i="4"/>
  <c r="DY57" i="4" s="1"/>
  <c r="EB79" i="4"/>
  <c r="EC79" i="4" s="1"/>
  <c r="DZ80" i="4"/>
  <c r="EA80" i="4" s="1"/>
  <c r="BJ93" i="4"/>
  <c r="BK93" i="4" s="1"/>
  <c r="BJ114" i="4"/>
  <c r="BK114" i="4" s="1"/>
  <c r="BH116" i="4"/>
  <c r="BI116" i="4" s="1"/>
  <c r="BJ122" i="4"/>
  <c r="BK122" i="4" s="1"/>
  <c r="BH137" i="4"/>
  <c r="BI137" i="4" s="1"/>
  <c r="BH143" i="4"/>
  <c r="BI143" i="4" s="1"/>
  <c r="FS23" i="1"/>
  <c r="EB10" i="3"/>
  <c r="EC10" i="3" s="1"/>
  <c r="DV30" i="4"/>
  <c r="DW30" i="4" s="1"/>
  <c r="DV31" i="4"/>
  <c r="DW31" i="4" s="1"/>
  <c r="EB43" i="4"/>
  <c r="EC43" i="4" s="1"/>
  <c r="BJ60" i="4"/>
  <c r="BK60" i="4" s="1"/>
  <c r="BJ64" i="4"/>
  <c r="BK64" i="4" s="1"/>
  <c r="BJ70" i="4"/>
  <c r="BK70" i="4" s="1"/>
  <c r="BL73" i="4"/>
  <c r="BM73" i="4" s="1"/>
  <c r="BL91" i="4"/>
  <c r="BM91" i="4" s="1"/>
  <c r="BL114" i="4"/>
  <c r="BM114" i="4" s="1"/>
  <c r="BJ116" i="4"/>
  <c r="BK116" i="4" s="1"/>
  <c r="BJ137" i="4"/>
  <c r="BK137" i="4" s="1"/>
  <c r="BL148" i="4"/>
  <c r="BM148" i="4" s="1"/>
  <c r="DZ148" i="4"/>
  <c r="EA148" i="4" s="1"/>
  <c r="BL150" i="4"/>
  <c r="BM150" i="4" s="1"/>
  <c r="DZ150" i="4"/>
  <c r="EA150" i="4" s="1"/>
  <c r="BH152" i="4"/>
  <c r="BI152" i="4" s="1"/>
  <c r="DZ152" i="4"/>
  <c r="EA152" i="4" s="1"/>
  <c r="BH154" i="4"/>
  <c r="BI154" i="4" s="1"/>
  <c r="DX154" i="4"/>
  <c r="DY154" i="4" s="1"/>
  <c r="DS70" i="3"/>
  <c r="DS71" i="3" s="1"/>
  <c r="DX35" i="4"/>
  <c r="DY35" i="4" s="1"/>
  <c r="BL52" i="4"/>
  <c r="BM52" i="4" s="1"/>
  <c r="BL67" i="4"/>
  <c r="BM67" i="4" s="1"/>
  <c r="EB87" i="4"/>
  <c r="EC87" i="4" s="1"/>
  <c r="DX91" i="4"/>
  <c r="DY91" i="4" s="1"/>
  <c r="DZ158" i="4"/>
  <c r="EA158" i="4" s="1"/>
  <c r="BL244" i="4"/>
  <c r="BM244" i="4" s="1"/>
  <c r="EB12" i="3"/>
  <c r="EC12" i="3" s="1"/>
  <c r="BJ43" i="3"/>
  <c r="BK43" i="3" s="1"/>
  <c r="DZ43" i="3"/>
  <c r="EA43" i="3" s="1"/>
  <c r="BL48" i="3"/>
  <c r="BM48" i="3" s="1"/>
  <c r="EB48" i="3"/>
  <c r="EC48" i="3" s="1"/>
  <c r="DZ7" i="4"/>
  <c r="EA7" i="4" s="1"/>
  <c r="DN70" i="3"/>
  <c r="DX8" i="4"/>
  <c r="DY8" i="4" s="1"/>
  <c r="DZ29" i="4"/>
  <c r="EA29" i="4" s="1"/>
  <c r="BH40" i="4"/>
  <c r="BI40" i="4" s="1"/>
  <c r="DX61" i="4"/>
  <c r="DY61" i="4" s="1"/>
  <c r="EB67" i="4"/>
  <c r="EC67" i="4" s="1"/>
  <c r="DZ74" i="4"/>
  <c r="EA74" i="4" s="1"/>
  <c r="EB81" i="4"/>
  <c r="EC81" i="4" s="1"/>
  <c r="BJ85" i="4"/>
  <c r="BK85" i="4" s="1"/>
  <c r="DZ93" i="4"/>
  <c r="EA93" i="4" s="1"/>
  <c r="DX16" i="3"/>
  <c r="DY16" i="3" s="1"/>
  <c r="EB19" i="3"/>
  <c r="EC19" i="3" s="1"/>
  <c r="BL22" i="3"/>
  <c r="BM22" i="3" s="1"/>
  <c r="BL30" i="3"/>
  <c r="BM30" i="3" s="1"/>
  <c r="EB30" i="3"/>
  <c r="EC30" i="3" s="1"/>
  <c r="BL38" i="3"/>
  <c r="BM38" i="3" s="1"/>
  <c r="EB38" i="3"/>
  <c r="EC38" i="3" s="1"/>
  <c r="BL14" i="3"/>
  <c r="BM14" i="3" s="1"/>
  <c r="EB16" i="3"/>
  <c r="EC16" i="3" s="1"/>
  <c r="BL18" i="3"/>
  <c r="BM18" i="3" s="1"/>
  <c r="BL21" i="3"/>
  <c r="BM21" i="3" s="1"/>
  <c r="BJ21" i="3"/>
  <c r="BK21" i="3" s="1"/>
  <c r="BJ25" i="3"/>
  <c r="BK25" i="3" s="1"/>
  <c r="BL27" i="3"/>
  <c r="BM27" i="3" s="1"/>
  <c r="DZ27" i="3"/>
  <c r="EA27" i="3" s="1"/>
  <c r="BJ30" i="3"/>
  <c r="BK30" i="3" s="1"/>
  <c r="BJ33" i="3"/>
  <c r="BK33" i="3" s="1"/>
  <c r="BL35" i="3"/>
  <c r="BM35" i="3" s="1"/>
  <c r="EB35" i="3"/>
  <c r="EC35" i="3" s="1"/>
  <c r="BJ38" i="3"/>
  <c r="BK38" i="3" s="1"/>
  <c r="EB41" i="3"/>
  <c r="EC41" i="3" s="1"/>
  <c r="EB43" i="3"/>
  <c r="EC43" i="3" s="1"/>
  <c r="BJ46" i="3"/>
  <c r="BK46" i="3" s="1"/>
  <c r="BJ9" i="3"/>
  <c r="BK9" i="3" s="1"/>
  <c r="BJ13" i="3"/>
  <c r="BK13" i="3" s="1"/>
  <c r="BL17" i="3"/>
  <c r="BM17" i="3" s="1"/>
  <c r="BJ17" i="3"/>
  <c r="BK17" i="3" s="1"/>
  <c r="BJ32" i="3"/>
  <c r="BK32" i="3" s="1"/>
  <c r="DZ32" i="3"/>
  <c r="EA32" i="3" s="1"/>
  <c r="BJ40" i="3"/>
  <c r="BK40" i="3" s="1"/>
  <c r="DZ40" i="3"/>
  <c r="EA40" i="3" s="1"/>
  <c r="BL45" i="3"/>
  <c r="BM45" i="3" s="1"/>
  <c r="EB45" i="3"/>
  <c r="EC45" i="3" s="1"/>
  <c r="DR31" i="1"/>
  <c r="BW71" i="3"/>
  <c r="CM71" i="3"/>
  <c r="CU71" i="3"/>
  <c r="DC71" i="3"/>
  <c r="DK71" i="3"/>
  <c r="BL8" i="3"/>
  <c r="BM8" i="3" s="1"/>
  <c r="DV8" i="3"/>
  <c r="DW8" i="3" s="1"/>
  <c r="BL12" i="3"/>
  <c r="BM12" i="3" s="1"/>
  <c r="DV12" i="3"/>
  <c r="DW12" i="3" s="1"/>
  <c r="EB24" i="3"/>
  <c r="EC24" i="3" s="1"/>
  <c r="EB27" i="3"/>
  <c r="EC27" i="3" s="1"/>
  <c r="BL29" i="3"/>
  <c r="BM29" i="3" s="1"/>
  <c r="DZ29" i="3"/>
  <c r="EA29" i="3" s="1"/>
  <c r="EB32" i="3"/>
  <c r="EC32" i="3" s="1"/>
  <c r="BJ35" i="3"/>
  <c r="BK35" i="3" s="1"/>
  <c r="BJ37" i="3"/>
  <c r="BK37" i="3" s="1"/>
  <c r="DZ37" i="3"/>
  <c r="EA37" i="3" s="1"/>
  <c r="EB40" i="3"/>
  <c r="EC40" i="3" s="1"/>
  <c r="BJ45" i="3"/>
  <c r="BK45" i="3" s="1"/>
  <c r="BL42" i="3"/>
  <c r="BM42" i="3" s="1"/>
  <c r="EB42" i="3"/>
  <c r="EC42" i="3" s="1"/>
  <c r="BJ47" i="3"/>
  <c r="BK47" i="3" s="1"/>
  <c r="DZ47" i="3"/>
  <c r="EA47" i="3" s="1"/>
  <c r="FS31" i="1"/>
  <c r="BJ23" i="3"/>
  <c r="BK23" i="3" s="1"/>
  <c r="BJ26" i="3"/>
  <c r="BK26" i="3" s="1"/>
  <c r="BJ29" i="3"/>
  <c r="BK29" i="3" s="1"/>
  <c r="BL31" i="3"/>
  <c r="BM31" i="3" s="1"/>
  <c r="DZ31" i="3"/>
  <c r="EA31" i="3" s="1"/>
  <c r="BJ34" i="3"/>
  <c r="BK34" i="3" s="1"/>
  <c r="EB37" i="3"/>
  <c r="EC37" i="3" s="1"/>
  <c r="BL39" i="3"/>
  <c r="BM39" i="3" s="1"/>
  <c r="EB39" i="3"/>
  <c r="EC39" i="3" s="1"/>
  <c r="BJ42" i="3"/>
  <c r="BK42" i="3" s="1"/>
  <c r="BJ44" i="3"/>
  <c r="BK44" i="3" s="1"/>
  <c r="DZ44" i="3"/>
  <c r="EA44" i="3" s="1"/>
  <c r="BL7" i="3"/>
  <c r="BM7" i="3" s="1"/>
  <c r="BL11" i="3"/>
  <c r="BM11" i="3" s="1"/>
  <c r="BL15" i="3"/>
  <c r="BM15" i="3" s="1"/>
  <c r="BL16" i="3"/>
  <c r="BM16" i="3" s="1"/>
  <c r="BJ19" i="3"/>
  <c r="BK19" i="3" s="1"/>
  <c r="DZ19" i="3"/>
  <c r="EA19" i="3" s="1"/>
  <c r="BJ28" i="3"/>
  <c r="BK28" i="3" s="1"/>
  <c r="DZ28" i="3"/>
  <c r="EA28" i="3" s="1"/>
  <c r="BJ36" i="3"/>
  <c r="BK36" i="3" s="1"/>
  <c r="DZ36" i="3"/>
  <c r="EA36" i="3" s="1"/>
  <c r="BS71" i="3"/>
  <c r="CA71" i="3"/>
  <c r="CI71" i="3"/>
  <c r="CQ71" i="3"/>
  <c r="DG71" i="3"/>
  <c r="DO71" i="3"/>
  <c r="BL6" i="3"/>
  <c r="BM6" i="3" s="1"/>
  <c r="DV6" i="3"/>
  <c r="DW6" i="3" s="1"/>
  <c r="DX8" i="3"/>
  <c r="DY8" i="3" s="1"/>
  <c r="BL10" i="3"/>
  <c r="BM10" i="3" s="1"/>
  <c r="DV10" i="3"/>
  <c r="DW10" i="3" s="1"/>
  <c r="DX12" i="3"/>
  <c r="DY12" i="3" s="1"/>
  <c r="BJ14" i="3"/>
  <c r="BK14" i="3" s="1"/>
  <c r="DV14" i="3"/>
  <c r="DW14" i="3" s="1"/>
  <c r="EB23" i="3"/>
  <c r="EC23" i="3" s="1"/>
  <c r="EB28" i="3"/>
  <c r="EC28" i="3" s="1"/>
  <c r="EB31" i="3"/>
  <c r="EC31" i="3" s="1"/>
  <c r="BL33" i="3"/>
  <c r="BM33" i="3" s="1"/>
  <c r="DZ33" i="3"/>
  <c r="EA33" i="3" s="1"/>
  <c r="EB36" i="3"/>
  <c r="EC36" i="3" s="1"/>
  <c r="BJ39" i="3"/>
  <c r="BK39" i="3" s="1"/>
  <c r="BJ41" i="3"/>
  <c r="BK41" i="3" s="1"/>
  <c r="DZ41" i="3"/>
  <c r="EA41" i="3" s="1"/>
  <c r="EB44" i="3"/>
  <c r="EC44" i="3" s="1"/>
  <c r="BL46" i="3"/>
  <c r="BM46" i="3" s="1"/>
  <c r="EB46" i="3"/>
  <c r="EC46" i="3" s="1"/>
  <c r="BJ66" i="3"/>
  <c r="BK66" i="3" s="1"/>
  <c r="BJ68" i="3"/>
  <c r="BK68" i="3" s="1"/>
  <c r="BL8" i="4"/>
  <c r="BM8" i="4" s="1"/>
  <c r="DV10" i="4"/>
  <c r="DW10" i="4" s="1"/>
  <c r="EB18" i="4"/>
  <c r="EC18" i="4" s="1"/>
  <c r="EB31" i="4"/>
  <c r="EC31" i="4" s="1"/>
  <c r="DX32" i="4"/>
  <c r="DY32" i="4" s="1"/>
  <c r="DZ33" i="4"/>
  <c r="EA33" i="4" s="1"/>
  <c r="BL36" i="4"/>
  <c r="BM36" i="4" s="1"/>
  <c r="BL40" i="4"/>
  <c r="BM40" i="4" s="1"/>
  <c r="BL42" i="4"/>
  <c r="BM42" i="4" s="1"/>
  <c r="BH43" i="4"/>
  <c r="BI43" i="4" s="1"/>
  <c r="BL46" i="4"/>
  <c r="BM46" i="4" s="1"/>
  <c r="DV47" i="4"/>
  <c r="DW47" i="4" s="1"/>
  <c r="DX48" i="4"/>
  <c r="DY48" i="4" s="1"/>
  <c r="DZ49" i="4"/>
  <c r="EA49" i="4" s="1"/>
  <c r="BL59" i="4"/>
  <c r="BM59" i="4" s="1"/>
  <c r="BH61" i="4"/>
  <c r="BI61" i="4" s="1"/>
  <c r="DV61" i="4"/>
  <c r="DW61" i="4" s="1"/>
  <c r="DX65" i="4"/>
  <c r="DY65" i="4" s="1"/>
  <c r="DX67" i="4"/>
  <c r="DY67" i="4" s="1"/>
  <c r="BL70" i="4"/>
  <c r="BM70" i="4" s="1"/>
  <c r="BJ79" i="4"/>
  <c r="BK79" i="4" s="1"/>
  <c r="DX79" i="4"/>
  <c r="DY79" i="4" s="1"/>
  <c r="DZ90" i="4"/>
  <c r="EA90" i="4" s="1"/>
  <c r="BJ110" i="4"/>
  <c r="BK110" i="4" s="1"/>
  <c r="BJ126" i="4"/>
  <c r="BK126" i="4" s="1"/>
  <c r="BL127" i="4"/>
  <c r="BM127" i="4" s="1"/>
  <c r="DZ127" i="4"/>
  <c r="EA127" i="4" s="1"/>
  <c r="EB128" i="4"/>
  <c r="EC128" i="4" s="1"/>
  <c r="BJ130" i="4"/>
  <c r="BK130" i="4" s="1"/>
  <c r="BL131" i="4"/>
  <c r="BM131" i="4" s="1"/>
  <c r="DZ131" i="4"/>
  <c r="EA131" i="4" s="1"/>
  <c r="BL143" i="4"/>
  <c r="BM143" i="4" s="1"/>
  <c r="BJ145" i="4"/>
  <c r="BK145" i="4" s="1"/>
  <c r="DV148" i="4"/>
  <c r="DW148" i="4" s="1"/>
  <c r="BJ149" i="4"/>
  <c r="BK149" i="4" s="1"/>
  <c r="DV150" i="4"/>
  <c r="DW150" i="4" s="1"/>
  <c r="BJ151" i="4"/>
  <c r="BK151" i="4" s="1"/>
  <c r="BJ153" i="4"/>
  <c r="BK153" i="4" s="1"/>
  <c r="DV154" i="4"/>
  <c r="DW154" i="4" s="1"/>
  <c r="DZ156" i="4"/>
  <c r="EA156" i="4" s="1"/>
  <c r="DX158" i="4"/>
  <c r="DY158" i="4" s="1"/>
  <c r="DX235" i="4"/>
  <c r="DY235" i="4" s="1"/>
  <c r="BL243" i="4"/>
  <c r="BM243" i="4" s="1"/>
  <c r="BJ49" i="3"/>
  <c r="BK49" i="3" s="1"/>
  <c r="BJ51" i="3"/>
  <c r="BK51" i="3" s="1"/>
  <c r="DZ51" i="3"/>
  <c r="EA51" i="3" s="1"/>
  <c r="BL7" i="4"/>
  <c r="BM7" i="4" s="1"/>
  <c r="DX18" i="4"/>
  <c r="DY18" i="4" s="1"/>
  <c r="DV34" i="4"/>
  <c r="DW34" i="4" s="1"/>
  <c r="DV35" i="4"/>
  <c r="DW35" i="4" s="1"/>
  <c r="BL37" i="4"/>
  <c r="BM37" i="4" s="1"/>
  <c r="BL41" i="4"/>
  <c r="BM41" i="4" s="1"/>
  <c r="BL44" i="4"/>
  <c r="BM44" i="4" s="1"/>
  <c r="DV50" i="4"/>
  <c r="DW50" i="4" s="1"/>
  <c r="EB51" i="4"/>
  <c r="EC51" i="4" s="1"/>
  <c r="DX52" i="4"/>
  <c r="DY52" i="4" s="1"/>
  <c r="DZ53" i="4"/>
  <c r="EA53" i="4" s="1"/>
  <c r="BJ65" i="4"/>
  <c r="BK65" i="4" s="1"/>
  <c r="BJ67" i="4"/>
  <c r="BK67" i="4" s="1"/>
  <c r="BJ71" i="4"/>
  <c r="BK71" i="4" s="1"/>
  <c r="BL72" i="4"/>
  <c r="BM72" i="4" s="1"/>
  <c r="EB73" i="4"/>
  <c r="EC73" i="4" s="1"/>
  <c r="DX81" i="4"/>
  <c r="DY81" i="4" s="1"/>
  <c r="BL88" i="4"/>
  <c r="BM88" i="4" s="1"/>
  <c r="BL92" i="4"/>
  <c r="BM92" i="4" s="1"/>
  <c r="DZ100" i="4"/>
  <c r="EA100" i="4" s="1"/>
  <c r="EB105" i="4"/>
  <c r="EC105" i="4" s="1"/>
  <c r="BL110" i="4"/>
  <c r="BM110" i="4" s="1"/>
  <c r="BL145" i="4"/>
  <c r="BM145" i="4" s="1"/>
  <c r="DZ154" i="4"/>
  <c r="EA154" i="4" s="1"/>
  <c r="BH155" i="4"/>
  <c r="BI155" i="4" s="1"/>
  <c r="DZ235" i="4"/>
  <c r="EA235" i="4" s="1"/>
  <c r="BL242" i="4"/>
  <c r="BM242" i="4" s="1"/>
  <c r="BJ53" i="3"/>
  <c r="BK53" i="3" s="1"/>
  <c r="DZ53" i="3"/>
  <c r="EA53" i="3" s="1"/>
  <c r="BJ55" i="3"/>
  <c r="BK55" i="3" s="1"/>
  <c r="DZ55" i="3"/>
  <c r="EA55" i="3" s="1"/>
  <c r="BJ57" i="3"/>
  <c r="BK57" i="3" s="1"/>
  <c r="DZ57" i="3"/>
  <c r="EA57" i="3" s="1"/>
  <c r="BJ59" i="3"/>
  <c r="BK59" i="3" s="1"/>
  <c r="DZ59" i="3"/>
  <c r="EA59" i="3" s="1"/>
  <c r="BJ61" i="3"/>
  <c r="BK61" i="3" s="1"/>
  <c r="DZ61" i="3"/>
  <c r="EA61" i="3" s="1"/>
  <c r="BJ63" i="3"/>
  <c r="BK63" i="3" s="1"/>
  <c r="DZ63" i="3"/>
  <c r="EA63" i="3" s="1"/>
  <c r="BH8" i="4"/>
  <c r="BI8" i="4" s="1"/>
  <c r="DV8" i="4"/>
  <c r="DW8" i="4" s="1"/>
  <c r="BH13" i="4"/>
  <c r="BI13" i="4" s="1"/>
  <c r="DZ16" i="4"/>
  <c r="EA16" i="4" s="1"/>
  <c r="BL26" i="4"/>
  <c r="BM26" i="4" s="1"/>
  <c r="BH31" i="4"/>
  <c r="BI31" i="4" s="1"/>
  <c r="DX31" i="4"/>
  <c r="DY31" i="4" s="1"/>
  <c r="DZ32" i="4"/>
  <c r="EA32" i="4" s="1"/>
  <c r="BJ36" i="4"/>
  <c r="BK36" i="4" s="1"/>
  <c r="BJ40" i="4"/>
  <c r="BK40" i="4" s="1"/>
  <c r="BJ46" i="4"/>
  <c r="BK46" i="4" s="1"/>
  <c r="DV46" i="4"/>
  <c r="DW46" i="4" s="1"/>
  <c r="DZ48" i="4"/>
  <c r="EA48" i="4" s="1"/>
  <c r="BL58" i="4"/>
  <c r="BM58" i="4" s="1"/>
  <c r="DZ59" i="4"/>
  <c r="EA59" i="4" s="1"/>
  <c r="DX60" i="4"/>
  <c r="DY60" i="4" s="1"/>
  <c r="EB61" i="4"/>
  <c r="EC61" i="4" s="1"/>
  <c r="BH64" i="4"/>
  <c r="BI64" i="4" s="1"/>
  <c r="BJ73" i="4"/>
  <c r="BK73" i="4" s="1"/>
  <c r="EB75" i="4"/>
  <c r="EC75" i="4" s="1"/>
  <c r="DZ77" i="4"/>
  <c r="EA77" i="4" s="1"/>
  <c r="BJ78" i="4"/>
  <c r="BK78" i="4" s="1"/>
  <c r="DZ86" i="4"/>
  <c r="EA86" i="4" s="1"/>
  <c r="DZ91" i="4"/>
  <c r="EA91" i="4" s="1"/>
  <c r="BL93" i="4"/>
  <c r="BM93" i="4" s="1"/>
  <c r="DX102" i="4"/>
  <c r="DY102" i="4" s="1"/>
  <c r="EB107" i="4"/>
  <c r="EC107" i="4" s="1"/>
  <c r="EB109" i="4"/>
  <c r="EC109" i="4" s="1"/>
  <c r="BJ125" i="4"/>
  <c r="BK125" i="4" s="1"/>
  <c r="BL126" i="4"/>
  <c r="BM126" i="4" s="1"/>
  <c r="DZ126" i="4"/>
  <c r="EA126" i="4" s="1"/>
  <c r="EB127" i="4"/>
  <c r="EC127" i="4" s="1"/>
  <c r="BJ129" i="4"/>
  <c r="BK129" i="4" s="1"/>
  <c r="BL130" i="4"/>
  <c r="BM130" i="4" s="1"/>
  <c r="DZ130" i="4"/>
  <c r="EA130" i="4" s="1"/>
  <c r="EB131" i="4"/>
  <c r="EC131" i="4" s="1"/>
  <c r="BJ133" i="4"/>
  <c r="BK133" i="4" s="1"/>
  <c r="EB149" i="4"/>
  <c r="EC149" i="4" s="1"/>
  <c r="EB151" i="4"/>
  <c r="EC151" i="4" s="1"/>
  <c r="DZ153" i="4"/>
  <c r="EA153" i="4" s="1"/>
  <c r="DV156" i="4"/>
  <c r="DW156" i="4" s="1"/>
  <c r="BL157" i="4"/>
  <c r="BM157" i="4" s="1"/>
  <c r="BJ241" i="4"/>
  <c r="BK241" i="4" s="1"/>
  <c r="BJ48" i="3"/>
  <c r="BK48" i="3" s="1"/>
  <c r="EB51" i="3"/>
  <c r="EC51" i="3" s="1"/>
  <c r="EB53" i="3"/>
  <c r="EC53" i="3" s="1"/>
  <c r="EB55" i="3"/>
  <c r="EC55" i="3" s="1"/>
  <c r="EB57" i="3"/>
  <c r="EC57" i="3" s="1"/>
  <c r="EB59" i="3"/>
  <c r="EC59" i="3" s="1"/>
  <c r="DX65" i="3"/>
  <c r="DY65" i="3" s="1"/>
  <c r="BL67" i="3"/>
  <c r="BM67" i="3" s="1"/>
  <c r="DZ67" i="3"/>
  <c r="EA67" i="3" s="1"/>
  <c r="BL12" i="4"/>
  <c r="BM12" i="4" s="1"/>
  <c r="BH30" i="4"/>
  <c r="BI30" i="4" s="1"/>
  <c r="BH32" i="4"/>
  <c r="BI32" i="4" s="1"/>
  <c r="EB35" i="4"/>
  <c r="EC35" i="4" s="1"/>
  <c r="DX36" i="4"/>
  <c r="DY36" i="4" s="1"/>
  <c r="DZ37" i="4"/>
  <c r="EA37" i="4" s="1"/>
  <c r="DX40" i="4"/>
  <c r="DY40" i="4" s="1"/>
  <c r="DZ41" i="4"/>
  <c r="EA41" i="4" s="1"/>
  <c r="BJ44" i="4"/>
  <c r="BK44" i="4" s="1"/>
  <c r="DV44" i="4"/>
  <c r="DW44" i="4" s="1"/>
  <c r="DV45" i="4"/>
  <c r="DW45" i="4" s="1"/>
  <c r="BH48" i="4"/>
  <c r="BI48" i="4" s="1"/>
  <c r="BH51" i="4"/>
  <c r="BI51" i="4" s="1"/>
  <c r="DZ52" i="4"/>
  <c r="EA52" i="4" s="1"/>
  <c r="BL57" i="4"/>
  <c r="BM57" i="4" s="1"/>
  <c r="BL63" i="4"/>
  <c r="BM63" i="4" s="1"/>
  <c r="BH65" i="4"/>
  <c r="BI65" i="4" s="1"/>
  <c r="BH67" i="4"/>
  <c r="BI67" i="4" s="1"/>
  <c r="BJ81" i="4"/>
  <c r="BK81" i="4" s="1"/>
  <c r="BH118" i="4"/>
  <c r="BI118" i="4" s="1"/>
  <c r="BL133" i="4"/>
  <c r="BM133" i="4" s="1"/>
  <c r="EB155" i="4"/>
  <c r="EC155" i="4" s="1"/>
  <c r="EB158" i="4"/>
  <c r="EC158" i="4" s="1"/>
  <c r="EB235" i="4"/>
  <c r="EC235" i="4" s="1"/>
  <c r="BJ50" i="3"/>
  <c r="BK50" i="3" s="1"/>
  <c r="DZ50" i="3"/>
  <c r="EA50" i="3" s="1"/>
  <c r="EB65" i="3"/>
  <c r="EC65" i="3" s="1"/>
  <c r="DX7" i="4"/>
  <c r="DY7" i="4" s="1"/>
  <c r="DZ8" i="4"/>
  <c r="EA8" i="4" s="1"/>
  <c r="BL19" i="4"/>
  <c r="BM19" i="4" s="1"/>
  <c r="BJ33" i="4"/>
  <c r="BK33" i="4" s="1"/>
  <c r="DV42" i="4"/>
  <c r="DW42" i="4" s="1"/>
  <c r="DV43" i="4"/>
  <c r="DW43" i="4" s="1"/>
  <c r="BJ49" i="4"/>
  <c r="BK49" i="4" s="1"/>
  <c r="BH52" i="4"/>
  <c r="BI52" i="4" s="1"/>
  <c r="BJ58" i="4"/>
  <c r="BK58" i="4" s="1"/>
  <c r="DV58" i="4"/>
  <c r="DW58" i="4" s="1"/>
  <c r="DZ60" i="4"/>
  <c r="EA60" i="4" s="1"/>
  <c r="DZ65" i="4"/>
  <c r="EA65" i="4" s="1"/>
  <c r="BL66" i="4"/>
  <c r="BM66" i="4" s="1"/>
  <c r="DZ67" i="4"/>
  <c r="EA67" i="4" s="1"/>
  <c r="BJ75" i="4"/>
  <c r="BK75" i="4" s="1"/>
  <c r="BL76" i="4"/>
  <c r="BM76" i="4" s="1"/>
  <c r="DZ78" i="4"/>
  <c r="EA78" i="4" s="1"/>
  <c r="DZ79" i="4"/>
  <c r="EA79" i="4" s="1"/>
  <c r="BJ80" i="4"/>
  <c r="BK80" i="4" s="1"/>
  <c r="BL85" i="4"/>
  <c r="BM85" i="4" s="1"/>
  <c r="BJ91" i="4"/>
  <c r="BK91" i="4" s="1"/>
  <c r="BL125" i="4"/>
  <c r="BM125" i="4" s="1"/>
  <c r="DZ125" i="4"/>
  <c r="EA125" i="4" s="1"/>
  <c r="EB126" i="4"/>
  <c r="EC126" i="4" s="1"/>
  <c r="BJ128" i="4"/>
  <c r="BK128" i="4" s="1"/>
  <c r="BL129" i="4"/>
  <c r="BM129" i="4" s="1"/>
  <c r="DZ129" i="4"/>
  <c r="EA129" i="4" s="1"/>
  <c r="EB130" i="4"/>
  <c r="EC130" i="4" s="1"/>
  <c r="BJ132" i="4"/>
  <c r="BK132" i="4" s="1"/>
  <c r="EB133" i="4"/>
  <c r="EC133" i="4" s="1"/>
  <c r="BH139" i="4"/>
  <c r="BI139" i="4" s="1"/>
  <c r="BJ148" i="4"/>
  <c r="BK148" i="4" s="1"/>
  <c r="BJ150" i="4"/>
  <c r="BK150" i="4" s="1"/>
  <c r="BJ152" i="4"/>
  <c r="BK152" i="4" s="1"/>
  <c r="EB153" i="4"/>
  <c r="EC153" i="4" s="1"/>
  <c r="BL154" i="4"/>
  <c r="BM154" i="4" s="1"/>
  <c r="DX155" i="4"/>
  <c r="DY155" i="4" s="1"/>
  <c r="BH157" i="4"/>
  <c r="BI157" i="4" s="1"/>
  <c r="DX157" i="4"/>
  <c r="DY157" i="4" s="1"/>
  <c r="BL236" i="4"/>
  <c r="BM236" i="4" s="1"/>
  <c r="BJ237" i="4"/>
  <c r="BK237" i="4" s="1"/>
  <c r="DV244" i="4"/>
  <c r="DW244" i="4" s="1"/>
  <c r="EB50" i="3"/>
  <c r="EC50" i="3" s="1"/>
  <c r="BL65" i="3"/>
  <c r="BM65" i="3" s="1"/>
  <c r="EB67" i="3"/>
  <c r="EC67" i="3" s="1"/>
  <c r="BH10" i="4"/>
  <c r="BI10" i="4" s="1"/>
  <c r="DZ12" i="4"/>
  <c r="EA12" i="4" s="1"/>
  <c r="DX13" i="4"/>
  <c r="DY13" i="4" s="1"/>
  <c r="BJ19" i="4"/>
  <c r="BK19" i="4" s="1"/>
  <c r="BL32" i="4"/>
  <c r="BM32" i="4" s="1"/>
  <c r="BL34" i="4"/>
  <c r="BM34" i="4" s="1"/>
  <c r="BH35" i="4"/>
  <c r="BI35" i="4" s="1"/>
  <c r="DZ36" i="4"/>
  <c r="EA36" i="4" s="1"/>
  <c r="DZ40" i="4"/>
  <c r="EA40" i="4" s="1"/>
  <c r="EB45" i="4"/>
  <c r="EC45" i="4" s="1"/>
  <c r="BL48" i="4"/>
  <c r="BM48" i="4" s="1"/>
  <c r="BJ53" i="4"/>
  <c r="BK53" i="4" s="1"/>
  <c r="BH57" i="4"/>
  <c r="BI57" i="4" s="1"/>
  <c r="DV57" i="4"/>
  <c r="DW57" i="4" s="1"/>
  <c r="BL62" i="4"/>
  <c r="BM62" i="4" s="1"/>
  <c r="DZ63" i="4"/>
  <c r="EA63" i="4" s="1"/>
  <c r="BJ77" i="4"/>
  <c r="BK77" i="4" s="1"/>
  <c r="DX87" i="4"/>
  <c r="DY87" i="4" s="1"/>
  <c r="EB88" i="4"/>
  <c r="EC88" i="4" s="1"/>
  <c r="BJ89" i="4"/>
  <c r="BK89" i="4" s="1"/>
  <c r="BH91" i="4"/>
  <c r="BI91" i="4" s="1"/>
  <c r="BL99" i="4"/>
  <c r="BM99" i="4" s="1"/>
  <c r="BJ100" i="4"/>
  <c r="BK100" i="4" s="1"/>
  <c r="BJ102" i="4"/>
  <c r="BK102" i="4" s="1"/>
  <c r="BJ104" i="4"/>
  <c r="BK104" i="4" s="1"/>
  <c r="BJ106" i="4"/>
  <c r="BK106" i="4" s="1"/>
  <c r="BH122" i="4"/>
  <c r="BI122" i="4" s="1"/>
  <c r="BL132" i="4"/>
  <c r="BM132" i="4" s="1"/>
  <c r="DX133" i="4"/>
  <c r="DY133" i="4" s="1"/>
  <c r="BH141" i="4"/>
  <c r="BI141" i="4" s="1"/>
  <c r="BL152" i="4"/>
  <c r="BM152" i="4" s="1"/>
  <c r="BJ156" i="4"/>
  <c r="BK156" i="4" s="1"/>
  <c r="BL239" i="4"/>
  <c r="BM239" i="4" s="1"/>
  <c r="EB47" i="3"/>
  <c r="EC47" i="3" s="1"/>
  <c r="BL49" i="3"/>
  <c r="BM49" i="3" s="1"/>
  <c r="EB49" i="3"/>
  <c r="EC49" i="3" s="1"/>
  <c r="BJ52" i="3"/>
  <c r="BK52" i="3" s="1"/>
  <c r="BJ54" i="3"/>
  <c r="BK54" i="3" s="1"/>
  <c r="BJ56" i="3"/>
  <c r="BK56" i="3" s="1"/>
  <c r="BJ58" i="3"/>
  <c r="BK58" i="3" s="1"/>
  <c r="BL5" i="4"/>
  <c r="BM5" i="4" s="1"/>
  <c r="BH6" i="4"/>
  <c r="BI6" i="4" s="1"/>
  <c r="BH7" i="4"/>
  <c r="BI7" i="4" s="1"/>
  <c r="DX11" i="4"/>
  <c r="DY11" i="4" s="1"/>
  <c r="DZ13" i="4"/>
  <c r="EA13" i="4" s="1"/>
  <c r="BJ32" i="4"/>
  <c r="BK32" i="4" s="1"/>
  <c r="BJ37" i="4"/>
  <c r="BK37" i="4" s="1"/>
  <c r="EB37" i="4"/>
  <c r="EC37" i="4" s="1"/>
  <c r="BJ41" i="4"/>
  <c r="BK41" i="4" s="1"/>
  <c r="EB41" i="4"/>
  <c r="EC41" i="4" s="1"/>
  <c r="BH45" i="4"/>
  <c r="BI45" i="4" s="1"/>
  <c r="DX45" i="4"/>
  <c r="DY45" i="4" s="1"/>
  <c r="BJ48" i="4"/>
  <c r="BK48" i="4" s="1"/>
  <c r="EB50" i="4"/>
  <c r="EC50" i="4" s="1"/>
  <c r="DV51" i="4"/>
  <c r="DW51" i="4" s="1"/>
  <c r="BL53" i="4"/>
  <c r="BM53" i="4" s="1"/>
  <c r="EB57" i="4"/>
  <c r="EC57" i="4" s="1"/>
  <c r="BH60" i="4"/>
  <c r="BI60" i="4" s="1"/>
  <c r="BJ62" i="4"/>
  <c r="BK62" i="4" s="1"/>
  <c r="DV62" i="4"/>
  <c r="DW62" i="4" s="1"/>
  <c r="EB64" i="4"/>
  <c r="EC64" i="4" s="1"/>
  <c r="EB71" i="4"/>
  <c r="EC71" i="4" s="1"/>
  <c r="DZ73" i="4"/>
  <c r="EA73" i="4" s="1"/>
  <c r="EB77" i="4"/>
  <c r="EC77" i="4" s="1"/>
  <c r="BJ87" i="4"/>
  <c r="BK87" i="4" s="1"/>
  <c r="DX88" i="4"/>
  <c r="DY88" i="4" s="1"/>
  <c r="DZ89" i="4"/>
  <c r="EA89" i="4" s="1"/>
  <c r="EB91" i="4"/>
  <c r="EC91" i="4" s="1"/>
  <c r="DX92" i="4"/>
  <c r="DY92" i="4" s="1"/>
  <c r="EB132" i="4"/>
  <c r="EC132" i="4" s="1"/>
  <c r="DV152" i="4"/>
  <c r="DW152" i="4" s="1"/>
  <c r="BL156" i="4"/>
  <c r="BM156" i="4" s="1"/>
  <c r="BJ236" i="4"/>
  <c r="BK236" i="4" s="1"/>
  <c r="BH239" i="4"/>
  <c r="BI239" i="4" s="1"/>
  <c r="EB241" i="4"/>
  <c r="EC241" i="4" s="1"/>
  <c r="BH243" i="4"/>
  <c r="BI243" i="4" s="1"/>
  <c r="DR6" i="1"/>
  <c r="FS15" i="1"/>
  <c r="FS29" i="1"/>
  <c r="FS6" i="1"/>
  <c r="DR16" i="1"/>
  <c r="DR52" i="1"/>
  <c r="DQ24" i="1"/>
  <c r="FS7" i="1"/>
  <c r="FR16" i="1"/>
  <c r="FR52" i="1"/>
  <c r="DQ7" i="1"/>
  <c r="DR7" i="1"/>
  <c r="DR12" i="1"/>
  <c r="FS16" i="1"/>
  <c r="DR24" i="1"/>
  <c r="FS28" i="1"/>
  <c r="DR30" i="1"/>
  <c r="FS32" i="1"/>
  <c r="FS52" i="1"/>
  <c r="DR60" i="1"/>
  <c r="DR62" i="1"/>
  <c r="FR7" i="1"/>
  <c r="FR24" i="1"/>
  <c r="DQ52" i="1"/>
  <c r="DQ16" i="1"/>
  <c r="BO71" i="3"/>
  <c r="EB5" i="3"/>
  <c r="DX5" i="3"/>
  <c r="DY5" i="3" s="1"/>
  <c r="BH6" i="3"/>
  <c r="BI6" i="3" s="1"/>
  <c r="BH8" i="3"/>
  <c r="BI8" i="3" s="1"/>
  <c r="EB9" i="3"/>
  <c r="EC9" i="3" s="1"/>
  <c r="DX9" i="3"/>
  <c r="DY9" i="3" s="1"/>
  <c r="BH10" i="3"/>
  <c r="BI10" i="3" s="1"/>
  <c r="BH12" i="3"/>
  <c r="BI12" i="3" s="1"/>
  <c r="EB13" i="3"/>
  <c r="EC13" i="3" s="1"/>
  <c r="DX13" i="3"/>
  <c r="DY13" i="3" s="1"/>
  <c r="BH14" i="3"/>
  <c r="BI14" i="3" s="1"/>
  <c r="BH16" i="3"/>
  <c r="BI16" i="3" s="1"/>
  <c r="BH19" i="3"/>
  <c r="BI19" i="3" s="1"/>
  <c r="EB20" i="3"/>
  <c r="EC20" i="3" s="1"/>
  <c r="DZ23" i="3"/>
  <c r="EA23" i="3" s="1"/>
  <c r="DX23" i="3"/>
  <c r="DY23" i="3" s="1"/>
  <c r="BL25" i="3"/>
  <c r="BM25" i="3" s="1"/>
  <c r="M71" i="3"/>
  <c r="AC71" i="3"/>
  <c r="AG71" i="3"/>
  <c r="AK71" i="3"/>
  <c r="AO71" i="3"/>
  <c r="AS71" i="3"/>
  <c r="AW71" i="3"/>
  <c r="BA71" i="3"/>
  <c r="BE71" i="3"/>
  <c r="BJ6" i="3"/>
  <c r="BK6" i="3" s="1"/>
  <c r="DZ6" i="3"/>
  <c r="EA6" i="3" s="1"/>
  <c r="BJ7" i="3"/>
  <c r="BK7" i="3" s="1"/>
  <c r="BJ8" i="3"/>
  <c r="BK8" i="3" s="1"/>
  <c r="DZ8" i="3"/>
  <c r="EA8" i="3" s="1"/>
  <c r="BJ10" i="3"/>
  <c r="BK10" i="3" s="1"/>
  <c r="DZ10" i="3"/>
  <c r="EA10" i="3" s="1"/>
  <c r="BJ11" i="3"/>
  <c r="BK11" i="3" s="1"/>
  <c r="BJ12" i="3"/>
  <c r="BK12" i="3" s="1"/>
  <c r="DZ12" i="3"/>
  <c r="EA12" i="3" s="1"/>
  <c r="DZ14" i="3"/>
  <c r="EA14" i="3" s="1"/>
  <c r="BJ15" i="3"/>
  <c r="BK15" i="3" s="1"/>
  <c r="DZ16" i="3"/>
  <c r="EA16" i="3" s="1"/>
  <c r="EB17" i="3"/>
  <c r="EC17" i="3" s="1"/>
  <c r="DX17" i="3"/>
  <c r="DY17" i="3" s="1"/>
  <c r="DV17" i="3"/>
  <c r="DW17" i="3" s="1"/>
  <c r="BJ18" i="3"/>
  <c r="BK18" i="3" s="1"/>
  <c r="EB18" i="3"/>
  <c r="EC18" i="3" s="1"/>
  <c r="BL19" i="3"/>
  <c r="BM19" i="3" s="1"/>
  <c r="BJ20" i="3"/>
  <c r="BK20" i="3" s="1"/>
  <c r="DZ24" i="3"/>
  <c r="EA24" i="3" s="1"/>
  <c r="DZ25" i="3"/>
  <c r="EA25" i="3" s="1"/>
  <c r="DV25" i="3"/>
  <c r="DW25" i="3" s="1"/>
  <c r="EB25" i="3"/>
  <c r="EC25" i="3" s="1"/>
  <c r="DX25" i="3"/>
  <c r="DY25" i="3" s="1"/>
  <c r="BH23" i="3"/>
  <c r="BI23" i="3" s="1"/>
  <c r="EB7" i="3"/>
  <c r="EC7" i="3" s="1"/>
  <c r="DZ9" i="3"/>
  <c r="EA9" i="3" s="1"/>
  <c r="EB11" i="3"/>
  <c r="EC11" i="3" s="1"/>
  <c r="DZ13" i="3"/>
  <c r="EA13" i="3" s="1"/>
  <c r="EB15" i="3"/>
  <c r="EC15" i="3" s="1"/>
  <c r="BH17" i="3"/>
  <c r="BI17" i="3" s="1"/>
  <c r="DZ20" i="3"/>
  <c r="EA20" i="3" s="1"/>
  <c r="EB21" i="3"/>
  <c r="EC21" i="3" s="1"/>
  <c r="DX21" i="3"/>
  <c r="DY21" i="3" s="1"/>
  <c r="DV21" i="3"/>
  <c r="DW21" i="3" s="1"/>
  <c r="BJ22" i="3"/>
  <c r="BK22" i="3" s="1"/>
  <c r="EB22" i="3"/>
  <c r="EC22" i="3" s="1"/>
  <c r="BL23" i="3"/>
  <c r="BM23" i="3" s="1"/>
  <c r="BJ24" i="3"/>
  <c r="BK24" i="3" s="1"/>
  <c r="DV19" i="3"/>
  <c r="DW19" i="3" s="1"/>
  <c r="BH21" i="3"/>
  <c r="BI21" i="3" s="1"/>
  <c r="DV23" i="3"/>
  <c r="DW23" i="3" s="1"/>
  <c r="BH25" i="3"/>
  <c r="BI25" i="3" s="1"/>
  <c r="BJ27" i="3"/>
  <c r="BK27" i="3" s="1"/>
  <c r="DV27" i="3"/>
  <c r="DW27" i="3" s="1"/>
  <c r="BH29" i="3"/>
  <c r="BI29" i="3" s="1"/>
  <c r="DX29" i="3"/>
  <c r="DY29" i="3" s="1"/>
  <c r="EB29" i="3"/>
  <c r="EC29" i="3" s="1"/>
  <c r="BJ31" i="3"/>
  <c r="BK31" i="3" s="1"/>
  <c r="DV31" i="3"/>
  <c r="DW31" i="3" s="1"/>
  <c r="BH33" i="3"/>
  <c r="BI33" i="3" s="1"/>
  <c r="DX33" i="3"/>
  <c r="DY33" i="3" s="1"/>
  <c r="EB33" i="3"/>
  <c r="EC33" i="3" s="1"/>
  <c r="DV35" i="3"/>
  <c r="DW35" i="3" s="1"/>
  <c r="DZ35" i="3"/>
  <c r="EA35" i="3" s="1"/>
  <c r="BH37" i="3"/>
  <c r="BI37" i="3" s="1"/>
  <c r="BL37" i="3"/>
  <c r="BM37" i="3" s="1"/>
  <c r="DX37" i="3"/>
  <c r="DY37" i="3" s="1"/>
  <c r="DV39" i="3"/>
  <c r="DW39" i="3" s="1"/>
  <c r="DZ39" i="3"/>
  <c r="EA39" i="3" s="1"/>
  <c r="BH41" i="3"/>
  <c r="BI41" i="3" s="1"/>
  <c r="BL41" i="3"/>
  <c r="BM41" i="3" s="1"/>
  <c r="DX41" i="3"/>
  <c r="DY41" i="3" s="1"/>
  <c r="BH44" i="3"/>
  <c r="BI44" i="3" s="1"/>
  <c r="BL44" i="3"/>
  <c r="BM44" i="3" s="1"/>
  <c r="DX44" i="3"/>
  <c r="DY44" i="3" s="1"/>
  <c r="DV46" i="3"/>
  <c r="DW46" i="3" s="1"/>
  <c r="DZ46" i="3"/>
  <c r="EA46" i="3" s="1"/>
  <c r="DV49" i="3"/>
  <c r="DW49" i="3" s="1"/>
  <c r="DZ49" i="3"/>
  <c r="EA49" i="3" s="1"/>
  <c r="BH51" i="3"/>
  <c r="BI51" i="3" s="1"/>
  <c r="BL51" i="3"/>
  <c r="BM51" i="3" s="1"/>
  <c r="DX51" i="3"/>
  <c r="DY51" i="3" s="1"/>
  <c r="L71" i="3"/>
  <c r="P71" i="3"/>
  <c r="T71" i="3"/>
  <c r="X71" i="3"/>
  <c r="AB71" i="3"/>
  <c r="AF71" i="3"/>
  <c r="AJ71" i="3"/>
  <c r="AN71" i="3"/>
  <c r="AR71" i="3"/>
  <c r="AV71" i="3"/>
  <c r="AZ71" i="3"/>
  <c r="BD71" i="3"/>
  <c r="BH5" i="3"/>
  <c r="BL5" i="3"/>
  <c r="BT71" i="3"/>
  <c r="BX71" i="3"/>
  <c r="CB71" i="3"/>
  <c r="CF71" i="3"/>
  <c r="CN71" i="3"/>
  <c r="CR71" i="3"/>
  <c r="CV71" i="3"/>
  <c r="CZ71" i="3"/>
  <c r="DH71" i="3"/>
  <c r="DL71" i="3"/>
  <c r="DP71" i="3"/>
  <c r="DT71" i="3"/>
  <c r="DV7" i="3"/>
  <c r="DW7" i="3" s="1"/>
  <c r="DZ7" i="3"/>
  <c r="EA7" i="3" s="1"/>
  <c r="BH9" i="3"/>
  <c r="BI9" i="3" s="1"/>
  <c r="BL9" i="3"/>
  <c r="BM9" i="3" s="1"/>
  <c r="DV11" i="3"/>
  <c r="DW11" i="3" s="1"/>
  <c r="DZ11" i="3"/>
  <c r="EA11" i="3" s="1"/>
  <c r="BH13" i="3"/>
  <c r="BI13" i="3" s="1"/>
  <c r="BL13" i="3"/>
  <c r="BM13" i="3" s="1"/>
  <c r="DV15" i="3"/>
  <c r="DW15" i="3" s="1"/>
  <c r="DZ15" i="3"/>
  <c r="EA15" i="3" s="1"/>
  <c r="DV18" i="3"/>
  <c r="DW18" i="3" s="1"/>
  <c r="DZ18" i="3"/>
  <c r="EA18" i="3" s="1"/>
  <c r="BH20" i="3"/>
  <c r="BI20" i="3" s="1"/>
  <c r="BL20" i="3"/>
  <c r="BM20" i="3" s="1"/>
  <c r="DX20" i="3"/>
  <c r="DY20" i="3" s="1"/>
  <c r="DV22" i="3"/>
  <c r="DW22" i="3" s="1"/>
  <c r="DZ22" i="3"/>
  <c r="EA22" i="3" s="1"/>
  <c r="BH24" i="3"/>
  <c r="BI24" i="3" s="1"/>
  <c r="BL24" i="3"/>
  <c r="BM24" i="3" s="1"/>
  <c r="DX24" i="3"/>
  <c r="DY24" i="3" s="1"/>
  <c r="DV26" i="3"/>
  <c r="DW26" i="3" s="1"/>
  <c r="DZ26" i="3"/>
  <c r="EA26" i="3" s="1"/>
  <c r="BH28" i="3"/>
  <c r="BI28" i="3" s="1"/>
  <c r="BL28" i="3"/>
  <c r="BM28" i="3" s="1"/>
  <c r="DX28" i="3"/>
  <c r="DY28" i="3" s="1"/>
  <c r="DV30" i="3"/>
  <c r="DW30" i="3" s="1"/>
  <c r="DZ30" i="3"/>
  <c r="EA30" i="3" s="1"/>
  <c r="BH32" i="3"/>
  <c r="BI32" i="3" s="1"/>
  <c r="BL32" i="3"/>
  <c r="BM32" i="3" s="1"/>
  <c r="DX32" i="3"/>
  <c r="DY32" i="3" s="1"/>
  <c r="DV34" i="3"/>
  <c r="DW34" i="3" s="1"/>
  <c r="DZ34" i="3"/>
  <c r="EA34" i="3" s="1"/>
  <c r="BH36" i="3"/>
  <c r="BI36" i="3" s="1"/>
  <c r="BL36" i="3"/>
  <c r="BM36" i="3" s="1"/>
  <c r="DX36" i="3"/>
  <c r="DY36" i="3" s="1"/>
  <c r="DV38" i="3"/>
  <c r="DW38" i="3" s="1"/>
  <c r="DZ38" i="3"/>
  <c r="EA38" i="3" s="1"/>
  <c r="BH40" i="3"/>
  <c r="BI40" i="3" s="1"/>
  <c r="BL40" i="3"/>
  <c r="BM40" i="3" s="1"/>
  <c r="DX40" i="3"/>
  <c r="DY40" i="3" s="1"/>
  <c r="DV42" i="3"/>
  <c r="DW42" i="3" s="1"/>
  <c r="DZ42" i="3"/>
  <c r="EA42" i="3" s="1"/>
  <c r="BH43" i="3"/>
  <c r="BI43" i="3" s="1"/>
  <c r="BL43" i="3"/>
  <c r="BM43" i="3" s="1"/>
  <c r="DX43" i="3"/>
  <c r="DY43" i="3" s="1"/>
  <c r="DV45" i="3"/>
  <c r="DW45" i="3" s="1"/>
  <c r="DZ45" i="3"/>
  <c r="EA45" i="3" s="1"/>
  <c r="BH47" i="3"/>
  <c r="BI47" i="3" s="1"/>
  <c r="BL47" i="3"/>
  <c r="BM47" i="3" s="1"/>
  <c r="DX47" i="3"/>
  <c r="DY47" i="3" s="1"/>
  <c r="DV48" i="3"/>
  <c r="DW48" i="3" s="1"/>
  <c r="DZ48" i="3"/>
  <c r="EA48" i="3" s="1"/>
  <c r="BH50" i="3"/>
  <c r="BI50" i="3" s="1"/>
  <c r="BL50" i="3"/>
  <c r="BM50" i="3" s="1"/>
  <c r="DX50" i="3"/>
  <c r="DY50" i="3" s="1"/>
  <c r="DV52" i="3"/>
  <c r="DW52" i="3" s="1"/>
  <c r="DZ52" i="3"/>
  <c r="EA52" i="3" s="1"/>
  <c r="BH53" i="3"/>
  <c r="BI53" i="3" s="1"/>
  <c r="BL53" i="3"/>
  <c r="BM53" i="3" s="1"/>
  <c r="DX53" i="3"/>
  <c r="DY53" i="3" s="1"/>
  <c r="DV54" i="3"/>
  <c r="DW54" i="3" s="1"/>
  <c r="DZ54" i="3"/>
  <c r="EA54" i="3" s="1"/>
  <c r="BH55" i="3"/>
  <c r="BI55" i="3" s="1"/>
  <c r="BL55" i="3"/>
  <c r="BM55" i="3" s="1"/>
  <c r="DX55" i="3"/>
  <c r="DY55" i="3" s="1"/>
  <c r="DV56" i="3"/>
  <c r="DW56" i="3" s="1"/>
  <c r="DZ56" i="3"/>
  <c r="EA56" i="3" s="1"/>
  <c r="BH57" i="3"/>
  <c r="BI57" i="3" s="1"/>
  <c r="BL57" i="3"/>
  <c r="BM57" i="3" s="1"/>
  <c r="DX57" i="3"/>
  <c r="DY57" i="3" s="1"/>
  <c r="DV58" i="3"/>
  <c r="DW58" i="3" s="1"/>
  <c r="DZ58" i="3"/>
  <c r="EA58" i="3" s="1"/>
  <c r="BH59" i="3"/>
  <c r="BI59" i="3" s="1"/>
  <c r="BL59" i="3"/>
  <c r="BM59" i="3" s="1"/>
  <c r="DX59" i="3"/>
  <c r="DY59" i="3" s="1"/>
  <c r="BJ60" i="3"/>
  <c r="BK60" i="3" s="1"/>
  <c r="DV60" i="3"/>
  <c r="DW60" i="3" s="1"/>
  <c r="DZ60" i="3"/>
  <c r="EA60" i="3" s="1"/>
  <c r="BH61" i="3"/>
  <c r="BI61" i="3" s="1"/>
  <c r="BL61" i="3"/>
  <c r="BM61" i="3" s="1"/>
  <c r="DX61" i="3"/>
  <c r="DY61" i="3" s="1"/>
  <c r="EB61" i="3"/>
  <c r="EC61" i="3" s="1"/>
  <c r="BJ62" i="3"/>
  <c r="BK62" i="3" s="1"/>
  <c r="DV62" i="3"/>
  <c r="DW62" i="3" s="1"/>
  <c r="DZ62" i="3"/>
  <c r="EA62" i="3" s="1"/>
  <c r="BH63" i="3"/>
  <c r="BI63" i="3" s="1"/>
  <c r="BL63" i="3"/>
  <c r="BM63" i="3" s="1"/>
  <c r="DX63" i="3"/>
  <c r="DY63" i="3" s="1"/>
  <c r="EB63" i="3"/>
  <c r="EC63" i="3" s="1"/>
  <c r="BJ64" i="3"/>
  <c r="BK64" i="3" s="1"/>
  <c r="DV64" i="3"/>
  <c r="DW64" i="3" s="1"/>
  <c r="DZ64" i="3"/>
  <c r="EA64" i="3" s="1"/>
  <c r="BJ65" i="3"/>
  <c r="BK65" i="3" s="1"/>
  <c r="BH65" i="3"/>
  <c r="BI65" i="3" s="1"/>
  <c r="BL66" i="3"/>
  <c r="BM66" i="3" s="1"/>
  <c r="BH27" i="3"/>
  <c r="BI27" i="3" s="1"/>
  <c r="DX27" i="3"/>
  <c r="DY27" i="3" s="1"/>
  <c r="DV29" i="3"/>
  <c r="DW29" i="3" s="1"/>
  <c r="BH31" i="3"/>
  <c r="BI31" i="3" s="1"/>
  <c r="DX31" i="3"/>
  <c r="DY31" i="3" s="1"/>
  <c r="DV33" i="3"/>
  <c r="DW33" i="3" s="1"/>
  <c r="BH35" i="3"/>
  <c r="BI35" i="3" s="1"/>
  <c r="DX35" i="3"/>
  <c r="DY35" i="3" s="1"/>
  <c r="DV37" i="3"/>
  <c r="DW37" i="3" s="1"/>
  <c r="BH39" i="3"/>
  <c r="BI39" i="3" s="1"/>
  <c r="DX39" i="3"/>
  <c r="DY39" i="3" s="1"/>
  <c r="DV41" i="3"/>
  <c r="DW41" i="3" s="1"/>
  <c r="DV44" i="3"/>
  <c r="DW44" i="3" s="1"/>
  <c r="BH46" i="3"/>
  <c r="BI46" i="3" s="1"/>
  <c r="DX46" i="3"/>
  <c r="DY46" i="3" s="1"/>
  <c r="BH49" i="3"/>
  <c r="BI49" i="3" s="1"/>
  <c r="DX49" i="3"/>
  <c r="DY49" i="3" s="1"/>
  <c r="DV51" i="3"/>
  <c r="DW51" i="3" s="1"/>
  <c r="DZ65" i="3"/>
  <c r="EA65" i="3" s="1"/>
  <c r="EB66" i="3"/>
  <c r="EC66" i="3" s="1"/>
  <c r="DX66" i="3"/>
  <c r="DY66" i="3" s="1"/>
  <c r="DZ66" i="3"/>
  <c r="EA66" i="3" s="1"/>
  <c r="DV66" i="3"/>
  <c r="DW66" i="3" s="1"/>
  <c r="N71" i="3"/>
  <c r="R71" i="3"/>
  <c r="V71" i="3"/>
  <c r="Z71" i="3"/>
  <c r="AD71" i="3"/>
  <c r="AH71" i="3"/>
  <c r="AL71" i="3"/>
  <c r="AP71" i="3"/>
  <c r="AT71" i="3"/>
  <c r="AX71" i="3"/>
  <c r="BB71" i="3"/>
  <c r="BF71" i="3"/>
  <c r="BJ5" i="3"/>
  <c r="BN71" i="3"/>
  <c r="BR71" i="3"/>
  <c r="BV71" i="3"/>
  <c r="BZ71" i="3"/>
  <c r="CD71" i="3"/>
  <c r="CH71" i="3"/>
  <c r="CL71" i="3"/>
  <c r="CP71" i="3"/>
  <c r="CT71" i="3"/>
  <c r="CX71" i="3"/>
  <c r="DB71" i="3"/>
  <c r="DF71" i="3"/>
  <c r="DJ71" i="3"/>
  <c r="DR71" i="3"/>
  <c r="DV5" i="3"/>
  <c r="DZ5" i="3"/>
  <c r="BH7" i="3"/>
  <c r="BI7" i="3" s="1"/>
  <c r="DX7" i="3"/>
  <c r="DY7" i="3" s="1"/>
  <c r="DV9" i="3"/>
  <c r="DW9" i="3" s="1"/>
  <c r="BH11" i="3"/>
  <c r="BI11" i="3" s="1"/>
  <c r="DX11" i="3"/>
  <c r="DY11" i="3" s="1"/>
  <c r="DV13" i="3"/>
  <c r="DW13" i="3" s="1"/>
  <c r="BH15" i="3"/>
  <c r="BI15" i="3" s="1"/>
  <c r="DX15" i="3"/>
  <c r="DY15" i="3" s="1"/>
  <c r="BH18" i="3"/>
  <c r="BI18" i="3" s="1"/>
  <c r="DX18" i="3"/>
  <c r="DY18" i="3" s="1"/>
  <c r="DV20" i="3"/>
  <c r="DW20" i="3" s="1"/>
  <c r="BH22" i="3"/>
  <c r="BI22" i="3" s="1"/>
  <c r="DX22" i="3"/>
  <c r="DY22" i="3" s="1"/>
  <c r="DV24" i="3"/>
  <c r="DW24" i="3" s="1"/>
  <c r="BH26" i="3"/>
  <c r="BI26" i="3" s="1"/>
  <c r="DX26" i="3"/>
  <c r="DY26" i="3" s="1"/>
  <c r="DV28" i="3"/>
  <c r="DW28" i="3" s="1"/>
  <c r="BH30" i="3"/>
  <c r="BI30" i="3" s="1"/>
  <c r="DX30" i="3"/>
  <c r="DY30" i="3" s="1"/>
  <c r="DV32" i="3"/>
  <c r="DW32" i="3" s="1"/>
  <c r="BH34" i="3"/>
  <c r="BI34" i="3" s="1"/>
  <c r="DX34" i="3"/>
  <c r="DY34" i="3" s="1"/>
  <c r="DV36" i="3"/>
  <c r="DW36" i="3" s="1"/>
  <c r="BH38" i="3"/>
  <c r="BI38" i="3" s="1"/>
  <c r="DX38" i="3"/>
  <c r="DY38" i="3" s="1"/>
  <c r="DV40" i="3"/>
  <c r="DW40" i="3" s="1"/>
  <c r="BH42" i="3"/>
  <c r="BI42" i="3" s="1"/>
  <c r="DX42" i="3"/>
  <c r="DY42" i="3" s="1"/>
  <c r="DV43" i="3"/>
  <c r="DW43" i="3" s="1"/>
  <c r="BH45" i="3"/>
  <c r="BI45" i="3" s="1"/>
  <c r="DX45" i="3"/>
  <c r="DY45" i="3" s="1"/>
  <c r="DV47" i="3"/>
  <c r="DW47" i="3" s="1"/>
  <c r="BH48" i="3"/>
  <c r="BI48" i="3" s="1"/>
  <c r="DX48" i="3"/>
  <c r="DY48" i="3" s="1"/>
  <c r="DV50" i="3"/>
  <c r="DW50" i="3" s="1"/>
  <c r="BH52" i="3"/>
  <c r="BI52" i="3" s="1"/>
  <c r="DX52" i="3"/>
  <c r="DY52" i="3" s="1"/>
  <c r="DV53" i="3"/>
  <c r="DW53" i="3" s="1"/>
  <c r="BH54" i="3"/>
  <c r="BI54" i="3" s="1"/>
  <c r="DX54" i="3"/>
  <c r="DY54" i="3" s="1"/>
  <c r="DV55" i="3"/>
  <c r="DW55" i="3" s="1"/>
  <c r="BH56" i="3"/>
  <c r="BI56" i="3" s="1"/>
  <c r="DX56" i="3"/>
  <c r="DY56" i="3" s="1"/>
  <c r="DV57" i="3"/>
  <c r="DW57" i="3" s="1"/>
  <c r="BH58" i="3"/>
  <c r="BI58" i="3" s="1"/>
  <c r="DX58" i="3"/>
  <c r="DY58" i="3" s="1"/>
  <c r="DV59" i="3"/>
  <c r="DW59" i="3" s="1"/>
  <c r="BH60" i="3"/>
  <c r="BI60" i="3" s="1"/>
  <c r="DX60" i="3"/>
  <c r="DY60" i="3" s="1"/>
  <c r="DV61" i="3"/>
  <c r="DW61" i="3" s="1"/>
  <c r="BH62" i="3"/>
  <c r="BI62" i="3" s="1"/>
  <c r="DX62" i="3"/>
  <c r="DY62" i="3" s="1"/>
  <c r="DV63" i="3"/>
  <c r="DW63" i="3" s="1"/>
  <c r="BH64" i="3"/>
  <c r="BI64" i="3" s="1"/>
  <c r="DX64" i="3"/>
  <c r="DY64" i="3" s="1"/>
  <c r="BJ67" i="3"/>
  <c r="BK67" i="3" s="1"/>
  <c r="DV67" i="3"/>
  <c r="DW67" i="3" s="1"/>
  <c r="BH5" i="4"/>
  <c r="BI5" i="4" s="1"/>
  <c r="BJ6" i="4"/>
  <c r="BK6" i="4" s="1"/>
  <c r="EB7" i="4"/>
  <c r="EC7" i="4" s="1"/>
  <c r="BJ8" i="4"/>
  <c r="BK8" i="4" s="1"/>
  <c r="DV12" i="4"/>
  <c r="DW12" i="4" s="1"/>
  <c r="BL13" i="4"/>
  <c r="BM13" i="4" s="1"/>
  <c r="EB13" i="4"/>
  <c r="EC13" i="4" s="1"/>
  <c r="EB15" i="4"/>
  <c r="EC15" i="4" s="1"/>
  <c r="BJ16" i="4"/>
  <c r="BK16" i="4" s="1"/>
  <c r="DZ17" i="4"/>
  <c r="EA17" i="4" s="1"/>
  <c r="BL18" i="4"/>
  <c r="BM18" i="4" s="1"/>
  <c r="EB28" i="4"/>
  <c r="EC28" i="4" s="1"/>
  <c r="BJ29" i="4"/>
  <c r="BK29" i="4" s="1"/>
  <c r="DX30" i="4"/>
  <c r="DY30" i="4" s="1"/>
  <c r="BJ31" i="4"/>
  <c r="BK31" i="4" s="1"/>
  <c r="DZ31" i="4"/>
  <c r="EA31" i="4" s="1"/>
  <c r="EB32" i="4"/>
  <c r="EC32" i="4" s="1"/>
  <c r="DV33" i="4"/>
  <c r="DW33" i="4" s="1"/>
  <c r="BH34" i="4"/>
  <c r="BI34" i="4" s="1"/>
  <c r="DX34" i="4"/>
  <c r="DY34" i="4" s="1"/>
  <c r="BJ35" i="4"/>
  <c r="BK35" i="4" s="1"/>
  <c r="DZ35" i="4"/>
  <c r="EA35" i="4" s="1"/>
  <c r="EB36" i="4"/>
  <c r="EC36" i="4" s="1"/>
  <c r="DV37" i="4"/>
  <c r="DW37" i="4" s="1"/>
  <c r="EB40" i="4"/>
  <c r="EC40" i="4" s="1"/>
  <c r="DV41" i="4"/>
  <c r="DW41" i="4" s="1"/>
  <c r="BH42" i="4"/>
  <c r="BI42" i="4" s="1"/>
  <c r="DX42" i="4"/>
  <c r="DY42" i="4" s="1"/>
  <c r="BJ43" i="4"/>
  <c r="BK43" i="4" s="1"/>
  <c r="DZ43" i="4"/>
  <c r="EA43" i="4" s="1"/>
  <c r="BH44" i="4"/>
  <c r="BI44" i="4" s="1"/>
  <c r="DX44" i="4"/>
  <c r="DY44" i="4" s="1"/>
  <c r="BJ45" i="4"/>
  <c r="BK45" i="4" s="1"/>
  <c r="DZ45" i="4"/>
  <c r="EA45" i="4" s="1"/>
  <c r="BH46" i="4"/>
  <c r="BI46" i="4" s="1"/>
  <c r="DX46" i="4"/>
  <c r="DY46" i="4" s="1"/>
  <c r="DZ47" i="4"/>
  <c r="EA47" i="4" s="1"/>
  <c r="EB48" i="4"/>
  <c r="EC48" i="4" s="1"/>
  <c r="DV49" i="4"/>
  <c r="DW49" i="4" s="1"/>
  <c r="BJ50" i="4"/>
  <c r="BK50" i="4" s="1"/>
  <c r="BL50" i="4"/>
  <c r="BM50" i="4" s="1"/>
  <c r="BH50" i="4"/>
  <c r="BI50" i="4" s="1"/>
  <c r="BJ51" i="4"/>
  <c r="BK51" i="4" s="1"/>
  <c r="DZ51" i="4"/>
  <c r="EA51" i="4" s="1"/>
  <c r="EB52" i="4"/>
  <c r="EC52" i="4" s="1"/>
  <c r="DV53" i="4"/>
  <c r="DW53" i="4" s="1"/>
  <c r="BJ57" i="4"/>
  <c r="BK57" i="4" s="1"/>
  <c r="DZ57" i="4"/>
  <c r="EA57" i="4" s="1"/>
  <c r="BH58" i="4"/>
  <c r="BI58" i="4" s="1"/>
  <c r="DX58" i="4"/>
  <c r="DY58" i="4" s="1"/>
  <c r="DV59" i="4"/>
  <c r="DW59" i="4" s="1"/>
  <c r="BL60" i="4"/>
  <c r="BM60" i="4" s="1"/>
  <c r="EB60" i="4"/>
  <c r="EC60" i="4" s="1"/>
  <c r="BJ61" i="4"/>
  <c r="BK61" i="4" s="1"/>
  <c r="DZ61" i="4"/>
  <c r="EA61" i="4" s="1"/>
  <c r="BH62" i="4"/>
  <c r="BI62" i="4" s="1"/>
  <c r="DX62" i="4"/>
  <c r="DY62" i="4" s="1"/>
  <c r="DV63" i="4"/>
  <c r="DW63" i="4" s="1"/>
  <c r="BL64" i="4"/>
  <c r="BM64" i="4" s="1"/>
  <c r="BH66" i="4"/>
  <c r="BI66" i="4" s="1"/>
  <c r="BL71" i="4"/>
  <c r="BM71" i="4" s="1"/>
  <c r="EB72" i="4"/>
  <c r="EC72" i="4" s="1"/>
  <c r="DX72" i="4"/>
  <c r="DY72" i="4" s="1"/>
  <c r="DV72" i="4"/>
  <c r="DW72" i="4" s="1"/>
  <c r="BL75" i="4"/>
  <c r="BM75" i="4" s="1"/>
  <c r="EB76" i="4"/>
  <c r="EC76" i="4" s="1"/>
  <c r="DX76" i="4"/>
  <c r="DY76" i="4" s="1"/>
  <c r="DV76" i="4"/>
  <c r="DW76" i="4" s="1"/>
  <c r="BH81" i="4"/>
  <c r="BI81" i="4" s="1"/>
  <c r="BH87" i="4"/>
  <c r="BI87" i="4" s="1"/>
  <c r="EB101" i="4"/>
  <c r="EC101" i="4" s="1"/>
  <c r="EB102" i="4"/>
  <c r="EC102" i="4" s="1"/>
  <c r="EB106" i="4"/>
  <c r="EC106" i="4" s="1"/>
  <c r="DX106" i="4"/>
  <c r="DY106" i="4" s="1"/>
  <c r="BH68" i="3"/>
  <c r="BI68" i="3" s="1"/>
  <c r="BL68" i="3"/>
  <c r="BM68" i="3" s="1"/>
  <c r="DX68" i="3"/>
  <c r="DY68" i="3" s="1"/>
  <c r="EB68" i="3"/>
  <c r="EC68" i="3" s="1"/>
  <c r="BJ5" i="4"/>
  <c r="BK5" i="4" s="1"/>
  <c r="BL6" i="4"/>
  <c r="BM6" i="4" s="1"/>
  <c r="DV7" i="4"/>
  <c r="DW7" i="4" s="1"/>
  <c r="EB8" i="4"/>
  <c r="EC8" i="4" s="1"/>
  <c r="EB10" i="4"/>
  <c r="EC10" i="4" s="1"/>
  <c r="BH12" i="4"/>
  <c r="BI12" i="4" s="1"/>
  <c r="DX12" i="4"/>
  <c r="DY12" i="4" s="1"/>
  <c r="DV13" i="4"/>
  <c r="DW13" i="4" s="1"/>
  <c r="BJ14" i="4"/>
  <c r="BK14" i="4" s="1"/>
  <c r="BL14" i="4"/>
  <c r="BM14" i="4" s="1"/>
  <c r="BH14" i="4"/>
  <c r="BI14" i="4" s="1"/>
  <c r="DZ14" i="4"/>
  <c r="EA14" i="4" s="1"/>
  <c r="BL15" i="4"/>
  <c r="BM15" i="4" s="1"/>
  <c r="DZ20" i="4"/>
  <c r="EA20" i="4" s="1"/>
  <c r="DZ27" i="4"/>
  <c r="EA27" i="4" s="1"/>
  <c r="BL28" i="4"/>
  <c r="BM28" i="4" s="1"/>
  <c r="DZ30" i="4"/>
  <c r="EA30" i="4" s="1"/>
  <c r="BL31" i="4"/>
  <c r="BM31" i="4" s="1"/>
  <c r="DV32" i="4"/>
  <c r="DW32" i="4" s="1"/>
  <c r="BH33" i="4"/>
  <c r="BI33" i="4" s="1"/>
  <c r="DX33" i="4"/>
  <c r="DY33" i="4" s="1"/>
  <c r="BJ34" i="4"/>
  <c r="BK34" i="4" s="1"/>
  <c r="DZ34" i="4"/>
  <c r="EA34" i="4" s="1"/>
  <c r="BL35" i="4"/>
  <c r="BM35" i="4" s="1"/>
  <c r="DV36" i="4"/>
  <c r="DW36" i="4" s="1"/>
  <c r="BH37" i="4"/>
  <c r="BI37" i="4" s="1"/>
  <c r="DX37" i="4"/>
  <c r="DY37" i="4" s="1"/>
  <c r="DV40" i="4"/>
  <c r="DW40" i="4" s="1"/>
  <c r="BH41" i="4"/>
  <c r="BI41" i="4" s="1"/>
  <c r="DX41" i="4"/>
  <c r="DY41" i="4" s="1"/>
  <c r="BJ42" i="4"/>
  <c r="BK42" i="4" s="1"/>
  <c r="DZ42" i="4"/>
  <c r="EA42" i="4" s="1"/>
  <c r="BL43" i="4"/>
  <c r="BM43" i="4" s="1"/>
  <c r="DZ44" i="4"/>
  <c r="EA44" i="4" s="1"/>
  <c r="BL45" i="4"/>
  <c r="BM45" i="4" s="1"/>
  <c r="DZ46" i="4"/>
  <c r="EA46" i="4" s="1"/>
  <c r="EB47" i="4"/>
  <c r="EC47" i="4" s="1"/>
  <c r="DV48" i="4"/>
  <c r="DW48" i="4" s="1"/>
  <c r="BH49" i="4"/>
  <c r="BI49" i="4" s="1"/>
  <c r="DX49" i="4"/>
  <c r="DY49" i="4" s="1"/>
  <c r="DZ50" i="4"/>
  <c r="EA50" i="4" s="1"/>
  <c r="BL51" i="4"/>
  <c r="BM51" i="4" s="1"/>
  <c r="DV52" i="4"/>
  <c r="DW52" i="4" s="1"/>
  <c r="BH53" i="4"/>
  <c r="BI53" i="4" s="1"/>
  <c r="DX53" i="4"/>
  <c r="DY53" i="4" s="1"/>
  <c r="DZ58" i="4"/>
  <c r="EA58" i="4" s="1"/>
  <c r="BH59" i="4"/>
  <c r="BI59" i="4" s="1"/>
  <c r="DX59" i="4"/>
  <c r="DY59" i="4" s="1"/>
  <c r="DV60" i="4"/>
  <c r="DW60" i="4" s="1"/>
  <c r="DZ62" i="4"/>
  <c r="EA62" i="4" s="1"/>
  <c r="BH63" i="4"/>
  <c r="BI63" i="4" s="1"/>
  <c r="DX63" i="4"/>
  <c r="DY63" i="4" s="1"/>
  <c r="DZ64" i="4"/>
  <c r="EA64" i="4" s="1"/>
  <c r="DV64" i="4"/>
  <c r="DW64" i="4" s="1"/>
  <c r="EB70" i="4"/>
  <c r="EC70" i="4" s="1"/>
  <c r="DX70" i="4"/>
  <c r="DY70" i="4" s="1"/>
  <c r="DV70" i="4"/>
  <c r="DW70" i="4" s="1"/>
  <c r="DZ71" i="4"/>
  <c r="EA71" i="4" s="1"/>
  <c r="DX71" i="4"/>
  <c r="DY71" i="4" s="1"/>
  <c r="DZ72" i="4"/>
  <c r="EA72" i="4" s="1"/>
  <c r="EB74" i="4"/>
  <c r="EC74" i="4" s="1"/>
  <c r="DX74" i="4"/>
  <c r="DY74" i="4" s="1"/>
  <c r="DV74" i="4"/>
  <c r="DW74" i="4" s="1"/>
  <c r="DZ75" i="4"/>
  <c r="EA75" i="4" s="1"/>
  <c r="DX75" i="4"/>
  <c r="DY75" i="4" s="1"/>
  <c r="DZ76" i="4"/>
  <c r="EA76" i="4" s="1"/>
  <c r="BH79" i="4"/>
  <c r="BI79" i="4" s="1"/>
  <c r="BL80" i="4"/>
  <c r="BM80" i="4" s="1"/>
  <c r="BL81" i="4"/>
  <c r="BM81" i="4" s="1"/>
  <c r="EB84" i="4"/>
  <c r="EC84" i="4" s="1"/>
  <c r="EB85" i="4"/>
  <c r="EC85" i="4" s="1"/>
  <c r="DX85" i="4"/>
  <c r="DY85" i="4" s="1"/>
  <c r="DV85" i="4"/>
  <c r="DW85" i="4" s="1"/>
  <c r="BL87" i="4"/>
  <c r="BM87" i="4" s="1"/>
  <c r="BJ90" i="4"/>
  <c r="BK90" i="4" s="1"/>
  <c r="BL90" i="4"/>
  <c r="BM90" i="4" s="1"/>
  <c r="BH90" i="4"/>
  <c r="BI90" i="4" s="1"/>
  <c r="EB92" i="4"/>
  <c r="EC92" i="4" s="1"/>
  <c r="EB93" i="4"/>
  <c r="EC93" i="4" s="1"/>
  <c r="DX93" i="4"/>
  <c r="DY93" i="4" s="1"/>
  <c r="DV93" i="4"/>
  <c r="DW93" i="4" s="1"/>
  <c r="DZ94" i="4"/>
  <c r="EA94" i="4" s="1"/>
  <c r="EB99" i="4"/>
  <c r="EC99" i="4" s="1"/>
  <c r="EB100" i="4"/>
  <c r="EC100" i="4" s="1"/>
  <c r="DX100" i="4"/>
  <c r="DY100" i="4" s="1"/>
  <c r="BJ111" i="4"/>
  <c r="BK111" i="4" s="1"/>
  <c r="BL111" i="4"/>
  <c r="BM111" i="4" s="1"/>
  <c r="BH111" i="4"/>
  <c r="BI111" i="4" s="1"/>
  <c r="BH67" i="3"/>
  <c r="BI67" i="3" s="1"/>
  <c r="DX67" i="3"/>
  <c r="DY67" i="3" s="1"/>
  <c r="BL9" i="4"/>
  <c r="BM9" i="4" s="1"/>
  <c r="BH9" i="4"/>
  <c r="BI9" i="4" s="1"/>
  <c r="BJ9" i="4"/>
  <c r="BK9" i="4" s="1"/>
  <c r="EB9" i="4"/>
  <c r="EC9" i="4" s="1"/>
  <c r="BJ11" i="4"/>
  <c r="BK11" i="4" s="1"/>
  <c r="BL11" i="4"/>
  <c r="BM11" i="4" s="1"/>
  <c r="BH11" i="4"/>
  <c r="BI11" i="4" s="1"/>
  <c r="DZ11" i="4"/>
  <c r="EA11" i="4" s="1"/>
  <c r="BJ12" i="4"/>
  <c r="BK12" i="4" s="1"/>
  <c r="DZ19" i="4"/>
  <c r="EA19" i="4" s="1"/>
  <c r="BL20" i="4"/>
  <c r="BM20" i="4" s="1"/>
  <c r="EB20" i="4"/>
  <c r="EC20" i="4" s="1"/>
  <c r="DX20" i="4"/>
  <c r="DY20" i="4" s="1"/>
  <c r="EB26" i="4"/>
  <c r="EC26" i="4" s="1"/>
  <c r="BJ27" i="4"/>
  <c r="BK27" i="4" s="1"/>
  <c r="EB30" i="4"/>
  <c r="EC30" i="4" s="1"/>
  <c r="EB34" i="4"/>
  <c r="EC34" i="4" s="1"/>
  <c r="EB42" i="4"/>
  <c r="EC42" i="4" s="1"/>
  <c r="EB44" i="4"/>
  <c r="EC44" i="4" s="1"/>
  <c r="EB46" i="4"/>
  <c r="EC46" i="4" s="1"/>
  <c r="EB58" i="4"/>
  <c r="EC58" i="4" s="1"/>
  <c r="BJ59" i="4"/>
  <c r="BK59" i="4" s="1"/>
  <c r="EB62" i="4"/>
  <c r="EC62" i="4" s="1"/>
  <c r="BJ63" i="4"/>
  <c r="BK63" i="4" s="1"/>
  <c r="DX64" i="4"/>
  <c r="DY64" i="4" s="1"/>
  <c r="BJ66" i="4"/>
  <c r="BK66" i="4" s="1"/>
  <c r="DZ66" i="4"/>
  <c r="EA66" i="4" s="1"/>
  <c r="DZ70" i="4"/>
  <c r="EA70" i="4" s="1"/>
  <c r="BH73" i="4"/>
  <c r="BI73" i="4" s="1"/>
  <c r="BH77" i="4"/>
  <c r="BI77" i="4" s="1"/>
  <c r="BL78" i="4"/>
  <c r="BM78" i="4" s="1"/>
  <c r="BL79" i="4"/>
  <c r="BM79" i="4" s="1"/>
  <c r="EB80" i="4"/>
  <c r="EC80" i="4" s="1"/>
  <c r="DX80" i="4"/>
  <c r="DY80" i="4" s="1"/>
  <c r="DV80" i="4"/>
  <c r="DW80" i="4" s="1"/>
  <c r="DZ81" i="4"/>
  <c r="EA81" i="4" s="1"/>
  <c r="BL84" i="4"/>
  <c r="BM84" i="4" s="1"/>
  <c r="DX84" i="4"/>
  <c r="DY84" i="4" s="1"/>
  <c r="DZ85" i="4"/>
  <c r="EA85" i="4" s="1"/>
  <c r="DZ87" i="4"/>
  <c r="EA87" i="4" s="1"/>
  <c r="BL89" i="4"/>
  <c r="BM89" i="4" s="1"/>
  <c r="BL101" i="4"/>
  <c r="BM101" i="4" s="1"/>
  <c r="BJ103" i="4"/>
  <c r="BK103" i="4" s="1"/>
  <c r="BL113" i="4"/>
  <c r="BM113" i="4" s="1"/>
  <c r="BH113" i="4"/>
  <c r="BI113" i="4" s="1"/>
  <c r="BJ113" i="4"/>
  <c r="BK113" i="4" s="1"/>
  <c r="DV65" i="3"/>
  <c r="DW65" i="3" s="1"/>
  <c r="BH66" i="3"/>
  <c r="BI66" i="3" s="1"/>
  <c r="DV68" i="3"/>
  <c r="DW68" i="3" s="1"/>
  <c r="BL47" i="4"/>
  <c r="BM47" i="4" s="1"/>
  <c r="BH47" i="4"/>
  <c r="BI47" i="4" s="1"/>
  <c r="BJ47" i="4"/>
  <c r="BK47" i="4" s="1"/>
  <c r="BH71" i="4"/>
  <c r="BI71" i="4" s="1"/>
  <c r="BH75" i="4"/>
  <c r="BI75" i="4" s="1"/>
  <c r="EB78" i="4"/>
  <c r="EC78" i="4" s="1"/>
  <c r="DX78" i="4"/>
  <c r="DY78" i="4" s="1"/>
  <c r="DV78" i="4"/>
  <c r="DW78" i="4" s="1"/>
  <c r="BJ86" i="4"/>
  <c r="BK86" i="4" s="1"/>
  <c r="BL86" i="4"/>
  <c r="BM86" i="4" s="1"/>
  <c r="BH86" i="4"/>
  <c r="BI86" i="4" s="1"/>
  <c r="EB89" i="4"/>
  <c r="EC89" i="4" s="1"/>
  <c r="DX89" i="4"/>
  <c r="DY89" i="4" s="1"/>
  <c r="DV89" i="4"/>
  <c r="DW89" i="4" s="1"/>
  <c r="BJ94" i="4"/>
  <c r="BK94" i="4" s="1"/>
  <c r="BL94" i="4"/>
  <c r="BM94" i="4" s="1"/>
  <c r="BH94" i="4"/>
  <c r="BI94" i="4" s="1"/>
  <c r="DV9" i="4"/>
  <c r="DW9" i="4" s="1"/>
  <c r="DZ9" i="4"/>
  <c r="EA9" i="4" s="1"/>
  <c r="EB11" i="4"/>
  <c r="EC11" i="4" s="1"/>
  <c r="DX14" i="4"/>
  <c r="DY14" i="4" s="1"/>
  <c r="EB14" i="4"/>
  <c r="EC14" i="4" s="1"/>
  <c r="BJ15" i="4"/>
  <c r="BK15" i="4" s="1"/>
  <c r="DV15" i="4"/>
  <c r="DW15" i="4" s="1"/>
  <c r="DZ15" i="4"/>
  <c r="EA15" i="4" s="1"/>
  <c r="BH16" i="4"/>
  <c r="BI16" i="4" s="1"/>
  <c r="BL16" i="4"/>
  <c r="BM16" i="4" s="1"/>
  <c r="DX16" i="4"/>
  <c r="DY16" i="4" s="1"/>
  <c r="EB16" i="4"/>
  <c r="EC16" i="4" s="1"/>
  <c r="BH17" i="4"/>
  <c r="BI17" i="4" s="1"/>
  <c r="BL17" i="4"/>
  <c r="BM17" i="4" s="1"/>
  <c r="DX17" i="4"/>
  <c r="DY17" i="4" s="1"/>
  <c r="EB17" i="4"/>
  <c r="EC17" i="4" s="1"/>
  <c r="BJ18" i="4"/>
  <c r="BK18" i="4" s="1"/>
  <c r="DV18" i="4"/>
  <c r="DW18" i="4" s="1"/>
  <c r="DZ18" i="4"/>
  <c r="EA18" i="4" s="1"/>
  <c r="BH19" i="4"/>
  <c r="BI19" i="4" s="1"/>
  <c r="DX19" i="4"/>
  <c r="DY19" i="4" s="1"/>
  <c r="EB19" i="4"/>
  <c r="EC19" i="4" s="1"/>
  <c r="BJ20" i="4"/>
  <c r="BK20" i="4" s="1"/>
  <c r="DV20" i="4"/>
  <c r="DW20" i="4" s="1"/>
  <c r="BJ26" i="4"/>
  <c r="BK26" i="4" s="1"/>
  <c r="DV26" i="4"/>
  <c r="DW26" i="4" s="1"/>
  <c r="DZ26" i="4"/>
  <c r="EA26" i="4" s="1"/>
  <c r="BH27" i="4"/>
  <c r="BI27" i="4" s="1"/>
  <c r="BL27" i="4"/>
  <c r="BM27" i="4" s="1"/>
  <c r="DX27" i="4"/>
  <c r="DY27" i="4" s="1"/>
  <c r="EB27" i="4"/>
  <c r="EC27" i="4" s="1"/>
  <c r="BJ28" i="4"/>
  <c r="BK28" i="4" s="1"/>
  <c r="DV28" i="4"/>
  <c r="DW28" i="4" s="1"/>
  <c r="DZ28" i="4"/>
  <c r="EA28" i="4" s="1"/>
  <c r="BH29" i="4"/>
  <c r="BI29" i="4" s="1"/>
  <c r="BL29" i="4"/>
  <c r="BM29" i="4" s="1"/>
  <c r="DX29" i="4"/>
  <c r="DY29" i="4" s="1"/>
  <c r="EB29" i="4"/>
  <c r="EC29" i="4" s="1"/>
  <c r="BJ84" i="4"/>
  <c r="BK84" i="4" s="1"/>
  <c r="DV84" i="4"/>
  <c r="DW84" i="4" s="1"/>
  <c r="DZ84" i="4"/>
  <c r="EA84" i="4" s="1"/>
  <c r="DX86" i="4"/>
  <c r="DY86" i="4" s="1"/>
  <c r="EB86" i="4"/>
  <c r="EC86" i="4" s="1"/>
  <c r="BJ88" i="4"/>
  <c r="BK88" i="4" s="1"/>
  <c r="DV88" i="4"/>
  <c r="DW88" i="4" s="1"/>
  <c r="DZ88" i="4"/>
  <c r="EA88" i="4" s="1"/>
  <c r="DX90" i="4"/>
  <c r="DY90" i="4" s="1"/>
  <c r="EB90" i="4"/>
  <c r="EC90" i="4" s="1"/>
  <c r="BJ92" i="4"/>
  <c r="BK92" i="4" s="1"/>
  <c r="DV92" i="4"/>
  <c r="DW92" i="4" s="1"/>
  <c r="DZ92" i="4"/>
  <c r="EA92" i="4" s="1"/>
  <c r="DX94" i="4"/>
  <c r="DY94" i="4" s="1"/>
  <c r="EB94" i="4"/>
  <c r="EC94" i="4" s="1"/>
  <c r="DV99" i="4"/>
  <c r="DW99" i="4" s="1"/>
  <c r="DZ99" i="4"/>
  <c r="EA99" i="4" s="1"/>
  <c r="BH100" i="4"/>
  <c r="BI100" i="4" s="1"/>
  <c r="BL100" i="4"/>
  <c r="BM100" i="4" s="1"/>
  <c r="DV101" i="4"/>
  <c r="DW101" i="4" s="1"/>
  <c r="DZ101" i="4"/>
  <c r="EA101" i="4" s="1"/>
  <c r="BH102" i="4"/>
  <c r="BI102" i="4" s="1"/>
  <c r="BL102" i="4"/>
  <c r="BM102" i="4" s="1"/>
  <c r="DZ104" i="4"/>
  <c r="EA104" i="4" s="1"/>
  <c r="BL105" i="4"/>
  <c r="BM105" i="4" s="1"/>
  <c r="DZ108" i="4"/>
  <c r="EA108" i="4" s="1"/>
  <c r="BL109" i="4"/>
  <c r="BM109" i="4" s="1"/>
  <c r="DV65" i="4"/>
  <c r="DW65" i="4" s="1"/>
  <c r="DV66" i="4"/>
  <c r="DW66" i="4" s="1"/>
  <c r="DV67" i="4"/>
  <c r="DW67" i="4" s="1"/>
  <c r="BH70" i="4"/>
  <c r="BI70" i="4" s="1"/>
  <c r="DV71" i="4"/>
  <c r="DW71" i="4" s="1"/>
  <c r="BH72" i="4"/>
  <c r="BI72" i="4" s="1"/>
  <c r="DV73" i="4"/>
  <c r="DW73" i="4" s="1"/>
  <c r="DV75" i="4"/>
  <c r="DW75" i="4" s="1"/>
  <c r="BH76" i="4"/>
  <c r="BI76" i="4" s="1"/>
  <c r="DV77" i="4"/>
  <c r="DW77" i="4" s="1"/>
  <c r="BH78" i="4"/>
  <c r="BI78" i="4" s="1"/>
  <c r="DV79" i="4"/>
  <c r="DW79" i="4" s="1"/>
  <c r="BH80" i="4"/>
  <c r="BI80" i="4" s="1"/>
  <c r="DV81" i="4"/>
  <c r="DW81" i="4" s="1"/>
  <c r="BH85" i="4"/>
  <c r="BI85" i="4" s="1"/>
  <c r="DV87" i="4"/>
  <c r="DW87" i="4" s="1"/>
  <c r="BH89" i="4"/>
  <c r="BI89" i="4" s="1"/>
  <c r="DV91" i="4"/>
  <c r="DW91" i="4" s="1"/>
  <c r="BH93" i="4"/>
  <c r="BI93" i="4" s="1"/>
  <c r="BL103" i="4"/>
  <c r="BM103" i="4" s="1"/>
  <c r="EB103" i="4"/>
  <c r="EC103" i="4" s="1"/>
  <c r="DX103" i="4"/>
  <c r="DY103" i="4" s="1"/>
  <c r="DZ103" i="4"/>
  <c r="EA103" i="4" s="1"/>
  <c r="DV103" i="4"/>
  <c r="DW103" i="4" s="1"/>
  <c r="EB104" i="4"/>
  <c r="EC104" i="4" s="1"/>
  <c r="DX104" i="4"/>
  <c r="DY104" i="4" s="1"/>
  <c r="BJ105" i="4"/>
  <c r="BK105" i="4" s="1"/>
  <c r="EB108" i="4"/>
  <c r="EC108" i="4" s="1"/>
  <c r="DX108" i="4"/>
  <c r="DY108" i="4" s="1"/>
  <c r="BJ109" i="4"/>
  <c r="BK109" i="4" s="1"/>
  <c r="DX9" i="4"/>
  <c r="DY9" i="4" s="1"/>
  <c r="DV11" i="4"/>
  <c r="DW11" i="4" s="1"/>
  <c r="DV14" i="4"/>
  <c r="DW14" i="4" s="1"/>
  <c r="BH15" i="4"/>
  <c r="BI15" i="4" s="1"/>
  <c r="DX15" i="4"/>
  <c r="DY15" i="4" s="1"/>
  <c r="DV16" i="4"/>
  <c r="DW16" i="4" s="1"/>
  <c r="DV17" i="4"/>
  <c r="DW17" i="4" s="1"/>
  <c r="BH18" i="4"/>
  <c r="BI18" i="4" s="1"/>
  <c r="DV19" i="4"/>
  <c r="DW19" i="4" s="1"/>
  <c r="BH20" i="4"/>
  <c r="BI20" i="4" s="1"/>
  <c r="BH26" i="4"/>
  <c r="BI26" i="4" s="1"/>
  <c r="DX26" i="4"/>
  <c r="DY26" i="4" s="1"/>
  <c r="DV27" i="4"/>
  <c r="DW27" i="4" s="1"/>
  <c r="BH28" i="4"/>
  <c r="BI28" i="4" s="1"/>
  <c r="DX28" i="4"/>
  <c r="DY28" i="4" s="1"/>
  <c r="DV29" i="4"/>
  <c r="DW29" i="4" s="1"/>
  <c r="BH84" i="4"/>
  <c r="BI84" i="4" s="1"/>
  <c r="DV86" i="4"/>
  <c r="DW86" i="4" s="1"/>
  <c r="BH88" i="4"/>
  <c r="BI88" i="4" s="1"/>
  <c r="DV90" i="4"/>
  <c r="DW90" i="4" s="1"/>
  <c r="BH92" i="4"/>
  <c r="BI92" i="4" s="1"/>
  <c r="DV94" i="4"/>
  <c r="DW94" i="4" s="1"/>
  <c r="BH99" i="4"/>
  <c r="BI99" i="4" s="1"/>
  <c r="DX99" i="4"/>
  <c r="DY99" i="4" s="1"/>
  <c r="DV100" i="4"/>
  <c r="DW100" i="4" s="1"/>
  <c r="BH101" i="4"/>
  <c r="BI101" i="4" s="1"/>
  <c r="DX101" i="4"/>
  <c r="DY101" i="4" s="1"/>
  <c r="DZ102" i="4"/>
  <c r="EA102" i="4" s="1"/>
  <c r="DV102" i="4"/>
  <c r="DW102" i="4" s="1"/>
  <c r="DZ106" i="4"/>
  <c r="EA106" i="4" s="1"/>
  <c r="BL107" i="4"/>
  <c r="BM107" i="4" s="1"/>
  <c r="DV125" i="4"/>
  <c r="DW125" i="4" s="1"/>
  <c r="DV126" i="4"/>
  <c r="DW126" i="4" s="1"/>
  <c r="DV127" i="4"/>
  <c r="DW127" i="4" s="1"/>
  <c r="DV128" i="4"/>
  <c r="DW128" i="4" s="1"/>
  <c r="DV129" i="4"/>
  <c r="DW129" i="4" s="1"/>
  <c r="DV130" i="4"/>
  <c r="DW130" i="4" s="1"/>
  <c r="DV131" i="4"/>
  <c r="DW131" i="4" s="1"/>
  <c r="DV132" i="4"/>
  <c r="DW132" i="4" s="1"/>
  <c r="DV133" i="4"/>
  <c r="DW133" i="4" s="1"/>
  <c r="DZ133" i="4"/>
  <c r="EA133" i="4" s="1"/>
  <c r="BJ138" i="4"/>
  <c r="BK138" i="4" s="1"/>
  <c r="BH140" i="4"/>
  <c r="BI140" i="4" s="1"/>
  <c r="BL140" i="4"/>
  <c r="BM140" i="4" s="1"/>
  <c r="BJ142" i="4"/>
  <c r="BK142" i="4" s="1"/>
  <c r="BH144" i="4"/>
  <c r="BI144" i="4" s="1"/>
  <c r="BL144" i="4"/>
  <c r="BM144" i="4" s="1"/>
  <c r="DV153" i="4"/>
  <c r="DW153" i="4" s="1"/>
  <c r="EB154" i="4"/>
  <c r="EC154" i="4" s="1"/>
  <c r="DZ155" i="4"/>
  <c r="EA155" i="4" s="1"/>
  <c r="BJ158" i="4"/>
  <c r="BK158" i="4" s="1"/>
  <c r="BH104" i="4"/>
  <c r="BI104" i="4" s="1"/>
  <c r="BL104" i="4"/>
  <c r="BM104" i="4" s="1"/>
  <c r="DV105" i="4"/>
  <c r="DW105" i="4" s="1"/>
  <c r="DZ105" i="4"/>
  <c r="EA105" i="4" s="1"/>
  <c r="BH106" i="4"/>
  <c r="BI106" i="4" s="1"/>
  <c r="BL106" i="4"/>
  <c r="BM106" i="4" s="1"/>
  <c r="DV107" i="4"/>
  <c r="DW107" i="4" s="1"/>
  <c r="DZ107" i="4"/>
  <c r="EA107" i="4" s="1"/>
  <c r="BH108" i="4"/>
  <c r="BI108" i="4" s="1"/>
  <c r="BL108" i="4"/>
  <c r="BM108" i="4" s="1"/>
  <c r="DV109" i="4"/>
  <c r="DW109" i="4" s="1"/>
  <c r="DZ109" i="4"/>
  <c r="EA109" i="4" s="1"/>
  <c r="BH115" i="4"/>
  <c r="BI115" i="4" s="1"/>
  <c r="BL115" i="4"/>
  <c r="BM115" i="4" s="1"/>
  <c r="BJ117" i="4"/>
  <c r="BK117" i="4" s="1"/>
  <c r="BH119" i="4"/>
  <c r="BI119" i="4" s="1"/>
  <c r="BL119" i="4"/>
  <c r="BM119" i="4" s="1"/>
  <c r="BJ121" i="4"/>
  <c r="BK121" i="4" s="1"/>
  <c r="DX148" i="4"/>
  <c r="DY148" i="4" s="1"/>
  <c r="EB148" i="4"/>
  <c r="EC148" i="4" s="1"/>
  <c r="BH149" i="4"/>
  <c r="BI149" i="4" s="1"/>
  <c r="BL149" i="4"/>
  <c r="BM149" i="4" s="1"/>
  <c r="DV149" i="4"/>
  <c r="DW149" i="4" s="1"/>
  <c r="DZ149" i="4"/>
  <c r="EA149" i="4" s="1"/>
  <c r="DX150" i="4"/>
  <c r="DY150" i="4" s="1"/>
  <c r="EB150" i="4"/>
  <c r="EC150" i="4" s="1"/>
  <c r="BH151" i="4"/>
  <c r="BI151" i="4" s="1"/>
  <c r="BL151" i="4"/>
  <c r="BM151" i="4" s="1"/>
  <c r="DV151" i="4"/>
  <c r="DW151" i="4" s="1"/>
  <c r="DZ151" i="4"/>
  <c r="EA151" i="4" s="1"/>
  <c r="DX152" i="4"/>
  <c r="DY152" i="4" s="1"/>
  <c r="EB152" i="4"/>
  <c r="EC152" i="4" s="1"/>
  <c r="BH153" i="4"/>
  <c r="BI153" i="4" s="1"/>
  <c r="BL153" i="4"/>
  <c r="BM153" i="4" s="1"/>
  <c r="DX153" i="4"/>
  <c r="DY153" i="4" s="1"/>
  <c r="DV155" i="4"/>
  <c r="DW155" i="4" s="1"/>
  <c r="BH156" i="4"/>
  <c r="BI156" i="4" s="1"/>
  <c r="EB156" i="4"/>
  <c r="EC156" i="4" s="1"/>
  <c r="BJ157" i="4"/>
  <c r="BK157" i="4" s="1"/>
  <c r="DZ157" i="4"/>
  <c r="EA157" i="4" s="1"/>
  <c r="BL158" i="4"/>
  <c r="BM158" i="4" s="1"/>
  <c r="DV158" i="4"/>
  <c r="DW158" i="4" s="1"/>
  <c r="EB236" i="4"/>
  <c r="EC236" i="4" s="1"/>
  <c r="DX236" i="4"/>
  <c r="DY236" i="4" s="1"/>
  <c r="DX237" i="4"/>
  <c r="DY237" i="4" s="1"/>
  <c r="EB237" i="4"/>
  <c r="EC237" i="4" s="1"/>
  <c r="DV237" i="4"/>
  <c r="DW237" i="4" s="1"/>
  <c r="DZ242" i="4"/>
  <c r="EA242" i="4" s="1"/>
  <c r="DV242" i="4"/>
  <c r="DW242" i="4" s="1"/>
  <c r="DX242" i="4"/>
  <c r="DY242" i="4" s="1"/>
  <c r="EB242" i="4"/>
  <c r="EC242" i="4" s="1"/>
  <c r="BH125" i="4"/>
  <c r="BI125" i="4" s="1"/>
  <c r="DX125" i="4"/>
  <c r="DY125" i="4" s="1"/>
  <c r="BH126" i="4"/>
  <c r="BI126" i="4" s="1"/>
  <c r="DX126" i="4"/>
  <c r="DY126" i="4" s="1"/>
  <c r="BH127" i="4"/>
  <c r="BI127" i="4" s="1"/>
  <c r="DX127" i="4"/>
  <c r="DY127" i="4" s="1"/>
  <c r="BH128" i="4"/>
  <c r="BI128" i="4" s="1"/>
  <c r="DX128" i="4"/>
  <c r="DY128" i="4" s="1"/>
  <c r="BH129" i="4"/>
  <c r="BI129" i="4" s="1"/>
  <c r="DX129" i="4"/>
  <c r="DY129" i="4" s="1"/>
  <c r="BH130" i="4"/>
  <c r="BI130" i="4" s="1"/>
  <c r="DX130" i="4"/>
  <c r="DY130" i="4" s="1"/>
  <c r="BH131" i="4"/>
  <c r="BI131" i="4" s="1"/>
  <c r="DX131" i="4"/>
  <c r="DY131" i="4" s="1"/>
  <c r="BH132" i="4"/>
  <c r="BI132" i="4" s="1"/>
  <c r="DX132" i="4"/>
  <c r="DY132" i="4" s="1"/>
  <c r="BH133" i="4"/>
  <c r="BI133" i="4" s="1"/>
  <c r="BH138" i="4"/>
  <c r="BI138" i="4" s="1"/>
  <c r="BH142" i="4"/>
  <c r="BI142" i="4" s="1"/>
  <c r="BJ154" i="4"/>
  <c r="BK154" i="4" s="1"/>
  <c r="BL155" i="4"/>
  <c r="BM155" i="4" s="1"/>
  <c r="DX156" i="4"/>
  <c r="DY156" i="4" s="1"/>
  <c r="DV157" i="4"/>
  <c r="DW157" i="4" s="1"/>
  <c r="EB157" i="4"/>
  <c r="EC157" i="4" s="1"/>
  <c r="DV236" i="4"/>
  <c r="DW236" i="4" s="1"/>
  <c r="BJ238" i="4"/>
  <c r="BK238" i="4" s="1"/>
  <c r="BH103" i="4"/>
  <c r="BI103" i="4" s="1"/>
  <c r="DV104" i="4"/>
  <c r="DW104" i="4" s="1"/>
  <c r="BH105" i="4"/>
  <c r="BI105" i="4" s="1"/>
  <c r="DX105" i="4"/>
  <c r="DY105" i="4" s="1"/>
  <c r="DV106" i="4"/>
  <c r="DW106" i="4" s="1"/>
  <c r="BH107" i="4"/>
  <c r="BI107" i="4" s="1"/>
  <c r="DX107" i="4"/>
  <c r="DY107" i="4" s="1"/>
  <c r="DV108" i="4"/>
  <c r="DW108" i="4" s="1"/>
  <c r="BH109" i="4"/>
  <c r="BI109" i="4" s="1"/>
  <c r="DX109" i="4"/>
  <c r="DY109" i="4" s="1"/>
  <c r="BH117" i="4"/>
  <c r="BI117" i="4" s="1"/>
  <c r="BH121" i="4"/>
  <c r="BI121" i="4" s="1"/>
  <c r="BH148" i="4"/>
  <c r="BI148" i="4" s="1"/>
  <c r="DX149" i="4"/>
  <c r="DY149" i="4" s="1"/>
  <c r="BH150" i="4"/>
  <c r="BI150" i="4" s="1"/>
  <c r="DX151" i="4"/>
  <c r="DY151" i="4" s="1"/>
  <c r="BL238" i="4"/>
  <c r="BM238" i="4" s="1"/>
  <c r="BJ240" i="4"/>
  <c r="BK240" i="4" s="1"/>
  <c r="BH240" i="4"/>
  <c r="BI240" i="4" s="1"/>
  <c r="BL241" i="4"/>
  <c r="BM241" i="4" s="1"/>
  <c r="BH241" i="4"/>
  <c r="BI241" i="4" s="1"/>
  <c r="EB244" i="4"/>
  <c r="EC244" i="4" s="1"/>
  <c r="DX244" i="4"/>
  <c r="DY244" i="4" s="1"/>
  <c r="EB234" i="4"/>
  <c r="EC234" i="4" s="1"/>
  <c r="DX234" i="4"/>
  <c r="DY234" i="4" s="1"/>
  <c r="DZ234" i="4"/>
  <c r="EA234" i="4" s="1"/>
  <c r="EB240" i="4"/>
  <c r="EC240" i="4" s="1"/>
  <c r="DX240" i="4"/>
  <c r="DY240" i="4" s="1"/>
  <c r="DZ240" i="4"/>
  <c r="EA240" i="4" s="1"/>
  <c r="BJ242" i="4"/>
  <c r="BK242" i="4" s="1"/>
  <c r="DV234" i="4"/>
  <c r="DW234" i="4" s="1"/>
  <c r="BL237" i="4"/>
  <c r="BM237" i="4" s="1"/>
  <c r="BH237" i="4"/>
  <c r="BI237" i="4" s="1"/>
  <c r="DZ238" i="4"/>
  <c r="EA238" i="4" s="1"/>
  <c r="DV238" i="4"/>
  <c r="DW238" i="4" s="1"/>
  <c r="DV240" i="4"/>
  <c r="DW240" i="4" s="1"/>
  <c r="BL70" i="3" l="1"/>
  <c r="BM70" i="3" s="1"/>
  <c r="BH70" i="3"/>
  <c r="BI70" i="3" s="1"/>
  <c r="BJ70" i="3"/>
  <c r="BK70" i="3" s="1"/>
  <c r="CY71" i="3"/>
  <c r="DV69" i="3"/>
  <c r="DW69" i="3" s="1"/>
  <c r="BJ69" i="3"/>
  <c r="BK69" i="3" s="1"/>
  <c r="DZ70" i="3"/>
  <c r="EA70" i="3" s="1"/>
  <c r="EB70" i="3"/>
  <c r="EC70" i="3" s="1"/>
  <c r="DX70" i="3"/>
  <c r="DY70" i="3" s="1"/>
  <c r="DN71" i="3"/>
  <c r="Y71" i="3"/>
  <c r="EB69" i="3"/>
  <c r="EC69" i="3" s="1"/>
  <c r="DV70" i="3"/>
  <c r="DW70" i="3" s="1"/>
  <c r="BL69" i="3"/>
  <c r="BM69" i="3" s="1"/>
  <c r="DX69" i="3"/>
  <c r="DY69" i="3" s="1"/>
  <c r="BU71" i="3"/>
  <c r="BH69" i="3"/>
  <c r="BI69" i="3" s="1"/>
  <c r="DZ69" i="3"/>
  <c r="EA69" i="3" s="1"/>
  <c r="CO71" i="3"/>
  <c r="FS24" i="1"/>
  <c r="N124" i="5"/>
  <c r="N122" i="5"/>
  <c r="N120" i="5"/>
  <c r="N125" i="5"/>
  <c r="N123" i="5"/>
  <c r="N121" i="5"/>
  <c r="N11" i="5"/>
  <c r="N10" i="5"/>
  <c r="N98" i="5"/>
  <c r="N96" i="5"/>
  <c r="N97" i="5"/>
  <c r="DQ57" i="1"/>
  <c r="DR26" i="1"/>
  <c r="FR17" i="1"/>
  <c r="DQ19" i="1"/>
  <c r="FR26" i="1"/>
  <c r="FS11" i="1"/>
  <c r="FS56" i="1"/>
  <c r="FS18" i="1"/>
  <c r="DR20" i="1"/>
  <c r="DR25" i="1"/>
  <c r="FS10" i="1"/>
  <c r="FR55" i="1"/>
  <c r="FS58" i="1"/>
  <c r="DR18" i="1"/>
  <c r="DR58" i="1"/>
  <c r="EC5" i="3"/>
  <c r="O78" i="1"/>
  <c r="DR55" i="1"/>
  <c r="DQ55" i="1"/>
  <c r="FR18" i="1"/>
  <c r="DQ11" i="1"/>
  <c r="DR57" i="1"/>
  <c r="FS17" i="1"/>
  <c r="DQ25" i="1"/>
  <c r="EA5" i="3"/>
  <c r="BM5" i="3"/>
  <c r="DQ56" i="1"/>
  <c r="FR20" i="1"/>
  <c r="O79" i="1"/>
  <c r="DR17" i="1"/>
  <c r="DQ17" i="1"/>
  <c r="FS9" i="1"/>
  <c r="DR11" i="1"/>
  <c r="FS26" i="1"/>
  <c r="FR11" i="1"/>
  <c r="DR56" i="1"/>
  <c r="DQ58" i="1"/>
  <c r="BK5" i="3"/>
  <c r="FR8" i="1"/>
  <c r="FS8" i="1"/>
  <c r="DQ9" i="1"/>
  <c r="DR10" i="1"/>
  <c r="DQ10" i="1"/>
  <c r="O74" i="1"/>
  <c r="O73" i="1"/>
  <c r="FS57" i="1"/>
  <c r="FR57" i="1"/>
  <c r="DR8" i="1"/>
  <c r="DQ8" i="1"/>
  <c r="DQ26" i="1"/>
  <c r="DR9" i="1"/>
  <c r="FS55" i="1"/>
  <c r="DR19" i="1"/>
  <c r="FS20" i="1"/>
  <c r="DV71" i="3"/>
  <c r="DW5" i="3"/>
  <c r="BI5" i="3"/>
  <c r="FR58" i="1"/>
  <c r="DQ18" i="1"/>
  <c r="O75" i="1"/>
  <c r="FS25" i="1"/>
  <c r="FR25" i="1"/>
  <c r="DQ20" i="1"/>
  <c r="FS19" i="1"/>
  <c r="FR19" i="1"/>
  <c r="FR9" i="1"/>
  <c r="FR56" i="1"/>
  <c r="FR10" i="1"/>
  <c r="AC132" i="9"/>
  <c r="T19" i="9"/>
  <c r="G52" i="9"/>
  <c r="X90" i="9"/>
  <c r="Y18" i="9"/>
  <c r="U136" i="9"/>
  <c r="Y134" i="9"/>
  <c r="G138" i="9"/>
  <c r="X39" i="9"/>
  <c r="I116" i="9"/>
  <c r="G61" i="9"/>
  <c r="I52" i="9"/>
  <c r="U92" i="9"/>
  <c r="Y100" i="9"/>
  <c r="U61" i="9"/>
  <c r="H81" i="9"/>
  <c r="AA138" i="9"/>
  <c r="Y16" i="9"/>
  <c r="T36" i="9"/>
  <c r="T138" i="9"/>
  <c r="AE45" i="9"/>
  <c r="G63" i="9"/>
  <c r="AE73" i="9"/>
  <c r="I45" i="9"/>
  <c r="G85" i="9"/>
  <c r="AB51" i="9"/>
  <c r="W95" i="9"/>
  <c r="I7" i="9"/>
  <c r="AC33" i="9"/>
  <c r="U26" i="9"/>
  <c r="AB37" i="9"/>
  <c r="X81" i="9"/>
  <c r="AC93" i="9"/>
  <c r="AA23" i="9"/>
  <c r="T130" i="9"/>
  <c r="AB68" i="9"/>
  <c r="AA12" i="9"/>
  <c r="AB120" i="9"/>
  <c r="G112" i="9"/>
  <c r="T32" i="9"/>
  <c r="AB64" i="9"/>
  <c r="AE43" i="9"/>
  <c r="W124" i="9"/>
  <c r="T55" i="9"/>
  <c r="H41" i="9"/>
  <c r="AB85" i="9"/>
  <c r="I103" i="9"/>
  <c r="G96" i="9"/>
  <c r="J72" i="9"/>
  <c r="I5" i="9"/>
  <c r="AA40" i="9"/>
  <c r="I82" i="9"/>
  <c r="AA19" i="9"/>
  <c r="AE108" i="9"/>
  <c r="AD35" i="9"/>
  <c r="T111" i="9"/>
  <c r="AD93" i="9"/>
  <c r="AB127" i="9"/>
  <c r="AC137" i="9"/>
  <c r="H43" i="9"/>
  <c r="AB72" i="9"/>
  <c r="J52" i="9"/>
  <c r="W99" i="9"/>
  <c r="AA101" i="9"/>
  <c r="AE96" i="9"/>
  <c r="AB80" i="9"/>
  <c r="U124" i="9"/>
  <c r="AC40" i="9"/>
  <c r="AC105" i="9"/>
  <c r="Y79" i="9"/>
  <c r="I64" i="9"/>
  <c r="AA136" i="9"/>
  <c r="Z108" i="9"/>
  <c r="Z88" i="9"/>
  <c r="AD43" i="9"/>
  <c r="N19" i="9"/>
  <c r="Q96" i="9"/>
  <c r="K57" i="9"/>
  <c r="AD32" i="9"/>
  <c r="T133" i="9"/>
  <c r="AB29" i="9"/>
  <c r="U96" i="9"/>
  <c r="V11" i="9"/>
  <c r="W83" i="9"/>
  <c r="AB133" i="9"/>
  <c r="AC118" i="9"/>
  <c r="AA109" i="9"/>
  <c r="I36" i="9"/>
  <c r="H117" i="9"/>
  <c r="H48" i="9"/>
  <c r="W93" i="9"/>
  <c r="V100" i="9"/>
  <c r="AA130" i="9"/>
  <c r="Y11" i="9"/>
  <c r="T88" i="9"/>
  <c r="AB24" i="9"/>
  <c r="H69" i="9"/>
  <c r="T80" i="9"/>
  <c r="H105" i="9"/>
  <c r="W119" i="9"/>
  <c r="AC102" i="9"/>
  <c r="G97" i="9"/>
  <c r="V86" i="9"/>
  <c r="Y39" i="9"/>
  <c r="AA77" i="9"/>
  <c r="AA39" i="9"/>
  <c r="AB43" i="9"/>
  <c r="W9" i="9"/>
  <c r="AA25" i="9"/>
  <c r="AD83" i="9"/>
  <c r="W79" i="9"/>
  <c r="H119" i="9"/>
  <c r="W92" i="9"/>
  <c r="X44" i="9"/>
  <c r="W33" i="9"/>
  <c r="G84" i="9"/>
  <c r="AD59" i="9"/>
  <c r="Y114" i="9"/>
  <c r="AE129" i="9"/>
  <c r="V80" i="9"/>
  <c r="T126" i="9"/>
  <c r="U116" i="9"/>
  <c r="V126" i="9"/>
  <c r="I78" i="9"/>
  <c r="AA129" i="9"/>
  <c r="Z83" i="9"/>
  <c r="AB97" i="9"/>
  <c r="Z48" i="9"/>
  <c r="I17" i="9"/>
  <c r="Y112" i="9"/>
  <c r="AE6" i="9"/>
  <c r="G12" i="9"/>
  <c r="Y31" i="9"/>
  <c r="H135" i="9"/>
  <c r="W36" i="9"/>
  <c r="Y85" i="9"/>
  <c r="T85" i="9"/>
  <c r="U76" i="9"/>
  <c r="AD127" i="9"/>
  <c r="W19" i="9"/>
  <c r="AB76" i="9"/>
  <c r="V24" i="9"/>
  <c r="Y24" i="9"/>
  <c r="AC82" i="9"/>
  <c r="X94" i="9"/>
  <c r="AE69" i="9"/>
  <c r="W67" i="9"/>
  <c r="Y122" i="9"/>
  <c r="Y107" i="9"/>
  <c r="AA65" i="9"/>
  <c r="AA14" i="9"/>
  <c r="Z71" i="9"/>
  <c r="AE115" i="9"/>
  <c r="T73" i="9"/>
  <c r="Z28" i="9"/>
  <c r="I90" i="9"/>
  <c r="Z57" i="9"/>
  <c r="AD46" i="9"/>
  <c r="AB47" i="9"/>
  <c r="Z43" i="9"/>
  <c r="W15" i="9"/>
  <c r="U106" i="9"/>
  <c r="V92" i="9"/>
  <c r="Y103" i="9"/>
  <c r="AB78" i="9"/>
  <c r="F118" i="9"/>
  <c r="AE122" i="9"/>
  <c r="G75" i="9"/>
  <c r="V45" i="9"/>
  <c r="U33" i="9"/>
  <c r="T41" i="9"/>
  <c r="V118" i="9"/>
  <c r="I98" i="9"/>
  <c r="AE101" i="9"/>
  <c r="Y34" i="9"/>
  <c r="V137" i="9"/>
  <c r="V66" i="9"/>
  <c r="Y38" i="9"/>
  <c r="AE83" i="9"/>
  <c r="W12" i="9"/>
  <c r="W30" i="9"/>
  <c r="AD67" i="9"/>
  <c r="F38" i="9"/>
  <c r="I65" i="9"/>
  <c r="AD131" i="9"/>
  <c r="AA99" i="9"/>
  <c r="Z78" i="9"/>
  <c r="Y133" i="9"/>
  <c r="V113" i="9"/>
  <c r="AB42" i="9"/>
  <c r="AE57" i="9"/>
  <c r="AB96" i="9"/>
  <c r="AE126" i="9"/>
  <c r="AA126" i="9"/>
  <c r="X69" i="9"/>
  <c r="U6" i="9"/>
  <c r="T131" i="9"/>
  <c r="H17" i="9"/>
  <c r="AA125" i="9"/>
  <c r="Y87" i="9"/>
  <c r="I43" i="9"/>
  <c r="Q140" i="9"/>
  <c r="Z120" i="9"/>
  <c r="AB83" i="9"/>
  <c r="H86" i="9"/>
  <c r="X101" i="9"/>
  <c r="T8" i="9"/>
  <c r="P65" i="9"/>
  <c r="T136" i="9"/>
  <c r="X127" i="9"/>
  <c r="I40" i="9"/>
  <c r="X121" i="9"/>
  <c r="I126" i="9"/>
  <c r="AB19" i="9"/>
  <c r="I25" i="9"/>
  <c r="Z101" i="9"/>
  <c r="W6" i="9"/>
  <c r="AA32" i="9"/>
  <c r="I54" i="9"/>
  <c r="AB39" i="9"/>
  <c r="Z73" i="9"/>
  <c r="X136" i="9"/>
  <c r="F74" i="9"/>
  <c r="Y96" i="9"/>
  <c r="AB16" i="9"/>
  <c r="H83" i="9"/>
  <c r="I32" i="9"/>
  <c r="T56" i="9"/>
  <c r="AC135" i="9"/>
  <c r="Z70" i="9"/>
  <c r="AE5" i="9"/>
  <c r="X119" i="9"/>
  <c r="AC26" i="9"/>
  <c r="I100" i="9"/>
  <c r="F104" i="9"/>
  <c r="Z66" i="9"/>
  <c r="V110" i="9"/>
  <c r="Y102" i="9"/>
  <c r="H28" i="9"/>
  <c r="H95" i="9"/>
  <c r="T134" i="9"/>
  <c r="W125" i="9"/>
  <c r="W138" i="9"/>
  <c r="Y93" i="9"/>
  <c r="H45" i="9"/>
  <c r="I92" i="9"/>
  <c r="G24" i="9"/>
  <c r="AA54" i="9"/>
  <c r="I69" i="9"/>
  <c r="V136" i="9"/>
  <c r="AA53" i="9"/>
  <c r="W113" i="9"/>
  <c r="H54" i="9"/>
  <c r="AC13" i="9"/>
  <c r="AA48" i="9"/>
  <c r="H134" i="9"/>
  <c r="F55" i="9"/>
  <c r="AD45" i="9"/>
  <c r="U9" i="9"/>
  <c r="G17" i="9"/>
  <c r="V107" i="9"/>
  <c r="Y47" i="9"/>
  <c r="H66" i="9"/>
  <c r="T29" i="9"/>
  <c r="Z122" i="9"/>
  <c r="V109" i="9"/>
  <c r="I51" i="9"/>
  <c r="F117" i="9"/>
  <c r="T118" i="9"/>
  <c r="AD138" i="9"/>
  <c r="I127" i="9"/>
  <c r="AE87" i="9"/>
  <c r="H137" i="9"/>
  <c r="Z5" i="9"/>
  <c r="U119" i="9"/>
  <c r="X37" i="9"/>
  <c r="X107" i="9"/>
  <c r="T22" i="9"/>
  <c r="U59" i="9"/>
  <c r="H51" i="9"/>
  <c r="H87" i="9"/>
  <c r="J64" i="9"/>
  <c r="AC46" i="9"/>
  <c r="G88" i="9"/>
  <c r="T124" i="9"/>
  <c r="Y20" i="9"/>
  <c r="AB119" i="9"/>
  <c r="Y9" i="9"/>
  <c r="X100" i="9"/>
  <c r="H118" i="9"/>
  <c r="Z134" i="9"/>
  <c r="I37" i="9"/>
  <c r="AD75" i="9"/>
  <c r="Z105" i="9"/>
  <c r="G28" i="9"/>
  <c r="N142" i="9"/>
  <c r="W141" i="9"/>
  <c r="I11" i="9"/>
  <c r="J78" i="9"/>
  <c r="U39" i="9"/>
  <c r="AC54" i="9"/>
  <c r="T5" i="9"/>
  <c r="W29" i="9"/>
  <c r="Y75" i="9"/>
  <c r="AB75" i="9"/>
  <c r="J22" i="9"/>
  <c r="AE67" i="9"/>
  <c r="H35" i="9"/>
  <c r="T113" i="9"/>
  <c r="AE133" i="9"/>
  <c r="I99" i="9"/>
  <c r="AC55" i="9"/>
  <c r="J17" i="9"/>
  <c r="Y6" i="9"/>
  <c r="X135" i="9"/>
  <c r="AC68" i="9"/>
  <c r="Z111" i="9"/>
  <c r="U112" i="9"/>
  <c r="W43" i="9"/>
  <c r="AC47" i="9"/>
  <c r="AA131" i="9"/>
  <c r="W130" i="9"/>
  <c r="W134" i="9"/>
  <c r="AC25" i="9"/>
  <c r="W88" i="9"/>
  <c r="AC27" i="9"/>
  <c r="I58" i="9"/>
  <c r="AC7" i="9"/>
  <c r="W74" i="9"/>
  <c r="AC22" i="9"/>
  <c r="AE71" i="9"/>
  <c r="X18" i="9"/>
  <c r="I48" i="9"/>
  <c r="AD11" i="9"/>
  <c r="V88" i="9"/>
  <c r="V52" i="9"/>
  <c r="Y33" i="9"/>
  <c r="AE14" i="9"/>
  <c r="AE109" i="9"/>
  <c r="AD91" i="9"/>
  <c r="F44" i="9"/>
  <c r="AD135" i="9"/>
  <c r="Z128" i="9"/>
  <c r="AB35" i="9"/>
  <c r="X32" i="9"/>
  <c r="H131" i="9"/>
  <c r="G119" i="9"/>
  <c r="G30" i="9"/>
  <c r="AB13" i="9"/>
  <c r="G95" i="9"/>
  <c r="Y36" i="9"/>
  <c r="AC136" i="9"/>
  <c r="G73" i="9"/>
  <c r="X82" i="9"/>
  <c r="J55" i="9"/>
  <c r="AC134" i="9"/>
  <c r="Z103" i="9"/>
  <c r="AD33" i="9"/>
  <c r="K108" i="9"/>
  <c r="AB18" i="9"/>
  <c r="AC8" i="9"/>
  <c r="H71" i="9"/>
  <c r="AD85" i="9"/>
  <c r="AE15" i="9"/>
  <c r="AD20" i="9"/>
  <c r="AD60" i="9"/>
  <c r="AE110" i="9"/>
  <c r="AE27" i="9"/>
  <c r="I19" i="9"/>
  <c r="Z93" i="9"/>
  <c r="U82" i="9"/>
  <c r="H27" i="9"/>
  <c r="AB81" i="9"/>
  <c r="AD14" i="9"/>
  <c r="T37" i="9"/>
  <c r="AD134" i="9"/>
  <c r="T44" i="9"/>
  <c r="AC124" i="9"/>
  <c r="AA28" i="9"/>
  <c r="AB124" i="9"/>
  <c r="I61" i="9"/>
  <c r="AC133" i="9"/>
  <c r="AA142" i="9"/>
  <c r="U55" i="9"/>
  <c r="X46" i="9"/>
  <c r="AB32" i="9"/>
  <c r="I66" i="9"/>
  <c r="AD54" i="9"/>
  <c r="F97" i="9"/>
  <c r="T105" i="9"/>
  <c r="AD25" i="9"/>
  <c r="I83" i="9"/>
  <c r="U51" i="9"/>
  <c r="U71" i="9"/>
  <c r="AD116" i="9"/>
  <c r="J33" i="9"/>
  <c r="AA96" i="9"/>
  <c r="T47" i="9"/>
  <c r="W41" i="9"/>
  <c r="I123" i="9"/>
  <c r="AA83" i="9"/>
  <c r="I109" i="9"/>
  <c r="J14" i="9"/>
  <c r="AD120" i="9"/>
  <c r="W25" i="9"/>
  <c r="Y64" i="9"/>
  <c r="Z76" i="9"/>
  <c r="AE18" i="9"/>
  <c r="AE58" i="9"/>
  <c r="H33" i="9"/>
  <c r="U14" i="9"/>
  <c r="AE46" i="9"/>
  <c r="AD69" i="9"/>
  <c r="G46" i="9"/>
  <c r="V131" i="9"/>
  <c r="AB44" i="9"/>
  <c r="U40" i="9"/>
  <c r="M8" i="9"/>
  <c r="X8" i="9"/>
  <c r="U44" i="9"/>
  <c r="G113" i="9"/>
  <c r="J112" i="9"/>
  <c r="AB23" i="9"/>
  <c r="Z99" i="9"/>
  <c r="U31" i="9"/>
  <c r="Y83" i="9"/>
  <c r="T76" i="9"/>
  <c r="U97" i="9"/>
  <c r="AB117" i="9"/>
  <c r="I55" i="9"/>
  <c r="AE102" i="9"/>
  <c r="H130" i="9"/>
  <c r="I29" i="9"/>
  <c r="V21" i="9"/>
  <c r="Z30" i="9"/>
  <c r="T27" i="9"/>
  <c r="J142" i="9"/>
  <c r="I135" i="9"/>
  <c r="G98" i="9"/>
  <c r="Y62" i="9"/>
  <c r="V61" i="9"/>
  <c r="X92" i="9"/>
  <c r="AA107" i="9"/>
  <c r="AB59" i="9"/>
  <c r="V37" i="9"/>
  <c r="Z65" i="9"/>
  <c r="AE118" i="9"/>
  <c r="AD27" i="9"/>
  <c r="I101" i="9"/>
  <c r="G129" i="9"/>
  <c r="W48" i="9"/>
  <c r="J80" i="9"/>
  <c r="AC107" i="9"/>
  <c r="AE131" i="9"/>
  <c r="V29" i="9"/>
  <c r="X19" i="9"/>
  <c r="X6" i="9"/>
  <c r="X113" i="9"/>
  <c r="H12" i="9"/>
  <c r="F107" i="9"/>
  <c r="Y88" i="9"/>
  <c r="I120" i="9"/>
  <c r="V56" i="9"/>
  <c r="H129" i="9"/>
  <c r="T61" i="9"/>
  <c r="I13" i="9"/>
  <c r="U85" i="9"/>
  <c r="AA134" i="9"/>
  <c r="U29" i="9"/>
  <c r="AD21" i="9"/>
  <c r="X85" i="9"/>
  <c r="G32" i="9"/>
  <c r="AE12" i="9"/>
  <c r="AD123" i="9"/>
  <c r="AD42" i="9"/>
  <c r="W66" i="9"/>
  <c r="U137" i="9"/>
  <c r="Y97" i="9"/>
  <c r="AB48" i="9"/>
  <c r="T93" i="9"/>
  <c r="T39" i="9"/>
  <c r="X41" i="9"/>
  <c r="W100" i="9"/>
  <c r="I107" i="9"/>
  <c r="AC6" i="9"/>
  <c r="Z106" i="9"/>
  <c r="Z116" i="9"/>
  <c r="Y56" i="9"/>
  <c r="H9" i="9"/>
  <c r="AD102" i="9"/>
  <c r="U64" i="9"/>
  <c r="G42" i="9"/>
  <c r="X102" i="9"/>
  <c r="AA118" i="9"/>
  <c r="AD62" i="9"/>
  <c r="AB109" i="9"/>
  <c r="F35" i="9"/>
  <c r="U23" i="9"/>
  <c r="H101" i="9"/>
  <c r="Y91" i="9"/>
  <c r="V27" i="9"/>
  <c r="T129" i="9"/>
  <c r="X9" i="9"/>
  <c r="AD101" i="9"/>
  <c r="H8" i="9"/>
  <c r="G130" i="9"/>
  <c r="AD133" i="9"/>
  <c r="AD103" i="9"/>
  <c r="V117" i="9"/>
  <c r="Z34" i="9"/>
  <c r="Y138" i="9"/>
  <c r="V91" i="9"/>
  <c r="I68" i="9"/>
  <c r="AE76" i="9"/>
  <c r="AD56" i="9"/>
  <c r="AD7" i="9"/>
  <c r="T31" i="9"/>
  <c r="X12" i="9"/>
  <c r="AA115" i="9"/>
  <c r="Y55" i="9"/>
  <c r="F41" i="9"/>
  <c r="AB108" i="9"/>
  <c r="J138" i="9"/>
  <c r="AB77" i="9"/>
  <c r="V69" i="9"/>
  <c r="AC131" i="9"/>
  <c r="Y92" i="9"/>
  <c r="AC81" i="9"/>
  <c r="I8" i="9"/>
  <c r="AB57" i="9"/>
  <c r="X84" i="9"/>
  <c r="AE104" i="9"/>
  <c r="V8" i="9"/>
  <c r="AD118" i="9"/>
  <c r="U74" i="9"/>
  <c r="T21" i="9"/>
  <c r="I42" i="9"/>
  <c r="T33" i="9"/>
  <c r="H25" i="9"/>
  <c r="P141" i="9"/>
  <c r="AD10" i="9"/>
  <c r="AA93" i="9"/>
  <c r="AD86" i="9"/>
  <c r="AE38" i="9"/>
  <c r="I72" i="9"/>
  <c r="AC24" i="9"/>
  <c r="U111" i="9"/>
  <c r="AE124" i="9"/>
  <c r="AB128" i="9"/>
  <c r="Z90" i="9"/>
  <c r="T91" i="9"/>
  <c r="I14" i="9"/>
  <c r="AA132" i="9"/>
  <c r="AB129" i="9"/>
  <c r="H124" i="9"/>
  <c r="H18" i="9"/>
  <c r="V114" i="9"/>
  <c r="I94" i="9"/>
  <c r="W68" i="9"/>
  <c r="AD114" i="9"/>
  <c r="G53" i="9"/>
  <c r="AC28" i="9"/>
  <c r="Y94" i="9"/>
  <c r="H92" i="9"/>
  <c r="G20" i="9"/>
  <c r="AC63" i="9"/>
  <c r="Z132" i="9"/>
  <c r="U86" i="9"/>
  <c r="H96" i="9"/>
  <c r="AD124" i="9"/>
  <c r="AE114" i="9"/>
  <c r="W27" i="9"/>
  <c r="F69" i="9"/>
  <c r="Z11" i="9"/>
  <c r="W75" i="9"/>
  <c r="AD9" i="9"/>
  <c r="W52" i="9"/>
  <c r="V79" i="9"/>
  <c r="AE30" i="9"/>
  <c r="I136" i="9"/>
  <c r="AA72" i="9"/>
  <c r="V40" i="9"/>
  <c r="Y130" i="9"/>
  <c r="X48" i="9"/>
  <c r="I79" i="9"/>
  <c r="I81" i="9"/>
  <c r="I97" i="9"/>
  <c r="AA57" i="9"/>
  <c r="T15" i="9"/>
  <c r="AD74" i="9"/>
  <c r="Y131" i="9"/>
  <c r="AE44" i="9"/>
  <c r="AA78" i="9"/>
  <c r="AA135" i="9"/>
  <c r="F132" i="9"/>
  <c r="F137" i="9"/>
  <c r="AC119" i="9"/>
  <c r="Y105" i="9"/>
  <c r="AC95" i="9"/>
  <c r="Z68" i="9"/>
  <c r="H109" i="9"/>
  <c r="W128" i="9"/>
  <c r="Y54" i="9"/>
  <c r="Z46" i="9"/>
  <c r="U11" i="9"/>
  <c r="G29" i="9"/>
  <c r="AE37" i="9"/>
  <c r="AA10" i="9"/>
  <c r="AB62" i="9"/>
  <c r="AD115" i="9"/>
  <c r="AC121" i="9"/>
  <c r="X98" i="9"/>
  <c r="T65" i="9"/>
  <c r="H46" i="9"/>
  <c r="AA103" i="9"/>
  <c r="I77" i="9"/>
  <c r="X30" i="9"/>
  <c r="AC138" i="9"/>
  <c r="T137" i="9"/>
  <c r="AB110" i="9"/>
  <c r="G38" i="9"/>
  <c r="AC52" i="9"/>
  <c r="Z22" i="9"/>
  <c r="AE90" i="9"/>
  <c r="I33" i="9"/>
  <c r="AB41" i="9"/>
  <c r="AD57" i="9"/>
  <c r="H76" i="9"/>
  <c r="AD66" i="9"/>
  <c r="V97" i="9"/>
  <c r="Z124" i="9"/>
  <c r="T68" i="9"/>
  <c r="I121" i="9"/>
  <c r="U53" i="9"/>
  <c r="V36" i="9"/>
  <c r="T132" i="9"/>
  <c r="I137" i="9"/>
  <c r="AE93" i="9"/>
  <c r="AC64" i="9"/>
  <c r="V67" i="9"/>
  <c r="AC75" i="9"/>
  <c r="AE72" i="9"/>
  <c r="X97" i="9"/>
  <c r="AE62" i="9"/>
  <c r="V43" i="9"/>
  <c r="AD76" i="9"/>
  <c r="X95" i="9"/>
  <c r="Z75" i="9"/>
  <c r="V54" i="9"/>
  <c r="I110" i="9"/>
  <c r="T24" i="9"/>
  <c r="AB99" i="9"/>
  <c r="Z92" i="9"/>
  <c r="I10" i="9"/>
  <c r="AE111" i="9"/>
  <c r="H21" i="9"/>
  <c r="I132" i="9"/>
  <c r="AA21" i="9"/>
  <c r="F142" i="9"/>
  <c r="X40" i="9"/>
  <c r="Z40" i="9"/>
  <c r="AC12" i="9"/>
  <c r="T57" i="9"/>
  <c r="H47" i="9"/>
  <c r="Q69" i="9"/>
  <c r="X71" i="9"/>
  <c r="V95" i="9"/>
  <c r="F51" i="9"/>
  <c r="T13" i="9"/>
  <c r="AA116" i="9"/>
  <c r="I113" i="9"/>
  <c r="T116" i="9"/>
  <c r="T6" i="9"/>
  <c r="H91" i="9"/>
  <c r="AA123" i="9"/>
  <c r="F113" i="9"/>
  <c r="V127" i="9"/>
  <c r="G102" i="9"/>
  <c r="I20" i="9"/>
  <c r="W59" i="9"/>
  <c r="V70" i="9"/>
  <c r="Z136" i="9"/>
  <c r="AE9" i="9"/>
  <c r="W87" i="9"/>
  <c r="AB26" i="9"/>
  <c r="X31" i="9"/>
  <c r="F77" i="9"/>
  <c r="T127" i="9"/>
  <c r="H29" i="9"/>
  <c r="AE22" i="9"/>
  <c r="V6" i="9"/>
  <c r="Z38" i="9"/>
  <c r="Y104" i="9"/>
  <c r="T115" i="9"/>
  <c r="AB134" i="9"/>
  <c r="F27" i="9"/>
  <c r="G87" i="9"/>
  <c r="F31" i="9"/>
  <c r="G127" i="9"/>
  <c r="AD137" i="9"/>
  <c r="AD142" i="9"/>
  <c r="O47" i="9"/>
  <c r="W97" i="9"/>
  <c r="H60" i="9"/>
  <c r="V141" i="9"/>
  <c r="AB15" i="9"/>
  <c r="F11" i="9"/>
  <c r="AC5" i="9"/>
  <c r="AB58" i="9"/>
  <c r="W31" i="9"/>
  <c r="Z123" i="9"/>
  <c r="X120" i="9"/>
  <c r="AD18" i="9"/>
  <c r="AA112" i="9"/>
  <c r="AD79" i="9"/>
  <c r="AE32" i="9"/>
  <c r="W57" i="9"/>
  <c r="T98" i="9"/>
  <c r="AC100" i="9"/>
  <c r="X118" i="9"/>
  <c r="Z115" i="9"/>
  <c r="W45" i="9"/>
  <c r="T119" i="9"/>
  <c r="T75" i="9"/>
  <c r="T9" i="9"/>
  <c r="AD78" i="9"/>
  <c r="AD82" i="9"/>
  <c r="Z25" i="9"/>
  <c r="U52" i="9"/>
  <c r="Y25" i="9"/>
  <c r="AA47" i="9"/>
  <c r="AE117" i="9"/>
  <c r="Z82" i="9"/>
  <c r="AE39" i="9"/>
  <c r="AC90" i="9"/>
  <c r="H42" i="9"/>
  <c r="W65" i="9"/>
  <c r="T10" i="9"/>
  <c r="U100" i="9"/>
  <c r="AA18" i="9"/>
  <c r="T67" i="9"/>
  <c r="U21" i="9"/>
  <c r="AE119" i="9"/>
  <c r="X109" i="9"/>
  <c r="AD51" i="9"/>
  <c r="U16" i="9"/>
  <c r="T77" i="9"/>
  <c r="AE24" i="9"/>
  <c r="AE63" i="9"/>
  <c r="U48" i="9"/>
  <c r="AD65" i="9"/>
  <c r="V99" i="9"/>
  <c r="X131" i="9"/>
  <c r="AA17" i="9"/>
  <c r="Z12" i="9"/>
  <c r="X59" i="9"/>
  <c r="T86" i="9"/>
  <c r="U60" i="9"/>
  <c r="I114" i="9"/>
  <c r="AC70" i="9"/>
  <c r="U90" i="9"/>
  <c r="I60" i="9"/>
  <c r="I108" i="9"/>
  <c r="U109" i="9"/>
  <c r="X110" i="9"/>
  <c r="I16" i="9"/>
  <c r="AC130" i="9"/>
  <c r="T82" i="9"/>
  <c r="Y45" i="9"/>
  <c r="X15" i="9"/>
  <c r="W64" i="9"/>
  <c r="Y116" i="9"/>
  <c r="F52" i="9"/>
  <c r="AB137" i="9"/>
  <c r="H11" i="9"/>
  <c r="H121" i="9"/>
  <c r="H85" i="9"/>
  <c r="W47" i="9"/>
  <c r="AE10" i="9"/>
  <c r="X77" i="9"/>
  <c r="V128" i="9"/>
  <c r="U77" i="9"/>
  <c r="V132" i="9"/>
  <c r="H90" i="9"/>
  <c r="U54" i="9"/>
  <c r="Y17" i="9"/>
  <c r="F33" i="9"/>
  <c r="Z24" i="9"/>
  <c r="V138" i="9"/>
  <c r="AE36" i="9"/>
  <c r="F109" i="9"/>
  <c r="AD22" i="9"/>
  <c r="H68" i="9"/>
  <c r="X16" i="9"/>
  <c r="AC61" i="9"/>
  <c r="Z62" i="9"/>
  <c r="AD8" i="9"/>
  <c r="Z110" i="9"/>
  <c r="AB95" i="9"/>
  <c r="H114" i="9"/>
  <c r="AB69" i="9"/>
  <c r="AD72" i="9"/>
  <c r="T84" i="9"/>
  <c r="I88" i="9"/>
  <c r="Z64" i="9"/>
  <c r="Z23" i="9"/>
  <c r="W14" i="9"/>
  <c r="AD119" i="9"/>
  <c r="T42" i="9"/>
  <c r="AE34" i="9"/>
  <c r="Y129" i="9"/>
  <c r="V5" i="9"/>
  <c r="G31" i="9"/>
  <c r="AB65" i="9"/>
  <c r="Y61" i="9"/>
  <c r="W16" i="9"/>
  <c r="AD24" i="9"/>
  <c r="X26" i="9"/>
  <c r="W101" i="9"/>
  <c r="AA106" i="9"/>
  <c r="AD129" i="9"/>
  <c r="F29" i="9"/>
  <c r="AA122" i="9"/>
  <c r="P139" i="9"/>
  <c r="U126" i="9"/>
  <c r="AE105" i="9"/>
  <c r="AB63" i="9"/>
  <c r="X56" i="9"/>
  <c r="G133" i="9"/>
  <c r="F30" i="9"/>
  <c r="F18" i="9"/>
  <c r="AA60" i="9"/>
  <c r="Y7" i="9"/>
  <c r="AD16" i="9"/>
  <c r="V129" i="9"/>
  <c r="AA88" i="9"/>
  <c r="G115" i="9"/>
  <c r="T97" i="9"/>
  <c r="AC71" i="9"/>
  <c r="F114" i="9"/>
  <c r="X68" i="9"/>
  <c r="Z113" i="9"/>
  <c r="Z131" i="9"/>
  <c r="V26" i="9"/>
  <c r="AA46" i="9"/>
  <c r="Y13" i="9"/>
  <c r="T92" i="9"/>
  <c r="AB88" i="9"/>
  <c r="F134" i="9"/>
  <c r="H34" i="9"/>
  <c r="H88" i="9"/>
  <c r="G141" i="9"/>
  <c r="H7" i="9"/>
  <c r="AB102" i="9"/>
  <c r="U13" i="9"/>
  <c r="AB8" i="9"/>
  <c r="X142" i="9"/>
  <c r="Y132" i="9"/>
  <c r="Z100" i="9"/>
  <c r="I30" i="9"/>
  <c r="AB116" i="9"/>
  <c r="T30" i="9"/>
  <c r="I59" i="9"/>
  <c r="AC97" i="9"/>
  <c r="H53" i="9"/>
  <c r="H79" i="9"/>
  <c r="AE78" i="9"/>
  <c r="Y35" i="9"/>
  <c r="W23" i="9"/>
  <c r="V42" i="9"/>
  <c r="AB138" i="9"/>
  <c r="F56" i="9"/>
  <c r="Y53" i="9"/>
  <c r="AA73" i="9"/>
  <c r="X61" i="9"/>
  <c r="W115" i="9"/>
  <c r="T25" i="9"/>
  <c r="V104" i="9"/>
  <c r="I34" i="9"/>
  <c r="V72" i="9"/>
  <c r="Z96" i="9"/>
  <c r="AC36" i="9"/>
  <c r="X54" i="9"/>
  <c r="AB121" i="9"/>
  <c r="AA24" i="9"/>
  <c r="AE100" i="9"/>
  <c r="W118" i="9"/>
  <c r="V106" i="9"/>
  <c r="AC9" i="9"/>
  <c r="AC67" i="9"/>
  <c r="G69" i="9"/>
  <c r="X123" i="9"/>
  <c r="AA137" i="9"/>
  <c r="F61" i="9"/>
  <c r="Z20" i="9"/>
  <c r="H5" i="9"/>
  <c r="U101" i="9"/>
  <c r="U142" i="9"/>
  <c r="AE41" i="9"/>
  <c r="X38" i="9"/>
  <c r="AB126" i="9"/>
  <c r="H56" i="9"/>
  <c r="Y48" i="9"/>
  <c r="T60" i="9"/>
  <c r="V65" i="9"/>
  <c r="F87" i="9"/>
  <c r="G90" i="9"/>
  <c r="I24" i="9"/>
  <c r="T7" i="9"/>
  <c r="V133" i="9"/>
  <c r="Z109" i="9"/>
  <c r="AE112" i="9"/>
  <c r="AA113" i="9"/>
  <c r="AB141" i="9"/>
  <c r="AE31" i="9"/>
  <c r="V18" i="9"/>
  <c r="AC96" i="9"/>
  <c r="G135" i="9"/>
  <c r="T107" i="9"/>
  <c r="V90" i="9"/>
  <c r="AB86" i="9"/>
  <c r="Z133" i="9"/>
  <c r="AA104" i="9"/>
  <c r="AD100" i="9"/>
  <c r="AA63" i="9"/>
  <c r="U99" i="9"/>
  <c r="G72" i="9"/>
  <c r="Z15" i="9"/>
  <c r="AC122" i="9"/>
  <c r="AD73" i="9"/>
  <c r="AA133" i="9"/>
  <c r="AD19" i="9"/>
  <c r="AD125" i="9"/>
  <c r="Z84" i="9"/>
  <c r="AE40" i="9"/>
  <c r="Y22" i="9"/>
  <c r="F25" i="9"/>
  <c r="U103" i="9"/>
  <c r="Y65" i="9"/>
  <c r="T142" i="9"/>
  <c r="W37" i="9"/>
  <c r="G39" i="9"/>
  <c r="J94" i="9"/>
  <c r="V23" i="9"/>
  <c r="Z36" i="9"/>
  <c r="AB136" i="9"/>
  <c r="W126" i="9"/>
  <c r="J65" i="9"/>
  <c r="T103" i="9"/>
  <c r="F20" i="9"/>
  <c r="AC108" i="9"/>
  <c r="W69" i="9"/>
  <c r="AE116" i="9"/>
  <c r="AE107" i="9"/>
  <c r="AD38" i="9"/>
  <c r="AE121" i="9"/>
  <c r="J110" i="9"/>
  <c r="W107" i="9"/>
  <c r="G55" i="9"/>
  <c r="F71" i="9"/>
  <c r="L55" i="9"/>
  <c r="I91" i="9"/>
  <c r="K68" i="9"/>
  <c r="I131" i="9"/>
  <c r="F72" i="9"/>
  <c r="V81" i="9"/>
  <c r="AD96" i="9"/>
  <c r="G26" i="9"/>
  <c r="AB91" i="9"/>
  <c r="AB98" i="9"/>
  <c r="O124" i="9"/>
  <c r="G59" i="9"/>
  <c r="V68" i="9"/>
  <c r="N63" i="9"/>
  <c r="W121" i="9"/>
  <c r="AE123" i="9"/>
  <c r="X112" i="9"/>
  <c r="L140" i="9"/>
  <c r="G64" i="9"/>
  <c r="AC31" i="9"/>
  <c r="AA124" i="9"/>
  <c r="N134" i="9"/>
  <c r="K87" i="9"/>
  <c r="X73" i="9"/>
  <c r="AE135" i="9"/>
  <c r="AA84" i="9"/>
  <c r="G40" i="9"/>
  <c r="W58" i="9"/>
  <c r="T90" i="9"/>
  <c r="G123" i="9"/>
  <c r="W35" i="9"/>
  <c r="X105" i="9"/>
  <c r="X124" i="9"/>
  <c r="I41" i="9"/>
  <c r="O125" i="9"/>
  <c r="F130" i="9"/>
  <c r="H100" i="9"/>
  <c r="N99" i="9"/>
  <c r="K100" i="9"/>
  <c r="V130" i="9"/>
  <c r="H20" i="9"/>
  <c r="AD112" i="9"/>
  <c r="T11" i="9"/>
  <c r="AA121" i="9"/>
  <c r="V57" i="9"/>
  <c r="Y95" i="9"/>
  <c r="J101" i="9"/>
  <c r="L34" i="9"/>
  <c r="K90" i="9"/>
  <c r="U8" i="9"/>
  <c r="AE47" i="9"/>
  <c r="G142" i="9"/>
  <c r="V76" i="9"/>
  <c r="AA67" i="9"/>
  <c r="U114" i="9"/>
  <c r="J122" i="9"/>
  <c r="AE61" i="9"/>
  <c r="AB9" i="9"/>
  <c r="AC125" i="9"/>
  <c r="AB52" i="9"/>
  <c r="U32" i="9"/>
  <c r="U35" i="9"/>
  <c r="AA69" i="9"/>
  <c r="J108" i="9"/>
  <c r="U72" i="9"/>
  <c r="AE28" i="9"/>
  <c r="N140" i="9"/>
  <c r="O63" i="9"/>
  <c r="AC32" i="9"/>
  <c r="F53" i="9"/>
  <c r="H31" i="9"/>
  <c r="H138" i="9"/>
  <c r="L63" i="9"/>
  <c r="AC72" i="9"/>
  <c r="G7" i="9"/>
  <c r="F139" i="9"/>
  <c r="H52" i="9"/>
  <c r="Z16" i="9"/>
  <c r="H94" i="9"/>
  <c r="AC78" i="9"/>
  <c r="O36" i="9"/>
  <c r="F28" i="9"/>
  <c r="AD122" i="9"/>
  <c r="W78" i="9"/>
  <c r="P75" i="9"/>
  <c r="U130" i="9"/>
  <c r="T81" i="9"/>
  <c r="O29" i="9"/>
  <c r="F129" i="9"/>
  <c r="X29" i="9"/>
  <c r="AA31" i="9"/>
  <c r="V124" i="9"/>
  <c r="H57" i="9"/>
  <c r="AE81" i="9"/>
  <c r="I71" i="9"/>
  <c r="AC74" i="9"/>
  <c r="Y125" i="9"/>
  <c r="G11" i="9"/>
  <c r="V93" i="9"/>
  <c r="AB101" i="9"/>
  <c r="AC128" i="9"/>
  <c r="P138" i="9"/>
  <c r="U131" i="9"/>
  <c r="G118" i="9"/>
  <c r="J54" i="9"/>
  <c r="G25" i="9"/>
  <c r="AE33" i="9"/>
  <c r="G108" i="9"/>
  <c r="J93" i="9"/>
  <c r="N103" i="9"/>
  <c r="AB142" i="9"/>
  <c r="Q124" i="9"/>
  <c r="I38" i="9"/>
  <c r="W24" i="9"/>
  <c r="U34" i="9"/>
  <c r="G13" i="9"/>
  <c r="H67" i="9"/>
  <c r="AE128" i="9"/>
  <c r="M79" i="9"/>
  <c r="H77" i="9"/>
  <c r="N26" i="9"/>
  <c r="W81" i="9"/>
  <c r="AD71" i="9"/>
  <c r="G6" i="9"/>
  <c r="H115" i="9"/>
  <c r="AC113" i="9"/>
  <c r="X83" i="9"/>
  <c r="I86" i="9"/>
  <c r="AA70" i="9"/>
  <c r="U133" i="9"/>
  <c r="G36" i="9"/>
  <c r="Z80" i="9"/>
  <c r="V111" i="9"/>
  <c r="J29" i="9"/>
  <c r="V41" i="9"/>
  <c r="Y26" i="9"/>
  <c r="X66" i="9"/>
  <c r="AC21" i="9"/>
  <c r="J82" i="9"/>
  <c r="J30" i="9"/>
  <c r="V98" i="9"/>
  <c r="F70" i="9"/>
  <c r="AB14" i="9"/>
  <c r="N107" i="9"/>
  <c r="H16" i="9"/>
  <c r="V55" i="9"/>
  <c r="AC142" i="9"/>
  <c r="L52" i="9"/>
  <c r="X76" i="9"/>
  <c r="AC126" i="9"/>
  <c r="M92" i="9"/>
  <c r="AE142" i="9"/>
  <c r="U57" i="9"/>
  <c r="J68" i="9"/>
  <c r="G8" i="9"/>
  <c r="AC20" i="9"/>
  <c r="X67" i="9"/>
  <c r="Z32" i="9"/>
  <c r="G86" i="9"/>
  <c r="AD58" i="9"/>
  <c r="U84" i="9"/>
  <c r="P108" i="9"/>
  <c r="O27" i="9"/>
  <c r="X52" i="9"/>
  <c r="AC37" i="9"/>
  <c r="AC120" i="9"/>
  <c r="AC59" i="9"/>
  <c r="Q138" i="9"/>
  <c r="AC45" i="9"/>
  <c r="Y69" i="9"/>
  <c r="F96" i="9"/>
  <c r="V94" i="9"/>
  <c r="Q29" i="9"/>
  <c r="U20" i="9"/>
  <c r="G116" i="9"/>
  <c r="AC88" i="9"/>
  <c r="AA127" i="9"/>
  <c r="O33" i="9"/>
  <c r="P105" i="9"/>
  <c r="K88" i="9"/>
  <c r="Y137" i="9"/>
  <c r="L83" i="9"/>
  <c r="X57" i="9"/>
  <c r="L139" i="9"/>
  <c r="AA85" i="9"/>
  <c r="M70" i="9"/>
  <c r="J88" i="9"/>
  <c r="AB36" i="9"/>
  <c r="AD30" i="9"/>
  <c r="AD68" i="9"/>
  <c r="F135" i="9"/>
  <c r="W20" i="9"/>
  <c r="F57" i="9"/>
  <c r="AB82" i="9"/>
  <c r="AE137" i="9"/>
  <c r="I35" i="9"/>
  <c r="W76" i="9"/>
  <c r="AB56" i="9"/>
  <c r="U38" i="9"/>
  <c r="AB118" i="9"/>
  <c r="W110" i="9"/>
  <c r="G109" i="9"/>
  <c r="AB100" i="9"/>
  <c r="AC41" i="9"/>
  <c r="AE21" i="9"/>
  <c r="T64" i="9"/>
  <c r="P63" i="9"/>
  <c r="V13" i="9"/>
  <c r="M131" i="9"/>
  <c r="T109" i="9"/>
  <c r="X25" i="9"/>
  <c r="Y52" i="9"/>
  <c r="X116" i="9"/>
  <c r="AD109" i="9"/>
  <c r="W132" i="9"/>
  <c r="U120" i="9"/>
  <c r="H70" i="9"/>
  <c r="U83" i="9"/>
  <c r="AB22" i="9"/>
  <c r="X36" i="9"/>
  <c r="H44" i="9"/>
  <c r="W44" i="9"/>
  <c r="U93" i="9"/>
  <c r="X51" i="9"/>
  <c r="N127" i="9"/>
  <c r="F116" i="9"/>
  <c r="H106" i="9"/>
  <c r="I70" i="9"/>
  <c r="AE17" i="9"/>
  <c r="T28" i="9"/>
  <c r="AC57" i="9"/>
  <c r="I9" i="9"/>
  <c r="J21" i="9"/>
  <c r="T40" i="9"/>
  <c r="G80" i="9"/>
  <c r="N68" i="9"/>
  <c r="T99" i="9"/>
  <c r="AA75" i="9"/>
  <c r="T100" i="9"/>
  <c r="L112" i="9"/>
  <c r="J18" i="9"/>
  <c r="AD90" i="9"/>
  <c r="G51" i="9"/>
  <c r="AD80" i="9"/>
  <c r="G77" i="9"/>
  <c r="L62" i="9"/>
  <c r="N104" i="9"/>
  <c r="F131" i="9"/>
  <c r="AB115" i="9"/>
  <c r="I46" i="9"/>
  <c r="Q66" i="9"/>
  <c r="U10" i="9"/>
  <c r="H108" i="9"/>
  <c r="T94" i="9"/>
  <c r="AC16" i="9"/>
  <c r="G114" i="9"/>
  <c r="T72" i="9"/>
  <c r="H14" i="9"/>
  <c r="AC103" i="9"/>
  <c r="H36" i="9"/>
  <c r="Y84" i="9"/>
  <c r="N76" i="9"/>
  <c r="J43" i="9"/>
  <c r="X11" i="9"/>
  <c r="M96" i="9"/>
  <c r="AA38" i="9"/>
  <c r="K66" i="9"/>
  <c r="M139" i="9"/>
  <c r="Z9" i="9"/>
  <c r="AA86" i="9"/>
  <c r="T51" i="9"/>
  <c r="AE85" i="9"/>
  <c r="V28" i="9"/>
  <c r="X87" i="9"/>
  <c r="G67" i="9"/>
  <c r="I84" i="9"/>
  <c r="H40" i="9"/>
  <c r="AE51" i="9"/>
  <c r="N22" i="9"/>
  <c r="AE141" i="9"/>
  <c r="J95" i="9"/>
  <c r="AC69" i="9"/>
  <c r="K24" i="9"/>
  <c r="AB45" i="9"/>
  <c r="AE48" i="9"/>
  <c r="I125" i="9"/>
  <c r="J12" i="9"/>
  <c r="AC73" i="9"/>
  <c r="X64" i="9"/>
  <c r="N57" i="9"/>
  <c r="AC30" i="9"/>
  <c r="AC79" i="9"/>
  <c r="U43" i="9"/>
  <c r="Z52" i="9"/>
  <c r="J16" i="9"/>
  <c r="G16" i="9"/>
  <c r="V63" i="9"/>
  <c r="X55" i="9"/>
  <c r="AA44" i="9"/>
  <c r="V48" i="9"/>
  <c r="O58" i="9"/>
  <c r="Z77" i="9"/>
  <c r="T59" i="9"/>
  <c r="Q72" i="9"/>
  <c r="X99" i="9"/>
  <c r="AB25" i="9"/>
  <c r="M38" i="9"/>
  <c r="Y51" i="9"/>
  <c r="Y67" i="9"/>
  <c r="H127" i="9"/>
  <c r="K31" i="9"/>
  <c r="Z79" i="9"/>
  <c r="T20" i="9"/>
  <c r="T12" i="9"/>
  <c r="F36" i="9"/>
  <c r="G15" i="9"/>
  <c r="V46" i="9"/>
  <c r="Z7" i="9"/>
  <c r="W114" i="9"/>
  <c r="I23" i="9"/>
  <c r="T95" i="9"/>
  <c r="X96" i="9"/>
  <c r="Y14" i="9"/>
  <c r="J37" i="9"/>
  <c r="O113" i="9"/>
  <c r="AD12" i="9"/>
  <c r="AC18" i="9"/>
  <c r="AC58" i="9"/>
  <c r="J44" i="9"/>
  <c r="Y77" i="9"/>
  <c r="W42" i="9"/>
  <c r="AB105" i="9"/>
  <c r="M20" i="9"/>
  <c r="AB10" i="9"/>
  <c r="X79" i="9"/>
  <c r="Y86" i="9"/>
  <c r="Q117" i="9"/>
  <c r="Z126" i="9"/>
  <c r="F123" i="9"/>
  <c r="W104" i="9"/>
  <c r="F62" i="9"/>
  <c r="F76" i="9"/>
  <c r="I73" i="9"/>
  <c r="U65" i="9"/>
  <c r="M73" i="9"/>
  <c r="W137" i="9"/>
  <c r="J31" i="9"/>
  <c r="AD136" i="9"/>
  <c r="U88" i="9"/>
  <c r="F12" i="9"/>
  <c r="P37" i="9"/>
  <c r="AB60" i="9"/>
  <c r="AA108" i="9"/>
  <c r="AD70" i="9"/>
  <c r="F140" i="9"/>
  <c r="H15" i="9"/>
  <c r="T122" i="9"/>
  <c r="U70" i="9"/>
  <c r="F105" i="9"/>
  <c r="F108" i="9"/>
  <c r="H99" i="9"/>
  <c r="X93" i="9"/>
  <c r="F112" i="9"/>
  <c r="K124" i="9"/>
  <c r="AA8" i="9"/>
  <c r="G78" i="9"/>
  <c r="Z44" i="9"/>
  <c r="I75" i="9"/>
  <c r="X88" i="9"/>
  <c r="AC109" i="9"/>
  <c r="AD98" i="9"/>
  <c r="I15" i="9"/>
  <c r="I115" i="9"/>
  <c r="F24" i="9"/>
  <c r="V51" i="9"/>
  <c r="G56" i="9"/>
  <c r="AA98" i="9"/>
  <c r="Q56" i="9"/>
  <c r="T45" i="9"/>
  <c r="J5" i="9"/>
  <c r="J45" i="9"/>
  <c r="T112" i="9"/>
  <c r="AB104" i="9"/>
  <c r="W70" i="9"/>
  <c r="U25" i="9"/>
  <c r="W17" i="9"/>
  <c r="AE136" i="9"/>
  <c r="Y101" i="9"/>
  <c r="AE59" i="9"/>
  <c r="AE26" i="9"/>
  <c r="Y70" i="9"/>
  <c r="O52" i="9"/>
  <c r="AD40" i="9"/>
  <c r="H84" i="9"/>
  <c r="AC62" i="9"/>
  <c r="G58" i="9"/>
  <c r="V31" i="9"/>
  <c r="F83" i="9"/>
  <c r="AD99" i="9"/>
  <c r="I104" i="9"/>
  <c r="V32" i="9"/>
  <c r="W26" i="9"/>
  <c r="U24" i="9"/>
  <c r="J27" i="9"/>
  <c r="V122" i="9"/>
  <c r="AD44" i="9"/>
  <c r="H141" i="9"/>
  <c r="AB11" i="9"/>
  <c r="H32" i="9"/>
  <c r="G128" i="9"/>
  <c r="V25" i="9"/>
  <c r="N24" i="9"/>
  <c r="J62" i="9"/>
  <c r="T23" i="9"/>
  <c r="Z118" i="9"/>
  <c r="F133" i="9"/>
  <c r="F7" i="9"/>
  <c r="P132" i="9"/>
  <c r="AD92" i="9"/>
  <c r="Y71" i="9"/>
  <c r="H107" i="9"/>
  <c r="W111" i="9"/>
  <c r="T69" i="9"/>
  <c r="I122" i="9"/>
  <c r="W120" i="9"/>
  <c r="U7" i="9"/>
  <c r="Y37" i="9"/>
  <c r="AC114" i="9"/>
  <c r="AB114" i="9"/>
  <c r="T102" i="9"/>
  <c r="AC60" i="9"/>
  <c r="G62" i="9"/>
  <c r="V115" i="9"/>
  <c r="AD94" i="9"/>
  <c r="F119" i="9"/>
  <c r="AB92" i="9"/>
  <c r="U79" i="9"/>
  <c r="Z31" i="9"/>
  <c r="W98" i="9"/>
  <c r="AC117" i="9"/>
  <c r="V85" i="9"/>
  <c r="I141" i="9"/>
  <c r="L25" i="9"/>
  <c r="V38" i="9"/>
  <c r="J59" i="9"/>
  <c r="AA35" i="9"/>
  <c r="AE125" i="9"/>
  <c r="Y21" i="9"/>
  <c r="L38" i="9"/>
  <c r="X20" i="9"/>
  <c r="Z37" i="9"/>
  <c r="AC80" i="9"/>
  <c r="AD23" i="9"/>
  <c r="AE70" i="9"/>
  <c r="F26" i="9"/>
  <c r="F40" i="9"/>
  <c r="T58" i="9"/>
  <c r="L64" i="9"/>
  <c r="H10" i="9"/>
  <c r="I76" i="9"/>
  <c r="Y110" i="9"/>
  <c r="T63" i="9"/>
  <c r="W106" i="9"/>
  <c r="G76" i="9"/>
  <c r="Y108" i="9"/>
  <c r="I74" i="9"/>
  <c r="I102" i="9"/>
  <c r="J61" i="9"/>
  <c r="T17" i="9"/>
  <c r="G45" i="9"/>
  <c r="T79" i="9"/>
  <c r="AE97" i="9"/>
  <c r="U81" i="9"/>
  <c r="AC115" i="9"/>
  <c r="V116" i="9"/>
  <c r="H102" i="9"/>
  <c r="U134" i="9"/>
  <c r="AA111" i="9"/>
  <c r="U17" i="9"/>
  <c r="Y121" i="9"/>
  <c r="Q53" i="9"/>
  <c r="J57" i="9"/>
  <c r="Q74" i="9"/>
  <c r="V14" i="9"/>
  <c r="K72" i="9"/>
  <c r="J40" i="9"/>
  <c r="M37" i="9"/>
  <c r="T141" i="9"/>
  <c r="Y28" i="9"/>
  <c r="AA29" i="9"/>
  <c r="G71" i="9"/>
  <c r="H30" i="9"/>
  <c r="W63" i="9"/>
  <c r="O38" i="9"/>
  <c r="U56" i="9"/>
  <c r="AB54" i="9"/>
  <c r="P44" i="9"/>
  <c r="W135" i="9"/>
  <c r="AE138" i="9"/>
  <c r="G125" i="9"/>
  <c r="I117" i="9"/>
  <c r="J96" i="9"/>
  <c r="Z142" i="9"/>
  <c r="AE84" i="9"/>
  <c r="Z45" i="9"/>
  <c r="J9" i="9"/>
  <c r="AA13" i="9"/>
  <c r="J123" i="9"/>
  <c r="N10" i="9"/>
  <c r="G35" i="9"/>
  <c r="AD128" i="9"/>
  <c r="G44" i="9"/>
  <c r="Q61" i="9"/>
  <c r="Y32" i="9"/>
  <c r="K123" i="9"/>
  <c r="T110" i="9"/>
  <c r="AC29" i="9"/>
  <c r="U94" i="9"/>
  <c r="V16" i="9"/>
  <c r="U62" i="9"/>
  <c r="T117" i="9"/>
  <c r="AD105" i="9"/>
  <c r="AA15" i="9"/>
  <c r="Y117" i="9"/>
  <c r="G107" i="9"/>
  <c r="AC77" i="9"/>
  <c r="W96" i="9"/>
  <c r="AB71" i="9"/>
  <c r="AE86" i="9"/>
  <c r="U117" i="9"/>
  <c r="W133" i="9"/>
  <c r="Y46" i="9"/>
  <c r="O46" i="9"/>
  <c r="X111" i="9"/>
  <c r="I85" i="9"/>
  <c r="Y124" i="9"/>
  <c r="Z72" i="9"/>
  <c r="U122" i="9"/>
  <c r="Q68" i="9"/>
  <c r="AD26" i="9"/>
  <c r="AA36" i="9"/>
  <c r="F6" i="9"/>
  <c r="Z129" i="9"/>
  <c r="G122" i="9"/>
  <c r="Z58" i="9"/>
  <c r="Z13" i="9"/>
  <c r="N62" i="9"/>
  <c r="I39" i="9"/>
  <c r="V15" i="9"/>
  <c r="Z95" i="9"/>
  <c r="Y66" i="9"/>
  <c r="V73" i="9"/>
  <c r="U66" i="9"/>
  <c r="AE95" i="9"/>
  <c r="F84" i="9"/>
  <c r="F22" i="9"/>
  <c r="M84" i="9"/>
  <c r="Y128" i="9"/>
  <c r="T66" i="9"/>
  <c r="AC129" i="9"/>
  <c r="AA58" i="9"/>
  <c r="H65" i="9"/>
  <c r="AE11" i="9"/>
  <c r="H26" i="11"/>
  <c r="N96" i="9"/>
  <c r="AA59" i="9"/>
  <c r="L118" i="9"/>
  <c r="Z138" i="9"/>
  <c r="J47" i="9"/>
  <c r="AD37" i="9"/>
  <c r="AA34" i="9"/>
  <c r="M85" i="9"/>
  <c r="AA26" i="9"/>
  <c r="F120" i="9"/>
  <c r="Z97" i="9"/>
  <c r="T101" i="9"/>
  <c r="AE25" i="9"/>
  <c r="Z74" i="9"/>
  <c r="T43" i="9"/>
  <c r="I22" i="9"/>
  <c r="P112" i="9"/>
  <c r="U127" i="9"/>
  <c r="H120" i="9"/>
  <c r="V7" i="9"/>
  <c r="J7" i="9"/>
  <c r="AE52" i="9"/>
  <c r="W117" i="9"/>
  <c r="U63" i="9"/>
  <c r="K48" i="9"/>
  <c r="AE92" i="9"/>
  <c r="AE55" i="9"/>
  <c r="V74" i="9"/>
  <c r="H133" i="9"/>
  <c r="AA20" i="9"/>
  <c r="Z117" i="9"/>
  <c r="O35" i="9"/>
  <c r="AB28" i="9"/>
  <c r="F138" i="9"/>
  <c r="AB130" i="9"/>
  <c r="H75" i="9"/>
  <c r="AA51" i="9"/>
  <c r="G82" i="9"/>
  <c r="AA71" i="9"/>
  <c r="Y127" i="9"/>
  <c r="G103" i="9"/>
  <c r="J103" i="9"/>
  <c r="Y30" i="9"/>
  <c r="T135" i="9"/>
  <c r="Y120" i="9"/>
  <c r="V102" i="9"/>
  <c r="AC116" i="9"/>
  <c r="AC65" i="9"/>
  <c r="I67" i="9"/>
  <c r="V58" i="9"/>
  <c r="W62" i="9"/>
  <c r="W103" i="9"/>
  <c r="J92" i="9"/>
  <c r="P84" i="9"/>
  <c r="G93" i="9"/>
  <c r="L5" i="9"/>
  <c r="I93" i="9"/>
  <c r="AD77" i="9"/>
  <c r="G33" i="9"/>
  <c r="F68" i="9"/>
  <c r="T38" i="9"/>
  <c r="W61" i="9"/>
  <c r="H116" i="9"/>
  <c r="W90" i="9"/>
  <c r="Z102" i="9"/>
  <c r="AA105" i="9"/>
  <c r="AB111" i="9"/>
  <c r="H39" i="9"/>
  <c r="AB131" i="9"/>
  <c r="K61" i="9"/>
  <c r="X86" i="9"/>
  <c r="L51" i="9"/>
  <c r="J28" i="9"/>
  <c r="V64" i="9"/>
  <c r="M129" i="9"/>
  <c r="I105" i="9"/>
  <c r="X42" i="9"/>
  <c r="H74" i="9"/>
  <c r="AD53" i="9"/>
  <c r="N128" i="9"/>
  <c r="AB93" i="9"/>
  <c r="T104" i="9"/>
  <c r="W34" i="9"/>
  <c r="F16" i="9"/>
  <c r="M134" i="9"/>
  <c r="AB31" i="9"/>
  <c r="H58" i="9"/>
  <c r="I130" i="9"/>
  <c r="T18" i="9"/>
  <c r="U95" i="9"/>
  <c r="F122" i="9"/>
  <c r="X125" i="9"/>
  <c r="K58" i="9"/>
  <c r="G124" i="9"/>
  <c r="L46" i="9"/>
  <c r="W13" i="9"/>
  <c r="M82" i="9"/>
  <c r="G92" i="9"/>
  <c r="T62" i="9"/>
  <c r="AE88" i="9"/>
  <c r="U102" i="9"/>
  <c r="G14" i="9"/>
  <c r="F98" i="9"/>
  <c r="F37" i="9"/>
  <c r="N45" i="9"/>
  <c r="P51" i="9"/>
  <c r="Q128" i="9"/>
  <c r="X91" i="9"/>
  <c r="P78" i="9"/>
  <c r="AB94" i="9"/>
  <c r="L44" i="9"/>
  <c r="J128" i="9"/>
  <c r="K9" i="9"/>
  <c r="Y126" i="9"/>
  <c r="M127" i="9"/>
  <c r="AE23" i="9"/>
  <c r="X138" i="9"/>
  <c r="AD84" i="9"/>
  <c r="H93" i="9"/>
  <c r="W10" i="9"/>
  <c r="AD108" i="9"/>
  <c r="W18" i="9"/>
  <c r="M25" i="11"/>
  <c r="F95" i="9"/>
  <c r="X62" i="9"/>
  <c r="H72" i="9"/>
  <c r="V96" i="9"/>
  <c r="AA141" i="9"/>
  <c r="P116" i="9"/>
  <c r="AD126" i="9"/>
  <c r="O142" i="9"/>
  <c r="F75" i="9"/>
  <c r="Q88" i="9"/>
  <c r="AD88" i="9"/>
  <c r="V10" i="9"/>
  <c r="L43" i="9"/>
  <c r="U80" i="9"/>
  <c r="T114" i="9"/>
  <c r="K62" i="9"/>
  <c r="W129" i="9"/>
  <c r="AE42" i="9"/>
  <c r="V19" i="9"/>
  <c r="AA5" i="9"/>
  <c r="U27" i="9"/>
  <c r="Z35" i="9"/>
  <c r="AC15" i="9"/>
  <c r="N54" i="9"/>
  <c r="AD47" i="9"/>
  <c r="AB112" i="9"/>
  <c r="G23" i="9"/>
  <c r="H23" i="9"/>
  <c r="AA87" i="9"/>
  <c r="I62" i="9"/>
  <c r="AE68" i="9"/>
  <c r="AB61" i="9"/>
  <c r="H59" i="9"/>
  <c r="AE74" i="9"/>
  <c r="AE94" i="9"/>
  <c r="V119" i="9"/>
  <c r="AE120" i="9"/>
  <c r="AD15" i="9"/>
  <c r="J86" i="9"/>
  <c r="AE127" i="9"/>
  <c r="J107" i="9"/>
  <c r="F101" i="9"/>
  <c r="N28" i="9"/>
  <c r="N35" i="9"/>
  <c r="W60" i="9"/>
  <c r="W11" i="9"/>
  <c r="G34" i="9"/>
  <c r="Y60" i="9"/>
  <c r="AA22" i="9"/>
  <c r="I47" i="9"/>
  <c r="U18" i="9"/>
  <c r="G110" i="9"/>
  <c r="Y73" i="9"/>
  <c r="AB135" i="9"/>
  <c r="U121" i="9"/>
  <c r="AA117" i="9"/>
  <c r="Y118" i="9"/>
  <c r="U41" i="9"/>
  <c r="Z21" i="9"/>
  <c r="Z53" i="9"/>
  <c r="H113" i="9"/>
  <c r="W40" i="9"/>
  <c r="T128" i="9"/>
  <c r="AE103" i="9"/>
  <c r="AC91" i="9"/>
  <c r="AD52" i="9"/>
  <c r="F54" i="9"/>
  <c r="F15" i="9"/>
  <c r="F100" i="9"/>
  <c r="X60" i="9"/>
  <c r="K96" i="9"/>
  <c r="O14" i="9"/>
  <c r="AA6" i="9"/>
  <c r="Y42" i="9"/>
  <c r="AA11" i="9"/>
  <c r="G131" i="9"/>
  <c r="H111" i="9"/>
  <c r="Z114" i="9"/>
  <c r="AA45" i="9"/>
  <c r="U30" i="9"/>
  <c r="AA64" i="9"/>
  <c r="G106" i="9"/>
  <c r="G65" i="9"/>
  <c r="Y29" i="9"/>
  <c r="M59" i="9"/>
  <c r="X14" i="9"/>
  <c r="M126" i="9"/>
  <c r="AB30" i="9"/>
  <c r="Y78" i="9"/>
  <c r="H125" i="9"/>
  <c r="AE29" i="9"/>
  <c r="AE65" i="9"/>
  <c r="AA37" i="9"/>
  <c r="X128" i="9"/>
  <c r="Z87" i="9"/>
  <c r="V103" i="9"/>
  <c r="Q139" i="9"/>
  <c r="W21" i="9"/>
  <c r="Y109" i="9"/>
  <c r="AD6" i="9"/>
  <c r="O17" i="9"/>
  <c r="O98" i="9"/>
  <c r="P128" i="9"/>
  <c r="J6" i="9"/>
  <c r="J98" i="9"/>
  <c r="L91" i="9"/>
  <c r="Z85" i="9"/>
  <c r="W22" i="9"/>
  <c r="U58" i="9"/>
  <c r="AC66" i="9"/>
  <c r="V83" i="9"/>
  <c r="Y8" i="9"/>
  <c r="I138" i="9"/>
  <c r="U125" i="9"/>
  <c r="G21" i="9"/>
  <c r="W80" i="9"/>
  <c r="H104" i="9"/>
  <c r="F64" i="9"/>
  <c r="AB90" i="9"/>
  <c r="Y40" i="9"/>
  <c r="F58" i="9"/>
  <c r="L12" i="9"/>
  <c r="X134" i="9"/>
  <c r="G66" i="9"/>
  <c r="T34" i="9"/>
  <c r="V77" i="9"/>
  <c r="T11" i="11"/>
  <c r="AA9" i="9"/>
  <c r="U12" i="9"/>
  <c r="Q110" i="9"/>
  <c r="J137" i="9"/>
  <c r="AA97" i="9"/>
  <c r="J100" i="9"/>
  <c r="P117" i="9"/>
  <c r="P102" i="9"/>
  <c r="F65" i="9"/>
  <c r="M94" i="9"/>
  <c r="G111" i="9"/>
  <c r="Z81" i="9"/>
  <c r="AC112" i="9"/>
  <c r="H19" i="9"/>
  <c r="J136" i="9"/>
  <c r="N84" i="9"/>
  <c r="X106" i="9"/>
  <c r="AA55" i="9"/>
  <c r="F23" i="9"/>
  <c r="F10" i="9"/>
  <c r="F14" i="9"/>
  <c r="J83" i="9"/>
  <c r="U91" i="9"/>
  <c r="N55" i="9"/>
  <c r="K22" i="9"/>
  <c r="Z135" i="9"/>
  <c r="T83" i="9"/>
  <c r="AB17" i="9"/>
  <c r="P135" i="9"/>
  <c r="AD113" i="9"/>
  <c r="J74" i="9"/>
  <c r="AD87" i="9"/>
  <c r="H97" i="9"/>
  <c r="AE75" i="9"/>
  <c r="Y44" i="9"/>
  <c r="H24" i="9"/>
  <c r="Z67" i="9"/>
  <c r="K7" i="9"/>
  <c r="AA128" i="9"/>
  <c r="Y58" i="9"/>
  <c r="J75" i="9"/>
  <c r="V20" i="9"/>
  <c r="AD111" i="9"/>
  <c r="N20" i="9"/>
  <c r="X130" i="9"/>
  <c r="AA16" i="9"/>
  <c r="G60" i="9"/>
  <c r="K73" i="9"/>
  <c r="U129" i="9"/>
  <c r="J48" i="9"/>
  <c r="F124" i="9"/>
  <c r="L134" i="9"/>
  <c r="AA92" i="9"/>
  <c r="V87" i="9"/>
  <c r="AD5" i="9"/>
  <c r="T16" i="9"/>
  <c r="M132" i="9"/>
  <c r="X126" i="9"/>
  <c r="O55" i="9"/>
  <c r="AC14" i="9"/>
  <c r="N91" i="9"/>
  <c r="V135" i="9"/>
  <c r="J126" i="9"/>
  <c r="M12" i="9"/>
  <c r="F92" i="9"/>
  <c r="AB123" i="9"/>
  <c r="AA27" i="9"/>
  <c r="Z26" i="9"/>
  <c r="K112" i="9"/>
  <c r="W54" i="9"/>
  <c r="Y90" i="9"/>
  <c r="J99" i="9"/>
  <c r="Y136" i="9"/>
  <c r="AD64" i="9"/>
  <c r="K14" i="9"/>
  <c r="X53" i="9"/>
  <c r="AB106" i="9"/>
  <c r="AC17" i="9"/>
  <c r="G136" i="9"/>
  <c r="H132" i="9"/>
  <c r="F86" i="9"/>
  <c r="Z60" i="9"/>
  <c r="Z33" i="9"/>
  <c r="AC106" i="9"/>
  <c r="U42" i="9"/>
  <c r="AC98" i="9"/>
  <c r="X10" i="9"/>
  <c r="G132" i="9"/>
  <c r="L102" i="9"/>
  <c r="I133" i="9"/>
  <c r="AD63" i="9"/>
  <c r="Z42" i="9"/>
  <c r="Z10" i="9"/>
  <c r="AD132" i="9"/>
  <c r="W136" i="9"/>
  <c r="AC104" i="9"/>
  <c r="W116" i="9"/>
  <c r="W32" i="9"/>
  <c r="H82" i="9"/>
  <c r="J69" i="9"/>
  <c r="AC99" i="9"/>
  <c r="Y80" i="9"/>
  <c r="J60" i="9"/>
  <c r="F32" i="9"/>
  <c r="Z54" i="9"/>
  <c r="V44" i="9"/>
  <c r="I129" i="9"/>
  <c r="V22" i="9"/>
  <c r="H63" i="9"/>
  <c r="H22" i="9"/>
  <c r="Q65" i="9"/>
  <c r="AB70" i="9"/>
  <c r="H128" i="9"/>
  <c r="H136" i="9"/>
  <c r="I95" i="9"/>
  <c r="J63" i="9"/>
  <c r="J132" i="9"/>
  <c r="P109" i="9"/>
  <c r="AD31" i="9"/>
  <c r="W72" i="9"/>
  <c r="H123" i="9"/>
  <c r="J71" i="9"/>
  <c r="M111" i="9"/>
  <c r="AD39" i="9"/>
  <c r="T120" i="9"/>
  <c r="U110" i="9"/>
  <c r="F48" i="9"/>
  <c r="H6" i="11"/>
  <c r="AA81" i="9"/>
  <c r="Q17" i="9"/>
  <c r="J109" i="9"/>
  <c r="J114" i="9"/>
  <c r="F45" i="9"/>
  <c r="AB12" i="9"/>
  <c r="W131" i="9"/>
  <c r="U75" i="9"/>
  <c r="J117" i="9"/>
  <c r="AD41" i="9"/>
  <c r="U28" i="9"/>
  <c r="V39" i="9"/>
  <c r="AA119" i="9"/>
  <c r="Y27" i="9"/>
  <c r="G19" i="9"/>
  <c r="F79" i="9"/>
  <c r="N87" i="9"/>
  <c r="F88" i="9"/>
  <c r="V71" i="9"/>
  <c r="AE66" i="9"/>
  <c r="I12" i="9"/>
  <c r="N41" i="9"/>
  <c r="J133" i="9"/>
  <c r="F17" i="11"/>
  <c r="Z127" i="9"/>
  <c r="J135" i="9"/>
  <c r="V34" i="9"/>
  <c r="Y57" i="9"/>
  <c r="X132" i="9"/>
  <c r="V9" i="9"/>
  <c r="X65" i="9"/>
  <c r="AB107" i="9"/>
  <c r="AA114" i="9"/>
  <c r="AC84" i="9"/>
  <c r="V30" i="9"/>
  <c r="Q37" i="9"/>
  <c r="AD110" i="9"/>
  <c r="P42" i="9"/>
  <c r="L66" i="9"/>
  <c r="T10" i="11"/>
  <c r="Q104" i="9"/>
  <c r="Q18" i="9"/>
  <c r="H14" i="11"/>
  <c r="K126" i="9"/>
  <c r="N114" i="9"/>
  <c r="K16" i="9"/>
  <c r="N61" i="9"/>
  <c r="N141" i="9"/>
  <c r="G43" i="9"/>
  <c r="N15" i="11"/>
  <c r="O83" i="9"/>
  <c r="V35" i="9"/>
  <c r="I26" i="9"/>
  <c r="N118" i="9"/>
  <c r="Y59" i="9"/>
  <c r="L39" i="9"/>
  <c r="K81" i="9"/>
  <c r="G54" i="9"/>
  <c r="W8" i="9"/>
  <c r="J141" i="9"/>
  <c r="K128" i="9"/>
  <c r="M7" i="9"/>
  <c r="N18" i="9"/>
  <c r="O123" i="9"/>
  <c r="AB5" i="11"/>
  <c r="U22" i="9"/>
  <c r="P111" i="9"/>
  <c r="K21" i="9"/>
  <c r="J11" i="9"/>
  <c r="L14" i="9"/>
  <c r="L94" i="9"/>
  <c r="O127" i="9"/>
  <c r="O69" i="9"/>
  <c r="AA110" i="9"/>
  <c r="AB132" i="9"/>
  <c r="Q33" i="9"/>
  <c r="AA41" i="9"/>
  <c r="J13" i="9"/>
  <c r="P91" i="9"/>
  <c r="AB73" i="9"/>
  <c r="O130" i="9"/>
  <c r="X22" i="9"/>
  <c r="AD121" i="9"/>
  <c r="AE56" i="9"/>
  <c r="P82" i="9"/>
  <c r="M6" i="9"/>
  <c r="N16" i="11"/>
  <c r="AC85" i="9"/>
  <c r="M62" i="9"/>
  <c r="X17" i="11"/>
  <c r="N9" i="11"/>
  <c r="P131" i="9"/>
  <c r="J10" i="9"/>
  <c r="O8" i="9"/>
  <c r="AB23" i="11"/>
  <c r="AE16" i="9"/>
  <c r="L47" i="9"/>
  <c r="O82" i="9"/>
  <c r="Z125" i="9"/>
  <c r="U68" i="9"/>
  <c r="Q23" i="9"/>
  <c r="I27" i="9"/>
  <c r="N110" i="9"/>
  <c r="AB22" i="11"/>
  <c r="P8" i="9"/>
  <c r="AB40" i="9"/>
  <c r="N25" i="9"/>
  <c r="Q8" i="9"/>
  <c r="K139" i="9"/>
  <c r="N90" i="9"/>
  <c r="AA9" i="11"/>
  <c r="P60" i="9"/>
  <c r="P15" i="9"/>
  <c r="O105" i="9"/>
  <c r="U14" i="11"/>
  <c r="Q132" i="9"/>
  <c r="N97" i="9"/>
  <c r="M45" i="9"/>
  <c r="AE130" i="9"/>
  <c r="Q19" i="9"/>
  <c r="P25" i="9"/>
  <c r="L22" i="9"/>
  <c r="N25" i="11"/>
  <c r="AC48" i="9"/>
  <c r="AE54" i="9"/>
  <c r="V12" i="9"/>
  <c r="L107" i="9"/>
  <c r="L85" i="9"/>
  <c r="M24" i="9"/>
  <c r="U105" i="9"/>
  <c r="P126" i="9"/>
  <c r="F46" i="9"/>
  <c r="L115" i="9"/>
  <c r="G91" i="9"/>
  <c r="L138" i="9"/>
  <c r="N122" i="9"/>
  <c r="X80" i="9"/>
  <c r="G17" i="11"/>
  <c r="Y115" i="9"/>
  <c r="Y99" i="9"/>
  <c r="Q26" i="9"/>
  <c r="L90" i="9"/>
  <c r="AA74" i="9"/>
  <c r="Q52" i="9"/>
  <c r="N26" i="11"/>
  <c r="V121" i="9"/>
  <c r="Q78" i="9"/>
  <c r="M80" i="9"/>
  <c r="T54" i="9"/>
  <c r="X33" i="9"/>
  <c r="O80" i="9"/>
  <c r="G27" i="9"/>
  <c r="AB84" i="9"/>
  <c r="Y141" i="9"/>
  <c r="M30" i="9"/>
  <c r="Q141" i="9"/>
  <c r="P103" i="9"/>
  <c r="M68" i="9"/>
  <c r="Q30" i="9"/>
  <c r="V17" i="9"/>
  <c r="AA82" i="9"/>
  <c r="N65" i="9"/>
  <c r="Q93" i="9"/>
  <c r="M75" i="9"/>
  <c r="V53" i="9"/>
  <c r="Y43" i="9"/>
  <c r="J41" i="9"/>
  <c r="O15" i="9"/>
  <c r="AD61" i="9"/>
  <c r="K38" i="9"/>
  <c r="P93" i="9"/>
  <c r="F93" i="9"/>
  <c r="L128" i="9"/>
  <c r="L86" i="9"/>
  <c r="AE113" i="9"/>
  <c r="Q64" i="9"/>
  <c r="Q46" i="9"/>
  <c r="AE106" i="9"/>
  <c r="Q44" i="9"/>
  <c r="O13" i="9"/>
  <c r="W55" i="9"/>
  <c r="Z8" i="11"/>
  <c r="Q75" i="9"/>
  <c r="P67" i="9"/>
  <c r="AA61" i="9"/>
  <c r="L82" i="9"/>
  <c r="O96" i="9"/>
  <c r="P100" i="9"/>
  <c r="G22" i="9"/>
  <c r="K41" i="9"/>
  <c r="M31" i="9"/>
  <c r="W142" i="9"/>
  <c r="W51" i="9"/>
  <c r="T123" i="9"/>
  <c r="N83" i="9"/>
  <c r="L31" i="9"/>
  <c r="AC123" i="9"/>
  <c r="P57" i="9"/>
  <c r="J76" i="9"/>
  <c r="Q90" i="9"/>
  <c r="Q7" i="9"/>
  <c r="L35" i="9"/>
  <c r="N101" i="9"/>
  <c r="P136" i="9"/>
  <c r="P110" i="9"/>
  <c r="P27" i="9"/>
  <c r="V123" i="9"/>
  <c r="AA33" i="9"/>
  <c r="F8" i="9"/>
  <c r="F94" i="9"/>
  <c r="M113" i="9"/>
  <c r="U113" i="9"/>
  <c r="U45" i="9"/>
  <c r="M51" i="9"/>
  <c r="O41" i="9"/>
  <c r="J51" i="9"/>
  <c r="M43" i="9"/>
  <c r="P71" i="9"/>
  <c r="Q16" i="9"/>
  <c r="K53" i="9"/>
  <c r="V120" i="9"/>
  <c r="O6" i="9"/>
  <c r="Q25" i="11"/>
  <c r="AA43" i="9"/>
  <c r="L24" i="9"/>
  <c r="AB53" i="9"/>
  <c r="L54" i="9"/>
  <c r="O61" i="9"/>
  <c r="AB7" i="11"/>
  <c r="Y24" i="11"/>
  <c r="K133" i="9"/>
  <c r="Q58" i="9"/>
  <c r="Y135" i="9"/>
  <c r="K64" i="9"/>
  <c r="J97" i="9"/>
  <c r="Q70" i="9"/>
  <c r="AE98" i="9"/>
  <c r="L77" i="9"/>
  <c r="W82" i="9"/>
  <c r="AA10" i="11"/>
  <c r="K118" i="9"/>
  <c r="Q16" i="11"/>
  <c r="N20" i="11"/>
  <c r="AA100" i="9"/>
  <c r="I142" i="9"/>
  <c r="N17" i="9"/>
  <c r="L11" i="9"/>
  <c r="L110" i="9"/>
  <c r="K79" i="9"/>
  <c r="K70" i="9"/>
  <c r="P130" i="9"/>
  <c r="N43" i="9"/>
  <c r="O56" i="9"/>
  <c r="L61" i="9"/>
  <c r="O122" i="9"/>
  <c r="AC10" i="9"/>
  <c r="Q112" i="9"/>
  <c r="G100" i="9"/>
  <c r="K55" i="9"/>
  <c r="L130" i="9"/>
  <c r="N14" i="9"/>
  <c r="M128" i="9"/>
  <c r="M135" i="9"/>
  <c r="X20" i="11"/>
  <c r="U141" i="9"/>
  <c r="L121" i="9"/>
  <c r="K110" i="9"/>
  <c r="K17" i="9"/>
  <c r="I112" i="9"/>
  <c r="L58" i="9"/>
  <c r="F81" i="9"/>
  <c r="T26" i="9"/>
  <c r="I128" i="9"/>
  <c r="Q60" i="9"/>
  <c r="L100" i="9"/>
  <c r="Q100" i="9"/>
  <c r="F82" i="9"/>
  <c r="M110" i="9"/>
  <c r="AB27" i="9"/>
  <c r="M33" i="9"/>
  <c r="P19" i="9"/>
  <c r="AC56" i="9"/>
  <c r="AB6" i="9"/>
  <c r="O5" i="9"/>
  <c r="W102" i="9"/>
  <c r="Y15" i="9"/>
  <c r="X103" i="9"/>
  <c r="K19" i="9"/>
  <c r="L81" i="9"/>
  <c r="AB7" i="9"/>
  <c r="P137" i="9"/>
  <c r="Z59" i="9"/>
  <c r="O76" i="9"/>
  <c r="M109" i="9"/>
  <c r="O115" i="9"/>
  <c r="O119" i="9"/>
  <c r="Z61" i="9"/>
  <c r="O44" i="9"/>
  <c r="V23" i="11"/>
  <c r="K74" i="9"/>
  <c r="M11" i="9"/>
  <c r="F73" i="9"/>
  <c r="I63" i="9"/>
  <c r="Y123" i="9"/>
  <c r="O133" i="9"/>
  <c r="P26" i="9"/>
  <c r="K117" i="9"/>
  <c r="AA42" i="9"/>
  <c r="L16" i="9"/>
  <c r="Y82" i="9"/>
  <c r="O79" i="9"/>
  <c r="Q126" i="9"/>
  <c r="L74" i="9"/>
  <c r="Q15" i="9"/>
  <c r="O60" i="9"/>
  <c r="M56" i="9"/>
  <c r="Y119" i="9"/>
  <c r="P47" i="9"/>
  <c r="K67" i="9"/>
  <c r="X114" i="9"/>
  <c r="Z51" i="9"/>
  <c r="K120" i="9"/>
  <c r="Q42" i="9"/>
  <c r="Q103" i="9"/>
  <c r="N40" i="9"/>
  <c r="P129" i="9"/>
  <c r="Q41" i="9"/>
  <c r="G134" i="9"/>
  <c r="N108" i="9"/>
  <c r="K20" i="11"/>
  <c r="M26" i="9"/>
  <c r="X45" i="9"/>
  <c r="V6" i="11"/>
  <c r="AB67" i="9"/>
  <c r="L104" i="9"/>
  <c r="Y12" i="9"/>
  <c r="AD48" i="9"/>
  <c r="AC9" i="11"/>
  <c r="AA56" i="9"/>
  <c r="AE35" i="9"/>
  <c r="Q13" i="9"/>
  <c r="L36" i="9"/>
  <c r="F34" i="9"/>
  <c r="T14" i="9"/>
  <c r="F78" i="9"/>
  <c r="K121" i="9"/>
  <c r="N66" i="9"/>
  <c r="K65" i="9"/>
  <c r="W71" i="9"/>
  <c r="M69" i="9"/>
  <c r="AC141" i="9"/>
  <c r="I118" i="9"/>
  <c r="P18" i="11"/>
  <c r="AA19" i="11"/>
  <c r="F127" i="9"/>
  <c r="X122" i="9"/>
  <c r="AB38" i="9"/>
  <c r="P28" i="9"/>
  <c r="J130" i="9"/>
  <c r="P39" i="9"/>
  <c r="X5" i="9"/>
  <c r="T70" i="9"/>
  <c r="K27" i="9"/>
  <c r="K20" i="9"/>
  <c r="M13" i="11"/>
  <c r="H11" i="11"/>
  <c r="O13" i="11"/>
  <c r="V84" i="9"/>
  <c r="M124" i="9"/>
  <c r="X141" i="9"/>
  <c r="H61" i="9"/>
  <c r="O132" i="9"/>
  <c r="Q91" i="9"/>
  <c r="M66" i="9"/>
  <c r="AC12" i="11"/>
  <c r="K26" i="9"/>
  <c r="AA94" i="9"/>
  <c r="I18" i="9"/>
  <c r="O68" i="9"/>
  <c r="F13" i="11"/>
  <c r="J79" i="9"/>
  <c r="N86" i="9"/>
  <c r="P30" i="9"/>
  <c r="M137" i="9"/>
  <c r="J85" i="9"/>
  <c r="AC86" i="9"/>
  <c r="W46" i="9"/>
  <c r="I106" i="9"/>
  <c r="AD22" i="11"/>
  <c r="W127" i="9"/>
  <c r="M114" i="9"/>
  <c r="O114" i="9"/>
  <c r="K125" i="9"/>
  <c r="AC34" i="9"/>
  <c r="P36" i="9"/>
  <c r="AA7" i="9"/>
  <c r="P11" i="9"/>
  <c r="AA90" i="9"/>
  <c r="N79" i="9"/>
  <c r="H38" i="9"/>
  <c r="O64" i="9"/>
  <c r="O26" i="9"/>
  <c r="P70" i="9"/>
  <c r="P125" i="9"/>
  <c r="AE99" i="9"/>
  <c r="K99" i="9"/>
  <c r="AC87" i="9"/>
  <c r="M142" i="9"/>
  <c r="G117" i="9"/>
  <c r="N94" i="9"/>
  <c r="AC51" i="9"/>
  <c r="P115" i="9"/>
  <c r="L48" i="9"/>
  <c r="AB125" i="9"/>
  <c r="N129" i="9"/>
  <c r="G37" i="9"/>
  <c r="Q131" i="9"/>
  <c r="Q63" i="9"/>
  <c r="M52" i="9"/>
  <c r="Z119" i="9"/>
  <c r="M53" i="9"/>
  <c r="Q71" i="9"/>
  <c r="N78" i="9"/>
  <c r="P69" i="9"/>
  <c r="O45" i="9"/>
  <c r="P113" i="9"/>
  <c r="O141" i="9"/>
  <c r="O57" i="9"/>
  <c r="G10" i="9"/>
  <c r="AE7" i="11"/>
  <c r="AA80" i="9"/>
  <c r="O18" i="9"/>
  <c r="Q130" i="9"/>
  <c r="AC35" i="9"/>
  <c r="L120" i="9"/>
  <c r="X58" i="9"/>
  <c r="H126" i="9"/>
  <c r="K131" i="9"/>
  <c r="U132" i="9"/>
  <c r="J87" i="9"/>
  <c r="P48" i="9"/>
  <c r="O81" i="9"/>
  <c r="W86" i="9"/>
  <c r="Q136" i="9"/>
  <c r="V105" i="9"/>
  <c r="O140" i="9"/>
  <c r="Q92" i="9"/>
  <c r="M117" i="9"/>
  <c r="W94" i="9"/>
  <c r="L17" i="9"/>
  <c r="M102" i="9"/>
  <c r="L68" i="9"/>
  <c r="O14" i="11"/>
  <c r="T74" i="9"/>
  <c r="Q129" i="9"/>
  <c r="L8" i="11"/>
  <c r="K105" i="9"/>
  <c r="M17" i="9"/>
  <c r="Y98" i="9"/>
  <c r="N67" i="9"/>
  <c r="AD11" i="11"/>
  <c r="AA52" i="9"/>
  <c r="Q34" i="9"/>
  <c r="G9" i="9"/>
  <c r="P58" i="9"/>
  <c r="L133" i="9"/>
  <c r="Q48" i="9"/>
  <c r="N113" i="9"/>
  <c r="F8" i="11"/>
  <c r="Q114" i="9"/>
  <c r="Q125" i="9"/>
  <c r="M130" i="9"/>
  <c r="K82" i="9"/>
  <c r="O86" i="9"/>
  <c r="O72" i="9"/>
  <c r="P35" i="9"/>
  <c r="Q98" i="9"/>
  <c r="W38" i="9"/>
  <c r="K10" i="9"/>
  <c r="P21" i="11"/>
  <c r="H103" i="9"/>
  <c r="M72" i="9"/>
  <c r="K114" i="9"/>
  <c r="AE134" i="9"/>
  <c r="X13" i="9"/>
  <c r="Z27" i="9"/>
  <c r="Z18" i="11"/>
  <c r="P33" i="9"/>
  <c r="K141" i="9"/>
  <c r="P52" i="9"/>
  <c r="Y106" i="9"/>
  <c r="X22" i="11"/>
  <c r="N12" i="9"/>
  <c r="V142" i="9"/>
  <c r="X133" i="9"/>
  <c r="W39" i="9"/>
  <c r="AE82" i="9"/>
  <c r="Z39" i="9"/>
  <c r="AE132" i="9"/>
  <c r="L71" i="9"/>
  <c r="P17" i="9"/>
  <c r="N120" i="9"/>
  <c r="L80" i="9"/>
  <c r="F42" i="9"/>
  <c r="K16" i="11"/>
  <c r="AD141" i="9"/>
  <c r="J125" i="9"/>
  <c r="J131" i="9"/>
  <c r="N109" i="9"/>
  <c r="G57" i="9"/>
  <c r="AD34" i="9"/>
  <c r="W19" i="11"/>
  <c r="J32" i="9"/>
  <c r="O120" i="9"/>
  <c r="K33" i="9"/>
  <c r="F21" i="11"/>
  <c r="X21" i="11"/>
  <c r="X63" i="9"/>
  <c r="Q12" i="11"/>
  <c r="I5" i="11"/>
  <c r="M88" i="9"/>
  <c r="G5" i="9"/>
  <c r="N48" i="9"/>
  <c r="T87" i="9"/>
  <c r="H78" i="9"/>
  <c r="I57" i="9"/>
  <c r="J105" i="9"/>
  <c r="O40" i="9"/>
  <c r="Q137" i="9"/>
  <c r="AB20" i="9"/>
  <c r="N117" i="9"/>
  <c r="J113" i="9"/>
  <c r="K59" i="9"/>
  <c r="N125" i="9"/>
  <c r="F20" i="11"/>
  <c r="H6" i="9"/>
  <c r="L99" i="9"/>
  <c r="N131" i="9"/>
  <c r="L109" i="9"/>
  <c r="M108" i="9"/>
  <c r="U135" i="9"/>
  <c r="N123" i="9"/>
  <c r="L119" i="9"/>
  <c r="Q80" i="9"/>
  <c r="J24" i="9"/>
  <c r="L135" i="9"/>
  <c r="AA79" i="9"/>
  <c r="V112" i="9"/>
  <c r="AB20" i="11"/>
  <c r="T96" i="9"/>
  <c r="Q94" i="9"/>
  <c r="X115" i="9"/>
  <c r="K104" i="9"/>
  <c r="L60" i="9"/>
  <c r="AE20" i="11"/>
  <c r="K25" i="11"/>
  <c r="G25" i="11"/>
  <c r="J124" i="9"/>
  <c r="Q101" i="9"/>
  <c r="M138" i="9"/>
  <c r="J121" i="9"/>
  <c r="J42" i="9"/>
  <c r="K60" i="9"/>
  <c r="M27" i="9"/>
  <c r="T52" i="9"/>
  <c r="L15" i="9"/>
  <c r="P118" i="9"/>
  <c r="L72" i="9"/>
  <c r="N135" i="9"/>
  <c r="F5" i="9"/>
  <c r="N59" i="9"/>
  <c r="U128" i="9"/>
  <c r="Q99" i="9"/>
  <c r="AB33" i="9"/>
  <c r="L106" i="9"/>
  <c r="P101" i="9"/>
  <c r="T53" i="9"/>
  <c r="N5" i="9"/>
  <c r="F85" i="9"/>
  <c r="Q20" i="9"/>
  <c r="O22" i="9"/>
  <c r="O28" i="9"/>
  <c r="O54" i="9"/>
  <c r="Q81" i="9"/>
  <c r="N105" i="9"/>
  <c r="Y113" i="9"/>
  <c r="P133" i="9"/>
  <c r="M58" i="9"/>
  <c r="AB66" i="9"/>
  <c r="Z141" i="9"/>
  <c r="K36" i="9"/>
  <c r="Q77" i="9"/>
  <c r="M107" i="9"/>
  <c r="Q27" i="9"/>
  <c r="M100" i="9"/>
  <c r="L78" i="9"/>
  <c r="K98" i="9"/>
  <c r="O77" i="9"/>
  <c r="U104" i="9"/>
  <c r="X70" i="9"/>
  <c r="L95" i="9"/>
  <c r="T6" i="11"/>
  <c r="Q17" i="11"/>
  <c r="AD117" i="9"/>
  <c r="J58" i="9"/>
  <c r="F102" i="9"/>
  <c r="K26" i="11"/>
  <c r="J102" i="9"/>
  <c r="Z41" i="9"/>
  <c r="AD36" i="9"/>
  <c r="L9" i="9"/>
  <c r="P29" i="9"/>
  <c r="L40" i="9"/>
  <c r="Z11" i="11"/>
  <c r="F126" i="9"/>
  <c r="N38" i="9"/>
  <c r="M54" i="9"/>
  <c r="W77" i="9"/>
  <c r="H13" i="9"/>
  <c r="X72" i="9"/>
  <c r="Z17" i="9"/>
  <c r="Q122" i="9"/>
  <c r="V33" i="9"/>
  <c r="L19" i="9"/>
  <c r="J119" i="9"/>
  <c r="I26" i="11"/>
  <c r="K111" i="9"/>
  <c r="K13" i="9"/>
  <c r="N137" i="9"/>
  <c r="Q115" i="9"/>
  <c r="O66" i="9"/>
  <c r="AB74" i="9"/>
  <c r="Y72" i="9"/>
  <c r="M18" i="9"/>
  <c r="AC110" i="9"/>
  <c r="O108" i="9"/>
  <c r="U107" i="9"/>
  <c r="U19" i="9"/>
  <c r="AB16" i="11"/>
  <c r="O138" i="9"/>
  <c r="K113" i="9"/>
  <c r="L141" i="9"/>
  <c r="I21" i="11"/>
  <c r="AE10" i="11"/>
  <c r="K93" i="9"/>
  <c r="O39" i="9"/>
  <c r="U46" i="9"/>
  <c r="Z29" i="9"/>
  <c r="L6" i="9"/>
  <c r="Z47" i="9"/>
  <c r="J34" i="9"/>
  <c r="F66" i="9"/>
  <c r="P107" i="9"/>
  <c r="AC39" i="9"/>
  <c r="M97" i="9"/>
  <c r="J25" i="9"/>
  <c r="P124" i="9"/>
  <c r="P104" i="9"/>
  <c r="F106" i="9"/>
  <c r="I6" i="11"/>
  <c r="Q87" i="9"/>
  <c r="Z91" i="9"/>
  <c r="O94" i="9"/>
  <c r="K122" i="9"/>
  <c r="M46" i="9"/>
  <c r="AC101" i="9"/>
  <c r="Y14" i="11"/>
  <c r="AE77" i="9"/>
  <c r="U37" i="9"/>
  <c r="K8" i="9"/>
  <c r="L70" i="9"/>
  <c r="N52" i="9"/>
  <c r="J120" i="9"/>
  <c r="L13" i="9"/>
  <c r="AE60" i="9"/>
  <c r="L76" i="9"/>
  <c r="G70" i="9"/>
  <c r="M133" i="9"/>
  <c r="L26" i="9"/>
  <c r="I124" i="9"/>
  <c r="P88" i="9"/>
  <c r="O7" i="11"/>
  <c r="AB34" i="9"/>
  <c r="P41" i="9"/>
  <c r="Z55" i="9"/>
  <c r="N70" i="9"/>
  <c r="Q43" i="9"/>
  <c r="M140" i="9"/>
  <c r="AC127" i="9"/>
  <c r="O87" i="9"/>
  <c r="I134" i="9"/>
  <c r="Q133" i="9"/>
  <c r="V59" i="9"/>
  <c r="F39" i="9"/>
  <c r="F110" i="9"/>
  <c r="O11" i="9"/>
  <c r="X74" i="9"/>
  <c r="L7" i="9"/>
  <c r="K42" i="9"/>
  <c r="L108" i="9"/>
  <c r="H55" i="9"/>
  <c r="P90" i="9"/>
  <c r="G41" i="9"/>
  <c r="K56" i="9"/>
  <c r="AA76" i="9"/>
  <c r="M39" i="9"/>
  <c r="L97" i="9"/>
  <c r="W25" i="11"/>
  <c r="AD106" i="9"/>
  <c r="W56" i="9"/>
  <c r="M61" i="9"/>
  <c r="N116" i="9"/>
  <c r="U18" i="11"/>
  <c r="AC53" i="9"/>
  <c r="N6" i="9"/>
  <c r="P40" i="9"/>
  <c r="AA62" i="9"/>
  <c r="Z69" i="9"/>
  <c r="X43" i="9"/>
  <c r="K54" i="9"/>
  <c r="O70" i="9"/>
  <c r="M122" i="9"/>
  <c r="O37" i="9"/>
  <c r="H18" i="11"/>
  <c r="H64" i="9"/>
  <c r="AC111" i="9"/>
  <c r="K85" i="9"/>
  <c r="N46" i="9"/>
  <c r="O104" i="9"/>
  <c r="M28" i="9"/>
  <c r="P17" i="11"/>
  <c r="M17" i="11"/>
  <c r="O34" i="9"/>
  <c r="O101" i="9"/>
  <c r="L84" i="9"/>
  <c r="I28" i="9"/>
  <c r="K137" i="9"/>
  <c r="N93" i="9"/>
  <c r="L12" i="11"/>
  <c r="O26" i="11"/>
  <c r="P5" i="11"/>
  <c r="AA7" i="11"/>
  <c r="J104" i="9"/>
  <c r="N77" i="9"/>
  <c r="AB79" i="9"/>
  <c r="W108" i="9"/>
  <c r="K5" i="9"/>
  <c r="U22" i="11"/>
  <c r="Y68" i="9"/>
  <c r="M25" i="9"/>
  <c r="Z24" i="11"/>
  <c r="AE8" i="9"/>
  <c r="G126" i="9"/>
  <c r="M5" i="9"/>
  <c r="N133" i="9"/>
  <c r="P5" i="9"/>
  <c r="F9" i="9"/>
  <c r="K135" i="9"/>
  <c r="J26" i="9"/>
  <c r="U115" i="9"/>
  <c r="Z137" i="9"/>
  <c r="J8" i="9"/>
  <c r="AC92" i="9"/>
  <c r="AD55" i="9"/>
  <c r="Z86" i="9"/>
  <c r="N80" i="9"/>
  <c r="L136" i="9"/>
  <c r="T48" i="9"/>
  <c r="L27" i="9"/>
  <c r="AA95" i="9"/>
  <c r="F60" i="9"/>
  <c r="Q36" i="9"/>
  <c r="W18" i="11"/>
  <c r="L57" i="9"/>
  <c r="M99" i="9"/>
  <c r="K37" i="9"/>
  <c r="M118" i="9"/>
  <c r="F115" i="9"/>
  <c r="P114" i="9"/>
  <c r="AD24" i="11"/>
  <c r="Q24" i="9"/>
  <c r="L132" i="9"/>
  <c r="O110" i="9"/>
  <c r="Q127" i="9"/>
  <c r="M121" i="9"/>
  <c r="N124" i="9"/>
  <c r="L131" i="9"/>
  <c r="K83" i="9"/>
  <c r="P18" i="9"/>
  <c r="X23" i="9"/>
  <c r="K35" i="9"/>
  <c r="P140" i="9"/>
  <c r="V134" i="9"/>
  <c r="K119" i="9"/>
  <c r="O12" i="9"/>
  <c r="H142" i="9"/>
  <c r="Q76" i="9"/>
  <c r="Q40" i="9"/>
  <c r="Q57" i="9"/>
  <c r="M86" i="9"/>
  <c r="G68" i="9"/>
  <c r="J73" i="9"/>
  <c r="W122" i="9"/>
  <c r="AE13" i="9"/>
  <c r="M13" i="9"/>
  <c r="K6" i="9"/>
  <c r="F128" i="9"/>
  <c r="P72" i="9"/>
  <c r="K140" i="9"/>
  <c r="Q84" i="9"/>
  <c r="AC23" i="9"/>
  <c r="J66" i="9"/>
  <c r="Z8" i="9"/>
  <c r="X129" i="9"/>
  <c r="Z130" i="9"/>
  <c r="AD29" i="9"/>
  <c r="N69" i="9"/>
  <c r="V7" i="11"/>
  <c r="K86" i="9"/>
  <c r="V19" i="11"/>
  <c r="N8" i="11"/>
  <c r="L88" i="9"/>
  <c r="M35" i="9"/>
  <c r="T125" i="9"/>
  <c r="T35" i="9"/>
  <c r="M74" i="9"/>
  <c r="Z63" i="9"/>
  <c r="K71" i="9"/>
  <c r="N36" i="9"/>
  <c r="K45" i="9"/>
  <c r="P6" i="9"/>
  <c r="W123" i="9"/>
  <c r="Q134" i="9"/>
  <c r="N126" i="9"/>
  <c r="L129" i="9"/>
  <c r="Q55" i="9"/>
  <c r="Z20" i="11"/>
  <c r="L101" i="9"/>
  <c r="Q47" i="9"/>
  <c r="K47" i="9"/>
  <c r="Z19" i="11"/>
  <c r="AE19" i="9"/>
  <c r="W91" i="9"/>
  <c r="F12" i="11"/>
  <c r="Q121" i="9"/>
  <c r="M112" i="9"/>
  <c r="N51" i="9"/>
  <c r="AB46" i="9"/>
  <c r="K75" i="9"/>
  <c r="F59" i="9"/>
  <c r="AC19" i="9"/>
  <c r="AD17" i="9"/>
  <c r="N13" i="11"/>
  <c r="T14" i="11"/>
  <c r="AC76" i="9"/>
  <c r="AB55" i="9"/>
  <c r="X7" i="9"/>
  <c r="AB113" i="9"/>
  <c r="N71" i="9"/>
  <c r="Y5" i="9"/>
  <c r="K132" i="9"/>
  <c r="U73" i="9"/>
  <c r="Z107" i="9"/>
  <c r="M29" i="9"/>
  <c r="AB5" i="9"/>
  <c r="F47" i="9"/>
  <c r="I53" i="9"/>
  <c r="N11" i="9"/>
  <c r="O74" i="9"/>
  <c r="J118" i="9"/>
  <c r="P97" i="9"/>
  <c r="F103" i="9"/>
  <c r="X108" i="9"/>
  <c r="Z94" i="9"/>
  <c r="T106" i="9"/>
  <c r="AE64" i="9"/>
  <c r="Y81" i="9"/>
  <c r="P61" i="9"/>
  <c r="F121" i="9"/>
  <c r="V82" i="9"/>
  <c r="M47" i="9"/>
  <c r="Q24" i="11"/>
  <c r="K106" i="9"/>
  <c r="J35" i="9"/>
  <c r="O85" i="9"/>
  <c r="I6" i="9"/>
  <c r="O20" i="9"/>
  <c r="G79" i="9"/>
  <c r="U108" i="9"/>
  <c r="O139" i="9"/>
  <c r="U123" i="9"/>
  <c r="M34" i="9"/>
  <c r="K11" i="9"/>
  <c r="W7" i="9"/>
  <c r="AD104" i="9"/>
  <c r="AE7" i="9"/>
  <c r="H37" i="9"/>
  <c r="O75" i="9"/>
  <c r="G99" i="9"/>
  <c r="L96" i="9"/>
  <c r="K34" i="9"/>
  <c r="K29" i="9"/>
  <c r="Z6" i="9"/>
  <c r="O9" i="9"/>
  <c r="N136" i="9"/>
  <c r="X75" i="9"/>
  <c r="H110" i="9"/>
  <c r="V75" i="9"/>
  <c r="G120" i="9"/>
  <c r="F13" i="9"/>
  <c r="O19" i="9"/>
  <c r="O10" i="9"/>
  <c r="O136" i="9"/>
  <c r="J134" i="9"/>
  <c r="P74" i="9"/>
  <c r="AC44" i="9"/>
  <c r="M41" i="9"/>
  <c r="N139" i="9"/>
  <c r="AE53" i="9"/>
  <c r="AE91" i="9"/>
  <c r="J90" i="9"/>
  <c r="L41" i="9"/>
  <c r="J15" i="9"/>
  <c r="L98" i="9"/>
  <c r="Y19" i="9"/>
  <c r="I31" i="9"/>
  <c r="Y63" i="9"/>
  <c r="J70" i="9"/>
  <c r="N73" i="9"/>
  <c r="W28" i="9"/>
  <c r="G105" i="9"/>
  <c r="N21" i="11"/>
  <c r="AD97" i="9"/>
  <c r="G101" i="9"/>
  <c r="AD95" i="9"/>
  <c r="J23" i="9"/>
  <c r="K17" i="11"/>
  <c r="L22" i="11"/>
  <c r="N30" i="9"/>
  <c r="Q32" i="9"/>
  <c r="K107" i="9"/>
  <c r="AA120" i="9"/>
  <c r="P123" i="9"/>
  <c r="P12" i="9"/>
  <c r="V62" i="9"/>
  <c r="N81" i="9"/>
  <c r="G94" i="9"/>
  <c r="K40" i="9"/>
  <c r="U21" i="11"/>
  <c r="U15" i="9"/>
  <c r="U69" i="9"/>
  <c r="P7" i="9"/>
  <c r="V47" i="9"/>
  <c r="O95" i="9"/>
  <c r="Z19" i="9"/>
  <c r="H8" i="11"/>
  <c r="U87" i="9"/>
  <c r="M76" i="9"/>
  <c r="M36" i="9"/>
  <c r="AC38" i="9"/>
  <c r="K84" i="9"/>
  <c r="M78" i="9"/>
  <c r="O23" i="9"/>
  <c r="P14" i="11"/>
  <c r="H12" i="11"/>
  <c r="P119" i="9"/>
  <c r="AE20" i="9"/>
  <c r="I44" i="9"/>
  <c r="O25" i="9"/>
  <c r="M115" i="9"/>
  <c r="K102" i="9"/>
  <c r="M48" i="9"/>
  <c r="F136" i="9"/>
  <c r="G74" i="9"/>
  <c r="O59" i="9"/>
  <c r="Z56" i="9"/>
  <c r="N37" i="9"/>
  <c r="O51" i="9"/>
  <c r="H98" i="9"/>
  <c r="Y23" i="9"/>
  <c r="L127" i="9"/>
  <c r="J115" i="9"/>
  <c r="W105" i="9"/>
  <c r="N100" i="9"/>
  <c r="G104" i="9"/>
  <c r="P77" i="9"/>
  <c r="H19" i="11"/>
  <c r="O97" i="9"/>
  <c r="W8" i="11"/>
  <c r="I80" i="9"/>
  <c r="L21" i="9"/>
  <c r="AB17" i="11"/>
  <c r="AD13" i="11"/>
  <c r="K22" i="11"/>
  <c r="N121" i="9"/>
  <c r="Q108" i="9"/>
  <c r="T121" i="9"/>
  <c r="O121" i="9"/>
  <c r="P26" i="11"/>
  <c r="P23" i="11"/>
  <c r="Q109" i="9"/>
  <c r="M9" i="9"/>
  <c r="L59" i="9"/>
  <c r="W16" i="11"/>
  <c r="K95" i="9"/>
  <c r="F7" i="11"/>
  <c r="N75" i="9"/>
  <c r="Q113" i="9"/>
  <c r="O128" i="9"/>
  <c r="O9" i="11"/>
  <c r="G11" i="11"/>
  <c r="P7" i="11"/>
  <c r="U138" i="9"/>
  <c r="Q6" i="9"/>
  <c r="I27" i="11"/>
  <c r="P120" i="9"/>
  <c r="AE21" i="11"/>
  <c r="Y19" i="11"/>
  <c r="AA102" i="9"/>
  <c r="L125" i="9"/>
  <c r="X16" i="11"/>
  <c r="V27" i="11"/>
  <c r="F14" i="11"/>
  <c r="O18" i="11"/>
  <c r="T15" i="11"/>
  <c r="L10" i="9"/>
  <c r="M10" i="11"/>
  <c r="M103" i="9"/>
  <c r="U47" i="9"/>
  <c r="AB14" i="11"/>
  <c r="AE17" i="11"/>
  <c r="P86" i="9"/>
  <c r="O91" i="9"/>
  <c r="J127" i="9"/>
  <c r="L9" i="11"/>
  <c r="I17" i="11"/>
  <c r="W12" i="11"/>
  <c r="M136" i="9"/>
  <c r="O19" i="11"/>
  <c r="Z98" i="9"/>
  <c r="N39" i="9"/>
  <c r="H16" i="11"/>
  <c r="M101" i="9"/>
  <c r="AB27" i="11"/>
  <c r="N42" i="9"/>
  <c r="F11" i="11"/>
  <c r="I11" i="11"/>
  <c r="G121" i="9"/>
  <c r="Q9" i="9"/>
  <c r="Z16" i="11"/>
  <c r="AE22" i="11"/>
  <c r="F19" i="11"/>
  <c r="G14" i="11"/>
  <c r="V16" i="11"/>
  <c r="O135" i="9"/>
  <c r="AE8" i="11"/>
  <c r="U24" i="11"/>
  <c r="Y21" i="11"/>
  <c r="U6" i="11"/>
  <c r="F141" i="9"/>
  <c r="L21" i="11"/>
  <c r="M83" i="9"/>
  <c r="P59" i="9"/>
  <c r="V15" i="11"/>
  <c r="AD21" i="11"/>
  <c r="M116" i="9"/>
  <c r="X14" i="11"/>
  <c r="J91" i="9"/>
  <c r="L30" i="9"/>
  <c r="Y25" i="11"/>
  <c r="G10" i="11"/>
  <c r="M141" i="9"/>
  <c r="AC14" i="11"/>
  <c r="Q5" i="11"/>
  <c r="M11" i="11"/>
  <c r="U15" i="11"/>
  <c r="AA5" i="11"/>
  <c r="K46" i="9"/>
  <c r="Z14" i="11"/>
  <c r="Q35" i="9"/>
  <c r="U67" i="9"/>
  <c r="I10" i="11"/>
  <c r="U13" i="11"/>
  <c r="K92" i="9"/>
  <c r="P23" i="9"/>
  <c r="AB13" i="11"/>
  <c r="L33" i="9"/>
  <c r="G27" i="11"/>
  <c r="U9" i="11"/>
  <c r="K44" i="9"/>
  <c r="Q39" i="9"/>
  <c r="U11" i="11"/>
  <c r="AD20" i="11"/>
  <c r="AC23" i="11"/>
  <c r="W109" i="9"/>
  <c r="P99" i="9"/>
  <c r="N44" i="9"/>
  <c r="X24" i="11"/>
  <c r="I20" i="11"/>
  <c r="P83" i="9"/>
  <c r="U17" i="11"/>
  <c r="X47" i="9"/>
  <c r="K101" i="9"/>
  <c r="U78" i="9"/>
  <c r="G5" i="11"/>
  <c r="N111" i="9"/>
  <c r="K30" i="9"/>
  <c r="O43" i="9"/>
  <c r="L126" i="9"/>
  <c r="AB12" i="11"/>
  <c r="I56" i="9"/>
  <c r="K25" i="9"/>
  <c r="M15" i="11"/>
  <c r="V9" i="11"/>
  <c r="N74" i="9"/>
  <c r="M93" i="9"/>
  <c r="V11" i="11"/>
  <c r="X137" i="9"/>
  <c r="K77" i="9"/>
  <c r="L26" i="11"/>
  <c r="O21" i="9"/>
  <c r="P121" i="9"/>
  <c r="M6" i="11"/>
  <c r="Y8" i="11"/>
  <c r="Z7" i="11"/>
  <c r="Q7" i="11"/>
  <c r="N16" i="9"/>
  <c r="L69" i="9"/>
  <c r="I25" i="11"/>
  <c r="N33" i="9"/>
  <c r="Q111" i="9"/>
  <c r="L7" i="11"/>
  <c r="Y74" i="9"/>
  <c r="Y17" i="11"/>
  <c r="Q97" i="9"/>
  <c r="AA91" i="9"/>
  <c r="K23" i="11"/>
  <c r="O48" i="9"/>
  <c r="I23" i="11"/>
  <c r="Q82" i="9"/>
  <c r="G7" i="11"/>
  <c r="P66" i="9"/>
  <c r="O8" i="11"/>
  <c r="AE18" i="11"/>
  <c r="P9" i="11"/>
  <c r="X9" i="11"/>
  <c r="N22" i="11"/>
  <c r="T108" i="9"/>
  <c r="M125" i="9"/>
  <c r="AA20" i="11"/>
  <c r="N56" i="9"/>
  <c r="AA8" i="11"/>
  <c r="L20" i="11"/>
  <c r="AD6" i="11"/>
  <c r="U98" i="9"/>
  <c r="I12" i="11"/>
  <c r="L67" i="9"/>
  <c r="O42" i="9"/>
  <c r="L10" i="11"/>
  <c r="G21" i="11"/>
  <c r="V22" i="11"/>
  <c r="V12" i="11"/>
  <c r="Z10" i="11"/>
  <c r="N19" i="11"/>
  <c r="P96" i="9"/>
  <c r="W26" i="11"/>
  <c r="O5" i="11"/>
  <c r="F90" i="9"/>
  <c r="W53" i="9"/>
  <c r="F67" i="9"/>
  <c r="V21" i="11"/>
  <c r="K136" i="9"/>
  <c r="I14" i="11"/>
  <c r="Q142" i="9"/>
  <c r="AD26" i="11"/>
  <c r="I22" i="11"/>
  <c r="U36" i="9"/>
  <c r="AD17" i="11"/>
  <c r="M27" i="11"/>
  <c r="P9" i="9"/>
  <c r="L6" i="11"/>
  <c r="L79" i="9"/>
  <c r="M63" i="9"/>
  <c r="X78" i="9"/>
  <c r="Y10" i="11"/>
  <c r="Q15" i="11"/>
  <c r="AC27" i="11"/>
  <c r="Y22" i="11"/>
  <c r="Q118" i="9"/>
  <c r="O106" i="9"/>
  <c r="X6" i="11"/>
  <c r="F26" i="11"/>
  <c r="Q18" i="11"/>
  <c r="I9" i="11"/>
  <c r="P80" i="9"/>
  <c r="AC6" i="11"/>
  <c r="H17" i="11"/>
  <c r="K63" i="9"/>
  <c r="N11" i="11"/>
  <c r="O53" i="9"/>
  <c r="M67" i="9"/>
  <c r="Z15" i="11"/>
  <c r="O93" i="9"/>
  <c r="J38" i="9"/>
  <c r="Y15" i="11"/>
  <c r="N132" i="9"/>
  <c r="AC11" i="11"/>
  <c r="N31" i="9"/>
  <c r="AB19" i="11"/>
  <c r="P38" i="9"/>
  <c r="M71" i="9"/>
  <c r="Q13" i="11"/>
  <c r="AC16" i="11"/>
  <c r="U27" i="11"/>
  <c r="O23" i="11"/>
  <c r="I18" i="11"/>
  <c r="K18" i="11"/>
  <c r="AE25" i="11"/>
  <c r="AD9" i="11"/>
  <c r="Q21" i="11"/>
  <c r="F125" i="9"/>
  <c r="N85" i="9"/>
  <c r="AD12" i="11"/>
  <c r="X28" i="9"/>
  <c r="J46" i="9"/>
  <c r="AE23" i="11"/>
  <c r="M16" i="9"/>
  <c r="Q9" i="11"/>
  <c r="W6" i="11"/>
  <c r="M81" i="9"/>
  <c r="M95" i="9"/>
  <c r="N32" i="9"/>
  <c r="H7" i="11"/>
  <c r="Q62" i="9"/>
  <c r="J111" i="9"/>
  <c r="Y16" i="11"/>
  <c r="K43" i="9"/>
  <c r="AB6" i="11"/>
  <c r="L45" i="9"/>
  <c r="M26" i="11"/>
  <c r="V25" i="11"/>
  <c r="AA23" i="11"/>
  <c r="M77" i="9"/>
  <c r="M19" i="9"/>
  <c r="Q106" i="9"/>
  <c r="L5" i="11"/>
  <c r="O88" i="9"/>
  <c r="P10" i="9"/>
  <c r="AC43" i="9"/>
  <c r="Z25" i="11"/>
  <c r="Q22" i="11"/>
  <c r="O117" i="9"/>
  <c r="AA6" i="11"/>
  <c r="K94" i="9"/>
  <c r="O25" i="11"/>
  <c r="G18" i="11"/>
  <c r="P21" i="9"/>
  <c r="X11" i="11"/>
  <c r="L87" i="9"/>
  <c r="P92" i="9"/>
  <c r="W73" i="9"/>
  <c r="L19" i="11"/>
  <c r="AD25" i="11"/>
  <c r="U12" i="11"/>
  <c r="F63" i="9"/>
  <c r="M105" i="9"/>
  <c r="G81" i="9"/>
  <c r="X27" i="9"/>
  <c r="Q23" i="11"/>
  <c r="W20" i="11"/>
  <c r="M55" i="9"/>
  <c r="M12" i="11"/>
  <c r="M8" i="11"/>
  <c r="N58" i="9"/>
  <c r="P24" i="11"/>
  <c r="K138" i="9"/>
  <c r="Z112" i="9"/>
  <c r="Y11" i="11"/>
  <c r="H10" i="11"/>
  <c r="Q79" i="9"/>
  <c r="P79" i="9"/>
  <c r="V78" i="9"/>
  <c r="P73" i="9"/>
  <c r="M57" i="9"/>
  <c r="F80" i="9"/>
  <c r="AA26" i="11"/>
  <c r="AD27" i="11"/>
  <c r="N7" i="11"/>
  <c r="Z14" i="9"/>
  <c r="N18" i="11"/>
  <c r="N15" i="9"/>
  <c r="G83" i="9"/>
  <c r="O65" i="9"/>
  <c r="G20" i="11"/>
  <c r="N8" i="9"/>
  <c r="M64" i="9"/>
  <c r="AD13" i="9"/>
  <c r="AD8" i="11"/>
  <c r="P13" i="9"/>
  <c r="AC13" i="11"/>
  <c r="F18" i="11"/>
  <c r="F99" i="9"/>
  <c r="W85" i="9"/>
  <c r="AC25" i="11"/>
  <c r="P45" i="9"/>
  <c r="P31" i="9"/>
  <c r="J56" i="9"/>
  <c r="Q26" i="11"/>
  <c r="K103" i="9"/>
  <c r="Q6" i="11"/>
  <c r="F10" i="11"/>
  <c r="Q67" i="9"/>
  <c r="L105" i="9"/>
  <c r="M119" i="9"/>
  <c r="K32" i="9"/>
  <c r="M123" i="9"/>
  <c r="L124" i="9"/>
  <c r="P94" i="9"/>
  <c r="Q20" i="11"/>
  <c r="O118" i="9"/>
  <c r="O12" i="11"/>
  <c r="L13" i="11"/>
  <c r="AE16" i="11"/>
  <c r="N9" i="9"/>
  <c r="P16" i="9"/>
  <c r="AE24" i="11"/>
  <c r="G47" i="9"/>
  <c r="Q22" i="9"/>
  <c r="AE9" i="11"/>
  <c r="Y12" i="11"/>
  <c r="L23" i="9"/>
  <c r="G24" i="11"/>
  <c r="P34" i="9"/>
  <c r="O10" i="11"/>
  <c r="V5" i="11"/>
  <c r="O30" i="9"/>
  <c r="M22" i="9"/>
  <c r="M20" i="11"/>
  <c r="O90" i="9"/>
  <c r="AD18" i="11"/>
  <c r="N106" i="9"/>
  <c r="N13" i="9"/>
  <c r="AE26" i="11"/>
  <c r="K51" i="9"/>
  <c r="V24" i="11"/>
  <c r="P64" i="9"/>
  <c r="Z26" i="11"/>
  <c r="O16" i="9"/>
  <c r="O31" i="9"/>
  <c r="K80" i="9"/>
  <c r="L14" i="11"/>
  <c r="AC10" i="11"/>
  <c r="K19" i="11"/>
  <c r="Z21" i="11"/>
  <c r="AE13" i="11"/>
  <c r="L103" i="9"/>
  <c r="X7" i="11"/>
  <c r="P76" i="9"/>
  <c r="N138" i="9"/>
  <c r="AD19" i="11"/>
  <c r="G19" i="11"/>
  <c r="P20" i="9"/>
  <c r="N10" i="11"/>
  <c r="J77" i="9"/>
  <c r="Z121" i="9"/>
  <c r="X13" i="11"/>
  <c r="AC19" i="11"/>
  <c r="O11" i="11"/>
  <c r="AC15" i="11"/>
  <c r="N60" i="9"/>
  <c r="Q116" i="9"/>
  <c r="I15" i="11"/>
  <c r="L42" i="9"/>
  <c r="L111" i="9"/>
  <c r="P19" i="11"/>
  <c r="V13" i="11"/>
  <c r="O84" i="9"/>
  <c r="K91" i="9"/>
  <c r="L18" i="9"/>
  <c r="M24" i="11"/>
  <c r="P20" i="11"/>
  <c r="P54" i="9"/>
  <c r="Q25" i="9"/>
  <c r="Q10" i="11"/>
  <c r="Y20" i="11"/>
  <c r="AB87" i="9"/>
  <c r="V20" i="11"/>
  <c r="T7" i="11"/>
  <c r="Q45" i="9"/>
  <c r="AE12" i="11"/>
  <c r="F5" i="11"/>
  <c r="K116" i="9"/>
  <c r="Q28" i="9"/>
  <c r="T21" i="11"/>
  <c r="AA17" i="11"/>
  <c r="Q59" i="9"/>
  <c r="AA30" i="9"/>
  <c r="N98" i="9"/>
  <c r="Q12" i="9"/>
  <c r="F17" i="9"/>
  <c r="O78" i="9"/>
  <c r="K134" i="9"/>
  <c r="T78" i="9"/>
  <c r="M23" i="11"/>
  <c r="Y41" i="9"/>
  <c r="P127" i="9"/>
  <c r="O131" i="9"/>
  <c r="Y7" i="11"/>
  <c r="N17" i="11"/>
  <c r="O21" i="11"/>
  <c r="AE79" i="9"/>
  <c r="AA22" i="11"/>
  <c r="F15" i="11"/>
  <c r="AB122" i="9"/>
  <c r="X25" i="11"/>
  <c r="M21" i="9"/>
  <c r="K18" i="9"/>
  <c r="AD5" i="11"/>
  <c r="K109" i="9"/>
  <c r="K12" i="9"/>
  <c r="H73" i="9"/>
  <c r="H27" i="11"/>
  <c r="AE19" i="11"/>
  <c r="J84" i="9"/>
  <c r="L53" i="9"/>
  <c r="K97" i="9"/>
  <c r="L24" i="11"/>
  <c r="U5" i="11"/>
  <c r="X35" i="9"/>
  <c r="M9" i="11"/>
  <c r="Z104" i="9"/>
  <c r="P13" i="11"/>
  <c r="Q19" i="11"/>
  <c r="O67" i="9"/>
  <c r="T23" i="11"/>
  <c r="O112" i="9"/>
  <c r="X5" i="11"/>
  <c r="I96" i="9"/>
  <c r="I16" i="11"/>
  <c r="N115" i="9"/>
  <c r="AC20" i="11"/>
  <c r="V125" i="9"/>
  <c r="H23" i="11"/>
  <c r="Y9" i="11"/>
  <c r="AA68" i="9"/>
  <c r="O62" i="9"/>
  <c r="M44" i="9"/>
  <c r="AB25" i="11"/>
  <c r="W23" i="11"/>
  <c r="U19" i="11"/>
  <c r="V17" i="11"/>
  <c r="X10" i="11"/>
  <c r="O92" i="9"/>
  <c r="AC21" i="11"/>
  <c r="N5" i="11"/>
  <c r="M106" i="9"/>
  <c r="N12" i="11"/>
  <c r="G13" i="11"/>
  <c r="J19" i="9"/>
  <c r="Q54" i="9"/>
  <c r="X12" i="11"/>
  <c r="G22" i="11"/>
  <c r="L137" i="9"/>
  <c r="U26" i="11"/>
  <c r="P43" i="9"/>
  <c r="P134" i="9"/>
  <c r="AC5" i="11"/>
  <c r="N88" i="9"/>
  <c r="X18" i="11"/>
  <c r="P46" i="9"/>
  <c r="K5" i="11"/>
  <c r="M104" i="9"/>
  <c r="Y76" i="9"/>
  <c r="L56" i="9"/>
  <c r="P53" i="9"/>
  <c r="M14" i="11"/>
  <c r="T5" i="11"/>
  <c r="W5" i="9"/>
  <c r="N53" i="9"/>
  <c r="L11" i="11"/>
  <c r="U118" i="9"/>
  <c r="AE80" i="9"/>
  <c r="K10" i="11"/>
  <c r="H22" i="11"/>
  <c r="N64" i="9"/>
  <c r="U23" i="11"/>
  <c r="K127" i="9"/>
  <c r="O100" i="9"/>
  <c r="K76" i="9"/>
  <c r="M60" i="9"/>
  <c r="AD14" i="11"/>
  <c r="N82" i="9"/>
  <c r="H9" i="11"/>
  <c r="Q14" i="9"/>
  <c r="AB15" i="11"/>
  <c r="L17" i="11"/>
  <c r="U25" i="11"/>
  <c r="AA11" i="11"/>
  <c r="AB18" i="11"/>
  <c r="U10" i="11"/>
  <c r="M10" i="9"/>
  <c r="L116" i="9"/>
  <c r="P6" i="11"/>
  <c r="M21" i="11"/>
  <c r="L114" i="9"/>
  <c r="AC11" i="9"/>
  <c r="AA13" i="11"/>
  <c r="P15" i="11"/>
  <c r="Z13" i="11"/>
  <c r="M65" i="9"/>
  <c r="L113" i="9"/>
  <c r="M90" i="9"/>
  <c r="AB9" i="11"/>
  <c r="Y10" i="9"/>
  <c r="AD130" i="9"/>
  <c r="Y111" i="9"/>
  <c r="M18" i="11"/>
  <c r="N14" i="11"/>
  <c r="Y26" i="11"/>
  <c r="L93" i="9"/>
  <c r="Q21" i="9"/>
  <c r="I21" i="9"/>
  <c r="K52" i="9"/>
  <c r="X26" i="11"/>
  <c r="T16" i="11"/>
  <c r="O134" i="9"/>
  <c r="V10" i="11"/>
  <c r="Q10" i="9"/>
  <c r="X117" i="9"/>
  <c r="V101" i="9"/>
  <c r="N34" i="9"/>
  <c r="K8" i="11"/>
  <c r="W13" i="11"/>
  <c r="W7" i="11"/>
  <c r="K7" i="11"/>
  <c r="N23" i="11"/>
  <c r="AE15" i="11"/>
  <c r="AA15" i="11"/>
  <c r="Z27" i="11"/>
  <c r="F19" i="9"/>
  <c r="U8" i="11"/>
  <c r="O109" i="9"/>
  <c r="H21" i="11"/>
  <c r="Y6" i="11"/>
  <c r="I8" i="11"/>
  <c r="AE5" i="11"/>
  <c r="G18" i="9"/>
  <c r="G16" i="11"/>
  <c r="K14" i="11"/>
  <c r="H15" i="11"/>
  <c r="AB21" i="11"/>
  <c r="X34" i="9"/>
  <c r="P81" i="9"/>
  <c r="G48" i="9"/>
  <c r="W84" i="9"/>
  <c r="P56" i="9"/>
  <c r="I19" i="11"/>
  <c r="K11" i="11"/>
  <c r="H5" i="11"/>
  <c r="Y5" i="11"/>
  <c r="J116" i="9"/>
  <c r="I119" i="9"/>
  <c r="AA14" i="11"/>
  <c r="AC8" i="11"/>
  <c r="AC24" i="11"/>
  <c r="H24" i="11"/>
  <c r="Z6" i="11"/>
  <c r="AB21" i="9"/>
  <c r="K6" i="11"/>
  <c r="N27" i="11"/>
  <c r="Z23" i="11"/>
  <c r="H26" i="9"/>
  <c r="P27" i="11"/>
  <c r="I13" i="11"/>
  <c r="J36" i="9"/>
  <c r="AA66" i="9"/>
  <c r="L65" i="9"/>
  <c r="Z18" i="9"/>
  <c r="Q105" i="9"/>
  <c r="F43" i="9"/>
  <c r="N102" i="9"/>
  <c r="H122" i="9"/>
  <c r="T8" i="11"/>
  <c r="AB8" i="11"/>
  <c r="W24" i="11"/>
  <c r="G23" i="11"/>
  <c r="K130" i="9"/>
  <c r="J67" i="9"/>
  <c r="W15" i="11"/>
  <c r="N95" i="9"/>
  <c r="N7" i="9"/>
  <c r="X17" i="9"/>
  <c r="O16" i="11"/>
  <c r="K78" i="9"/>
  <c r="AE27" i="11"/>
  <c r="H112" i="9"/>
  <c r="P12" i="11"/>
  <c r="W9" i="11"/>
  <c r="T19" i="11"/>
  <c r="AD7" i="11"/>
  <c r="H80" i="9"/>
  <c r="P106" i="9"/>
  <c r="K39" i="9"/>
  <c r="O73" i="9"/>
  <c r="G8" i="11"/>
  <c r="AC7" i="11"/>
  <c r="M7" i="11"/>
  <c r="I111" i="9"/>
  <c r="F16" i="11"/>
  <c r="O103" i="9"/>
  <c r="T12" i="11"/>
  <c r="J39" i="9"/>
  <c r="F9" i="11"/>
  <c r="M14" i="9"/>
  <c r="N112" i="9"/>
  <c r="P11" i="11"/>
  <c r="O6" i="11"/>
  <c r="O7" i="9"/>
  <c r="N27" i="9"/>
  <c r="V26" i="11"/>
  <c r="X24" i="9"/>
  <c r="Q5" i="9"/>
  <c r="G137" i="9"/>
  <c r="V14" i="11"/>
  <c r="F23" i="11"/>
  <c r="J106" i="9"/>
  <c r="Q85" i="9"/>
  <c r="J20" i="9"/>
  <c r="K142" i="9"/>
  <c r="AC17" i="11"/>
  <c r="L92" i="9"/>
  <c r="P95" i="9"/>
  <c r="U20" i="11"/>
  <c r="AE6" i="11"/>
  <c r="M42" i="9"/>
  <c r="M87" i="9"/>
  <c r="M91" i="9"/>
  <c r="F6" i="11"/>
  <c r="X8" i="11"/>
  <c r="N6" i="11"/>
  <c r="N119" i="9"/>
  <c r="N47" i="9"/>
  <c r="L18" i="11"/>
  <c r="G15" i="11"/>
  <c r="O15" i="11"/>
  <c r="AD10" i="11"/>
  <c r="W11" i="11"/>
  <c r="K9" i="11"/>
  <c r="F27" i="11"/>
  <c r="AB26" i="11"/>
  <c r="X104" i="9"/>
  <c r="Q107" i="9"/>
  <c r="P22" i="9"/>
  <c r="Q120" i="9"/>
  <c r="AB24" i="11"/>
  <c r="K15" i="9"/>
  <c r="Q73" i="9"/>
  <c r="P25" i="11"/>
  <c r="AE14" i="11"/>
  <c r="O126" i="9"/>
  <c r="L122" i="9"/>
  <c r="T25" i="11"/>
  <c r="M5" i="11"/>
  <c r="H62" i="9"/>
  <c r="T26" i="11"/>
  <c r="P85" i="9"/>
  <c r="AC83" i="9"/>
  <c r="Q8" i="11"/>
  <c r="L117" i="9"/>
  <c r="O116" i="9"/>
  <c r="N24" i="11"/>
  <c r="P14" i="9"/>
  <c r="F91" i="9"/>
  <c r="AC22" i="11"/>
  <c r="H20" i="11"/>
  <c r="V60" i="9"/>
  <c r="H13" i="11"/>
  <c r="X19" i="11"/>
  <c r="O107" i="9"/>
  <c r="L37" i="9"/>
  <c r="L25" i="11"/>
  <c r="O111" i="9"/>
  <c r="M98" i="9"/>
  <c r="X27" i="11"/>
  <c r="L27" i="11"/>
  <c r="L15" i="11"/>
  <c r="O27" i="11"/>
  <c r="Q123" i="9"/>
  <c r="L8" i="9"/>
  <c r="AB103" i="9"/>
  <c r="O137" i="9"/>
  <c r="Q27" i="11"/>
  <c r="K129" i="9"/>
  <c r="F21" i="9"/>
  <c r="K115" i="9"/>
  <c r="Y23" i="11"/>
  <c r="Z17" i="11"/>
  <c r="W10" i="11"/>
  <c r="AC18" i="11"/>
  <c r="Y13" i="11"/>
  <c r="O129" i="9"/>
  <c r="T17" i="11"/>
  <c r="M16" i="11"/>
  <c r="W112" i="9"/>
  <c r="K21" i="11"/>
  <c r="X23" i="11"/>
  <c r="T9" i="11"/>
  <c r="U5" i="9"/>
  <c r="M32" i="9"/>
  <c r="AB11" i="11"/>
  <c r="T71" i="9"/>
  <c r="K23" i="9"/>
  <c r="T22" i="11"/>
  <c r="AC42" i="9"/>
  <c r="Z12" i="11"/>
  <c r="Q119" i="9"/>
  <c r="AC26" i="11"/>
  <c r="N29" i="9"/>
  <c r="L32" i="9"/>
  <c r="F25" i="11"/>
  <c r="V18" i="11"/>
  <c r="AD81" i="9"/>
  <c r="J81" i="9"/>
  <c r="Y142" i="9"/>
  <c r="L16" i="11"/>
  <c r="G6" i="11"/>
  <c r="J53" i="9"/>
  <c r="Q86" i="9"/>
  <c r="Q38" i="9"/>
  <c r="T46" i="9"/>
  <c r="W14" i="11"/>
  <c r="AD107" i="9"/>
  <c r="AD16" i="11"/>
  <c r="AA16" i="11"/>
  <c r="G12" i="11"/>
  <c r="O24" i="9"/>
  <c r="Q83" i="9"/>
  <c r="AA25" i="11"/>
  <c r="P24" i="9"/>
  <c r="F22" i="11"/>
  <c r="V108" i="9"/>
  <c r="AD23" i="11"/>
  <c r="N92" i="9"/>
  <c r="T20" i="11"/>
  <c r="L123" i="9"/>
  <c r="M23" i="9"/>
  <c r="L23" i="11"/>
  <c r="L28" i="9"/>
  <c r="P87" i="9"/>
  <c r="W17" i="11"/>
  <c r="N23" i="9"/>
  <c r="O71" i="9"/>
  <c r="Q11" i="9"/>
  <c r="I87" i="9"/>
  <c r="O32" i="9"/>
  <c r="AB10" i="11"/>
  <c r="L29" i="9"/>
  <c r="P98" i="9"/>
  <c r="T24" i="11"/>
  <c r="AA21" i="11"/>
  <c r="Y27" i="11"/>
  <c r="O24" i="11"/>
  <c r="P16" i="11"/>
  <c r="Q11" i="11"/>
  <c r="P10" i="11"/>
  <c r="Q135" i="9"/>
  <c r="L20" i="9"/>
  <c r="Q51" i="9"/>
  <c r="M22" i="11"/>
  <c r="P142" i="9"/>
  <c r="Q95" i="9"/>
  <c r="AA12" i="11"/>
  <c r="W5" i="11"/>
  <c r="M19" i="11"/>
  <c r="U7" i="11"/>
  <c r="I7" i="11"/>
  <c r="AA18" i="11"/>
  <c r="P22" i="11"/>
  <c r="M120" i="9"/>
  <c r="T27" i="11"/>
  <c r="F24" i="11"/>
  <c r="I24" i="11"/>
  <c r="N130" i="9"/>
  <c r="K27" i="11"/>
  <c r="P68" i="9"/>
  <c r="K12" i="11"/>
  <c r="W22" i="11"/>
  <c r="O17" i="11"/>
  <c r="L142" i="9"/>
  <c r="O99" i="9"/>
  <c r="L73" i="9"/>
  <c r="V8" i="11"/>
  <c r="AD28" i="9"/>
  <c r="Z22" i="11"/>
  <c r="AA24" i="11"/>
  <c r="Z5" i="11"/>
  <c r="N21" i="9"/>
  <c r="AC94" i="9"/>
  <c r="H25" i="11"/>
  <c r="Y18" i="11"/>
  <c r="X21" i="9"/>
  <c r="AD15" i="11"/>
  <c r="T18" i="11"/>
  <c r="Z9" i="11"/>
  <c r="F111" i="9"/>
  <c r="L75" i="9"/>
  <c r="O20" i="11"/>
  <c r="M15" i="9"/>
  <c r="N72" i="9"/>
  <c r="W21" i="11"/>
  <c r="P32" i="9"/>
  <c r="O102" i="9"/>
  <c r="J129" i="9"/>
  <c r="AA27" i="11"/>
  <c r="Q14" i="11"/>
  <c r="T13" i="11"/>
  <c r="M40" i="9"/>
  <c r="K69" i="9"/>
  <c r="G26" i="11"/>
  <c r="K28" i="9"/>
  <c r="Q102" i="9"/>
  <c r="P62" i="9"/>
  <c r="W27" i="11"/>
  <c r="Q31" i="9"/>
  <c r="G9" i="11"/>
  <c r="AE11" i="11"/>
  <c r="K15" i="11"/>
  <c r="P122" i="9"/>
  <c r="P55" i="9"/>
  <c r="K13" i="11"/>
  <c r="X15" i="11"/>
  <c r="O22" i="11"/>
  <c r="P8" i="11"/>
  <c r="U16" i="11"/>
  <c r="K24" i="11"/>
  <c r="AF13" i="11" l="1"/>
  <c r="AF18" i="11"/>
  <c r="AF27" i="11"/>
  <c r="AF24" i="11"/>
  <c r="AF20" i="11"/>
  <c r="AF46" i="9"/>
  <c r="AF22" i="11"/>
  <c r="AF9" i="11"/>
  <c r="AF17" i="11"/>
  <c r="AF26" i="11"/>
  <c r="AF25" i="11"/>
  <c r="AF12" i="11"/>
  <c r="AF19" i="11"/>
  <c r="AF8" i="11"/>
  <c r="AF16" i="11"/>
  <c r="AF5" i="11"/>
  <c r="AF23" i="11"/>
  <c r="AF21" i="11"/>
  <c r="AF7" i="11"/>
  <c r="R99" i="9"/>
  <c r="AF15" i="11"/>
  <c r="AF14" i="11"/>
  <c r="AF6" i="11"/>
  <c r="R46" i="9"/>
  <c r="AF10" i="11"/>
  <c r="R23" i="9"/>
  <c r="AF11" i="11"/>
  <c r="R98" i="9"/>
  <c r="R138" i="9"/>
  <c r="AG138" i="9" s="1"/>
  <c r="AF23" i="9"/>
  <c r="R140" i="9"/>
  <c r="S140" i="9" s="1"/>
  <c r="AF99" i="9"/>
  <c r="R139" i="9"/>
  <c r="AG139" i="9" s="1"/>
  <c r="AF98" i="9"/>
  <c r="F148" i="9"/>
  <c r="G148" i="9" s="1"/>
  <c r="H148" i="9" s="1"/>
  <c r="I148" i="9" s="1"/>
  <c r="J148" i="9" s="1"/>
  <c r="F147" i="9"/>
  <c r="G147" i="9" s="1"/>
  <c r="H147" i="9" s="1"/>
  <c r="I147" i="9" s="1"/>
  <c r="J147" i="9" s="1"/>
  <c r="F150" i="9"/>
  <c r="G150" i="9" s="1"/>
  <c r="H150" i="9" s="1"/>
  <c r="I150" i="9" s="1"/>
  <c r="J150" i="9" s="1"/>
  <c r="F146" i="9"/>
  <c r="G146" i="9" s="1"/>
  <c r="H146" i="9" s="1"/>
  <c r="I146" i="9" s="1"/>
  <c r="J146" i="9" s="1"/>
  <c r="F151" i="9"/>
  <c r="G151" i="9" s="1"/>
  <c r="H151" i="9" s="1"/>
  <c r="I151" i="9" s="1"/>
  <c r="J151" i="9" s="1"/>
  <c r="F149" i="9"/>
  <c r="G149" i="9" s="1"/>
  <c r="H149" i="9" s="1"/>
  <c r="I149" i="9" s="1"/>
  <c r="J149" i="9" s="1"/>
  <c r="AF138" i="9"/>
  <c r="BM71" i="3"/>
  <c r="BL71" i="3"/>
  <c r="BK71" i="3"/>
  <c r="BJ71" i="3"/>
  <c r="DZ68" i="3"/>
  <c r="BP71" i="3"/>
  <c r="AG46" i="9"/>
  <c r="S46" i="9"/>
  <c r="S139" i="9"/>
  <c r="S98" i="9"/>
  <c r="S99" i="9"/>
  <c r="AG99" i="9"/>
  <c r="S23" i="9"/>
  <c r="EB71" i="3"/>
  <c r="EC71" i="3"/>
  <c r="BI71" i="3"/>
  <c r="BH71" i="3"/>
  <c r="DW71" i="3"/>
  <c r="BO79" i="1"/>
  <c r="BN79" i="1"/>
  <c r="BQ79" i="1"/>
  <c r="BM79" i="1"/>
  <c r="BP79" i="1"/>
  <c r="BL79" i="1"/>
  <c r="BO75" i="1"/>
  <c r="BL75" i="1"/>
  <c r="BN75" i="1"/>
  <c r="BQ75" i="1"/>
  <c r="BP75" i="1"/>
  <c r="BM75" i="1"/>
  <c r="BM73" i="1"/>
  <c r="BL73" i="1"/>
  <c r="BO73" i="1"/>
  <c r="BP73" i="1"/>
  <c r="BN73" i="1"/>
  <c r="BQ73" i="1"/>
  <c r="BL74" i="1"/>
  <c r="BP74" i="1"/>
  <c r="BQ74" i="1"/>
  <c r="BM74" i="1"/>
  <c r="BN74" i="1"/>
  <c r="BO74" i="1"/>
  <c r="BL78" i="1"/>
  <c r="BM78" i="1"/>
  <c r="BP78" i="1"/>
  <c r="BQ78" i="1"/>
  <c r="BO78" i="1"/>
  <c r="BN78" i="1"/>
  <c r="S138" i="9" l="1"/>
  <c r="AG140" i="9"/>
  <c r="AG23" i="9"/>
  <c r="EA68" i="3"/>
  <c r="EA71" i="3" s="1"/>
  <c r="DZ71" i="3"/>
  <c r="AG98" i="9"/>
  <c r="N79" i="1"/>
  <c r="N75" i="1"/>
  <c r="N78" i="1"/>
  <c r="N74" i="1"/>
  <c r="N73" i="1"/>
  <c r="O351" i="2"/>
  <c r="N9" i="5"/>
  <c r="N243" i="5"/>
  <c r="N135" i="5"/>
  <c r="N87" i="5"/>
  <c r="N238" i="5"/>
  <c r="N130" i="5"/>
  <c r="N249" i="5"/>
  <c r="N6" i="5"/>
  <c r="N83" i="5"/>
  <c r="N244" i="5"/>
  <c r="N136" i="5"/>
  <c r="N88" i="5"/>
  <c r="N239" i="5"/>
  <c r="N131" i="5"/>
  <c r="N7" i="5"/>
  <c r="N84" i="5"/>
  <c r="N245" i="5"/>
  <c r="N240" i="5"/>
  <c r="N132" i="5"/>
  <c r="N89" i="5"/>
  <c r="N91" i="5"/>
  <c r="N108" i="5"/>
  <c r="N8" i="5"/>
  <c r="N85" i="5"/>
  <c r="N246" i="5"/>
  <c r="N126" i="5"/>
  <c r="N3" i="5"/>
  <c r="N241" i="5"/>
  <c r="N133" i="5"/>
  <c r="N137" i="5"/>
  <c r="N86" i="5"/>
  <c r="N247" i="5"/>
  <c r="N90" i="5"/>
  <c r="N93" i="5"/>
  <c r="N129" i="5"/>
  <c r="N127" i="5"/>
  <c r="N4" i="5"/>
  <c r="N81" i="5"/>
  <c r="N242" i="5"/>
  <c r="N134" i="5"/>
  <c r="N237" i="5"/>
  <c r="N138" i="5"/>
  <c r="N248" i="5"/>
  <c r="N128" i="5"/>
  <c r="N5" i="5"/>
  <c r="N82" i="5"/>
  <c r="N92" i="5"/>
  <c r="BN351" i="2" l="1"/>
  <c r="BP351" i="2"/>
  <c r="BL351" i="2"/>
  <c r="BO351" i="2"/>
  <c r="BQ351" i="2"/>
  <c r="BM351" i="2"/>
  <c r="N112" i="5"/>
  <c r="N118" i="5"/>
  <c r="N235" i="5"/>
  <c r="N117" i="5"/>
  <c r="N228" i="5"/>
  <c r="N102" i="5"/>
  <c r="N103" i="5"/>
  <c r="N227" i="5"/>
  <c r="N223" i="5"/>
  <c r="N222" i="5"/>
  <c r="N221" i="5"/>
  <c r="N224" i="5"/>
  <c r="N115" i="5"/>
  <c r="N107" i="5"/>
  <c r="N236" i="5"/>
  <c r="N230" i="5"/>
  <c r="N234" i="5"/>
  <c r="N225" i="5"/>
  <c r="N106" i="5"/>
  <c r="N104" i="5"/>
  <c r="N109" i="5"/>
  <c r="N231" i="5"/>
  <c r="N114" i="5"/>
  <c r="N226" i="5"/>
  <c r="N229" i="5"/>
  <c r="N232" i="5"/>
  <c r="N233" i="5"/>
  <c r="N110" i="5"/>
  <c r="N111" i="5"/>
  <c r="N94" i="5"/>
  <c r="N116" i="5"/>
  <c r="N105" i="5"/>
  <c r="N95" i="5"/>
  <c r="N113" i="5"/>
  <c r="N119" i="5"/>
  <c r="N348" i="2" l="1"/>
  <c r="N341" i="2"/>
  <c r="N345" i="2"/>
  <c r="N347" i="2"/>
  <c r="N342" i="2"/>
  <c r="N349" i="2"/>
  <c r="N346" i="2"/>
  <c r="N344" i="2" l="1"/>
  <c r="N351" i="2"/>
  <c r="N335" i="2"/>
  <c r="N340" i="2"/>
  <c r="N337" i="2" l="1"/>
  <c r="N338" i="2"/>
  <c r="N339" i="2"/>
  <c r="N336" i="2"/>
  <c r="N333" i="2"/>
  <c r="N332" i="2"/>
  <c r="J10" i="11"/>
  <c r="J18" i="11"/>
  <c r="J8" i="11"/>
  <c r="J9" i="11"/>
  <c r="J26" i="11"/>
  <c r="J22" i="11"/>
  <c r="J24" i="11"/>
  <c r="J15" i="11"/>
  <c r="J25" i="11"/>
  <c r="J17" i="11"/>
  <c r="J13" i="11"/>
  <c r="J23" i="11"/>
  <c r="J12" i="11"/>
  <c r="J27" i="11"/>
  <c r="J21" i="11"/>
  <c r="J19" i="11"/>
  <c r="J7" i="11"/>
  <c r="J6" i="11"/>
  <c r="J20" i="11"/>
  <c r="J14" i="11"/>
  <c r="J11" i="11"/>
  <c r="J5" i="11"/>
  <c r="J16" i="11"/>
  <c r="R20" i="11" l="1"/>
  <c r="R7" i="11"/>
  <c r="R10" i="11"/>
  <c r="R11" i="11"/>
  <c r="R22" i="11"/>
  <c r="R23" i="11"/>
  <c r="R16" i="11"/>
  <c r="R26" i="11"/>
  <c r="R19" i="11"/>
  <c r="R5" i="11"/>
  <c r="R9" i="11"/>
  <c r="R24" i="11"/>
  <c r="R6" i="11"/>
  <c r="R18" i="11"/>
  <c r="R21" i="11"/>
  <c r="R27" i="11"/>
  <c r="R17" i="11"/>
  <c r="R15" i="11"/>
  <c r="R8" i="11"/>
  <c r="R25" i="11"/>
  <c r="R12" i="11"/>
  <c r="R14" i="11"/>
  <c r="R13" i="11"/>
  <c r="S18" i="11" l="1"/>
  <c r="AG18" i="11"/>
  <c r="S23" i="11"/>
  <c r="AG23" i="11"/>
  <c r="AG22" i="11"/>
  <c r="S22" i="11"/>
  <c r="S20" i="11"/>
  <c r="AG20" i="11"/>
  <c r="AG13" i="11"/>
  <c r="S13" i="11"/>
  <c r="S25" i="11"/>
  <c r="AG25" i="11"/>
  <c r="AG27" i="11"/>
  <c r="S27" i="11"/>
  <c r="S14" i="11"/>
  <c r="AG14" i="11"/>
  <c r="S21" i="11"/>
  <c r="AG21" i="11"/>
  <c r="S6" i="11"/>
  <c r="AG6" i="11"/>
  <c r="S9" i="11"/>
  <c r="AG9" i="11"/>
  <c r="S5" i="11"/>
  <c r="AG5" i="11"/>
  <c r="AG11" i="11"/>
  <c r="S11" i="11"/>
  <c r="S17" i="11"/>
  <c r="AG17" i="11"/>
  <c r="S24" i="11"/>
  <c r="AG24" i="11"/>
  <c r="S10" i="11"/>
  <c r="AG10" i="11"/>
  <c r="S12" i="11"/>
  <c r="AG12" i="11"/>
  <c r="AG8" i="11"/>
  <c r="S8" i="11"/>
  <c r="S15" i="11"/>
  <c r="AG15" i="11"/>
  <c r="S19" i="11"/>
  <c r="AG19" i="11"/>
  <c r="AG26" i="11"/>
  <c r="S26" i="11"/>
  <c r="AG16" i="11"/>
  <c r="S16" i="11"/>
  <c r="AG7" i="11"/>
  <c r="S7" i="11"/>
  <c r="R116" i="9"/>
  <c r="R8" i="9"/>
  <c r="R101" i="9"/>
  <c r="R126" i="9"/>
  <c r="R27" i="9"/>
  <c r="R9" i="9"/>
  <c r="R12" i="9"/>
  <c r="R42" i="9"/>
  <c r="R81" i="9"/>
  <c r="R104" i="9"/>
  <c r="R122" i="9"/>
  <c r="R131" i="9"/>
  <c r="R115" i="9"/>
  <c r="R24" i="9"/>
  <c r="R14" i="9"/>
  <c r="R34" i="9"/>
  <c r="R5" i="9"/>
  <c r="R112" i="9"/>
  <c r="R121" i="9"/>
  <c r="R114" i="9"/>
  <c r="R70" i="9"/>
  <c r="R55" i="9"/>
  <c r="R69" i="9"/>
  <c r="R133" i="9"/>
  <c r="R73" i="9"/>
  <c r="R52" i="9"/>
  <c r="R62" i="9"/>
  <c r="R130" i="9"/>
  <c r="R38" i="9"/>
  <c r="R78" i="9"/>
  <c r="R25" i="9"/>
  <c r="R87" i="9"/>
  <c r="R117" i="9"/>
  <c r="R71" i="9"/>
  <c r="R21" i="9"/>
  <c r="R15" i="9"/>
  <c r="R136" i="9"/>
  <c r="R31" i="9"/>
  <c r="R84" i="9"/>
  <c r="R128" i="9"/>
  <c r="R123" i="9"/>
  <c r="R102" i="9"/>
  <c r="R94" i="9"/>
  <c r="R7" i="9"/>
  <c r="R67" i="9"/>
  <c r="R68" i="9"/>
  <c r="R17" i="9"/>
  <c r="R86" i="9"/>
  <c r="R40" i="9"/>
  <c r="R83" i="9"/>
  <c r="R103" i="9"/>
  <c r="R132" i="9"/>
  <c r="R60" i="9"/>
  <c r="R96" i="9"/>
  <c r="R43" i="9"/>
  <c r="R106" i="9"/>
  <c r="R19" i="9"/>
  <c r="R47" i="9"/>
  <c r="R45" i="9"/>
  <c r="R33" i="9"/>
  <c r="R36" i="9"/>
  <c r="R41" i="9"/>
  <c r="R6" i="9"/>
  <c r="R79" i="9"/>
  <c r="R16" i="9"/>
  <c r="R66" i="9"/>
  <c r="R30" i="9"/>
  <c r="R120" i="9"/>
  <c r="R53" i="9"/>
  <c r="R113" i="9"/>
  <c r="R110" i="9"/>
  <c r="R39" i="9"/>
  <c r="R54" i="9"/>
  <c r="R85" i="9"/>
  <c r="R35" i="9"/>
  <c r="R13" i="9"/>
  <c r="R10" i="9"/>
  <c r="R119" i="9"/>
  <c r="R135" i="9"/>
  <c r="R22" i="9"/>
  <c r="R32" i="9"/>
  <c r="R92" i="9"/>
  <c r="R75" i="9"/>
  <c r="R111" i="9"/>
  <c r="R109" i="9"/>
  <c r="R141" i="9"/>
  <c r="R91" i="9"/>
  <c r="R105" i="9"/>
  <c r="R118" i="9"/>
  <c r="R97" i="9"/>
  <c r="R64" i="9"/>
  <c r="R95" i="9"/>
  <c r="R93" i="9"/>
  <c r="R59" i="9"/>
  <c r="R76" i="9"/>
  <c r="R28" i="9"/>
  <c r="R107" i="9"/>
  <c r="R125" i="9"/>
  <c r="R134" i="9"/>
  <c r="R90" i="9"/>
  <c r="R65" i="9"/>
  <c r="R11" i="9"/>
  <c r="AF96" i="9"/>
  <c r="AF81" i="9"/>
  <c r="R82" i="9"/>
  <c r="AF82" i="9"/>
  <c r="AF54" i="9"/>
  <c r="AF24" i="9"/>
  <c r="AF118" i="9"/>
  <c r="AF15" i="9"/>
  <c r="AF7" i="9"/>
  <c r="R18" i="9"/>
  <c r="AF18" i="9"/>
  <c r="AF66" i="9"/>
  <c r="AF16" i="9"/>
  <c r="AF79" i="9"/>
  <c r="AF75" i="9"/>
  <c r="R72" i="9"/>
  <c r="AF72" i="9"/>
  <c r="AF28" i="9"/>
  <c r="R20" i="9"/>
  <c r="AF20" i="9"/>
  <c r="R108" i="9"/>
  <c r="AF108" i="9"/>
  <c r="AF122" i="9"/>
  <c r="AF95" i="9"/>
  <c r="AF136" i="9"/>
  <c r="R137" i="9"/>
  <c r="AF137" i="9"/>
  <c r="AF31" i="9"/>
  <c r="AF102" i="9"/>
  <c r="AF55" i="9"/>
  <c r="AF12" i="9"/>
  <c r="AF36" i="9"/>
  <c r="AF126" i="9"/>
  <c r="R57" i="9"/>
  <c r="AF57" i="9"/>
  <c r="AF27" i="9"/>
  <c r="AF130" i="9"/>
  <c r="R63" i="9"/>
  <c r="AF63" i="9"/>
  <c r="AF43" i="9"/>
  <c r="AF6" i="9"/>
  <c r="AF111" i="9"/>
  <c r="R51" i="9"/>
  <c r="AF51" i="9"/>
  <c r="AF45" i="9"/>
  <c r="AF110" i="9"/>
  <c r="R129" i="9"/>
  <c r="AF129" i="9"/>
  <c r="AF128" i="9"/>
  <c r="AF42" i="9"/>
  <c r="S42" i="9" s="1"/>
  <c r="AF33" i="9"/>
  <c r="AF105" i="9"/>
  <c r="AF21" i="9"/>
  <c r="R100" i="9"/>
  <c r="AF100" i="9"/>
  <c r="AF32" i="9"/>
  <c r="R26" i="9"/>
  <c r="AF26" i="9"/>
  <c r="R74" i="9"/>
  <c r="AF74" i="9"/>
  <c r="R37" i="9"/>
  <c r="AF37" i="9"/>
  <c r="AF47" i="9"/>
  <c r="R124" i="9"/>
  <c r="AF124" i="9"/>
  <c r="AF107" i="9"/>
  <c r="R80" i="9"/>
  <c r="AF80" i="9"/>
  <c r="AF69" i="9"/>
  <c r="AF53" i="9"/>
  <c r="AF123" i="9"/>
  <c r="AF101" i="9"/>
  <c r="AF103" i="9"/>
  <c r="AF135" i="9"/>
  <c r="AF83" i="9"/>
  <c r="AF134" i="9"/>
  <c r="AF11" i="9"/>
  <c r="AF62" i="9"/>
  <c r="AF85" i="9"/>
  <c r="AF106" i="9"/>
  <c r="AF112" i="9"/>
  <c r="AF94" i="9"/>
  <c r="AF39" i="9"/>
  <c r="AF9" i="9"/>
  <c r="AF115" i="9"/>
  <c r="AF132" i="9"/>
  <c r="AF68" i="9"/>
  <c r="R48" i="9"/>
  <c r="AF48" i="9"/>
  <c r="AF10" i="9"/>
  <c r="AF117" i="9"/>
  <c r="AG117" i="9" s="1"/>
  <c r="AF91" i="9"/>
  <c r="AF41" i="9"/>
  <c r="AF119" i="9"/>
  <c r="AF104" i="9"/>
  <c r="R61" i="9"/>
  <c r="AF61" i="9"/>
  <c r="AF65" i="9"/>
  <c r="R58" i="9"/>
  <c r="AF58" i="9"/>
  <c r="AF40" i="9"/>
  <c r="R44" i="9"/>
  <c r="AF44" i="9"/>
  <c r="AF25" i="9"/>
  <c r="AF64" i="9"/>
  <c r="AF133" i="9"/>
  <c r="R56" i="9"/>
  <c r="AF56" i="9"/>
  <c r="AF38" i="9"/>
  <c r="AF109" i="9"/>
  <c r="R88" i="9"/>
  <c r="AF88" i="9"/>
  <c r="AF19" i="9"/>
  <c r="AF22" i="9"/>
  <c r="S22" i="9" s="1"/>
  <c r="AF116" i="9"/>
  <c r="AF131" i="9"/>
  <c r="AF5" i="9"/>
  <c r="AF120" i="9"/>
  <c r="AG120" i="9" s="1"/>
  <c r="AF35" i="9"/>
  <c r="AF97" i="9"/>
  <c r="AF78" i="9"/>
  <c r="AF84" i="9"/>
  <c r="AF71" i="9"/>
  <c r="AF93" i="9"/>
  <c r="AF52" i="9"/>
  <c r="AF76" i="9"/>
  <c r="AF8" i="9"/>
  <c r="R142" i="9"/>
  <c r="AF142" i="9"/>
  <c r="AF87" i="9"/>
  <c r="AF17" i="9"/>
  <c r="AF13" i="9"/>
  <c r="R29" i="9"/>
  <c r="AF29" i="9"/>
  <c r="AF67" i="9"/>
  <c r="AF121" i="9"/>
  <c r="AF114" i="9"/>
  <c r="AF59" i="9"/>
  <c r="AF73" i="9"/>
  <c r="AF141" i="9"/>
  <c r="AF34" i="9"/>
  <c r="AF92" i="9"/>
  <c r="AF125" i="9"/>
  <c r="AF14" i="9"/>
  <c r="AF30" i="9"/>
  <c r="R127" i="9"/>
  <c r="AF127" i="9"/>
  <c r="AF86" i="9"/>
  <c r="R77" i="9"/>
  <c r="AF77" i="9"/>
  <c r="AF113" i="9"/>
  <c r="AF60" i="9"/>
  <c r="AF70" i="9"/>
  <c r="AF90" i="9"/>
  <c r="K151" i="9"/>
  <c r="L151" i="9" s="1"/>
  <c r="M151" i="9" s="1"/>
  <c r="N151" i="9" s="1"/>
  <c r="O151" i="9" s="1"/>
  <c r="P151" i="9" s="1"/>
  <c r="Q151" i="9" s="1"/>
  <c r="K149" i="9"/>
  <c r="L149" i="9" s="1"/>
  <c r="M149" i="9" s="1"/>
  <c r="N149" i="9" s="1"/>
  <c r="O149" i="9" s="1"/>
  <c r="P149" i="9" s="1"/>
  <c r="Q149" i="9" s="1"/>
  <c r="K147" i="9"/>
  <c r="L147" i="9" s="1"/>
  <c r="M147" i="9" s="1"/>
  <c r="N147" i="9" s="1"/>
  <c r="O147" i="9" s="1"/>
  <c r="P147" i="9" s="1"/>
  <c r="Q147" i="9" s="1"/>
  <c r="K150" i="9"/>
  <c r="L150" i="9" s="1"/>
  <c r="M150" i="9" s="1"/>
  <c r="N150" i="9" s="1"/>
  <c r="O150" i="9" s="1"/>
  <c r="P150" i="9" s="1"/>
  <c r="Q150" i="9" s="1"/>
  <c r="K148" i="9"/>
  <c r="L148" i="9" s="1"/>
  <c r="M148" i="9" s="1"/>
  <c r="N148" i="9" s="1"/>
  <c r="O148" i="9" s="1"/>
  <c r="P148" i="9" s="1"/>
  <c r="Q148" i="9" s="1"/>
  <c r="K146" i="9"/>
  <c r="L146" i="9" s="1"/>
  <c r="M146" i="9" s="1"/>
  <c r="N146" i="9" s="1"/>
  <c r="O146" i="9" s="1"/>
  <c r="P146" i="9" s="1"/>
  <c r="Q146" i="9" s="1"/>
  <c r="AG9" i="9" l="1"/>
  <c r="AG64" i="9"/>
  <c r="S92" i="9"/>
  <c r="S60" i="9"/>
  <c r="S112" i="9"/>
  <c r="S102" i="9"/>
  <c r="S96" i="9"/>
  <c r="AG40" i="9"/>
  <c r="AG70" i="9"/>
  <c r="S65" i="9"/>
  <c r="AG72" i="9"/>
  <c r="S104" i="9"/>
  <c r="AG47" i="9"/>
  <c r="S75" i="9"/>
  <c r="AG113" i="9"/>
  <c r="AG119" i="9"/>
  <c r="AG24" i="9"/>
  <c r="S76" i="9"/>
  <c r="S91" i="9"/>
  <c r="S134" i="9"/>
  <c r="AG142" i="9"/>
  <c r="AG56" i="9"/>
  <c r="AG77" i="9"/>
  <c r="S34" i="9"/>
  <c r="S29" i="9"/>
  <c r="S116" i="9"/>
  <c r="AG33" i="9"/>
  <c r="S63" i="9"/>
  <c r="AG82" i="9"/>
  <c r="S111" i="9"/>
  <c r="S37" i="9"/>
  <c r="AG26" i="9"/>
  <c r="AG128" i="9"/>
  <c r="AG126" i="9"/>
  <c r="S108" i="9"/>
  <c r="AG103" i="9"/>
  <c r="S14" i="9"/>
  <c r="AG131" i="9"/>
  <c r="AG106" i="9"/>
  <c r="AG80" i="9"/>
  <c r="S95" i="9"/>
  <c r="S59" i="9"/>
  <c r="S97" i="9"/>
  <c r="AG29" i="9"/>
  <c r="S25" i="9"/>
  <c r="AG61" i="9"/>
  <c r="AG101" i="9"/>
  <c r="AG6" i="9"/>
  <c r="AG105" i="9"/>
  <c r="AG60" i="9"/>
  <c r="AG115" i="9"/>
  <c r="AG141" i="9"/>
  <c r="AG35" i="9"/>
  <c r="AG124" i="9"/>
  <c r="AG20" i="9"/>
  <c r="S125" i="9"/>
  <c r="AG79" i="9"/>
  <c r="AG15" i="9"/>
  <c r="S130" i="9"/>
  <c r="AG75" i="9"/>
  <c r="S69" i="9"/>
  <c r="AG28" i="9"/>
  <c r="S85" i="9"/>
  <c r="AG66" i="9"/>
  <c r="AG96" i="9"/>
  <c r="AG68" i="9"/>
  <c r="S31" i="9"/>
  <c r="AG78" i="9"/>
  <c r="AG52" i="9"/>
  <c r="S56" i="9"/>
  <c r="AG58" i="9"/>
  <c r="S124" i="9"/>
  <c r="AG37" i="9"/>
  <c r="AG100" i="9"/>
  <c r="AG57" i="9"/>
  <c r="AG108" i="9"/>
  <c r="S20" i="9"/>
  <c r="S72" i="9"/>
  <c r="S119" i="9"/>
  <c r="S39" i="9"/>
  <c r="S113" i="9"/>
  <c r="AG41" i="9"/>
  <c r="S33" i="9"/>
  <c r="S19" i="9"/>
  <c r="S86" i="9"/>
  <c r="S117" i="9"/>
  <c r="S73" i="9"/>
  <c r="AG69" i="9"/>
  <c r="AG112" i="9"/>
  <c r="AG81" i="9"/>
  <c r="S9" i="9"/>
  <c r="AG116" i="9"/>
  <c r="S77" i="9"/>
  <c r="S127" i="9"/>
  <c r="S44" i="9"/>
  <c r="S135" i="9"/>
  <c r="AG125" i="9"/>
  <c r="AG95" i="9"/>
  <c r="AG97" i="9"/>
  <c r="AG111" i="9"/>
  <c r="AG22" i="9"/>
  <c r="AG85" i="9"/>
  <c r="AG39" i="9"/>
  <c r="S66" i="9"/>
  <c r="S41" i="9"/>
  <c r="S103" i="9"/>
  <c r="AG17" i="9"/>
  <c r="AG7" i="9"/>
  <c r="AG31" i="9"/>
  <c r="S21" i="9"/>
  <c r="AG38" i="9"/>
  <c r="S62" i="9"/>
  <c r="AG73" i="9"/>
  <c r="S24" i="9"/>
  <c r="S131" i="9"/>
  <c r="AG13" i="9"/>
  <c r="R146" i="9"/>
  <c r="AG36" i="9"/>
  <c r="S47" i="9"/>
  <c r="S7" i="9"/>
  <c r="S128" i="9"/>
  <c r="AG133" i="9"/>
  <c r="S121" i="9"/>
  <c r="AG34" i="9"/>
  <c r="AG42" i="9"/>
  <c r="S142" i="9"/>
  <c r="S61" i="9"/>
  <c r="S48" i="9"/>
  <c r="AG129" i="9"/>
  <c r="S28" i="9"/>
  <c r="AG59" i="9"/>
  <c r="S105" i="9"/>
  <c r="S141" i="9"/>
  <c r="AG92" i="9"/>
  <c r="S13" i="9"/>
  <c r="S79" i="9"/>
  <c r="S6" i="9"/>
  <c r="AG132" i="9"/>
  <c r="S68" i="9"/>
  <c r="AG94" i="9"/>
  <c r="S15" i="9"/>
  <c r="S71" i="9"/>
  <c r="S78" i="9"/>
  <c r="AG130" i="9"/>
  <c r="S52" i="9"/>
  <c r="S70" i="9"/>
  <c r="AG14" i="9"/>
  <c r="S115" i="9"/>
  <c r="AG74" i="9"/>
  <c r="S74" i="9"/>
  <c r="AG51" i="9"/>
  <c r="S51" i="9"/>
  <c r="S16" i="9"/>
  <c r="AG16" i="9"/>
  <c r="AG90" i="9"/>
  <c r="S90" i="9"/>
  <c r="AG18" i="9"/>
  <c r="S18" i="9"/>
  <c r="S93" i="9"/>
  <c r="AG93" i="9"/>
  <c r="AG109" i="9"/>
  <c r="S109" i="9"/>
  <c r="S32" i="9"/>
  <c r="AG32" i="9"/>
  <c r="S54" i="9"/>
  <c r="AG54" i="9"/>
  <c r="R150" i="9"/>
  <c r="S45" i="9"/>
  <c r="AG45" i="9"/>
  <c r="S106" i="9"/>
  <c r="S40" i="9"/>
  <c r="S123" i="9"/>
  <c r="AG123" i="9"/>
  <c r="S55" i="9"/>
  <c r="AG55" i="9"/>
  <c r="AG5" i="9"/>
  <c r="S5" i="9"/>
  <c r="S12" i="9"/>
  <c r="AG12" i="9"/>
  <c r="S80" i="9"/>
  <c r="S101" i="9"/>
  <c r="S30" i="9"/>
  <c r="AG30" i="9"/>
  <c r="AG110" i="9"/>
  <c r="S110" i="9"/>
  <c r="AG63" i="9"/>
  <c r="AG137" i="9"/>
  <c r="S137" i="9"/>
  <c r="S11" i="9"/>
  <c r="AG11" i="9"/>
  <c r="AG107" i="9"/>
  <c r="S107" i="9"/>
  <c r="AG118" i="9"/>
  <c r="S118" i="9"/>
  <c r="S10" i="9"/>
  <c r="AG10" i="9"/>
  <c r="S53" i="9"/>
  <c r="AG53" i="9"/>
  <c r="AG48" i="9"/>
  <c r="AG43" i="9"/>
  <c r="S43" i="9"/>
  <c r="AG83" i="9"/>
  <c r="S83" i="9"/>
  <c r="S82" i="9"/>
  <c r="AG67" i="9"/>
  <c r="S67" i="9"/>
  <c r="AG136" i="9"/>
  <c r="S136" i="9"/>
  <c r="S87" i="9"/>
  <c r="AG87" i="9"/>
  <c r="S122" i="9"/>
  <c r="AG122" i="9"/>
  <c r="S126" i="9"/>
  <c r="S88" i="9"/>
  <c r="AG88" i="9"/>
  <c r="AG65" i="9"/>
  <c r="AG134" i="9"/>
  <c r="S120" i="9"/>
  <c r="AG102" i="9"/>
  <c r="AG84" i="9"/>
  <c r="AG25" i="9"/>
  <c r="AG114" i="9"/>
  <c r="AG104" i="9"/>
  <c r="AG27" i="9"/>
  <c r="S8" i="9"/>
  <c r="R148" i="9"/>
  <c r="AG8" i="9"/>
  <c r="R147" i="9"/>
  <c r="AG76" i="9"/>
  <c r="S64" i="9"/>
  <c r="AG91" i="9"/>
  <c r="AG135" i="9"/>
  <c r="S35" i="9"/>
  <c r="S58" i="9"/>
  <c r="R151" i="9"/>
  <c r="S36" i="9"/>
  <c r="AG19" i="9"/>
  <c r="S132" i="9"/>
  <c r="AG86" i="9"/>
  <c r="S17" i="9"/>
  <c r="S94" i="9"/>
  <c r="S84" i="9"/>
  <c r="AG21" i="9"/>
  <c r="AG71" i="9"/>
  <c r="S38" i="9"/>
  <c r="AG127" i="9"/>
  <c r="AG62" i="9"/>
  <c r="S133" i="9"/>
  <c r="S114" i="9"/>
  <c r="AG121" i="9"/>
  <c r="S129" i="9"/>
  <c r="S81" i="9"/>
  <c r="S27" i="9"/>
  <c r="S26" i="9"/>
  <c r="R149" i="9"/>
  <c r="S100" i="9"/>
  <c r="S57" i="9"/>
  <c r="AG4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Виктор</author>
  </authors>
  <commentList>
    <comment ref="I38" authorId="0" shapeId="0" xr:uid="{0A5FEFC9-A025-4EB2-B38A-4085A4D53797}">
      <text>
        <r>
          <rPr>
            <b/>
            <sz val="9"/>
            <color indexed="81"/>
            <rFont val="Tahoma"/>
            <family val="2"/>
            <charset val="204"/>
          </rPr>
          <t>Как у Полякова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Виктор</author>
  </authors>
  <commentList>
    <comment ref="AD267" authorId="0" shapeId="0" xr:uid="{3DB38D0E-E16F-41CE-9D18-FD1C8434764B}">
      <text>
        <r>
          <rPr>
            <b/>
            <sz val="9"/>
            <color indexed="81"/>
            <rFont val="Tahoma"/>
            <charset val="1"/>
          </rPr>
          <t>должно быть 120</t>
        </r>
      </text>
    </comment>
    <comment ref="AL267" authorId="0" shapeId="0" xr:uid="{E41E0415-AC0D-476A-A2EC-F6A5B1B239A1}">
      <text>
        <r>
          <rPr>
            <b/>
            <sz val="9"/>
            <color indexed="81"/>
            <rFont val="Tahoma"/>
            <charset val="1"/>
          </rPr>
          <t>должно быть 120</t>
        </r>
      </text>
    </comment>
    <comment ref="AD271" authorId="0" shapeId="0" xr:uid="{31A21F09-97FC-4D22-BEB5-62ABFD319097}">
      <text>
        <r>
          <rPr>
            <b/>
            <sz val="9"/>
            <color indexed="81"/>
            <rFont val="Tahoma"/>
            <charset val="1"/>
          </rPr>
          <t>ВАБКО - 400 м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tc={004700E0-00F3-4FB8-B233-00A900E4004D}</author>
  </authors>
  <commentList>
    <comment ref="H4" authorId="0" shapeId="0" xr:uid="{004700E0-00F3-4FB8-B233-00A900E4004D}">
      <text>
        <r>
          <rPr>
            <b/>
            <sz val="9"/>
            <rFont val="Tahoma"/>
            <family val="2"/>
            <charset val="204"/>
          </rPr>
          <t>tc={006F0072-0069-49D9-8E9B-00D6002D00AB}:</t>
        </r>
        <r>
          <rPr>
            <sz val="9"/>
            <rFont val="Tahoma"/>
            <family val="2"/>
            <charset val="204"/>
          </rPr>
          <t xml:space="preserve">
Виктор:
Внутри раздела не должно быть одинаковых артикулов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tc={009600CE-00C4-411F-852A-00BB00B40010}</author>
  </authors>
  <commentList>
    <comment ref="D1" authorId="0" shapeId="0" xr:uid="{009600CE-00C4-411F-852A-00BB00B40010}">
      <text>
        <r>
          <rPr>
            <b/>
            <sz val="9"/>
            <rFont val="Tahoma"/>
            <family val="2"/>
            <charset val="204"/>
          </rPr>
          <t>Виктор:</t>
        </r>
        <r>
          <rPr>
            <sz val="9"/>
            <rFont val="Tahoma"/>
            <family val="2"/>
            <charset val="204"/>
          </rPr>
          <t xml:space="preserve">
базовое (не показаны суффиксы 
и префиксы: артикул и W)
</t>
        </r>
      </text>
    </comment>
  </commentList>
</comments>
</file>

<file path=xl/sharedStrings.xml><?xml version="1.0" encoding="utf-8"?>
<sst xmlns="http://schemas.openxmlformats.org/spreadsheetml/2006/main" count="4174" uniqueCount="500">
  <si>
    <t xml:space="preserve"> - курс евро/рубль</t>
  </si>
  <si>
    <t>Дата</t>
  </si>
  <si>
    <t xml:space="preserve"> - курс юань/рубль</t>
  </si>
  <si>
    <t xml:space="preserve"> - курс евро/юань</t>
  </si>
  <si>
    <t>Подсветить артикул:</t>
  </si>
  <si>
    <t>ъ</t>
  </si>
  <si>
    <t>Продажи 2025</t>
  </si>
  <si>
    <t>Клиент</t>
  </si>
  <si>
    <t>Условия оплаты</t>
  </si>
  <si>
    <t>Поставщик</t>
  </si>
  <si>
    <t>Менеджер</t>
  </si>
  <si>
    <t>п\п</t>
  </si>
  <si>
    <t>2 - продукт WABCO</t>
  </si>
  <si>
    <t>Номер изделия/ артикул</t>
  </si>
  <si>
    <t>Наименование</t>
  </si>
  <si>
    <r>
      <t xml:space="preserve">Цена для плана, 
CNY, </t>
    </r>
    <r>
      <rPr>
        <b/>
        <sz val="11"/>
        <color indexed="2"/>
        <rFont val="Calibri"/>
        <family val="2"/>
        <charset val="204"/>
        <scheme val="minor"/>
      </rPr>
      <t xml:space="preserve">без НДС </t>
    </r>
  </si>
  <si>
    <r>
      <t xml:space="preserve">Цена в валюте, </t>
    </r>
    <r>
      <rPr>
        <b/>
        <sz val="11"/>
        <color indexed="2"/>
        <rFont val="Calibri"/>
        <family val="2"/>
        <charset val="204"/>
        <scheme val="minor"/>
      </rPr>
      <t>без НДС</t>
    </r>
  </si>
  <si>
    <t>Валюта</t>
  </si>
  <si>
    <r>
      <t xml:space="preserve">Цена от курса, 
CNY, </t>
    </r>
    <r>
      <rPr>
        <b/>
        <sz val="11"/>
        <color indexed="2"/>
        <rFont val="Calibri"/>
        <family val="2"/>
        <charset val="204"/>
        <scheme val="minor"/>
      </rPr>
      <t xml:space="preserve">без НДС </t>
    </r>
  </si>
  <si>
    <t>ИТОГО, 2025</t>
  </si>
  <si>
    <t>ИТОГО, 2026</t>
  </si>
  <si>
    <t>ИТОГО, 2027</t>
  </si>
  <si>
    <t>ИТОГО, 2028</t>
  </si>
  <si>
    <t>AOP,
шт</t>
  </si>
  <si>
    <t>Прогноз,
шт</t>
  </si>
  <si>
    <t>Факт,
шт</t>
  </si>
  <si>
    <t>Коментарий</t>
  </si>
  <si>
    <t>Продажи AOP, CNY</t>
  </si>
  <si>
    <t>Продажи Прогноз, CNY</t>
  </si>
  <si>
    <t>Продажи Факт, CNY</t>
  </si>
  <si>
    <t>Предоплата 50%</t>
  </si>
  <si>
    <t>ВБК Восток</t>
  </si>
  <si>
    <t>Прасолов, Соловьёв</t>
  </si>
  <si>
    <t>640225ххл0</t>
  </si>
  <si>
    <t>Дисковый тормозной механизм (левый)</t>
  </si>
  <si>
    <t>640225ххп0</t>
  </si>
  <si>
    <t>Дисковый тормозной механизм (правый)</t>
  </si>
  <si>
    <t>Тормозная камера, тип 20</t>
  </si>
  <si>
    <t>Энергоаккумулятор, тип 20/24</t>
  </si>
  <si>
    <t>Датчик АБС, 1 м</t>
  </si>
  <si>
    <t>Втулка датчика АБС (медь)</t>
  </si>
  <si>
    <t>S4240002000</t>
  </si>
  <si>
    <t>Комплект удлинения</t>
  </si>
  <si>
    <t>Итого</t>
  </si>
  <si>
    <t>Договор не подписан</t>
  </si>
  <si>
    <t>Датчик АБС, 0,4 м</t>
  </si>
  <si>
    <t>Втулка датчика АБС</t>
  </si>
  <si>
    <t>Тормозная камера, тип 16</t>
  </si>
  <si>
    <t>Энергоаккумулятор, тип 16/24</t>
  </si>
  <si>
    <t>Тормозная камера, тип 44</t>
  </si>
  <si>
    <t>Уралавтоприцеп (ЧМЗАП)</t>
  </si>
  <si>
    <t>Отсрочка 30 дней</t>
  </si>
  <si>
    <t>Камера тормозная тип 24</t>
  </si>
  <si>
    <t>Камера тормозная тип 30</t>
  </si>
  <si>
    <t>Энергоаккумулятор тип 24/30</t>
  </si>
  <si>
    <t>Энергоаккумулятор тип 30/30</t>
  </si>
  <si>
    <r>
      <t xml:space="preserve">CNY, </t>
    </r>
    <r>
      <rPr>
        <b/>
        <sz val="11"/>
        <color indexed="2"/>
        <rFont val="Calibri"/>
        <family val="2"/>
        <charset val="204"/>
        <scheme val="minor"/>
      </rPr>
      <t>без НДС</t>
    </r>
    <r>
      <rPr>
        <b/>
        <sz val="11"/>
        <color theme="1"/>
        <rFont val="Calibri"/>
        <family val="2"/>
        <charset val="204"/>
        <scheme val="minor"/>
      </rPr>
      <t>:</t>
    </r>
  </si>
  <si>
    <t>ВСЕ</t>
  </si>
  <si>
    <t>шт.:</t>
  </si>
  <si>
    <t>Продажи 2024</t>
  </si>
  <si>
    <t>2 - WABCO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</si>
  <si>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</si>
  <si>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</si>
  <si>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</si>
  <si>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</si>
  <si>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</si>
  <si>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</si>
  <si>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</si>
  <si>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</si>
  <si>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</si>
  <si>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</si>
  <si>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ИТОГО, 2024</t>
  </si>
  <si>
    <t>ВБК РУС</t>
  </si>
  <si>
    <t>Головка соединительная (управляющая)</t>
  </si>
  <si>
    <t>Головка соединительная (питающая)</t>
  </si>
  <si>
    <t>Воздухораспределитель с клапаном растормаживания</t>
  </si>
  <si>
    <t>Модулятор EBS, с PEM, без фит.</t>
  </si>
  <si>
    <t>Кабель питания, 15 м</t>
  </si>
  <si>
    <t>Кабель датчика, 5 м</t>
  </si>
  <si>
    <t>Кран уровня пола, 5-ти портовый</t>
  </si>
  <si>
    <t>Кран ручного управления</t>
  </si>
  <si>
    <t>Упругий элемент</t>
  </si>
  <si>
    <t>Предоплата 100%</t>
  </si>
  <si>
    <t>Кабель питания, 12 м</t>
  </si>
  <si>
    <t>Ультра Групп</t>
  </si>
  <si>
    <t>Кабель питания, 18 м</t>
  </si>
  <si>
    <t>Розетка АБС (7 контактов)</t>
  </si>
  <si>
    <t>Клапан быстрого растормаживания энергоакк.</t>
  </si>
  <si>
    <t>Клапан ограничения давления</t>
  </si>
  <si>
    <t>S</t>
  </si>
  <si>
    <t>НовосибАРЗ</t>
  </si>
  <si>
    <t>Клапан растормаживания сдвоенный</t>
  </si>
  <si>
    <t>Клапан перепускной</t>
  </si>
  <si>
    <t>Кран уровня пола</t>
  </si>
  <si>
    <t>Регулятор тормозных сил</t>
  </si>
  <si>
    <t>RUB</t>
  </si>
  <si>
    <t>Модулятор ABS</t>
  </si>
  <si>
    <t>Кабель питания ABS, часть 1</t>
  </si>
  <si>
    <t>Кабель питания ABS, часть 2, 12 м</t>
  </si>
  <si>
    <t>Кабель питания ABS, часть 2, 15 м</t>
  </si>
  <si>
    <t>Кабель-удлинитель датчика ABS, 3 м</t>
  </si>
  <si>
    <t>Воздухораспределитель (без кл. растормаживания)</t>
  </si>
  <si>
    <t>Ускорительный клапан ABS</t>
  </si>
  <si>
    <t>Кабель ускорительного клапана ABS / диа., 10 м / 3 м</t>
  </si>
  <si>
    <t>Арт_TEBS_2-2_12_W_-1</t>
  </si>
  <si>
    <t>Комплект "TEBS WABCO 2S/2M базовый 12 м" -1 (ВБК РУС)</t>
  </si>
  <si>
    <t>Головка соединительная</t>
  </si>
  <si>
    <t>Блок TEBS-E, 4s3m Premium</t>
  </si>
  <si>
    <t>Кабель датчика АБС, 3 м</t>
  </si>
  <si>
    <t>Политранс</t>
  </si>
  <si>
    <t>Оплата 50/50</t>
  </si>
  <si>
    <t>Кабель датчика АБС</t>
  </si>
  <si>
    <t>Модулятор EBS</t>
  </si>
  <si>
    <t>Кабель модулятора EBS, 8 м</t>
  </si>
  <si>
    <t>CAN-Repeater</t>
  </si>
  <si>
    <t>EUR</t>
  </si>
  <si>
    <t>Кабель соединительный, 2,5 м</t>
  </si>
  <si>
    <t>Кабель соединительный, 14 м</t>
  </si>
  <si>
    <t>Кабель соединительный, 18 м</t>
  </si>
  <si>
    <t>Кабель соединительный, 8 м</t>
  </si>
  <si>
    <t>Кабель датчика давления, 3 м</t>
  </si>
  <si>
    <t>Датчик давления</t>
  </si>
  <si>
    <t>Кабель модулятора EBS, 13 м</t>
  </si>
  <si>
    <t>Шланг тормозной (м)</t>
  </si>
  <si>
    <t>Электропневматический блок клапанов TEBS_4801020640</t>
  </si>
  <si>
    <t>Кабель соединительный, 6 м</t>
  </si>
  <si>
    <t>Кабель соединительный, 40 м</t>
  </si>
  <si>
    <t>Кабель датчика давления, 6 м</t>
  </si>
  <si>
    <t>Кабель датчика давления, 18 м</t>
  </si>
  <si>
    <t>Клапан ускорительный</t>
  </si>
  <si>
    <t>4006061140К3</t>
  </si>
  <si>
    <t>Комплект "ABS 2S/2M базовый W"</t>
  </si>
  <si>
    <t>Комплект "ABS 2S/2M базовый W" +3-й модулятор</t>
  </si>
  <si>
    <t>СпецАвто-Восток</t>
  </si>
  <si>
    <t>Отсрочка 15 дней</t>
  </si>
  <si>
    <t>Клапан управления подъемом оси (LACV)</t>
  </si>
  <si>
    <t>Кабель клапана управления подъемом оси, 6 м</t>
  </si>
  <si>
    <t>Клапан быстрого растормаживания</t>
  </si>
  <si>
    <t>Трубка спиральная (красная), М16х1,5</t>
  </si>
  <si>
    <t>Трубка спиральная (желтая), М16х1,5</t>
  </si>
  <si>
    <t>Кабель питания спиральный, 7-пин, ISO 7638</t>
  </si>
  <si>
    <t>Кабель датчика АБС, 8 м</t>
  </si>
  <si>
    <t>480102030R</t>
  </si>
  <si>
    <t>Модулятор EBS прицепа</t>
  </si>
  <si>
    <t>480102060R</t>
  </si>
  <si>
    <t>Пневматический расширительный модуль</t>
  </si>
  <si>
    <t>Таганай</t>
  </si>
  <si>
    <t>АВТОВИК</t>
  </si>
  <si>
    <t>Кабель датчика, 4 м</t>
  </si>
  <si>
    <t>PRO0320200</t>
  </si>
  <si>
    <t>Кабель клапана управления подъемом оси, 4 м</t>
  </si>
  <si>
    <t>Трубка пластиковая 6x1, бухта 100м (м)</t>
  </si>
  <si>
    <t>Трубка пластиковая 8x1, бухта 100м (м)</t>
  </si>
  <si>
    <t>Трубка пластиковая 10x1, бухта 100м (м)</t>
  </si>
  <si>
    <t>Трубка пластиковая 12x1,5, бухта 100м (м)</t>
  </si>
  <si>
    <t>Трубка пластиковая 15x1,5, бухта 50м (м)</t>
  </si>
  <si>
    <t>Трубка пластиковая 12x1,5, бухта 500м</t>
  </si>
  <si>
    <t>Кабель питания, 12 м, для полуприцепа</t>
  </si>
  <si>
    <t>Кабель универсальный, 15 м</t>
  </si>
  <si>
    <t>Кабель питания для прицепа, 12 м</t>
  </si>
  <si>
    <t>WA-3601400</t>
  </si>
  <si>
    <t>Комплект диагностики TEBS</t>
  </si>
  <si>
    <t>Кабель диагностический TEBS, 5 м</t>
  </si>
  <si>
    <t>Комплект "EBS ПТ"</t>
  </si>
  <si>
    <t>-</t>
  </si>
  <si>
    <t>1 п/г 2024</t>
  </si>
  <si>
    <t>2 п/г 2024</t>
  </si>
  <si>
    <t>Январь 2025</t>
  </si>
  <si>
    <t>Февраль 2025</t>
  </si>
  <si>
    <t>Март 2025</t>
  </si>
  <si>
    <t>№</t>
  </si>
  <si>
    <t>Раздел</t>
  </si>
  <si>
    <t>Сет</t>
  </si>
  <si>
    <t>Кол-во в сете</t>
  </si>
  <si>
    <t>Цена, 
юань, без НДС 1</t>
  </si>
  <si>
    <t>Цена, 
юань, без НДС 2</t>
  </si>
  <si>
    <t>AOP,
шт 01_24</t>
  </si>
  <si>
    <t>Прогноз,
шт 01_24</t>
  </si>
  <si>
    <t>Факт,
шт 01_24</t>
  </si>
  <si>
    <t>Комментарий 01_24</t>
  </si>
  <si>
    <t>AOP,
шт 02_24</t>
  </si>
  <si>
    <t>Прогноз,
шт 02_24</t>
  </si>
  <si>
    <t>Факт,
шт 02_24</t>
  </si>
  <si>
    <t>Комментарий 02_24</t>
  </si>
  <si>
    <t>AOP,
шт 03_24</t>
  </si>
  <si>
    <t>Прогноз,
шт 03_24</t>
  </si>
  <si>
    <t>Факт,
шт 03_24</t>
  </si>
  <si>
    <t>Комментарий 03_24</t>
  </si>
  <si>
    <t>AOP,
шт 04_24</t>
  </si>
  <si>
    <t>Прогноз,
шт 04_24</t>
  </si>
  <si>
    <t>Факт,
шт 04_24</t>
  </si>
  <si>
    <t>Комментарий 04_24</t>
  </si>
  <si>
    <t>AOP,
шт 05_24</t>
  </si>
  <si>
    <t>Прогноз,
шт 05_24</t>
  </si>
  <si>
    <t>Факт,
шт 05_24</t>
  </si>
  <si>
    <t>Комментарий 05_24</t>
  </si>
  <si>
    <t>AOP,
шт 06_24</t>
  </si>
  <si>
    <t>Прогноз,
шт 06_24</t>
  </si>
  <si>
    <t>Факт,
шт 06_24</t>
  </si>
  <si>
    <t>Комментарий 06_24</t>
  </si>
  <si>
    <t>AOP,
шт 07_24</t>
  </si>
  <si>
    <t>Прогноз,
шт 07_24</t>
  </si>
  <si>
    <t>Факт,
шт 07_24</t>
  </si>
  <si>
    <t>Комментарий 07_24</t>
  </si>
  <si>
    <t>AOP,
шт 08_24</t>
  </si>
  <si>
    <t>Прогноз,
шт 08_24</t>
  </si>
  <si>
    <t>Факт,
шт 08_24</t>
  </si>
  <si>
    <t>Комментарий 08_24</t>
  </si>
  <si>
    <t>AOP,
шт 09_24</t>
  </si>
  <si>
    <t>Прогноз,
шт 09_24</t>
  </si>
  <si>
    <t>Факт,
шт 09_24</t>
  </si>
  <si>
    <t>Комментарий 09_24</t>
  </si>
  <si>
    <t>AOP,
шт 10_24</t>
  </si>
  <si>
    <t>Прогноз,
шт 10_24</t>
  </si>
  <si>
    <t>Факт,
шт 10_24</t>
  </si>
  <si>
    <t>Комментарий 10_24</t>
  </si>
  <si>
    <t>AOP,
шт 11_24</t>
  </si>
  <si>
    <t>Прогноз,
шт 11_24</t>
  </si>
  <si>
    <t>Факт,
шт 11_24</t>
  </si>
  <si>
    <t>Комментарий 11_24</t>
  </si>
  <si>
    <t>AOP,
шт 12_24</t>
  </si>
  <si>
    <t>Прогноз,
шт 12_24</t>
  </si>
  <si>
    <t>Факт,
шт 12_24</t>
  </si>
  <si>
    <t>Комментарий 12_24</t>
  </si>
  <si>
    <t>AOP,
шт 2024</t>
  </si>
  <si>
    <t>Продажи AOP, CNY 2024</t>
  </si>
  <si>
    <t>Прогноз,
шт 2024</t>
  </si>
  <si>
    <t>Прогноз,
СNY 2024</t>
  </si>
  <si>
    <t>Факт,
шт 2024</t>
  </si>
  <si>
    <t>Факт,
CNY 2024</t>
  </si>
  <si>
    <t>AOP,
шт 01_25</t>
  </si>
  <si>
    <t>AOP негатив,
шт 01_25</t>
  </si>
  <si>
    <t>Прогноз,
шт 01_25</t>
  </si>
  <si>
    <t>Факт,
шт 01_25</t>
  </si>
  <si>
    <t>Комментарий 01_25</t>
  </si>
  <si>
    <t>AOP,
шт 02_25</t>
  </si>
  <si>
    <t>AOP негатив,
шт 02_25</t>
  </si>
  <si>
    <t>Прогноз,
шт 02_25</t>
  </si>
  <si>
    <t>Факт,
шт 02_25</t>
  </si>
  <si>
    <t>Комментарий 02_25</t>
  </si>
  <si>
    <t>AOP,
шт 03_25</t>
  </si>
  <si>
    <t>AOP негатив,
шт 03_25</t>
  </si>
  <si>
    <t>Прогноз,
шт 03_25</t>
  </si>
  <si>
    <t>Факт,
шт 03_25</t>
  </si>
  <si>
    <t>Комментарий 03_25</t>
  </si>
  <si>
    <t>AOP,
шт 04_25</t>
  </si>
  <si>
    <t>AOP негатив,
шт 04_25</t>
  </si>
  <si>
    <t>Прогноз,
шт 04_25</t>
  </si>
  <si>
    <t>Факт,
шт 04_25</t>
  </si>
  <si>
    <t>Комментарий 04_25</t>
  </si>
  <si>
    <t>AOP,
шт 05_25</t>
  </si>
  <si>
    <t>AOP негатив,
шт 05_25</t>
  </si>
  <si>
    <t>Прогноз,
шт 05_25</t>
  </si>
  <si>
    <t>Факт,
шт 05_25</t>
  </si>
  <si>
    <t>Комментарий 05_25</t>
  </si>
  <si>
    <t>AOP,
шт 06_25</t>
  </si>
  <si>
    <t>AOP негатив,
шт 06_25</t>
  </si>
  <si>
    <t>Прогноз,
шт 06_25</t>
  </si>
  <si>
    <t>Факт,
шт 06_25</t>
  </si>
  <si>
    <t>Комментарий 06_25</t>
  </si>
  <si>
    <t>AOP,
шт 07_25</t>
  </si>
  <si>
    <t>AOP негатив,
шт 07_25</t>
  </si>
  <si>
    <t>Прогноз,
шт 07_25</t>
  </si>
  <si>
    <t>Факт,
шт 07_25</t>
  </si>
  <si>
    <t>Комментарий 07_25</t>
  </si>
  <si>
    <t>AOP,
шт 08_25</t>
  </si>
  <si>
    <t>AOP негатив,
шт 08_25</t>
  </si>
  <si>
    <t>Прогноз,
шт 08_25</t>
  </si>
  <si>
    <t>Факт,
шт 08_25</t>
  </si>
  <si>
    <t>Комментарий 08_25</t>
  </si>
  <si>
    <t>AOP,
шт 09_25</t>
  </si>
  <si>
    <t>AOP негатив,
шт 09_25</t>
  </si>
  <si>
    <t>Прогноз,
шт 09_25</t>
  </si>
  <si>
    <t>Факт,
шт 09_25</t>
  </si>
  <si>
    <t>Комментарий 09_25</t>
  </si>
  <si>
    <t>AOP,
шт 10_25</t>
  </si>
  <si>
    <t>AOP негатив,
шт 10_25</t>
  </si>
  <si>
    <t>Прогноз,
шт 10_25</t>
  </si>
  <si>
    <t>Факт,
шт 10_25</t>
  </si>
  <si>
    <t>Комментарий 10_25</t>
  </si>
  <si>
    <t>AOP,
шт 11_25</t>
  </si>
  <si>
    <t>AOP негатив,
шт 11_25</t>
  </si>
  <si>
    <t>Прогноз,
шт 11_25</t>
  </si>
  <si>
    <t>Факт,
шт 11_25</t>
  </si>
  <si>
    <t>Комментарий 11_25</t>
  </si>
  <si>
    <t>AOP,
шт 12_25</t>
  </si>
  <si>
    <t>AOP негатив,
шт 12_25</t>
  </si>
  <si>
    <t>Прогноз,
шт 12_25</t>
  </si>
  <si>
    <t>Факт,
шт 12_25</t>
  </si>
  <si>
    <t>Комментарий 12_25</t>
  </si>
  <si>
    <t>AOP,
шт 2025</t>
  </si>
  <si>
    <t>Продажи AOP, CNY 2025</t>
  </si>
  <si>
    <t>AOP негатив,
шт 2025</t>
  </si>
  <si>
    <t>Продажи AOP негатив, CNY 2025</t>
  </si>
  <si>
    <t>Прогноз,
шт 20252</t>
  </si>
  <si>
    <t>Прогноз,
CNY 2025</t>
  </si>
  <si>
    <t>Факт,
шт 20253</t>
  </si>
  <si>
    <t>Факт,
CNY 2025</t>
  </si>
  <si>
    <t>TEBS</t>
  </si>
  <si>
    <t xml:space="preserve">TEBS 2s/2m 
12м </t>
  </si>
  <si>
    <t>LACV</t>
  </si>
  <si>
    <t>TABS W</t>
  </si>
  <si>
    <t>TABS 2s/2m 12м W</t>
  </si>
  <si>
    <t>TABS 3m</t>
  </si>
  <si>
    <t>Компоненты</t>
  </si>
  <si>
    <t>TEBS W</t>
  </si>
  <si>
    <t>TEBS 4s/3m W</t>
  </si>
  <si>
    <t>Электропневматический блок клапанов TEBS_4801020640 
(серт. СТ-1, не в комплекте)</t>
  </si>
  <si>
    <t>Итого:</t>
  </si>
  <si>
    <t>ПРОИЗВОДИТЕЛИ суммарно</t>
  </si>
  <si>
    <t>Прогноз,
CNY 2024</t>
  </si>
  <si>
    <t xml:space="preserve">TEBS 2s/2m 
15м </t>
  </si>
  <si>
    <t>Модулятор EBS, с PEM, без фит. без CAN</t>
  </si>
  <si>
    <t>САВ</t>
  </si>
  <si>
    <t>УСТ</t>
  </si>
  <si>
    <t>LACVx2+TH+FL</t>
  </si>
  <si>
    <t>TEBS 4s/2m 
12м</t>
  </si>
  <si>
    <t>ЧМЗАП</t>
  </si>
  <si>
    <t>БЗАП</t>
  </si>
  <si>
    <t>TEBS 2s/2m 
15м</t>
  </si>
  <si>
    <t>УЗСТ</t>
  </si>
  <si>
    <t>Хартунг</t>
  </si>
  <si>
    <t>ЧКПЗ</t>
  </si>
  <si>
    <t>Ютерборг</t>
  </si>
  <si>
    <t>ВСТ</t>
  </si>
  <si>
    <t>ЗТМ</t>
  </si>
  <si>
    <t>TABS 2s/2m ПЦ 12м W</t>
  </si>
  <si>
    <t>Новус Трейлер</t>
  </si>
  <si>
    <t>ПК УСПТ</t>
  </si>
  <si>
    <t>СГР</t>
  </si>
  <si>
    <t>Дело техники</t>
  </si>
  <si>
    <t>ИксТехн</t>
  </si>
  <si>
    <t>САП</t>
  </si>
  <si>
    <t>ТрансПрицеп</t>
  </si>
  <si>
    <t>Форсмакс</t>
  </si>
  <si>
    <t>ЧДМ</t>
  </si>
  <si>
    <t>ЗАПАС</t>
  </si>
  <si>
    <t>Комплект</t>
  </si>
  <si>
    <t>Пр</t>
  </si>
  <si>
    <t>Обозначение</t>
  </si>
  <si>
    <t>Кол-во</t>
  </si>
  <si>
    <t>Наименование комплекта</t>
  </si>
  <si>
    <t>Проверка двойного артикула</t>
  </si>
  <si>
    <t>Проверка двойного комплекта</t>
  </si>
  <si>
    <t>Проверка наличия в плане</t>
  </si>
  <si>
    <t>Тип</t>
  </si>
  <si>
    <t>Артикул</t>
  </si>
  <si>
    <t>Проверка наличия в планах</t>
  </si>
  <si>
    <t>Проверка наличия в ПНЕВМАТИКЕ</t>
  </si>
  <si>
    <t>Проверка наличия в ТОРМОЗЕ</t>
  </si>
  <si>
    <t>/АБС/ЕБС</t>
  </si>
  <si>
    <t>_Тормоз</t>
  </si>
  <si>
    <t>АБС</t>
  </si>
  <si>
    <t>Диагностика</t>
  </si>
  <si>
    <t>ЕБС</t>
  </si>
  <si>
    <t>Кабель модулятора EBS, 1 м</t>
  </si>
  <si>
    <t>Кабель датчика АБС, 4 м</t>
  </si>
  <si>
    <t>Кабель датчика АБС, 5 м</t>
  </si>
  <si>
    <t>ОТС</t>
  </si>
  <si>
    <t>Клапан быстрого растормаживания энергоаккумуляторов</t>
  </si>
  <si>
    <t>Пневмоподвеска</t>
  </si>
  <si>
    <t>ТКЭА</t>
  </si>
  <si>
    <t>Трубка</t>
  </si>
  <si>
    <t>Универсальный</t>
  </si>
  <si>
    <t>Шланг</t>
  </si>
  <si>
    <t>Клиент:</t>
  </si>
  <si>
    <t>Прод</t>
  </si>
  <si>
    <t>П- 
01</t>
  </si>
  <si>
    <t>П- 
02</t>
  </si>
  <si>
    <t>П- 
03</t>
  </si>
  <si>
    <t>П- 
04</t>
  </si>
  <si>
    <t>П- 
05</t>
  </si>
  <si>
    <t>П- 
06</t>
  </si>
  <si>
    <t>П- 
07</t>
  </si>
  <si>
    <t>П- 
08</t>
  </si>
  <si>
    <t>П- 
09</t>
  </si>
  <si>
    <t>П- 
10</t>
  </si>
  <si>
    <t>П- 
11</t>
  </si>
  <si>
    <t>П- 
12</t>
  </si>
  <si>
    <t>П- 
2025</t>
  </si>
  <si>
    <t>Ф- 
01</t>
  </si>
  <si>
    <t>Ф- 
02</t>
  </si>
  <si>
    <t>Ф- 
03</t>
  </si>
  <si>
    <t>Ф- 
04</t>
  </si>
  <si>
    <t>Ф- 
05</t>
  </si>
  <si>
    <t>Ф- 
06</t>
  </si>
  <si>
    <t>Ф- 
07</t>
  </si>
  <si>
    <t>Ф- 
08</t>
  </si>
  <si>
    <t>Ф- 
09</t>
  </si>
  <si>
    <t>Ф- 
10</t>
  </si>
  <si>
    <t>Ф- 
11</t>
  </si>
  <si>
    <t>Ф- 
12</t>
  </si>
  <si>
    <t>Ф- 
2025</t>
  </si>
  <si>
    <t>Ключ</t>
  </si>
  <si>
    <t>ПР 26</t>
  </si>
  <si>
    <t>ПР 27</t>
  </si>
  <si>
    <t>ПР 28</t>
  </si>
  <si>
    <t>Параметры для сдвига расчета:</t>
  </si>
  <si>
    <t>стр. н.</t>
  </si>
  <si>
    <t>стр. к.</t>
  </si>
  <si>
    <t>стл. н.</t>
  </si>
  <si>
    <t>шаг</t>
  </si>
  <si>
    <t>П</t>
  </si>
  <si>
    <t>Ф</t>
  </si>
  <si>
    <t>Значения для сдвига расчета:</t>
  </si>
  <si>
    <t>Арт_Пнев_Под_2</t>
  </si>
  <si>
    <t>Комплект пневматики</t>
  </si>
  <si>
    <t>4006061140К1.</t>
  </si>
  <si>
    <t>6402250560 AC Тормоз дисковый ( левый )</t>
  </si>
  <si>
    <t>6402250570 AC Тормоз дисковый ( правый )</t>
  </si>
  <si>
    <t>6402250560 AA Тормоз дисковый ( левый )</t>
  </si>
  <si>
    <t>6402250570 AA Тормоз дисковый ( правый )</t>
  </si>
  <si>
    <t>6402250560 AD Тормоз дисковый ( левый )</t>
  </si>
  <si>
    <t>6402250570 AD Тормоз дисковый ( правый )</t>
  </si>
  <si>
    <t>Прицепная техника (УЗСТ)</t>
  </si>
  <si>
    <t>Комплект расширения "TEBS 3M (6 м)"</t>
  </si>
  <si>
    <t>2027 _ НЕ АКТУАЛИЗИРУЕТСЯ</t>
  </si>
  <si>
    <t>2028 _ НЕ АКТУАЛИЗИРУЕТСЯ</t>
  </si>
  <si>
    <t>Кабель клапана ускорительного TEBS (6 м)</t>
  </si>
  <si>
    <t>Кабель клапана ускорительного TEBS (12 м)</t>
  </si>
  <si>
    <t>Клапан ускорительный TEBS</t>
  </si>
  <si>
    <t>Комплект расширения "ABS 3M (10 / 3 м)"</t>
  </si>
  <si>
    <t>2026-I</t>
  </si>
  <si>
    <t>0 - для АОП</t>
  </si>
  <si>
    <t>=</t>
  </si>
  <si>
    <t>П- 
2026</t>
  </si>
  <si>
    <t>Ф- 
2026</t>
  </si>
  <si>
    <t>СТК</t>
  </si>
  <si>
    <t>ИТОГО</t>
  </si>
  <si>
    <t>ВСЕ ТОРМОЗ</t>
  </si>
  <si>
    <t>НДС_20 Проверка</t>
  </si>
  <si>
    <t xml:space="preserve">  </t>
  </si>
  <si>
    <t>Комплект базовый "ABS W 2S/2M (12 м)"</t>
  </si>
  <si>
    <t>Комплект базовый "ABS W 4S/2M (12 м)"</t>
  </si>
  <si>
    <t>Комплект базовый "ABS W 4S/3M (12 м)"</t>
  </si>
  <si>
    <t>Комплект базовый "ABS W 2S/2M (15 м)"</t>
  </si>
  <si>
    <t>Комплект базовый "ABS W 4S/2M (15 м)"</t>
  </si>
  <si>
    <t>Комплект базовый "ABS W 4S/3M (15 м)"</t>
  </si>
  <si>
    <t xml:space="preserve">   </t>
  </si>
  <si>
    <t>Примечание</t>
  </si>
  <si>
    <t>4006061140К1. / Блок 088 + кабель 370</t>
  </si>
  <si>
    <t>4006061140K / Блок 088 + кабель 370</t>
  </si>
  <si>
    <t>4006061140К3 / Блок 088 + кабель 370</t>
  </si>
  <si>
    <t>Комплект клапана подъёма оси LACV (6 м)</t>
  </si>
  <si>
    <t>Комплект "TEBS W 2S/2M (12 м)"</t>
  </si>
  <si>
    <t>Комплект "Пневматическая подвеска с АРТС"</t>
  </si>
  <si>
    <t>Комплект "CAN-Репитер W (40 м)"</t>
  </si>
  <si>
    <t>Комплект "TEBS 4S/2M" специальный</t>
  </si>
  <si>
    <t>Комплект базовый "TEBS 2S/2M (12 м)"</t>
  </si>
  <si>
    <t>Комплект базовый "TEBS 4S/2M (12 м)"</t>
  </si>
  <si>
    <t>Комплект базовый "TEBS 2S/2M (15 м)"</t>
  </si>
  <si>
    <t>Проверка наличия в Комплектах</t>
  </si>
  <si>
    <t>№ п/п</t>
  </si>
  <si>
    <t>Комплект "Пневматическая подвеска без АРТС"</t>
  </si>
  <si>
    <t>Комплект "TEBS W 4S/2M (12 м)"</t>
  </si>
  <si>
    <t>Комплект "TEBS 2S/2M (15 м)"</t>
  </si>
  <si>
    <t>Комплект базовый "TEBS 2S/2M (18 м W)"</t>
  </si>
  <si>
    <t>Отсрочка 10 дней</t>
  </si>
  <si>
    <t>Комплект системы контроля "OptiLink W"</t>
  </si>
  <si>
    <t>Блок OptiLink</t>
  </si>
  <si>
    <t>Кабель OptiLink/OptiTire (12 м)</t>
  </si>
  <si>
    <t>НДС Проверка</t>
  </si>
  <si>
    <t>Комплект "TEBS 4S/3M (15 м)" специальный</t>
  </si>
  <si>
    <t>Набегающий итог ФАКТ + ПРОГНОЗ</t>
  </si>
  <si>
    <t>х</t>
  </si>
  <si>
    <t>Комплект "TEBS 2S/2M (15 м)" стандарт</t>
  </si>
  <si>
    <t>Комплект "TEBS 2S/2M (12 м)" стандарт</t>
  </si>
  <si>
    <t>Комплект "TEBS 2S/2M (18 м)" стандарт</t>
  </si>
  <si>
    <t>УЛЬТРА ГРУПП ООО</t>
  </si>
  <si>
    <t>ПАО «Уралавтоприцеп»</t>
  </si>
  <si>
    <t>СПЕЦАВТО-ВОСТОК ООО</t>
  </si>
  <si>
    <t>АВТОВИК ООО / AVTOVIK OOO</t>
  </si>
  <si>
    <t>ПЛАНТ ООО</t>
  </si>
  <si>
    <t>АВГ АВТОКОМПОНЕНТЫ ООО</t>
  </si>
  <si>
    <t>АВТОКОМПОНЕНТ НАО</t>
  </si>
  <si>
    <t>НПО РОСТАР ООО</t>
  </si>
  <si>
    <t>BPW (нет в системе)</t>
  </si>
  <si>
    <t>HJBridge (нет в системе)</t>
  </si>
  <si>
    <t>СТК ООО</t>
  </si>
  <si>
    <t>ПОЛИТРАНС ООО ПКФ</t>
  </si>
  <si>
    <t>ПРИЦЕПНАЯ ТЕХНИКА ООО</t>
  </si>
  <si>
    <t>НОВОСИБАРЗ АО</t>
  </si>
  <si>
    <t>мое предложение названия
Комплект "Модулятор TEBS 2S/2M (15 м)"</t>
  </si>
  <si>
    <t>Комплект базовый "TEBS W 4S/2M (12 м)"</t>
  </si>
  <si>
    <t>Комплект базовый "TEBS W 2S/2M (12 м)"</t>
  </si>
  <si>
    <t>Блок 088 + кабель 370</t>
  </si>
  <si>
    <t>Блок 081 + кабель 379</t>
  </si>
  <si>
    <t>Воздух 040 + Кран 051</t>
  </si>
  <si>
    <t>TEBS ЮТ4801020640 / Воздух 040 + Кран 051</t>
  </si>
  <si>
    <t>ПРЕВ</t>
  </si>
  <si>
    <t>Блок 088 + кабель 379</t>
  </si>
  <si>
    <t>Комплект расширения "TEBS 3M (12 м)"</t>
  </si>
  <si>
    <t>Комплект головок соединительных (4522000110+4522002110, красные, М22х1,5)</t>
  </si>
  <si>
    <t>Комплект головок соединительных (4522000120+4522002120, желтые, М22х1,5)</t>
  </si>
  <si>
    <t>Комплект головок соединительных (9522000210+95220022100, красные, М16х1,5)</t>
  </si>
  <si>
    <t>Комплект головок соединительных (9522000220+95220022200, желтые, М16х1,5)</t>
  </si>
  <si>
    <t>Прогноз продаж по месяцам 2025, шт.</t>
  </si>
  <si>
    <t>Фактические продажи по месяцам 2025, шт.</t>
  </si>
  <si>
    <t>Прогноз продаж по месяцам 2026, шт.</t>
  </si>
  <si>
    <t>Фактические продажи по месяцам 2026,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</si>
</sst>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8"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\ &quot;€&quot;_-;\-* #,##0\ &quot;€&quot;_-;_-* &quot;-&quot;\ &quot;€&quot;_-;_-@_-"/>
    <numFmt numFmtId="165" formatCode="_-* #,##0.00\ [$€]_-;\-* #,##0.00\ [$€]_-;_-* &quot;-&quot;??\ [$€]_-;_-@_-"/>
    <numFmt numFmtId="166" formatCode="&quot;$&quot;#,##0;[Red]\-&quot;$&quot;#,##0"/>
    <numFmt numFmtId="167" formatCode="_(&quot;$&quot;* #,##0.00_);_(&quot;$&quot;* \(#,##0.00\);_(&quot;$&quot;* &quot;-&quot;??_);_(@_)"/>
    <numFmt numFmtId="168" formatCode="_-* #,##0\ _€_-;\-* #,##0\ _€_-;_-* &quot;-&quot;\ _€_-;_-@_-"/>
    <numFmt numFmtId="169" formatCode="[$-409]d/mmm/yy;@"/>
    <numFmt numFmtId="170" formatCode="_ &quot;\&quot;* #,##0_ ;_ &quot;\&quot;* \-#,##0_ ;_ &quot;\&quot;* &quot;-&quot;_ ;_ @_ "/>
    <numFmt numFmtId="171" formatCode="_ &quot;\&quot;* #,##0.00_ ;_ &quot;\&quot;* \-#,##0.00_ ;_ &quot;\&quot;* &quot;-&quot;??_ ;_ @_ "/>
    <numFmt numFmtId="172" formatCode="_ * #,##0_ ;_ * \-#,##0_ ;_ * &quot;-&quot;_ ;_ @_ "/>
    <numFmt numFmtId="173" formatCode="_ * #,##0.00_ ;_ * \-#,##0.00_ ;_ * &quot;-&quot;??_ ;_ @_ "/>
    <numFmt numFmtId="174" formatCode="0.0%;\(0.0%\)"/>
    <numFmt numFmtId="175" formatCode="0.0%"/>
    <numFmt numFmtId="176" formatCode="&quot;$&quot;#,##0;\-&quot;$&quot;#,##0"/>
    <numFmt numFmtId="177" formatCode="0%_);\(0%\)"/>
    <numFmt numFmtId="178" formatCode="#,##0.00&quot;£&quot;_);\(#,##0.00&quot;£&quot;\)"/>
    <numFmt numFmtId="179" formatCode="#,##0.00&quot;£&quot;_);[Red]\(#,##0.00&quot;£&quot;\)"/>
    <numFmt numFmtId="180" formatCode="_ * #,##0_)&quot;£&quot;_ ;_ * \(#,##0\)&quot;£&quot;_ ;_ * &quot;-&quot;_)&quot;£&quot;_ ;_ @_ "/>
    <numFmt numFmtId="181" formatCode="_ * #,##0_)_£_ ;_ * \(#,##0\)_£_ ;_ * &quot;-&quot;_)_£_ ;_ @_ "/>
    <numFmt numFmtId="182" formatCode="#,##0&quot;£&quot;_);[Red]\(#,##0&quot;£&quot;\)"/>
    <numFmt numFmtId="183" formatCode="_ * #,##0.00_)&quot;£&quot;_ ;_ * \(#,##0.00\)&quot;£&quot;_ ;_ * &quot;-&quot;??_)&quot;£&quot;_ ;_ @_ "/>
    <numFmt numFmtId="184" formatCode="_(* #,##0.0_);_(* \(#,##0.0\);_(* &quot;-&quot;??_);_(@_)"/>
    <numFmt numFmtId="185" formatCode="&quot;$&quot;#,##0"/>
    <numFmt numFmtId="186" formatCode="_-* #,##0.00\ _€_-;\-* #,##0.00\ _€_-;_-* &quot;-&quot;??\ _€_-;_-@_-"/>
    <numFmt numFmtId="187" formatCode="_-* #,##0.00\ _₽_-;\-* #,##0.00\ _₽_-;_-* &quot;-&quot;??\ _₽_-;_-@_-"/>
    <numFmt numFmtId="188" formatCode="_-* #,##0_-;\-* #,##0_-;_-* &quot;-&quot;??_-;_-@_-"/>
    <numFmt numFmtId="189" formatCode="_-* #,##0.00_р_._-;\-* #,##0.00_р_._-;_-* &quot;-&quot;??_р_._-;_-@_-"/>
    <numFmt numFmtId="190" formatCode="&quot;$&quot;#,##0_);[Red]\(&quot;$&quot;#,##0\)"/>
    <numFmt numFmtId="191" formatCode="&quot;$&quot;#,##0.00;[Red]\-&quot;$&quot;#,##0.00"/>
    <numFmt numFmtId="192" formatCode="&quot;$&quot;#,##0.00_);[Red]\(&quot;$&quot;#,##0.00\)"/>
    <numFmt numFmtId="193" formatCode="_-&quot;£&quot;* #,##0.00_-;\-&quot;£&quot;* #,##0.00_-;_-&quot;£&quot;* &quot;-&quot;??_-;_-@_-"/>
    <numFmt numFmtId="194" formatCode="&quot;$&quot;#,##0\ ;\(&quot;$&quot;#,##0\)"/>
    <numFmt numFmtId="195" formatCode="00##"/>
    <numFmt numFmtId="196" formatCode="#,##0\ &quot;€&quot;;\-#,##0\ &quot;€&quot;"/>
    <numFmt numFmtId="197" formatCode="_-* #,##0.00\ _z_³_-;\-* #,##0.00\ _z_³_-;_-* &quot;-&quot;??\ _z_³_-;_-@_-"/>
    <numFmt numFmtId="198" formatCode="#,##0.0_);\(#,##0.0\)"/>
    <numFmt numFmtId="199" formatCode="#,##0.000_);\(#,##0.000\)"/>
    <numFmt numFmtId="200" formatCode="0.0"/>
    <numFmt numFmtId="201" formatCode="_-* #,##0\ _к_._-;\-* #,##0\ _к_._-;_-* &quot;-&quot;\ _к_._-;_-@_-"/>
    <numFmt numFmtId="202" formatCode="_-&quot;Ј&quot;* #,##0_-;\-&quot;Ј&quot;* #,##0_-;_-&quot;Ј&quot;* &quot;-&quot;_-;_-@_-"/>
    <numFmt numFmtId="203" formatCode="#,##0.00&quot; &quot;;[Red]\-#,##0.00&quot; &quot;"/>
    <numFmt numFmtId="204" formatCode="0.000"/>
    <numFmt numFmtId="205" formatCode="[White]#,##0&quot; &quot;;[Red]\-#,##0&quot; &quot;"/>
    <numFmt numFmtId="206" formatCode="\(0.0\)"/>
    <numFmt numFmtId="207" formatCode="#,##0\ &quot;Än÷&quot;;[Red]\-#,##0\ &quot;Än÷&quot;"/>
    <numFmt numFmtId="208" formatCode="_-* #,##0.00\ _к_._-;\-* #,##0.00\ _к_._-;_-* &quot;-&quot;??\ _к_._-;_-@_-"/>
    <numFmt numFmtId="209" formatCode="_-&quot;Ј&quot;* #,##0.00_-;\-&quot;Ј&quot;* #,##0.00_-;_-&quot;Ј&quot;* &quot;-&quot;??_-;_-@_-"/>
    <numFmt numFmtId="210" formatCode="#,##0.0"/>
    <numFmt numFmtId="211" formatCode="#,##0\ &quot;zl&quot;;[Red]\-#,##0\ &quot;zl&quot;"/>
    <numFmt numFmtId="212" formatCode="#,##0.00\ &quot;Än÷&quot;;[Red]\-#,##0.00\ &quot;Än÷&quot;"/>
    <numFmt numFmtId="213" formatCode="_-* #,##0.00\ &quot;€&quot;_-;\-* #,##0.00\ &quot;€&quot;_-;_-* &quot;-&quot;??\ &quot;€&quot;_-;_-@_-"/>
    <numFmt numFmtId="214" formatCode="[Magenta]&quot;Err&quot;;[Magenta]&quot;Err&quot;;[Blue]&quot;OK&quot;"/>
    <numFmt numFmtId="215" formatCode="#,##0_);[Red]\(#,##0\);\-_)"/>
    <numFmt numFmtId="216" formatCode="0.0_)%;[Red]\(0.0%\);0.0_)%"/>
    <numFmt numFmtId="217" formatCode="[Red][&gt;1]&quot;&gt;100 %&quot;;[Red]\(0.0%\);0.0_)%"/>
    <numFmt numFmtId="218" formatCode="_-* #,##0\ _D_M_-;\-* #,##0\ _D_M_-;_-* &quot;-&quot;\ _D_M_-;_-@_-"/>
    <numFmt numFmtId="219" formatCode="_-* #,##0.00\ _D_M_-;\-* #,##0.00\ _D_M_-;_-* &quot;-&quot;??\ _D_M_-;_-@_-"/>
    <numFmt numFmtId="220" formatCode="0.00%;\(0.00%\)"/>
    <numFmt numFmtId="221" formatCode="0."/>
    <numFmt numFmtId="222" formatCode="&quot;Market Segment &quot;0"/>
    <numFmt numFmtId="223" formatCode="_ * #,##0.00_)\ _R_$_ ;_ * \(#,##0.00\)\ _R_$_ ;_ * &quot;-&quot;??_)\ _R_$_ ;_ @_ "/>
    <numFmt numFmtId="224" formatCode="#,##0\ &quot;R$&quot;;\-#,##0\ &quot;R$&quot;"/>
    <numFmt numFmtId="225" formatCode="_(&quot;$&quot;* #,##0_);_(&quot;$&quot;* \(#,##0\);_(&quot;$&quot;* &quot;-&quot;_);_(@_)"/>
    <numFmt numFmtId="226" formatCode="#,##0\ &quot;DM&quot;;\-#,##0\ &quot;DM&quot;"/>
    <numFmt numFmtId="227" formatCode=".0%;\(.0%\)"/>
    <numFmt numFmtId="228" formatCode="#,##0.0_);[Red]\(#,##0.0\)"/>
    <numFmt numFmtId="229" formatCode="0.00%_);\(0.00%\)"/>
    <numFmt numFmtId="230" formatCode="_-* #,##0\ &quot;DM&quot;_-;\-* #,##0\ &quot;DM&quot;_-;_-* &quot;-&quot;\ &quot;DM&quot;_-;_-@_-"/>
    <numFmt numFmtId="231" formatCode="_-* #,##0.00\ &quot;DM&quot;_-;\-* #,##0.00\ &quot;DM&quot;_-;_-* &quot;-&quot;??\ &quot;DM&quot;_-;_-@_-"/>
    <numFmt numFmtId="232" formatCode="_-* #,##0\ &quot;z³&quot;_-;\-* #,##0\ &quot;z³&quot;_-;_-* &quot;-&quot;\ &quot;z³&quot;_-;_-@_-"/>
    <numFmt numFmtId="233" formatCode="0%;\(0%\)"/>
    <numFmt numFmtId="234" formatCode="#,##0.00\ &quot;DM&quot;;\-#,##0.00\ &quot;DM&quot;"/>
    <numFmt numFmtId="235" formatCode="#,##0\ &quot;€&quot;;[Red]\-#,##0\ &quot;€&quot;"/>
    <numFmt numFmtId="236" formatCode="_ * #,##0_)\ _R_$_ ;_ * \(#,##0\)\ _R_$_ ;_ * &quot;-&quot;_)\ _R_$_ ;_ @_ "/>
    <numFmt numFmtId="237" formatCode="_ * #,##0.00_)_£_ ;_ * \(#,##0.00\)_£_ ;_ * &quot;-&quot;??_)_£_ ;_ @_ "/>
    <numFmt numFmtId="238" formatCode="#,##0\ &quot;F&quot;;\-#,##0\ &quot;F&quot;"/>
    <numFmt numFmtId="239" formatCode="_-* #,##0\ _z_³_-;\-* #,##0\ _z_³_-;_-* &quot;-&quot;\ _z_³_-;_-@_-"/>
    <numFmt numFmtId="240" formatCode="_-* #,##0.00\ &quot;z³&quot;_-;\-* #,##0.00\ &quot;z³&quot;_-;_-* &quot;-&quot;??\ &quot;z³&quot;_-;_-@_-"/>
    <numFmt numFmtId="241" formatCode="#,##0\ &quot;DM&quot;;[Red]\-#,##0\ &quot;DM&quot;"/>
    <numFmt numFmtId="242" formatCode="#,##0.00\ &quot;DM&quot;;[Red]\-#,##0.00\ &quot;DM&quot;"/>
    <numFmt numFmtId="243" formatCode="#,##0&quot; &quot;;[Red]\-#,##0&quot; &quot;"/>
    <numFmt numFmtId="244" formatCode="[Blue]#,##0&quot; &quot;;[Red]\-#,##0&quot; &quot;"/>
    <numFmt numFmtId="245" formatCode="_-* #,##0\ &quot;р.&quot;_-;\-* #,##0\ &quot;р.&quot;_-;_-* &quot;-&quot;\ &quot;р.&quot;_-;_-@_-"/>
    <numFmt numFmtId="246" formatCode="_-* #,##0.00\ &quot;р.&quot;_-;\-* #,##0.00\ &quot;р.&quot;_-;_-* &quot;-&quot;??\ &quot;р.&quot;_-;_-@_-"/>
    <numFmt numFmtId="247" formatCode="#,##0.0;[Red]\-#,##0.0;&quot;---&quot;"/>
    <numFmt numFmtId="248" formatCode="_-* #,##0\ _р_._-;\-* #,##0\ _р_._-;_-* &quot;-&quot;\ _р_._-;_-@_-"/>
    <numFmt numFmtId="249" formatCode="_-* #,##0.00\ _р_._-;\-* #,##0.00\ _р_._-;_-* &quot;-&quot;??\ _р_._-;_-@_-"/>
    <numFmt numFmtId="250" formatCode="\-00##"/>
    <numFmt numFmtId="251" formatCode="&quot;\&quot;#,##0.00;[Red]\-&quot;\&quot;#,##0.00"/>
    <numFmt numFmtId="252" formatCode="&quot;\&quot;#,##0.00;[Red]&quot;\&quot;\-#,##0.00"/>
    <numFmt numFmtId="253" formatCode="&quot;\&quot;#,##0;[Red]&quot;\&quot;\-#,##0"/>
    <numFmt numFmtId="254" formatCode="0.0000_);[Red]\(0.0000\)"/>
    <numFmt numFmtId="255" formatCode="_ \¥* #,##0.00_ ;_ \¥* \-#,##0.00_ ;_ \¥* &quot;-&quot;??_ ;_ @_ "/>
    <numFmt numFmtId="256" formatCode="_-\¥* #,##0.00_-;\-\¥* #,##0.00_-;_-\¥* &quot;-&quot;??_-;_-@_-"/>
    <numFmt numFmtId="257" formatCode="#,##0;#,##0;"/>
    <numFmt numFmtId="258" formatCode="[$-419]mmmm\ yyyy;@"/>
  </numFmts>
  <fonts count="218">
    <font>
      <sz val="11"/>
      <color theme="1"/>
      <name val="Calibri"/>
      <scheme val="minor"/>
    </font>
    <font>
      <sz val="10"/>
      <name val="Arial"/>
      <family val="2"/>
      <charset val="204"/>
    </font>
    <font>
      <sz val="12"/>
      <name val="Arial MT"/>
    </font>
    <font>
      <sz val="10"/>
      <name val="MS Sans Serif"/>
    </font>
    <font>
      <b/>
      <sz val="15"/>
      <color indexed="45"/>
      <name val="Calibri"/>
      <family val="2"/>
      <charset val="204"/>
    </font>
    <font>
      <b/>
      <sz val="15"/>
      <color rgb="FF286676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3"/>
      <color indexed="45"/>
      <name val="Calibri"/>
      <family val="2"/>
      <charset val="204"/>
    </font>
    <font>
      <b/>
      <sz val="13"/>
      <color rgb="FF286676"/>
      <name val="Calibri"/>
      <family val="2"/>
      <charset val="204"/>
    </font>
    <font>
      <b/>
      <sz val="11"/>
      <color indexed="45"/>
      <name val="Calibri"/>
      <family val="2"/>
      <charset val="204"/>
    </font>
    <font>
      <b/>
      <sz val="11"/>
      <color rgb="FF286676"/>
      <name val="Calibri"/>
      <family val="2"/>
      <charset val="204"/>
    </font>
    <font>
      <b/>
      <sz val="11"/>
      <color indexed="2"/>
      <name val="Calibri"/>
      <family val="2"/>
      <charset val="204"/>
    </font>
    <font>
      <sz val="11"/>
      <color indexed="50"/>
      <name val="Arial"/>
      <family val="2"/>
      <charset val="204"/>
    </font>
    <font>
      <sz val="11"/>
      <color rgb="FF4A3285"/>
      <name val="Arial"/>
      <family val="2"/>
      <charset val="204"/>
    </font>
    <font>
      <b/>
      <sz val="18"/>
      <color indexed="45"/>
      <name val="Cambria"/>
      <family val="1"/>
      <charset val="204"/>
    </font>
    <font>
      <b/>
      <sz val="18"/>
      <color rgb="FF286676"/>
      <name val="Cambria"/>
      <family val="1"/>
      <charset val="204"/>
    </font>
    <font>
      <sz val="11"/>
      <color indexed="17"/>
      <name val="Arial"/>
      <family val="2"/>
      <charset val="204"/>
    </font>
    <font>
      <b/>
      <sz val="11"/>
      <name val="Arial"/>
      <family val="2"/>
      <charset val="204"/>
    </font>
    <font>
      <sz val="11"/>
      <color indexed="20"/>
      <name val="Arial"/>
      <family val="2"/>
      <charset val="204"/>
    </font>
    <font>
      <i/>
      <sz val="11"/>
      <color indexed="22"/>
      <name val="Arial"/>
      <family val="2"/>
      <charset val="204"/>
    </font>
    <font>
      <i/>
      <sz val="11"/>
      <color indexed="23"/>
      <name val="Arial"/>
      <family val="2"/>
      <charset val="204"/>
    </font>
    <font>
      <sz val="8"/>
      <name val="Arial"/>
      <family val="2"/>
      <charset val="204"/>
    </font>
    <font>
      <sz val="11"/>
      <color indexed="18"/>
      <name val="Arial"/>
      <family val="2"/>
      <charset val="204"/>
    </font>
    <font>
      <sz val="11"/>
      <color indexed="19"/>
      <name val="Arial"/>
      <family val="2"/>
      <charset val="204"/>
    </font>
    <font>
      <sz val="11"/>
      <color indexed="2"/>
      <name val="Calibri"/>
      <family val="2"/>
      <charset val="204"/>
    </font>
    <font>
      <sz val="11"/>
      <color indexed="2"/>
      <name val="Arial"/>
      <family val="2"/>
      <charset val="204"/>
    </font>
    <font>
      <u/>
      <sz val="8"/>
      <color indexed="4"/>
      <name val="Arial"/>
      <family val="2"/>
      <charset val="204"/>
    </font>
    <font>
      <b/>
      <sz val="18"/>
      <color indexed="45"/>
      <name val="Arial"/>
      <family val="2"/>
      <charset val="204"/>
    </font>
    <font>
      <b/>
      <sz val="18"/>
      <color rgb="FF286676"/>
      <name val="Arial"/>
      <family val="2"/>
      <charset val="204"/>
    </font>
    <font>
      <b/>
      <sz val="11"/>
      <color indexed="65"/>
      <name val="Arial"/>
      <family val="2"/>
      <charset val="204"/>
    </font>
    <font>
      <sz val="11"/>
      <color indexed="65"/>
      <name val="Calibri"/>
      <family val="2"/>
      <charset val="204"/>
    </font>
    <font>
      <u/>
      <sz val="8"/>
      <color indexed="20"/>
      <name val="Arial"/>
      <family val="2"/>
      <charset val="204"/>
    </font>
    <font>
      <u/>
      <sz val="10"/>
      <color indexed="20"/>
      <name val="Arial"/>
      <family val="2"/>
      <charset val="204"/>
    </font>
    <font>
      <u/>
      <sz val="10"/>
      <color indexed="4"/>
      <name val="Arial"/>
      <family val="2"/>
      <charset val="204"/>
    </font>
    <font>
      <b/>
      <sz val="15"/>
      <color indexed="45"/>
      <name val="Arial"/>
      <family val="2"/>
      <charset val="204"/>
    </font>
    <font>
      <b/>
      <sz val="15"/>
      <color rgb="FF286676"/>
      <name val="Arial"/>
      <family val="2"/>
      <charset val="204"/>
    </font>
    <font>
      <b/>
      <sz val="13"/>
      <color indexed="45"/>
      <name val="Arial"/>
      <family val="2"/>
      <charset val="204"/>
    </font>
    <font>
      <b/>
      <sz val="13"/>
      <color rgb="FF286676"/>
      <name val="Arial"/>
      <family val="2"/>
      <charset val="204"/>
    </font>
    <font>
      <b/>
      <sz val="11"/>
      <color indexed="45"/>
      <name val="Arial"/>
      <family val="2"/>
      <charset val="204"/>
    </font>
    <font>
      <b/>
      <sz val="11"/>
      <color rgb="FF286676"/>
      <name val="Arial"/>
      <family val="2"/>
      <charset val="204"/>
    </font>
    <font>
      <b/>
      <sz val="11"/>
      <color indexed="2"/>
      <name val="Arial"/>
      <family val="2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indexed="65"/>
      <name val="Arial"/>
      <family val="2"/>
      <charset val="204"/>
    </font>
    <font>
      <sz val="12"/>
      <name val="Times New Roman"/>
      <family val="1"/>
      <charset val="204"/>
    </font>
    <font>
      <sz val="10"/>
      <name val="Geneva"/>
    </font>
    <font>
      <sz val="10"/>
      <name val="Helv"/>
    </font>
    <font>
      <sz val="10"/>
      <name val="Times New Roman"/>
      <family val="1"/>
      <charset val="204"/>
    </font>
    <font>
      <sz val="12"/>
      <name val="新細明體"/>
    </font>
    <font>
      <sz val="11"/>
      <name val="Arial"/>
      <family val="2"/>
      <charset val="204"/>
    </font>
    <font>
      <sz val="11"/>
      <color theme="1"/>
      <name val="Tahoma"/>
      <family val="2"/>
      <charset val="204"/>
    </font>
    <font>
      <sz val="11"/>
      <name val="宋体"/>
    </font>
    <font>
      <sz val="11"/>
      <color theme="0"/>
      <name val="Calibri"/>
      <family val="2"/>
      <charset val="204"/>
      <scheme val="minor"/>
    </font>
    <font>
      <sz val="11"/>
      <color indexed="65"/>
      <name val="宋体"/>
    </font>
    <font>
      <sz val="12"/>
      <name val="Helv"/>
    </font>
    <font>
      <sz val="11"/>
      <color theme="0"/>
      <name val="Tahoma"/>
      <family val="2"/>
      <charset val="204"/>
    </font>
    <font>
      <sz val="12"/>
      <name val="±¼¸²Ã¼"/>
    </font>
    <font>
      <sz val="12"/>
      <name val="¹UAAA¼"/>
    </font>
    <font>
      <sz val="12"/>
      <name val="Arial"/>
      <family val="2"/>
      <charset val="204"/>
    </font>
    <font>
      <sz val="14"/>
      <name val="Arial"/>
      <family val="2"/>
      <charset val="204"/>
    </font>
    <font>
      <sz val="11"/>
      <color rgb="FF9C0006"/>
      <name val="Tahoma"/>
      <family val="2"/>
      <charset val="204"/>
    </font>
    <font>
      <b/>
      <sz val="11"/>
      <color indexed="65"/>
      <name val="Calibri"/>
      <family val="2"/>
      <charset val="204"/>
    </font>
    <font>
      <sz val="10"/>
      <name val="Arial MT"/>
    </font>
    <font>
      <sz val="10"/>
      <name val="Tms Rmn"/>
    </font>
    <font>
      <sz val="12"/>
      <name val="µ¸¿òÃ¼"/>
    </font>
    <font>
      <b/>
      <sz val="11"/>
      <color indexed="52"/>
      <name val="Calibri"/>
      <family val="2"/>
      <charset val="204"/>
    </font>
    <font>
      <b/>
      <sz val="11"/>
      <color rgb="FFFA7D00"/>
      <name val="Tahoma"/>
      <family val="2"/>
      <charset val="204"/>
    </font>
    <font>
      <b/>
      <sz val="11"/>
      <color theme="0"/>
      <name val="Tahoma"/>
      <family val="2"/>
      <charset val="204"/>
    </font>
    <font>
      <sz val="10"/>
      <color indexed="4"/>
      <name val="Times New Roman"/>
      <family val="1"/>
      <charset val="204"/>
    </font>
    <font>
      <sz val="10"/>
      <color indexed="3"/>
      <name val="Times New Roman"/>
      <family val="1"/>
      <charset val="204"/>
    </font>
    <font>
      <sz val="10"/>
      <color indexed="2"/>
      <name val="Times New Roman"/>
      <family val="1"/>
      <charset val="204"/>
    </font>
    <font>
      <b/>
      <sz val="8"/>
      <name val="Arial"/>
      <family val="2"/>
      <charset val="204"/>
    </font>
    <font>
      <sz val="10"/>
      <color indexed="2"/>
      <name val="Arial Narrow"/>
      <family val="2"/>
      <charset val="204"/>
    </font>
    <font>
      <sz val="12"/>
      <name val="宋体"/>
    </font>
    <font>
      <sz val="11.5"/>
      <name val="隸書"/>
    </font>
    <font>
      <sz val="10"/>
      <name val="MS Serif"/>
    </font>
    <font>
      <sz val="12"/>
      <name val="Tms Rmn"/>
    </font>
    <font>
      <sz val="10"/>
      <name val=".VnArial"/>
    </font>
    <font>
      <b/>
      <sz val="10"/>
      <name val="Arial"/>
      <family val="2"/>
      <charset val="204"/>
    </font>
    <font>
      <b/>
      <sz val="12"/>
      <color indexed="65"/>
      <name val="Arial"/>
      <family val="2"/>
      <charset val="204"/>
    </font>
    <font>
      <sz val="12"/>
      <color indexed="22"/>
      <name val="Arial"/>
      <family val="2"/>
      <charset val="204"/>
    </font>
    <font>
      <sz val="8"/>
      <name val="CG Times (E1)"/>
    </font>
    <font>
      <sz val="8"/>
      <name val="Times New Roman"/>
      <family val="1"/>
      <charset val="204"/>
    </font>
    <font>
      <sz val="9"/>
      <name val="Tms Rmn"/>
    </font>
    <font>
      <sz val="10"/>
      <color indexed="16"/>
      <name val="MS Serif"/>
    </font>
    <font>
      <i/>
      <sz val="8"/>
      <name val="Arial Narrow"/>
      <family val="2"/>
      <charset val="204"/>
    </font>
    <font>
      <i/>
      <sz val="11"/>
      <color indexed="23"/>
      <name val="Calibri"/>
      <family val="2"/>
      <charset val="204"/>
    </font>
    <font>
      <i/>
      <sz val="11"/>
      <color rgb="FF7F7F7F"/>
      <name val="Tahoma"/>
      <family val="2"/>
      <charset val="204"/>
    </font>
    <font>
      <sz val="9"/>
      <color indexed="4"/>
      <name val="Arial"/>
      <family val="2"/>
      <charset val="204"/>
    </font>
    <font>
      <b/>
      <sz val="8"/>
      <color indexed="4"/>
      <name val="Arial"/>
      <family val="2"/>
      <charset val="204"/>
    </font>
    <font>
      <u/>
      <sz val="10"/>
      <name val="Arial"/>
      <family val="2"/>
      <charset val="204"/>
    </font>
    <font>
      <sz val="12"/>
      <color indexed="4"/>
      <name val="0"/>
    </font>
    <font>
      <sz val="10"/>
      <color indexed="4"/>
      <name val="0"/>
    </font>
    <font>
      <sz val="10"/>
      <name val="TimesNewRomanPS"/>
    </font>
    <font>
      <sz val="11"/>
      <color indexed="17"/>
      <name val="Calibri"/>
      <family val="2"/>
      <charset val="204"/>
    </font>
    <font>
      <sz val="11"/>
      <color rgb="FF006100"/>
      <name val="Tahoma"/>
      <family val="2"/>
      <charset val="204"/>
    </font>
    <font>
      <sz val="15.25"/>
      <name val="隸書"/>
    </font>
    <font>
      <b/>
      <sz val="12"/>
      <name val="Arial"/>
      <family val="2"/>
      <charset val="204"/>
    </font>
    <font>
      <b/>
      <sz val="12"/>
      <name val="Tahoma"/>
      <family val="2"/>
      <charset val="204"/>
    </font>
    <font>
      <b/>
      <sz val="18"/>
      <name val="Arial"/>
      <family val="2"/>
      <charset val="204"/>
    </font>
    <font>
      <b/>
      <sz val="15"/>
      <color theme="3"/>
      <name val="Tahoma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theme="3"/>
      <name val="Tahoma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theme="3"/>
      <name val="Tahoma"/>
      <family val="2"/>
      <charset val="204"/>
    </font>
    <font>
      <b/>
      <sz val="14"/>
      <name val="Arial"/>
      <family val="2"/>
      <charset val="204"/>
    </font>
    <font>
      <i/>
      <sz val="12"/>
      <name val="Arial"/>
      <family val="2"/>
      <charset val="204"/>
    </font>
    <font>
      <i/>
      <sz val="10"/>
      <name val="Arial"/>
      <family val="2"/>
      <charset val="204"/>
    </font>
    <font>
      <u/>
      <sz val="11"/>
      <color theme="10"/>
      <name val="Calibri"/>
      <family val="2"/>
      <charset val="204"/>
    </font>
    <font>
      <u/>
      <sz val="7.5"/>
      <color indexed="4"/>
      <name val="Arial"/>
      <family val="2"/>
      <charset val="204"/>
    </font>
    <font>
      <sz val="10"/>
      <name val="Arial Cyr"/>
    </font>
    <font>
      <sz val="10"/>
      <name val="Tahoma"/>
      <family val="2"/>
      <charset val="204"/>
    </font>
    <font>
      <sz val="8"/>
      <color indexed="4"/>
      <name val="Times New Roman"/>
      <family val="1"/>
      <charset val="204"/>
    </font>
    <font>
      <sz val="11"/>
      <color indexed="62"/>
      <name val="Calibri"/>
      <family val="2"/>
      <charset val="204"/>
    </font>
    <font>
      <sz val="11"/>
      <color rgb="FF3F3F76"/>
      <name val="Tahoma"/>
      <family val="2"/>
      <charset val="204"/>
    </font>
    <font>
      <sz val="18"/>
      <name val="Times New Roman"/>
      <family val="1"/>
      <charset val="204"/>
    </font>
    <font>
      <b/>
      <sz val="13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sz val="11"/>
      <name val="Times New Roman"/>
      <family val="1"/>
      <charset val="204"/>
    </font>
    <font>
      <u/>
      <sz val="5"/>
      <color indexed="4"/>
      <name val="Arial"/>
      <family val="2"/>
      <charset val="204"/>
    </font>
    <font>
      <sz val="11"/>
      <color indexed="52"/>
      <name val="Calibri"/>
      <family val="2"/>
      <charset val="204"/>
    </font>
    <font>
      <sz val="11"/>
      <color rgb="FFFA7D00"/>
      <name val="Tahoma"/>
      <family val="2"/>
      <charset val="204"/>
    </font>
    <font>
      <sz val="11"/>
      <color indexed="60"/>
      <name val="Calibri"/>
      <family val="2"/>
      <charset val="204"/>
    </font>
    <font>
      <sz val="11"/>
      <color rgb="FF9C5700"/>
      <name val="Tahoma"/>
      <family val="2"/>
      <charset val="204"/>
    </font>
    <font>
      <sz val="11"/>
      <color rgb="FF9C6500"/>
      <name val="Calibri"/>
      <family val="2"/>
      <charset val="204"/>
      <scheme val="minor"/>
    </font>
    <font>
      <sz val="7"/>
      <name val="Small Fonts"/>
    </font>
    <font>
      <sz val="11"/>
      <color theme="1"/>
      <name val="宋体"/>
    </font>
    <font>
      <b/>
      <i/>
      <sz val="16"/>
      <name val="Helv"/>
    </font>
    <font>
      <sz val="10"/>
      <color theme="1"/>
      <name val="Arial"/>
      <family val="2"/>
      <charset val="204"/>
    </font>
    <font>
      <sz val="10"/>
      <color theme="1"/>
      <name val="Tahoma"/>
      <family val="2"/>
      <charset val="204"/>
    </font>
    <font>
      <sz val="11"/>
      <color theme="1"/>
      <name val="Arial"/>
      <family val="2"/>
      <charset val="204"/>
    </font>
    <font>
      <b/>
      <i/>
      <sz val="10"/>
      <name val="Arial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rgb="FF3F3F3F"/>
      <name val="Tahoma"/>
      <family val="2"/>
      <charset val="204"/>
    </font>
    <font>
      <sz val="10"/>
      <name val="TimesET"/>
    </font>
    <font>
      <b/>
      <sz val="10"/>
      <name val="MS Sans Serif"/>
    </font>
    <font>
      <sz val="9"/>
      <name val="Arial"/>
      <family val="2"/>
      <charset val="204"/>
    </font>
    <font>
      <sz val="10"/>
      <color indexed="4"/>
      <name val="Arial"/>
      <family val="2"/>
      <charset val="204"/>
    </font>
    <font>
      <b/>
      <sz val="16"/>
      <color indexed="23"/>
      <name val="Arial"/>
      <family val="2"/>
      <charset val="204"/>
    </font>
    <font>
      <sz val="10"/>
      <color indexed="2"/>
      <name val="Arial"/>
      <family val="2"/>
      <charset val="204"/>
    </font>
    <font>
      <b/>
      <i/>
      <sz val="8"/>
      <name val="Arial"/>
      <family val="2"/>
      <charset val="204"/>
    </font>
    <font>
      <b/>
      <u val="double"/>
      <sz val="12"/>
      <name val="Arial Narrow"/>
      <family val="2"/>
      <charset val="204"/>
    </font>
    <font>
      <sz val="9"/>
      <color indexed="20"/>
      <name val="Arial"/>
      <family val="2"/>
      <charset val="204"/>
    </font>
    <font>
      <sz val="9"/>
      <color indexed="48"/>
      <name val="Arial"/>
      <family val="2"/>
      <charset val="204"/>
    </font>
    <font>
      <b/>
      <sz val="12"/>
      <color indexed="20"/>
      <name val="Arial"/>
      <family val="2"/>
      <charset val="204"/>
    </font>
    <font>
      <b/>
      <sz val="9"/>
      <color indexed="20"/>
      <name val="Arial"/>
      <family val="2"/>
      <charset val="204"/>
    </font>
    <font>
      <b/>
      <sz val="10"/>
      <name val="Tahoma"/>
      <family val="2"/>
      <charset val="204"/>
    </font>
    <font>
      <b/>
      <sz val="9"/>
      <name val="Arial"/>
      <family val="2"/>
      <charset val="204"/>
    </font>
    <font>
      <b/>
      <u/>
      <sz val="11"/>
      <name val="Times New Roman"/>
      <family val="1"/>
      <charset val="204"/>
    </font>
    <font>
      <b/>
      <sz val="8"/>
      <name val="Helv"/>
    </font>
    <font>
      <b/>
      <i/>
      <sz val="10"/>
      <name val="TimesET"/>
    </font>
    <font>
      <b/>
      <sz val="12"/>
      <name val="Univers (WN)"/>
    </font>
    <font>
      <sz val="10"/>
      <name val="Arial Narrow"/>
      <family val="2"/>
      <charset val="204"/>
    </font>
    <font>
      <b/>
      <sz val="8"/>
      <name val="Times New Roman"/>
      <family val="1"/>
      <charset val="204"/>
    </font>
    <font>
      <b/>
      <sz val="18"/>
      <color indexed="56"/>
      <name val="Cambria"/>
      <family val="1"/>
      <charset val="204"/>
    </font>
    <font>
      <sz val="18"/>
      <color theme="3"/>
      <name val="Calibri Light"/>
      <family val="2"/>
      <charset val="204"/>
      <scheme val="major"/>
    </font>
    <font>
      <b/>
      <sz val="18"/>
      <color theme="3"/>
      <name val="Calibri Light"/>
      <family val="2"/>
      <charset val="204"/>
      <scheme val="major"/>
    </font>
    <font>
      <b/>
      <sz val="11"/>
      <color theme="1"/>
      <name val="Tahoma"/>
      <family val="2"/>
      <charset val="204"/>
    </font>
    <font>
      <b/>
      <sz val="11"/>
      <name val="Calibri"/>
      <family val="2"/>
      <charset val="204"/>
    </font>
    <font>
      <sz val="10"/>
      <name val="Univers (E1)"/>
    </font>
    <font>
      <sz val="11"/>
      <color indexed="2"/>
      <name val="Tahoma"/>
      <family val="2"/>
      <charset val="204"/>
    </font>
    <font>
      <sz val="10"/>
      <name val="Times New Roman CE"/>
    </font>
    <font>
      <u/>
      <sz val="11"/>
      <color theme="10"/>
      <name val="Calibri"/>
      <family val="2"/>
      <charset val="204"/>
      <scheme val="minor"/>
    </font>
    <font>
      <b/>
      <sz val="10"/>
      <name val="NTHelvetica/Cyrillic"/>
    </font>
    <font>
      <sz val="12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 "/>
    </font>
    <font>
      <sz val="14"/>
      <name val="뼻뮝"/>
    </font>
    <font>
      <sz val="12"/>
      <name val="바탕체"/>
    </font>
    <font>
      <sz val="12"/>
      <name val="뼻뮝"/>
    </font>
    <font>
      <sz val="12"/>
      <name val=".VnArial"/>
    </font>
    <font>
      <sz val="12"/>
      <name val=".VnTime"/>
    </font>
    <font>
      <sz val="10"/>
      <name val="굴림체"/>
    </font>
    <font>
      <sz val="12"/>
      <name val="Courier"/>
    </font>
    <font>
      <u/>
      <sz val="12"/>
      <color indexed="20"/>
      <name val="新細明體"/>
    </font>
    <font>
      <sz val="11"/>
      <color indexed="17"/>
      <name val="宋体"/>
    </font>
    <font>
      <sz val="11"/>
      <color rgb="FF006100"/>
      <name val="Calibri"/>
      <family val="2"/>
      <charset val="204"/>
      <scheme val="minor"/>
    </font>
    <font>
      <sz val="11"/>
      <color indexed="20"/>
      <name val="宋体"/>
    </font>
    <font>
      <sz val="11"/>
      <color rgb="FF9C0006"/>
      <name val="Calibri"/>
      <family val="2"/>
      <charset val="204"/>
      <scheme val="minor"/>
    </font>
    <font>
      <sz val="10"/>
      <name val="宋体"/>
    </font>
    <font>
      <sz val="11"/>
      <color indexed="4"/>
      <name val="Arial Narrow"/>
      <family val="2"/>
      <charset val="204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8"/>
      <color indexed="56"/>
      <name val="宋体"/>
    </font>
    <font>
      <b/>
      <sz val="11"/>
      <color indexed="65"/>
      <name val="宋体"/>
    </font>
    <font>
      <b/>
      <sz val="11"/>
      <name val="宋体"/>
    </font>
    <font>
      <i/>
      <sz val="11"/>
      <color indexed="23"/>
      <name val="宋体"/>
    </font>
    <font>
      <sz val="11"/>
      <color indexed="2"/>
      <name val="宋体"/>
    </font>
    <font>
      <b/>
      <sz val="11"/>
      <color indexed="52"/>
      <name val="宋体"/>
    </font>
    <font>
      <u/>
      <sz val="12"/>
      <color indexed="4"/>
      <name val="新細明體"/>
    </font>
    <font>
      <u/>
      <sz val="12"/>
      <color indexed="4"/>
      <name val="宋体"/>
    </font>
    <font>
      <sz val="11"/>
      <color indexed="62"/>
      <name val="宋体"/>
    </font>
    <font>
      <b/>
      <sz val="11"/>
      <color indexed="63"/>
      <name val="宋体"/>
    </font>
    <font>
      <sz val="11"/>
      <color indexed="60"/>
      <name val="宋体"/>
    </font>
    <font>
      <sz val="11"/>
      <color indexed="52"/>
      <name val="宋体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2"/>
      <name val="Calibri"/>
      <family val="2"/>
      <charset val="204"/>
      <scheme val="minor"/>
    </font>
    <font>
      <sz val="11"/>
      <color rgb="FF222222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rgb="FF222222"/>
      <name val="Calibri"/>
      <family val="2"/>
      <charset val="204"/>
      <scheme val="minor"/>
    </font>
    <font>
      <b/>
      <sz val="48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222222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indexed="81"/>
      <name val="Tahoma"/>
      <charset val="1"/>
    </font>
  </fonts>
  <fills count="168">
    <fill>
      <patternFill patternType="none"/>
    </fill>
    <fill>
      <patternFill patternType="gray125"/>
    </fill>
    <fill>
      <patternFill patternType="solid">
        <fgColor indexed="7"/>
        <bgColor indexed="7"/>
      </patternFill>
    </fill>
    <fill>
      <patternFill patternType="solid">
        <fgColor rgb="FFDD9CB3"/>
        <bgColor rgb="FFDD9CB3"/>
      </patternFill>
    </fill>
    <fill>
      <patternFill patternType="solid">
        <fgColor indexed="65"/>
      </patternFill>
    </fill>
    <fill>
      <patternFill patternType="solid">
        <fgColor indexed="29"/>
        <bgColor indexed="29"/>
      </patternFill>
    </fill>
    <fill>
      <patternFill patternType="solid">
        <fgColor indexed="51"/>
        <bgColor indexed="51"/>
      </patternFill>
    </fill>
    <fill>
      <patternFill patternType="solid">
        <fgColor rgb="FFC0DCC0"/>
        <bgColor rgb="FFC0DCC0"/>
      </patternFill>
    </fill>
    <fill>
      <patternFill patternType="solid">
        <fgColor indexed="26"/>
        <bgColor indexed="26"/>
      </patternFill>
    </fill>
    <fill>
      <patternFill patternType="solid">
        <fgColor rgb="FFFFFFC0"/>
        <bgColor rgb="FFFFFFC0"/>
      </patternFill>
    </fill>
    <fill>
      <patternFill patternType="solid">
        <fgColor indexed="25"/>
        <bgColor indexed="25"/>
      </patternFill>
    </fill>
    <fill>
      <patternFill patternType="solid">
        <fgColor rgb="FFA0A0A4"/>
        <bgColor rgb="FFA0A0A4"/>
      </patternFill>
    </fill>
    <fill>
      <patternFill patternType="solid">
        <fgColor indexed="21"/>
        <bgColor indexed="21"/>
      </patternFill>
    </fill>
    <fill>
      <patternFill patternType="solid">
        <fgColor rgb="FF3FB8CD"/>
        <bgColor rgb="FF3FB8CD"/>
      </patternFill>
    </fill>
    <fill>
      <patternFill patternType="solid">
        <fgColor indexed="63"/>
        <bgColor indexed="63"/>
      </patternFill>
    </fill>
    <fill>
      <patternFill patternType="solid">
        <fgColor rgb="FFD9853E"/>
        <bgColor rgb="FFD9853E"/>
      </patternFill>
    </fill>
    <fill>
      <patternFill patternType="solid">
        <fgColor indexed="40"/>
        <bgColor indexed="40"/>
      </patternFill>
    </fill>
    <fill>
      <patternFill patternType="solid">
        <fgColor rgb="FF958C41"/>
        <bgColor rgb="FF958C41"/>
      </patternFill>
    </fill>
    <fill>
      <patternFill patternType="solid">
        <fgColor indexed="43"/>
        <bgColor indexed="43"/>
      </patternFill>
    </fill>
    <fill>
      <patternFill patternType="solid">
        <fgColor rgb="FF624FAC"/>
        <bgColor rgb="FF624FAC"/>
      </patternFill>
    </fill>
    <fill>
      <patternFill patternType="solid">
        <fgColor indexed="22"/>
        <bgColor indexed="22"/>
      </patternFill>
    </fill>
    <fill>
      <patternFill patternType="solid">
        <fgColor indexed="52"/>
        <bgColor indexed="52"/>
      </patternFill>
    </fill>
    <fill>
      <patternFill patternType="solid">
        <fgColor rgb="FFA6CAF0"/>
        <bgColor rgb="FFA6CAF0"/>
      </patternFill>
    </fill>
    <fill>
      <patternFill patternType="solid">
        <fgColor indexed="27"/>
        <bgColor indexed="27"/>
      </patternFill>
    </fill>
    <fill>
      <patternFill patternType="solid">
        <fgColor rgb="FFA0E0E0"/>
        <bgColor rgb="FFA0E0E0"/>
      </patternFill>
    </fill>
    <fill>
      <patternFill patternType="solid">
        <fgColor indexed="60"/>
        <bgColor indexed="60"/>
      </patternFill>
    </fill>
    <fill>
      <patternFill patternType="solid">
        <fgColor rgb="FFFFFBF0"/>
        <bgColor rgb="FFFFFBF0"/>
      </patternFill>
    </fill>
    <fill>
      <patternFill patternType="solid">
        <fgColor theme="4" tint="0.79998168889431442"/>
        <bgColor indexed="65"/>
      </patternFill>
    </fill>
    <fill>
      <patternFill patternType="solid">
        <fgColor indexed="31"/>
        <bgColor indexed="31"/>
      </patternFill>
    </fill>
    <fill>
      <patternFill patternType="solid">
        <fgColor theme="5" tint="0.79998168889431442"/>
        <bgColor indexed="65"/>
      </patternFill>
    </fill>
    <fill>
      <patternFill patternType="solid">
        <fgColor indexed="45"/>
        <bgColor indexed="45"/>
      </patternFill>
    </fill>
    <fill>
      <patternFill patternType="solid">
        <fgColor theme="6" tint="0.79998168889431442"/>
        <bgColor indexed="65"/>
      </patternFill>
    </fill>
    <fill>
      <patternFill patternType="solid">
        <fgColor indexed="42"/>
        <bgColor indexed="42"/>
      </patternFill>
    </fill>
    <fill>
      <patternFill patternType="solid">
        <fgColor theme="7" tint="0.79998168889431442"/>
        <bgColor indexed="65"/>
      </patternFill>
    </fill>
    <fill>
      <patternFill patternType="solid">
        <fgColor indexed="46"/>
        <bgColor indexed="46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7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44"/>
        <bgColor indexed="4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indexed="3"/>
        <bgColor indexed="3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0"/>
        <bgColor indexed="30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indexed="20"/>
        <bgColor indexed="20"/>
      </patternFill>
    </fill>
    <fill>
      <patternFill patternType="solid">
        <fgColor theme="7" tint="0.39997558519241921"/>
        <bgColor indexed="65"/>
      </patternFill>
    </fill>
    <fill>
      <patternFill patternType="solid">
        <fgColor indexed="49"/>
        <bgColor indexed="49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2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indexed="53"/>
        <bgColor indexed="53"/>
      </patternFill>
    </fill>
    <fill>
      <patternFill patternType="solid">
        <fgColor theme="9"/>
        <bgColor theme="9"/>
      </patternFill>
    </fill>
    <fill>
      <patternFill patternType="solid">
        <fgColor rgb="FFFFC7CE"/>
        <bgColor rgb="FFFFC7CE"/>
      </patternFill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  <fill>
      <patternFill patternType="solid">
        <fgColor indexed="55"/>
        <bgColor indexed="55"/>
      </patternFill>
    </fill>
    <fill>
      <patternFill patternType="solid">
        <fgColor rgb="FFA5A5A5"/>
        <bgColor rgb="FFA5A5A5"/>
      </patternFill>
    </fill>
    <fill>
      <patternFill patternType="solid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mediumGray">
        <fgColor indexed="22"/>
        <bgColor indexed="22"/>
      </patternFill>
    </fill>
    <fill>
      <patternFill patternType="solid">
        <fgColor indexed="50"/>
        <bgColor indexed="50"/>
      </patternFill>
    </fill>
    <fill>
      <patternFill patternType="lightUp">
        <fgColor indexed="22"/>
        <bgColor indexed="7"/>
      </patternFill>
    </fill>
    <fill>
      <patternFill patternType="solid">
        <fgColor indexed="54"/>
        <bgColor indexed="54"/>
      </patternFill>
    </fill>
    <fill>
      <patternFill patternType="solid">
        <fgColor indexed="6"/>
        <bgColor indexed="6"/>
      </patternFill>
    </fill>
    <fill>
      <patternFill patternType="solid">
        <fgColor indexed="5"/>
        <bgColor indexed="5"/>
      </patternFill>
    </fill>
    <fill>
      <patternFill patternType="gray06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C000"/>
        <bgColor theme="0"/>
      </patternFill>
    </fill>
    <fill>
      <patternFill patternType="solid">
        <fgColor rgb="FFFFC000"/>
        <bgColor rgb="FF00B050"/>
      </patternFill>
    </fill>
    <fill>
      <patternFill patternType="solid">
        <fgColor rgb="FF00B05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theme="7" tint="0.79998168889431442"/>
        <bgColor theme="0" tint="-0.249977111117893"/>
      </patternFill>
    </fill>
    <fill>
      <patternFill patternType="solid">
        <fgColor theme="5" tint="0.79998168889431442"/>
        <bgColor indexed="5"/>
      </patternFill>
    </fill>
    <fill>
      <patternFill patternType="solid">
        <fgColor theme="7" tint="0.39997558519241921"/>
        <bgColor indexed="5"/>
      </patternFill>
    </fill>
    <fill>
      <patternFill patternType="solid">
        <fgColor theme="9" tint="0.59999389629810485"/>
        <bgColor indexed="5"/>
      </patternFill>
    </fill>
    <fill>
      <patternFill patternType="solid">
        <fgColor rgb="FFFF99FF"/>
        <bgColor indexed="5"/>
      </patternFill>
    </fill>
    <fill>
      <patternFill patternType="solid">
        <fgColor theme="0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39997558519241921"/>
        <bgColor theme="9" tint="0.79998168889431442"/>
      </patternFill>
    </fill>
    <fill>
      <patternFill patternType="solid">
        <fgColor theme="7" tint="0.59999389629810485"/>
        <bgColor theme="5" tint="0.59999389629810485"/>
      </patternFill>
    </fill>
    <fill>
      <patternFill patternType="solid">
        <fgColor theme="7" tint="0.59999389629810485"/>
        <bgColor theme="9" tint="0.79998168889431442"/>
      </patternFill>
    </fill>
    <fill>
      <patternFill patternType="solid">
        <fgColor theme="9" tint="0.79998168889431442"/>
        <bgColor theme="5" tint="0.59999389629810485"/>
      </patternFill>
    </fill>
    <fill>
      <patternFill patternType="solid">
        <fgColor theme="9" tint="0.59999389629810485"/>
        <bgColor theme="9" tint="0.79998168889431442"/>
      </patternFill>
    </fill>
    <fill>
      <patternFill patternType="solid">
        <fgColor rgb="FFFFCCFF"/>
        <bgColor theme="5" tint="0.59999389629810485"/>
      </patternFill>
    </fill>
    <fill>
      <patternFill patternType="solid">
        <fgColor rgb="FFFF99FF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5"/>
        <bgColor theme="0"/>
      </patternFill>
    </fill>
    <fill>
      <patternFill patternType="solid">
        <fgColor theme="4" tint="0.79998168889431442"/>
        <bgColor theme="0" tint="-0.249977111117893"/>
      </patternFill>
    </fill>
    <fill>
      <patternFill patternType="solid">
        <fgColor theme="8" tint="0.59999389629810485"/>
        <bgColor theme="0" tint="-0.249977111117893"/>
      </patternFill>
    </fill>
    <fill>
      <patternFill patternType="solid">
        <fgColor theme="0"/>
        <bgColor theme="0" tint="-0.249977111117893"/>
      </patternFill>
    </fill>
    <fill>
      <patternFill patternType="solid">
        <fgColor theme="7" tint="0.79998168889431442"/>
        <bgColor theme="9" tint="0.59999389629810485"/>
      </patternFill>
    </fill>
    <fill>
      <patternFill patternType="solid">
        <fgColor theme="7" tint="0.79998168889431442"/>
        <bgColor theme="4" tint="0.5999938962981048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7" tint="0.39997558519241921"/>
        <bgColor theme="7" tint="0.79998168889431442"/>
      </patternFill>
    </fill>
    <fill>
      <patternFill patternType="solid">
        <fgColor theme="7" tint="0.59999389629810485"/>
        <bgColor theme="7" tint="-0.249977111117893"/>
      </patternFill>
    </fill>
    <fill>
      <patternFill patternType="solid">
        <fgColor theme="7" tint="0.59999389629810485"/>
        <bgColor theme="7" tint="0.79998168889431442"/>
      </patternFill>
    </fill>
    <fill>
      <patternFill patternType="solid">
        <fgColor theme="7" tint="-0.249977111117893"/>
        <bgColor theme="7" tint="0.39997558519241921"/>
      </patternFill>
    </fill>
    <fill>
      <patternFill patternType="solid">
        <fgColor theme="7" tint="-0.249977111117893"/>
        <bgColor theme="7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5" tint="0.79998168889431442"/>
        <bgColor theme="0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 tint="0.79998168889431442"/>
        <bgColor rgb="FF92D050"/>
      </patternFill>
    </fill>
    <fill>
      <patternFill patternType="solid">
        <fgColor theme="5" tint="0.79998168889431442"/>
        <bgColor theme="5"/>
      </patternFill>
    </fill>
    <fill>
      <patternFill patternType="solid">
        <fgColor theme="0"/>
        <bgColor rgb="FF92D050"/>
      </patternFill>
    </fill>
    <fill>
      <patternFill patternType="solid">
        <fgColor theme="9"/>
        <bgColor theme="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000"/>
        <bgColor indexed="5"/>
      </patternFill>
    </fill>
    <fill>
      <patternFill patternType="solid">
        <fgColor rgb="FF92D050"/>
        <bgColor rgb="FF92D050"/>
      </patternFill>
    </fill>
    <fill>
      <patternFill patternType="solid">
        <fgColor theme="7" tint="0.79998168889431442"/>
        <bgColor indexed="5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indexed="5"/>
      </patternFill>
    </fill>
    <fill>
      <patternFill patternType="solid">
        <fgColor rgb="FF00B050"/>
        <bgColor rgb="FF92D050"/>
      </patternFill>
    </fill>
    <fill>
      <patternFill patternType="solid">
        <fgColor theme="5"/>
        <bgColor theme="5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5" tint="0.59999389629810485"/>
      </patternFill>
    </fill>
    <fill>
      <patternFill patternType="solid">
        <fgColor theme="7" tint="0.79998168889431442"/>
        <bgColor theme="9" tint="0.79998168889431442"/>
      </patternFill>
    </fill>
    <fill>
      <patternFill patternType="solid">
        <fgColor theme="7" tint="0.39997558519241921"/>
        <bgColor theme="0" tint="-0.249977111117893"/>
      </patternFill>
    </fill>
    <fill>
      <patternFill patternType="solid">
        <fgColor theme="7" tint="0.59999389629810485"/>
        <bgColor theme="0" tint="-0.249977111117893"/>
      </patternFill>
    </fill>
    <fill>
      <patternFill patternType="solid">
        <fgColor theme="7" tint="-0.249977111117893"/>
        <bgColor theme="0" tint="-0.249977111117893"/>
      </patternFill>
    </fill>
    <fill>
      <patternFill patternType="solid">
        <fgColor theme="7" tint="0.79998168889431442"/>
        <bgColor rgb="FF92D05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7030A0"/>
      </patternFill>
    </fill>
    <fill>
      <patternFill patternType="solid">
        <fgColor theme="5" tint="0.39997558519241921"/>
        <bgColor theme="7" tint="0.39997558519241921"/>
      </patternFill>
    </fill>
    <fill>
      <patternFill patternType="solid">
        <fgColor theme="5" tint="0.39997558519241921"/>
        <bgColor theme="0" tint="-0.249977111117893"/>
      </patternFill>
    </fill>
    <fill>
      <patternFill patternType="solid">
        <fgColor theme="5" tint="0.39997558519241921"/>
        <bgColor theme="7" tint="0.79998168889431442"/>
      </patternFill>
    </fill>
    <fill>
      <patternFill patternType="solid">
        <fgColor theme="5" tint="0.79998168889431442"/>
        <bgColor indexed="64"/>
      </patternFill>
    </fill>
    <fill>
      <gradientFill degree="225">
        <stop position="0">
          <color theme="0"/>
        </stop>
        <stop position="1">
          <color rgb="FF00B0F0"/>
        </stop>
      </gradientFill>
    </fill>
    <fill>
      <patternFill patternType="solid">
        <fgColor theme="9" tint="-0.249977111117893"/>
        <bgColor theme="9" tint="0.59999389629810485"/>
      </patternFill>
    </fill>
    <fill>
      <patternFill patternType="solid">
        <fgColor theme="9" tint="-0.249977111117893"/>
        <bgColor theme="0" tint="-0.249977111117893"/>
      </patternFill>
    </fill>
    <fill>
      <patternFill patternType="solid">
        <fgColor theme="9" tint="-0.249977111117893"/>
        <bgColor theme="7" tint="0.79998168889431442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theme="0" tint="-0.249977111117893"/>
      </patternFill>
    </fill>
    <fill>
      <gradientFill degree="45">
        <stop position="0">
          <color theme="0"/>
        </stop>
        <stop position="1">
          <color theme="9" tint="0.40000610370189521"/>
        </stop>
      </gradientFill>
    </fill>
    <fill>
      <patternFill patternType="solid">
        <fgColor theme="5"/>
        <bgColor rgb="FF92D050"/>
      </patternFill>
    </fill>
    <fill>
      <patternFill patternType="solid">
        <fgColor theme="9"/>
        <bgColor theme="0" tint="-0.249977111117893"/>
      </patternFill>
    </fill>
    <fill>
      <patternFill patternType="solid">
        <fgColor rgb="FF7030A0"/>
        <bgColor indexed="64"/>
      </patternFill>
    </fill>
    <fill>
      <patternFill patternType="solid">
        <fgColor rgb="FF7030A0"/>
        <bgColor theme="0"/>
      </patternFill>
    </fill>
    <fill>
      <patternFill patternType="solid">
        <fgColor rgb="FF7030A0"/>
        <bgColor theme="5" tint="0.79998168889431442"/>
      </patternFill>
    </fill>
    <fill>
      <patternFill patternType="solid">
        <fgColor rgb="FF7030A0"/>
        <bgColor theme="0" tint="-0.14999847407452621"/>
      </patternFill>
    </fill>
    <fill>
      <patternFill patternType="solid">
        <fgColor rgb="FF7030A0"/>
        <bgColor theme="5"/>
      </patternFill>
    </fill>
    <fill>
      <patternFill patternType="solid">
        <fgColor theme="0" tint="-0.14999847407452621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indexed="21"/>
      </bottom>
      <diagonal/>
    </border>
    <border>
      <left/>
      <right/>
      <top/>
      <bottom style="thick">
        <color rgb="FF3FB8CD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rgb="FFA0E0E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rgb="FFA0E0E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1"/>
      </top>
      <bottom style="double">
        <color indexed="21"/>
      </bottom>
      <diagonal/>
    </border>
    <border>
      <left/>
      <right/>
      <top style="thin">
        <color rgb="FF3FB8CD"/>
      </top>
      <bottom style="double">
        <color rgb="FF3FB8CD"/>
      </bottom>
      <diagonal/>
    </border>
    <border>
      <left/>
      <right/>
      <top/>
      <bottom style="double">
        <color indexed="2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3"/>
      </left>
      <right style="thin">
        <color indexed="63"/>
      </right>
      <top style="thin">
        <color auto="1"/>
      </top>
      <bottom style="thin">
        <color indexed="63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</borders>
  <cellStyleXfs count="51650">
    <xf numFmtId="0" fontId="0" fillId="0" borderId="0"/>
    <xf numFmtId="0" fontId="1" fillId="0" borderId="0"/>
    <xf numFmtId="0" fontId="1" fillId="0" borderId="0"/>
    <xf numFmtId="0" fontId="1" fillId="0" borderId="0"/>
    <xf numFmtId="164" fontId="2" fillId="0" borderId="0" applyFont="0" applyFill="0" applyBorder="0" applyProtection="0"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3" fillId="0" borderId="0"/>
    <xf numFmtId="41" fontId="1" fillId="0" borderId="0" applyFont="0" applyFill="0" applyBorder="0" applyProtection="0">
      <alignment vertical="center"/>
    </xf>
    <xf numFmtId="0" fontId="4" fillId="0" borderId="1" applyNumberFormat="0" applyFill="0" applyProtection="0"/>
    <xf numFmtId="0" fontId="5" fillId="0" borderId="2" applyNumberFormat="0" applyFill="0" applyProtection="0"/>
    <xf numFmtId="0" fontId="4" fillId="0" borderId="1" applyNumberFormat="0" applyFill="0" applyProtection="0"/>
    <xf numFmtId="0" fontId="4" fillId="0" borderId="1" applyNumberFormat="0" applyFill="0" applyProtection="0"/>
    <xf numFmtId="0" fontId="4" fillId="0" borderId="1" applyNumberFormat="0" applyFill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6" fillId="3" borderId="0" applyNumberFormat="0" applyBorder="0" applyProtection="0"/>
    <xf numFmtId="0" fontId="6" fillId="3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165" fontId="3" fillId="0" borderId="0"/>
    <xf numFmtId="0" fontId="7" fillId="0" borderId="3" applyNumberFormat="0" applyFill="0" applyProtection="0"/>
    <xf numFmtId="0" fontId="8" fillId="0" borderId="4" applyNumberFormat="0" applyFill="0" applyProtection="0"/>
    <xf numFmtId="0" fontId="7" fillId="0" borderId="3" applyNumberFormat="0" applyFill="0" applyProtection="0"/>
    <xf numFmtId="0" fontId="7" fillId="0" borderId="3" applyNumberFormat="0" applyFill="0" applyProtection="0"/>
    <xf numFmtId="0" fontId="7" fillId="0" borderId="3" applyNumberFormat="0" applyFill="0" applyProtection="0"/>
    <xf numFmtId="0" fontId="6" fillId="3" borderId="0" applyNumberFormat="0" applyBorder="0" applyProtection="0"/>
    <xf numFmtId="0" fontId="6" fillId="3" borderId="0" applyNumberFormat="0" applyBorder="0" applyProtection="0"/>
    <xf numFmtId="0" fontId="6" fillId="3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165" fontId="3" fillId="0" borderId="0"/>
    <xf numFmtId="0" fontId="9" fillId="0" borderId="5" applyNumberFormat="0" applyFill="0" applyProtection="0"/>
    <xf numFmtId="0" fontId="10" fillId="0" borderId="6" applyNumberFormat="0" applyFill="0" applyProtection="0"/>
    <xf numFmtId="0" fontId="9" fillId="0" borderId="5" applyNumberFormat="0" applyFill="0" applyProtection="0"/>
    <xf numFmtId="0" fontId="9" fillId="0" borderId="5" applyNumberFormat="0" applyFill="0" applyProtection="0"/>
    <xf numFmtId="0" fontId="9" fillId="0" borderId="5" applyNumberFormat="0" applyFill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11" fillId="4" borderId="7" applyNumberFormat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9" fillId="0" borderId="0" applyNumberFormat="0" applyFill="0" applyBorder="0" applyProtection="0"/>
    <xf numFmtId="0" fontId="9" fillId="0" borderId="0" applyNumberFormat="0" applyFill="0" applyBorder="0" applyProtection="0"/>
    <xf numFmtId="0" fontId="9" fillId="0" borderId="0" applyNumberFormat="0" applyFill="0" applyBorder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8" applyNumberFormat="0" applyProtection="0"/>
    <xf numFmtId="0" fontId="11" fillId="4" borderId="8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11" fillId="4" borderId="7" applyNumberFormat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3" fillId="5" borderId="8" applyNumberFormat="0" applyProtection="0">
      <alignment vertical="center"/>
    </xf>
    <xf numFmtId="0" fontId="13" fillId="5" borderId="8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3" fillId="5" borderId="8" applyNumberFormat="0" applyProtection="0">
      <alignment vertical="center"/>
    </xf>
    <xf numFmtId="0" fontId="13" fillId="5" borderId="8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3" fillId="5" borderId="8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13" fillId="5" borderId="8" applyNumberFormat="0" applyProtection="0">
      <alignment vertical="center"/>
    </xf>
    <xf numFmtId="0" fontId="12" fillId="5" borderId="7" applyNumberFormat="0" applyProtection="0">
      <alignment vertical="center"/>
    </xf>
    <xf numFmtId="0" fontId="12" fillId="5" borderId="7" applyNumberFormat="0" applyProtection="0">
      <alignment vertical="center"/>
    </xf>
    <xf numFmtId="0" fontId="6" fillId="2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6" fillId="2" borderId="0" applyNumberFormat="0" applyBorder="0" applyProtection="0"/>
    <xf numFmtId="0" fontId="6" fillId="3" borderId="0" applyNumberFormat="0" applyBorder="0" applyProtection="0"/>
    <xf numFmtId="0" fontId="14" fillId="0" borderId="0" applyNumberFormat="0" applyFill="0" applyBorder="0" applyProtection="0"/>
    <xf numFmtId="0" fontId="15" fillId="0" borderId="0" applyNumberFormat="0" applyFill="0" applyBorder="0" applyProtection="0"/>
    <xf numFmtId="0" fontId="14" fillId="0" borderId="0" applyNumberFormat="0" applyFill="0" applyBorder="0" applyProtection="0"/>
    <xf numFmtId="0" fontId="14" fillId="0" borderId="0" applyNumberFormat="0" applyFill="0" applyBorder="0" applyProtection="0"/>
    <xf numFmtId="0" fontId="14" fillId="0" borderId="0" applyNumberFormat="0" applyFill="0" applyBorder="0" applyProtection="0"/>
    <xf numFmtId="0" fontId="16" fillId="6" borderId="0" applyNumberFormat="0" applyBorder="0" applyProtection="0">
      <alignment vertical="center"/>
    </xf>
    <xf numFmtId="0" fontId="16" fillId="7" borderId="0" applyNumberFormat="0" applyBorder="0" applyProtection="0">
      <alignment vertical="center"/>
    </xf>
    <xf numFmtId="0" fontId="16" fillId="6" borderId="0" applyNumberFormat="0" applyBorder="0" applyProtection="0">
      <alignment vertical="center"/>
    </xf>
    <xf numFmtId="0" fontId="16" fillId="6" borderId="0" applyNumberFormat="0" applyBorder="0" applyProtection="0">
      <alignment vertical="center"/>
    </xf>
    <xf numFmtId="0" fontId="16" fillId="6" borderId="0" applyNumberFormat="0" applyBorder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10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10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7" fillId="0" borderId="9" applyNumberFormat="0" applyFill="0" applyProtection="0">
      <alignment vertical="center"/>
    </xf>
    <xf numFmtId="0" fontId="18" fillId="2" borderId="0" applyNumberFormat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21" fillId="8" borderId="8" applyNumberFormat="0" applyFont="0" applyProtection="0">
      <alignment vertical="center"/>
    </xf>
    <xf numFmtId="0" fontId="22" fillId="8" borderId="0" applyNumberFormat="0" applyBorder="0" applyProtection="0">
      <alignment vertical="center"/>
    </xf>
    <xf numFmtId="0" fontId="23" fillId="9" borderId="0" applyNumberFormat="0" applyBorder="0" applyProtection="0">
      <alignment vertical="center"/>
    </xf>
    <xf numFmtId="0" fontId="22" fillId="8" borderId="0" applyNumberFormat="0" applyBorder="0" applyProtection="0">
      <alignment vertical="center"/>
    </xf>
    <xf numFmtId="0" fontId="22" fillId="8" borderId="0" applyNumberFormat="0" applyBorder="0" applyProtection="0">
      <alignment vertical="center"/>
    </xf>
    <xf numFmtId="0" fontId="22" fillId="8" borderId="0" applyNumberFormat="0" applyBorder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4" fillId="0" borderId="0" applyNumberFormat="0" applyFill="0" applyBorder="0" applyProtection="0"/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5" fillId="0" borderId="11" applyNumberFormat="0" applyFill="0" applyProtection="0">
      <alignment vertical="center"/>
    </xf>
    <xf numFmtId="0" fontId="24" fillId="0" borderId="11" applyNumberFormat="0" applyFill="0" applyProtection="0"/>
    <xf numFmtId="0" fontId="24" fillId="0" borderId="11" applyNumberFormat="0" applyFill="0" applyProtection="0"/>
    <xf numFmtId="0" fontId="24" fillId="0" borderId="11" applyNumberFormat="0" applyFill="0" applyProtection="0"/>
    <xf numFmtId="0" fontId="24" fillId="0" borderId="11" applyNumberFormat="0" applyFill="0" applyProtection="0"/>
    <xf numFmtId="0" fontId="24" fillId="0" borderId="11" applyNumberFormat="0" applyFill="0" applyProtection="0"/>
    <xf numFmtId="0" fontId="26" fillId="0" borderId="0" applyNumberFormat="0" applyFill="0" applyBorder="0" applyProtection="0">
      <alignment horizontal="left"/>
    </xf>
    <xf numFmtId="0" fontId="26" fillId="0" borderId="0" applyNumberFormat="0" applyFill="0" applyBorder="0" applyProtection="0">
      <alignment horizontal="left"/>
    </xf>
    <xf numFmtId="0" fontId="26" fillId="0" borderId="0" applyNumberFormat="0" applyFill="0" applyBorder="0" applyProtection="0">
      <alignment horizontal="left"/>
    </xf>
    <xf numFmtId="0" fontId="26" fillId="0" borderId="0" applyNumberFormat="0" applyFill="0" applyBorder="0" applyProtection="0">
      <alignment horizontal="left"/>
    </xf>
    <xf numFmtId="0" fontId="26" fillId="0" borderId="0" applyNumberFormat="0" applyFill="0" applyBorder="0" applyProtection="0">
      <alignment horizontal="left"/>
    </xf>
    <xf numFmtId="0" fontId="18" fillId="2" borderId="0" applyNumberFormat="0" applyBorder="0" applyProtection="0">
      <alignment vertical="center"/>
    </xf>
    <xf numFmtId="0" fontId="27" fillId="0" borderId="0" applyNumberFormat="0" applyFill="0" applyBorder="0" applyProtection="0">
      <alignment vertical="center"/>
    </xf>
    <xf numFmtId="0" fontId="28" fillId="0" borderId="0" applyNumberFormat="0" applyFill="0" applyBorder="0" applyProtection="0">
      <alignment vertical="center"/>
    </xf>
    <xf numFmtId="0" fontId="27" fillId="0" borderId="0" applyNumberFormat="0" applyFill="0" applyBorder="0" applyProtection="0">
      <alignment vertical="center"/>
    </xf>
    <xf numFmtId="0" fontId="27" fillId="0" borderId="0" applyNumberFormat="0" applyFill="0" applyBorder="0" applyProtection="0">
      <alignment vertical="center"/>
    </xf>
    <xf numFmtId="0" fontId="27" fillId="0" borderId="0" applyNumberFormat="0" applyFill="0" applyBorder="0" applyProtection="0">
      <alignment vertical="center"/>
    </xf>
    <xf numFmtId="0" fontId="29" fillId="10" borderId="12" applyNumberFormat="0" applyProtection="0">
      <alignment vertical="center"/>
    </xf>
    <xf numFmtId="0" fontId="29" fillId="11" borderId="12" applyNumberFormat="0" applyProtection="0">
      <alignment vertical="center"/>
    </xf>
    <xf numFmtId="0" fontId="29" fillId="10" borderId="12" applyNumberFormat="0" applyProtection="0">
      <alignment vertical="center"/>
    </xf>
    <xf numFmtId="0" fontId="29" fillId="10" borderId="12" applyNumberFormat="0" applyProtection="0">
      <alignment vertical="center"/>
    </xf>
    <xf numFmtId="0" fontId="29" fillId="11" borderId="12" applyNumberFormat="0" applyProtection="0">
      <alignment vertical="center"/>
    </xf>
    <xf numFmtId="0" fontId="29" fillId="10" borderId="12" applyNumberFormat="0" applyProtection="0">
      <alignment vertical="center"/>
    </xf>
    <xf numFmtId="0" fontId="30" fillId="12" borderId="0" applyNumberFormat="0" applyBorder="0" applyProtection="0"/>
    <xf numFmtId="0" fontId="30" fillId="13" borderId="0" applyNumberFormat="0" applyBorder="0" applyProtection="0"/>
    <xf numFmtId="0" fontId="30" fillId="12" borderId="0" applyNumberFormat="0" applyBorder="0" applyProtection="0"/>
    <xf numFmtId="0" fontId="30" fillId="12" borderId="0" applyNumberFormat="0" applyBorder="0" applyProtection="0"/>
    <xf numFmtId="0" fontId="30" fillId="12" borderId="0" applyNumberFormat="0" applyBorder="0" applyProtection="0"/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30" fillId="14" borderId="0" applyNumberFormat="0" applyBorder="0" applyProtection="0"/>
    <xf numFmtId="0" fontId="30" fillId="15" borderId="0" applyNumberFormat="0" applyBorder="0" applyProtection="0"/>
    <xf numFmtId="0" fontId="30" fillId="14" borderId="0" applyNumberFormat="0" applyBorder="0" applyProtection="0"/>
    <xf numFmtId="0" fontId="30" fillId="14" borderId="0" applyNumberFormat="0" applyBorder="0" applyProtection="0"/>
    <xf numFmtId="0" fontId="30" fillId="14" borderId="0" applyNumberFormat="0" applyBorder="0" applyProtection="0"/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30" fillId="16" borderId="0" applyNumberFormat="0" applyBorder="0" applyProtection="0"/>
    <xf numFmtId="0" fontId="30" fillId="17" borderId="0" applyNumberFormat="0" applyBorder="0" applyProtection="0"/>
    <xf numFmtId="0" fontId="30" fillId="16" borderId="0" applyNumberFormat="0" applyBorder="0" applyProtection="0"/>
    <xf numFmtId="0" fontId="30" fillId="16" borderId="0" applyNumberFormat="0" applyBorder="0" applyProtection="0"/>
    <xf numFmtId="0" fontId="30" fillId="16" borderId="0" applyNumberFormat="0" applyBorder="0" applyProtection="0"/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30" fillId="18" borderId="0" applyNumberFormat="0" applyBorder="0" applyProtection="0"/>
    <xf numFmtId="0" fontId="30" fillId="19" borderId="0" applyNumberFormat="0" applyBorder="0" applyProtection="0"/>
    <xf numFmtId="0" fontId="30" fillId="18" borderId="0" applyNumberFormat="0" applyBorder="0" applyProtection="0"/>
    <xf numFmtId="0" fontId="30" fillId="18" borderId="0" applyNumberFormat="0" applyBorder="0" applyProtection="0"/>
    <xf numFmtId="0" fontId="30" fillId="18" borderId="0" applyNumberFormat="0" applyBorder="0" applyProtection="0"/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30" fillId="12" borderId="0" applyNumberFormat="0" applyBorder="0" applyProtection="0"/>
    <xf numFmtId="0" fontId="30" fillId="13" borderId="0" applyNumberFormat="0" applyBorder="0" applyProtection="0"/>
    <xf numFmtId="0" fontId="30" fillId="12" borderId="0" applyNumberFormat="0" applyBorder="0" applyProtection="0"/>
    <xf numFmtId="0" fontId="30" fillId="12" borderId="0" applyNumberFormat="0" applyBorder="0" applyProtection="0"/>
    <xf numFmtId="0" fontId="30" fillId="12" borderId="0" applyNumberFormat="0" applyBorder="0" applyProtection="0"/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30" fillId="14" borderId="0" applyNumberFormat="0" applyBorder="0" applyProtection="0"/>
    <xf numFmtId="0" fontId="30" fillId="15" borderId="0" applyNumberFormat="0" applyBorder="0" applyProtection="0"/>
    <xf numFmtId="0" fontId="30" fillId="14" borderId="0" applyNumberFormat="0" applyBorder="0" applyProtection="0"/>
    <xf numFmtId="0" fontId="30" fillId="14" borderId="0" applyNumberFormat="0" applyBorder="0" applyProtection="0"/>
    <xf numFmtId="0" fontId="30" fillId="14" borderId="0" applyNumberFormat="0" applyBorder="0" applyProtection="0"/>
    <xf numFmtId="0" fontId="18" fillId="3" borderId="0" applyNumberFormat="0" applyBorder="0" applyProtection="0">
      <alignment vertical="center"/>
    </xf>
    <xf numFmtId="0" fontId="18" fillId="2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8" fillId="3" borderId="0" applyNumberFormat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20" fillId="0" borderId="0" applyNumberFormat="0" applyFill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19" fillId="0" borderId="0" applyNumberFormat="0" applyFill="0" applyBorder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9" borderId="7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21" fillId="8" borderId="8" applyNumberFormat="0" applyFont="0" applyProtection="0">
      <alignment vertical="center"/>
    </xf>
    <xf numFmtId="0" fontId="31" fillId="0" borderId="0" applyNumberFormat="0" applyFill="0" applyBorder="0" applyProtection="0">
      <alignment horizontal="left"/>
    </xf>
    <xf numFmtId="0" fontId="31" fillId="0" borderId="0" applyNumberFormat="0" applyFill="0" applyBorder="0" applyProtection="0">
      <alignment horizontal="left"/>
    </xf>
    <xf numFmtId="0" fontId="31" fillId="0" borderId="0" applyNumberFormat="0" applyFill="0" applyBorder="0" applyProtection="0">
      <alignment horizontal="left"/>
    </xf>
    <xf numFmtId="0" fontId="31" fillId="0" borderId="0" applyNumberFormat="0" applyFill="0" applyBorder="0" applyProtection="0">
      <alignment horizontal="left"/>
    </xf>
    <xf numFmtId="0" fontId="31" fillId="0" borderId="0" applyNumberFormat="0" applyFill="0" applyBorder="0" applyProtection="0">
      <alignment horizontal="left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25" fillId="0" borderId="0" applyNumberFormat="0" applyFill="0" applyBorder="0" applyProtection="0">
      <alignment vertical="center"/>
    </xf>
    <xf numFmtId="0" fontId="32" fillId="0" borderId="0" applyNumberFormat="0" applyFill="0" applyBorder="0" applyProtection="0">
      <alignment vertical="top"/>
      <protection locked="0"/>
    </xf>
    <xf numFmtId="0" fontId="33" fillId="0" borderId="0" applyNumberFormat="0" applyFill="0" applyBorder="0" applyProtection="0">
      <alignment vertical="top"/>
      <protection locked="0"/>
    </xf>
    <xf numFmtId="0" fontId="32" fillId="0" borderId="0" applyNumberFormat="0" applyFill="0" applyBorder="0" applyProtection="0">
      <alignment vertical="top"/>
      <protection locked="0"/>
    </xf>
    <xf numFmtId="0" fontId="1" fillId="0" borderId="0"/>
    <xf numFmtId="0" fontId="33" fillId="0" borderId="0" applyNumberFormat="0" applyFill="0" applyBorder="0" applyProtection="0">
      <alignment vertical="top"/>
      <protection locked="0"/>
    </xf>
    <xf numFmtId="0" fontId="34" fillId="0" borderId="1" applyNumberFormat="0" applyFill="0" applyProtection="0">
      <alignment vertical="center"/>
    </xf>
    <xf numFmtId="0" fontId="35" fillId="0" borderId="2" applyNumberFormat="0" applyFill="0" applyProtection="0">
      <alignment vertical="center"/>
    </xf>
    <xf numFmtId="0" fontId="34" fillId="0" borderId="1" applyNumberFormat="0" applyFill="0" applyProtection="0">
      <alignment vertical="center"/>
    </xf>
    <xf numFmtId="0" fontId="34" fillId="0" borderId="1" applyNumberFormat="0" applyFill="0" applyProtection="0">
      <alignment vertical="center"/>
    </xf>
    <xf numFmtId="0" fontId="34" fillId="0" borderId="1" applyNumberFormat="0" applyFill="0" applyProtection="0">
      <alignment vertical="center"/>
    </xf>
    <xf numFmtId="0" fontId="36" fillId="0" borderId="3" applyNumberFormat="0" applyFill="0" applyProtection="0">
      <alignment vertical="center"/>
    </xf>
    <xf numFmtId="0" fontId="37" fillId="0" borderId="4" applyNumberFormat="0" applyFill="0" applyProtection="0">
      <alignment vertical="center"/>
    </xf>
    <xf numFmtId="0" fontId="36" fillId="0" borderId="3" applyNumberFormat="0" applyFill="0" applyProtection="0">
      <alignment vertical="center"/>
    </xf>
    <xf numFmtId="0" fontId="36" fillId="0" borderId="3" applyNumberFormat="0" applyFill="0" applyProtection="0">
      <alignment vertical="center"/>
    </xf>
    <xf numFmtId="0" fontId="36" fillId="0" borderId="3" applyNumberFormat="0" applyFill="0" applyProtection="0">
      <alignment vertical="center"/>
    </xf>
    <xf numFmtId="0" fontId="38" fillId="0" borderId="5" applyNumberFormat="0" applyFill="0" applyProtection="0">
      <alignment vertical="center"/>
    </xf>
    <xf numFmtId="0" fontId="39" fillId="0" borderId="6" applyNumberFormat="0" applyFill="0" applyProtection="0">
      <alignment vertical="center"/>
    </xf>
    <xf numFmtId="0" fontId="38" fillId="0" borderId="5" applyNumberFormat="0" applyFill="0" applyProtection="0">
      <alignment vertical="center"/>
    </xf>
    <xf numFmtId="0" fontId="38" fillId="0" borderId="5" applyNumberFormat="0" applyFill="0" applyProtection="0">
      <alignment vertical="center"/>
    </xf>
    <xf numFmtId="0" fontId="38" fillId="0" borderId="5" applyNumberFormat="0" applyFill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9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8" fillId="0" borderId="0" applyNumberFormat="0" applyFill="0" applyBorder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8" applyNumberFormat="0" applyProtection="0">
      <alignment vertical="center"/>
    </xf>
    <xf numFmtId="0" fontId="40" fillId="4" borderId="8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8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7" applyNumberFormat="0" applyProtection="0">
      <alignment vertical="center"/>
    </xf>
    <xf numFmtId="0" fontId="40" fillId="4" borderId="8" applyNumberFormat="0" applyProtection="0">
      <alignment vertical="center"/>
    </xf>
    <xf numFmtId="0" fontId="33" fillId="0" borderId="0" applyNumberFormat="0" applyFill="0" applyBorder="0" applyProtection="0">
      <alignment vertical="top"/>
      <protection locked="0"/>
    </xf>
    <xf numFmtId="0" fontId="33" fillId="0" borderId="0" applyNumberFormat="0" applyFill="0" applyBorder="0" applyProtection="0">
      <alignment vertical="top"/>
      <protection locked="0"/>
    </xf>
    <xf numFmtId="0" fontId="33" fillId="0" borderId="0" applyNumberFormat="0" applyFill="0" applyBorder="0" applyProtection="0">
      <alignment vertical="top"/>
      <protection locked="0"/>
    </xf>
    <xf numFmtId="0" fontId="1" fillId="0" borderId="0"/>
    <xf numFmtId="0" fontId="41" fillId="0" borderId="0"/>
    <xf numFmtId="0" fontId="41" fillId="0" borderId="0"/>
    <xf numFmtId="0" fontId="41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38" fontId="3" fillId="0" borderId="0" applyFont="0" applyFill="0" applyBorder="0" applyProtection="0"/>
    <xf numFmtId="0" fontId="1" fillId="0" borderId="0" applyFont="0" applyFill="0" applyBorder="0" applyProtection="0"/>
    <xf numFmtId="0" fontId="1" fillId="0" borderId="0"/>
    <xf numFmtId="0" fontId="1" fillId="0" borderId="0"/>
    <xf numFmtId="0" fontId="1" fillId="0" borderId="0"/>
    <xf numFmtId="0" fontId="32" fillId="0" borderId="0" applyNumberFormat="0" applyFill="0" applyBorder="0" applyProtection="0">
      <alignment vertical="top"/>
      <protection locked="0"/>
    </xf>
    <xf numFmtId="0" fontId="43" fillId="12" borderId="0" applyNumberFormat="0" applyBorder="0" applyProtection="0">
      <alignment vertical="center"/>
    </xf>
    <xf numFmtId="0" fontId="43" fillId="13" borderId="0" applyNumberFormat="0" applyBorder="0" applyProtection="0">
      <alignment vertical="center"/>
    </xf>
    <xf numFmtId="0" fontId="43" fillId="12" borderId="0" applyNumberFormat="0" applyBorder="0" applyProtection="0">
      <alignment vertical="center"/>
    </xf>
    <xf numFmtId="0" fontId="43" fillId="12" borderId="0" applyNumberFormat="0" applyBorder="0" applyProtection="0">
      <alignment vertical="center"/>
    </xf>
    <xf numFmtId="0" fontId="43" fillId="12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5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6" borderId="0" applyNumberFormat="0" applyBorder="0" applyProtection="0">
      <alignment vertical="center"/>
    </xf>
    <xf numFmtId="0" fontId="43" fillId="17" borderId="0" applyNumberFormat="0" applyBorder="0" applyProtection="0">
      <alignment vertical="center"/>
    </xf>
    <xf numFmtId="0" fontId="43" fillId="16" borderId="0" applyNumberFormat="0" applyBorder="0" applyProtection="0">
      <alignment vertical="center"/>
    </xf>
    <xf numFmtId="0" fontId="43" fillId="16" borderId="0" applyNumberFormat="0" applyBorder="0" applyProtection="0">
      <alignment vertical="center"/>
    </xf>
    <xf numFmtId="0" fontId="43" fillId="16" borderId="0" applyNumberFormat="0" applyBorder="0" applyProtection="0">
      <alignment vertical="center"/>
    </xf>
    <xf numFmtId="0" fontId="43" fillId="18" borderId="0" applyNumberFormat="0" applyBorder="0" applyProtection="0">
      <alignment vertical="center"/>
    </xf>
    <xf numFmtId="0" fontId="43" fillId="19" borderId="0" applyNumberFormat="0" applyBorder="0" applyProtection="0">
      <alignment vertical="center"/>
    </xf>
    <xf numFmtId="0" fontId="43" fillId="18" borderId="0" applyNumberFormat="0" applyBorder="0" applyProtection="0">
      <alignment vertical="center"/>
    </xf>
    <xf numFmtId="0" fontId="43" fillId="18" borderId="0" applyNumberFormat="0" applyBorder="0" applyProtection="0">
      <alignment vertical="center"/>
    </xf>
    <xf numFmtId="0" fontId="43" fillId="18" borderId="0" applyNumberFormat="0" applyBorder="0" applyProtection="0">
      <alignment vertical="center"/>
    </xf>
    <xf numFmtId="0" fontId="43" fillId="12" borderId="0" applyNumberFormat="0" applyBorder="0" applyProtection="0">
      <alignment vertical="center"/>
    </xf>
    <xf numFmtId="0" fontId="43" fillId="13" borderId="0" applyNumberFormat="0" applyBorder="0" applyProtection="0">
      <alignment vertical="center"/>
    </xf>
    <xf numFmtId="0" fontId="43" fillId="12" borderId="0" applyNumberFormat="0" applyBorder="0" applyProtection="0">
      <alignment vertical="center"/>
    </xf>
    <xf numFmtId="0" fontId="43" fillId="12" borderId="0" applyNumberFormat="0" applyBorder="0" applyProtection="0">
      <alignment vertical="center"/>
    </xf>
    <xf numFmtId="0" fontId="43" fillId="12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5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166" fontId="3" fillId="0" borderId="0" applyFont="0" applyFill="0" applyBorder="0" applyProtection="0"/>
    <xf numFmtId="165" fontId="44" fillId="0" borderId="0"/>
    <xf numFmtId="0" fontId="32" fillId="0" borderId="0" applyNumberFormat="0" applyFill="0" applyBorder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5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 applyNumberFormat="0" applyFill="0" applyBorder="0" applyProtection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165" fontId="1" fillId="20" borderId="0"/>
    <xf numFmtId="165" fontId="1" fillId="2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4" fillId="0" borderId="0"/>
    <xf numFmtId="0" fontId="32" fillId="0" borderId="0" applyNumberFormat="0" applyFill="0" applyBorder="0" applyProtection="0">
      <alignment vertical="top"/>
      <protection locked="0"/>
    </xf>
    <xf numFmtId="0" fontId="32" fillId="0" borderId="0" applyNumberFormat="0" applyFill="0" applyBorder="0" applyProtection="0">
      <alignment vertical="top"/>
      <protection locked="0"/>
    </xf>
    <xf numFmtId="39" fontId="47" fillId="0" borderId="0">
      <alignment vertical="center"/>
      <protection locked="0"/>
    </xf>
    <xf numFmtId="167" fontId="1" fillId="0" borderId="0" applyFont="0" applyFill="0" applyBorder="0" applyProtection="0"/>
    <xf numFmtId="0" fontId="48" fillId="0" borderId="0"/>
    <xf numFmtId="0" fontId="48" fillId="0" borderId="0"/>
    <xf numFmtId="168" fontId="2" fillId="0" borderId="0" applyFont="0" applyFill="0" applyBorder="0" applyProtection="0">
      <protection locked="0"/>
    </xf>
    <xf numFmtId="0" fontId="41" fillId="21" borderId="0" applyNumberFormat="0" applyBorder="0" applyProtection="0"/>
    <xf numFmtId="0" fontId="41" fillId="22" borderId="0" applyNumberFormat="0" applyBorder="0" applyProtection="0"/>
    <xf numFmtId="0" fontId="41" fillId="22" borderId="0" applyNumberFormat="0" applyBorder="0" applyProtection="0"/>
    <xf numFmtId="0" fontId="42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21" borderId="0" applyNumberFormat="0" applyBorder="0" applyProtection="0"/>
    <xf numFmtId="0" fontId="41" fillId="5" borderId="0" applyNumberFormat="0" applyBorder="0" applyProtection="0"/>
    <xf numFmtId="0" fontId="41" fillId="5" borderId="0" applyNumberFormat="0" applyBorder="0" applyProtection="0"/>
    <xf numFmtId="0" fontId="41" fillId="5" borderId="0" applyNumberFormat="0" applyBorder="0" applyProtection="0"/>
    <xf numFmtId="0" fontId="42" fillId="5" borderId="0" applyNumberFormat="0" applyBorder="0" applyProtection="0"/>
    <xf numFmtId="0" fontId="41" fillId="5" borderId="0" applyNumberFormat="0" applyBorder="0" applyProtection="0"/>
    <xf numFmtId="0" fontId="41" fillId="5" borderId="0" applyNumberFormat="0" applyBorder="0" applyProtection="0"/>
    <xf numFmtId="0" fontId="41" fillId="5" borderId="0" applyNumberFormat="0" applyBorder="0" applyProtection="0"/>
    <xf numFmtId="0" fontId="41" fillId="5" borderId="0" applyNumberFormat="0" applyBorder="0" applyProtection="0"/>
    <xf numFmtId="0" fontId="41" fillId="6" borderId="0" applyNumberFormat="0" applyBorder="0" applyProtection="0"/>
    <xf numFmtId="0" fontId="41" fillId="7" borderId="0" applyNumberFormat="0" applyBorder="0" applyProtection="0"/>
    <xf numFmtId="0" fontId="41" fillId="7" borderId="0" applyNumberFormat="0" applyBorder="0" applyProtection="0"/>
    <xf numFmtId="0" fontId="42" fillId="6" borderId="0" applyNumberFormat="0" applyBorder="0" applyProtection="0"/>
    <xf numFmtId="0" fontId="41" fillId="6" borderId="0" applyNumberFormat="0" applyBorder="0" applyProtection="0"/>
    <xf numFmtId="0" fontId="41" fillId="6" borderId="0" applyNumberFormat="0" applyBorder="0" applyProtection="0"/>
    <xf numFmtId="0" fontId="41" fillId="6" borderId="0" applyNumberFormat="0" applyBorder="0" applyProtection="0"/>
    <xf numFmtId="0" fontId="41" fillId="6" borderId="0" applyNumberFormat="0" applyBorder="0" applyProtection="0"/>
    <xf numFmtId="0" fontId="41" fillId="4" borderId="0" applyNumberFormat="0" applyBorder="0" applyProtection="0"/>
    <xf numFmtId="0" fontId="41" fillId="4" borderId="0" applyNumberFormat="0" applyBorder="0" applyProtection="0"/>
    <xf numFmtId="0" fontId="41" fillId="4" borderId="0" applyNumberFormat="0" applyBorder="0" applyProtection="0"/>
    <xf numFmtId="0" fontId="42" fillId="4" borderId="0" applyNumberFormat="0" applyBorder="0" applyProtection="0"/>
    <xf numFmtId="0" fontId="41" fillId="4" borderId="0" applyNumberFormat="0" applyBorder="0" applyProtection="0"/>
    <xf numFmtId="0" fontId="41" fillId="4" borderId="0" applyNumberFormat="0" applyBorder="0" applyProtection="0"/>
    <xf numFmtId="0" fontId="41" fillId="4" borderId="0" applyNumberFormat="0" applyBorder="0" applyProtection="0"/>
    <xf numFmtId="0" fontId="41" fillId="4" borderId="0" applyNumberFormat="0" applyBorder="0" applyProtection="0"/>
    <xf numFmtId="0" fontId="41" fillId="23" borderId="0" applyNumberFormat="0" applyBorder="0" applyProtection="0"/>
    <xf numFmtId="0" fontId="41" fillId="24" borderId="0" applyNumberFormat="0" applyBorder="0" applyProtection="0"/>
    <xf numFmtId="0" fontId="41" fillId="24" borderId="0" applyNumberFormat="0" applyBorder="0" applyProtection="0"/>
    <xf numFmtId="0" fontId="42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25" borderId="0" applyNumberFormat="0" applyBorder="0" applyProtection="0"/>
    <xf numFmtId="0" fontId="41" fillId="26" borderId="0" applyNumberFormat="0" applyBorder="0" applyProtection="0"/>
    <xf numFmtId="0" fontId="41" fillId="26" borderId="0" applyNumberFormat="0" applyBorder="0" applyProtection="0"/>
    <xf numFmtId="0" fontId="42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1" fillId="25" borderId="0" applyNumberFormat="0" applyBorder="0" applyProtection="0"/>
    <xf numFmtId="0" fontId="49" fillId="21" borderId="0" applyNumberFormat="0" applyBorder="0" applyProtection="0">
      <alignment vertical="center"/>
    </xf>
    <xf numFmtId="0" fontId="49" fillId="22" borderId="0" applyNumberFormat="0" applyBorder="0" applyProtection="0">
      <alignment vertical="center"/>
    </xf>
    <xf numFmtId="0" fontId="49" fillId="21" borderId="0" applyNumberFormat="0" applyBorder="0" applyProtection="0">
      <alignment vertical="center"/>
    </xf>
    <xf numFmtId="0" fontId="49" fillId="21" borderId="0" applyNumberFormat="0" applyBorder="0" applyProtection="0">
      <alignment vertical="center"/>
    </xf>
    <xf numFmtId="0" fontId="49" fillId="21" borderId="0" applyNumberFormat="0" applyBorder="0" applyProtection="0">
      <alignment vertical="center"/>
    </xf>
    <xf numFmtId="0" fontId="49" fillId="21" borderId="0" applyNumberFormat="0" applyBorder="0" applyProtection="0">
      <alignment vertical="center"/>
    </xf>
    <xf numFmtId="0" fontId="49" fillId="5" borderId="0" applyNumberFormat="0" applyBorder="0" applyProtection="0">
      <alignment vertical="center"/>
    </xf>
    <xf numFmtId="0" fontId="49" fillId="5" borderId="0" applyNumberFormat="0" applyBorder="0" applyProtection="0">
      <alignment vertical="center"/>
    </xf>
    <xf numFmtId="0" fontId="49" fillId="5" borderId="0" applyNumberFormat="0" applyBorder="0" applyProtection="0">
      <alignment vertical="center"/>
    </xf>
    <xf numFmtId="0" fontId="49" fillId="5" borderId="0" applyNumberFormat="0" applyBorder="0" applyProtection="0">
      <alignment vertical="center"/>
    </xf>
    <xf numFmtId="0" fontId="49" fillId="5" borderId="0" applyNumberFormat="0" applyBorder="0" applyProtection="0">
      <alignment vertical="center"/>
    </xf>
    <xf numFmtId="0" fontId="49" fillId="5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7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4" borderId="0" applyNumberFormat="0" applyBorder="0" applyProtection="0">
      <alignment vertical="center"/>
    </xf>
    <xf numFmtId="0" fontId="49" fillId="4" borderId="0" applyNumberFormat="0" applyBorder="0" applyProtection="0">
      <alignment vertical="center"/>
    </xf>
    <xf numFmtId="0" fontId="49" fillId="4" borderId="0" applyNumberFormat="0" applyBorder="0" applyProtection="0">
      <alignment vertical="center"/>
    </xf>
    <xf numFmtId="0" fontId="49" fillId="4" borderId="0" applyNumberFormat="0" applyBorder="0" applyProtection="0">
      <alignment vertical="center"/>
    </xf>
    <xf numFmtId="0" fontId="49" fillId="4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4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5" borderId="0" applyNumberFormat="0" applyBorder="0" applyProtection="0">
      <alignment vertical="center"/>
    </xf>
    <xf numFmtId="0" fontId="49" fillId="26" borderId="0" applyNumberFormat="0" applyBorder="0" applyProtection="0">
      <alignment vertical="center"/>
    </xf>
    <xf numFmtId="0" fontId="49" fillId="25" borderId="0" applyNumberFormat="0" applyBorder="0" applyProtection="0">
      <alignment vertical="center"/>
    </xf>
    <xf numFmtId="0" fontId="49" fillId="25" borderId="0" applyNumberFormat="0" applyBorder="0" applyProtection="0">
      <alignment vertical="center"/>
    </xf>
    <xf numFmtId="0" fontId="49" fillId="25" borderId="0" applyNumberFormat="0" applyBorder="0" applyProtection="0">
      <alignment vertical="center"/>
    </xf>
    <xf numFmtId="0" fontId="49" fillId="25" borderId="0" applyNumberFormat="0" applyBorder="0" applyProtection="0">
      <alignment vertical="center"/>
    </xf>
    <xf numFmtId="0" fontId="50" fillId="27" borderId="0" applyNumberFormat="0" applyBorder="0" applyProtection="0"/>
    <xf numFmtId="0" fontId="50" fillId="27" borderId="0" applyNumberFormat="0" applyBorder="0" applyProtection="0"/>
    <xf numFmtId="165" fontId="41" fillId="28" borderId="0" applyNumberFormat="0" applyBorder="0" applyProtection="0"/>
    <xf numFmtId="0" fontId="50" fillId="27" borderId="0" applyNumberFormat="0" applyBorder="0" applyProtection="0"/>
    <xf numFmtId="169" fontId="42" fillId="28" borderId="0" applyNumberFormat="0" applyBorder="0" applyProtection="0"/>
    <xf numFmtId="0" fontId="207" fillId="27" borderId="0" applyNumberFormat="0" applyBorder="0" applyProtection="0"/>
    <xf numFmtId="0" fontId="50" fillId="27" borderId="0" applyNumberFormat="0" applyBorder="0" applyProtection="0"/>
    <xf numFmtId="0" fontId="207" fillId="27" borderId="0" applyNumberFormat="0" applyBorder="0" applyProtection="0"/>
    <xf numFmtId="0" fontId="50" fillId="27" borderId="0" applyNumberFormat="0" applyBorder="0" applyProtection="0"/>
    <xf numFmtId="0" fontId="207" fillId="27" borderId="0" applyNumberFormat="0" applyBorder="0" applyProtection="0"/>
    <xf numFmtId="0" fontId="50" fillId="27" borderId="0" applyNumberFormat="0" applyBorder="0" applyProtection="0"/>
    <xf numFmtId="0" fontId="207" fillId="27" borderId="0" applyNumberFormat="0" applyBorder="0" applyProtection="0"/>
    <xf numFmtId="0" fontId="207" fillId="27" borderId="0" applyNumberFormat="0" applyBorder="0" applyProtection="0"/>
    <xf numFmtId="0" fontId="207" fillId="27" borderId="0" applyNumberFormat="0" applyBorder="0" applyProtection="0"/>
    <xf numFmtId="0" fontId="207" fillId="27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165" fontId="41" fillId="30" borderId="0" applyNumberFormat="0" applyBorder="0" applyProtection="0"/>
    <xf numFmtId="0" fontId="50" fillId="29" borderId="0" applyNumberFormat="0" applyBorder="0" applyProtection="0"/>
    <xf numFmtId="169" fontId="42" fillId="30" borderId="0" applyNumberFormat="0" applyBorder="0" applyProtection="0"/>
    <xf numFmtId="0" fontId="207" fillId="29" borderId="0" applyNumberFormat="0" applyBorder="0" applyProtection="0"/>
    <xf numFmtId="0" fontId="50" fillId="29" borderId="0" applyNumberFormat="0" applyBorder="0" applyProtection="0"/>
    <xf numFmtId="0" fontId="207" fillId="29" borderId="0" applyNumberFormat="0" applyBorder="0" applyProtection="0"/>
    <xf numFmtId="0" fontId="50" fillId="29" borderId="0" applyNumberFormat="0" applyBorder="0" applyProtection="0"/>
    <xf numFmtId="0" fontId="207" fillId="29" borderId="0" applyNumberFormat="0" applyBorder="0" applyProtection="0"/>
    <xf numFmtId="0" fontId="50" fillId="29" borderId="0" applyNumberFormat="0" applyBorder="0" applyProtection="0"/>
    <xf numFmtId="0" fontId="207" fillId="29" borderId="0" applyNumberFormat="0" applyBorder="0" applyProtection="0"/>
    <xf numFmtId="0" fontId="207" fillId="29" borderId="0" applyNumberFormat="0" applyBorder="0" applyProtection="0"/>
    <xf numFmtId="0" fontId="207" fillId="29" borderId="0" applyNumberFormat="0" applyBorder="0" applyProtection="0"/>
    <xf numFmtId="0" fontId="207" fillId="29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165" fontId="41" fillId="32" borderId="0" applyNumberFormat="0" applyBorder="0" applyProtection="0"/>
    <xf numFmtId="0" fontId="50" fillId="31" borderId="0" applyNumberFormat="0" applyBorder="0" applyProtection="0"/>
    <xf numFmtId="169" fontId="42" fillId="32" borderId="0" applyNumberFormat="0" applyBorder="0" applyProtection="0"/>
    <xf numFmtId="0" fontId="207" fillId="31" borderId="0" applyNumberFormat="0" applyBorder="0" applyProtection="0"/>
    <xf numFmtId="0" fontId="50" fillId="31" borderId="0" applyNumberFormat="0" applyBorder="0" applyProtection="0"/>
    <xf numFmtId="0" fontId="207" fillId="31" borderId="0" applyNumberFormat="0" applyBorder="0" applyProtection="0"/>
    <xf numFmtId="0" fontId="50" fillId="31" borderId="0" applyNumberFormat="0" applyBorder="0" applyProtection="0"/>
    <xf numFmtId="0" fontId="207" fillId="31" borderId="0" applyNumberFormat="0" applyBorder="0" applyProtection="0"/>
    <xf numFmtId="0" fontId="50" fillId="31" borderId="0" applyNumberFormat="0" applyBorder="0" applyProtection="0"/>
    <xf numFmtId="0" fontId="207" fillId="31" borderId="0" applyNumberFormat="0" applyBorder="0" applyProtection="0"/>
    <xf numFmtId="0" fontId="207" fillId="31" borderId="0" applyNumberFormat="0" applyBorder="0" applyProtection="0"/>
    <xf numFmtId="0" fontId="207" fillId="31" borderId="0" applyNumberFormat="0" applyBorder="0" applyProtection="0"/>
    <xf numFmtId="0" fontId="207" fillId="31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165" fontId="41" fillId="34" borderId="0" applyNumberFormat="0" applyBorder="0" applyProtection="0"/>
    <xf numFmtId="0" fontId="50" fillId="33" borderId="0" applyNumberFormat="0" applyBorder="0" applyProtection="0"/>
    <xf numFmtId="169" fontId="42" fillId="34" borderId="0" applyNumberFormat="0" applyBorder="0" applyProtection="0"/>
    <xf numFmtId="0" fontId="207" fillId="33" borderId="0" applyNumberFormat="0" applyBorder="0" applyProtection="0"/>
    <xf numFmtId="0" fontId="50" fillId="33" borderId="0" applyNumberFormat="0" applyBorder="0" applyProtection="0"/>
    <xf numFmtId="0" fontId="207" fillId="33" borderId="0" applyNumberFormat="0" applyBorder="0" applyProtection="0"/>
    <xf numFmtId="0" fontId="50" fillId="33" borderId="0" applyNumberFormat="0" applyBorder="0" applyProtection="0"/>
    <xf numFmtId="0" fontId="207" fillId="33" borderId="0" applyNumberFormat="0" applyBorder="0" applyProtection="0"/>
    <xf numFmtId="0" fontId="50" fillId="33" borderId="0" applyNumberFormat="0" applyBorder="0" applyProtection="0"/>
    <xf numFmtId="0" fontId="207" fillId="33" borderId="0" applyNumberFormat="0" applyBorder="0" applyProtection="0"/>
    <xf numFmtId="0" fontId="207" fillId="33" borderId="0" applyNumberFormat="0" applyBorder="0" applyProtection="0"/>
    <xf numFmtId="0" fontId="207" fillId="33" borderId="0" applyNumberFormat="0" applyBorder="0" applyProtection="0"/>
    <xf numFmtId="0" fontId="207" fillId="33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165" fontId="41" fillId="23" borderId="0" applyNumberFormat="0" applyBorder="0" applyProtection="0"/>
    <xf numFmtId="0" fontId="50" fillId="35" borderId="0" applyNumberFormat="0" applyBorder="0" applyProtection="0"/>
    <xf numFmtId="169" fontId="42" fillId="23" borderId="0" applyNumberFormat="0" applyBorder="0" applyProtection="0"/>
    <xf numFmtId="0" fontId="207" fillId="35" borderId="0" applyNumberFormat="0" applyBorder="0" applyProtection="0"/>
    <xf numFmtId="0" fontId="50" fillId="35" borderId="0" applyNumberFormat="0" applyBorder="0" applyProtection="0"/>
    <xf numFmtId="0" fontId="207" fillId="35" borderId="0" applyNumberFormat="0" applyBorder="0" applyProtection="0"/>
    <xf numFmtId="0" fontId="50" fillId="35" borderId="0" applyNumberFormat="0" applyBorder="0" applyProtection="0"/>
    <xf numFmtId="0" fontId="207" fillId="35" borderId="0" applyNumberFormat="0" applyBorder="0" applyProtection="0"/>
    <xf numFmtId="0" fontId="50" fillId="35" borderId="0" applyNumberFormat="0" applyBorder="0" applyProtection="0"/>
    <xf numFmtId="0" fontId="207" fillId="35" borderId="0" applyNumberFormat="0" applyBorder="0" applyProtection="0"/>
    <xf numFmtId="0" fontId="207" fillId="35" borderId="0" applyNumberFormat="0" applyBorder="0" applyProtection="0"/>
    <xf numFmtId="0" fontId="207" fillId="35" borderId="0" applyNumberFormat="0" applyBorder="0" applyProtection="0"/>
    <xf numFmtId="0" fontId="207" fillId="35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165" fontId="41" fillId="37" borderId="0" applyNumberFormat="0" applyBorder="0" applyProtection="0"/>
    <xf numFmtId="0" fontId="50" fillId="36" borderId="0" applyNumberFormat="0" applyBorder="0" applyProtection="0"/>
    <xf numFmtId="169" fontId="42" fillId="37" borderId="0" applyNumberFormat="0" applyBorder="0" applyProtection="0"/>
    <xf numFmtId="0" fontId="207" fillId="36" borderId="0" applyNumberFormat="0" applyBorder="0" applyProtection="0"/>
    <xf numFmtId="0" fontId="50" fillId="36" borderId="0" applyNumberFormat="0" applyBorder="0" applyProtection="0"/>
    <xf numFmtId="0" fontId="207" fillId="36" borderId="0" applyNumberFormat="0" applyBorder="0" applyProtection="0"/>
    <xf numFmtId="0" fontId="50" fillId="36" borderId="0" applyNumberFormat="0" applyBorder="0" applyProtection="0"/>
    <xf numFmtId="0" fontId="207" fillId="36" borderId="0" applyNumberFormat="0" applyBorder="0" applyProtection="0"/>
    <xf numFmtId="0" fontId="50" fillId="36" borderId="0" applyNumberFormat="0" applyBorder="0" applyProtection="0"/>
    <xf numFmtId="0" fontId="207" fillId="36" borderId="0" applyNumberFormat="0" applyBorder="0" applyProtection="0"/>
    <xf numFmtId="0" fontId="207" fillId="36" borderId="0" applyNumberFormat="0" applyBorder="0" applyProtection="0"/>
    <xf numFmtId="0" fontId="207" fillId="36" borderId="0" applyNumberFormat="0" applyBorder="0" applyProtection="0"/>
    <xf numFmtId="0" fontId="207" fillId="36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7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29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1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3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5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0" fillId="36" borderId="0" applyNumberFormat="0" applyBorder="0" applyProtection="0"/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28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0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2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23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51" fillId="37" borderId="0" applyNumberFormat="0" applyBorder="0" applyProtection="0">
      <alignment vertical="center"/>
    </xf>
    <xf numFmtId="0" fontId="41" fillId="23" borderId="0" applyNumberFormat="0" applyBorder="0" applyProtection="0"/>
    <xf numFmtId="0" fontId="41" fillId="24" borderId="0" applyNumberFormat="0" applyBorder="0" applyProtection="0"/>
    <xf numFmtId="0" fontId="41" fillId="24" borderId="0" applyNumberFormat="0" applyBorder="0" applyProtection="0"/>
    <xf numFmtId="0" fontId="42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14" borderId="0" applyNumberFormat="0" applyBorder="0" applyProtection="0"/>
    <xf numFmtId="0" fontId="41" fillId="15" borderId="0" applyNumberFormat="0" applyBorder="0" applyProtection="0"/>
    <xf numFmtId="0" fontId="41" fillId="15" borderId="0" applyNumberFormat="0" applyBorder="0" applyProtection="0"/>
    <xf numFmtId="0" fontId="42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14" borderId="0" applyNumberFormat="0" applyBorder="0" applyProtection="0"/>
    <xf numFmtId="0" fontId="41" fillId="6" borderId="0" applyNumberFormat="0" applyBorder="0" applyProtection="0"/>
    <xf numFmtId="0" fontId="41" fillId="7" borderId="0" applyNumberFormat="0" applyBorder="0" applyProtection="0"/>
    <xf numFmtId="0" fontId="41" fillId="7" borderId="0" applyNumberFormat="0" applyBorder="0" applyProtection="0"/>
    <xf numFmtId="0" fontId="42" fillId="6" borderId="0" applyNumberFormat="0" applyBorder="0" applyProtection="0"/>
    <xf numFmtId="0" fontId="41" fillId="6" borderId="0" applyNumberFormat="0" applyBorder="0" applyProtection="0"/>
    <xf numFmtId="0" fontId="41" fillId="6" borderId="0" applyNumberFormat="0" applyBorder="0" applyProtection="0"/>
    <xf numFmtId="0" fontId="41" fillId="6" borderId="0" applyNumberFormat="0" applyBorder="0" applyProtection="0"/>
    <xf numFmtId="0" fontId="41" fillId="6" borderId="0" applyNumberFormat="0" applyBorder="0" applyProtection="0"/>
    <xf numFmtId="0" fontId="41" fillId="38" borderId="0" applyNumberFormat="0" applyBorder="0" applyProtection="0"/>
    <xf numFmtId="0" fontId="41" fillId="20" borderId="0" applyNumberFormat="0" applyBorder="0" applyProtection="0"/>
    <xf numFmtId="0" fontId="41" fillId="20" borderId="0" applyNumberFormat="0" applyBorder="0" applyProtection="0"/>
    <xf numFmtId="0" fontId="42" fillId="38" borderId="0" applyNumberFormat="0" applyBorder="0" applyProtection="0"/>
    <xf numFmtId="0" fontId="41" fillId="38" borderId="0" applyNumberFormat="0" applyBorder="0" applyProtection="0"/>
    <xf numFmtId="0" fontId="41" fillId="38" borderId="0" applyNumberFormat="0" applyBorder="0" applyProtection="0"/>
    <xf numFmtId="0" fontId="41" fillId="38" borderId="0" applyNumberFormat="0" applyBorder="0" applyProtection="0"/>
    <xf numFmtId="0" fontId="41" fillId="38" borderId="0" applyNumberFormat="0" applyBorder="0" applyProtection="0"/>
    <xf numFmtId="0" fontId="41" fillId="23" borderId="0" applyNumberFormat="0" applyBorder="0" applyProtection="0"/>
    <xf numFmtId="0" fontId="41" fillId="24" borderId="0" applyNumberFormat="0" applyBorder="0" applyProtection="0"/>
    <xf numFmtId="0" fontId="41" fillId="24" borderId="0" applyNumberFormat="0" applyBorder="0" applyProtection="0"/>
    <xf numFmtId="0" fontId="42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23" borderId="0" applyNumberFormat="0" applyBorder="0" applyProtection="0"/>
    <xf numFmtId="0" fontId="41" fillId="8" borderId="0" applyNumberFormat="0" applyBorder="0" applyProtection="0"/>
    <xf numFmtId="0" fontId="41" fillId="9" borderId="0" applyNumberFormat="0" applyBorder="0" applyProtection="0"/>
    <xf numFmtId="0" fontId="41" fillId="9" borderId="0" applyNumberFormat="0" applyBorder="0" applyProtection="0"/>
    <xf numFmtId="0" fontId="42" fillId="8" borderId="0" applyNumberFormat="0" applyBorder="0" applyProtection="0"/>
    <xf numFmtId="0" fontId="41" fillId="8" borderId="0" applyNumberFormat="0" applyBorder="0" applyProtection="0"/>
    <xf numFmtId="0" fontId="41" fillId="8" borderId="0" applyNumberFormat="0" applyBorder="0" applyProtection="0"/>
    <xf numFmtId="0" fontId="41" fillId="8" borderId="0" applyNumberFormat="0" applyBorder="0" applyProtection="0"/>
    <xf numFmtId="0" fontId="41" fillId="8" borderId="0" applyNumberFormat="0" applyBorder="0" applyProtection="0"/>
    <xf numFmtId="0" fontId="49" fillId="23" borderId="0" applyNumberFormat="0" applyBorder="0" applyProtection="0">
      <alignment vertical="center"/>
    </xf>
    <xf numFmtId="0" fontId="49" fillId="24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14" borderId="0" applyNumberFormat="0" applyBorder="0" applyProtection="0">
      <alignment vertical="center"/>
    </xf>
    <xf numFmtId="0" fontId="49" fillId="15" borderId="0" applyNumberFormat="0" applyBorder="0" applyProtection="0">
      <alignment vertical="center"/>
    </xf>
    <xf numFmtId="0" fontId="49" fillId="14" borderId="0" applyNumberFormat="0" applyBorder="0" applyProtection="0">
      <alignment vertical="center"/>
    </xf>
    <xf numFmtId="0" fontId="49" fillId="14" borderId="0" applyNumberFormat="0" applyBorder="0" applyProtection="0">
      <alignment vertical="center"/>
    </xf>
    <xf numFmtId="0" fontId="49" fillId="14" borderId="0" applyNumberFormat="0" applyBorder="0" applyProtection="0">
      <alignment vertical="center"/>
    </xf>
    <xf numFmtId="0" fontId="49" fillId="14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7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6" borderId="0" applyNumberFormat="0" applyBorder="0" applyProtection="0">
      <alignment vertical="center"/>
    </xf>
    <xf numFmtId="0" fontId="49" fillId="38" borderId="0" applyNumberFormat="0" applyBorder="0" applyProtection="0">
      <alignment vertical="center"/>
    </xf>
    <xf numFmtId="0" fontId="49" fillId="20" borderId="0" applyNumberFormat="0" applyBorder="0" applyProtection="0">
      <alignment vertical="center"/>
    </xf>
    <xf numFmtId="0" fontId="49" fillId="38" borderId="0" applyNumberFormat="0" applyBorder="0" applyProtection="0">
      <alignment vertical="center"/>
    </xf>
    <xf numFmtId="0" fontId="49" fillId="38" borderId="0" applyNumberFormat="0" applyBorder="0" applyProtection="0">
      <alignment vertical="center"/>
    </xf>
    <xf numFmtId="0" fontId="49" fillId="38" borderId="0" applyNumberFormat="0" applyBorder="0" applyProtection="0">
      <alignment vertical="center"/>
    </xf>
    <xf numFmtId="0" fontId="49" fillId="38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4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23" borderId="0" applyNumberFormat="0" applyBorder="0" applyProtection="0">
      <alignment vertical="center"/>
    </xf>
    <xf numFmtId="0" fontId="49" fillId="8" borderId="0" applyNumberFormat="0" applyBorder="0" applyProtection="0">
      <alignment vertical="center"/>
    </xf>
    <xf numFmtId="0" fontId="49" fillId="9" borderId="0" applyNumberFormat="0" applyBorder="0" applyProtection="0">
      <alignment vertical="center"/>
    </xf>
    <xf numFmtId="0" fontId="49" fillId="8" borderId="0" applyNumberFormat="0" applyBorder="0" applyProtection="0">
      <alignment vertical="center"/>
    </xf>
    <xf numFmtId="0" fontId="49" fillId="8" borderId="0" applyNumberFormat="0" applyBorder="0" applyProtection="0">
      <alignment vertical="center"/>
    </xf>
    <xf numFmtId="0" fontId="49" fillId="8" borderId="0" applyNumberFormat="0" applyBorder="0" applyProtection="0">
      <alignment vertical="center"/>
    </xf>
    <xf numFmtId="0" fontId="49" fillId="8" borderId="0" applyNumberFormat="0" applyBorder="0" applyProtection="0">
      <alignment vertical="center"/>
    </xf>
    <xf numFmtId="0" fontId="50" fillId="39" borderId="0" applyNumberFormat="0" applyBorder="0" applyProtection="0"/>
    <xf numFmtId="0" fontId="50" fillId="39" borderId="0" applyNumberFormat="0" applyBorder="0" applyProtection="0"/>
    <xf numFmtId="165" fontId="41" fillId="40" borderId="0" applyNumberFormat="0" applyBorder="0" applyProtection="0"/>
    <xf numFmtId="0" fontId="50" fillId="39" borderId="0" applyNumberFormat="0" applyBorder="0" applyProtection="0"/>
    <xf numFmtId="169" fontId="42" fillId="40" borderId="0" applyNumberFormat="0" applyBorder="0" applyProtection="0"/>
    <xf numFmtId="0" fontId="207" fillId="39" borderId="0" applyNumberFormat="0" applyBorder="0" applyProtection="0"/>
    <xf numFmtId="0" fontId="50" fillId="39" borderId="0" applyNumberFormat="0" applyBorder="0" applyProtection="0"/>
    <xf numFmtId="0" fontId="207" fillId="39" borderId="0" applyNumberFormat="0" applyBorder="0" applyProtection="0"/>
    <xf numFmtId="0" fontId="50" fillId="39" borderId="0" applyNumberFormat="0" applyBorder="0" applyProtection="0"/>
    <xf numFmtId="0" fontId="207" fillId="39" borderId="0" applyNumberFormat="0" applyBorder="0" applyProtection="0"/>
    <xf numFmtId="0" fontId="50" fillId="39" borderId="0" applyNumberFormat="0" applyBorder="0" applyProtection="0"/>
    <xf numFmtId="0" fontId="207" fillId="39" borderId="0" applyNumberFormat="0" applyBorder="0" applyProtection="0"/>
    <xf numFmtId="0" fontId="207" fillId="39" borderId="0" applyNumberFormat="0" applyBorder="0" applyProtection="0"/>
    <xf numFmtId="0" fontId="207" fillId="39" borderId="0" applyNumberFormat="0" applyBorder="0" applyProtection="0"/>
    <xf numFmtId="0" fontId="207" fillId="39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165" fontId="41" fillId="5" borderId="0" applyNumberFormat="0" applyBorder="0" applyProtection="0"/>
    <xf numFmtId="0" fontId="50" fillId="41" borderId="0" applyNumberFormat="0" applyBorder="0" applyProtection="0"/>
    <xf numFmtId="169" fontId="42" fillId="5" borderId="0" applyNumberFormat="0" applyBorder="0" applyProtection="0"/>
    <xf numFmtId="0" fontId="207" fillId="41" borderId="0" applyNumberFormat="0" applyBorder="0" applyProtection="0"/>
    <xf numFmtId="0" fontId="50" fillId="41" borderId="0" applyNumberFormat="0" applyBorder="0" applyProtection="0"/>
    <xf numFmtId="0" fontId="207" fillId="41" borderId="0" applyNumberFormat="0" applyBorder="0" applyProtection="0"/>
    <xf numFmtId="0" fontId="50" fillId="41" borderId="0" applyNumberFormat="0" applyBorder="0" applyProtection="0"/>
    <xf numFmtId="0" fontId="207" fillId="41" borderId="0" applyNumberFormat="0" applyBorder="0" applyProtection="0"/>
    <xf numFmtId="0" fontId="50" fillId="41" borderId="0" applyNumberFormat="0" applyBorder="0" applyProtection="0"/>
    <xf numFmtId="0" fontId="207" fillId="41" borderId="0" applyNumberFormat="0" applyBorder="0" applyProtection="0"/>
    <xf numFmtId="0" fontId="207" fillId="41" borderId="0" applyNumberFormat="0" applyBorder="0" applyProtection="0"/>
    <xf numFmtId="0" fontId="207" fillId="41" borderId="0" applyNumberFormat="0" applyBorder="0" applyProtection="0"/>
    <xf numFmtId="0" fontId="207" fillId="41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165" fontId="41" fillId="43" borderId="0" applyNumberFormat="0" applyBorder="0" applyProtection="0"/>
    <xf numFmtId="0" fontId="50" fillId="42" borderId="0" applyNumberFormat="0" applyBorder="0" applyProtection="0"/>
    <xf numFmtId="169" fontId="42" fillId="43" borderId="0" applyNumberFormat="0" applyBorder="0" applyProtection="0"/>
    <xf numFmtId="0" fontId="207" fillId="42" borderId="0" applyNumberFormat="0" applyBorder="0" applyProtection="0"/>
    <xf numFmtId="0" fontId="50" fillId="42" borderId="0" applyNumberFormat="0" applyBorder="0" applyProtection="0"/>
    <xf numFmtId="0" fontId="207" fillId="42" borderId="0" applyNumberFormat="0" applyBorder="0" applyProtection="0"/>
    <xf numFmtId="0" fontId="50" fillId="42" borderId="0" applyNumberFormat="0" applyBorder="0" applyProtection="0"/>
    <xf numFmtId="0" fontId="207" fillId="42" borderId="0" applyNumberFormat="0" applyBorder="0" applyProtection="0"/>
    <xf numFmtId="0" fontId="50" fillId="42" borderId="0" applyNumberFormat="0" applyBorder="0" applyProtection="0"/>
    <xf numFmtId="0" fontId="207" fillId="42" borderId="0" applyNumberFormat="0" applyBorder="0" applyProtection="0"/>
    <xf numFmtId="0" fontId="207" fillId="42" borderId="0" applyNumberFormat="0" applyBorder="0" applyProtection="0"/>
    <xf numFmtId="0" fontId="207" fillId="42" borderId="0" applyNumberFormat="0" applyBorder="0" applyProtection="0"/>
    <xf numFmtId="0" fontId="207" fillId="42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165" fontId="41" fillId="34" borderId="0" applyNumberFormat="0" applyBorder="0" applyProtection="0"/>
    <xf numFmtId="0" fontId="50" fillId="44" borderId="0" applyNumberFormat="0" applyBorder="0" applyProtection="0"/>
    <xf numFmtId="169" fontId="42" fillId="34" borderId="0" applyNumberFormat="0" applyBorder="0" applyProtection="0"/>
    <xf numFmtId="0" fontId="207" fillId="44" borderId="0" applyNumberFormat="0" applyBorder="0" applyProtection="0"/>
    <xf numFmtId="0" fontId="50" fillId="44" borderId="0" applyNumberFormat="0" applyBorder="0" applyProtection="0"/>
    <xf numFmtId="0" fontId="207" fillId="44" borderId="0" applyNumberFormat="0" applyBorder="0" applyProtection="0"/>
    <xf numFmtId="0" fontId="50" fillId="44" borderId="0" applyNumberFormat="0" applyBorder="0" applyProtection="0"/>
    <xf numFmtId="0" fontId="207" fillId="44" borderId="0" applyNumberFormat="0" applyBorder="0" applyProtection="0"/>
    <xf numFmtId="0" fontId="50" fillId="44" borderId="0" applyNumberFormat="0" applyBorder="0" applyProtection="0"/>
    <xf numFmtId="0" fontId="207" fillId="44" borderId="0" applyNumberFormat="0" applyBorder="0" applyProtection="0"/>
    <xf numFmtId="0" fontId="207" fillId="44" borderId="0" applyNumberFormat="0" applyBorder="0" applyProtection="0"/>
    <xf numFmtId="0" fontId="207" fillId="44" borderId="0" applyNumberFormat="0" applyBorder="0" applyProtection="0"/>
    <xf numFmtId="0" fontId="207" fillId="44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207" fillId="45" borderId="0" applyNumberFormat="0" applyBorder="0" applyProtection="0"/>
    <xf numFmtId="165" fontId="41" fillId="40" borderId="0" applyNumberFormat="0" applyBorder="0" applyProtection="0"/>
    <xf numFmtId="0" fontId="50" fillId="45" borderId="0" applyNumberFormat="0" applyBorder="0" applyProtection="0"/>
    <xf numFmtId="169" fontId="42" fillId="40" borderId="0" applyNumberFormat="0" applyBorder="0" applyProtection="0"/>
    <xf numFmtId="0" fontId="207" fillId="45" borderId="0" applyNumberFormat="0" applyBorder="0" applyProtection="0"/>
    <xf numFmtId="0" fontId="50" fillId="45" borderId="0" applyNumberFormat="0" applyBorder="0" applyProtection="0"/>
    <xf numFmtId="0" fontId="207" fillId="45" borderId="0" applyNumberFormat="0" applyBorder="0" applyProtection="0"/>
    <xf numFmtId="0" fontId="50" fillId="45" borderId="0" applyNumberFormat="0" applyBorder="0" applyProtection="0"/>
    <xf numFmtId="0" fontId="207" fillId="45" borderId="0" applyNumberFormat="0" applyBorder="0" applyProtection="0"/>
    <xf numFmtId="0" fontId="50" fillId="45" borderId="0" applyNumberFormat="0" applyBorder="0" applyProtection="0"/>
    <xf numFmtId="0" fontId="207" fillId="45" borderId="0" applyNumberFormat="0" applyBorder="0" applyProtection="0"/>
    <xf numFmtId="0" fontId="207" fillId="45" borderId="0" applyNumberFormat="0" applyBorder="0" applyProtection="0"/>
    <xf numFmtId="0" fontId="207" fillId="45" borderId="0" applyNumberFormat="0" applyBorder="0" applyProtection="0"/>
    <xf numFmtId="0" fontId="207" fillId="45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165" fontId="41" fillId="6" borderId="0" applyNumberFormat="0" applyBorder="0" applyProtection="0"/>
    <xf numFmtId="0" fontId="50" fillId="46" borderId="0" applyNumberFormat="0" applyBorder="0" applyProtection="0"/>
    <xf numFmtId="169" fontId="42" fillId="6" borderId="0" applyNumberFormat="0" applyBorder="0" applyProtection="0"/>
    <xf numFmtId="0" fontId="207" fillId="46" borderId="0" applyNumberFormat="0" applyBorder="0" applyProtection="0"/>
    <xf numFmtId="0" fontId="50" fillId="46" borderId="0" applyNumberFormat="0" applyBorder="0" applyProtection="0"/>
    <xf numFmtId="0" fontId="207" fillId="46" borderId="0" applyNumberFormat="0" applyBorder="0" applyProtection="0"/>
    <xf numFmtId="0" fontId="50" fillId="46" borderId="0" applyNumberFormat="0" applyBorder="0" applyProtection="0"/>
    <xf numFmtId="0" fontId="207" fillId="46" borderId="0" applyNumberFormat="0" applyBorder="0" applyProtection="0"/>
    <xf numFmtId="0" fontId="50" fillId="46" borderId="0" applyNumberFormat="0" applyBorder="0" applyProtection="0"/>
    <xf numFmtId="0" fontId="207" fillId="46" borderId="0" applyNumberFormat="0" applyBorder="0" applyProtection="0"/>
    <xf numFmtId="0" fontId="207" fillId="46" borderId="0" applyNumberFormat="0" applyBorder="0" applyProtection="0"/>
    <xf numFmtId="0" fontId="207" fillId="46" borderId="0" applyNumberFormat="0" applyBorder="0" applyProtection="0"/>
    <xf numFmtId="0" fontId="207" fillId="46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39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1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2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4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5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0" fillId="46" borderId="0" applyNumberFormat="0" applyBorder="0" applyProtection="0"/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5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43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34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40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51" fillId="6" borderId="0" applyNumberFormat="0" applyBorder="0" applyProtection="0">
      <alignment vertical="center"/>
    </xf>
    <xf numFmtId="0" fontId="30" fillId="23" borderId="0" applyNumberFormat="0" applyBorder="0" applyProtection="0"/>
    <xf numFmtId="0" fontId="30" fillId="24" borderId="0" applyNumberFormat="0" applyBorder="0" applyProtection="0"/>
    <xf numFmtId="0" fontId="30" fillId="23" borderId="0" applyNumberFormat="0" applyBorder="0" applyProtection="0"/>
    <xf numFmtId="0" fontId="30" fillId="23" borderId="0" applyNumberFormat="0" applyBorder="0" applyProtection="0"/>
    <xf numFmtId="0" fontId="30" fillId="23" borderId="0" applyNumberFormat="0" applyBorder="0" applyProtection="0"/>
    <xf numFmtId="0" fontId="30" fillId="14" borderId="0" applyNumberFormat="0" applyBorder="0" applyProtection="0"/>
    <xf numFmtId="0" fontId="30" fillId="15" borderId="0" applyNumberFormat="0" applyBorder="0" applyProtection="0"/>
    <xf numFmtId="0" fontId="30" fillId="14" borderId="0" applyNumberFormat="0" applyBorder="0" applyProtection="0"/>
    <xf numFmtId="0" fontId="30" fillId="14" borderId="0" applyNumberFormat="0" applyBorder="0" applyProtection="0"/>
    <xf numFmtId="0" fontId="30" fillId="14" borderId="0" applyNumberFormat="0" applyBorder="0" applyProtection="0"/>
    <xf numFmtId="0" fontId="30" fillId="6" borderId="0" applyNumberFormat="0" applyBorder="0" applyProtection="0"/>
    <xf numFmtId="0" fontId="30" fillId="7" borderId="0" applyNumberFormat="0" applyBorder="0" applyProtection="0"/>
    <xf numFmtId="0" fontId="30" fillId="6" borderId="0" applyNumberFormat="0" applyBorder="0" applyProtection="0"/>
    <xf numFmtId="0" fontId="30" fillId="6" borderId="0" applyNumberFormat="0" applyBorder="0" applyProtection="0"/>
    <xf numFmtId="0" fontId="30" fillId="6" borderId="0" applyNumberFormat="0" applyBorder="0" applyProtection="0"/>
    <xf numFmtId="0" fontId="30" fillId="10" borderId="0" applyNumberFormat="0" applyBorder="0" applyProtection="0"/>
    <xf numFmtId="0" fontId="30" fillId="11" borderId="0" applyNumberFormat="0" applyBorder="0" applyProtection="0"/>
    <xf numFmtId="0" fontId="30" fillId="10" borderId="0" applyNumberFormat="0" applyBorder="0" applyProtection="0"/>
    <xf numFmtId="0" fontId="30" fillId="10" borderId="0" applyNumberFormat="0" applyBorder="0" applyProtection="0"/>
    <xf numFmtId="0" fontId="30" fillId="10" borderId="0" applyNumberFormat="0" applyBorder="0" applyProtection="0"/>
    <xf numFmtId="0" fontId="30" fillId="23" borderId="0" applyNumberFormat="0" applyBorder="0" applyProtection="0"/>
    <xf numFmtId="0" fontId="30" fillId="24" borderId="0" applyNumberFormat="0" applyBorder="0" applyProtection="0"/>
    <xf numFmtId="0" fontId="30" fillId="23" borderId="0" applyNumberFormat="0" applyBorder="0" applyProtection="0"/>
    <xf numFmtId="0" fontId="30" fillId="23" borderId="0" applyNumberFormat="0" applyBorder="0" applyProtection="0"/>
    <xf numFmtId="0" fontId="30" fillId="23" borderId="0" applyNumberFormat="0" applyBorder="0" applyProtection="0"/>
    <xf numFmtId="0" fontId="30" fillId="5" borderId="0" applyNumberFormat="0" applyBorder="0" applyProtection="0"/>
    <xf numFmtId="0" fontId="30" fillId="5" borderId="0" applyNumberFormat="0" applyBorder="0" applyProtection="0"/>
    <xf numFmtId="0" fontId="30" fillId="5" borderId="0" applyNumberFormat="0" applyBorder="0" applyProtection="0"/>
    <xf numFmtId="0" fontId="30" fillId="5" borderId="0" applyNumberFormat="0" applyBorder="0" applyProtection="0"/>
    <xf numFmtId="0" fontId="30" fillId="5" borderId="0" applyNumberFormat="0" applyBorder="0" applyProtection="0"/>
    <xf numFmtId="0" fontId="43" fillId="23" borderId="0" applyNumberFormat="0" applyBorder="0" applyProtection="0">
      <alignment vertical="center"/>
    </xf>
    <xf numFmtId="0" fontId="43" fillId="24" borderId="0" applyNumberFormat="0" applyBorder="0" applyProtection="0">
      <alignment vertical="center"/>
    </xf>
    <xf numFmtId="0" fontId="43" fillId="23" borderId="0" applyNumberFormat="0" applyBorder="0" applyProtection="0">
      <alignment vertical="center"/>
    </xf>
    <xf numFmtId="0" fontId="43" fillId="23" borderId="0" applyNumberFormat="0" applyBorder="0" applyProtection="0">
      <alignment vertical="center"/>
    </xf>
    <xf numFmtId="0" fontId="43" fillId="23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5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14" borderId="0" applyNumberFormat="0" applyBorder="0" applyProtection="0">
      <alignment vertical="center"/>
    </xf>
    <xf numFmtId="0" fontId="43" fillId="6" borderId="0" applyNumberFormat="0" applyBorder="0" applyProtection="0">
      <alignment vertical="center"/>
    </xf>
    <xf numFmtId="0" fontId="43" fillId="7" borderId="0" applyNumberFormat="0" applyBorder="0" applyProtection="0">
      <alignment vertical="center"/>
    </xf>
    <xf numFmtId="0" fontId="43" fillId="6" borderId="0" applyNumberFormat="0" applyBorder="0" applyProtection="0">
      <alignment vertical="center"/>
    </xf>
    <xf numFmtId="0" fontId="43" fillId="6" borderId="0" applyNumberFormat="0" applyBorder="0" applyProtection="0">
      <alignment vertical="center"/>
    </xf>
    <xf numFmtId="0" fontId="43" fillId="6" borderId="0" applyNumberFormat="0" applyBorder="0" applyProtection="0">
      <alignment vertical="center"/>
    </xf>
    <xf numFmtId="0" fontId="43" fillId="10" borderId="0" applyNumberFormat="0" applyBorder="0" applyProtection="0">
      <alignment vertical="center"/>
    </xf>
    <xf numFmtId="0" fontId="43" fillId="11" borderId="0" applyNumberFormat="0" applyBorder="0" applyProtection="0">
      <alignment vertical="center"/>
    </xf>
    <xf numFmtId="0" fontId="43" fillId="10" borderId="0" applyNumberFormat="0" applyBorder="0" applyProtection="0">
      <alignment vertical="center"/>
    </xf>
    <xf numFmtId="0" fontId="43" fillId="10" borderId="0" applyNumberFormat="0" applyBorder="0" applyProtection="0">
      <alignment vertical="center"/>
    </xf>
    <xf numFmtId="0" fontId="43" fillId="10" borderId="0" applyNumberFormat="0" applyBorder="0" applyProtection="0">
      <alignment vertical="center"/>
    </xf>
    <xf numFmtId="0" fontId="43" fillId="23" borderId="0" applyNumberFormat="0" applyBorder="0" applyProtection="0">
      <alignment vertical="center"/>
    </xf>
    <xf numFmtId="0" fontId="43" fillId="24" borderId="0" applyNumberFormat="0" applyBorder="0" applyProtection="0">
      <alignment vertical="center"/>
    </xf>
    <xf numFmtId="0" fontId="43" fillId="23" borderId="0" applyNumberFormat="0" applyBorder="0" applyProtection="0">
      <alignment vertical="center"/>
    </xf>
    <xf numFmtId="0" fontId="43" fillId="23" borderId="0" applyNumberFormat="0" applyBorder="0" applyProtection="0">
      <alignment vertical="center"/>
    </xf>
    <xf numFmtId="0" fontId="43" fillId="23" borderId="0" applyNumberFormat="0" applyBorder="0" applyProtection="0">
      <alignment vertical="center"/>
    </xf>
    <xf numFmtId="0" fontId="43" fillId="5" borderId="0" applyNumberFormat="0" applyBorder="0" applyProtection="0">
      <alignment vertical="center"/>
    </xf>
    <xf numFmtId="0" fontId="43" fillId="5" borderId="0" applyNumberFormat="0" applyBorder="0" applyProtection="0">
      <alignment vertical="center"/>
    </xf>
    <xf numFmtId="0" fontId="43" fillId="5" borderId="0" applyNumberFormat="0" applyBorder="0" applyProtection="0">
      <alignment vertical="center"/>
    </xf>
    <xf numFmtId="0" fontId="43" fillId="5" borderId="0" applyNumberFormat="0" applyBorder="0" applyProtection="0">
      <alignment vertical="center"/>
    </xf>
    <xf numFmtId="0" fontId="43" fillId="5" borderId="0" applyNumberFormat="0" applyBorder="0" applyProtection="0">
      <alignment vertical="center"/>
    </xf>
    <xf numFmtId="165" fontId="30" fillId="47" borderId="0" applyNumberFormat="0" applyBorder="0" applyProtection="0"/>
    <xf numFmtId="0" fontId="50" fillId="48" borderId="0" applyNumberFormat="0" applyBorder="0" applyProtection="0"/>
    <xf numFmtId="169" fontId="30" fillId="47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165" fontId="30" fillId="5" borderId="0" applyNumberFormat="0" applyBorder="0" applyProtection="0"/>
    <xf numFmtId="0" fontId="50" fillId="49" borderId="0" applyNumberFormat="0" applyBorder="0" applyProtection="0"/>
    <xf numFmtId="169" fontId="30" fillId="5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165" fontId="30" fillId="43" borderId="0" applyNumberFormat="0" applyBorder="0" applyProtection="0"/>
    <xf numFmtId="0" fontId="50" fillId="50" borderId="0" applyNumberFormat="0" applyBorder="0" applyProtection="0"/>
    <xf numFmtId="169" fontId="30" fillId="43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165" fontId="30" fillId="51" borderId="0" applyNumberFormat="0" applyBorder="0" applyProtection="0"/>
    <xf numFmtId="0" fontId="50" fillId="52" borderId="0" applyNumberFormat="0" applyBorder="0" applyProtection="0"/>
    <xf numFmtId="169" fontId="30" fillId="51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165" fontId="30" fillId="53" borderId="0" applyNumberFormat="0" applyBorder="0" applyProtection="0"/>
    <xf numFmtId="0" fontId="50" fillId="54" borderId="0" applyNumberFormat="0" applyBorder="0" applyProtection="0"/>
    <xf numFmtId="169" fontId="30" fillId="53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165" fontId="30" fillId="21" borderId="0" applyNumberFormat="0" applyBorder="0" applyProtection="0"/>
    <xf numFmtId="0" fontId="50" fillId="55" borderId="0" applyNumberFormat="0" applyBorder="0" applyProtection="0"/>
    <xf numFmtId="169" fontId="30" fillId="21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0" fillId="48" borderId="0" applyNumberFormat="0" applyBorder="0" applyProtection="0"/>
    <xf numFmtId="0" fontId="52" fillId="48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0" fillId="49" borderId="0" applyNumberFormat="0" applyBorder="0" applyProtection="0"/>
    <xf numFmtId="0" fontId="52" fillId="49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0" fillId="50" borderId="0" applyNumberFormat="0" applyBorder="0" applyProtection="0"/>
    <xf numFmtId="0" fontId="52" fillId="50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0" fillId="52" borderId="0" applyNumberFormat="0" applyBorder="0" applyProtection="0"/>
    <xf numFmtId="0" fontId="52" fillId="52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0" fillId="54" borderId="0" applyNumberFormat="0" applyBorder="0" applyProtection="0"/>
    <xf numFmtId="0" fontId="52" fillId="54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0" fillId="55" borderId="0" applyNumberFormat="0" applyBorder="0" applyProtection="0"/>
    <xf numFmtId="0" fontId="52" fillId="55" borderId="0" applyNumberFormat="0" applyBorder="0" applyProtection="0"/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47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5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43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53" fillId="21" borderId="0" applyNumberFormat="0" applyBorder="0" applyProtection="0">
      <alignment vertical="center"/>
    </xf>
    <xf numFmtId="0" fontId="46" fillId="0" borderId="0"/>
    <xf numFmtId="0" fontId="45" fillId="0" borderId="0"/>
    <xf numFmtId="0" fontId="4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4" fillId="0" borderId="13" applyBorder="0"/>
    <xf numFmtId="165" fontId="30" fillId="56" borderId="0" applyNumberFormat="0" applyBorder="0" applyProtection="0"/>
    <xf numFmtId="0" fontId="52" fillId="57" borderId="0" applyNumberFormat="0" applyBorder="0" applyProtection="0"/>
    <xf numFmtId="169" fontId="30" fillId="56" borderId="0" applyNumberFormat="0" applyBorder="0" applyProtection="0"/>
    <xf numFmtId="0" fontId="52" fillId="57" borderId="0" applyNumberFormat="0" applyBorder="0" applyProtection="0"/>
    <xf numFmtId="0" fontId="52" fillId="58" borderId="0" applyNumberFormat="0" applyBorder="0" applyProtection="0"/>
    <xf numFmtId="165" fontId="30" fillId="59" borderId="0" applyNumberFormat="0" applyBorder="0" applyProtection="0"/>
    <xf numFmtId="0" fontId="55" fillId="58" borderId="0" applyNumberFormat="0" applyBorder="0" applyProtection="0"/>
    <xf numFmtId="169" fontId="30" fillId="59" borderId="0" applyNumberFormat="0" applyBorder="0" applyProtection="0"/>
    <xf numFmtId="0" fontId="55" fillId="58" borderId="0" applyNumberFormat="0" applyBorder="0" applyProtection="0"/>
    <xf numFmtId="165" fontId="30" fillId="60" borderId="0" applyNumberFormat="0" applyBorder="0" applyProtection="0"/>
    <xf numFmtId="0" fontId="55" fillId="61" borderId="0" applyNumberFormat="0" applyBorder="0" applyProtection="0"/>
    <xf numFmtId="169" fontId="30" fillId="60" borderId="0" applyNumberFormat="0" applyBorder="0" applyProtection="0"/>
    <xf numFmtId="0" fontId="55" fillId="61" borderId="0" applyNumberFormat="0" applyBorder="0" applyProtection="0"/>
    <xf numFmtId="165" fontId="30" fillId="51" borderId="0" applyNumberFormat="0" applyBorder="0" applyProtection="0"/>
    <xf numFmtId="0" fontId="55" fillId="62" borderId="0" applyNumberFormat="0" applyBorder="0" applyProtection="0"/>
    <xf numFmtId="169" fontId="30" fillId="51" borderId="0" applyNumberFormat="0" applyBorder="0" applyProtection="0"/>
    <xf numFmtId="0" fontId="55" fillId="62" borderId="0" applyNumberFormat="0" applyBorder="0" applyProtection="0"/>
    <xf numFmtId="165" fontId="30" fillId="53" borderId="0" applyNumberFormat="0" applyBorder="0" applyProtection="0"/>
    <xf numFmtId="0" fontId="55" fillId="63" borderId="0" applyNumberFormat="0" applyBorder="0" applyProtection="0"/>
    <xf numFmtId="169" fontId="30" fillId="53" borderId="0" applyNumberFormat="0" applyBorder="0" applyProtection="0"/>
    <xf numFmtId="0" fontId="55" fillId="63" borderId="0" applyNumberFormat="0" applyBorder="0" applyProtection="0"/>
    <xf numFmtId="165" fontId="30" fillId="64" borderId="0" applyNumberFormat="0" applyBorder="0" applyProtection="0"/>
    <xf numFmtId="0" fontId="55" fillId="65" borderId="0" applyNumberFormat="0" applyBorder="0" applyProtection="0"/>
    <xf numFmtId="169" fontId="30" fillId="64" borderId="0" applyNumberFormat="0" applyBorder="0" applyProtection="0"/>
    <xf numFmtId="0" fontId="55" fillId="65" borderId="0" applyNumberFormat="0" applyBorder="0" applyProtection="0"/>
    <xf numFmtId="170" fontId="56" fillId="0" borderId="0" applyFont="0" applyFill="0" applyBorder="0" applyProtection="0"/>
    <xf numFmtId="165" fontId="57" fillId="0" borderId="0" applyFont="0" applyFill="0" applyBorder="0" applyProtection="0"/>
    <xf numFmtId="171" fontId="56" fillId="0" borderId="0" applyFont="0" applyFill="0" applyBorder="0" applyProtection="0"/>
    <xf numFmtId="165" fontId="57" fillId="0" borderId="0" applyFont="0" applyFill="0" applyBorder="0" applyProtection="0"/>
    <xf numFmtId="3" fontId="58" fillId="0" borderId="0" applyNumberFormat="0" applyFill="0" applyBorder="0" applyProtection="0"/>
    <xf numFmtId="3" fontId="59" fillId="0" borderId="0" applyNumberFormat="0" applyFill="0" applyBorder="0" applyProtection="0"/>
    <xf numFmtId="172" fontId="56" fillId="0" borderId="0" applyFont="0" applyFill="0" applyBorder="0" applyProtection="0"/>
    <xf numFmtId="165" fontId="57" fillId="0" borderId="0" applyFont="0" applyFill="0" applyBorder="0" applyProtection="0"/>
    <xf numFmtId="173" fontId="56" fillId="0" borderId="0" applyFont="0" applyFill="0" applyBorder="0" applyProtection="0"/>
    <xf numFmtId="165" fontId="57" fillId="0" borderId="0" applyFont="0" applyFill="0" applyBorder="0" applyProtection="0"/>
    <xf numFmtId="165" fontId="6" fillId="30" borderId="0" applyNumberFormat="0" applyBorder="0" applyProtection="0"/>
    <xf numFmtId="0" fontId="60" fillId="66" borderId="0" applyNumberFormat="0" applyBorder="0" applyProtection="0"/>
    <xf numFmtId="169" fontId="6" fillId="30" borderId="0" applyNumberFormat="0" applyBorder="0" applyProtection="0"/>
    <xf numFmtId="0" fontId="60" fillId="66" borderId="0" applyNumberFormat="0" applyBorder="0" applyProtection="0"/>
    <xf numFmtId="0" fontId="32" fillId="0" borderId="0" applyNumberFormat="0" applyFill="0" applyBorder="0" applyProtection="0">
      <alignment vertical="top"/>
      <protection locked="0"/>
    </xf>
    <xf numFmtId="0" fontId="32" fillId="0" borderId="0" applyNumberFormat="0" applyFill="0" applyBorder="0" applyProtection="0">
      <alignment vertical="top"/>
      <protection locked="0"/>
    </xf>
    <xf numFmtId="0" fontId="32" fillId="0" borderId="0" applyNumberFormat="0" applyFill="0" applyBorder="0" applyProtection="0">
      <alignment vertical="top"/>
      <protection locked="0"/>
    </xf>
    <xf numFmtId="174" fontId="21" fillId="0" borderId="0" applyNumberFormat="0" applyFont="0"/>
    <xf numFmtId="174" fontId="21" fillId="0" borderId="0" applyNumberFormat="0" applyFont="0"/>
    <xf numFmtId="0" fontId="61" fillId="67" borderId="0"/>
    <xf numFmtId="175" fontId="2" fillId="0" borderId="0" applyNumberFormat="0" applyFill="0" applyBorder="0"/>
    <xf numFmtId="38" fontId="62" fillId="0" borderId="13" applyNumberFormat="0" applyFont="0" applyProtection="0"/>
    <xf numFmtId="176" fontId="63" fillId="0" borderId="0" applyFill="0" applyBorder="0" applyProtection="0">
      <alignment horizontal="right" vertical="top" wrapText="1"/>
    </xf>
    <xf numFmtId="165" fontId="57" fillId="0" borderId="0"/>
    <xf numFmtId="165" fontId="64" fillId="0" borderId="0"/>
    <xf numFmtId="165" fontId="57" fillId="0" borderId="0"/>
    <xf numFmtId="177" fontId="1" fillId="0" borderId="0" applyFill="0" applyBorder="0"/>
    <xf numFmtId="177" fontId="1" fillId="0" borderId="0" applyFill="0" applyBorder="0"/>
    <xf numFmtId="178" fontId="1" fillId="0" borderId="0" applyFill="0" applyBorder="0"/>
    <xf numFmtId="178" fontId="1" fillId="0" borderId="0" applyFill="0" applyBorder="0"/>
    <xf numFmtId="179" fontId="1" fillId="0" borderId="0" applyFill="0" applyBorder="0"/>
    <xf numFmtId="179" fontId="1" fillId="0" borderId="0" applyFill="0" applyBorder="0"/>
    <xf numFmtId="180" fontId="1" fillId="0" borderId="0" applyFill="0" applyBorder="0"/>
    <xf numFmtId="180" fontId="1" fillId="0" borderId="0" applyFill="0" applyBorder="0"/>
    <xf numFmtId="181" fontId="1" fillId="0" borderId="0" applyFill="0" applyBorder="0"/>
    <xf numFmtId="181" fontId="1" fillId="0" borderId="0" applyFill="0" applyBorder="0"/>
    <xf numFmtId="182" fontId="1" fillId="0" borderId="0" applyFill="0" applyBorder="0"/>
    <xf numFmtId="182" fontId="1" fillId="0" borderId="0" applyFill="0" applyBorder="0"/>
    <xf numFmtId="183" fontId="1" fillId="0" borderId="0" applyFill="0" applyBorder="0"/>
    <xf numFmtId="183" fontId="1" fillId="0" borderId="0" applyFill="0" applyBorder="0"/>
    <xf numFmtId="178" fontId="1" fillId="0" borderId="0" applyFill="0" applyBorder="0"/>
    <xf numFmtId="178" fontId="1" fillId="0" borderId="0" applyFill="0" applyBorder="0"/>
    <xf numFmtId="165" fontId="65" fillId="20" borderId="8" applyNumberFormat="0" applyProtection="0"/>
    <xf numFmtId="0" fontId="66" fillId="68" borderId="14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5" fontId="65" fillId="20" borderId="8" applyNumberFormat="0" applyProtection="0"/>
    <xf numFmtId="169" fontId="65" fillId="20" borderId="8" applyNumberFormat="0" applyProtection="0"/>
    <xf numFmtId="0" fontId="66" fillId="68" borderId="14" applyNumberFormat="0" applyProtection="0"/>
    <xf numFmtId="169" fontId="65" fillId="20" borderId="8" applyNumberFormat="0" applyProtection="0"/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0" fontId="44" fillId="20" borderId="15" applyBorder="0">
      <alignment horizontal="centerContinuous"/>
    </xf>
    <xf numFmtId="165" fontId="61" fillId="69" borderId="16" applyNumberFormat="0" applyProtection="0"/>
    <xf numFmtId="0" fontId="67" fillId="70" borderId="17" applyNumberFormat="0" applyProtection="0"/>
    <xf numFmtId="169" fontId="61" fillId="69" borderId="16" applyNumberFormat="0" applyProtection="0"/>
    <xf numFmtId="0" fontId="67" fillId="70" borderId="17" applyNumberFormat="0" applyProtection="0"/>
    <xf numFmtId="0" fontId="33" fillId="0" borderId="0" applyNumberFormat="0" applyFill="0" applyBorder="0" applyProtection="0">
      <alignment vertical="top"/>
      <protection locked="0"/>
    </xf>
    <xf numFmtId="38" fontId="68" fillId="0" borderId="0" applyNumberFormat="0" applyFill="0" applyBorder="0" applyProtection="0">
      <protection locked="0"/>
    </xf>
    <xf numFmtId="38" fontId="69" fillId="0" borderId="0" applyNumberFormat="0" applyFill="0" applyBorder="0" applyProtection="0">
      <protection locked="0"/>
    </xf>
    <xf numFmtId="38" fontId="70" fillId="0" borderId="0" applyNumberFormat="0" applyFill="0" applyBorder="0" applyProtection="0">
      <protection locked="0"/>
    </xf>
    <xf numFmtId="0" fontId="71" fillId="0" borderId="18">
      <alignment horizontal="center"/>
    </xf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5" fontId="72" fillId="0" borderId="0"/>
    <xf numFmtId="175" fontId="2" fillId="0" borderId="0" applyFont="0" applyFill="0" applyBorder="0" applyProtection="0">
      <protection locked="0"/>
    </xf>
    <xf numFmtId="40" fontId="47" fillId="0" borderId="0" applyFont="0" applyFill="0" applyBorder="0" applyProtection="0">
      <protection locked="0"/>
    </xf>
    <xf numFmtId="40" fontId="47" fillId="0" borderId="0" applyFont="0" applyFill="0" applyBorder="0" applyProtection="0">
      <protection locked="0"/>
    </xf>
    <xf numFmtId="182" fontId="1" fillId="0" borderId="0" applyFont="0" applyFill="0" applyBorder="0" applyProtection="0"/>
    <xf numFmtId="182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186" fontId="1" fillId="0" borderId="0" applyFont="0" applyFill="0" applyBorder="0" applyProtection="0"/>
    <xf numFmtId="186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6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187" fontId="207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7" fontId="207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187" fontId="207" fillId="0" borderId="0" applyFont="0" applyFill="0" applyBorder="0" applyProtection="0"/>
    <xf numFmtId="43" fontId="21" fillId="0" borderId="0" applyFont="0" applyFill="0" applyBorder="0" applyProtection="0"/>
    <xf numFmtId="186" fontId="1" fillId="0" borderId="0" applyFont="0" applyFill="0" applyBorder="0" applyProtection="0"/>
    <xf numFmtId="188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8" fontId="1" fillId="0" borderId="0" applyFont="0" applyFill="0" applyBorder="0" applyProtection="0"/>
    <xf numFmtId="43" fontId="21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7" fontId="207" fillId="0" borderId="0" applyFont="0" applyFill="0" applyBorder="0" applyProtection="0"/>
    <xf numFmtId="43" fontId="2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187" fontId="207" fillId="0" borderId="0" applyFont="0" applyFill="0" applyBorder="0" applyProtection="0"/>
    <xf numFmtId="188" fontId="1" fillId="0" borderId="0" applyFont="0" applyFill="0" applyBorder="0" applyProtection="0"/>
    <xf numFmtId="43" fontId="73" fillId="0" borderId="0" applyFont="0" applyFill="0" applyBorder="0" applyProtection="0"/>
    <xf numFmtId="188" fontId="1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73" fillId="0" borderId="0" applyFont="0" applyFill="0" applyBorder="0" applyProtection="0"/>
    <xf numFmtId="43" fontId="73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187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07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9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186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188" fontId="1" fillId="0" borderId="0" applyFont="0" applyFill="0" applyBorder="0" applyProtection="0"/>
    <xf numFmtId="188" fontId="1" fillId="0" borderId="0" applyFont="0" applyFill="0" applyBorder="0" applyProtection="0"/>
    <xf numFmtId="186" fontId="1" fillId="0" borderId="0" applyFont="0" applyFill="0" applyBorder="0" applyProtection="0"/>
    <xf numFmtId="43" fontId="1" fillId="0" borderId="0" applyFont="0" applyFill="0" applyBorder="0" applyProtection="0"/>
    <xf numFmtId="188" fontId="1" fillId="0" borderId="0" applyFont="0" applyFill="0" applyBorder="0" applyProtection="0"/>
    <xf numFmtId="188" fontId="1" fillId="0" borderId="0" applyFont="0" applyFill="0" applyBorder="0" applyProtection="0"/>
    <xf numFmtId="188" fontId="1" fillId="0" borderId="0" applyFont="0" applyFill="0" applyBorder="0" applyProtection="0"/>
    <xf numFmtId="188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43" fontId="1" fillId="0" borderId="0" applyFont="0" applyFill="0" applyBorder="0" applyProtection="0"/>
    <xf numFmtId="3" fontId="47" fillId="0" borderId="0" applyFont="0" applyFill="0" applyBorder="0" applyProtection="0"/>
    <xf numFmtId="3" fontId="1" fillId="0" borderId="0" applyFont="0" applyFill="0" applyBorder="0" applyProtection="0"/>
    <xf numFmtId="3" fontId="1" fillId="0" borderId="0" applyFont="0" applyFill="0" applyBorder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74" fillId="0" borderId="0" applyNumberFormat="0" applyFill="0" applyBorder="0" applyProtection="0">
      <alignment horizontal="left" vertical="top" wrapText="1"/>
    </xf>
    <xf numFmtId="0" fontId="75" fillId="0" borderId="0" applyNumberFormat="0">
      <alignment horizontal="left"/>
    </xf>
    <xf numFmtId="190" fontId="47" fillId="0" borderId="0" applyFont="0" applyFill="0" applyBorder="0" applyProtection="0">
      <protection locked="0"/>
    </xf>
    <xf numFmtId="190" fontId="47" fillId="0" borderId="0" applyFont="0" applyFill="0" applyBorder="0" applyProtection="0">
      <protection locked="0"/>
    </xf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1" fontId="76" fillId="0" borderId="19"/>
    <xf numFmtId="192" fontId="47" fillId="0" borderId="0" applyFont="0" applyFill="0" applyBorder="0" applyProtection="0">
      <protection locked="0"/>
    </xf>
    <xf numFmtId="192" fontId="47" fillId="0" borderId="0" applyFont="0" applyFill="0" applyBorder="0" applyProtection="0">
      <protection locked="0"/>
    </xf>
    <xf numFmtId="178" fontId="1" fillId="0" borderId="0" applyFont="0" applyFill="0" applyBorder="0" applyProtection="0"/>
    <xf numFmtId="178" fontId="1" fillId="0" borderId="0" applyFont="0" applyFill="0" applyBorder="0" applyProtection="0"/>
    <xf numFmtId="193" fontId="1" fillId="0" borderId="0" applyFont="0" applyFill="0" applyBorder="0" applyProtection="0"/>
    <xf numFmtId="193" fontId="1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167" fontId="1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167" fontId="1" fillId="0" borderId="0" applyFont="0" applyFill="0" applyBorder="0" applyProtection="0"/>
    <xf numFmtId="167" fontId="1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194" fontId="47" fillId="0" borderId="0" applyFont="0" applyFill="0" applyBorder="0" applyProtection="0"/>
    <xf numFmtId="195" fontId="77" fillId="0" borderId="0" applyFont="0" applyFill="0" applyBorder="0" applyProtection="0"/>
    <xf numFmtId="196" fontId="2" fillId="0" borderId="0" applyFont="0" applyFill="0" applyBorder="0" applyProtection="0"/>
    <xf numFmtId="165" fontId="78" fillId="20" borderId="0" applyNumberFormat="0" applyFont="0" applyFill="0" applyBorder="0" applyProtection="0">
      <alignment horizontal="left"/>
    </xf>
    <xf numFmtId="0" fontId="79" fillId="71" borderId="0">
      <alignment horizontal="centerContinuous"/>
    </xf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0" fontId="44" fillId="4" borderId="15" applyBorder="0"/>
    <xf numFmtId="165" fontId="47" fillId="0" borderId="0" applyFont="0" applyFill="0" applyBorder="0" applyProtection="0"/>
    <xf numFmtId="14" fontId="63" fillId="0" borderId="0" applyFill="0" applyBorder="0" applyProtection="0">
      <alignment horizontal="right" vertical="top" wrapText="1"/>
    </xf>
    <xf numFmtId="14" fontId="1" fillId="0" borderId="0" applyFill="0" applyBorder="0"/>
    <xf numFmtId="0" fontId="80" fillId="0" borderId="0" applyFill="0" applyBorder="0" applyProtection="0"/>
    <xf numFmtId="197" fontId="2" fillId="0" borderId="0" applyFont="0" applyFill="0" applyBorder="0" applyProtection="0">
      <alignment horizontal="left"/>
    </xf>
    <xf numFmtId="198" fontId="81" fillId="0" borderId="0" applyFont="0" applyFill="0" applyBorder="0" applyProtection="0">
      <protection locked="0"/>
    </xf>
    <xf numFmtId="39" fontId="46" fillId="0" borderId="0" applyFont="0" applyFill="0" applyBorder="0" applyProtection="0"/>
    <xf numFmtId="199" fontId="82" fillId="0" borderId="0" applyFont="0" applyFill="0" applyBorder="0"/>
    <xf numFmtId="38" fontId="3" fillId="0" borderId="20">
      <alignment vertical="center"/>
    </xf>
    <xf numFmtId="38" fontId="3" fillId="0" borderId="20">
      <alignment vertical="center"/>
    </xf>
    <xf numFmtId="38" fontId="1" fillId="0" borderId="0" applyFont="0" applyFill="0" applyBorder="0" applyProtection="0"/>
    <xf numFmtId="40" fontId="1" fillId="0" borderId="0" applyFont="0" applyFill="0" applyBorder="0" applyProtection="0"/>
    <xf numFmtId="200" fontId="83" fillId="0" borderId="0"/>
    <xf numFmtId="201" fontId="54" fillId="0" borderId="0" applyFont="0" applyFill="0" applyBorder="0" applyProtection="0"/>
    <xf numFmtId="202" fontId="1" fillId="0" borderId="0" applyFont="0" applyFill="0" applyBorder="0" applyProtection="0"/>
    <xf numFmtId="203" fontId="1" fillId="0" borderId="0" applyFont="0" applyFill="0" applyBorder="0" applyProtection="0"/>
    <xf numFmtId="202" fontId="1" fillId="0" borderId="0" applyFont="0" applyFill="0" applyBorder="0" applyProtection="0"/>
    <xf numFmtId="203" fontId="1" fillId="0" borderId="0" applyFont="0" applyFill="0" applyBorder="0" applyProtection="0"/>
    <xf numFmtId="202" fontId="1" fillId="0" borderId="0" applyFont="0" applyFill="0" applyBorder="0" applyProtection="0"/>
    <xf numFmtId="203" fontId="1" fillId="0" borderId="0" applyFont="0" applyFill="0" applyBorder="0" applyProtection="0"/>
    <xf numFmtId="202" fontId="1" fillId="0" borderId="0" applyFont="0" applyFill="0" applyBorder="0" applyProtection="0"/>
    <xf numFmtId="203" fontId="1" fillId="0" borderId="0" applyFont="0" applyFill="0" applyBorder="0" applyProtection="0"/>
    <xf numFmtId="202" fontId="1" fillId="0" borderId="0" applyFont="0" applyFill="0" applyBorder="0" applyProtection="0"/>
    <xf numFmtId="203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6" fontId="58" fillId="0" borderId="0" applyFont="0" applyFill="0" applyBorder="0" applyProtection="0"/>
    <xf numFmtId="207" fontId="58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4" fontId="1" fillId="0" borderId="0" applyFont="0" applyFill="0" applyBorder="0" applyProtection="0"/>
    <xf numFmtId="205" fontId="1" fillId="0" borderId="0" applyFont="0" applyFill="0" applyBorder="0" applyProtection="0"/>
    <xf numFmtId="208" fontId="54" fillId="0" borderId="0" applyFont="0" applyFill="0" applyBorder="0" applyProtection="0"/>
    <xf numFmtId="209" fontId="1" fillId="0" borderId="0" applyFont="0" applyFill="0" applyBorder="0" applyProtection="0"/>
    <xf numFmtId="205" fontId="1" fillId="0" borderId="0" applyFont="0" applyFill="0" applyBorder="0" applyProtection="0"/>
    <xf numFmtId="209" fontId="1" fillId="0" borderId="0" applyFont="0" applyFill="0" applyBorder="0" applyProtection="0"/>
    <xf numFmtId="205" fontId="1" fillId="0" borderId="0" applyFont="0" applyFill="0" applyBorder="0" applyProtection="0"/>
    <xf numFmtId="209" fontId="1" fillId="0" borderId="0" applyFont="0" applyFill="0" applyBorder="0" applyProtection="0"/>
    <xf numFmtId="205" fontId="1" fillId="0" borderId="0" applyFont="0" applyFill="0" applyBorder="0" applyProtection="0"/>
    <xf numFmtId="209" fontId="1" fillId="0" borderId="0" applyFont="0" applyFill="0" applyBorder="0" applyProtection="0"/>
    <xf numFmtId="205" fontId="1" fillId="0" borderId="0" applyFont="0" applyFill="0" applyBorder="0" applyProtection="0"/>
    <xf numFmtId="209" fontId="1" fillId="0" borderId="0" applyFont="0" applyFill="0" applyBorder="0" applyProtection="0"/>
    <xf numFmtId="205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11" fontId="58" fillId="0" borderId="0" applyFont="0" applyFill="0" applyBorder="0" applyProtection="0"/>
    <xf numFmtId="212" fontId="58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200" fontId="1" fillId="0" borderId="0" applyFont="0" applyFill="0" applyBorder="0" applyProtection="0"/>
    <xf numFmtId="210" fontId="1" fillId="0" borderId="0" applyFont="0" applyFill="0" applyBorder="0" applyProtection="0"/>
    <xf numFmtId="182" fontId="1" fillId="0" borderId="0" applyFill="0" applyBorder="0"/>
    <xf numFmtId="182" fontId="1" fillId="0" borderId="0" applyFill="0" applyBorder="0"/>
    <xf numFmtId="178" fontId="1" fillId="0" borderId="0" applyFill="0" applyBorder="0"/>
    <xf numFmtId="178" fontId="1" fillId="0" borderId="0" applyFill="0" applyBorder="0"/>
    <xf numFmtId="182" fontId="1" fillId="0" borderId="0" applyFill="0" applyBorder="0"/>
    <xf numFmtId="182" fontId="1" fillId="0" borderId="0" applyFill="0" applyBorder="0"/>
    <xf numFmtId="183" fontId="1" fillId="0" borderId="0" applyFill="0" applyBorder="0"/>
    <xf numFmtId="183" fontId="1" fillId="0" borderId="0" applyFill="0" applyBorder="0"/>
    <xf numFmtId="178" fontId="1" fillId="0" borderId="0" applyFill="0" applyBorder="0"/>
    <xf numFmtId="178" fontId="1" fillId="0" borderId="0" applyFill="0" applyBorder="0"/>
    <xf numFmtId="0" fontId="84" fillId="0" borderId="0" applyNumberFormat="0">
      <alignment horizontal="left"/>
    </xf>
    <xf numFmtId="3" fontId="85" fillId="0" borderId="0" applyFill="0" applyBorder="0">
      <alignment horizontal="left"/>
      <protection locked="0"/>
    </xf>
    <xf numFmtId="165" fontId="21" fillId="0" borderId="0" applyFont="0" applyFill="0" applyBorder="0" applyProtection="0"/>
    <xf numFmtId="165" fontId="78" fillId="0" borderId="0" applyFont="0" applyFill="0" applyBorder="0" applyProtection="0"/>
    <xf numFmtId="165" fontId="21" fillId="0" borderId="0" applyFont="0" applyFill="0" applyBorder="0" applyProtection="0"/>
    <xf numFmtId="213" fontId="1" fillId="0" borderId="0" applyFont="0" applyFill="0" applyBorder="0" applyProtection="0"/>
    <xf numFmtId="0" fontId="42" fillId="0" borderId="0"/>
    <xf numFmtId="165" fontId="86" fillId="0" borderId="0" applyNumberFormat="0" applyFill="0" applyBorder="0" applyProtection="0"/>
    <xf numFmtId="0" fontId="87" fillId="0" borderId="0" applyNumberFormat="0" applyFill="0" applyBorder="0" applyProtection="0"/>
    <xf numFmtId="169" fontId="86" fillId="0" borderId="0" applyNumberFormat="0" applyFill="0" applyBorder="0" applyProtection="0"/>
    <xf numFmtId="0" fontId="87" fillId="0" borderId="0" applyNumberFormat="0" applyFill="0" applyBorder="0" applyProtection="0"/>
    <xf numFmtId="165" fontId="44" fillId="69" borderId="0" applyNumberFormat="0" applyFont="0" applyBorder="0" applyProtection="0"/>
    <xf numFmtId="165" fontId="88" fillId="0" borderId="0" applyNumberFormat="0" applyFill="0" applyBorder="0" applyProtection="0"/>
    <xf numFmtId="214" fontId="89" fillId="0" borderId="0" applyFill="0" applyBorder="0">
      <alignment horizontal="right"/>
    </xf>
    <xf numFmtId="15" fontId="44" fillId="0" borderId="0" applyFont="0" applyFill="0" applyBorder="0" applyProtection="0">
      <alignment horizontal="center"/>
    </xf>
    <xf numFmtId="165" fontId="44" fillId="30" borderId="0" applyNumberFormat="0" applyFont="0" applyBorder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20" borderId="21" applyNumberFormat="0" applyProtection="0"/>
    <xf numFmtId="215" fontId="78" fillId="0" borderId="0" applyNumberFormat="0" applyFill="0" applyBorder="0" applyProtection="0"/>
    <xf numFmtId="215" fontId="90" fillId="0" borderId="0" applyNumberFormat="0" applyFill="0" applyBorder="0" applyProtection="0"/>
    <xf numFmtId="15" fontId="44" fillId="0" borderId="0" applyFont="0" applyFill="0" applyBorder="0" applyProtection="0">
      <alignment horizontal="center"/>
    </xf>
    <xf numFmtId="216" fontId="91" fillId="18" borderId="22">
      <protection locked="0"/>
    </xf>
    <xf numFmtId="215" fontId="92" fillId="18" borderId="22">
      <protection locked="0"/>
    </xf>
    <xf numFmtId="215" fontId="44" fillId="0" borderId="0" applyFont="0" applyFill="0" applyBorder="0" applyProtection="0"/>
    <xf numFmtId="216" fontId="44" fillId="0" borderId="0" applyFont="0" applyFill="0" applyBorder="0" applyProtection="0"/>
    <xf numFmtId="217" fontId="44" fillId="0" borderId="0" applyFont="0" applyFill="0" applyBorder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1" applyNumberFormat="0" applyFont="0" applyProtection="0"/>
    <xf numFmtId="165" fontId="44" fillId="0" borderId="23" applyNumberFormat="0" applyFont="0" applyProtection="0"/>
    <xf numFmtId="165" fontId="44" fillId="43" borderId="0" applyNumberFormat="0" applyFont="0" applyBorder="0" applyProtection="0"/>
    <xf numFmtId="218" fontId="93" fillId="0" borderId="0" applyFont="0" applyFill="0" applyBorder="0" applyProtection="0"/>
    <xf numFmtId="219" fontId="93" fillId="0" borderId="0" applyFont="0" applyFill="0" applyBorder="0" applyProtection="0"/>
    <xf numFmtId="2" fontId="47" fillId="0" borderId="0" applyFont="0" applyFill="0" applyBorder="0" applyProtection="0"/>
    <xf numFmtId="2" fontId="1" fillId="0" borderId="0" applyFont="0" applyFill="0" applyBorder="0" applyProtection="0"/>
    <xf numFmtId="2" fontId="1" fillId="0" borderId="0" applyFont="0" applyFill="0" applyBorder="0" applyProtection="0"/>
    <xf numFmtId="2" fontId="80" fillId="0" borderId="0" applyFill="0" applyBorder="0" applyProtection="0"/>
    <xf numFmtId="165" fontId="1" fillId="0" borderId="0"/>
    <xf numFmtId="165" fontId="1" fillId="0" borderId="0"/>
    <xf numFmtId="0" fontId="45" fillId="32" borderId="0">
      <alignment horizontal="right"/>
    </xf>
    <xf numFmtId="165" fontId="44" fillId="0" borderId="0" applyFont="0" applyFill="0" applyBorder="0" applyProtection="0"/>
    <xf numFmtId="165" fontId="94" fillId="32" borderId="0" applyNumberFormat="0" applyBorder="0" applyProtection="0"/>
    <xf numFmtId="0" fontId="95" fillId="72" borderId="0" applyNumberFormat="0" applyBorder="0" applyProtection="0"/>
    <xf numFmtId="169" fontId="94" fillId="32" borderId="0" applyNumberFormat="0" applyBorder="0" applyProtection="0"/>
    <xf numFmtId="0" fontId="95" fillId="72" borderId="0" applyNumberFormat="0" applyBorder="0" applyProtection="0"/>
    <xf numFmtId="38" fontId="21" fillId="20" borderId="0" applyNumberFormat="0" applyBorder="0" applyProtection="0"/>
    <xf numFmtId="38" fontId="21" fillId="20" borderId="0" applyNumberFormat="0" applyBorder="0" applyProtection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220" fontId="71" fillId="8" borderId="19" applyNumberFormat="0" applyFont="0"/>
    <xf numFmtId="165" fontId="96" fillId="0" borderId="0" applyNumberFormat="0" applyProtection="0">
      <alignment horizontal="center"/>
    </xf>
    <xf numFmtId="165" fontId="97" fillId="0" borderId="24" applyNumberFormat="0" applyProtection="0">
      <alignment horizontal="left"/>
    </xf>
    <xf numFmtId="165" fontId="97" fillId="0" borderId="24" applyNumberFormat="0" applyProtection="0">
      <alignment horizontal="left" vertical="center"/>
    </xf>
    <xf numFmtId="165" fontId="97" fillId="0" borderId="21">
      <alignment horizontal="left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 vertical="center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165" fontId="97" fillId="0" borderId="21">
      <alignment horizontal="left"/>
    </xf>
    <xf numFmtId="0" fontId="97" fillId="0" borderId="21">
      <alignment horizontal="left" vertical="center"/>
    </xf>
    <xf numFmtId="221" fontId="98" fillId="8" borderId="0">
      <alignment horizontal="left" vertical="top"/>
    </xf>
    <xf numFmtId="165" fontId="99" fillId="0" borderId="0" applyNumberFormat="0" applyFill="0" applyBorder="0" applyProtection="0"/>
    <xf numFmtId="0" fontId="100" fillId="0" borderId="25" applyNumberFormat="0" applyFill="0" applyProtection="0"/>
    <xf numFmtId="169" fontId="101" fillId="0" borderId="26" applyNumberFormat="0" applyFill="0" applyProtection="0"/>
    <xf numFmtId="0" fontId="100" fillId="0" borderId="25" applyNumberFormat="0" applyFill="0" applyProtection="0"/>
    <xf numFmtId="165" fontId="97" fillId="0" borderId="0" applyNumberFormat="0" applyFill="0" applyBorder="0" applyProtection="0"/>
    <xf numFmtId="0" fontId="102" fillId="0" borderId="27" applyNumberFormat="0" applyFill="0" applyProtection="0"/>
    <xf numFmtId="169" fontId="103" fillId="0" borderId="28" applyNumberFormat="0" applyFill="0" applyProtection="0"/>
    <xf numFmtId="0" fontId="102" fillId="0" borderId="27" applyNumberFormat="0" applyFill="0" applyProtection="0"/>
    <xf numFmtId="165" fontId="104" fillId="0" borderId="29" applyNumberFormat="0" applyFill="0" applyProtection="0"/>
    <xf numFmtId="0" fontId="105" fillId="0" borderId="30" applyNumberFormat="0" applyFill="0" applyProtection="0"/>
    <xf numFmtId="169" fontId="104" fillId="0" borderId="29" applyNumberFormat="0" applyFill="0" applyProtection="0"/>
    <xf numFmtId="0" fontId="105" fillId="0" borderId="30" applyNumberFormat="0" applyFill="0" applyProtection="0"/>
    <xf numFmtId="165" fontId="104" fillId="0" borderId="0" applyNumberFormat="0" applyFill="0" applyBorder="0" applyProtection="0"/>
    <xf numFmtId="0" fontId="105" fillId="0" borderId="0" applyNumberFormat="0" applyFill="0" applyBorder="0" applyProtection="0"/>
    <xf numFmtId="169" fontId="104" fillId="0" borderId="0" applyNumberFormat="0" applyFill="0" applyBorder="0" applyProtection="0"/>
    <xf numFmtId="0" fontId="105" fillId="0" borderId="0" applyNumberFormat="0" applyFill="0" applyBorder="0" applyProtection="0"/>
    <xf numFmtId="165" fontId="106" fillId="0" borderId="0"/>
    <xf numFmtId="165" fontId="97" fillId="0" borderId="0"/>
    <xf numFmtId="165" fontId="107" fillId="0" borderId="0"/>
    <xf numFmtId="165" fontId="58" fillId="0" borderId="0"/>
    <xf numFmtId="165" fontId="78" fillId="0" borderId="0"/>
    <xf numFmtId="165" fontId="108" fillId="0" borderId="0"/>
    <xf numFmtId="165" fontId="1" fillId="0" borderId="0">
      <alignment horizontal="center"/>
    </xf>
    <xf numFmtId="165" fontId="1" fillId="0" borderId="0">
      <alignment horizontal="center"/>
    </xf>
    <xf numFmtId="0" fontId="109" fillId="0" borderId="0" applyNumberFormat="0" applyFill="0" applyBorder="0" applyProtection="0"/>
    <xf numFmtId="0" fontId="110" fillId="0" borderId="0" applyNumberFormat="0" applyFill="0" applyBorder="0" applyProtection="0">
      <alignment vertical="top"/>
      <protection locked="0"/>
    </xf>
    <xf numFmtId="0" fontId="110" fillId="0" borderId="0" applyNumberFormat="0" applyFill="0" applyBorder="0" applyProtection="0">
      <alignment vertical="top"/>
      <protection locked="0"/>
    </xf>
    <xf numFmtId="0" fontId="109" fillId="0" borderId="0" applyNumberFormat="0" applyFill="0" applyBorder="0" applyProtection="0"/>
    <xf numFmtId="0" fontId="109" fillId="0" borderId="0" applyNumberFormat="0" applyFill="0" applyBorder="0" applyProtection="0"/>
    <xf numFmtId="0" fontId="109" fillId="0" borderId="0" applyNumberFormat="0" applyFill="0" applyBorder="0" applyProtection="0"/>
    <xf numFmtId="0" fontId="33" fillId="0" borderId="0" applyNumberFormat="0" applyFill="0" applyBorder="0" applyProtection="0">
      <alignment vertical="top"/>
      <protection locked="0"/>
    </xf>
    <xf numFmtId="0" fontId="33" fillId="0" borderId="0" applyNumberFormat="0" applyFill="0" applyBorder="0" applyProtection="0">
      <alignment vertical="top"/>
      <protection locked="0"/>
    </xf>
    <xf numFmtId="0" fontId="109" fillId="0" borderId="0" applyNumberFormat="0" applyFill="0" applyBorder="0" applyProtection="0"/>
    <xf numFmtId="165" fontId="111" fillId="0" borderId="0"/>
    <xf numFmtId="165" fontId="112" fillId="8" borderId="0">
      <alignment horizontal="left" wrapText="1" indent="2"/>
    </xf>
    <xf numFmtId="175" fontId="113" fillId="0" borderId="31" applyFill="0" applyBorder="0">
      <alignment horizontal="center"/>
      <protection locked="0"/>
    </xf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0" fontId="21" fillId="8" borderId="19" applyNumberFormat="0" applyBorder="0" applyProtection="0"/>
    <xf numFmtId="198" fontId="113" fillId="0" borderId="0" applyFill="0" applyBorder="0">
      <protection locked="0"/>
    </xf>
    <xf numFmtId="165" fontId="114" fillId="37" borderId="8" applyNumberFormat="0" applyProtection="0"/>
    <xf numFmtId="0" fontId="115" fillId="37" borderId="14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9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9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165" fontId="114" fillId="37" borderId="8" applyNumberFormat="0" applyProtection="0"/>
    <xf numFmtId="0" fontId="115" fillId="37" borderId="14" applyNumberFormat="0" applyProtection="0"/>
    <xf numFmtId="219" fontId="1" fillId="0" borderId="0" applyFont="0" applyFill="0" applyBorder="0" applyProtection="0"/>
    <xf numFmtId="219" fontId="1" fillId="0" borderId="0" applyFont="0" applyFill="0" applyBorder="0" applyProtection="0"/>
    <xf numFmtId="219" fontId="1" fillId="0" borderId="0" applyFont="0" applyFill="0" applyBorder="0" applyProtection="0"/>
    <xf numFmtId="43" fontId="1" fillId="0" borderId="0" applyFont="0" applyFill="0" applyBorder="0" applyProtection="0"/>
    <xf numFmtId="38" fontId="116" fillId="0" borderId="0"/>
    <xf numFmtId="38" fontId="117" fillId="0" borderId="0"/>
    <xf numFmtId="38" fontId="118" fillId="0" borderId="0"/>
    <xf numFmtId="38" fontId="119" fillId="0" borderId="0"/>
    <xf numFmtId="165" fontId="120" fillId="0" borderId="0"/>
    <xf numFmtId="165" fontId="120" fillId="0" borderId="0"/>
    <xf numFmtId="165" fontId="120" fillId="0" borderId="0"/>
    <xf numFmtId="0" fontId="121" fillId="0" borderId="0" applyNumberFormat="0" applyFill="0" applyBorder="0" applyProtection="0">
      <alignment vertical="top"/>
      <protection locked="0"/>
    </xf>
    <xf numFmtId="182" fontId="1" fillId="0" borderId="0" applyFill="0" applyBorder="0"/>
    <xf numFmtId="182" fontId="1" fillId="0" borderId="0" applyFill="0" applyBorder="0"/>
    <xf numFmtId="178" fontId="1" fillId="0" borderId="0" applyFill="0" applyBorder="0"/>
    <xf numFmtId="178" fontId="1" fillId="0" borderId="0" applyFill="0" applyBorder="0"/>
    <xf numFmtId="182" fontId="1" fillId="0" borderId="0" applyFill="0" applyBorder="0"/>
    <xf numFmtId="182" fontId="1" fillId="0" borderId="0" applyFill="0" applyBorder="0"/>
    <xf numFmtId="183" fontId="1" fillId="0" borderId="0" applyFill="0" applyBorder="0"/>
    <xf numFmtId="183" fontId="1" fillId="0" borderId="0" applyFill="0" applyBorder="0"/>
    <xf numFmtId="178" fontId="1" fillId="0" borderId="0" applyFill="0" applyBorder="0"/>
    <xf numFmtId="178" fontId="1" fillId="0" borderId="0" applyFill="0" applyBorder="0"/>
    <xf numFmtId="165" fontId="122" fillId="0" borderId="32" applyNumberFormat="0" applyFill="0" applyProtection="0"/>
    <xf numFmtId="0" fontId="123" fillId="0" borderId="33" applyNumberFormat="0" applyFill="0" applyProtection="0"/>
    <xf numFmtId="169" fontId="122" fillId="0" borderId="32" applyNumberFormat="0" applyFill="0" applyProtection="0"/>
    <xf numFmtId="0" fontId="123" fillId="0" borderId="33" applyNumberFormat="0" applyFill="0" applyProtection="0"/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222" fontId="97" fillId="20" borderId="34">
      <alignment horizontal="left"/>
    </xf>
    <xf numFmtId="165" fontId="1" fillId="0" borderId="0">
      <alignment horizontal="center"/>
    </xf>
    <xf numFmtId="165" fontId="1" fillId="0" borderId="0">
      <alignment horizontal="center"/>
    </xf>
    <xf numFmtId="0" fontId="44" fillId="38" borderId="0"/>
    <xf numFmtId="41" fontId="1" fillId="0" borderId="0" applyFont="0" applyFill="0" applyBorder="0" applyProtection="0"/>
    <xf numFmtId="43" fontId="1" fillId="0" borderId="0" applyFont="0" applyFill="0" applyBorder="0" applyProtection="0"/>
    <xf numFmtId="223" fontId="1" fillId="0" borderId="0" applyFont="0" applyFill="0" applyBorder="0" applyProtection="0"/>
    <xf numFmtId="224" fontId="1" fillId="0" borderId="0" applyFont="0" applyFill="0" applyBorder="0" applyProtection="0"/>
    <xf numFmtId="225" fontId="1" fillId="0" borderId="0" applyFont="0" applyFill="0" applyBorder="0" applyProtection="0"/>
    <xf numFmtId="167" fontId="1" fillId="0" borderId="0" applyFont="0" applyFill="0" applyBorder="0" applyProtection="0"/>
    <xf numFmtId="226" fontId="1" fillId="0" borderId="0" applyFont="0" applyFill="0" applyBorder="0" applyProtection="0"/>
    <xf numFmtId="165" fontId="3" fillId="0" borderId="0" applyNumberFormat="0">
      <alignment horizontal="right"/>
    </xf>
    <xf numFmtId="165" fontId="58" fillId="0" borderId="0" applyNumberFormat="0" applyFont="0" applyFill="0"/>
    <xf numFmtId="165" fontId="124" fillId="18" borderId="0" applyNumberFormat="0" applyBorder="0" applyProtection="0"/>
    <xf numFmtId="0" fontId="125" fillId="73" borderId="0" applyNumberFormat="0" applyBorder="0" applyProtection="0"/>
    <xf numFmtId="0" fontId="126" fillId="73" borderId="0" applyNumberFormat="0" applyBorder="0" applyProtection="0"/>
    <xf numFmtId="169" fontId="124" fillId="18" borderId="0" applyNumberFormat="0" applyBorder="0" applyProtection="0"/>
    <xf numFmtId="0" fontId="125" fillId="73" borderId="0" applyNumberFormat="0" applyBorder="0" applyProtection="0"/>
    <xf numFmtId="37" fontId="127" fillId="0" borderId="0"/>
    <xf numFmtId="0" fontId="128" fillId="0" borderId="0"/>
    <xf numFmtId="165" fontId="111" fillId="0" borderId="0"/>
    <xf numFmtId="165" fontId="111" fillId="0" borderId="0"/>
    <xf numFmtId="165" fontId="111" fillId="0" borderId="0"/>
    <xf numFmtId="165" fontId="111" fillId="0" borderId="0"/>
    <xf numFmtId="165" fontId="111" fillId="0" borderId="0"/>
    <xf numFmtId="165" fontId="111" fillId="0" borderId="0"/>
    <xf numFmtId="165" fontId="111" fillId="0" borderId="0"/>
    <xf numFmtId="165" fontId="111" fillId="0" borderId="0"/>
    <xf numFmtId="227" fontId="1" fillId="0" borderId="0"/>
    <xf numFmtId="165" fontId="1" fillId="0" borderId="0"/>
    <xf numFmtId="165" fontId="1" fillId="0" borderId="0"/>
    <xf numFmtId="0" fontId="1" fillId="0" borderId="0"/>
    <xf numFmtId="227" fontId="1" fillId="0" borderId="0"/>
    <xf numFmtId="0" fontId="129" fillId="0" borderId="0"/>
    <xf numFmtId="38" fontId="1" fillId="0" borderId="0"/>
    <xf numFmtId="38" fontId="1" fillId="0" borderId="0"/>
    <xf numFmtId="228" fontId="1" fillId="0" borderId="0" applyFont="0" applyFill="0" applyBorder="0" applyProtection="0"/>
    <xf numFmtId="228" fontId="1" fillId="0" borderId="0" applyFont="0" applyFill="0" applyBorder="0" applyProtection="0"/>
    <xf numFmtId="0" fontId="1" fillId="0" borderId="0"/>
    <xf numFmtId="0" fontId="1" fillId="0" borderId="0"/>
    <xf numFmtId="0" fontId="4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42" fillId="0" borderId="0"/>
    <xf numFmtId="0" fontId="207" fillId="0" borderId="0"/>
    <xf numFmtId="169" fontId="207" fillId="0" borderId="0"/>
    <xf numFmtId="0" fontId="41" fillId="0" borderId="0"/>
    <xf numFmtId="169" fontId="207" fillId="0" borderId="0"/>
    <xf numFmtId="169" fontId="207" fillId="0" borderId="0"/>
    <xf numFmtId="169" fontId="207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207" fillId="0" borderId="0"/>
    <xf numFmtId="169" fontId="207" fillId="0" borderId="0"/>
    <xf numFmtId="165" fontId="207" fillId="0" borderId="0"/>
    <xf numFmtId="169" fontId="207" fillId="0" borderId="0"/>
    <xf numFmtId="0" fontId="41" fillId="0" borderId="0"/>
    <xf numFmtId="169" fontId="207" fillId="0" borderId="0"/>
    <xf numFmtId="169" fontId="207" fillId="0" borderId="0"/>
    <xf numFmtId="0" fontId="42" fillId="0" borderId="0"/>
    <xf numFmtId="0" fontId="207" fillId="0" borderId="0"/>
    <xf numFmtId="165" fontId="207" fillId="0" borderId="0"/>
    <xf numFmtId="169" fontId="207" fillId="0" borderId="0"/>
    <xf numFmtId="165" fontId="207" fillId="0" borderId="0"/>
    <xf numFmtId="169" fontId="207" fillId="0" borderId="0"/>
    <xf numFmtId="0" fontId="41" fillId="0" borderId="0"/>
    <xf numFmtId="169" fontId="207" fillId="0" borderId="0"/>
    <xf numFmtId="169" fontId="207" fillId="0" borderId="0"/>
    <xf numFmtId="0" fontId="42" fillId="0" borderId="0"/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7" fillId="0" borderId="0"/>
    <xf numFmtId="165" fontId="207" fillId="0" borderId="0"/>
    <xf numFmtId="165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5" fontId="207" fillId="0" borderId="0"/>
    <xf numFmtId="169" fontId="207" fillId="0" borderId="0"/>
    <xf numFmtId="165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7" fillId="0" borderId="0"/>
    <xf numFmtId="165" fontId="207" fillId="0" borderId="0"/>
    <xf numFmtId="165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5" fontId="207" fillId="0" borderId="0"/>
    <xf numFmtId="169" fontId="207" fillId="0" borderId="0"/>
    <xf numFmtId="165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207" fillId="0" borderId="0"/>
    <xf numFmtId="0" fontId="207" fillId="0" borderId="0">
      <alignment vertical="center"/>
    </xf>
    <xf numFmtId="0" fontId="207" fillId="0" borderId="0">
      <alignment vertical="center"/>
    </xf>
    <xf numFmtId="0" fontId="21" fillId="0" borderId="0"/>
    <xf numFmtId="0" fontId="207" fillId="0" borderId="0"/>
    <xf numFmtId="165" fontId="207" fillId="0" borderId="0"/>
    <xf numFmtId="169" fontId="207" fillId="0" borderId="0"/>
    <xf numFmtId="165" fontId="207" fillId="0" borderId="0"/>
    <xf numFmtId="169" fontId="207" fillId="0" borderId="0"/>
    <xf numFmtId="169" fontId="207" fillId="0" borderId="0"/>
    <xf numFmtId="169" fontId="207" fillId="0" borderId="0"/>
    <xf numFmtId="165" fontId="207" fillId="0" borderId="0"/>
    <xf numFmtId="169" fontId="207" fillId="0" borderId="0"/>
    <xf numFmtId="165" fontId="207" fillId="0" borderId="0"/>
    <xf numFmtId="169" fontId="207" fillId="0" borderId="0"/>
    <xf numFmtId="0" fontId="41" fillId="0" borderId="0"/>
    <xf numFmtId="169" fontId="207" fillId="0" borderId="0"/>
    <xf numFmtId="169" fontId="207" fillId="0" borderId="0"/>
    <xf numFmtId="0" fontId="42" fillId="0" borderId="0"/>
    <xf numFmtId="0" fontId="42" fillId="0" borderId="0"/>
    <xf numFmtId="0" fontId="207" fillId="0" borderId="0"/>
    <xf numFmtId="0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4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0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0" fontId="207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207" fillId="0" borderId="0"/>
    <xf numFmtId="169" fontId="1" fillId="0" borderId="0">
      <alignment vertical="center"/>
    </xf>
    <xf numFmtId="0" fontId="207" fillId="0" borderId="0"/>
    <xf numFmtId="0" fontId="207" fillId="0" borderId="0"/>
    <xf numFmtId="165" fontId="1" fillId="0" borderId="0"/>
    <xf numFmtId="0" fontId="207" fillId="0" borderId="0"/>
    <xf numFmtId="169" fontId="1" fillId="0" borderId="0">
      <alignment vertical="center"/>
    </xf>
    <xf numFmtId="0" fontId="207" fillId="0" borderId="0"/>
    <xf numFmtId="169" fontId="1" fillId="0" borderId="0">
      <alignment vertical="center"/>
    </xf>
    <xf numFmtId="0" fontId="21" fillId="0" borderId="0"/>
    <xf numFmtId="0" fontId="207" fillId="0" borderId="0"/>
    <xf numFmtId="169" fontId="1" fillId="0" borderId="0">
      <alignment vertical="center"/>
    </xf>
    <xf numFmtId="0" fontId="207" fillId="0" borderId="0"/>
    <xf numFmtId="0" fontId="207" fillId="0" borderId="0"/>
    <xf numFmtId="0" fontId="21" fillId="0" borderId="0"/>
    <xf numFmtId="0" fontId="1" fillId="0" borderId="0"/>
    <xf numFmtId="0" fontId="1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42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1" fillId="0" borderId="0"/>
    <xf numFmtId="0" fontId="207" fillId="0" borderId="0"/>
    <xf numFmtId="165" fontId="1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1" fillId="0" borderId="0"/>
    <xf numFmtId="0" fontId="207" fillId="0" borderId="0"/>
    <xf numFmtId="0" fontId="207" fillId="0" borderId="0"/>
    <xf numFmtId="169" fontId="42" fillId="0" borderId="0">
      <alignment vertical="center"/>
    </xf>
    <xf numFmtId="0" fontId="207" fillId="0" borderId="0"/>
    <xf numFmtId="0" fontId="50" fillId="0" borderId="0"/>
    <xf numFmtId="169" fontId="42" fillId="0" borderId="0">
      <alignment vertical="center"/>
    </xf>
    <xf numFmtId="0" fontId="21" fillId="0" borderId="0">
      <alignment horizontal="left"/>
    </xf>
    <xf numFmtId="0" fontId="21" fillId="0" borderId="0">
      <alignment horizontal="left"/>
    </xf>
    <xf numFmtId="0" fontId="1" fillId="0" borderId="0"/>
    <xf numFmtId="169" fontId="42" fillId="0" borderId="0">
      <alignment vertical="center"/>
    </xf>
    <xf numFmtId="0" fontId="112" fillId="0" borderId="0"/>
    <xf numFmtId="0" fontId="112" fillId="0" borderId="0"/>
    <xf numFmtId="0" fontId="73" fillId="0" borderId="0"/>
    <xf numFmtId="0" fontId="1" fillId="0" borderId="0"/>
    <xf numFmtId="0" fontId="1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0" fontId="207" fillId="0" borderId="0"/>
    <xf numFmtId="0" fontId="207" fillId="0" borderId="0"/>
    <xf numFmtId="0" fontId="207" fillId="0" borderId="0"/>
    <xf numFmtId="169" fontId="42" fillId="0" borderId="0">
      <alignment vertical="center"/>
    </xf>
    <xf numFmtId="0" fontId="207" fillId="0" borderId="0"/>
    <xf numFmtId="0" fontId="21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5" fontId="1" fillId="0" borderId="0"/>
    <xf numFmtId="0" fontId="1" fillId="0" borderId="0"/>
    <xf numFmtId="0" fontId="130" fillId="0" borderId="0"/>
    <xf numFmtId="0" fontId="1" fillId="0" borderId="0"/>
    <xf numFmtId="169" fontId="42" fillId="0" borderId="0">
      <alignment vertical="center"/>
    </xf>
    <xf numFmtId="0" fontId="130" fillId="0" borderId="0"/>
    <xf numFmtId="169" fontId="42" fillId="0" borderId="0">
      <alignment vertical="center"/>
    </xf>
    <xf numFmtId="0" fontId="21" fillId="0" borderId="0"/>
    <xf numFmtId="0" fontId="1" fillId="0" borderId="0"/>
    <xf numFmtId="169" fontId="42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1" fillId="0" borderId="0"/>
    <xf numFmtId="0" fontId="41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0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0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50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0" fontId="1" fillId="0" borderId="0"/>
    <xf numFmtId="169" fontId="20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207" fillId="0" borderId="0"/>
    <xf numFmtId="0" fontId="1" fillId="0" borderId="0"/>
    <xf numFmtId="0" fontId="1" fillId="0" borderId="0"/>
    <xf numFmtId="165" fontId="1" fillId="0" borderId="0"/>
    <xf numFmtId="169" fontId="207" fillId="0" borderId="0"/>
    <xf numFmtId="169" fontId="207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169" fontId="207" fillId="0" borderId="0"/>
    <xf numFmtId="0" fontId="1" fillId="0" borderId="0"/>
    <xf numFmtId="0" fontId="42" fillId="0" borderId="0"/>
    <xf numFmtId="0" fontId="41" fillId="0" borderId="0"/>
    <xf numFmtId="0" fontId="1" fillId="0" borderId="0"/>
    <xf numFmtId="169" fontId="207" fillId="0" borderId="0"/>
    <xf numFmtId="0" fontId="1" fillId="0" borderId="0"/>
    <xf numFmtId="165" fontId="1" fillId="0" borderId="0"/>
    <xf numFmtId="0" fontId="41" fillId="0" borderId="0"/>
    <xf numFmtId="169" fontId="207" fillId="0" borderId="0"/>
    <xf numFmtId="0" fontId="207" fillId="0" borderId="0"/>
    <xf numFmtId="169" fontId="207" fillId="0" borderId="0"/>
    <xf numFmtId="0" fontId="21" fillId="0" borderId="0"/>
    <xf numFmtId="0" fontId="207" fillId="0" borderId="0"/>
    <xf numFmtId="0" fontId="1" fillId="0" borderId="0"/>
    <xf numFmtId="0" fontId="42" fillId="0" borderId="0"/>
    <xf numFmtId="0" fontId="1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207" fillId="0" borderId="0"/>
    <xf numFmtId="0" fontId="1" fillId="0" borderId="0"/>
    <xf numFmtId="0" fontId="1" fillId="0" borderId="0"/>
    <xf numFmtId="0" fontId="207" fillId="0" borderId="0"/>
    <xf numFmtId="0" fontId="1" fillId="0" borderId="0"/>
    <xf numFmtId="165" fontId="1" fillId="0" borderId="0"/>
    <xf numFmtId="169" fontId="207" fillId="0" borderId="0"/>
    <xf numFmtId="0" fontId="41" fillId="0" borderId="0"/>
    <xf numFmtId="169" fontId="207" fillId="0" borderId="0"/>
    <xf numFmtId="169" fontId="207" fillId="0" borderId="0"/>
    <xf numFmtId="169" fontId="207" fillId="0" borderId="0"/>
    <xf numFmtId="0" fontId="42" fillId="0" borderId="0"/>
    <xf numFmtId="0" fontId="41" fillId="0" borderId="0"/>
    <xf numFmtId="0" fontId="1" fillId="0" borderId="0"/>
    <xf numFmtId="169" fontId="207" fillId="0" borderId="0"/>
    <xf numFmtId="0" fontId="1" fillId="0" borderId="0"/>
    <xf numFmtId="165" fontId="1" fillId="0" borderId="0"/>
    <xf numFmtId="0" fontId="42" fillId="0" borderId="0"/>
    <xf numFmtId="169" fontId="207" fillId="0" borderId="0"/>
    <xf numFmtId="0" fontId="207" fillId="0" borderId="0"/>
    <xf numFmtId="169" fontId="207" fillId="0" borderId="0"/>
    <xf numFmtId="0" fontId="21" fillId="0" borderId="0"/>
    <xf numFmtId="169" fontId="207" fillId="0" borderId="0"/>
    <xf numFmtId="0" fontId="21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207" fillId="0" borderId="0"/>
    <xf numFmtId="0" fontId="207" fillId="0" borderId="0"/>
    <xf numFmtId="0" fontId="41" fillId="0" borderId="0"/>
    <xf numFmtId="0" fontId="41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41" fillId="0" borderId="0"/>
    <xf numFmtId="165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42" fillId="0" borderId="0"/>
    <xf numFmtId="165" fontId="1" fillId="0" borderId="0"/>
    <xf numFmtId="0" fontId="42" fillId="0" borderId="0"/>
    <xf numFmtId="169" fontId="207" fillId="0" borderId="0"/>
    <xf numFmtId="0" fontId="21" fillId="0" borderId="0"/>
    <xf numFmtId="169" fontId="207" fillId="0" borderId="0"/>
    <xf numFmtId="169" fontId="207" fillId="0" borderId="0"/>
    <xf numFmtId="169" fontId="207" fillId="0" borderId="0"/>
    <xf numFmtId="0" fontId="73" fillId="0" borderId="0"/>
    <xf numFmtId="0" fontId="42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1" fillId="0" borderId="0"/>
    <xf numFmtId="0" fontId="1" fillId="0" borderId="0"/>
    <xf numFmtId="0" fontId="207" fillId="0" borderId="0"/>
    <xf numFmtId="0" fontId="207" fillId="0" borderId="0"/>
    <xf numFmtId="0" fontId="1" fillId="0" borderId="0"/>
    <xf numFmtId="0" fontId="1" fillId="0" borderId="0"/>
    <xf numFmtId="0" fontId="1" fillId="0" borderId="0"/>
    <xf numFmtId="0" fontId="207" fillId="0" borderId="0"/>
    <xf numFmtId="0" fontId="207" fillId="0" borderId="0"/>
    <xf numFmtId="0" fontId="41" fillId="0" borderId="0"/>
    <xf numFmtId="165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5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42" fillId="0" borderId="0"/>
    <xf numFmtId="0" fontId="207" fillId="0" borderId="0"/>
    <xf numFmtId="0" fontId="131" fillId="0" borderId="0"/>
    <xf numFmtId="0" fontId="131" fillId="0" borderId="0"/>
    <xf numFmtId="0" fontId="207" fillId="0" borderId="0"/>
    <xf numFmtId="0" fontId="1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21" fillId="0" borderId="0"/>
    <xf numFmtId="0" fontId="1" fillId="0" borderId="0"/>
    <xf numFmtId="165" fontId="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165" fontId="1" fillId="0" borderId="0"/>
    <xf numFmtId="169" fontId="207" fillId="0" borderId="0"/>
    <xf numFmtId="0" fontId="73" fillId="0" borderId="0"/>
    <xf numFmtId="169" fontId="207" fillId="0" borderId="0"/>
    <xf numFmtId="169" fontId="207" fillId="0" borderId="0"/>
    <xf numFmtId="169" fontId="207" fillId="0" borderId="0"/>
    <xf numFmtId="0" fontId="73" fillId="0" borderId="0"/>
    <xf numFmtId="0" fontId="207" fillId="0" borderId="0"/>
    <xf numFmtId="0" fontId="207" fillId="0" borderId="0"/>
    <xf numFmtId="0" fontId="20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165" fontId="1" fillId="0" borderId="0"/>
    <xf numFmtId="0" fontId="41" fillId="0" borderId="0"/>
    <xf numFmtId="169" fontId="207" fillId="0" borderId="0"/>
    <xf numFmtId="169" fontId="207" fillId="0" borderId="0"/>
    <xf numFmtId="169" fontId="207" fillId="0" borderId="0"/>
    <xf numFmtId="169" fontId="207" fillId="0" borderId="0"/>
    <xf numFmtId="0" fontId="42" fillId="0" borderId="0"/>
    <xf numFmtId="165" fontId="1" fillId="0" borderId="0"/>
    <xf numFmtId="169" fontId="207" fillId="0" borderId="0"/>
    <xf numFmtId="0" fontId="41" fillId="0" borderId="0"/>
    <xf numFmtId="169" fontId="207" fillId="0" borderId="0"/>
    <xf numFmtId="169" fontId="207" fillId="0" borderId="0"/>
    <xf numFmtId="169" fontId="207" fillId="0" borderId="0"/>
    <xf numFmtId="0" fontId="42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46" fillId="0" borderId="0"/>
    <xf numFmtId="0" fontId="1" fillId="0" borderId="0"/>
    <xf numFmtId="165" fontId="1" fillId="0" borderId="0"/>
    <xf numFmtId="165" fontId="47" fillId="0" borderId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0" fontId="207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7" fillId="8" borderId="35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7" fillId="8" borderId="35" applyNumberFormat="0" applyFont="0" applyProtection="0"/>
    <xf numFmtId="169" fontId="73" fillId="8" borderId="7" applyNumberFormat="0" applyFont="0" applyProtection="0"/>
    <xf numFmtId="0" fontId="207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7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7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7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7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7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0" fontId="207" fillId="8" borderId="35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9" fontId="73" fillId="8" borderId="7" applyNumberFormat="0" applyFont="0" applyProtection="0"/>
    <xf numFmtId="165" fontId="1" fillId="0" borderId="0"/>
    <xf numFmtId="165" fontId="1" fillId="0" borderId="0"/>
    <xf numFmtId="0" fontId="207" fillId="8" borderId="35" applyNumberFormat="0" applyFont="0" applyProtection="0"/>
    <xf numFmtId="2" fontId="72" fillId="0" borderId="0"/>
    <xf numFmtId="0" fontId="1" fillId="0" borderId="0"/>
    <xf numFmtId="165" fontId="1" fillId="0" borderId="0"/>
    <xf numFmtId="165" fontId="1" fillId="0" borderId="0"/>
    <xf numFmtId="165" fontId="133" fillId="0" borderId="0"/>
    <xf numFmtId="165" fontId="134" fillId="20" borderId="36" applyNumberFormat="0" applyProtection="0"/>
    <xf numFmtId="0" fontId="135" fillId="68" borderId="37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5" fontId="134" fillId="20" borderId="36" applyNumberFormat="0" applyProtection="0"/>
    <xf numFmtId="169" fontId="134" fillId="20" borderId="36" applyNumberFormat="0" applyProtection="0"/>
    <xf numFmtId="0" fontId="135" fillId="68" borderId="37" applyNumberFormat="0" applyProtection="0"/>
    <xf numFmtId="169" fontId="134" fillId="20" borderId="36" applyNumberFormat="0" applyProtection="0"/>
    <xf numFmtId="229" fontId="1" fillId="0" borderId="0" applyFill="0" applyBorder="0"/>
    <xf numFmtId="229" fontId="1" fillId="0" borderId="0" applyFill="0" applyBorder="0"/>
    <xf numFmtId="230" fontId="93" fillId="0" borderId="0" applyFont="0" applyFill="0" applyBorder="0" applyProtection="0"/>
    <xf numFmtId="231" fontId="93" fillId="0" borderId="0" applyFont="0" applyFill="0" applyBorder="0" applyProtection="0"/>
    <xf numFmtId="174" fontId="82" fillId="0" borderId="38" applyFont="0" applyFill="0" applyBorder="0" applyProtection="0">
      <alignment horizontal="right"/>
    </xf>
    <xf numFmtId="232" fontId="2" fillId="0" borderId="0" applyFont="0" applyFill="0" applyBorder="0" applyProtection="0"/>
    <xf numFmtId="175" fontId="47" fillId="0" borderId="0" applyFont="0" applyFill="0" applyBorder="0" applyProtection="0">
      <protection locked="0"/>
    </xf>
    <xf numFmtId="175" fontId="47" fillId="0" borderId="0" applyFont="0" applyFill="0" applyBorder="0" applyProtection="0">
      <protection locked="0"/>
    </xf>
    <xf numFmtId="10" fontId="47" fillId="0" borderId="0" applyFont="0" applyFill="0" applyBorder="0" applyProtection="0">
      <protection locked="0"/>
    </xf>
    <xf numFmtId="10" fontId="47" fillId="0" borderId="0" applyFont="0" applyFill="0" applyBorder="0" applyProtection="0">
      <protection locked="0"/>
    </xf>
    <xf numFmtId="181" fontId="1" fillId="0" borderId="0" applyFont="0" applyFill="0" applyBorder="0" applyProtection="0"/>
    <xf numFmtId="181" fontId="1" fillId="0" borderId="0" applyFont="0" applyFill="0" applyBorder="0" applyProtection="0"/>
    <xf numFmtId="233" fontId="1" fillId="0" borderId="0" applyFont="0" applyFill="0" applyBorder="0" applyProtection="0"/>
    <xf numFmtId="10" fontId="1" fillId="0" borderId="0" applyFont="0" applyFill="0" applyBorder="0" applyProtection="0"/>
    <xf numFmtId="10" fontId="1" fillId="0" borderId="0" applyFont="0" applyFill="0" applyBorder="0" applyProtection="0"/>
    <xf numFmtId="10" fontId="1" fillId="0" borderId="0" applyFont="0" applyFill="0" applyBorder="0" applyProtection="0"/>
    <xf numFmtId="234" fontId="1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131" fillId="0" borderId="0" applyFont="0" applyFill="0" applyBorder="0" applyProtection="0"/>
    <xf numFmtId="9" fontId="131" fillId="0" borderId="0" applyFont="0" applyFill="0" applyBorder="0" applyProtection="0"/>
    <xf numFmtId="9" fontId="131" fillId="0" borderId="0" applyFont="0" applyFill="0" applyBorder="0" applyProtection="0"/>
    <xf numFmtId="9" fontId="4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207" fillId="0" borderId="0" applyFont="0" applyFill="0" applyBorder="0" applyProtection="0"/>
    <xf numFmtId="9" fontId="41" fillId="0" borderId="0" applyFont="0" applyFill="0" applyBorder="0" applyProtection="0"/>
    <xf numFmtId="9" fontId="42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4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41" fillId="0" borderId="0" applyFont="0" applyFill="0" applyBorder="0" applyProtection="0"/>
    <xf numFmtId="9" fontId="42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41" fillId="0" borderId="0" applyFont="0" applyFill="0" applyBorder="0" applyProtection="0"/>
    <xf numFmtId="9" fontId="42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1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10" fontId="62" fillId="4" borderId="0"/>
    <xf numFmtId="182" fontId="1" fillId="0" borderId="0" applyFill="0" applyBorder="0"/>
    <xf numFmtId="182" fontId="1" fillId="0" borderId="0" applyFill="0" applyBorder="0"/>
    <xf numFmtId="178" fontId="1" fillId="0" borderId="0" applyFill="0" applyBorder="0"/>
    <xf numFmtId="178" fontId="1" fillId="0" borderId="0" applyFill="0" applyBorder="0"/>
    <xf numFmtId="182" fontId="1" fillId="0" borderId="0" applyFill="0" applyBorder="0"/>
    <xf numFmtId="182" fontId="1" fillId="0" borderId="0" applyFill="0" applyBorder="0"/>
    <xf numFmtId="183" fontId="1" fillId="0" borderId="0" applyFill="0" applyBorder="0"/>
    <xf numFmtId="183" fontId="1" fillId="0" borderId="0" applyFill="0" applyBorder="0"/>
    <xf numFmtId="178" fontId="1" fillId="0" borderId="0" applyFill="0" applyBorder="0"/>
    <xf numFmtId="178" fontId="1" fillId="0" borderId="0" applyFill="0" applyBorder="0"/>
    <xf numFmtId="165" fontId="1" fillId="0" borderId="0"/>
    <xf numFmtId="165" fontId="1" fillId="0" borderId="0"/>
    <xf numFmtId="4" fontId="136" fillId="0" borderId="0" applyFont="0" applyFill="0" applyBorder="0" applyProtection="0">
      <alignment horizontal="right" vertical="top" wrapText="1"/>
    </xf>
    <xf numFmtId="9" fontId="3" fillId="0" borderId="0" applyFont="0" applyFill="0" applyBorder="0" applyProtection="0"/>
    <xf numFmtId="0" fontId="3" fillId="0" borderId="0" applyNumberFormat="0" applyFont="0" applyFill="0" applyBorder="0" applyProtection="0">
      <alignment horizontal="left"/>
    </xf>
    <xf numFmtId="15" fontId="3" fillId="0" borderId="0" applyFont="0" applyFill="0" applyBorder="0" applyProtection="0"/>
    <xf numFmtId="4" fontId="3" fillId="0" borderId="0" applyFont="0" applyFill="0" applyBorder="0" applyProtection="0"/>
    <xf numFmtId="0" fontId="137" fillId="0" borderId="39">
      <alignment horizontal="center"/>
    </xf>
    <xf numFmtId="3" fontId="3" fillId="0" borderId="0" applyFont="0" applyFill="0" applyBorder="0" applyProtection="0"/>
    <xf numFmtId="0" fontId="3" fillId="74" borderId="0" applyNumberFormat="0" applyFont="0" applyBorder="0" applyProtection="0"/>
    <xf numFmtId="1" fontId="136" fillId="0" borderId="0">
      <alignment horizontal="center" vertical="top" wrapText="1"/>
    </xf>
    <xf numFmtId="3" fontId="138" fillId="0" borderId="0" applyFill="0" applyBorder="0" applyProtection="0"/>
    <xf numFmtId="3" fontId="58" fillId="0" borderId="0" applyFill="0" applyBorder="0" applyProtection="0"/>
    <xf numFmtId="3" fontId="58" fillId="0" borderId="0" applyFill="0" applyBorder="0" applyProtection="0"/>
    <xf numFmtId="3" fontId="138" fillId="0" borderId="0" applyFill="0" applyBorder="0" applyProtection="0"/>
    <xf numFmtId="235" fontId="2" fillId="0" borderId="0" applyNumberFormat="0" applyFill="0" applyBorder="0" applyProtection="0">
      <alignment horizontal="left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39" fillId="18" borderId="36" applyNumberFormat="0" applyProtection="0">
      <alignment vertical="center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4" fontId="1" fillId="1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30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59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6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21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4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60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75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1" fillId="43" borderId="36" applyNumberFormat="0" applyProtection="0">
      <alignment horizontal="right" vertical="center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78" fillId="76" borderId="36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1" fillId="2" borderId="40" applyNumberFormat="0" applyProtection="0">
      <alignment horizontal="left" vertical="center" indent="1"/>
    </xf>
    <xf numFmtId="4" fontId="97" fillId="77" borderId="0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2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4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38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69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0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39" fillId="8" borderId="36" applyNumberFormat="0" applyProtection="0">
      <alignment vertical="center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8" borderId="36" applyNumberFormat="0" applyProtection="0">
      <alignment horizontal="left" vertical="center" indent="1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4" fontId="139" fillId="2" borderId="36" applyNumberFormat="0" applyProtection="0">
      <alignment horizontal="right" vertical="center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" fillId="28" borderId="36" applyNumberFormat="0" applyProtection="0">
      <alignment horizontal="left" vertical="center" indent="1"/>
    </xf>
    <xf numFmtId="0" fontId="140" fillId="0" borderId="0"/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4" fontId="141" fillId="2" borderId="36" applyNumberFormat="0" applyProtection="0">
      <alignment horizontal="right" vertical="center"/>
    </xf>
    <xf numFmtId="165" fontId="142" fillId="0" borderId="41"/>
    <xf numFmtId="165" fontId="142" fillId="0" borderId="41"/>
    <xf numFmtId="165" fontId="142" fillId="0" borderId="41"/>
    <xf numFmtId="165" fontId="142" fillId="0" borderId="41"/>
    <xf numFmtId="165" fontId="142" fillId="0" borderId="41"/>
    <xf numFmtId="165" fontId="142" fillId="0" borderId="41"/>
    <xf numFmtId="165" fontId="142" fillId="0" borderId="41"/>
    <xf numFmtId="165" fontId="142" fillId="0" borderId="41"/>
    <xf numFmtId="165" fontId="142" fillId="0" borderId="41"/>
    <xf numFmtId="165" fontId="142" fillId="0" borderId="41"/>
    <xf numFmtId="165" fontId="142" fillId="0" borderId="41"/>
    <xf numFmtId="176" fontId="143" fillId="0" borderId="0"/>
    <xf numFmtId="0" fontId="144" fillId="78" borderId="0"/>
    <xf numFmtId="0" fontId="145" fillId="78" borderId="0"/>
    <xf numFmtId="0" fontId="146" fillId="78" borderId="42"/>
    <xf numFmtId="0" fontId="146" fillId="78" borderId="0"/>
    <xf numFmtId="0" fontId="144" fillId="4" borderId="42">
      <protection locked="0"/>
    </xf>
    <xf numFmtId="0" fontId="144" fillId="78" borderId="0"/>
    <xf numFmtId="0" fontId="147" fillId="79" borderId="0"/>
    <xf numFmtId="0" fontId="147" fillId="43" borderId="0"/>
    <xf numFmtId="0" fontId="147" fillId="6" borderId="0"/>
    <xf numFmtId="236" fontId="1" fillId="0" borderId="0" applyFont="0" applyFill="0" applyBorder="0" applyProtection="0"/>
    <xf numFmtId="223" fontId="1" fillId="0" borderId="0" applyFont="0" applyFill="0" applyBorder="0" applyProtection="0"/>
    <xf numFmtId="38" fontId="3" fillId="80" borderId="0" applyNumberFormat="0" applyFont="0" applyBorder="0" applyProtection="0"/>
    <xf numFmtId="38" fontId="3" fillId="80" borderId="0" applyNumberFormat="0" applyFont="0" applyBorder="0" applyProtection="0"/>
    <xf numFmtId="0" fontId="207" fillId="0" borderId="0"/>
    <xf numFmtId="0" fontId="1" fillId="0" borderId="0"/>
    <xf numFmtId="0" fontId="1" fillId="0" borderId="0"/>
    <xf numFmtId="165" fontId="45" fillId="0" borderId="0"/>
    <xf numFmtId="0" fontId="1" fillId="0" borderId="0"/>
    <xf numFmtId="165" fontId="3" fillId="0" borderId="0"/>
    <xf numFmtId="165" fontId="3" fillId="0" borderId="0"/>
    <xf numFmtId="0" fontId="46" fillId="0" borderId="0"/>
    <xf numFmtId="0" fontId="1" fillId="0" borderId="0"/>
    <xf numFmtId="169" fontId="71" fillId="0" borderId="0" applyNumberFormat="0" applyFill="0" applyBorder="0" applyProtection="0">
      <alignment horizontal="center"/>
    </xf>
    <xf numFmtId="165" fontId="148" fillId="8" borderId="0">
      <alignment wrapText="1"/>
    </xf>
    <xf numFmtId="165" fontId="149" fillId="0" borderId="43"/>
    <xf numFmtId="165" fontId="150" fillId="0" borderId="0" applyNumberFormat="0"/>
    <xf numFmtId="40" fontId="151" fillId="0" borderId="0" applyBorder="0">
      <alignment horizontal="right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0" fontId="152" fillId="1" borderId="21">
      <alignment horizontal="left" vertical="center" wrapText="1"/>
    </xf>
    <xf numFmtId="38" fontId="153" fillId="0" borderId="0" applyFill="0" applyBorder="0" applyProtection="0"/>
    <xf numFmtId="234" fontId="1" fillId="0" borderId="0" applyFill="0" applyBorder="0" applyProtection="0"/>
    <xf numFmtId="38" fontId="154" fillId="0" borderId="31" applyBorder="0">
      <alignment horizontal="right"/>
      <protection locked="0"/>
    </xf>
    <xf numFmtId="165" fontId="74" fillId="80" borderId="0" applyNumberFormat="0" applyProtection="0">
      <alignment horizontal="center"/>
    </xf>
    <xf numFmtId="49" fontId="44" fillId="0" borderId="0" applyFont="0" applyFill="0" applyBorder="0" applyProtection="0"/>
    <xf numFmtId="49" fontId="1" fillId="0" borderId="0" applyFill="0" applyBorder="0"/>
    <xf numFmtId="237" fontId="1" fillId="0" borderId="0" applyFill="0" applyBorder="0"/>
    <xf numFmtId="237" fontId="1" fillId="0" borderId="0" applyFill="0" applyBorder="0"/>
    <xf numFmtId="238" fontId="1" fillId="0" borderId="0" applyFill="0" applyBorder="0"/>
    <xf numFmtId="238" fontId="1" fillId="0" borderId="0" applyFill="0" applyBorder="0"/>
    <xf numFmtId="0" fontId="1" fillId="0" borderId="0">
      <alignment horizontal="right"/>
    </xf>
    <xf numFmtId="239" fontId="2" fillId="0" borderId="0" applyFont="0" applyFill="0" applyBorder="0" applyProtection="0"/>
    <xf numFmtId="240" fontId="2" fillId="0" borderId="0" applyFont="0" applyFill="0" applyBorder="0" applyProtection="0"/>
    <xf numFmtId="0" fontId="1" fillId="0" borderId="0">
      <alignment horizontal="right"/>
    </xf>
    <xf numFmtId="0" fontId="1" fillId="0" borderId="0">
      <alignment horizontal="right"/>
    </xf>
    <xf numFmtId="0" fontId="1" fillId="0" borderId="0">
      <alignment horizontal="right"/>
    </xf>
    <xf numFmtId="18" fontId="81" fillId="0" borderId="0" applyFont="0" applyFill="0" applyBorder="0" applyProtection="0">
      <alignment horizontal="left"/>
    </xf>
    <xf numFmtId="165" fontId="155" fillId="0" borderId="0" applyFill="0" applyBorder="0">
      <alignment horizontal="right"/>
    </xf>
    <xf numFmtId="165" fontId="156" fillId="0" borderId="0" applyNumberFormat="0" applyFill="0" applyBorder="0" applyProtection="0"/>
    <xf numFmtId="0" fontId="157" fillId="0" borderId="0" applyNumberFormat="0" applyFill="0" applyBorder="0" applyProtection="0"/>
    <xf numFmtId="169" fontId="156" fillId="0" borderId="0" applyNumberFormat="0" applyFill="0" applyBorder="0" applyProtection="0"/>
    <xf numFmtId="0" fontId="157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0" fontId="158" fillId="0" borderId="0" applyNumberFormat="0" applyFill="0" applyBorder="0" applyProtection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37" fontId="139" fillId="0" borderId="34" applyNumberFormat="0" applyFont="0" applyFill="0"/>
    <xf numFmtId="165" fontId="1" fillId="0" borderId="44" applyNumberFormat="0" applyFont="0" applyFill="0" applyProtection="0"/>
    <xf numFmtId="165" fontId="1" fillId="0" borderId="44" applyNumberFormat="0" applyFont="0" applyFill="0" applyProtection="0"/>
    <xf numFmtId="0" fontId="159" fillId="0" borderId="45" applyNumberFormat="0" applyFill="0" applyProtection="0"/>
    <xf numFmtId="169" fontId="160" fillId="0" borderId="46" applyNumberFormat="0" applyFill="0" applyProtection="0"/>
    <xf numFmtId="0" fontId="159" fillId="0" borderId="45" applyNumberFormat="0" applyFill="0" applyProtection="0"/>
    <xf numFmtId="169" fontId="160" fillId="0" borderId="46" applyNumberFormat="0" applyFill="0" applyProtection="0"/>
    <xf numFmtId="10" fontId="161" fillId="0" borderId="47" applyNumberFormat="0" applyFont="0" applyFill="0" applyProtection="0"/>
    <xf numFmtId="165" fontId="1" fillId="0" borderId="0"/>
    <xf numFmtId="165" fontId="1" fillId="0" borderId="0"/>
    <xf numFmtId="43" fontId="1" fillId="0" borderId="0" applyFont="0" applyFill="0" applyBorder="0" applyProtection="0"/>
    <xf numFmtId="165" fontId="1" fillId="0" borderId="0">
      <alignment horizontal="center" textRotation="180"/>
    </xf>
    <xf numFmtId="165" fontId="1" fillId="0" borderId="0">
      <alignment horizontal="center" textRotation="180"/>
    </xf>
    <xf numFmtId="241" fontId="1" fillId="0" borderId="0" applyFont="0" applyFill="0" applyBorder="0" applyProtection="0"/>
    <xf numFmtId="242" fontId="1" fillId="0" borderId="0" applyFont="0" applyFill="0" applyBorder="0" applyProtection="0"/>
    <xf numFmtId="241" fontId="1" fillId="0" borderId="0" applyFont="0" applyFill="0" applyBorder="0" applyProtection="0"/>
    <xf numFmtId="242" fontId="1" fillId="0" borderId="0" applyFont="0" applyFill="0" applyBorder="0" applyProtection="0"/>
    <xf numFmtId="243" fontId="1" fillId="0" borderId="0" applyFont="0" applyFill="0" applyBorder="0" applyProtection="0"/>
    <xf numFmtId="244" fontId="1" fillId="0" borderId="0" applyFont="0" applyFill="0" applyBorder="0" applyProtection="0"/>
    <xf numFmtId="165" fontId="24" fillId="0" borderId="0" applyNumberFormat="0" applyFill="0" applyBorder="0" applyProtection="0"/>
    <xf numFmtId="0" fontId="162" fillId="0" borderId="0" applyNumberFormat="0" applyFill="0" applyBorder="0" applyProtection="0"/>
    <xf numFmtId="169" fontId="24" fillId="0" borderId="0" applyNumberFormat="0" applyFill="0" applyBorder="0" applyProtection="0"/>
    <xf numFmtId="0" fontId="162" fillId="0" borderId="0" applyNumberFormat="0" applyFill="0" applyBorder="0" applyProtection="0"/>
    <xf numFmtId="0" fontId="1" fillId="0" borderId="0">
      <alignment horizontal="left" wrapText="1"/>
    </xf>
    <xf numFmtId="245" fontId="111" fillId="0" borderId="0" applyFont="0" applyFill="0" applyBorder="0" applyProtection="0"/>
    <xf numFmtId="246" fontId="111" fillId="0" borderId="0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30" fontId="1" fillId="0" borderId="21" applyFont="0" applyFill="0" applyBorder="0" applyProtection="0"/>
    <xf numFmtId="247" fontId="163" fillId="0" borderId="0" applyFont="0" applyFill="0" applyBorder="0" applyProtection="0">
      <protection locked="0"/>
    </xf>
    <xf numFmtId="0" fontId="55" fillId="57" borderId="0" applyNumberFormat="0" applyBorder="0" applyProtection="0"/>
    <xf numFmtId="0" fontId="55" fillId="58" borderId="0" applyNumberFormat="0" applyBorder="0" applyProtection="0"/>
    <xf numFmtId="0" fontId="55" fillId="61" borderId="0" applyNumberFormat="0" applyBorder="0" applyProtection="0"/>
    <xf numFmtId="0" fontId="55" fillId="62" borderId="0" applyNumberFormat="0" applyBorder="0" applyProtection="0"/>
    <xf numFmtId="0" fontId="55" fillId="63" borderId="0" applyNumberFormat="0" applyBorder="0" applyProtection="0"/>
    <xf numFmtId="0" fontId="55" fillId="65" borderId="0" applyNumberFormat="0" applyBorder="0" applyProtection="0"/>
    <xf numFmtId="0" fontId="115" fillId="37" borderId="14" applyNumberFormat="0" applyProtection="0"/>
    <xf numFmtId="0" fontId="135" fillId="68" borderId="37" applyNumberFormat="0" applyProtection="0"/>
    <xf numFmtId="0" fontId="66" fillId="68" borderId="14" applyNumberFormat="0" applyProtection="0"/>
    <xf numFmtId="0" fontId="164" fillId="0" borderId="0" applyNumberFormat="0" applyFill="0" applyBorder="0" applyProtection="0"/>
    <xf numFmtId="0" fontId="33" fillId="0" borderId="0" applyNumberFormat="0" applyFill="0" applyBorder="0" applyProtection="0">
      <alignment vertical="top"/>
      <protection locked="0"/>
    </xf>
    <xf numFmtId="0" fontId="109" fillId="0" borderId="0" applyNumberFormat="0" applyFill="0" applyBorder="0" applyProtection="0"/>
    <xf numFmtId="0" fontId="33" fillId="0" borderId="0" applyNumberFormat="0" applyFill="0" applyBorder="0" applyProtection="0">
      <alignment vertical="top"/>
      <protection locked="0"/>
    </xf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44" fontId="207" fillId="0" borderId="0" applyFont="0" applyFill="0" applyBorder="0" applyProtection="0"/>
    <xf numFmtId="0" fontId="100" fillId="0" borderId="25" applyNumberFormat="0" applyFill="0" applyProtection="0"/>
    <xf numFmtId="0" fontId="102" fillId="0" borderId="27" applyNumberFormat="0" applyFill="0" applyProtection="0"/>
    <xf numFmtId="0" fontId="165" fillId="0" borderId="0">
      <alignment horizontal="left" vertical="top" wrapText="1"/>
    </xf>
    <xf numFmtId="0" fontId="105" fillId="0" borderId="30" applyNumberFormat="0" applyFill="0" applyProtection="0"/>
    <xf numFmtId="0" fontId="105" fillId="0" borderId="0" applyNumberFormat="0" applyFill="0" applyBorder="0" applyProtection="0"/>
    <xf numFmtId="0" fontId="159" fillId="0" borderId="45" applyNumberFormat="0" applyFill="0" applyProtection="0"/>
    <xf numFmtId="0" fontId="67" fillId="70" borderId="17" applyNumberFormat="0" applyProtection="0"/>
    <xf numFmtId="0" fontId="157" fillId="0" borderId="0" applyNumberFormat="0" applyFill="0" applyBorder="0" applyProtection="0"/>
    <xf numFmtId="0" fontId="158" fillId="0" borderId="0" applyNumberFormat="0" applyFill="0" applyBorder="0" applyProtection="0"/>
    <xf numFmtId="0" fontId="125" fillId="73" borderId="0" applyNumberFormat="0" applyBorder="0" applyProtection="0"/>
    <xf numFmtId="0" fontId="126" fillId="73" borderId="0" applyNumberFormat="0" applyBorder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11" fillId="0" borderId="0"/>
    <xf numFmtId="0" fontId="166" fillId="0" borderId="0">
      <alignment vertical="center"/>
    </xf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3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132" fillId="0" borderId="0"/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21" fillId="0" borderId="0">
      <alignment horizontal="left"/>
    </xf>
    <xf numFmtId="0" fontId="111" fillId="0" borderId="0"/>
    <xf numFmtId="0" fontId="207" fillId="0" borderId="0"/>
    <xf numFmtId="0" fontId="207" fillId="0" borderId="0"/>
    <xf numFmtId="0" fontId="207" fillId="0" borderId="0"/>
    <xf numFmtId="0" fontId="111" fillId="0" borderId="0"/>
    <xf numFmtId="0" fontId="111" fillId="0" borderId="0"/>
    <xf numFmtId="0" fontId="111" fillId="0" borderId="0"/>
    <xf numFmtId="0" fontId="73" fillId="0" borderId="0"/>
    <xf numFmtId="0" fontId="21" fillId="0" borderId="0">
      <alignment horizontal="left"/>
    </xf>
    <xf numFmtId="0" fontId="132" fillId="0" borderId="0"/>
    <xf numFmtId="0" fontId="207" fillId="0" borderId="0"/>
    <xf numFmtId="0" fontId="1" fillId="0" borderId="0"/>
    <xf numFmtId="0" fontId="207" fillId="0" borderId="0"/>
    <xf numFmtId="0" fontId="207" fillId="0" borderId="0"/>
    <xf numFmtId="0" fontId="1" fillId="0" borderId="0"/>
    <xf numFmtId="0" fontId="207" fillId="0" borderId="0"/>
    <xf numFmtId="0" fontId="207" fillId="0" borderId="0">
      <alignment vertical="center"/>
    </xf>
    <xf numFmtId="0" fontId="167" fillId="0" borderId="0">
      <alignment horizontal="left"/>
    </xf>
    <xf numFmtId="0" fontId="21" fillId="0" borderId="0">
      <alignment horizontal="left"/>
    </xf>
    <xf numFmtId="0" fontId="1" fillId="0" borderId="0"/>
    <xf numFmtId="0" fontId="167" fillId="0" borderId="0">
      <alignment horizontal="left"/>
    </xf>
    <xf numFmtId="0" fontId="132" fillId="0" borderId="0"/>
    <xf numFmtId="0" fontId="207" fillId="0" borderId="0"/>
    <xf numFmtId="0" fontId="1" fillId="0" borderId="0"/>
    <xf numFmtId="0" fontId="207" fillId="0" borderId="0"/>
    <xf numFmtId="0" fontId="207" fillId="0" borderId="0"/>
    <xf numFmtId="0" fontId="207" fillId="0" borderId="0"/>
    <xf numFmtId="0" fontId="1" fillId="0" borderId="0"/>
    <xf numFmtId="0" fontId="132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42" fillId="0" borderId="0"/>
    <xf numFmtId="0" fontId="207" fillId="0" borderId="0">
      <alignment vertical="center"/>
    </xf>
    <xf numFmtId="0" fontId="207" fillId="0" borderId="0"/>
    <xf numFmtId="0" fontId="207" fillId="0" borderId="0">
      <alignment vertical="center"/>
    </xf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0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60" fillId="66" borderId="0" applyNumberFormat="0" applyBorder="0" applyProtection="0"/>
    <xf numFmtId="0" fontId="87" fillId="0" borderId="0" applyNumberFormat="0" applyFill="0" applyBorder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50" fillId="8" borderId="35" applyNumberFormat="0" applyFont="0" applyProtection="0"/>
    <xf numFmtId="0" fontId="207" fillId="8" borderId="35" applyNumberFormat="0" applyFont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207" fillId="0" borderId="0" applyFont="0" applyFill="0" applyBorder="0" applyProtection="0"/>
    <xf numFmtId="9" fontId="73" fillId="0" borderId="0" applyFont="0" applyFill="0" applyBorder="0" applyProtection="0"/>
    <xf numFmtId="9" fontId="132" fillId="0" borderId="0" applyFont="0" applyFill="0" applyBorder="0" applyProtection="0"/>
    <xf numFmtId="9" fontId="42" fillId="0" borderId="0" applyFont="0" applyFill="0" applyBorder="0" applyProtection="0"/>
    <xf numFmtId="9" fontId="207" fillId="0" borderId="0" applyFont="0" applyFill="0" applyBorder="0" applyProtection="0"/>
    <xf numFmtId="0" fontId="123" fillId="0" borderId="33" applyNumberFormat="0" applyFill="0" applyProtection="0"/>
    <xf numFmtId="0" fontId="46" fillId="0" borderId="0"/>
    <xf numFmtId="0" fontId="46" fillId="0" borderId="0"/>
    <xf numFmtId="0" fontId="46" fillId="0" borderId="0"/>
    <xf numFmtId="0" fontId="46" fillId="0" borderId="0"/>
    <xf numFmtId="0" fontId="162" fillId="0" borderId="0" applyNumberFormat="0" applyFill="0" applyBorder="0" applyProtection="0"/>
    <xf numFmtId="248" fontId="111" fillId="0" borderId="0" applyFont="0" applyFill="0" applyBorder="0" applyProtection="0"/>
    <xf numFmtId="249" fontId="11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7" fontId="207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7" fontId="207" fillId="0" borderId="0" applyFont="0" applyFill="0" applyBorder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189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6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186" fontId="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43" fontId="21" fillId="0" borderId="0" applyFont="0" applyFill="0" applyBorder="0" applyProtection="0"/>
    <xf numFmtId="0" fontId="95" fillId="72" borderId="0" applyNumberFormat="0" applyBorder="0" applyProtection="0"/>
    <xf numFmtId="165" fontId="168" fillId="0" borderId="0" applyFont="0" applyFill="0" applyBorder="0" applyProtection="0"/>
    <xf numFmtId="165" fontId="168" fillId="0" borderId="0" applyFont="0" applyFill="0" applyBorder="0" applyProtection="0"/>
    <xf numFmtId="165" fontId="44" fillId="0" borderId="0">
      <alignment vertical="center"/>
    </xf>
    <xf numFmtId="40" fontId="169" fillId="0" borderId="0" applyFont="0" applyFill="0" applyBorder="0" applyProtection="0"/>
    <xf numFmtId="38" fontId="169" fillId="0" borderId="0" applyFont="0" applyFill="0" applyBorder="0" applyProtection="0"/>
    <xf numFmtId="165" fontId="169" fillId="0" borderId="0" applyFont="0" applyFill="0" applyBorder="0" applyProtection="0"/>
    <xf numFmtId="165" fontId="169" fillId="0" borderId="0" applyFont="0" applyFill="0" applyBorder="0" applyProtection="0"/>
    <xf numFmtId="9" fontId="170" fillId="0" borderId="0" applyFont="0" applyFill="0" applyBorder="0" applyProtection="0"/>
    <xf numFmtId="165" fontId="171" fillId="0" borderId="0"/>
    <xf numFmtId="41" fontId="1" fillId="0" borderId="0" applyFont="0" applyFill="0" applyBorder="0" applyProtection="0">
      <alignment vertical="center"/>
    </xf>
    <xf numFmtId="250" fontId="172" fillId="0" borderId="0" applyFont="0" applyFill="0" applyBorder="0" applyProtection="0"/>
    <xf numFmtId="251" fontId="173" fillId="0" borderId="0" applyFont="0" applyFill="0" applyBorder="0" applyProtection="0"/>
    <xf numFmtId="252" fontId="170" fillId="0" borderId="0" applyFont="0" applyFill="0" applyBorder="0" applyProtection="0"/>
    <xf numFmtId="253" fontId="170" fillId="0" borderId="0" applyFont="0" applyFill="0" applyBorder="0" applyProtection="0"/>
    <xf numFmtId="165" fontId="174" fillId="0" borderId="0"/>
    <xf numFmtId="0" fontId="48" fillId="0" borderId="0">
      <alignment vertical="center"/>
    </xf>
    <xf numFmtId="165" fontId="175" fillId="0" borderId="31">
      <alignment horizontal="center"/>
    </xf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173" fontId="51" fillId="0" borderId="0" applyFont="0" applyFill="0" applyBorder="0" applyProtection="0"/>
    <xf numFmtId="173" fontId="207" fillId="0" borderId="0" applyFont="0" applyFill="0" applyBorder="0" applyProtection="0"/>
    <xf numFmtId="173" fontId="51" fillId="0" borderId="0" applyFont="0" applyFill="0" applyBorder="0" applyProtection="0"/>
    <xf numFmtId="173" fontId="207" fillId="0" borderId="0" applyFont="0" applyFill="0" applyBorder="0" applyProtection="0"/>
    <xf numFmtId="173" fontId="207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207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51" fillId="0" borderId="0" applyFont="0" applyFill="0" applyBorder="0" applyProtection="0"/>
    <xf numFmtId="169" fontId="73" fillId="0" borderId="0"/>
    <xf numFmtId="173" fontId="51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173" fontId="51" fillId="0" borderId="0" applyFont="0" applyFill="0" applyBorder="0" applyProtection="0"/>
    <xf numFmtId="173" fontId="51" fillId="0" borderId="0" applyFont="0" applyFill="0" applyBorder="0" applyProtection="0"/>
    <xf numFmtId="43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43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43" fontId="73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43" fontId="73" fillId="0" borderId="0" applyFont="0" applyFill="0" applyBorder="0" applyProtection="0">
      <alignment vertical="center"/>
    </xf>
    <xf numFmtId="43" fontId="73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43" fontId="73" fillId="0" borderId="0" applyFont="0" applyFill="0" applyBorder="0" applyProtection="0">
      <alignment vertical="center"/>
    </xf>
    <xf numFmtId="43" fontId="73" fillId="0" borderId="0" applyFont="0" applyFill="0" applyBorder="0" applyProtection="0">
      <alignment vertical="center"/>
    </xf>
    <xf numFmtId="169" fontId="73" fillId="0" borderId="0"/>
    <xf numFmtId="43" fontId="73" fillId="0" borderId="0" applyFont="0" applyFill="0" applyBorder="0" applyProtection="0">
      <alignment vertical="center"/>
    </xf>
    <xf numFmtId="43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43" fontId="73" fillId="0" borderId="0" applyFont="0" applyFill="0" applyBorder="0" applyProtection="0">
      <alignment vertical="center"/>
    </xf>
    <xf numFmtId="43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207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207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173" fontId="51" fillId="0" borderId="0" applyFont="0" applyFill="0" applyBorder="0" applyProtection="0"/>
    <xf numFmtId="173" fontId="51" fillId="0" borderId="0" applyFont="0" applyFill="0" applyBorder="0" applyProtection="0"/>
    <xf numFmtId="169" fontId="73" fillId="0" borderId="0"/>
    <xf numFmtId="173" fontId="51" fillId="0" borderId="0" applyFont="0" applyFill="0" applyBorder="0" applyProtection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254" fontId="73" fillId="0" borderId="0" applyFont="0" applyFill="0" applyBorder="0" applyProtection="0">
      <alignment vertical="center"/>
    </xf>
    <xf numFmtId="169" fontId="73" fillId="0" borderId="0"/>
    <xf numFmtId="41" fontId="1" fillId="0" borderId="0" applyFont="0" applyFill="0" applyBorder="0" applyProtection="0"/>
    <xf numFmtId="43" fontId="1" fillId="0" borderId="0" applyFont="0" applyFill="0" applyBorder="0" applyProtection="0"/>
    <xf numFmtId="41" fontId="120" fillId="0" borderId="0" applyFont="0" applyFill="0" applyBorder="0" applyProtection="0"/>
    <xf numFmtId="0" fontId="1" fillId="0" borderId="0" applyFont="0" applyFill="0" applyBorder="0" applyProtection="0"/>
    <xf numFmtId="165" fontId="176" fillId="0" borderId="0" applyNumberFormat="0" applyFill="0" applyBorder="0" applyProtection="0">
      <alignment vertical="top"/>
      <protection locked="0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0" fontId="177" fillId="32" borderId="0" applyNumberFormat="0" applyBorder="0" applyProtection="0">
      <alignment vertical="center"/>
    </xf>
    <xf numFmtId="169" fontId="178" fillId="72" borderId="0" applyNumberFormat="0" applyBorder="0" applyProtection="0">
      <alignment vertical="center"/>
    </xf>
    <xf numFmtId="169" fontId="178" fillId="72" borderId="0" applyNumberFormat="0" applyBorder="0" applyProtection="0">
      <alignment vertical="center"/>
    </xf>
    <xf numFmtId="169" fontId="73" fillId="0" borderId="0"/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0" fontId="179" fillId="30" borderId="0" applyNumberFormat="0" applyBorder="0" applyProtection="0">
      <alignment vertical="center"/>
    </xf>
    <xf numFmtId="169" fontId="180" fillId="66" borderId="0" applyNumberFormat="0" applyBorder="0" applyProtection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>
      <alignment vertical="center"/>
    </xf>
    <xf numFmtId="0" fontId="73" fillId="0" borderId="0"/>
    <xf numFmtId="0" fontId="73" fillId="0" borderId="0"/>
    <xf numFmtId="0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207" fillId="0" borderId="0">
      <alignment vertical="center"/>
    </xf>
    <xf numFmtId="169" fontId="73" fillId="0" borderId="0"/>
    <xf numFmtId="0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>
      <alignment vertical="center"/>
    </xf>
    <xf numFmtId="0" fontId="73" fillId="0" borderId="0"/>
    <xf numFmtId="0" fontId="207" fillId="0" borderId="0">
      <alignment vertical="center"/>
    </xf>
    <xf numFmtId="169" fontId="73" fillId="0" borderId="0"/>
    <xf numFmtId="0" fontId="207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207" fillId="0" borderId="0">
      <alignment vertical="center"/>
    </xf>
    <xf numFmtId="169" fontId="73" fillId="0" borderId="0"/>
    <xf numFmtId="0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73" fillId="0" borderId="0"/>
    <xf numFmtId="0" fontId="73" fillId="0" borderId="0"/>
    <xf numFmtId="0" fontId="207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73" fillId="0" borderId="0"/>
    <xf numFmtId="0" fontId="207" fillId="0" borderId="0"/>
    <xf numFmtId="0" fontId="207" fillId="0" borderId="0"/>
    <xf numFmtId="0" fontId="181" fillId="0" borderId="0"/>
    <xf numFmtId="0" fontId="73" fillId="0" borderId="0"/>
    <xf numFmtId="0" fontId="181" fillId="0" borderId="0"/>
    <xf numFmtId="0" fontId="181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73" fillId="0" borderId="0"/>
    <xf numFmtId="0" fontId="207" fillId="0" borderId="0"/>
    <xf numFmtId="0" fontId="73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73" fillId="0" borderId="0"/>
    <xf numFmtId="0" fontId="73" fillId="0" borderId="0"/>
    <xf numFmtId="0" fontId="207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20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73" fillId="0" borderId="0"/>
    <xf numFmtId="0" fontId="207" fillId="0" borderId="0"/>
    <xf numFmtId="0" fontId="207" fillId="0" borderId="0"/>
    <xf numFmtId="0" fontId="73" fillId="0" borderId="0"/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0" fontId="181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181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181" fillId="0" borderId="0"/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181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169" fontId="207" fillId="0" borderId="0">
      <alignment vertical="center"/>
    </xf>
    <xf numFmtId="0" fontId="207" fillId="0" borderId="0"/>
    <xf numFmtId="0" fontId="207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181" fillId="0" borderId="0"/>
    <xf numFmtId="169" fontId="207" fillId="0" borderId="0">
      <alignment vertical="center"/>
    </xf>
    <xf numFmtId="0" fontId="181" fillId="0" borderId="0"/>
    <xf numFmtId="0" fontId="181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207" fillId="0" borderId="0">
      <alignment vertical="center"/>
    </xf>
    <xf numFmtId="0" fontId="73" fillId="0" borderId="0">
      <alignment vertical="center"/>
    </xf>
    <xf numFmtId="0" fontId="207" fillId="0" borderId="0"/>
    <xf numFmtId="0" fontId="20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1" fillId="0" borderId="0"/>
    <xf numFmtId="0" fontId="207" fillId="0" borderId="0"/>
    <xf numFmtId="0" fontId="181" fillId="0" borderId="0"/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207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0" fontId="73" fillId="0" borderId="0"/>
    <xf numFmtId="0" fontId="207" fillId="0" borderId="0">
      <alignment vertical="center"/>
    </xf>
    <xf numFmtId="0" fontId="73" fillId="0" borderId="0"/>
    <xf numFmtId="0" fontId="73" fillId="0" borderId="0"/>
    <xf numFmtId="0" fontId="207" fillId="0" borderId="0">
      <alignment vertical="center"/>
    </xf>
    <xf numFmtId="169" fontId="50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50" fillId="0" borderId="0"/>
    <xf numFmtId="169" fontId="130" fillId="0" borderId="0"/>
    <xf numFmtId="0" fontId="50" fillId="0" borderId="0"/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73" fillId="0" borderId="0"/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73" fillId="0" borderId="0"/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169" fontId="50" fillId="0" borderId="0"/>
    <xf numFmtId="0" fontId="166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1" fillId="0" borderId="0">
      <alignment vertical="top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207" fillId="0" borderId="0"/>
    <xf numFmtId="0" fontId="207" fillId="0" borderId="0"/>
    <xf numFmtId="169" fontId="73" fillId="0" borderId="0">
      <alignment vertical="center"/>
    </xf>
    <xf numFmtId="0" fontId="207" fillId="0" borderId="0"/>
    <xf numFmtId="0" fontId="207" fillId="0" borderId="0"/>
    <xf numFmtId="169" fontId="73" fillId="0" borderId="0">
      <alignment vertical="center"/>
    </xf>
    <xf numFmtId="0" fontId="207" fillId="0" borderId="0"/>
    <xf numFmtId="0" fontId="207" fillId="0" borderId="0"/>
    <xf numFmtId="169" fontId="73" fillId="0" borderId="0">
      <alignment vertical="center"/>
    </xf>
    <xf numFmtId="0" fontId="207" fillId="0" borderId="0"/>
    <xf numFmtId="169" fontId="73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73" fillId="0" borderId="0">
      <alignment vertical="center"/>
    </xf>
    <xf numFmtId="0" fontId="207" fillId="0" borderId="0"/>
    <xf numFmtId="0" fontId="20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>
      <alignment vertical="center"/>
    </xf>
    <xf numFmtId="169" fontId="73" fillId="0" borderId="0">
      <alignment vertical="center"/>
    </xf>
    <xf numFmtId="0" fontId="207" fillId="0" borderId="0">
      <alignment vertical="center"/>
    </xf>
    <xf numFmtId="0" fontId="207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169" fontId="207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1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1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169" fontId="51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169" fontId="207" fillId="0" borderId="0">
      <alignment vertical="center"/>
    </xf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0" fontId="207" fillId="0" borderId="0"/>
    <xf numFmtId="169" fontId="207" fillId="0" borderId="0">
      <alignment vertical="center"/>
    </xf>
    <xf numFmtId="0" fontId="207" fillId="0" borderId="0"/>
    <xf numFmtId="0" fontId="207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169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0" fontId="73" fillId="0" borderId="0"/>
    <xf numFmtId="169" fontId="207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169" fontId="73" fillId="0" borderId="0">
      <alignment vertical="center"/>
    </xf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169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9" fontId="73" fillId="0" borderId="0">
      <alignment vertical="center"/>
    </xf>
    <xf numFmtId="0" fontId="73" fillId="0" borderId="0"/>
    <xf numFmtId="169" fontId="73" fillId="0" borderId="0">
      <alignment vertical="center"/>
    </xf>
    <xf numFmtId="0" fontId="73" fillId="0" borderId="0"/>
    <xf numFmtId="0" fontId="73" fillId="0" borderId="0"/>
    <xf numFmtId="165" fontId="1" fillId="0" borderId="0"/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6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59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60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1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53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0" fontId="53" fillId="64" borderId="0" applyNumberFormat="0" applyBorder="0" applyProtection="0">
      <alignment vertical="center"/>
    </xf>
    <xf numFmtId="165" fontId="182" fillId="0" borderId="48" applyNumberFormat="0" applyFill="0" applyBorder="0">
      <alignment horizontal="center" vertical="center"/>
    </xf>
    <xf numFmtId="165" fontId="175" fillId="0" borderId="0"/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3" fillId="0" borderId="26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4" fillId="0" borderId="28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29" applyNumberFormat="0" applyFill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5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0" fontId="186" fillId="0" borderId="0" applyNumberFormat="0" applyFill="0" applyBorder="0" applyProtection="0">
      <alignment vertical="center"/>
    </xf>
    <xf numFmtId="43" fontId="1" fillId="0" borderId="0" applyFont="0" applyFill="0" applyBorder="0" applyProtection="0"/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187" fillId="69" borderId="16" applyNumberFormat="0" applyProtection="0">
      <alignment vertical="center"/>
    </xf>
    <xf numFmtId="0" fontId="207" fillId="0" borderId="0"/>
    <xf numFmtId="0" fontId="49" fillId="0" borderId="0"/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188" fillId="0" borderId="46" applyNumberFormat="0" applyFill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73" fillId="8" borderId="7" applyNumberFormat="0" applyFont="0" applyProtection="0">
      <alignment vertical="center"/>
    </xf>
    <xf numFmtId="0" fontId="1" fillId="0" borderId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0" fontId="1" fillId="0" borderId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0" fontId="1" fillId="0" borderId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>
      <alignment vertical="center"/>
    </xf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9" fontId="73" fillId="0" borderId="0" applyFont="0" applyFill="0" applyBorder="0" applyProtection="0"/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89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0" fillId="0" borderId="0" applyNumberFormat="0" applyFill="0" applyBorder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0" fontId="191" fillId="20" borderId="8" applyNumberFormat="0" applyProtection="0">
      <alignment vertical="center"/>
    </xf>
    <xf numFmtId="225" fontId="120" fillId="0" borderId="0" applyFont="0" applyFill="0" applyBorder="0" applyProtection="0"/>
    <xf numFmtId="166" fontId="175" fillId="0" borderId="0" applyFont="0" applyFill="0" applyBorder="0" applyProtection="0"/>
    <xf numFmtId="167" fontId="120" fillId="0" borderId="0" applyFont="0" applyFill="0" applyBorder="0" applyProtection="0"/>
    <xf numFmtId="167" fontId="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255" fontId="73" fillId="0" borderId="0" applyFont="0" applyFill="0" applyBorder="0" applyProtection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169" fontId="73" fillId="0" borderId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207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13" fontId="51" fillId="0" borderId="0" applyFont="0" applyFill="0" applyBorder="0" applyProtection="0"/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6" fontId="73" fillId="0" borderId="0" applyFont="0" applyFill="0" applyBorder="0" applyProtection="0">
      <alignment vertical="center"/>
    </xf>
    <xf numFmtId="255" fontId="73" fillId="0" borderId="0" applyFont="0" applyFill="0" applyBorder="0" applyProtection="0"/>
    <xf numFmtId="167" fontId="1" fillId="0" borderId="0" applyFont="0" applyFill="0" applyBorder="0" applyProtection="0"/>
    <xf numFmtId="225" fontId="1" fillId="0" borderId="0" applyFont="0" applyFill="0" applyBorder="0" applyProtection="0"/>
    <xf numFmtId="167" fontId="1" fillId="0" borderId="0" applyFont="0" applyFill="0" applyBorder="0" applyProtection="0"/>
    <xf numFmtId="165" fontId="192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73" fillId="0" borderId="0"/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73" fillId="0" borderId="0"/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73" fillId="0" borderId="0"/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193" fillId="0" borderId="0" applyNumberFormat="0" applyFill="0" applyBorder="0" applyProtection="0">
      <alignment vertical="top"/>
      <protection locked="0"/>
    </xf>
    <xf numFmtId="169" fontId="73" fillId="0" borderId="0"/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4" fillId="37" borderId="8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5" fillId="20" borderId="36" applyNumberFormat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6" fillId="18" borderId="0" applyNumberFormat="0" applyBorder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  <xf numFmtId="0" fontId="197" fillId="0" borderId="32" applyNumberFormat="0" applyFill="0" applyProtection="0">
      <alignment vertical="center"/>
    </xf>
  </cellStyleXfs>
  <cellXfs count="78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81" borderId="0" xfId="0" applyFill="1" applyAlignment="1">
      <alignment vertical="center" wrapText="1"/>
    </xf>
    <xf numFmtId="2" fontId="164" fillId="82" borderId="0" xfId="27723" applyNumberFormat="1" applyFill="1"/>
    <xf numFmtId="0" fontId="198" fillId="83" borderId="0" xfId="0" applyFont="1" applyFill="1" applyAlignment="1">
      <alignment horizontal="left" vertical="center"/>
    </xf>
    <xf numFmtId="0" fontId="199" fillId="0" borderId="0" xfId="0" applyFont="1" applyAlignment="1">
      <alignment horizontal="right" vertical="center"/>
    </xf>
    <xf numFmtId="14" fontId="200" fillId="79" borderId="0" xfId="0" applyNumberFormat="1" applyFont="1" applyFill="1" applyAlignment="1">
      <alignment horizontal="center" vertical="center"/>
    </xf>
    <xf numFmtId="0" fontId="198" fillId="85" borderId="0" xfId="0" applyFont="1" applyFill="1" applyAlignment="1">
      <alignment horizontal="left" vertical="center"/>
    </xf>
    <xf numFmtId="0" fontId="0" fillId="0" borderId="19" xfId="0" applyBorder="1" applyAlignment="1">
      <alignment horizontal="center" vertical="center"/>
    </xf>
    <xf numFmtId="257" fontId="201" fillId="88" borderId="19" xfId="25429" applyNumberFormat="1" applyFont="1" applyFill="1" applyBorder="1" applyAlignment="1">
      <alignment vertical="center" wrapText="1"/>
    </xf>
    <xf numFmtId="0" fontId="199" fillId="0" borderId="18" xfId="0" applyFont="1" applyBorder="1" applyAlignment="1">
      <alignment horizontal="center" vertical="center"/>
    </xf>
    <xf numFmtId="0" fontId="199" fillId="0" borderId="19" xfId="0" applyFont="1" applyBorder="1" applyAlignment="1">
      <alignment horizontal="center" vertical="center"/>
    </xf>
    <xf numFmtId="0" fontId="199" fillId="0" borderId="0" xfId="0" applyFont="1" applyAlignment="1">
      <alignment vertical="center"/>
    </xf>
    <xf numFmtId="0" fontId="199" fillId="94" borderId="19" xfId="0" applyFont="1" applyFill="1" applyBorder="1" applyAlignment="1">
      <alignment horizontal="left" vertical="center"/>
    </xf>
    <xf numFmtId="0" fontId="0" fillId="94" borderId="19" xfId="0" applyFill="1" applyBorder="1" applyAlignment="1">
      <alignment horizontal="left" vertical="center"/>
    </xf>
    <xf numFmtId="0" fontId="0" fillId="94" borderId="19" xfId="0" applyFill="1" applyBorder="1" applyAlignment="1">
      <alignment horizontal="center" vertical="center"/>
    </xf>
    <xf numFmtId="0" fontId="198" fillId="94" borderId="19" xfId="0" applyFont="1" applyFill="1" applyBorder="1" applyAlignment="1">
      <alignment horizontal="left" vertical="center" wrapText="1"/>
    </xf>
    <xf numFmtId="210" fontId="0" fillId="94" borderId="19" xfId="0" applyNumberFormat="1" applyFill="1" applyBorder="1" applyAlignment="1">
      <alignment horizontal="right" vertical="center" wrapText="1"/>
    </xf>
    <xf numFmtId="210" fontId="0" fillId="0" borderId="19" xfId="0" applyNumberFormat="1" applyBorder="1" applyAlignment="1">
      <alignment horizontal="right" vertical="center" wrapText="1"/>
    </xf>
    <xf numFmtId="210" fontId="0" fillId="0" borderId="19" xfId="0" applyNumberFormat="1" applyBorder="1" applyAlignment="1">
      <alignment horizontal="center" vertical="center" wrapText="1"/>
    </xf>
    <xf numFmtId="210" fontId="198" fillId="94" borderId="19" xfId="0" applyNumberFormat="1" applyFont="1" applyFill="1" applyBorder="1" applyAlignment="1">
      <alignment horizontal="center" vertical="center" wrapText="1"/>
    </xf>
    <xf numFmtId="0" fontId="0" fillId="107" borderId="19" xfId="0" applyFill="1" applyBorder="1" applyAlignment="1">
      <alignment horizontal="center" vertical="center" wrapText="1"/>
    </xf>
    <xf numFmtId="0" fontId="0" fillId="109" borderId="19" xfId="0" applyFill="1" applyBorder="1" applyAlignment="1">
      <alignment horizontal="center" vertical="center" wrapText="1"/>
    </xf>
    <xf numFmtId="0" fontId="0" fillId="105" borderId="19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257" fontId="201" fillId="107" borderId="19" xfId="25429" applyNumberFormat="1" applyFont="1" applyFill="1" applyBorder="1" applyAlignment="1">
      <alignment horizontal="center" vertical="center" wrapText="1"/>
    </xf>
    <xf numFmtId="257" fontId="201" fillId="0" borderId="19" xfId="25429" applyNumberFormat="1" applyFont="1" applyBorder="1" applyAlignment="1">
      <alignment horizontal="center" vertical="center" wrapText="1"/>
    </xf>
    <xf numFmtId="257" fontId="201" fillId="0" borderId="19" xfId="25429" applyNumberFormat="1" applyFont="1" applyBorder="1" applyAlignment="1">
      <alignment vertical="center" wrapText="1"/>
    </xf>
    <xf numFmtId="257" fontId="201" fillId="105" borderId="19" xfId="25429" applyNumberFormat="1" applyFont="1" applyFill="1" applyBorder="1" applyAlignment="1">
      <alignment horizontal="center" vertical="center" wrapText="1"/>
    </xf>
    <xf numFmtId="257" fontId="201" fillId="105" borderId="19" xfId="25429" applyNumberFormat="1" applyFont="1" applyFill="1" applyBorder="1" applyAlignment="1">
      <alignment vertical="center" wrapText="1"/>
    </xf>
    <xf numFmtId="257" fontId="201" fillId="107" borderId="19" xfId="25429" applyNumberFormat="1" applyFont="1" applyFill="1" applyBorder="1" applyAlignment="1">
      <alignment horizontal="center" vertical="center"/>
    </xf>
    <xf numFmtId="0" fontId="198" fillId="94" borderId="19" xfId="0" applyFont="1" applyFill="1" applyBorder="1" applyAlignment="1">
      <alignment horizontal="left" vertical="center"/>
    </xf>
    <xf numFmtId="2" fontId="0" fillId="0" borderId="19" xfId="0" applyNumberFormat="1" applyBorder="1" applyAlignment="1">
      <alignment horizontal="right" vertical="center" wrapText="1"/>
    </xf>
    <xf numFmtId="0" fontId="199" fillId="94" borderId="19" xfId="0" applyFont="1" applyFill="1" applyBorder="1" applyAlignment="1">
      <alignment horizontal="center" vertical="center"/>
    </xf>
    <xf numFmtId="0" fontId="202" fillId="94" borderId="19" xfId="0" applyFont="1" applyFill="1" applyBorder="1" applyAlignment="1">
      <alignment horizontal="left" vertical="center" wrapText="1"/>
    </xf>
    <xf numFmtId="210" fontId="202" fillId="94" borderId="19" xfId="0" applyNumberFormat="1" applyFont="1" applyFill="1" applyBorder="1" applyAlignment="1">
      <alignment horizontal="right" vertical="center" wrapText="1"/>
    </xf>
    <xf numFmtId="210" fontId="202" fillId="0" borderId="19" xfId="0" applyNumberFormat="1" applyFont="1" applyBorder="1" applyAlignment="1">
      <alignment horizontal="right" vertical="center" wrapText="1"/>
    </xf>
    <xf numFmtId="3" fontId="201" fillId="88" borderId="19" xfId="25429" applyNumberFormat="1" applyFont="1" applyFill="1" applyBorder="1" applyAlignment="1">
      <alignment vertical="center" wrapText="1"/>
    </xf>
    <xf numFmtId="3" fontId="199" fillId="107" borderId="19" xfId="0" applyNumberFormat="1" applyFont="1" applyFill="1" applyBorder="1" applyAlignment="1">
      <alignment vertical="center" wrapText="1"/>
    </xf>
    <xf numFmtId="3" fontId="199" fillId="109" borderId="19" xfId="0" applyNumberFormat="1" applyFont="1" applyFill="1" applyBorder="1" applyAlignment="1">
      <alignment vertical="center" wrapText="1"/>
    </xf>
    <xf numFmtId="3" fontId="199" fillId="105" borderId="19" xfId="0" applyNumberFormat="1" applyFont="1" applyFill="1" applyBorder="1" applyAlignment="1">
      <alignment vertical="center" wrapText="1"/>
    </xf>
    <xf numFmtId="0" fontId="199" fillId="109" borderId="19" xfId="0" applyFont="1" applyFill="1" applyBorder="1" applyAlignment="1">
      <alignment horizontal="center" vertical="center" wrapText="1"/>
    </xf>
    <xf numFmtId="3" fontId="199" fillId="0" borderId="0" xfId="0" applyNumberFormat="1" applyFont="1" applyAlignment="1">
      <alignment horizontal="right" vertical="center"/>
    </xf>
    <xf numFmtId="0" fontId="199" fillId="110" borderId="19" xfId="0" applyFont="1" applyFill="1" applyBorder="1" applyAlignment="1">
      <alignment horizontal="left" vertical="center"/>
    </xf>
    <xf numFmtId="3" fontId="199" fillId="111" borderId="19" xfId="0" applyNumberFormat="1" applyFont="1" applyFill="1" applyBorder="1" applyAlignment="1">
      <alignment horizontal="left" vertical="center"/>
    </xf>
    <xf numFmtId="3" fontId="199" fillId="111" borderId="19" xfId="0" applyNumberFormat="1" applyFont="1" applyFill="1" applyBorder="1" applyAlignment="1">
      <alignment horizontal="center" vertical="center"/>
    </xf>
    <xf numFmtId="3" fontId="202" fillId="111" borderId="19" xfId="0" applyNumberFormat="1" applyFont="1" applyFill="1" applyBorder="1" applyAlignment="1">
      <alignment horizontal="left" vertical="center"/>
    </xf>
    <xf numFmtId="3" fontId="202" fillId="111" borderId="18" xfId="0" applyNumberFormat="1" applyFont="1" applyFill="1" applyBorder="1" applyAlignment="1">
      <alignment horizontal="right" vertical="center" wrapText="1"/>
    </xf>
    <xf numFmtId="3" fontId="202" fillId="111" borderId="19" xfId="0" applyNumberFormat="1" applyFont="1" applyFill="1" applyBorder="1" applyAlignment="1">
      <alignment horizontal="right" vertical="center" wrapText="1"/>
    </xf>
    <xf numFmtId="3" fontId="203" fillId="88" borderId="19" xfId="25429" applyNumberFormat="1" applyFont="1" applyFill="1" applyBorder="1" applyAlignment="1">
      <alignment horizontal="right" vertical="center" wrapText="1"/>
    </xf>
    <xf numFmtId="257" fontId="203" fillId="88" borderId="19" xfId="25429" applyNumberFormat="1" applyFont="1" applyFill="1" applyBorder="1" applyAlignment="1">
      <alignment horizontal="right" vertical="center" wrapText="1"/>
    </xf>
    <xf numFmtId="0" fontId="202" fillId="94" borderId="19" xfId="0" applyFont="1" applyFill="1" applyBorder="1" applyAlignment="1">
      <alignment horizontal="left" vertical="center"/>
    </xf>
    <xf numFmtId="0" fontId="198" fillId="0" borderId="19" xfId="0" applyFont="1" applyBorder="1" applyAlignment="1">
      <alignment horizontal="left" vertical="center"/>
    </xf>
    <xf numFmtId="0" fontId="198" fillId="0" borderId="19" xfId="0" applyFont="1" applyBorder="1" applyAlignment="1">
      <alignment horizontal="left" vertical="center" wrapText="1"/>
    </xf>
    <xf numFmtId="0" fontId="199" fillId="0" borderId="19" xfId="0" applyFont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199" fillId="0" borderId="19" xfId="30294" applyFont="1" applyBorder="1" applyAlignment="1">
      <alignment horizontal="left" vertical="center"/>
    </xf>
    <xf numFmtId="3" fontId="199" fillId="111" borderId="18" xfId="0" applyNumberFormat="1" applyFont="1" applyFill="1" applyBorder="1" applyAlignment="1">
      <alignment horizontal="center" vertical="center"/>
    </xf>
    <xf numFmtId="3" fontId="202" fillId="111" borderId="18" xfId="0" applyNumberFormat="1" applyFont="1" applyFill="1" applyBorder="1" applyAlignment="1">
      <alignment horizontal="left" vertical="center"/>
    </xf>
    <xf numFmtId="257" fontId="202" fillId="111" borderId="18" xfId="0" applyNumberFormat="1" applyFont="1" applyFill="1" applyBorder="1" applyAlignment="1">
      <alignment horizontal="right" vertical="center" wrapText="1"/>
    </xf>
    <xf numFmtId="257" fontId="199" fillId="111" borderId="19" xfId="0" applyNumberFormat="1" applyFont="1" applyFill="1" applyBorder="1" applyAlignment="1">
      <alignment horizontal="right" vertical="center" wrapText="1"/>
    </xf>
    <xf numFmtId="3" fontId="199" fillId="110" borderId="19" xfId="0" applyNumberFormat="1" applyFont="1" applyFill="1" applyBorder="1" applyAlignment="1">
      <alignment horizontal="right" vertical="center"/>
    </xf>
    <xf numFmtId="0" fontId="199" fillId="110" borderId="19" xfId="0" applyFont="1" applyFill="1" applyBorder="1" applyAlignment="1">
      <alignment vertical="center"/>
    </xf>
    <xf numFmtId="0" fontId="199" fillId="110" borderId="19" xfId="0" applyFont="1" applyFill="1" applyBorder="1" applyAlignment="1">
      <alignment horizontal="right" vertical="center"/>
    </xf>
    <xf numFmtId="0" fontId="199" fillId="110" borderId="19" xfId="0" applyFont="1" applyFill="1" applyBorder="1" applyAlignment="1">
      <alignment horizontal="right" vertical="center" wrapText="1"/>
    </xf>
    <xf numFmtId="257" fontId="199" fillId="110" borderId="19" xfId="0" applyNumberFormat="1" applyFont="1" applyFill="1" applyBorder="1" applyAlignment="1">
      <alignment horizontal="right" vertical="center" wrapText="1"/>
    </xf>
    <xf numFmtId="3" fontId="199" fillId="110" borderId="19" xfId="0" applyNumberFormat="1" applyFont="1" applyFill="1" applyBorder="1" applyAlignment="1">
      <alignment horizontal="right" vertical="center" wrapText="1"/>
    </xf>
    <xf numFmtId="3" fontId="199" fillId="113" borderId="19" xfId="0" applyNumberFormat="1" applyFont="1" applyFill="1" applyBorder="1" applyAlignment="1">
      <alignment horizontal="right" vertical="center"/>
    </xf>
    <xf numFmtId="3" fontId="199" fillId="113" borderId="19" xfId="0" applyNumberFormat="1" applyFont="1" applyFill="1" applyBorder="1" applyAlignment="1">
      <alignment horizontal="center" vertical="center"/>
    </xf>
    <xf numFmtId="3" fontId="199" fillId="113" borderId="19" xfId="0" applyNumberFormat="1" applyFont="1" applyFill="1" applyBorder="1" applyAlignment="1">
      <alignment horizontal="right" vertical="center" wrapText="1"/>
    </xf>
    <xf numFmtId="257" fontId="199" fillId="113" borderId="19" xfId="0" applyNumberFormat="1" applyFont="1" applyFill="1" applyBorder="1" applyAlignment="1">
      <alignment horizontal="right" vertical="center" wrapText="1"/>
    </xf>
    <xf numFmtId="257" fontId="199" fillId="114" borderId="19" xfId="0" applyNumberFormat="1" applyFont="1" applyFill="1" applyBorder="1" applyAlignment="1">
      <alignment horizontal="right" vertical="center" wrapText="1"/>
    </xf>
    <xf numFmtId="257" fontId="199" fillId="114" borderId="19" xfId="0" applyNumberFormat="1" applyFont="1" applyFill="1" applyBorder="1" applyAlignment="1">
      <alignment horizontal="right" vertical="center"/>
    </xf>
    <xf numFmtId="257" fontId="199" fillId="113" borderId="19" xfId="0" applyNumberFormat="1" applyFont="1" applyFill="1" applyBorder="1" applyAlignment="1">
      <alignment horizontal="right" vertical="center"/>
    </xf>
    <xf numFmtId="3" fontId="199" fillId="114" borderId="19" xfId="0" applyNumberFormat="1" applyFont="1" applyFill="1" applyBorder="1" applyAlignment="1">
      <alignment horizontal="right" vertical="center" wrapText="1"/>
    </xf>
    <xf numFmtId="3" fontId="0" fillId="115" borderId="19" xfId="0" applyNumberFormat="1" applyFill="1" applyBorder="1" applyAlignment="1">
      <alignment horizontal="right" vertical="center"/>
    </xf>
    <xf numFmtId="0" fontId="199" fillId="115" borderId="19" xfId="0" applyFont="1" applyFill="1" applyBorder="1" applyAlignment="1">
      <alignment vertical="center"/>
    </xf>
    <xf numFmtId="0" fontId="0" fillId="115" borderId="19" xfId="0" applyFill="1" applyBorder="1" applyAlignment="1">
      <alignment horizontal="right" vertical="center"/>
    </xf>
    <xf numFmtId="0" fontId="199" fillId="115" borderId="19" xfId="0" applyFont="1" applyFill="1" applyBorder="1" applyAlignment="1">
      <alignment horizontal="right" vertical="center" wrapText="1"/>
    </xf>
    <xf numFmtId="257" fontId="199" fillId="115" borderId="19" xfId="0" applyNumberFormat="1" applyFont="1" applyFill="1" applyBorder="1" applyAlignment="1">
      <alignment horizontal="right" vertical="center" wrapText="1"/>
    </xf>
    <xf numFmtId="257" fontId="0" fillId="115" borderId="19" xfId="0" applyNumberFormat="1" applyFill="1" applyBorder="1" applyAlignment="1">
      <alignment horizontal="right" vertical="center" wrapText="1"/>
    </xf>
    <xf numFmtId="257" fontId="199" fillId="116" borderId="19" xfId="0" applyNumberFormat="1" applyFont="1" applyFill="1" applyBorder="1" applyAlignment="1">
      <alignment horizontal="right" vertical="center" wrapText="1"/>
    </xf>
    <xf numFmtId="257" fontId="0" fillId="116" borderId="19" xfId="0" applyNumberFormat="1" applyFill="1" applyBorder="1" applyAlignment="1">
      <alignment horizontal="right" vertical="center"/>
    </xf>
    <xf numFmtId="257" fontId="0" fillId="115" borderId="19" xfId="0" applyNumberFormat="1" applyFill="1" applyBorder="1" applyAlignment="1">
      <alignment horizontal="right" vertical="center"/>
    </xf>
    <xf numFmtId="3" fontId="199" fillId="115" borderId="19" xfId="0" applyNumberFormat="1" applyFont="1" applyFill="1" applyBorder="1" applyAlignment="1">
      <alignment horizontal="right" vertical="center" wrapText="1"/>
    </xf>
    <xf numFmtId="3" fontId="199" fillId="116" borderId="19" xfId="0" applyNumberFormat="1" applyFont="1" applyFill="1" applyBorder="1" applyAlignment="1">
      <alignment horizontal="right" vertical="center" wrapText="1"/>
    </xf>
    <xf numFmtId="3" fontId="0" fillId="117" borderId="19" xfId="0" applyNumberFormat="1" applyFill="1" applyBorder="1" applyAlignment="1">
      <alignment horizontal="right" vertical="center"/>
    </xf>
    <xf numFmtId="0" fontId="199" fillId="117" borderId="19" xfId="0" applyFont="1" applyFill="1" applyBorder="1" applyAlignment="1">
      <alignment horizontal="center" vertical="center"/>
    </xf>
    <xf numFmtId="0" fontId="0" fillId="117" borderId="19" xfId="0" applyFill="1" applyBorder="1" applyAlignment="1">
      <alignment horizontal="right" vertical="center"/>
    </xf>
    <xf numFmtId="0" fontId="199" fillId="117" borderId="19" xfId="0" applyFont="1" applyFill="1" applyBorder="1" applyAlignment="1">
      <alignment horizontal="right" vertical="center" wrapText="1"/>
    </xf>
    <xf numFmtId="257" fontId="199" fillId="117" borderId="19" xfId="0" applyNumberFormat="1" applyFont="1" applyFill="1" applyBorder="1" applyAlignment="1">
      <alignment horizontal="right" vertical="center" wrapText="1"/>
    </xf>
    <xf numFmtId="257" fontId="0" fillId="117" borderId="19" xfId="0" applyNumberFormat="1" applyFill="1" applyBorder="1" applyAlignment="1">
      <alignment horizontal="right" vertical="center" wrapText="1"/>
    </xf>
    <xf numFmtId="257" fontId="199" fillId="118" borderId="19" xfId="0" applyNumberFormat="1" applyFont="1" applyFill="1" applyBorder="1" applyAlignment="1">
      <alignment horizontal="right" vertical="center" wrapText="1"/>
    </xf>
    <xf numFmtId="257" fontId="0" fillId="118" borderId="19" xfId="0" applyNumberFormat="1" applyFill="1" applyBorder="1" applyAlignment="1">
      <alignment horizontal="right" vertical="center"/>
    </xf>
    <xf numFmtId="257" fontId="0" fillId="117" borderId="19" xfId="0" applyNumberFormat="1" applyFill="1" applyBorder="1" applyAlignment="1">
      <alignment horizontal="right" vertical="center"/>
    </xf>
    <xf numFmtId="3" fontId="199" fillId="117" borderId="19" xfId="0" applyNumberFormat="1" applyFont="1" applyFill="1" applyBorder="1" applyAlignment="1">
      <alignment horizontal="right" vertical="center" wrapText="1"/>
    </xf>
    <xf numFmtId="3" fontId="199" fillId="118" borderId="19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257" fontId="203" fillId="88" borderId="0" xfId="25429" applyNumberFormat="1" applyFont="1" applyFill="1" applyAlignment="1">
      <alignment horizontal="center" vertical="center" wrapText="1"/>
    </xf>
    <xf numFmtId="0" fontId="0" fillId="81" borderId="0" xfId="0" applyFill="1" applyAlignment="1">
      <alignment vertical="center"/>
    </xf>
    <xf numFmtId="257" fontId="203" fillId="88" borderId="19" xfId="25429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14" fontId="199" fillId="103" borderId="19" xfId="0" applyNumberFormat="1" applyFont="1" applyFill="1" applyBorder="1" applyAlignment="1">
      <alignment horizontal="center" vertical="top" wrapText="1"/>
    </xf>
    <xf numFmtId="14" fontId="199" fillId="0" borderId="19" xfId="0" applyNumberFormat="1" applyFont="1" applyBorder="1" applyAlignment="1">
      <alignment horizontal="center" vertical="top" wrapText="1"/>
    </xf>
    <xf numFmtId="0" fontId="199" fillId="105" borderId="19" xfId="0" applyFont="1" applyFill="1" applyBorder="1" applyAlignment="1">
      <alignment horizontal="center" vertical="top" wrapText="1"/>
    </xf>
    <xf numFmtId="14" fontId="199" fillId="62" borderId="19" xfId="0" applyNumberFormat="1" applyFont="1" applyFill="1" applyBorder="1" applyAlignment="1">
      <alignment horizontal="center" vertical="top" wrapText="1"/>
    </xf>
    <xf numFmtId="0" fontId="0" fillId="109" borderId="19" xfId="0" applyFill="1" applyBorder="1" applyAlignment="1">
      <alignment vertical="center" wrapText="1"/>
    </xf>
    <xf numFmtId="0" fontId="201" fillId="105" borderId="19" xfId="25429" applyFont="1" applyFill="1" applyBorder="1" applyAlignment="1">
      <alignment horizontal="center" vertical="center" wrapText="1"/>
    </xf>
    <xf numFmtId="257" fontId="201" fillId="107" borderId="19" xfId="25429" applyNumberFormat="1" applyFont="1" applyFill="1" applyBorder="1" applyAlignment="1">
      <alignment vertical="center" wrapText="1"/>
    </xf>
    <xf numFmtId="0" fontId="202" fillId="0" borderId="19" xfId="0" applyFont="1" applyBorder="1" applyAlignment="1">
      <alignment horizontal="left" vertical="center" wrapText="1"/>
    </xf>
    <xf numFmtId="210" fontId="198" fillId="0" borderId="19" xfId="0" applyNumberFormat="1" applyFont="1" applyBorder="1" applyAlignment="1">
      <alignment horizontal="right" vertical="center" wrapText="1"/>
    </xf>
    <xf numFmtId="210" fontId="198" fillId="0" borderId="19" xfId="0" applyNumberFormat="1" applyFont="1" applyBorder="1" applyAlignment="1">
      <alignment horizontal="center" vertical="center" wrapText="1"/>
    </xf>
    <xf numFmtId="0" fontId="202" fillId="105" borderId="19" xfId="30494" applyFont="1" applyFill="1" applyBorder="1" applyAlignment="1">
      <alignment horizontal="center" vertical="center" wrapText="1"/>
    </xf>
    <xf numFmtId="0" fontId="203" fillId="105" borderId="19" xfId="25429" applyFont="1" applyFill="1" applyBorder="1" applyAlignment="1">
      <alignment horizontal="center" vertical="center" wrapText="1"/>
    </xf>
    <xf numFmtId="3" fontId="199" fillId="81" borderId="0" xfId="0" applyNumberFormat="1" applyFont="1" applyFill="1" applyAlignment="1">
      <alignment horizontal="right" vertical="center"/>
    </xf>
    <xf numFmtId="3" fontId="199" fillId="111" borderId="19" xfId="0" applyNumberFormat="1" applyFont="1" applyFill="1" applyBorder="1" applyAlignment="1">
      <alignment horizontal="right" vertical="center"/>
    </xf>
    <xf numFmtId="0" fontId="199" fillId="111" borderId="19" xfId="0" applyFont="1" applyFill="1" applyBorder="1" applyAlignment="1">
      <alignment horizontal="center" vertical="center"/>
    </xf>
    <xf numFmtId="3" fontId="202" fillId="111" borderId="19" xfId="0" applyNumberFormat="1" applyFont="1" applyFill="1" applyBorder="1" applyAlignment="1">
      <alignment horizontal="left" vertical="center" wrapText="1"/>
    </xf>
    <xf numFmtId="3" fontId="202" fillId="111" borderId="19" xfId="0" applyNumberFormat="1" applyFont="1" applyFill="1" applyBorder="1" applyAlignment="1">
      <alignment horizontal="center" vertical="center" wrapText="1"/>
    </xf>
    <xf numFmtId="3" fontId="199" fillId="111" borderId="19" xfId="0" applyNumberFormat="1" applyFont="1" applyFill="1" applyBorder="1" applyAlignment="1">
      <alignment horizontal="right" vertical="center" wrapText="1"/>
    </xf>
    <xf numFmtId="257" fontId="203" fillId="88" borderId="19" xfId="25429" applyNumberFormat="1" applyFont="1" applyFill="1" applyBorder="1" applyAlignment="1">
      <alignment vertical="center" wrapText="1"/>
    </xf>
    <xf numFmtId="0" fontId="0" fillId="121" borderId="19" xfId="0" applyFill="1" applyBorder="1" applyAlignment="1">
      <alignment horizontal="center" vertical="center"/>
    </xf>
    <xf numFmtId="0" fontId="198" fillId="121" borderId="19" xfId="0" applyFont="1" applyFill="1" applyBorder="1" applyAlignment="1">
      <alignment horizontal="left" vertical="center" wrapText="1"/>
    </xf>
    <xf numFmtId="210" fontId="198" fillId="122" borderId="19" xfId="0" applyNumberFormat="1" applyFont="1" applyFill="1" applyBorder="1" applyAlignment="1">
      <alignment horizontal="right" vertical="center" wrapText="1"/>
    </xf>
    <xf numFmtId="210" fontId="198" fillId="122" borderId="19" xfId="0" applyNumberFormat="1" applyFont="1" applyFill="1" applyBorder="1" applyAlignment="1">
      <alignment horizontal="center" vertical="center" wrapText="1"/>
    </xf>
    <xf numFmtId="0" fontId="198" fillId="122" borderId="19" xfId="0" applyFont="1" applyFill="1" applyBorder="1" applyAlignment="1">
      <alignment horizontal="left" vertical="center" wrapText="1"/>
    </xf>
    <xf numFmtId="0" fontId="198" fillId="123" borderId="19" xfId="0" applyFont="1" applyFill="1" applyBorder="1" applyAlignment="1">
      <alignment horizontal="left" vertical="center" wrapText="1"/>
    </xf>
    <xf numFmtId="0" fontId="198" fillId="89" borderId="19" xfId="0" applyFont="1" applyFill="1" applyBorder="1" applyAlignment="1">
      <alignment horizontal="left" vertical="center" wrapText="1"/>
    </xf>
    <xf numFmtId="0" fontId="207" fillId="109" borderId="19" xfId="30294" applyFill="1" applyBorder="1" applyAlignment="1">
      <alignment horizontal="center" vertical="center" wrapText="1"/>
    </xf>
    <xf numFmtId="0" fontId="198" fillId="125" borderId="19" xfId="0" applyFont="1" applyFill="1" applyBorder="1" applyAlignment="1">
      <alignment horizontal="left" vertical="center" wrapText="1"/>
    </xf>
    <xf numFmtId="0" fontId="199" fillId="94" borderId="19" xfId="30294" applyFont="1" applyFill="1" applyBorder="1" applyAlignment="1">
      <alignment vertical="center"/>
    </xf>
    <xf numFmtId="0" fontId="199" fillId="111" borderId="18" xfId="0" applyFont="1" applyFill="1" applyBorder="1" applyAlignment="1">
      <alignment horizontal="center" vertical="center"/>
    </xf>
    <xf numFmtId="3" fontId="199" fillId="111" borderId="18" xfId="0" applyNumberFormat="1" applyFont="1" applyFill="1" applyBorder="1" applyAlignment="1">
      <alignment horizontal="right" vertical="center"/>
    </xf>
    <xf numFmtId="3" fontId="202" fillId="111" borderId="18" xfId="0" applyNumberFormat="1" applyFont="1" applyFill="1" applyBorder="1" applyAlignment="1">
      <alignment horizontal="left" vertical="center" wrapText="1"/>
    </xf>
    <xf numFmtId="3" fontId="202" fillId="111" borderId="18" xfId="0" applyNumberFormat="1" applyFont="1" applyFill="1" applyBorder="1" applyAlignment="1">
      <alignment horizontal="center" vertical="center" wrapText="1"/>
    </xf>
    <xf numFmtId="0" fontId="199" fillId="110" borderId="19" xfId="0" applyFont="1" applyFill="1" applyBorder="1" applyAlignment="1">
      <alignment horizontal="left" vertical="center" wrapText="1"/>
    </xf>
    <xf numFmtId="3" fontId="199" fillId="110" borderId="19" xfId="0" applyNumberFormat="1" applyFont="1" applyFill="1" applyBorder="1" applyAlignment="1">
      <alignment horizontal="center" vertical="center" wrapText="1"/>
    </xf>
    <xf numFmtId="3" fontId="199" fillId="113" borderId="19" xfId="0" applyNumberFormat="1" applyFont="1" applyFill="1" applyBorder="1" applyAlignment="1">
      <alignment horizontal="left" vertical="center" wrapText="1"/>
    </xf>
    <xf numFmtId="3" fontId="199" fillId="113" borderId="19" xfId="0" applyNumberFormat="1" applyFont="1" applyFill="1" applyBorder="1" applyAlignment="1">
      <alignment horizontal="center" vertical="center" wrapText="1"/>
    </xf>
    <xf numFmtId="0" fontId="0" fillId="115" borderId="19" xfId="0" applyFill="1" applyBorder="1" applyAlignment="1">
      <alignment horizontal="left" vertical="center" wrapText="1"/>
    </xf>
    <xf numFmtId="3" fontId="0" fillId="115" borderId="19" xfId="0" applyNumberFormat="1" applyFill="1" applyBorder="1" applyAlignment="1">
      <alignment horizontal="center" vertical="center" wrapText="1"/>
    </xf>
    <xf numFmtId="0" fontId="0" fillId="117" borderId="19" xfId="0" applyFill="1" applyBorder="1" applyAlignment="1">
      <alignment horizontal="left" vertical="center" wrapText="1"/>
    </xf>
    <xf numFmtId="3" fontId="0" fillId="117" borderId="19" xfId="0" applyNumberFormat="1" applyFill="1" applyBorder="1" applyAlignment="1">
      <alignment horizontal="center" vertical="center" wrapText="1"/>
    </xf>
    <xf numFmtId="0" fontId="207" fillId="0" borderId="0" xfId="30294" applyAlignment="1">
      <alignment vertical="center"/>
    </xf>
    <xf numFmtId="0" fontId="207" fillId="0" borderId="0" xfId="30294" applyAlignment="1">
      <alignment vertical="center" wrapText="1"/>
    </xf>
    <xf numFmtId="0" fontId="207" fillId="0" borderId="0" xfId="30294" applyAlignment="1">
      <alignment horizontal="center" vertical="center" wrapText="1"/>
    </xf>
    <xf numFmtId="0" fontId="199" fillId="0" borderId="0" xfId="30294" applyFont="1" applyAlignment="1">
      <alignment horizontal="right" vertical="center"/>
    </xf>
    <xf numFmtId="14" fontId="200" fillId="0" borderId="0" xfId="30294" applyNumberFormat="1" applyFont="1" applyAlignment="1">
      <alignment horizontal="center" vertical="center"/>
    </xf>
    <xf numFmtId="0" fontId="207" fillId="0" borderId="13" xfId="30294" applyBorder="1" applyAlignment="1">
      <alignment vertical="center"/>
    </xf>
    <xf numFmtId="2" fontId="199" fillId="126" borderId="13" xfId="30294" applyNumberFormat="1" applyFont="1" applyFill="1" applyBorder="1" applyAlignment="1">
      <alignment horizontal="right" vertical="center"/>
    </xf>
    <xf numFmtId="0" fontId="198" fillId="65" borderId="13" xfId="30294" applyFont="1" applyFill="1" applyBorder="1" applyAlignment="1">
      <alignment vertical="center"/>
    </xf>
    <xf numFmtId="0" fontId="198" fillId="0" borderId="13" xfId="30294" applyFont="1" applyBorder="1" applyAlignment="1">
      <alignment vertical="center"/>
    </xf>
    <xf numFmtId="2" fontId="199" fillId="86" borderId="13" xfId="30294" applyNumberFormat="1" applyFont="1" applyFill="1" applyBorder="1" applyAlignment="1">
      <alignment horizontal="right" vertical="center"/>
    </xf>
    <xf numFmtId="0" fontId="198" fillId="87" borderId="13" xfId="30294" applyFont="1" applyFill="1" applyBorder="1" applyAlignment="1">
      <alignment horizontal="left" vertical="center"/>
    </xf>
    <xf numFmtId="0" fontId="207" fillId="0" borderId="38" xfId="30294" applyBorder="1" applyAlignment="1">
      <alignment vertical="center"/>
    </xf>
    <xf numFmtId="0" fontId="207" fillId="0" borderId="19" xfId="30294" applyBorder="1" applyAlignment="1">
      <alignment vertical="center" wrapText="1"/>
    </xf>
    <xf numFmtId="0" fontId="207" fillId="119" borderId="19" xfId="30294" applyFill="1" applyBorder="1" applyAlignment="1">
      <alignment horizontal="center" vertical="center" wrapText="1"/>
    </xf>
    <xf numFmtId="0" fontId="199" fillId="0" borderId="38" xfId="30294" applyFont="1" applyBorder="1" applyAlignment="1">
      <alignment horizontal="center" vertical="center"/>
    </xf>
    <xf numFmtId="0" fontId="199" fillId="0" borderId="50" xfId="30294" applyFont="1" applyBorder="1" applyAlignment="1">
      <alignment horizontal="center" vertical="center" wrapText="1"/>
    </xf>
    <xf numFmtId="0" fontId="199" fillId="0" borderId="50" xfId="30294" applyFont="1" applyBorder="1" applyAlignment="1">
      <alignment horizontal="center" vertical="center"/>
    </xf>
    <xf numFmtId="0" fontId="199" fillId="94" borderId="50" xfId="30294" applyFont="1" applyFill="1" applyBorder="1" applyAlignment="1">
      <alignment horizontal="center" vertical="center" wrapText="1"/>
    </xf>
    <xf numFmtId="14" fontId="199" fillId="103" borderId="50" xfId="30294" applyNumberFormat="1" applyFont="1" applyFill="1" applyBorder="1" applyAlignment="1">
      <alignment horizontal="center" vertical="center" wrapText="1"/>
    </xf>
    <xf numFmtId="14" fontId="199" fillId="0" borderId="50" xfId="30294" applyNumberFormat="1" applyFont="1" applyBorder="1" applyAlignment="1">
      <alignment horizontal="center" vertical="center" wrapText="1"/>
    </xf>
    <xf numFmtId="0" fontId="199" fillId="105" borderId="50" xfId="30294" applyFont="1" applyFill="1" applyBorder="1" applyAlignment="1">
      <alignment horizontal="center" vertical="center" wrapText="1"/>
    </xf>
    <xf numFmtId="14" fontId="199" fillId="62" borderId="50" xfId="30294" applyNumberFormat="1" applyFont="1" applyFill="1" applyBorder="1" applyAlignment="1">
      <alignment horizontal="center" vertical="center" wrapText="1"/>
    </xf>
    <xf numFmtId="14" fontId="199" fillId="104" borderId="19" xfId="0" applyNumberFormat="1" applyFont="1" applyFill="1" applyBorder="1" applyAlignment="1" applyProtection="1">
      <alignment horizontal="center" vertical="center" wrapText="1"/>
      <protection locked="0"/>
    </xf>
    <xf numFmtId="14" fontId="199" fillId="104" borderId="50" xfId="0" applyNumberFormat="1" applyFont="1" applyFill="1" applyBorder="1" applyAlignment="1" applyProtection="1">
      <alignment horizontal="center" vertical="center" wrapText="1"/>
      <protection locked="0"/>
    </xf>
    <xf numFmtId="14" fontId="199" fillId="104" borderId="50" xfId="0" applyNumberFormat="1" applyFont="1" applyFill="1" applyBorder="1" applyAlignment="1">
      <alignment horizontal="center" vertical="center" wrapText="1"/>
    </xf>
    <xf numFmtId="0" fontId="199" fillId="105" borderId="51" xfId="30294" applyFont="1" applyFill="1" applyBorder="1" applyAlignment="1">
      <alignment horizontal="center" vertical="center" wrapText="1"/>
    </xf>
    <xf numFmtId="0" fontId="199" fillId="0" borderId="49" xfId="30294" applyFont="1" applyBorder="1" applyAlignment="1">
      <alignment horizontal="center" vertical="center"/>
    </xf>
    <xf numFmtId="0" fontId="199" fillId="0" borderId="19" xfId="30294" applyFont="1" applyBorder="1" applyAlignment="1">
      <alignment vertical="center" wrapText="1"/>
    </xf>
    <xf numFmtId="0" fontId="207" fillId="0" borderId="19" xfId="30294" applyBorder="1" applyAlignment="1">
      <alignment vertical="center"/>
    </xf>
    <xf numFmtId="0" fontId="207" fillId="0" borderId="19" xfId="30294" applyBorder="1" applyAlignment="1">
      <alignment horizontal="center" vertical="center"/>
    </xf>
    <xf numFmtId="0" fontId="198" fillId="0" borderId="19" xfId="30294" applyFont="1" applyBorder="1" applyAlignment="1">
      <alignment horizontal="center" vertical="center"/>
    </xf>
    <xf numFmtId="0" fontId="198" fillId="0" borderId="19" xfId="30294" applyFont="1" applyBorder="1" applyAlignment="1">
      <alignment horizontal="left" vertical="center" wrapText="1"/>
    </xf>
    <xf numFmtId="210" fontId="198" fillId="94" borderId="19" xfId="30294" applyNumberFormat="1" applyFont="1" applyFill="1" applyBorder="1" applyAlignment="1">
      <alignment vertical="center" wrapText="1"/>
    </xf>
    <xf numFmtId="0" fontId="207" fillId="107" borderId="19" xfId="30294" applyFill="1" applyBorder="1" applyAlignment="1">
      <alignment horizontal="center" vertical="center" wrapText="1"/>
    </xf>
    <xf numFmtId="0" fontId="207" fillId="105" borderId="19" xfId="30294" applyFill="1" applyBorder="1" applyAlignment="1">
      <alignment horizontal="center" vertical="center" wrapText="1"/>
    </xf>
    <xf numFmtId="0" fontId="201" fillId="107" borderId="19" xfId="25429" applyFont="1" applyFill="1" applyBorder="1" applyAlignment="1">
      <alignment horizontal="center" vertical="center" wrapText="1"/>
    </xf>
    <xf numFmtId="3" fontId="201" fillId="107" borderId="19" xfId="25429" applyNumberFormat="1" applyFont="1" applyFill="1" applyBorder="1" applyAlignment="1">
      <alignment horizontal="right" vertical="center" wrapText="1"/>
    </xf>
    <xf numFmtId="3" fontId="207" fillId="109" borderId="19" xfId="30294" applyNumberFormat="1" applyFill="1" applyBorder="1" applyAlignment="1">
      <alignment vertical="center" wrapText="1"/>
    </xf>
    <xf numFmtId="3" fontId="201" fillId="105" borderId="19" xfId="25429" applyNumberFormat="1" applyFont="1" applyFill="1" applyBorder="1" applyAlignment="1">
      <alignment vertical="center" wrapText="1"/>
    </xf>
    <xf numFmtId="0" fontId="207" fillId="108" borderId="19" xfId="30294" applyFill="1" applyBorder="1" applyAlignment="1">
      <alignment horizontal="center" vertical="center" wrapText="1"/>
    </xf>
    <xf numFmtId="0" fontId="201" fillId="108" borderId="19" xfId="25429" applyFont="1" applyFill="1" applyBorder="1" applyAlignment="1">
      <alignment horizontal="center" vertical="center" wrapText="1"/>
    </xf>
    <xf numFmtId="3" fontId="201" fillId="108" borderId="19" xfId="25429" applyNumberFormat="1" applyFont="1" applyFill="1" applyBorder="1" applyAlignment="1">
      <alignment horizontal="right" vertical="center" wrapText="1"/>
    </xf>
    <xf numFmtId="3" fontId="207" fillId="109" borderId="19" xfId="30294" applyNumberFormat="1" applyFill="1" applyBorder="1" applyAlignment="1">
      <alignment horizontal="right" vertical="center" wrapText="1"/>
    </xf>
    <xf numFmtId="3" fontId="201" fillId="105" borderId="15" xfId="25429" applyNumberFormat="1" applyFont="1" applyFill="1" applyBorder="1" applyAlignment="1">
      <alignment horizontal="right" vertical="center" wrapText="1"/>
    </xf>
    <xf numFmtId="210" fontId="198" fillId="0" borderId="19" xfId="30294" applyNumberFormat="1" applyFont="1" applyBorder="1" applyAlignment="1">
      <alignment vertical="center" wrapText="1"/>
    </xf>
    <xf numFmtId="0" fontId="207" fillId="122" borderId="19" xfId="30294" applyFill="1" applyBorder="1" applyAlignment="1">
      <alignment horizontal="center" vertical="center"/>
    </xf>
    <xf numFmtId="0" fontId="198" fillId="122" borderId="19" xfId="30294" applyFont="1" applyFill="1" applyBorder="1" applyAlignment="1">
      <alignment horizontal="center" vertical="center"/>
    </xf>
    <xf numFmtId="0" fontId="198" fillId="122" borderId="19" xfId="30294" applyFont="1" applyFill="1" applyBorder="1" applyAlignment="1">
      <alignment horizontal="left" vertical="center" wrapText="1"/>
    </xf>
    <xf numFmtId="0" fontId="207" fillId="120" borderId="19" xfId="30294" applyFill="1" applyBorder="1" applyAlignment="1">
      <alignment horizontal="center" vertical="center" wrapText="1"/>
    </xf>
    <xf numFmtId="0" fontId="198" fillId="120" borderId="19" xfId="30294" applyFont="1" applyFill="1" applyBorder="1" applyAlignment="1">
      <alignment horizontal="center" vertical="center" wrapText="1"/>
    </xf>
    <xf numFmtId="0" fontId="207" fillId="95" borderId="19" xfId="30294" applyFill="1" applyBorder="1" applyAlignment="1">
      <alignment horizontal="center" vertical="center"/>
    </xf>
    <xf numFmtId="0" fontId="198" fillId="95" borderId="19" xfId="30294" applyFont="1" applyFill="1" applyBorder="1" applyAlignment="1">
      <alignment horizontal="center" vertical="center"/>
    </xf>
    <xf numFmtId="0" fontId="198" fillId="95" borderId="19" xfId="30294" applyFont="1" applyFill="1" applyBorder="1" applyAlignment="1">
      <alignment horizontal="left" vertical="center" wrapText="1"/>
    </xf>
    <xf numFmtId="0" fontId="207" fillId="112" borderId="19" xfId="30294" applyFill="1" applyBorder="1" applyAlignment="1">
      <alignment horizontal="center" vertical="center"/>
    </xf>
    <xf numFmtId="0" fontId="198" fillId="112" borderId="19" xfId="30294" applyFont="1" applyFill="1" applyBorder="1" applyAlignment="1">
      <alignment horizontal="center" vertical="center"/>
    </xf>
    <xf numFmtId="0" fontId="198" fillId="112" borderId="19" xfId="30294" applyFont="1" applyFill="1" applyBorder="1" applyAlignment="1">
      <alignment horizontal="left" vertical="center" wrapText="1"/>
    </xf>
    <xf numFmtId="0" fontId="207" fillId="57" borderId="19" xfId="30294" applyFill="1" applyBorder="1" applyAlignment="1">
      <alignment horizontal="center" vertical="center"/>
    </xf>
    <xf numFmtId="0" fontId="198" fillId="57" borderId="19" xfId="30294" applyFont="1" applyFill="1" applyBorder="1" applyAlignment="1">
      <alignment horizontal="center" vertical="center"/>
    </xf>
    <xf numFmtId="0" fontId="198" fillId="57" borderId="19" xfId="30294" applyFont="1" applyFill="1" applyBorder="1" applyAlignment="1">
      <alignment horizontal="left" vertical="center" wrapText="1"/>
    </xf>
    <xf numFmtId="0" fontId="207" fillId="127" borderId="19" xfId="30294" applyFill="1" applyBorder="1" applyAlignment="1">
      <alignment horizontal="center" vertical="center"/>
    </xf>
    <xf numFmtId="0" fontId="198" fillId="127" borderId="19" xfId="30294" applyFont="1" applyFill="1" applyBorder="1" applyAlignment="1">
      <alignment horizontal="center" vertical="center"/>
    </xf>
    <xf numFmtId="0" fontId="198" fillId="127" borderId="19" xfId="30294" applyFont="1" applyFill="1" applyBorder="1" applyAlignment="1">
      <alignment horizontal="left" vertical="center" wrapText="1"/>
    </xf>
    <xf numFmtId="0" fontId="199" fillId="0" borderId="52" xfId="0" applyFont="1" applyBorder="1" applyAlignment="1">
      <alignment horizontal="center" vertical="center"/>
    </xf>
    <xf numFmtId="0" fontId="199" fillId="0" borderId="18" xfId="0" applyFont="1" applyBorder="1" applyAlignment="1">
      <alignment vertical="center" wrapText="1"/>
    </xf>
    <xf numFmtId="0" fontId="199" fillId="0" borderId="18" xfId="0" applyFont="1" applyBorder="1" applyAlignment="1">
      <alignment vertical="center"/>
    </xf>
    <xf numFmtId="0" fontId="202" fillId="0" borderId="18" xfId="0" applyFont="1" applyBorder="1" applyAlignment="1">
      <alignment horizontal="center" vertical="center"/>
    </xf>
    <xf numFmtId="0" fontId="202" fillId="0" borderId="18" xfId="0" applyFont="1" applyBorder="1" applyAlignment="1">
      <alignment horizontal="right" vertical="center" wrapText="1"/>
    </xf>
    <xf numFmtId="3" fontId="202" fillId="0" borderId="18" xfId="0" applyNumberFormat="1" applyFont="1" applyBorder="1" applyAlignment="1">
      <alignment vertical="center" wrapText="1"/>
    </xf>
    <xf numFmtId="3" fontId="202" fillId="94" borderId="18" xfId="0" applyNumberFormat="1" applyFont="1" applyFill="1" applyBorder="1" applyAlignment="1">
      <alignment vertical="center" wrapText="1"/>
    </xf>
    <xf numFmtId="3" fontId="199" fillId="107" borderId="18" xfId="0" applyNumberFormat="1" applyFont="1" applyFill="1" applyBorder="1" applyAlignment="1">
      <alignment horizontal="center" vertical="center" wrapText="1"/>
    </xf>
    <xf numFmtId="3" fontId="199" fillId="109" borderId="18" xfId="0" applyNumberFormat="1" applyFont="1" applyFill="1" applyBorder="1" applyAlignment="1">
      <alignment horizontal="center" vertical="center" wrapText="1"/>
    </xf>
    <xf numFmtId="3" fontId="199" fillId="105" borderId="18" xfId="0" applyNumberFormat="1" applyFont="1" applyFill="1" applyBorder="1" applyAlignment="1">
      <alignment horizontal="center" vertical="center" wrapText="1"/>
    </xf>
    <xf numFmtId="3" fontId="203" fillId="105" borderId="18" xfId="0" applyNumberFormat="1" applyFont="1" applyFill="1" applyBorder="1" applyAlignment="1">
      <alignment horizontal="center" vertical="center" wrapText="1"/>
    </xf>
    <xf numFmtId="3" fontId="203" fillId="107" borderId="18" xfId="0" applyNumberFormat="1" applyFont="1" applyFill="1" applyBorder="1" applyAlignment="1">
      <alignment horizontal="center" vertical="center" wrapText="1"/>
    </xf>
    <xf numFmtId="3" fontId="199" fillId="108" borderId="18" xfId="0" applyNumberFormat="1" applyFont="1" applyFill="1" applyBorder="1" applyAlignment="1">
      <alignment horizontal="center" vertical="center" wrapText="1"/>
    </xf>
    <xf numFmtId="3" fontId="203" fillId="105" borderId="53" xfId="0" applyNumberFormat="1" applyFont="1" applyFill="1" applyBorder="1" applyAlignment="1">
      <alignment horizontal="center" vertical="center" wrapText="1"/>
    </xf>
    <xf numFmtId="0" fontId="199" fillId="59" borderId="49" xfId="30294" applyFont="1" applyFill="1" applyBorder="1" applyAlignment="1">
      <alignment horizontal="center" vertical="center"/>
    </xf>
    <xf numFmtId="210" fontId="207" fillId="0" borderId="19" xfId="30294" applyNumberFormat="1" applyBorder="1" applyAlignment="1">
      <alignment horizontal="right" vertical="center" wrapText="1"/>
    </xf>
    <xf numFmtId="210" fontId="198" fillId="94" borderId="19" xfId="30294" applyNumberFormat="1" applyFont="1" applyFill="1" applyBorder="1" applyAlignment="1">
      <alignment horizontal="right" vertical="center" wrapText="1"/>
    </xf>
    <xf numFmtId="3" fontId="201" fillId="105" borderId="19" xfId="25429" applyNumberFormat="1" applyFont="1" applyFill="1" applyBorder="1" applyAlignment="1">
      <alignment horizontal="right" vertical="center" wrapText="1"/>
    </xf>
    <xf numFmtId="0" fontId="198" fillId="128" borderId="19" xfId="30294" applyFont="1" applyFill="1" applyBorder="1" applyAlignment="1">
      <alignment horizontal="center" vertical="center"/>
    </xf>
    <xf numFmtId="0" fontId="198" fillId="128" borderId="19" xfId="30294" applyFont="1" applyFill="1" applyBorder="1" applyAlignment="1">
      <alignment horizontal="left" vertical="center" wrapText="1"/>
    </xf>
    <xf numFmtId="210" fontId="198" fillId="0" borderId="19" xfId="30294" applyNumberFormat="1" applyFont="1" applyBorder="1" applyAlignment="1">
      <alignment horizontal="right" vertical="center" wrapText="1"/>
    </xf>
    <xf numFmtId="0" fontId="199" fillId="120" borderId="19" xfId="30294" applyFont="1" applyFill="1" applyBorder="1" applyAlignment="1">
      <alignment horizontal="center" vertical="center" wrapText="1"/>
    </xf>
    <xf numFmtId="0" fontId="199" fillId="94" borderId="19" xfId="30294" applyFont="1" applyFill="1" applyBorder="1" applyAlignment="1">
      <alignment horizontal="center" vertical="center"/>
    </xf>
    <xf numFmtId="0" fontId="202" fillId="94" borderId="19" xfId="30294" applyFont="1" applyFill="1" applyBorder="1" applyAlignment="1">
      <alignment horizontal="center" vertical="center"/>
    </xf>
    <xf numFmtId="0" fontId="202" fillId="94" borderId="19" xfId="30294" applyFont="1" applyFill="1" applyBorder="1" applyAlignment="1">
      <alignment horizontal="left" vertical="center" wrapText="1"/>
    </xf>
    <xf numFmtId="210" fontId="202" fillId="94" borderId="19" xfId="30294" applyNumberFormat="1" applyFont="1" applyFill="1" applyBorder="1" applyAlignment="1">
      <alignment horizontal="right" vertical="center" wrapText="1"/>
    </xf>
    <xf numFmtId="0" fontId="199" fillId="107" borderId="19" xfId="30294" applyFont="1" applyFill="1" applyBorder="1" applyAlignment="1">
      <alignment horizontal="center" vertical="center" wrapText="1"/>
    </xf>
    <xf numFmtId="0" fontId="199" fillId="109" borderId="19" xfId="30294" applyFont="1" applyFill="1" applyBorder="1" applyAlignment="1">
      <alignment horizontal="center" vertical="center" wrapText="1"/>
    </xf>
    <xf numFmtId="0" fontId="199" fillId="105" borderId="19" xfId="30294" applyFont="1" applyFill="1" applyBorder="1" applyAlignment="1">
      <alignment horizontal="center" vertical="center" wrapText="1"/>
    </xf>
    <xf numFmtId="0" fontId="202" fillId="94" borderId="19" xfId="30494" applyFont="1" applyFill="1" applyBorder="1" applyAlignment="1">
      <alignment horizontal="center" vertical="center" wrapText="1"/>
    </xf>
    <xf numFmtId="0" fontId="202" fillId="0" borderId="19" xfId="30494" applyFont="1" applyBorder="1" applyAlignment="1">
      <alignment horizontal="center" vertical="center" wrapText="1"/>
    </xf>
    <xf numFmtId="3" fontId="199" fillId="107" borderId="19" xfId="30294" applyNumberFormat="1" applyFont="1" applyFill="1" applyBorder="1" applyAlignment="1">
      <alignment horizontal="right" vertical="center" wrapText="1"/>
    </xf>
    <xf numFmtId="3" fontId="202" fillId="0" borderId="19" xfId="30494" applyNumberFormat="1" applyFont="1" applyBorder="1" applyAlignment="1">
      <alignment horizontal="right" vertical="center" wrapText="1"/>
    </xf>
    <xf numFmtId="3" fontId="203" fillId="105" borderId="19" xfId="25429" applyNumberFormat="1" applyFont="1" applyFill="1" applyBorder="1" applyAlignment="1">
      <alignment horizontal="right" vertical="center" wrapText="1"/>
    </xf>
    <xf numFmtId="0" fontId="199" fillId="108" borderId="19" xfId="30294" applyFont="1" applyFill="1" applyBorder="1" applyAlignment="1">
      <alignment horizontal="center" vertical="center" wrapText="1"/>
    </xf>
    <xf numFmtId="3" fontId="199" fillId="108" borderId="19" xfId="30294" applyNumberFormat="1" applyFont="1" applyFill="1" applyBorder="1" applyAlignment="1">
      <alignment horizontal="right" vertical="center" wrapText="1"/>
    </xf>
    <xf numFmtId="0" fontId="199" fillId="111" borderId="19" xfId="30294" applyFont="1" applyFill="1" applyBorder="1" applyAlignment="1">
      <alignment vertical="center" wrapText="1"/>
    </xf>
    <xf numFmtId="0" fontId="207" fillId="111" borderId="19" xfId="30294" applyFill="1" applyBorder="1" applyAlignment="1">
      <alignment vertical="center"/>
    </xf>
    <xf numFmtId="0" fontId="207" fillId="111" borderId="19" xfId="30294" applyFill="1" applyBorder="1" applyAlignment="1">
      <alignment horizontal="center" vertical="center"/>
    </xf>
    <xf numFmtId="0" fontId="198" fillId="111" borderId="19" xfId="30294" applyFont="1" applyFill="1" applyBorder="1" applyAlignment="1">
      <alignment horizontal="center" vertical="center"/>
    </xf>
    <xf numFmtId="0" fontId="198" fillId="111" borderId="19" xfId="30294" applyFont="1" applyFill="1" applyBorder="1" applyAlignment="1">
      <alignment horizontal="center" vertical="center" wrapText="1"/>
    </xf>
    <xf numFmtId="210" fontId="198" fillId="111" borderId="19" xfId="30294" applyNumberFormat="1" applyFont="1" applyFill="1" applyBorder="1" applyAlignment="1">
      <alignment horizontal="right" vertical="center" wrapText="1"/>
    </xf>
    <xf numFmtId="0" fontId="207" fillId="111" borderId="19" xfId="30294" applyFill="1" applyBorder="1" applyAlignment="1">
      <alignment horizontal="center" vertical="center" wrapText="1"/>
    </xf>
    <xf numFmtId="0" fontId="198" fillId="111" borderId="19" xfId="30494" applyFont="1" applyFill="1" applyBorder="1" applyAlignment="1">
      <alignment horizontal="center" vertical="center" wrapText="1"/>
    </xf>
    <xf numFmtId="3" fontId="198" fillId="111" borderId="19" xfId="30494" applyNumberFormat="1" applyFont="1" applyFill="1" applyBorder="1" applyAlignment="1">
      <alignment horizontal="right" vertical="center" wrapText="1"/>
    </xf>
    <xf numFmtId="3" fontId="201" fillId="109" borderId="19" xfId="25429" applyNumberFormat="1" applyFont="1" applyFill="1" applyBorder="1" applyAlignment="1">
      <alignment horizontal="center" vertical="center" wrapText="1"/>
    </xf>
    <xf numFmtId="3" fontId="199" fillId="109" borderId="19" xfId="30294" applyNumberFormat="1" applyFont="1" applyFill="1" applyBorder="1" applyAlignment="1">
      <alignment horizontal="right" vertical="center" wrapText="1"/>
    </xf>
    <xf numFmtId="3" fontId="199" fillId="105" borderId="19" xfId="30294" applyNumberFormat="1" applyFont="1" applyFill="1" applyBorder="1" applyAlignment="1">
      <alignment horizontal="right" vertical="center" wrapText="1"/>
    </xf>
    <xf numFmtId="0" fontId="199" fillId="0" borderId="0" xfId="30294" applyFont="1" applyAlignment="1">
      <alignment vertical="center"/>
    </xf>
    <xf numFmtId="0" fontId="199" fillId="79" borderId="49" xfId="30294" applyFont="1" applyFill="1" applyBorder="1" applyAlignment="1">
      <alignment horizontal="center" vertical="center"/>
    </xf>
    <xf numFmtId="3" fontId="207" fillId="107" borderId="19" xfId="30294" applyNumberFormat="1" applyFill="1" applyBorder="1" applyAlignment="1">
      <alignment horizontal="right" vertical="center" wrapText="1"/>
    </xf>
    <xf numFmtId="3" fontId="207" fillId="105" borderId="19" xfId="30294" applyNumberFormat="1" applyFill="1" applyBorder="1" applyAlignment="1">
      <alignment horizontal="right" vertical="center" wrapText="1"/>
    </xf>
    <xf numFmtId="3" fontId="207" fillId="108" borderId="19" xfId="30294" applyNumberFormat="1" applyFill="1" applyBorder="1" applyAlignment="1">
      <alignment horizontal="right" vertical="center" wrapText="1"/>
    </xf>
    <xf numFmtId="0" fontId="199" fillId="129" borderId="49" xfId="30294" applyFont="1" applyFill="1" applyBorder="1" applyAlignment="1">
      <alignment horizontal="center" vertical="center"/>
    </xf>
    <xf numFmtId="0" fontId="199" fillId="130" borderId="19" xfId="30294" applyFont="1" applyFill="1" applyBorder="1" applyAlignment="1">
      <alignment vertical="center" wrapText="1"/>
    </xf>
    <xf numFmtId="0" fontId="199" fillId="131" borderId="49" xfId="30294" applyFont="1" applyFill="1" applyBorder="1" applyAlignment="1">
      <alignment horizontal="center" vertical="center"/>
    </xf>
    <xf numFmtId="0" fontId="199" fillId="128" borderId="19" xfId="30294" applyFont="1" applyFill="1" applyBorder="1" applyAlignment="1">
      <alignment vertical="center" wrapText="1"/>
    </xf>
    <xf numFmtId="0" fontId="199" fillId="132" borderId="19" xfId="30294" applyFont="1" applyFill="1" applyBorder="1" applyAlignment="1">
      <alignment vertical="center" wrapText="1"/>
    </xf>
    <xf numFmtId="0" fontId="199" fillId="85" borderId="49" xfId="30294" applyFont="1" applyFill="1" applyBorder="1" applyAlignment="1">
      <alignment horizontal="center" vertical="center"/>
    </xf>
    <xf numFmtId="0" fontId="199" fillId="133" borderId="19" xfId="30294" applyFont="1" applyFill="1" applyBorder="1" applyAlignment="1">
      <alignment vertical="center" wrapText="1"/>
    </xf>
    <xf numFmtId="0" fontId="199" fillId="84" borderId="19" xfId="30294" applyFont="1" applyFill="1" applyBorder="1" applyAlignment="1">
      <alignment vertical="center" wrapText="1"/>
    </xf>
    <xf numFmtId="0" fontId="199" fillId="0" borderId="38" xfId="30294" applyFont="1" applyBorder="1" applyAlignment="1">
      <alignment horizontal="center" vertical="top" wrapText="1"/>
    </xf>
    <xf numFmtId="0" fontId="199" fillId="0" borderId="50" xfId="30294" applyFont="1" applyBorder="1" applyAlignment="1">
      <alignment horizontal="center" vertical="top" wrapText="1"/>
    </xf>
    <xf numFmtId="0" fontId="206" fillId="81" borderId="50" xfId="30294" applyFont="1" applyFill="1" applyBorder="1" applyAlignment="1">
      <alignment horizontal="center" vertical="top" wrapText="1"/>
    </xf>
    <xf numFmtId="0" fontId="206" fillId="81" borderId="51" xfId="30294" applyFont="1" applyFill="1" applyBorder="1" applyAlignment="1">
      <alignment horizontal="center" vertical="top" wrapText="1"/>
    </xf>
    <xf numFmtId="0" fontId="199" fillId="0" borderId="38" xfId="30294" applyFont="1" applyBorder="1" applyAlignment="1">
      <alignment horizontal="center" vertical="center" wrapText="1"/>
    </xf>
    <xf numFmtId="0" fontId="0" fillId="79" borderId="49" xfId="0" applyFill="1" applyBorder="1" applyAlignment="1">
      <alignment horizontal="center" vertical="center"/>
    </xf>
    <xf numFmtId="0" fontId="198" fillId="79" borderId="19" xfId="0" applyFont="1" applyFill="1" applyBorder="1" applyAlignment="1">
      <alignment horizontal="left" vertical="center"/>
    </xf>
    <xf numFmtId="3" fontId="0" fillId="0" borderId="19" xfId="0" applyNumberFormat="1" applyBorder="1" applyAlignment="1">
      <alignment vertical="center"/>
    </xf>
    <xf numFmtId="3" fontId="199" fillId="0" borderId="19" xfId="0" applyNumberFormat="1" applyFont="1" applyBorder="1" applyAlignment="1">
      <alignment vertical="center"/>
    </xf>
    <xf numFmtId="0" fontId="0" fillId="79" borderId="19" xfId="0" applyFill="1" applyBorder="1" applyAlignment="1">
      <alignment horizontal="left" vertical="center"/>
    </xf>
    <xf numFmtId="0" fontId="0" fillId="0" borderId="19" xfId="0" applyBorder="1" applyAlignment="1">
      <alignment horizontal="left" vertical="center" wrapText="1"/>
    </xf>
    <xf numFmtId="0" fontId="205" fillId="79" borderId="18" xfId="0" applyFont="1" applyFill="1" applyBorder="1" applyAlignment="1">
      <alignment horizontal="center" vertical="center"/>
    </xf>
    <xf numFmtId="3" fontId="211" fillId="0" borderId="15" xfId="0" applyNumberFormat="1" applyFont="1" applyBorder="1" applyAlignment="1">
      <alignment vertical="center"/>
    </xf>
    <xf numFmtId="0" fontId="0" fillId="0" borderId="19" xfId="0" applyBorder="1" applyAlignment="1">
      <alignment vertical="center"/>
    </xf>
    <xf numFmtId="0" fontId="0" fillId="79" borderId="56" xfId="0" applyFill="1" applyBorder="1" applyAlignment="1">
      <alignment horizontal="center" vertical="center"/>
    </xf>
    <xf numFmtId="0" fontId="0" fillId="79" borderId="54" xfId="0" applyFill="1" applyBorder="1" applyAlignment="1">
      <alignment horizontal="left" vertical="center"/>
    </xf>
    <xf numFmtId="0" fontId="0" fillId="0" borderId="54" xfId="0" applyBorder="1" applyAlignment="1">
      <alignment horizontal="center" vertical="center"/>
    </xf>
    <xf numFmtId="0" fontId="0" fillId="0" borderId="54" xfId="0" applyBorder="1" applyAlignment="1">
      <alignment vertical="center"/>
    </xf>
    <xf numFmtId="0" fontId="0" fillId="0" borderId="54" xfId="0" applyBorder="1" applyAlignment="1">
      <alignment horizontal="left" vertical="center" wrapText="1"/>
    </xf>
    <xf numFmtId="3" fontId="0" fillId="0" borderId="54" xfId="0" applyNumberFormat="1" applyBorder="1" applyAlignment="1">
      <alignment vertical="center"/>
    </xf>
    <xf numFmtId="3" fontId="199" fillId="0" borderId="54" xfId="0" applyNumberFormat="1" applyFont="1" applyBorder="1" applyAlignment="1">
      <alignment vertical="center"/>
    </xf>
    <xf numFmtId="3" fontId="0" fillId="0" borderId="58" xfId="0" applyNumberFormat="1" applyBorder="1" applyAlignment="1">
      <alignment vertical="center"/>
    </xf>
    <xf numFmtId="0" fontId="0" fillId="79" borderId="57" xfId="0" applyFill="1" applyBorder="1" applyAlignment="1">
      <alignment horizontal="center" vertical="center"/>
    </xf>
    <xf numFmtId="0" fontId="0" fillId="79" borderId="59" xfId="0" applyFill="1" applyBorder="1" applyAlignment="1">
      <alignment horizontal="left" vertical="center"/>
    </xf>
    <xf numFmtId="0" fontId="0" fillId="0" borderId="59" xfId="0" applyBorder="1" applyAlignment="1">
      <alignment horizontal="center" vertical="center"/>
    </xf>
    <xf numFmtId="0" fontId="0" fillId="0" borderId="59" xfId="0" applyBorder="1" applyAlignment="1">
      <alignment vertical="center"/>
    </xf>
    <xf numFmtId="0" fontId="0" fillId="0" borderId="59" xfId="0" applyBorder="1" applyAlignment="1">
      <alignment horizontal="left" vertical="center" wrapText="1"/>
    </xf>
    <xf numFmtId="3" fontId="0" fillId="0" borderId="59" xfId="0" applyNumberFormat="1" applyBorder="1" applyAlignment="1">
      <alignment vertical="center"/>
    </xf>
    <xf numFmtId="3" fontId="199" fillId="0" borderId="59" xfId="0" applyNumberFormat="1" applyFont="1" applyBorder="1" applyAlignment="1">
      <alignment vertical="center"/>
    </xf>
    <xf numFmtId="3" fontId="0" fillId="0" borderId="55" xfId="0" applyNumberFormat="1" applyBorder="1" applyAlignment="1">
      <alignment vertical="center"/>
    </xf>
    <xf numFmtId="3" fontId="0" fillId="0" borderId="15" xfId="0" applyNumberFormat="1" applyBorder="1" applyAlignment="1">
      <alignment vertical="center"/>
    </xf>
    <xf numFmtId="3" fontId="211" fillId="0" borderId="55" xfId="0" applyNumberFormat="1" applyFont="1" applyBorder="1" applyAlignment="1">
      <alignment vertical="center"/>
    </xf>
    <xf numFmtId="3" fontId="211" fillId="0" borderId="58" xfId="0" applyNumberFormat="1" applyFont="1" applyBorder="1" applyAlignment="1">
      <alignment vertical="center"/>
    </xf>
    <xf numFmtId="0" fontId="198" fillId="79" borderId="54" xfId="0" applyFont="1" applyFill="1" applyBorder="1" applyAlignment="1">
      <alignment horizontal="left" vertical="center"/>
    </xf>
    <xf numFmtId="0" fontId="207" fillId="0" borderId="54" xfId="30294" applyBorder="1" applyAlignment="1">
      <alignment horizontal="center" vertical="center"/>
    </xf>
    <xf numFmtId="0" fontId="207" fillId="0" borderId="59" xfId="30294" applyBorder="1" applyAlignment="1">
      <alignment horizontal="center" vertical="center"/>
    </xf>
    <xf numFmtId="0" fontId="198" fillId="0" borderId="54" xfId="0" applyFont="1" applyBorder="1" applyAlignment="1">
      <alignment horizontal="left" vertical="center" wrapText="1"/>
    </xf>
    <xf numFmtId="257" fontId="203" fillId="88" borderId="54" xfId="25429" applyNumberFormat="1" applyFont="1" applyFill="1" applyBorder="1" applyAlignment="1">
      <alignment horizontal="center" vertical="center" wrapText="1"/>
    </xf>
    <xf numFmtId="0" fontId="199" fillId="109" borderId="54" xfId="0" applyFont="1" applyFill="1" applyBorder="1" applyAlignment="1">
      <alignment horizontal="center" vertical="center" wrapText="1"/>
    </xf>
    <xf numFmtId="0" fontId="0" fillId="105" borderId="54" xfId="0" applyFill="1" applyBorder="1" applyAlignment="1">
      <alignment horizontal="center" vertical="center" wrapText="1"/>
    </xf>
    <xf numFmtId="257" fontId="203" fillId="88" borderId="54" xfId="25429" applyNumberFormat="1" applyFont="1" applyFill="1" applyBorder="1" applyAlignment="1">
      <alignment vertical="center" wrapText="1"/>
    </xf>
    <xf numFmtId="0" fontId="207" fillId="0" borderId="56" xfId="30294" applyBorder="1" applyAlignment="1">
      <alignment horizontal="center" vertical="center"/>
    </xf>
    <xf numFmtId="14" fontId="207" fillId="0" borderId="54" xfId="30294" applyNumberFormat="1" applyBorder="1" applyAlignment="1">
      <alignment horizontal="center" vertical="center"/>
    </xf>
    <xf numFmtId="0" fontId="207" fillId="0" borderId="54" xfId="30294" applyBorder="1" applyAlignment="1">
      <alignment vertical="center"/>
    </xf>
    <xf numFmtId="0" fontId="199" fillId="127" borderId="54" xfId="30294" applyFont="1" applyFill="1" applyBorder="1" applyAlignment="1">
      <alignment horizontal="center" vertical="center"/>
    </xf>
    <xf numFmtId="0" fontId="207" fillId="0" borderId="54" xfId="30294" applyBorder="1" applyAlignment="1">
      <alignment horizontal="right" vertical="center"/>
    </xf>
    <xf numFmtId="0" fontId="207" fillId="0" borderId="57" xfId="30294" applyBorder="1" applyAlignment="1">
      <alignment horizontal="center" vertical="center"/>
    </xf>
    <xf numFmtId="14" fontId="207" fillId="0" borderId="59" xfId="30294" applyNumberFormat="1" applyBorder="1" applyAlignment="1">
      <alignment horizontal="center" vertical="center"/>
    </xf>
    <xf numFmtId="0" fontId="207" fillId="0" borderId="59" xfId="30294" applyBorder="1" applyAlignment="1">
      <alignment vertical="center"/>
    </xf>
    <xf numFmtId="0" fontId="207" fillId="0" borderId="59" xfId="30294" applyBorder="1" applyAlignment="1">
      <alignment horizontal="right" vertical="center"/>
    </xf>
    <xf numFmtId="0" fontId="0" fillId="121" borderId="54" xfId="0" applyFill="1" applyBorder="1" applyAlignment="1">
      <alignment horizontal="center" vertical="center"/>
    </xf>
    <xf numFmtId="0" fontId="198" fillId="121" borderId="54" xfId="0" applyFont="1" applyFill="1" applyBorder="1" applyAlignment="1">
      <alignment horizontal="left" vertical="center" wrapText="1"/>
    </xf>
    <xf numFmtId="210" fontId="198" fillId="122" borderId="54" xfId="0" applyNumberFormat="1" applyFont="1" applyFill="1" applyBorder="1" applyAlignment="1">
      <alignment horizontal="right" vertical="center" wrapText="1"/>
    </xf>
    <xf numFmtId="210" fontId="198" fillId="122" borderId="54" xfId="0" applyNumberFormat="1" applyFont="1" applyFill="1" applyBorder="1" applyAlignment="1">
      <alignment horizontal="center" vertical="center" wrapText="1"/>
    </xf>
    <xf numFmtId="0" fontId="0" fillId="107" borderId="54" xfId="0" applyFill="1" applyBorder="1" applyAlignment="1">
      <alignment horizontal="center" vertical="center" wrapText="1"/>
    </xf>
    <xf numFmtId="257" fontId="201" fillId="107" borderId="54" xfId="25429" applyNumberFormat="1" applyFont="1" applyFill="1" applyBorder="1" applyAlignment="1">
      <alignment horizontal="center" vertical="center" wrapText="1"/>
    </xf>
    <xf numFmtId="257" fontId="201" fillId="0" borderId="54" xfId="25429" applyNumberFormat="1" applyFont="1" applyBorder="1" applyAlignment="1">
      <alignment horizontal="center" vertical="center" wrapText="1"/>
    </xf>
    <xf numFmtId="257" fontId="201" fillId="0" borderId="54" xfId="25429" applyNumberFormat="1" applyFont="1" applyBorder="1" applyAlignment="1">
      <alignment vertical="center" wrapText="1"/>
    </xf>
    <xf numFmtId="257" fontId="201" fillId="105" borderId="54" xfId="25429" applyNumberFormat="1" applyFont="1" applyFill="1" applyBorder="1" applyAlignment="1">
      <alignment horizontal="center" vertical="center" wrapText="1"/>
    </xf>
    <xf numFmtId="257" fontId="201" fillId="105" borderId="54" xfId="25429" applyNumberFormat="1" applyFont="1" applyFill="1" applyBorder="1" applyAlignment="1">
      <alignment vertical="center" wrapText="1"/>
    </xf>
    <xf numFmtId="257" fontId="201" fillId="107" borderId="54" xfId="25429" applyNumberFormat="1" applyFont="1" applyFill="1" applyBorder="1" applyAlignment="1">
      <alignment horizontal="center" vertical="center"/>
    </xf>
    <xf numFmtId="257" fontId="201" fillId="88" borderId="54" xfId="25429" applyNumberFormat="1" applyFont="1" applyFill="1" applyBorder="1" applyAlignment="1">
      <alignment vertical="center" wrapText="1"/>
    </xf>
    <xf numFmtId="0" fontId="0" fillId="122" borderId="54" xfId="0" applyFill="1" applyBorder="1" applyAlignment="1">
      <alignment horizontal="center" vertical="center"/>
    </xf>
    <xf numFmtId="0" fontId="198" fillId="122" borderId="54" xfId="0" applyFont="1" applyFill="1" applyBorder="1" applyAlignment="1">
      <alignment horizontal="left" vertical="center" wrapText="1"/>
    </xf>
    <xf numFmtId="210" fontId="198" fillId="0" borderId="54" xfId="0" applyNumberFormat="1" applyFont="1" applyBorder="1" applyAlignment="1">
      <alignment horizontal="right" vertical="center" wrapText="1"/>
    </xf>
    <xf numFmtId="210" fontId="198" fillId="0" borderId="54" xfId="0" applyNumberFormat="1" applyFont="1" applyBorder="1" applyAlignment="1">
      <alignment horizontal="center" vertical="center" wrapText="1"/>
    </xf>
    <xf numFmtId="0" fontId="0" fillId="109" borderId="54" xfId="0" applyFill="1" applyBorder="1" applyAlignment="1">
      <alignment vertical="center" wrapText="1"/>
    </xf>
    <xf numFmtId="3" fontId="203" fillId="88" borderId="54" xfId="25429" applyNumberFormat="1" applyFont="1" applyFill="1" applyBorder="1" applyAlignment="1">
      <alignment horizontal="right" vertical="center" wrapText="1"/>
    </xf>
    <xf numFmtId="257" fontId="199" fillId="110" borderId="54" xfId="0" applyNumberFormat="1" applyFont="1" applyFill="1" applyBorder="1" applyAlignment="1">
      <alignment horizontal="right" vertical="center" wrapText="1"/>
    </xf>
    <xf numFmtId="257" fontId="199" fillId="113" borderId="54" xfId="0" applyNumberFormat="1" applyFont="1" applyFill="1" applyBorder="1" applyAlignment="1">
      <alignment horizontal="right" vertical="center" wrapText="1"/>
    </xf>
    <xf numFmtId="257" fontId="199" fillId="115" borderId="54" xfId="0" applyNumberFormat="1" applyFont="1" applyFill="1" applyBorder="1" applyAlignment="1">
      <alignment horizontal="right" vertical="center" wrapText="1"/>
    </xf>
    <xf numFmtId="257" fontId="199" fillId="117" borderId="54" xfId="0" applyNumberFormat="1" applyFont="1" applyFill="1" applyBorder="1" applyAlignment="1">
      <alignment horizontal="right" vertical="center" wrapText="1"/>
    </xf>
    <xf numFmtId="0" fontId="0" fillId="88" borderId="54" xfId="0" applyFill="1" applyBorder="1" applyAlignment="1">
      <alignment horizontal="center" vertical="center" wrapText="1"/>
    </xf>
    <xf numFmtId="0" fontId="199" fillId="88" borderId="54" xfId="0" applyFont="1" applyFill="1" applyBorder="1" applyAlignment="1">
      <alignment horizontal="center" vertical="center" wrapText="1"/>
    </xf>
    <xf numFmtId="257" fontId="203" fillId="88" borderId="54" xfId="25429" applyNumberFormat="1" applyFont="1" applyFill="1" applyBorder="1" applyAlignment="1">
      <alignment horizontal="right" vertical="center" wrapText="1"/>
    </xf>
    <xf numFmtId="3" fontId="199" fillId="81" borderId="54" xfId="0" applyNumberFormat="1" applyFont="1" applyFill="1" applyBorder="1" applyAlignment="1">
      <alignment horizontal="right" vertical="center"/>
    </xf>
    <xf numFmtId="257" fontId="199" fillId="114" borderId="54" xfId="0" applyNumberFormat="1" applyFont="1" applyFill="1" applyBorder="1" applyAlignment="1">
      <alignment horizontal="right" vertical="center" wrapText="1"/>
    </xf>
    <xf numFmtId="257" fontId="199" fillId="116" borderId="54" xfId="0" applyNumberFormat="1" applyFont="1" applyFill="1" applyBorder="1" applyAlignment="1">
      <alignment horizontal="right" vertical="center" wrapText="1"/>
    </xf>
    <xf numFmtId="257" fontId="199" fillId="118" borderId="54" xfId="0" applyNumberFormat="1" applyFont="1" applyFill="1" applyBorder="1" applyAlignment="1">
      <alignment horizontal="right" vertical="center" wrapText="1"/>
    </xf>
    <xf numFmtId="0" fontId="0" fillId="0" borderId="19" xfId="0" applyBorder="1" applyAlignment="1">
      <alignment vertical="top"/>
    </xf>
    <xf numFmtId="0" fontId="0" fillId="0" borderId="19" xfId="0" applyBorder="1" applyAlignment="1">
      <alignment horizontal="right" vertical="top"/>
    </xf>
    <xf numFmtId="0" fontId="199" fillId="0" borderId="19" xfId="0" applyFont="1" applyBorder="1" applyAlignment="1">
      <alignment horizontal="left" vertical="top"/>
    </xf>
    <xf numFmtId="0" fontId="0" fillId="0" borderId="19" xfId="0" applyBorder="1" applyAlignment="1">
      <alignment horizontal="center" vertical="top"/>
    </xf>
    <xf numFmtId="0" fontId="0" fillId="0" borderId="19" xfId="0" applyBorder="1" applyAlignment="1">
      <alignment vertical="top" wrapText="1"/>
    </xf>
    <xf numFmtId="0" fontId="199" fillId="0" borderId="19" xfId="0" applyFont="1" applyBorder="1" applyAlignment="1">
      <alignment horizontal="right" vertical="top"/>
    </xf>
    <xf numFmtId="257" fontId="201" fillId="88" borderId="54" xfId="25429" applyNumberFormat="1" applyFont="1" applyFill="1" applyBorder="1" applyAlignment="1">
      <alignment horizontal="center" vertical="center" wrapText="1"/>
    </xf>
    <xf numFmtId="0" fontId="0" fillId="135" borderId="54" xfId="0" applyFill="1" applyBorder="1" applyAlignment="1">
      <alignment vertical="top"/>
    </xf>
    <xf numFmtId="0" fontId="199" fillId="130" borderId="58" xfId="0" applyFont="1" applyFill="1" applyBorder="1" applyAlignment="1">
      <alignment vertical="top" wrapText="1"/>
    </xf>
    <xf numFmtId="3" fontId="199" fillId="111" borderId="54" xfId="0" applyNumberFormat="1" applyFont="1" applyFill="1" applyBorder="1" applyAlignment="1">
      <alignment horizontal="right" vertical="center" wrapText="1"/>
    </xf>
    <xf numFmtId="14" fontId="199" fillId="0" borderId="54" xfId="0" applyNumberFormat="1" applyFont="1" applyBorder="1" applyAlignment="1">
      <alignment horizontal="center" vertical="top" wrapText="1"/>
    </xf>
    <xf numFmtId="0" fontId="199" fillId="105" borderId="54" xfId="0" applyFont="1" applyFill="1" applyBorder="1" applyAlignment="1">
      <alignment horizontal="center" vertical="top" wrapText="1"/>
    </xf>
    <xf numFmtId="0" fontId="0" fillId="135" borderId="0" xfId="0" applyFill="1" applyAlignment="1">
      <alignment vertical="center"/>
    </xf>
    <xf numFmtId="0" fontId="199" fillId="135" borderId="54" xfId="0" applyFont="1" applyFill="1" applyBorder="1" applyAlignment="1">
      <alignment vertical="center"/>
    </xf>
    <xf numFmtId="0" fontId="0" fillId="135" borderId="54" xfId="0" applyFill="1" applyBorder="1" applyAlignment="1">
      <alignment vertical="center"/>
    </xf>
    <xf numFmtId="257" fontId="201" fillId="88" borderId="54" xfId="25429" applyNumberFormat="1" applyFont="1" applyFill="1" applyBorder="1" applyAlignment="1">
      <alignment horizontal="center" vertical="center"/>
    </xf>
    <xf numFmtId="257" fontId="212" fillId="88" borderId="54" xfId="25429" applyNumberFormat="1" applyFont="1" applyFill="1" applyBorder="1" applyAlignment="1">
      <alignment horizontal="center" vertical="center" wrapText="1"/>
    </xf>
    <xf numFmtId="257" fontId="203" fillId="138" borderId="19" xfId="25429" applyNumberFormat="1" applyFont="1" applyFill="1" applyBorder="1" applyAlignment="1">
      <alignment horizontal="center" vertical="center" wrapText="1"/>
    </xf>
    <xf numFmtId="257" fontId="203" fillId="138" borderId="54" xfId="25429" applyNumberFormat="1" applyFont="1" applyFill="1" applyBorder="1" applyAlignment="1">
      <alignment horizontal="center" vertical="center" wrapText="1"/>
    </xf>
    <xf numFmtId="257" fontId="203" fillId="139" borderId="19" xfId="25429" applyNumberFormat="1" applyFont="1" applyFill="1" applyBorder="1" applyAlignment="1">
      <alignment horizontal="center" vertical="center" wrapText="1"/>
    </xf>
    <xf numFmtId="257" fontId="203" fillId="139" borderId="54" xfId="25429" applyNumberFormat="1" applyFont="1" applyFill="1" applyBorder="1" applyAlignment="1">
      <alignment horizontal="center" vertical="center" wrapText="1"/>
    </xf>
    <xf numFmtId="257" fontId="203" fillId="140" borderId="19" xfId="25429" applyNumberFormat="1" applyFont="1" applyFill="1" applyBorder="1" applyAlignment="1">
      <alignment horizontal="center" vertical="center" wrapText="1"/>
    </xf>
    <xf numFmtId="257" fontId="203" fillId="140" borderId="54" xfId="25429" applyNumberFormat="1" applyFont="1" applyFill="1" applyBorder="1" applyAlignment="1">
      <alignment horizontal="center" vertical="center" wrapText="1"/>
    </xf>
    <xf numFmtId="3" fontId="199" fillId="135" borderId="54" xfId="0" applyNumberFormat="1" applyFont="1" applyFill="1" applyBorder="1" applyAlignment="1">
      <alignment horizontal="right" vertical="center"/>
    </xf>
    <xf numFmtId="257" fontId="210" fillId="110" borderId="54" xfId="0" applyNumberFormat="1" applyFont="1" applyFill="1" applyBorder="1" applyAlignment="1">
      <alignment horizontal="center" vertical="center" wrapText="1"/>
    </xf>
    <xf numFmtId="257" fontId="210" fillId="113" borderId="54" xfId="0" applyNumberFormat="1" applyFont="1" applyFill="1" applyBorder="1" applyAlignment="1">
      <alignment horizontal="center" vertical="center" wrapText="1"/>
    </xf>
    <xf numFmtId="257" fontId="210" fillId="115" borderId="54" xfId="0" applyNumberFormat="1" applyFont="1" applyFill="1" applyBorder="1" applyAlignment="1">
      <alignment horizontal="center" vertical="center" wrapText="1"/>
    </xf>
    <xf numFmtId="257" fontId="210" fillId="117" borderId="54" xfId="0" applyNumberFormat="1" applyFont="1" applyFill="1" applyBorder="1" applyAlignment="1">
      <alignment horizontal="center" vertical="center" wrapText="1"/>
    </xf>
    <xf numFmtId="0" fontId="199" fillId="0" borderId="54" xfId="0" applyFont="1" applyBorder="1" applyAlignment="1">
      <alignment horizontal="left" vertical="center"/>
    </xf>
    <xf numFmtId="0" fontId="199" fillId="0" borderId="54" xfId="0" applyFont="1" applyBorder="1" applyAlignment="1">
      <alignment vertical="center"/>
    </xf>
    <xf numFmtId="0" fontId="207" fillId="58" borderId="54" xfId="30294" applyFill="1" applyBorder="1" applyAlignment="1">
      <alignment horizontal="left" vertical="center"/>
    </xf>
    <xf numFmtId="0" fontId="207" fillId="58" borderId="54" xfId="30294" applyFill="1" applyBorder="1" applyAlignment="1">
      <alignment horizontal="left" vertical="center" wrapText="1"/>
    </xf>
    <xf numFmtId="0" fontId="205" fillId="135" borderId="18" xfId="0" applyFont="1" applyFill="1" applyBorder="1" applyAlignment="1">
      <alignment horizontal="center" vertical="center"/>
    </xf>
    <xf numFmtId="0" fontId="0" fillId="135" borderId="18" xfId="0" applyFill="1" applyBorder="1" applyAlignment="1">
      <alignment vertical="center"/>
    </xf>
    <xf numFmtId="0" fontId="211" fillId="0" borderId="54" xfId="0" applyFont="1" applyBorder="1" applyAlignment="1">
      <alignment horizontal="right" vertical="center" wrapText="1"/>
    </xf>
    <xf numFmtId="0" fontId="211" fillId="142" borderId="54" xfId="0" applyFont="1" applyFill="1" applyBorder="1" applyAlignment="1">
      <alignment horizontal="center" vertical="center"/>
    </xf>
    <xf numFmtId="0" fontId="211" fillId="0" borderId="54" xfId="0" applyFont="1" applyBorder="1" applyAlignment="1">
      <alignment horizontal="center" vertical="center"/>
    </xf>
    <xf numFmtId="0" fontId="211" fillId="143" borderId="54" xfId="0" applyFont="1" applyFill="1" applyBorder="1" applyAlignment="1">
      <alignment horizontal="center" vertical="center"/>
    </xf>
    <xf numFmtId="210" fontId="0" fillId="0" borderId="54" xfId="0" applyNumberFormat="1" applyBorder="1" applyAlignment="1">
      <alignment horizontal="right" vertical="center" wrapText="1"/>
    </xf>
    <xf numFmtId="0" fontId="0" fillId="0" borderId="54" xfId="0" applyBorder="1" applyAlignment="1">
      <alignment horizontal="center" vertical="center" wrapText="1"/>
    </xf>
    <xf numFmtId="0" fontId="211" fillId="0" borderId="19" xfId="0" applyFont="1" applyBorder="1" applyAlignment="1">
      <alignment horizontal="left" vertical="center"/>
    </xf>
    <xf numFmtId="3" fontId="211" fillId="111" borderId="19" xfId="0" applyNumberFormat="1" applyFont="1" applyFill="1" applyBorder="1" applyAlignment="1">
      <alignment horizontal="left" vertical="center"/>
    </xf>
    <xf numFmtId="0" fontId="211" fillId="0" borderId="54" xfId="0" applyFont="1" applyBorder="1" applyAlignment="1">
      <alignment horizontal="left" vertical="center"/>
    </xf>
    <xf numFmtId="0" fontId="211" fillId="94" borderId="19" xfId="0" applyFont="1" applyFill="1" applyBorder="1" applyAlignment="1">
      <alignment horizontal="left" vertical="center"/>
    </xf>
    <xf numFmtId="0" fontId="211" fillId="0" borderId="56" xfId="30294" applyFont="1" applyBorder="1" applyAlignment="1">
      <alignment horizontal="center" vertical="center"/>
    </xf>
    <xf numFmtId="0" fontId="211" fillId="0" borderId="54" xfId="30294" applyFont="1" applyBorder="1" applyAlignment="1">
      <alignment vertical="center"/>
    </xf>
    <xf numFmtId="0" fontId="211" fillId="0" borderId="54" xfId="30294" applyFont="1" applyBorder="1" applyAlignment="1">
      <alignment horizontal="left" vertical="center"/>
    </xf>
    <xf numFmtId="0" fontId="211" fillId="0" borderId="54" xfId="30294" applyFont="1" applyBorder="1" applyAlignment="1">
      <alignment horizontal="left" vertical="center" wrapText="1"/>
    </xf>
    <xf numFmtId="0" fontId="210" fillId="127" borderId="54" xfId="30294" applyFont="1" applyFill="1" applyBorder="1" applyAlignment="1">
      <alignment horizontal="center" vertical="center"/>
    </xf>
    <xf numFmtId="14" fontId="211" fillId="0" borderId="54" xfId="30294" applyNumberFormat="1" applyFont="1" applyBorder="1" applyAlignment="1">
      <alignment horizontal="center" vertical="center"/>
    </xf>
    <xf numFmtId="0" fontId="211" fillId="0" borderId="54" xfId="30294" applyFont="1" applyBorder="1" applyAlignment="1">
      <alignment horizontal="center" vertical="center"/>
    </xf>
    <xf numFmtId="0" fontId="211" fillId="0" borderId="54" xfId="30294" applyFont="1" applyBorder="1" applyAlignment="1">
      <alignment horizontal="right" vertical="center"/>
    </xf>
    <xf numFmtId="0" fontId="207" fillId="0" borderId="54" xfId="30294" applyBorder="1" applyAlignment="1">
      <alignment horizontal="left" vertical="center"/>
    </xf>
    <xf numFmtId="0" fontId="207" fillId="58" borderId="54" xfId="30294" applyFill="1" applyBorder="1" applyAlignment="1">
      <alignment horizontal="center" vertical="center"/>
    </xf>
    <xf numFmtId="0" fontId="207" fillId="58" borderId="54" xfId="30294" applyFill="1" applyBorder="1" applyAlignment="1">
      <alignment vertical="center"/>
    </xf>
    <xf numFmtId="0" fontId="199" fillId="58" borderId="54" xfId="30294" applyFont="1" applyFill="1" applyBorder="1" applyAlignment="1">
      <alignment horizontal="center" vertical="center"/>
    </xf>
    <xf numFmtId="0" fontId="198" fillId="123" borderId="54" xfId="0" applyFont="1" applyFill="1" applyBorder="1" applyAlignment="1">
      <alignment horizontal="left" vertical="center" wrapText="1"/>
    </xf>
    <xf numFmtId="0" fontId="207" fillId="145" borderId="54" xfId="30294" applyFill="1" applyBorder="1" applyAlignment="1">
      <alignment vertical="center"/>
    </xf>
    <xf numFmtId="0" fontId="207" fillId="146" borderId="54" xfId="30294" applyFill="1" applyBorder="1" applyAlignment="1">
      <alignment horizontal="left" vertical="center"/>
    </xf>
    <xf numFmtId="0" fontId="211" fillId="0" borderId="19" xfId="0" applyFont="1" applyBorder="1" applyAlignment="1">
      <alignment horizontal="center" vertical="center" wrapText="1"/>
    </xf>
    <xf numFmtId="0" fontId="198" fillId="144" borderId="19" xfId="0" applyFont="1" applyFill="1" applyBorder="1" applyAlignment="1">
      <alignment horizontal="left" vertical="center" wrapText="1"/>
    </xf>
    <xf numFmtId="0" fontId="0" fillId="109" borderId="54" xfId="0" applyFill="1" applyBorder="1" applyAlignment="1">
      <alignment horizontal="center" vertical="center" wrapText="1"/>
    </xf>
    <xf numFmtId="0" fontId="198" fillId="147" borderId="19" xfId="0" applyFont="1" applyFill="1" applyBorder="1" applyAlignment="1">
      <alignment horizontal="left" vertical="center"/>
    </xf>
    <xf numFmtId="0" fontId="198" fillId="147" borderId="19" xfId="0" applyFont="1" applyFill="1" applyBorder="1" applyAlignment="1">
      <alignment horizontal="left" vertical="center" wrapText="1"/>
    </xf>
    <xf numFmtId="0" fontId="199" fillId="147" borderId="19" xfId="0" applyFont="1" applyFill="1" applyBorder="1" applyAlignment="1">
      <alignment horizontal="left" vertical="center"/>
    </xf>
    <xf numFmtId="0" fontId="0" fillId="147" borderId="19" xfId="0" applyFill="1" applyBorder="1" applyAlignment="1">
      <alignment horizontal="center" vertical="center"/>
    </xf>
    <xf numFmtId="0" fontId="199" fillId="147" borderId="54" xfId="0" applyFont="1" applyFill="1" applyBorder="1" applyAlignment="1">
      <alignment horizontal="left" vertical="center"/>
    </xf>
    <xf numFmtId="0" fontId="0" fillId="147" borderId="54" xfId="0" applyFill="1" applyBorder="1" applyAlignment="1">
      <alignment horizontal="center" vertical="center"/>
    </xf>
    <xf numFmtId="0" fontId="198" fillId="147" borderId="54" xfId="0" applyFont="1" applyFill="1" applyBorder="1" applyAlignment="1">
      <alignment horizontal="left" vertical="center"/>
    </xf>
    <xf numFmtId="0" fontId="198" fillId="147" borderId="54" xfId="0" applyFont="1" applyFill="1" applyBorder="1" applyAlignment="1">
      <alignment horizontal="left" vertical="center" wrapText="1"/>
    </xf>
    <xf numFmtId="0" fontId="0" fillId="147" borderId="19" xfId="0" applyFill="1" applyBorder="1" applyAlignment="1">
      <alignment horizontal="left" vertical="center"/>
    </xf>
    <xf numFmtId="0" fontId="199" fillId="147" borderId="19" xfId="30294" applyFont="1" applyFill="1" applyBorder="1" applyAlignment="1">
      <alignment horizontal="left" vertical="center"/>
    </xf>
    <xf numFmtId="0" fontId="0" fillId="147" borderId="54" xfId="0" applyFill="1" applyBorder="1" applyAlignment="1">
      <alignment horizontal="left" vertical="center"/>
    </xf>
    <xf numFmtId="0" fontId="199" fillId="147" borderId="54" xfId="30294" applyFont="1" applyFill="1" applyBorder="1" applyAlignment="1">
      <alignment horizontal="left" vertical="center"/>
    </xf>
    <xf numFmtId="0" fontId="199" fillId="0" borderId="54" xfId="30294" applyFont="1" applyBorder="1" applyAlignment="1">
      <alignment horizontal="left" vertical="center"/>
    </xf>
    <xf numFmtId="0" fontId="207" fillId="0" borderId="19" xfId="0" applyFont="1" applyBorder="1" applyAlignment="1">
      <alignment horizontal="center" vertical="top"/>
    </xf>
    <xf numFmtId="0" fontId="0" fillId="0" borderId="54" xfId="30294" applyFont="1" applyBorder="1" applyAlignment="1">
      <alignment vertical="center"/>
    </xf>
    <xf numFmtId="0" fontId="0" fillId="0" borderId="59" xfId="30294" applyFont="1" applyBorder="1" applyAlignment="1">
      <alignment vertical="center"/>
    </xf>
    <xf numFmtId="0" fontId="0" fillId="0" borderId="56" xfId="30294" applyFont="1" applyBorder="1" applyAlignment="1">
      <alignment horizontal="center" vertical="center"/>
    </xf>
    <xf numFmtId="14" fontId="0" fillId="0" borderId="54" xfId="30294" applyNumberFormat="1" applyFont="1" applyBorder="1" applyAlignment="1">
      <alignment horizontal="center" vertical="center"/>
    </xf>
    <xf numFmtId="0" fontId="0" fillId="0" borderId="54" xfId="30294" applyFont="1" applyBorder="1" applyAlignment="1">
      <alignment horizontal="center" vertical="center"/>
    </xf>
    <xf numFmtId="0" fontId="0" fillId="0" borderId="54" xfId="30294" applyFont="1" applyBorder="1" applyAlignment="1">
      <alignment horizontal="right" vertical="center"/>
    </xf>
    <xf numFmtId="0" fontId="0" fillId="0" borderId="57" xfId="30294" applyFont="1" applyBorder="1" applyAlignment="1">
      <alignment horizontal="center" vertical="center"/>
    </xf>
    <xf numFmtId="0" fontId="0" fillId="0" borderId="59" xfId="30294" applyFont="1" applyBorder="1" applyAlignment="1">
      <alignment horizontal="center" vertical="center"/>
    </xf>
    <xf numFmtId="0" fontId="0" fillId="0" borderId="59" xfId="30294" applyFont="1" applyBorder="1" applyAlignment="1">
      <alignment horizontal="right" vertical="center"/>
    </xf>
    <xf numFmtId="0" fontId="207" fillId="0" borderId="54" xfId="0" applyFont="1" applyBorder="1" applyAlignment="1">
      <alignment vertical="center"/>
    </xf>
    <xf numFmtId="3" fontId="213" fillId="0" borderId="19" xfId="0" applyNumberFormat="1" applyFont="1" applyBorder="1" applyAlignment="1">
      <alignment vertical="center"/>
    </xf>
    <xf numFmtId="0" fontId="0" fillId="0" borderId="19" xfId="0" applyBorder="1" applyAlignment="1">
      <alignment vertical="center" wrapText="1"/>
    </xf>
    <xf numFmtId="0" fontId="207" fillId="0" borderId="54" xfId="30294" applyBorder="1" applyAlignment="1">
      <alignment horizontal="left" vertical="center" wrapText="1"/>
    </xf>
    <xf numFmtId="0" fontId="199" fillId="0" borderId="54" xfId="30294" applyFont="1" applyBorder="1" applyAlignment="1">
      <alignment horizontal="center" vertical="center" wrapText="1"/>
    </xf>
    <xf numFmtId="3" fontId="213" fillId="0" borderId="54" xfId="0" applyNumberFormat="1" applyFont="1" applyBorder="1" applyAlignment="1">
      <alignment vertical="center"/>
    </xf>
    <xf numFmtId="0" fontId="211" fillId="79" borderId="57" xfId="0" applyFont="1" applyFill="1" applyBorder="1" applyAlignment="1">
      <alignment horizontal="center" vertical="center"/>
    </xf>
    <xf numFmtId="0" fontId="211" fillId="79" borderId="59" xfId="0" applyFont="1" applyFill="1" applyBorder="1" applyAlignment="1">
      <alignment horizontal="left" vertical="center"/>
    </xf>
    <xf numFmtId="0" fontId="211" fillId="0" borderId="59" xfId="0" applyFont="1" applyBorder="1" applyAlignment="1">
      <alignment vertical="center"/>
    </xf>
    <xf numFmtId="0" fontId="211" fillId="0" borderId="59" xfId="0" applyFont="1" applyBorder="1" applyAlignment="1">
      <alignment horizontal="left" vertical="center" wrapText="1"/>
    </xf>
    <xf numFmtId="3" fontId="211" fillId="0" borderId="59" xfId="0" applyNumberFormat="1" applyFont="1" applyBorder="1" applyAlignment="1">
      <alignment vertical="center"/>
    </xf>
    <xf numFmtId="3" fontId="210" fillId="0" borderId="59" xfId="0" applyNumberFormat="1" applyFont="1" applyBorder="1" applyAlignment="1">
      <alignment vertical="center"/>
    </xf>
    <xf numFmtId="0" fontId="211" fillId="147" borderId="54" xfId="0" applyFont="1" applyFill="1" applyBorder="1" applyAlignment="1">
      <alignment horizontal="left" vertical="center"/>
    </xf>
    <xf numFmtId="0" fontId="199" fillId="94" borderId="54" xfId="0" applyFont="1" applyFill="1" applyBorder="1" applyAlignment="1">
      <alignment horizontal="left" vertical="center"/>
    </xf>
    <xf numFmtId="0" fontId="211" fillId="94" borderId="54" xfId="0" applyFont="1" applyFill="1" applyBorder="1" applyAlignment="1">
      <alignment horizontal="left" vertical="center"/>
    </xf>
    <xf numFmtId="0" fontId="0" fillId="93" borderId="54" xfId="0" applyFill="1" applyBorder="1" applyAlignment="1">
      <alignment horizontal="center" vertical="center"/>
    </xf>
    <xf numFmtId="0" fontId="211" fillId="147" borderId="19" xfId="0" applyFont="1" applyFill="1" applyBorder="1" applyAlignment="1">
      <alignment horizontal="left" vertical="center"/>
    </xf>
    <xf numFmtId="0" fontId="199" fillId="0" borderId="50" xfId="0" applyFont="1" applyBorder="1" applyAlignment="1">
      <alignment horizontal="center" vertical="top" wrapText="1"/>
    </xf>
    <xf numFmtId="3" fontId="199" fillId="135" borderId="19" xfId="0" applyNumberFormat="1" applyFont="1" applyFill="1" applyBorder="1" applyAlignment="1">
      <alignment horizontal="center" vertical="center"/>
    </xf>
    <xf numFmtId="3" fontId="213" fillId="135" borderId="19" xfId="0" applyNumberFormat="1" applyFont="1" applyFill="1" applyBorder="1" applyAlignment="1">
      <alignment horizontal="center" vertical="center"/>
    </xf>
    <xf numFmtId="3" fontId="199" fillId="135" borderId="59" xfId="0" applyNumberFormat="1" applyFont="1" applyFill="1" applyBorder="1" applyAlignment="1">
      <alignment horizontal="center" vertical="center"/>
    </xf>
    <xf numFmtId="3" fontId="199" fillId="135" borderId="54" xfId="0" applyNumberFormat="1" applyFont="1" applyFill="1" applyBorder="1" applyAlignment="1">
      <alignment horizontal="center" vertical="center"/>
    </xf>
    <xf numFmtId="3" fontId="210" fillId="135" borderId="59" xfId="0" applyNumberFormat="1" applyFont="1" applyFill="1" applyBorder="1" applyAlignment="1">
      <alignment horizontal="center" vertical="center"/>
    </xf>
    <xf numFmtId="3" fontId="213" fillId="135" borderId="54" xfId="0" applyNumberFormat="1" applyFont="1" applyFill="1" applyBorder="1" applyAlignment="1">
      <alignment horizontal="center" vertical="center"/>
    </xf>
    <xf numFmtId="0" fontId="199" fillId="0" borderId="38" xfId="0" applyFont="1" applyBorder="1" applyAlignment="1">
      <alignment horizontal="center" vertical="top" wrapText="1"/>
    </xf>
    <xf numFmtId="0" fontId="199" fillId="135" borderId="50" xfId="0" applyFont="1" applyFill="1" applyBorder="1" applyAlignment="1">
      <alignment horizontal="center" vertical="top" wrapText="1"/>
    </xf>
    <xf numFmtId="0" fontId="199" fillId="105" borderId="50" xfId="0" applyFont="1" applyFill="1" applyBorder="1" applyAlignment="1">
      <alignment horizontal="center" vertical="top" wrapText="1"/>
    </xf>
    <xf numFmtId="0" fontId="211" fillId="0" borderId="51" xfId="0" applyFont="1" applyBorder="1" applyAlignment="1">
      <alignment horizontal="center" vertical="top"/>
    </xf>
    <xf numFmtId="0" fontId="0" fillId="135" borderId="0" xfId="0" applyFill="1" applyAlignment="1">
      <alignment horizontal="center" vertical="center"/>
    </xf>
    <xf numFmtId="0" fontId="199" fillId="135" borderId="19" xfId="0" applyFont="1" applyFill="1" applyBorder="1" applyAlignment="1">
      <alignment horizontal="center" vertical="center"/>
    </xf>
    <xf numFmtId="0" fontId="199" fillId="135" borderId="59" xfId="0" applyFont="1" applyFill="1" applyBorder="1" applyAlignment="1">
      <alignment horizontal="center" vertical="center"/>
    </xf>
    <xf numFmtId="0" fontId="199" fillId="135" borderId="54" xfId="0" applyFont="1" applyFill="1" applyBorder="1" applyAlignment="1">
      <alignment horizontal="center" vertical="center"/>
    </xf>
    <xf numFmtId="0" fontId="211" fillId="0" borderId="54" xfId="0" applyFont="1" applyBorder="1" applyAlignment="1">
      <alignment horizontal="center" vertical="center" wrapText="1"/>
    </xf>
    <xf numFmtId="210" fontId="198" fillId="145" borderId="54" xfId="0" applyNumberFormat="1" applyFont="1" applyFill="1" applyBorder="1" applyAlignment="1">
      <alignment horizontal="center" vertical="center" wrapText="1"/>
    </xf>
    <xf numFmtId="257" fontId="201" fillId="107" borderId="19" xfId="25429" applyNumberFormat="1" applyFont="1" applyFill="1" applyBorder="1" applyAlignment="1">
      <alignment vertical="center"/>
    </xf>
    <xf numFmtId="257" fontId="201" fillId="107" borderId="54" xfId="25429" applyNumberFormat="1" applyFont="1" applyFill="1" applyBorder="1" applyAlignment="1">
      <alignment vertical="center"/>
    </xf>
    <xf numFmtId="257" fontId="199" fillId="110" borderId="19" xfId="0" applyNumberFormat="1" applyFont="1" applyFill="1" applyBorder="1" applyAlignment="1">
      <alignment vertical="center" wrapText="1"/>
    </xf>
    <xf numFmtId="257" fontId="199" fillId="113" borderId="19" xfId="0" applyNumberFormat="1" applyFont="1" applyFill="1" applyBorder="1" applyAlignment="1">
      <alignment vertical="center" wrapText="1"/>
    </xf>
    <xf numFmtId="257" fontId="199" fillId="115" borderId="19" xfId="0" applyNumberFormat="1" applyFont="1" applyFill="1" applyBorder="1" applyAlignment="1">
      <alignment vertical="center" wrapText="1"/>
    </xf>
    <xf numFmtId="257" fontId="199" fillId="117" borderId="19" xfId="0" applyNumberFormat="1" applyFont="1" applyFill="1" applyBorder="1" applyAlignment="1">
      <alignment vertical="center" wrapText="1"/>
    </xf>
    <xf numFmtId="14" fontId="199" fillId="103" borderId="50" xfId="0" applyNumberFormat="1" applyFont="1" applyFill="1" applyBorder="1" applyAlignment="1">
      <alignment horizontal="center" vertical="top" wrapText="1"/>
    </xf>
    <xf numFmtId="0" fontId="199" fillId="115" borderId="54" xfId="0" applyFont="1" applyFill="1" applyBorder="1" applyAlignment="1">
      <alignment vertical="center"/>
    </xf>
    <xf numFmtId="0" fontId="0" fillId="115" borderId="54" xfId="0" applyFill="1" applyBorder="1" applyAlignment="1">
      <alignment horizontal="right" vertical="center"/>
    </xf>
    <xf numFmtId="0" fontId="199" fillId="115" borderId="54" xfId="0" applyFont="1" applyFill="1" applyBorder="1" applyAlignment="1">
      <alignment horizontal="right" vertical="center" wrapText="1"/>
    </xf>
    <xf numFmtId="257" fontId="0" fillId="115" borderId="54" xfId="0" applyNumberFormat="1" applyFill="1" applyBorder="1" applyAlignment="1">
      <alignment horizontal="right" vertical="center" wrapText="1"/>
    </xf>
    <xf numFmtId="257" fontId="199" fillId="115" borderId="54" xfId="0" applyNumberFormat="1" applyFont="1" applyFill="1" applyBorder="1" applyAlignment="1">
      <alignment vertical="center" wrapText="1"/>
    </xf>
    <xf numFmtId="257" fontId="0" fillId="116" borderId="54" xfId="0" applyNumberFormat="1" applyFill="1" applyBorder="1" applyAlignment="1">
      <alignment horizontal="right" vertical="center"/>
    </xf>
    <xf numFmtId="257" fontId="0" fillId="115" borderId="54" xfId="0" applyNumberFormat="1" applyFill="1" applyBorder="1" applyAlignment="1">
      <alignment horizontal="right" vertical="center"/>
    </xf>
    <xf numFmtId="3" fontId="199" fillId="115" borderId="54" xfId="0" applyNumberFormat="1" applyFont="1" applyFill="1" applyBorder="1" applyAlignment="1">
      <alignment horizontal="right" vertical="center" wrapText="1"/>
    </xf>
    <xf numFmtId="3" fontId="199" fillId="116" borderId="54" xfId="0" applyNumberFormat="1" applyFont="1" applyFill="1" applyBorder="1" applyAlignment="1">
      <alignment horizontal="right" vertical="center" wrapText="1"/>
    </xf>
    <xf numFmtId="3" fontId="0" fillId="115" borderId="54" xfId="0" applyNumberFormat="1" applyFill="1" applyBorder="1" applyAlignment="1">
      <alignment horizontal="right" vertical="center"/>
    </xf>
    <xf numFmtId="0" fontId="199" fillId="110" borderId="54" xfId="0" applyFont="1" applyFill="1" applyBorder="1" applyAlignment="1">
      <alignment vertical="center"/>
    </xf>
    <xf numFmtId="0" fontId="199" fillId="110" borderId="54" xfId="0" applyFont="1" applyFill="1" applyBorder="1" applyAlignment="1">
      <alignment horizontal="right" vertical="center"/>
    </xf>
    <xf numFmtId="257" fontId="199" fillId="110" borderId="54" xfId="0" applyNumberFormat="1" applyFont="1" applyFill="1" applyBorder="1" applyAlignment="1">
      <alignment vertical="center" wrapText="1"/>
    </xf>
    <xf numFmtId="3" fontId="199" fillId="110" borderId="54" xfId="0" applyNumberFormat="1" applyFont="1" applyFill="1" applyBorder="1" applyAlignment="1">
      <alignment horizontal="right" vertical="center" wrapText="1"/>
    </xf>
    <xf numFmtId="3" fontId="199" fillId="110" borderId="54" xfId="0" applyNumberFormat="1" applyFont="1" applyFill="1" applyBorder="1" applyAlignment="1">
      <alignment horizontal="right" vertical="center"/>
    </xf>
    <xf numFmtId="3" fontId="199" fillId="107" borderId="54" xfId="0" applyNumberFormat="1" applyFont="1" applyFill="1" applyBorder="1" applyAlignment="1">
      <alignment vertical="center" wrapText="1"/>
    </xf>
    <xf numFmtId="3" fontId="199" fillId="109" borderId="54" xfId="0" applyNumberFormat="1" applyFont="1" applyFill="1" applyBorder="1" applyAlignment="1">
      <alignment vertical="center" wrapText="1"/>
    </xf>
    <xf numFmtId="3" fontId="199" fillId="105" borderId="54" xfId="0" applyNumberFormat="1" applyFont="1" applyFill="1" applyBorder="1" applyAlignment="1">
      <alignment vertical="center" wrapText="1"/>
    </xf>
    <xf numFmtId="3" fontId="199" fillId="149" borderId="54" xfId="0" applyNumberFormat="1" applyFont="1" applyFill="1" applyBorder="1" applyAlignment="1">
      <alignment horizontal="center" vertical="center"/>
    </xf>
    <xf numFmtId="3" fontId="199" fillId="149" borderId="54" xfId="0" applyNumberFormat="1" applyFont="1" applyFill="1" applyBorder="1" applyAlignment="1">
      <alignment horizontal="right" vertical="center"/>
    </xf>
    <xf numFmtId="3" fontId="199" fillId="149" borderId="54" xfId="0" applyNumberFormat="1" applyFont="1" applyFill="1" applyBorder="1" applyAlignment="1">
      <alignment horizontal="left" vertical="center" wrapText="1"/>
    </xf>
    <xf numFmtId="3" fontId="199" fillId="149" borderId="54" xfId="0" applyNumberFormat="1" applyFont="1" applyFill="1" applyBorder="1" applyAlignment="1">
      <alignment horizontal="center" vertical="center" wrapText="1"/>
    </xf>
    <xf numFmtId="257" fontId="203" fillId="150" borderId="54" xfId="25429" applyNumberFormat="1" applyFont="1" applyFill="1" applyBorder="1" applyAlignment="1">
      <alignment horizontal="center" vertical="center" wrapText="1"/>
    </xf>
    <xf numFmtId="257" fontId="199" fillId="149" borderId="54" xfId="0" applyNumberFormat="1" applyFont="1" applyFill="1" applyBorder="1" applyAlignment="1">
      <alignment horizontal="right" vertical="center" wrapText="1"/>
    </xf>
    <xf numFmtId="257" fontId="199" fillId="151" borderId="54" xfId="0" applyNumberFormat="1" applyFont="1" applyFill="1" applyBorder="1" applyAlignment="1">
      <alignment horizontal="right" vertical="center" wrapText="1"/>
    </xf>
    <xf numFmtId="0" fontId="207" fillId="109" borderId="54" xfId="0" applyFont="1" applyFill="1" applyBorder="1" applyAlignment="1">
      <alignment horizontal="center" vertical="center" wrapText="1"/>
    </xf>
    <xf numFmtId="0" fontId="207" fillId="153" borderId="0" xfId="0" applyFont="1" applyFill="1" applyAlignment="1">
      <alignment horizontal="center" vertical="center" wrapText="1"/>
    </xf>
    <xf numFmtId="0" fontId="207" fillId="153" borderId="0" xfId="0" applyFont="1" applyFill="1" applyAlignment="1">
      <alignment vertical="center"/>
    </xf>
    <xf numFmtId="0" fontId="198" fillId="89" borderId="54" xfId="0" applyFont="1" applyFill="1" applyBorder="1" applyAlignment="1">
      <alignment horizontal="left" vertical="center" wrapText="1"/>
    </xf>
    <xf numFmtId="0" fontId="199" fillId="110" borderId="54" xfId="0" applyFont="1" applyFill="1" applyBorder="1" applyAlignment="1">
      <alignment horizontal="left" vertical="center"/>
    </xf>
    <xf numFmtId="3" fontId="199" fillId="111" borderId="54" xfId="0" applyNumberFormat="1" applyFont="1" applyFill="1" applyBorder="1" applyAlignment="1">
      <alignment horizontal="left" vertical="center"/>
    </xf>
    <xf numFmtId="3" fontId="199" fillId="111" borderId="54" xfId="0" applyNumberFormat="1" applyFont="1" applyFill="1" applyBorder="1" applyAlignment="1">
      <alignment horizontal="center" vertical="center"/>
    </xf>
    <xf numFmtId="3" fontId="202" fillId="111" borderId="54" xfId="0" applyNumberFormat="1" applyFont="1" applyFill="1" applyBorder="1" applyAlignment="1">
      <alignment horizontal="left" vertical="center"/>
    </xf>
    <xf numFmtId="3" fontId="202" fillId="111" borderId="59" xfId="0" applyNumberFormat="1" applyFont="1" applyFill="1" applyBorder="1" applyAlignment="1">
      <alignment horizontal="right" vertical="center" wrapText="1"/>
    </xf>
    <xf numFmtId="3" fontId="202" fillId="111" borderId="54" xfId="0" applyNumberFormat="1" applyFont="1" applyFill="1" applyBorder="1" applyAlignment="1">
      <alignment horizontal="right" vertical="center" wrapText="1"/>
    </xf>
    <xf numFmtId="0" fontId="199" fillId="110" borderId="19" xfId="0" applyFont="1" applyFill="1" applyBorder="1" applyAlignment="1">
      <alignment horizontal="center" vertical="center"/>
    </xf>
    <xf numFmtId="0" fontId="199" fillId="110" borderId="54" xfId="0" applyFont="1" applyFill="1" applyBorder="1" applyAlignment="1">
      <alignment horizontal="center" vertical="center"/>
    </xf>
    <xf numFmtId="0" fontId="0" fillId="115" borderId="19" xfId="0" applyFill="1" applyBorder="1" applyAlignment="1">
      <alignment horizontal="center" vertical="center"/>
    </xf>
    <xf numFmtId="0" fontId="0" fillId="115" borderId="54" xfId="0" applyFill="1" applyBorder="1" applyAlignment="1">
      <alignment horizontal="center" vertical="center"/>
    </xf>
    <xf numFmtId="0" fontId="0" fillId="117" borderId="19" xfId="0" applyFill="1" applyBorder="1" applyAlignment="1">
      <alignment horizontal="center" vertical="center"/>
    </xf>
    <xf numFmtId="0" fontId="199" fillId="113" borderId="19" xfId="0" applyFont="1" applyFill="1" applyBorder="1" applyAlignment="1">
      <alignment horizontal="center" vertical="center"/>
    </xf>
    <xf numFmtId="0" fontId="199" fillId="149" borderId="54" xfId="0" applyFont="1" applyFill="1" applyBorder="1" applyAlignment="1">
      <alignment horizontal="center" vertical="center"/>
    </xf>
    <xf numFmtId="1" fontId="0" fillId="142" borderId="54" xfId="0" applyNumberFormat="1" applyFill="1" applyBorder="1" applyAlignment="1">
      <alignment horizontal="center" vertical="center"/>
    </xf>
    <xf numFmtId="1" fontId="0" fillId="0" borderId="54" xfId="0" applyNumberFormat="1" applyBorder="1" applyAlignment="1">
      <alignment horizontal="center" vertical="center"/>
    </xf>
    <xf numFmtId="1" fontId="0" fillId="143" borderId="54" xfId="0" applyNumberFormat="1" applyFill="1" applyBorder="1" applyAlignment="1">
      <alignment horizontal="center" vertical="center"/>
    </xf>
    <xf numFmtId="0" fontId="207" fillId="141" borderId="50" xfId="0" applyFont="1" applyFill="1" applyBorder="1" applyAlignment="1">
      <alignment horizontal="center" vertical="top"/>
    </xf>
    <xf numFmtId="3" fontId="0" fillId="135" borderId="19" xfId="0" applyNumberFormat="1" applyFill="1" applyBorder="1" applyAlignment="1">
      <alignment vertical="center"/>
    </xf>
    <xf numFmtId="3" fontId="0" fillId="135" borderId="54" xfId="0" applyNumberFormat="1" applyFill="1" applyBorder="1" applyAlignment="1">
      <alignment vertical="center"/>
    </xf>
    <xf numFmtId="3" fontId="0" fillId="135" borderId="59" xfId="0" applyNumberFormat="1" applyFill="1" applyBorder="1" applyAlignment="1">
      <alignment vertical="center"/>
    </xf>
    <xf numFmtId="3" fontId="211" fillId="135" borderId="59" xfId="0" applyNumberFormat="1" applyFont="1" applyFill="1" applyBorder="1" applyAlignment="1">
      <alignment vertical="center"/>
    </xf>
    <xf numFmtId="0" fontId="199" fillId="154" borderId="19" xfId="0" applyFont="1" applyFill="1" applyBorder="1" applyAlignment="1">
      <alignment horizontal="left" vertical="center"/>
    </xf>
    <xf numFmtId="0" fontId="0" fillId="154" borderId="19" xfId="0" applyFill="1" applyBorder="1" applyAlignment="1">
      <alignment vertical="center"/>
    </xf>
    <xf numFmtId="0" fontId="0" fillId="154" borderId="19" xfId="0" applyFill="1" applyBorder="1" applyAlignment="1">
      <alignment horizontal="center" vertical="center"/>
    </xf>
    <xf numFmtId="0" fontId="0" fillId="154" borderId="19" xfId="0" applyFill="1" applyBorder="1" applyAlignment="1">
      <alignment horizontal="left" vertical="center" wrapText="1"/>
    </xf>
    <xf numFmtId="0" fontId="0" fillId="154" borderId="19" xfId="0" applyFill="1" applyBorder="1" applyAlignment="1">
      <alignment vertical="center" wrapText="1"/>
    </xf>
    <xf numFmtId="0" fontId="0" fillId="154" borderId="19" xfId="0" applyFill="1" applyBorder="1" applyAlignment="1">
      <alignment horizontal="center" vertical="center" wrapText="1"/>
    </xf>
    <xf numFmtId="257" fontId="203" fillId="155" borderId="19" xfId="25429" applyNumberFormat="1" applyFont="1" applyFill="1" applyBorder="1" applyAlignment="1">
      <alignment horizontal="center" vertical="center" wrapText="1"/>
    </xf>
    <xf numFmtId="257" fontId="203" fillId="155" borderId="54" xfId="25429" applyNumberFormat="1" applyFont="1" applyFill="1" applyBorder="1" applyAlignment="1">
      <alignment horizontal="center" vertical="center" wrapText="1"/>
    </xf>
    <xf numFmtId="0" fontId="0" fillId="154" borderId="54" xfId="0" applyFill="1" applyBorder="1" applyAlignment="1">
      <alignment vertical="center" wrapText="1"/>
    </xf>
    <xf numFmtId="257" fontId="0" fillId="154" borderId="19" xfId="0" applyNumberFormat="1" applyFill="1" applyBorder="1" applyAlignment="1">
      <alignment vertical="center" wrapText="1"/>
    </xf>
    <xf numFmtId="257" fontId="201" fillId="155" borderId="19" xfId="25429" applyNumberFormat="1" applyFont="1" applyFill="1" applyBorder="1" applyAlignment="1">
      <alignment vertical="center" wrapText="1"/>
    </xf>
    <xf numFmtId="257" fontId="201" fillId="155" borderId="54" xfId="25429" applyNumberFormat="1" applyFont="1" applyFill="1" applyBorder="1" applyAlignment="1">
      <alignment vertical="center" wrapText="1"/>
    </xf>
    <xf numFmtId="257" fontId="0" fillId="154" borderId="19" xfId="0" applyNumberFormat="1" applyFill="1" applyBorder="1" applyAlignment="1">
      <alignment horizontal="right" vertical="center" wrapText="1"/>
    </xf>
    <xf numFmtId="257" fontId="210" fillId="154" borderId="54" xfId="0" applyNumberFormat="1" applyFont="1" applyFill="1" applyBorder="1" applyAlignment="1">
      <alignment horizontal="center" vertical="center" wrapText="1"/>
    </xf>
    <xf numFmtId="257" fontId="0" fillId="156" borderId="19" xfId="0" applyNumberFormat="1" applyFill="1" applyBorder="1" applyAlignment="1">
      <alignment vertical="center"/>
    </xf>
    <xf numFmtId="257" fontId="0" fillId="154" borderId="19" xfId="0" applyNumberFormat="1" applyFill="1" applyBorder="1" applyAlignment="1">
      <alignment vertical="center"/>
    </xf>
    <xf numFmtId="0" fontId="207" fillId="79" borderId="49" xfId="0" applyFont="1" applyFill="1" applyBorder="1" applyAlignment="1">
      <alignment horizontal="center" vertical="center"/>
    </xf>
    <xf numFmtId="0" fontId="207" fillId="79" borderId="19" xfId="0" applyFont="1" applyFill="1" applyBorder="1" applyAlignment="1">
      <alignment horizontal="left" vertical="center"/>
    </xf>
    <xf numFmtId="0" fontId="207" fillId="0" borderId="19" xfId="0" applyFont="1" applyBorder="1" applyAlignment="1">
      <alignment vertical="center"/>
    </xf>
    <xf numFmtId="0" fontId="207" fillId="0" borderId="19" xfId="0" applyFont="1" applyBorder="1" applyAlignment="1">
      <alignment horizontal="left" vertical="center" wrapText="1"/>
    </xf>
    <xf numFmtId="3" fontId="207" fillId="0" borderId="19" xfId="0" applyNumberFormat="1" applyFont="1" applyBorder="1" applyAlignment="1">
      <alignment vertical="center"/>
    </xf>
    <xf numFmtId="3" fontId="207" fillId="135" borderId="19" xfId="0" applyNumberFormat="1" applyFont="1" applyFill="1" applyBorder="1" applyAlignment="1">
      <alignment vertical="center"/>
    </xf>
    <xf numFmtId="3" fontId="207" fillId="0" borderId="15" xfId="0" applyNumberFormat="1" applyFont="1" applyBorder="1" applyAlignment="1">
      <alignment vertical="center"/>
    </xf>
    <xf numFmtId="0" fontId="207" fillId="146" borderId="54" xfId="30294" applyFill="1" applyBorder="1" applyAlignment="1">
      <alignment horizontal="left" vertical="center" wrapText="1"/>
    </xf>
    <xf numFmtId="0" fontId="0" fillId="0" borderId="54" xfId="0" applyBorder="1" applyAlignment="1">
      <alignment vertical="center" wrapText="1"/>
    </xf>
    <xf numFmtId="0" fontId="0" fillId="145" borderId="54" xfId="0" applyFill="1" applyBorder="1" applyAlignment="1">
      <alignment vertical="center"/>
    </xf>
    <xf numFmtId="0" fontId="0" fillId="157" borderId="54" xfId="0" applyFill="1" applyBorder="1" applyAlignment="1">
      <alignment vertical="center"/>
    </xf>
    <xf numFmtId="0" fontId="0" fillId="157" borderId="54" xfId="0" applyFill="1" applyBorder="1" applyAlignment="1">
      <alignment vertical="center" wrapText="1"/>
    </xf>
    <xf numFmtId="0" fontId="0" fillId="157" borderId="54" xfId="0" applyFill="1" applyBorder="1" applyAlignment="1">
      <alignment horizontal="center" vertical="center"/>
    </xf>
    <xf numFmtId="0" fontId="0" fillId="157" borderId="0" xfId="0" applyFill="1" applyAlignment="1">
      <alignment vertical="center"/>
    </xf>
    <xf numFmtId="0" fontId="207" fillId="79" borderId="56" xfId="0" applyFont="1" applyFill="1" applyBorder="1" applyAlignment="1">
      <alignment horizontal="center" vertical="center"/>
    </xf>
    <xf numFmtId="0" fontId="207" fillId="79" borderId="54" xfId="0" applyFont="1" applyFill="1" applyBorder="1" applyAlignment="1">
      <alignment horizontal="left" vertical="center"/>
    </xf>
    <xf numFmtId="0" fontId="207" fillId="0" borderId="54" xfId="0" applyFont="1" applyBorder="1" applyAlignment="1">
      <alignment horizontal="left" vertical="center" wrapText="1"/>
    </xf>
    <xf numFmtId="3" fontId="207" fillId="0" borderId="54" xfId="0" applyNumberFormat="1" applyFont="1" applyBorder="1" applyAlignment="1">
      <alignment vertical="center"/>
    </xf>
    <xf numFmtId="3" fontId="207" fillId="135" borderId="54" xfId="0" applyNumberFormat="1" applyFont="1" applyFill="1" applyBorder="1" applyAlignment="1">
      <alignment vertical="center"/>
    </xf>
    <xf numFmtId="3" fontId="207" fillId="0" borderId="58" xfId="0" applyNumberFormat="1" applyFont="1" applyBorder="1" applyAlignment="1">
      <alignment vertical="center"/>
    </xf>
    <xf numFmtId="3" fontId="199" fillId="113" borderId="54" xfId="0" applyNumberFormat="1" applyFont="1" applyFill="1" applyBorder="1" applyAlignment="1">
      <alignment horizontal="center" vertical="center"/>
    </xf>
    <xf numFmtId="3" fontId="199" fillId="113" borderId="54" xfId="0" applyNumberFormat="1" applyFont="1" applyFill="1" applyBorder="1" applyAlignment="1">
      <alignment horizontal="right" vertical="center"/>
    </xf>
    <xf numFmtId="0" fontId="199" fillId="113" borderId="54" xfId="0" applyFont="1" applyFill="1" applyBorder="1" applyAlignment="1">
      <alignment horizontal="center" vertical="center"/>
    </xf>
    <xf numFmtId="3" fontId="199" fillId="113" borderId="54" xfId="0" applyNumberFormat="1" applyFont="1" applyFill="1" applyBorder="1" applyAlignment="1">
      <alignment horizontal="left" vertical="center" wrapText="1"/>
    </xf>
    <xf numFmtId="3" fontId="199" fillId="113" borderId="54" xfId="0" applyNumberFormat="1" applyFont="1" applyFill="1" applyBorder="1" applyAlignment="1">
      <alignment horizontal="center" vertical="center" wrapText="1"/>
    </xf>
    <xf numFmtId="14" fontId="0" fillId="0" borderId="59" xfId="30294" applyNumberFormat="1" applyFont="1" applyBorder="1" applyAlignment="1">
      <alignment horizontal="center" vertical="center"/>
    </xf>
    <xf numFmtId="0" fontId="207" fillId="0" borderId="19" xfId="0" applyFont="1" applyBorder="1" applyAlignment="1">
      <alignment horizontal="left" vertical="center"/>
    </xf>
    <xf numFmtId="0" fontId="207" fillId="0" borderId="19" xfId="0" applyFont="1" applyBorder="1" applyAlignment="1">
      <alignment horizontal="center" vertical="center"/>
    </xf>
    <xf numFmtId="0" fontId="207" fillId="121" borderId="19" xfId="0" applyFont="1" applyFill="1" applyBorder="1" applyAlignment="1">
      <alignment horizontal="center" vertical="center"/>
    </xf>
    <xf numFmtId="257" fontId="201" fillId="88" borderId="19" xfId="25429" applyNumberFormat="1" applyFont="1" applyFill="1" applyBorder="1" applyAlignment="1">
      <alignment horizontal="center" vertical="center" wrapText="1"/>
    </xf>
    <xf numFmtId="0" fontId="207" fillId="107" borderId="19" xfId="0" applyFont="1" applyFill="1" applyBorder="1" applyAlignment="1">
      <alignment horizontal="center" vertical="center" wrapText="1"/>
    </xf>
    <xf numFmtId="0" fontId="207" fillId="109" borderId="19" xfId="0" applyFont="1" applyFill="1" applyBorder="1" applyAlignment="1">
      <alignment horizontal="center" vertical="center" wrapText="1"/>
    </xf>
    <xf numFmtId="0" fontId="207" fillId="105" borderId="19" xfId="0" applyFont="1" applyFill="1" applyBorder="1" applyAlignment="1">
      <alignment horizontal="center" vertical="center" wrapText="1"/>
    </xf>
    <xf numFmtId="0" fontId="207" fillId="88" borderId="54" xfId="0" applyFont="1" applyFill="1" applyBorder="1" applyAlignment="1">
      <alignment horizontal="center" vertical="center" wrapText="1"/>
    </xf>
    <xf numFmtId="0" fontId="207" fillId="135" borderId="54" xfId="0" applyFont="1" applyFill="1" applyBorder="1" applyAlignment="1">
      <alignment vertical="center"/>
    </xf>
    <xf numFmtId="0" fontId="207" fillId="0" borderId="0" xfId="0" applyFont="1" applyAlignment="1">
      <alignment vertical="center"/>
    </xf>
    <xf numFmtId="0" fontId="207" fillId="0" borderId="54" xfId="0" applyFont="1" applyBorder="1" applyAlignment="1">
      <alignment horizontal="left" vertical="center"/>
    </xf>
    <xf numFmtId="0" fontId="207" fillId="0" borderId="54" xfId="0" applyFont="1" applyBorder="1" applyAlignment="1">
      <alignment horizontal="center" vertical="center"/>
    </xf>
    <xf numFmtId="0" fontId="207" fillId="121" borderId="54" xfId="0" applyFont="1" applyFill="1" applyBorder="1" applyAlignment="1">
      <alignment horizontal="center" vertical="center"/>
    </xf>
    <xf numFmtId="0" fontId="207" fillId="107" borderId="54" xfId="0" applyFont="1" applyFill="1" applyBorder="1" applyAlignment="1">
      <alignment horizontal="center" vertical="center" wrapText="1"/>
    </xf>
    <xf numFmtId="0" fontId="207" fillId="105" borderId="54" xfId="0" applyFont="1" applyFill="1" applyBorder="1" applyAlignment="1">
      <alignment horizontal="center" vertical="center" wrapText="1"/>
    </xf>
    <xf numFmtId="0" fontId="207" fillId="147" borderId="54" xfId="0" applyFont="1" applyFill="1" applyBorder="1" applyAlignment="1">
      <alignment horizontal="left" vertical="center"/>
    </xf>
    <xf numFmtId="3" fontId="207" fillId="107" borderId="54" xfId="0" applyNumberFormat="1" applyFont="1" applyFill="1" applyBorder="1" applyAlignment="1">
      <alignment vertical="center" wrapText="1"/>
    </xf>
    <xf numFmtId="3" fontId="207" fillId="109" borderId="54" xfId="0" applyNumberFormat="1" applyFont="1" applyFill="1" applyBorder="1" applyAlignment="1">
      <alignment vertical="center" wrapText="1"/>
    </xf>
    <xf numFmtId="3" fontId="207" fillId="105" borderId="54" xfId="0" applyNumberFormat="1" applyFont="1" applyFill="1" applyBorder="1" applyAlignment="1">
      <alignment vertical="center" wrapText="1"/>
    </xf>
    <xf numFmtId="0" fontId="207" fillId="147" borderId="19" xfId="0" applyFont="1" applyFill="1" applyBorder="1" applyAlignment="1">
      <alignment horizontal="center" vertical="center"/>
    </xf>
    <xf numFmtId="210" fontId="198" fillId="121" borderId="54" xfId="0" applyNumberFormat="1" applyFont="1" applyFill="1" applyBorder="1" applyAlignment="1">
      <alignment horizontal="center" vertical="center" wrapText="1"/>
    </xf>
    <xf numFmtId="0" fontId="207" fillId="147" borderId="54" xfId="30294" applyFill="1" applyBorder="1" applyAlignment="1">
      <alignment horizontal="left" vertical="center"/>
    </xf>
    <xf numFmtId="0" fontId="207" fillId="147" borderId="54" xfId="0" applyFont="1" applyFill="1" applyBorder="1" applyAlignment="1">
      <alignment vertical="center"/>
    </xf>
    <xf numFmtId="0" fontId="207" fillId="147" borderId="54" xfId="0" applyFont="1" applyFill="1" applyBorder="1" applyAlignment="1">
      <alignment horizontal="center" vertical="center"/>
    </xf>
    <xf numFmtId="0" fontId="207" fillId="147" borderId="19" xfId="0" applyFont="1" applyFill="1" applyBorder="1" applyAlignment="1">
      <alignment horizontal="left" vertical="center"/>
    </xf>
    <xf numFmtId="0" fontId="207" fillId="147" borderId="19" xfId="0" applyFont="1" applyFill="1" applyBorder="1" applyAlignment="1">
      <alignment vertical="center"/>
    </xf>
    <xf numFmtId="0" fontId="198" fillId="134" borderId="19" xfId="0" applyFont="1" applyFill="1" applyBorder="1" applyAlignment="1">
      <alignment horizontal="left" vertical="center" wrapText="1"/>
    </xf>
    <xf numFmtId="0" fontId="207" fillId="147" borderId="54" xfId="30294" applyFill="1" applyBorder="1" applyAlignment="1">
      <alignment vertical="center"/>
    </xf>
    <xf numFmtId="0" fontId="198" fillId="152" borderId="54" xfId="0" applyFont="1" applyFill="1" applyBorder="1" applyAlignment="1">
      <alignment horizontal="left" vertical="center" wrapText="1"/>
    </xf>
    <xf numFmtId="0" fontId="207" fillId="147" borderId="19" xfId="30294" applyFill="1" applyBorder="1" applyAlignment="1">
      <alignment vertical="center"/>
    </xf>
    <xf numFmtId="0" fontId="207" fillId="0" borderId="19" xfId="30294" applyBorder="1" applyAlignment="1">
      <alignment horizontal="left" vertical="center"/>
    </xf>
    <xf numFmtId="0" fontId="211" fillId="145" borderId="54" xfId="30294" applyFont="1" applyFill="1" applyBorder="1" applyAlignment="1">
      <alignment horizontal="left" vertical="center" wrapText="1"/>
    </xf>
    <xf numFmtId="257" fontId="199" fillId="113" borderId="54" xfId="0" applyNumberFormat="1" applyFont="1" applyFill="1" applyBorder="1" applyAlignment="1">
      <alignment horizontal="right" vertical="center"/>
    </xf>
    <xf numFmtId="257" fontId="199" fillId="149" borderId="54" xfId="0" applyNumberFormat="1" applyFont="1" applyFill="1" applyBorder="1" applyAlignment="1">
      <alignment horizontal="right" vertical="center"/>
    </xf>
    <xf numFmtId="0" fontId="207" fillId="158" borderId="19" xfId="0" applyFont="1" applyFill="1" applyBorder="1" applyAlignment="1">
      <alignment horizontal="center" vertical="center" wrapText="1"/>
    </xf>
    <xf numFmtId="0" fontId="0" fillId="0" borderId="54" xfId="30294" applyFont="1" applyBorder="1" applyAlignment="1">
      <alignment horizontal="left" vertical="center"/>
    </xf>
    <xf numFmtId="0" fontId="0" fillId="0" borderId="54" xfId="30294" applyFont="1" applyBorder="1" applyAlignment="1">
      <alignment horizontal="left" vertical="center" wrapText="1"/>
    </xf>
    <xf numFmtId="0" fontId="198" fillId="0" borderId="54" xfId="0" applyFont="1" applyBorder="1" applyAlignment="1">
      <alignment horizontal="left" vertical="center"/>
    </xf>
    <xf numFmtId="0" fontId="198" fillId="121" borderId="54" xfId="0" applyFont="1" applyFill="1" applyBorder="1" applyAlignment="1">
      <alignment horizontal="left" vertical="center"/>
    </xf>
    <xf numFmtId="0" fontId="198" fillId="121" borderId="19" xfId="0" applyFont="1" applyFill="1" applyBorder="1" applyAlignment="1">
      <alignment horizontal="left" vertical="center"/>
    </xf>
    <xf numFmtId="0" fontId="198" fillId="122" borderId="19" xfId="0" applyFont="1" applyFill="1" applyBorder="1" applyAlignment="1">
      <alignment horizontal="left" vertical="center"/>
    </xf>
    <xf numFmtId="0" fontId="198" fillId="122" borderId="54" xfId="0" applyFont="1" applyFill="1" applyBorder="1" applyAlignment="1">
      <alignment horizontal="left" vertical="center"/>
    </xf>
    <xf numFmtId="0" fontId="202" fillId="0" borderId="19" xfId="0" applyFont="1" applyBorder="1" applyAlignment="1">
      <alignment horizontal="left" vertical="center"/>
    </xf>
    <xf numFmtId="3" fontId="202" fillId="111" borderId="18" xfId="0" applyNumberFormat="1" applyFont="1" applyFill="1" applyBorder="1" applyAlignment="1">
      <alignment horizontal="right" vertical="center"/>
    </xf>
    <xf numFmtId="0" fontId="198" fillId="134" borderId="19" xfId="0" applyFont="1" applyFill="1" applyBorder="1" applyAlignment="1">
      <alignment horizontal="left" vertical="center"/>
    </xf>
    <xf numFmtId="0" fontId="198" fillId="89" borderId="19" xfId="0" applyFont="1" applyFill="1" applyBorder="1" applyAlignment="1">
      <alignment horizontal="left" vertical="center"/>
    </xf>
    <xf numFmtId="0" fontId="198" fillId="89" borderId="54" xfId="0" applyFont="1" applyFill="1" applyBorder="1" applyAlignment="1">
      <alignment horizontal="left" vertical="center"/>
    </xf>
    <xf numFmtId="0" fontId="198" fillId="123" borderId="19" xfId="0" applyFont="1" applyFill="1" applyBorder="1" applyAlignment="1">
      <alignment horizontal="left" vertical="center"/>
    </xf>
    <xf numFmtId="0" fontId="198" fillId="123" borderId="54" xfId="0" applyFont="1" applyFill="1" applyBorder="1" applyAlignment="1">
      <alignment horizontal="left" vertical="center"/>
    </xf>
    <xf numFmtId="0" fontId="199" fillId="115" borderId="19" xfId="0" applyFont="1" applyFill="1" applyBorder="1" applyAlignment="1">
      <alignment horizontal="right" vertical="center"/>
    </xf>
    <xf numFmtId="0" fontId="199" fillId="117" borderId="19" xfId="0" applyFont="1" applyFill="1" applyBorder="1" applyAlignment="1">
      <alignment horizontal="right" vertical="center"/>
    </xf>
    <xf numFmtId="4" fontId="198" fillId="0" borderId="54" xfId="0" applyNumberFormat="1" applyFont="1" applyBorder="1" applyAlignment="1">
      <alignment horizontal="right" vertical="center" wrapText="1"/>
    </xf>
    <xf numFmtId="4" fontId="198" fillId="0" borderId="19" xfId="0" applyNumberFormat="1" applyFont="1" applyBorder="1" applyAlignment="1">
      <alignment horizontal="right" vertical="center" wrapText="1"/>
    </xf>
    <xf numFmtId="4" fontId="198" fillId="122" borderId="19" xfId="0" applyNumberFormat="1" applyFont="1" applyFill="1" applyBorder="1" applyAlignment="1">
      <alignment horizontal="right" vertical="center" wrapText="1"/>
    </xf>
    <xf numFmtId="4" fontId="198" fillId="122" borderId="54" xfId="0" applyNumberFormat="1" applyFont="1" applyFill="1" applyBorder="1" applyAlignment="1">
      <alignment horizontal="right" vertical="center" wrapText="1"/>
    </xf>
    <xf numFmtId="4" fontId="202" fillId="111" borderId="19" xfId="0" applyNumberFormat="1" applyFont="1" applyFill="1" applyBorder="1" applyAlignment="1">
      <alignment horizontal="right" vertical="center" wrapText="1"/>
    </xf>
    <xf numFmtId="4" fontId="198" fillId="152" borderId="19" xfId="0" applyNumberFormat="1" applyFont="1" applyFill="1" applyBorder="1" applyAlignment="1">
      <alignment horizontal="right" vertical="center" wrapText="1"/>
    </xf>
    <xf numFmtId="4" fontId="198" fillId="152" borderId="54" xfId="0" applyNumberFormat="1" applyFont="1" applyFill="1" applyBorder="1" applyAlignment="1">
      <alignment horizontal="right" vertical="center" wrapText="1"/>
    </xf>
    <xf numFmtId="4" fontId="198" fillId="147" borderId="54" xfId="0" applyNumberFormat="1" applyFont="1" applyFill="1" applyBorder="1" applyAlignment="1">
      <alignment horizontal="right" vertical="center" wrapText="1"/>
    </xf>
    <xf numFmtId="4" fontId="0" fillId="106" borderId="19" xfId="0" applyNumberFormat="1" applyFill="1" applyBorder="1" applyAlignment="1">
      <alignment horizontal="right" vertical="center" wrapText="1"/>
    </xf>
    <xf numFmtId="4" fontId="0" fillId="94" borderId="19" xfId="0" applyNumberFormat="1" applyFill="1" applyBorder="1" applyAlignment="1">
      <alignment horizontal="right" vertical="center" wrapText="1"/>
    </xf>
    <xf numFmtId="4" fontId="202" fillId="94" borderId="19" xfId="0" applyNumberFormat="1" applyFont="1" applyFill="1" applyBorder="1" applyAlignment="1">
      <alignment horizontal="right" vertical="center" wrapText="1"/>
    </xf>
    <xf numFmtId="4" fontId="0" fillId="58" borderId="19" xfId="0" applyNumberFormat="1" applyFill="1" applyBorder="1" applyAlignment="1">
      <alignment horizontal="right" vertical="center" wrapText="1"/>
    </xf>
    <xf numFmtId="4" fontId="0" fillId="144" borderId="19" xfId="0" applyNumberFormat="1" applyFill="1" applyBorder="1" applyAlignment="1">
      <alignment horizontal="right" vertical="center" wrapText="1"/>
    </xf>
    <xf numFmtId="4" fontId="0" fillId="0" borderId="19" xfId="0" applyNumberFormat="1" applyBorder="1" applyAlignment="1">
      <alignment horizontal="right" vertical="center" wrapText="1"/>
    </xf>
    <xf numFmtId="4" fontId="202" fillId="111" borderId="54" xfId="0" applyNumberFormat="1" applyFont="1" applyFill="1" applyBorder="1" applyAlignment="1">
      <alignment horizontal="right" vertical="center" wrapText="1"/>
    </xf>
    <xf numFmtId="4" fontId="0" fillId="147" borderId="54" xfId="0" applyNumberFormat="1" applyFill="1" applyBorder="1" applyAlignment="1">
      <alignment horizontal="right" vertical="center" wrapText="1"/>
    </xf>
    <xf numFmtId="4" fontId="202" fillId="111" borderId="18" xfId="0" applyNumberFormat="1" applyFont="1" applyFill="1" applyBorder="1" applyAlignment="1">
      <alignment horizontal="right" vertical="center" wrapText="1"/>
    </xf>
    <xf numFmtId="4" fontId="207" fillId="153" borderId="0" xfId="0" applyNumberFormat="1" applyFont="1" applyFill="1" applyAlignment="1">
      <alignment horizontal="center" vertical="center" wrapText="1"/>
    </xf>
    <xf numFmtId="4" fontId="0" fillId="154" borderId="19" xfId="0" applyNumberFormat="1" applyFill="1" applyBorder="1" applyAlignment="1">
      <alignment horizontal="right" vertical="center" wrapText="1"/>
    </xf>
    <xf numFmtId="4" fontId="199" fillId="110" borderId="19" xfId="0" applyNumberFormat="1" applyFont="1" applyFill="1" applyBorder="1" applyAlignment="1">
      <alignment horizontal="right" vertical="center" wrapText="1"/>
    </xf>
    <xf numFmtId="4" fontId="199" fillId="113" borderId="19" xfId="0" applyNumberFormat="1" applyFont="1" applyFill="1" applyBorder="1" applyAlignment="1">
      <alignment horizontal="right" vertical="center" wrapText="1"/>
    </xf>
    <xf numFmtId="4" fontId="0" fillId="115" borderId="19" xfId="0" applyNumberFormat="1" applyFill="1" applyBorder="1" applyAlignment="1">
      <alignment horizontal="right" vertical="center" wrapText="1"/>
    </xf>
    <xf numFmtId="4" fontId="0" fillId="117" borderId="19" xfId="0" applyNumberFormat="1" applyFill="1" applyBorder="1" applyAlignment="1">
      <alignment horizontal="right" vertical="center" wrapText="1"/>
    </xf>
    <xf numFmtId="4" fontId="199" fillId="113" borderId="54" xfId="0" applyNumberFormat="1" applyFont="1" applyFill="1" applyBorder="1" applyAlignment="1">
      <alignment horizontal="right" vertical="center" wrapText="1"/>
    </xf>
    <xf numFmtId="4" fontId="199" fillId="149" borderId="54" xfId="0" applyNumberFormat="1" applyFont="1" applyFill="1" applyBorder="1" applyAlignment="1">
      <alignment horizontal="right" vertical="center" wrapText="1"/>
    </xf>
    <xf numFmtId="4" fontId="0" fillId="0" borderId="0" xfId="0" applyNumberFormat="1" applyAlignment="1">
      <alignment horizontal="center" vertical="center" wrapText="1"/>
    </xf>
    <xf numFmtId="4" fontId="198" fillId="121" borderId="54" xfId="0" applyNumberFormat="1" applyFont="1" applyFill="1" applyBorder="1" applyAlignment="1">
      <alignment horizontal="right" vertical="center" wrapText="1"/>
    </xf>
    <xf numFmtId="4" fontId="198" fillId="94" borderId="19" xfId="0" applyNumberFormat="1" applyFont="1" applyFill="1" applyBorder="1" applyAlignment="1">
      <alignment horizontal="right" vertical="center" wrapText="1"/>
    </xf>
    <xf numFmtId="4" fontId="207" fillId="159" borderId="0" xfId="0" applyNumberFormat="1" applyFont="1" applyFill="1" applyAlignment="1">
      <alignment horizontal="center" vertical="center" wrapText="1"/>
    </xf>
    <xf numFmtId="0" fontId="207" fillId="159" borderId="0" xfId="0" applyFont="1" applyFill="1" applyAlignment="1">
      <alignment vertical="center"/>
    </xf>
    <xf numFmtId="0" fontId="211" fillId="0" borderId="57" xfId="30294" applyFont="1" applyBorder="1" applyAlignment="1">
      <alignment horizontal="center" vertical="center"/>
    </xf>
    <xf numFmtId="0" fontId="211" fillId="0" borderId="59" xfId="30294" applyFont="1" applyBorder="1" applyAlignment="1">
      <alignment vertical="center"/>
    </xf>
    <xf numFmtId="0" fontId="211" fillId="0" borderId="59" xfId="30294" applyFont="1" applyBorder="1" applyAlignment="1">
      <alignment horizontal="center" vertical="center"/>
    </xf>
    <xf numFmtId="0" fontId="211" fillId="0" borderId="59" xfId="30294" applyFont="1" applyBorder="1" applyAlignment="1">
      <alignment horizontal="right" vertical="center"/>
    </xf>
    <xf numFmtId="3" fontId="207" fillId="111" borderId="19" xfId="0" applyNumberFormat="1" applyFont="1" applyFill="1" applyBorder="1" applyAlignment="1">
      <alignment horizontal="right" vertical="center"/>
    </xf>
    <xf numFmtId="3" fontId="207" fillId="111" borderId="19" xfId="0" applyNumberFormat="1" applyFont="1" applyFill="1" applyBorder="1" applyAlignment="1">
      <alignment horizontal="left" vertical="center"/>
    </xf>
    <xf numFmtId="0" fontId="207" fillId="94" borderId="54" xfId="0" applyFont="1" applyFill="1" applyBorder="1" applyAlignment="1">
      <alignment vertical="center"/>
    </xf>
    <xf numFmtId="0" fontId="207" fillId="148" borderId="54" xfId="0" applyFont="1" applyFill="1" applyBorder="1" applyAlignment="1">
      <alignment horizontal="left" vertical="center"/>
    </xf>
    <xf numFmtId="0" fontId="207" fillId="154" borderId="19" xfId="0" applyFont="1" applyFill="1" applyBorder="1" applyAlignment="1">
      <alignment vertical="center"/>
    </xf>
    <xf numFmtId="0" fontId="207" fillId="110" borderId="19" xfId="0" applyFont="1" applyFill="1" applyBorder="1" applyAlignment="1">
      <alignment horizontal="right" vertical="center"/>
    </xf>
    <xf numFmtId="3" fontId="207" fillId="113" borderId="19" xfId="0" applyNumberFormat="1" applyFont="1" applyFill="1" applyBorder="1" applyAlignment="1">
      <alignment horizontal="right" vertical="center"/>
    </xf>
    <xf numFmtId="0" fontId="207" fillId="115" borderId="19" xfId="0" applyFont="1" applyFill="1" applyBorder="1" applyAlignment="1">
      <alignment horizontal="right" vertical="center"/>
    </xf>
    <xf numFmtId="0" fontId="207" fillId="117" borderId="19" xfId="0" applyFont="1" applyFill="1" applyBorder="1" applyAlignment="1">
      <alignment horizontal="right" vertical="center"/>
    </xf>
    <xf numFmtId="3" fontId="207" fillId="113" borderId="54" xfId="0" applyNumberFormat="1" applyFont="1" applyFill="1" applyBorder="1" applyAlignment="1">
      <alignment horizontal="right" vertical="center"/>
    </xf>
    <xf numFmtId="3" fontId="207" fillId="149" borderId="54" xfId="0" applyNumberFormat="1" applyFont="1" applyFill="1" applyBorder="1" applyAlignment="1">
      <alignment horizontal="right" vertical="center"/>
    </xf>
    <xf numFmtId="4" fontId="198" fillId="144" borderId="54" xfId="0" applyNumberFormat="1" applyFont="1" applyFill="1" applyBorder="1" applyAlignment="1">
      <alignment horizontal="right" vertical="center" wrapText="1"/>
    </xf>
    <xf numFmtId="4" fontId="198" fillId="124" borderId="19" xfId="0" applyNumberFormat="1" applyFont="1" applyFill="1" applyBorder="1" applyAlignment="1">
      <alignment horizontal="right" vertical="center" wrapText="1"/>
    </xf>
    <xf numFmtId="4" fontId="198" fillId="147" borderId="19" xfId="0" applyNumberFormat="1" applyFont="1" applyFill="1" applyBorder="1" applyAlignment="1">
      <alignment horizontal="right" vertical="center" wrapText="1"/>
    </xf>
    <xf numFmtId="0" fontId="198" fillId="144" borderId="54" xfId="0" applyFont="1" applyFill="1" applyBorder="1" applyAlignment="1">
      <alignment horizontal="left" vertical="center" wrapText="1"/>
    </xf>
    <xf numFmtId="0" fontId="198" fillId="106" borderId="54" xfId="0" applyFont="1" applyFill="1" applyBorder="1" applyAlignment="1">
      <alignment horizontal="left" vertical="center"/>
    </xf>
    <xf numFmtId="0" fontId="198" fillId="160" borderId="54" xfId="0" applyFont="1" applyFill="1" applyBorder="1" applyAlignment="1">
      <alignment horizontal="left" vertical="center"/>
    </xf>
    <xf numFmtId="4" fontId="198" fillId="58" borderId="19" xfId="0" applyNumberFormat="1" applyFont="1" applyFill="1" applyBorder="1" applyAlignment="1">
      <alignment horizontal="right" vertical="center" wrapText="1"/>
    </xf>
    <xf numFmtId="2" fontId="164" fillId="84" borderId="0" xfId="27723" applyNumberFormat="1" applyFill="1"/>
    <xf numFmtId="0" fontId="0" fillId="152" borderId="19" xfId="0" applyFill="1" applyBorder="1" applyAlignment="1">
      <alignment horizontal="center" vertical="center"/>
    </xf>
    <xf numFmtId="0" fontId="0" fillId="152" borderId="54" xfId="0" applyFill="1" applyBorder="1" applyAlignment="1">
      <alignment horizontal="center" vertical="center"/>
    </xf>
    <xf numFmtId="0" fontId="207" fillId="152" borderId="19" xfId="0" applyFont="1" applyFill="1" applyBorder="1" applyAlignment="1">
      <alignment horizontal="center" vertical="center"/>
    </xf>
    <xf numFmtId="0" fontId="207" fillId="152" borderId="54" xfId="0" applyFont="1" applyFill="1" applyBorder="1" applyAlignment="1">
      <alignment horizontal="center" vertical="center"/>
    </xf>
    <xf numFmtId="0" fontId="198" fillId="160" borderId="54" xfId="0" applyFont="1" applyFill="1" applyBorder="1" applyAlignment="1">
      <alignment horizontal="left" vertical="center" wrapText="1"/>
    </xf>
    <xf numFmtId="0" fontId="0" fillId="161" borderId="19" xfId="0" applyFill="1" applyBorder="1" applyAlignment="1">
      <alignment horizontal="center" vertical="center" wrapText="1"/>
    </xf>
    <xf numFmtId="0" fontId="0" fillId="161" borderId="54" xfId="0" applyFill="1" applyBorder="1" applyAlignment="1">
      <alignment horizontal="center" vertical="center" wrapText="1"/>
    </xf>
    <xf numFmtId="0" fontId="207" fillId="161" borderId="54" xfId="0" applyFont="1" applyFill="1" applyBorder="1" applyAlignment="1">
      <alignment horizontal="center" vertical="center" wrapText="1"/>
    </xf>
    <xf numFmtId="0" fontId="0" fillId="143" borderId="54" xfId="0" applyFill="1" applyBorder="1" applyAlignment="1">
      <alignment horizontal="center" vertical="center"/>
    </xf>
    <xf numFmtId="0" fontId="207" fillId="162" borderId="19" xfId="30294" applyFill="1" applyBorder="1" applyAlignment="1">
      <alignment horizontal="left" vertical="center"/>
    </xf>
    <xf numFmtId="0" fontId="207" fillId="162" borderId="19" xfId="0" applyFont="1" applyFill="1" applyBorder="1" applyAlignment="1">
      <alignment horizontal="left" vertical="center"/>
    </xf>
    <xf numFmtId="0" fontId="207" fillId="162" borderId="19" xfId="0" applyFont="1" applyFill="1" applyBorder="1" applyAlignment="1">
      <alignment horizontal="center" vertical="center"/>
    </xf>
    <xf numFmtId="0" fontId="207" fillId="163" borderId="19" xfId="0" applyFont="1" applyFill="1" applyBorder="1" applyAlignment="1">
      <alignment horizontal="center" vertical="center"/>
    </xf>
    <xf numFmtId="4" fontId="198" fillId="164" borderId="19" xfId="0" applyNumberFormat="1" applyFont="1" applyFill="1" applyBorder="1" applyAlignment="1">
      <alignment horizontal="right" vertical="center" wrapText="1"/>
    </xf>
    <xf numFmtId="4" fontId="198" fillId="124" borderId="54" xfId="0" applyNumberFormat="1" applyFont="1" applyFill="1" applyBorder="1" applyAlignment="1">
      <alignment horizontal="right" vertical="center" wrapText="1"/>
    </xf>
    <xf numFmtId="0" fontId="207" fillId="162" borderId="56" xfId="30294" applyFill="1" applyBorder="1" applyAlignment="1">
      <alignment horizontal="center" vertical="center"/>
    </xf>
    <xf numFmtId="14" fontId="207" fillId="162" borderId="54" xfId="30294" applyNumberFormat="1" applyFill="1" applyBorder="1" applyAlignment="1">
      <alignment horizontal="center" vertical="center"/>
    </xf>
    <xf numFmtId="0" fontId="207" fillId="162" borderId="54" xfId="30294" applyFill="1" applyBorder="1" applyAlignment="1">
      <alignment vertical="center"/>
    </xf>
    <xf numFmtId="0" fontId="207" fillId="162" borderId="54" xfId="30294" applyFill="1" applyBorder="1" applyAlignment="1">
      <alignment horizontal="center" vertical="center"/>
    </xf>
    <xf numFmtId="0" fontId="207" fillId="162" borderId="54" xfId="30294" applyFill="1" applyBorder="1" applyAlignment="1">
      <alignment horizontal="right" vertical="center"/>
    </xf>
    <xf numFmtId="0" fontId="199" fillId="165" borderId="54" xfId="30294" applyFont="1" applyFill="1" applyBorder="1" applyAlignment="1">
      <alignment horizontal="center" vertical="center"/>
    </xf>
    <xf numFmtId="14" fontId="211" fillId="0" borderId="59" xfId="30294" applyNumberFormat="1" applyFont="1" applyBorder="1" applyAlignment="1">
      <alignment horizontal="center" vertical="center"/>
    </xf>
    <xf numFmtId="0" fontId="207" fillId="166" borderId="54" xfId="30294" applyFill="1" applyBorder="1" applyAlignment="1">
      <alignment horizontal="left" vertical="center"/>
    </xf>
    <xf numFmtId="0" fontId="207" fillId="166" borderId="54" xfId="30294" applyFill="1" applyBorder="1" applyAlignment="1">
      <alignment horizontal="left" vertical="center" wrapText="1"/>
    </xf>
    <xf numFmtId="0" fontId="207" fillId="162" borderId="19" xfId="0" applyFont="1" applyFill="1" applyBorder="1" applyAlignment="1">
      <alignment vertical="center"/>
    </xf>
    <xf numFmtId="0" fontId="198" fillId="163" borderId="19" xfId="0" applyFont="1" applyFill="1" applyBorder="1" applyAlignment="1">
      <alignment horizontal="left" vertical="center" wrapText="1"/>
    </xf>
    <xf numFmtId="0" fontId="198" fillId="163" borderId="19" xfId="0" applyFont="1" applyFill="1" applyBorder="1" applyAlignment="1">
      <alignment horizontal="left" vertical="center"/>
    </xf>
    <xf numFmtId="210" fontId="198" fillId="163" borderId="19" xfId="0" applyNumberFormat="1" applyFont="1" applyFill="1" applyBorder="1" applyAlignment="1">
      <alignment horizontal="center" vertical="center" wrapText="1"/>
    </xf>
    <xf numFmtId="4" fontId="198" fillId="163" borderId="19" xfId="0" applyNumberFormat="1" applyFont="1" applyFill="1" applyBorder="1" applyAlignment="1">
      <alignment horizontal="right" vertical="center" wrapText="1"/>
    </xf>
    <xf numFmtId="0" fontId="198" fillId="152" borderId="54" xfId="0" applyFont="1" applyFill="1" applyBorder="1" applyAlignment="1">
      <alignment horizontal="left" vertical="center"/>
    </xf>
    <xf numFmtId="0" fontId="199" fillId="0" borderId="54" xfId="30294" applyFont="1" applyBorder="1" applyAlignment="1">
      <alignment horizontal="center" vertical="center"/>
    </xf>
    <xf numFmtId="0" fontId="199" fillId="0" borderId="58" xfId="30294" applyFont="1" applyBorder="1" applyAlignment="1">
      <alignment horizontal="center" vertical="center"/>
    </xf>
    <xf numFmtId="0" fontId="199" fillId="167" borderId="50" xfId="30294" applyFont="1" applyFill="1" applyBorder="1" applyAlignment="1">
      <alignment horizontal="center" vertical="top" wrapText="1"/>
    </xf>
    <xf numFmtId="0" fontId="206" fillId="167" borderId="50" xfId="30294" applyFont="1" applyFill="1" applyBorder="1" applyAlignment="1">
      <alignment horizontal="center" vertical="top" wrapText="1"/>
    </xf>
    <xf numFmtId="0" fontId="213" fillId="0" borderId="54" xfId="30294" applyFont="1" applyBorder="1" applyAlignment="1">
      <alignment horizontal="center" vertical="center"/>
    </xf>
    <xf numFmtId="0" fontId="0" fillId="0" borderId="59" xfId="30294" applyFont="1" applyBorder="1" applyAlignment="1">
      <alignment horizontal="left" vertical="center"/>
    </xf>
    <xf numFmtId="0" fontId="207" fillId="0" borderId="59" xfId="30294" applyBorder="1" applyAlignment="1">
      <alignment horizontal="left" vertical="center"/>
    </xf>
    <xf numFmtId="0" fontId="213" fillId="0" borderId="59" xfId="30294" applyFont="1" applyBorder="1" applyAlignment="1">
      <alignment horizontal="center" vertical="center"/>
    </xf>
    <xf numFmtId="0" fontId="199" fillId="0" borderId="59" xfId="30294" applyFont="1" applyBorder="1" applyAlignment="1">
      <alignment horizontal="center" vertical="center"/>
    </xf>
    <xf numFmtId="0" fontId="199" fillId="0" borderId="55" xfId="30294" applyFont="1" applyBorder="1" applyAlignment="1">
      <alignment horizontal="center" vertical="center"/>
    </xf>
    <xf numFmtId="0" fontId="216" fillId="0" borderId="54" xfId="30294" applyFont="1" applyBorder="1" applyAlignment="1">
      <alignment horizontal="center" vertical="center"/>
    </xf>
    <xf numFmtId="0" fontId="210" fillId="0" borderId="54" xfId="30294" applyFont="1" applyBorder="1" applyAlignment="1">
      <alignment horizontal="center" vertical="center"/>
    </xf>
    <xf numFmtId="0" fontId="210" fillId="0" borderId="58" xfId="30294" applyFont="1" applyBorder="1" applyAlignment="1">
      <alignment horizontal="center" vertical="center"/>
    </xf>
    <xf numFmtId="0" fontId="211" fillId="0" borderId="59" xfId="30294" applyFont="1" applyBorder="1" applyAlignment="1">
      <alignment horizontal="left" vertical="center"/>
    </xf>
    <xf numFmtId="0" fontId="210" fillId="0" borderId="59" xfId="30294" applyFont="1" applyBorder="1" applyAlignment="1">
      <alignment horizontal="center" vertical="center"/>
    </xf>
    <xf numFmtId="0" fontId="210" fillId="0" borderId="55" xfId="30294" applyFont="1" applyBorder="1" applyAlignment="1">
      <alignment horizontal="center" vertical="center"/>
    </xf>
    <xf numFmtId="0" fontId="207" fillId="145" borderId="54" xfId="30294" applyFill="1" applyBorder="1" applyAlignment="1">
      <alignment horizontal="left" vertical="center" wrapText="1"/>
    </xf>
    <xf numFmtId="0" fontId="207" fillId="145" borderId="54" xfId="30294" applyFill="1" applyBorder="1" applyAlignment="1">
      <alignment vertical="center" wrapText="1"/>
    </xf>
    <xf numFmtId="0" fontId="207" fillId="0" borderId="19" xfId="0" applyFont="1" applyBorder="1" applyAlignment="1">
      <alignment horizontal="center" vertical="center" wrapText="1"/>
    </xf>
    <xf numFmtId="0" fontId="207" fillId="0" borderId="54" xfId="0" applyFont="1" applyBorder="1" applyAlignment="1">
      <alignment horizontal="center" vertical="center" wrapText="1"/>
    </xf>
    <xf numFmtId="210" fontId="198" fillId="152" borderId="19" xfId="0" applyNumberFormat="1" applyFont="1" applyFill="1" applyBorder="1" applyAlignment="1">
      <alignment horizontal="center" vertical="center" wrapText="1"/>
    </xf>
    <xf numFmtId="0" fontId="198" fillId="152" borderId="19" xfId="0" applyFont="1" applyFill="1" applyBorder="1" applyAlignment="1">
      <alignment horizontal="left" vertical="center" wrapText="1"/>
    </xf>
    <xf numFmtId="0" fontId="198" fillId="152" borderId="19" xfId="0" applyFont="1" applyFill="1" applyBorder="1" applyAlignment="1">
      <alignment horizontal="left" vertical="center"/>
    </xf>
    <xf numFmtId="210" fontId="198" fillId="147" borderId="54" xfId="0" applyNumberFormat="1" applyFont="1" applyFill="1" applyBorder="1" applyAlignment="1">
      <alignment horizontal="center" vertical="center" wrapText="1"/>
    </xf>
    <xf numFmtId="0" fontId="0" fillId="145" borderId="0" xfId="0" applyFill="1" applyAlignment="1">
      <alignment vertical="center"/>
    </xf>
    <xf numFmtId="0" fontId="207" fillId="0" borderId="54" xfId="30294" applyBorder="1" applyAlignment="1">
      <alignment vertical="center" wrapText="1"/>
    </xf>
    <xf numFmtId="0" fontId="211" fillId="145" borderId="59" xfId="30294" applyFont="1" applyFill="1" applyBorder="1" applyAlignment="1">
      <alignment horizontal="left" vertical="center"/>
    </xf>
    <xf numFmtId="0" fontId="207" fillId="145" borderId="59" xfId="30294" applyFill="1" applyBorder="1" applyAlignment="1">
      <alignment vertical="center"/>
    </xf>
    <xf numFmtId="0" fontId="210" fillId="127" borderId="59" xfId="30294" applyFont="1" applyFill="1" applyBorder="1" applyAlignment="1">
      <alignment horizontal="center" vertical="center"/>
    </xf>
    <xf numFmtId="258" fontId="199" fillId="101" borderId="51" xfId="0" applyNumberFormat="1" applyFont="1" applyFill="1" applyBorder="1" applyAlignment="1" applyProtection="1">
      <alignment horizontal="center" vertical="top"/>
      <protection locked="0"/>
    </xf>
    <xf numFmtId="258" fontId="199" fillId="101" borderId="13" xfId="0" applyNumberFormat="1" applyFont="1" applyFill="1" applyBorder="1" applyAlignment="1" applyProtection="1">
      <alignment horizontal="center" vertical="top"/>
      <protection locked="0"/>
    </xf>
    <xf numFmtId="258" fontId="199" fillId="101" borderId="38" xfId="0" applyNumberFormat="1" applyFont="1" applyFill="1" applyBorder="1" applyAlignment="1" applyProtection="1">
      <alignment horizontal="center" vertical="top"/>
      <protection locked="0"/>
    </xf>
    <xf numFmtId="0" fontId="199" fillId="102" borderId="50" xfId="0" applyFont="1" applyFill="1" applyBorder="1" applyAlignment="1" applyProtection="1">
      <alignment horizontal="center" vertical="top"/>
      <protection locked="0"/>
    </xf>
    <xf numFmtId="258" fontId="199" fillId="97" borderId="58" xfId="0" applyNumberFormat="1" applyFont="1" applyFill="1" applyBorder="1" applyAlignment="1" applyProtection="1">
      <alignment horizontal="center" vertical="top"/>
      <protection locked="0"/>
    </xf>
    <xf numFmtId="258" fontId="199" fillId="97" borderId="21" xfId="0" applyNumberFormat="1" applyFont="1" applyFill="1" applyBorder="1" applyAlignment="1" applyProtection="1">
      <alignment horizontal="center" vertical="top"/>
      <protection locked="0"/>
    </xf>
    <xf numFmtId="258" fontId="199" fillId="97" borderId="56" xfId="0" applyNumberFormat="1" applyFont="1" applyFill="1" applyBorder="1" applyAlignment="1" applyProtection="1">
      <alignment horizontal="center" vertical="top"/>
      <protection locked="0"/>
    </xf>
    <xf numFmtId="257" fontId="212" fillId="88" borderId="59" xfId="25429" applyNumberFormat="1" applyFont="1" applyFill="1" applyBorder="1" applyAlignment="1">
      <alignment horizontal="center" vertical="top" wrapText="1"/>
    </xf>
    <xf numFmtId="257" fontId="212" fillId="88" borderId="50" xfId="25429" applyNumberFormat="1" applyFont="1" applyFill="1" applyBorder="1" applyAlignment="1">
      <alignment horizontal="center" vertical="top" wrapText="1"/>
    </xf>
    <xf numFmtId="0" fontId="199" fillId="137" borderId="59" xfId="0" applyFont="1" applyFill="1" applyBorder="1" applyAlignment="1" applyProtection="1">
      <alignment horizontal="center" vertical="top"/>
      <protection locked="0"/>
    </xf>
    <xf numFmtId="0" fontId="199" fillId="137" borderId="50" xfId="0" applyFont="1" applyFill="1" applyBorder="1" applyAlignment="1" applyProtection="1">
      <alignment horizontal="center" vertical="top"/>
      <protection locked="0"/>
    </xf>
    <xf numFmtId="258" fontId="199" fillId="136" borderId="59" xfId="0" applyNumberFormat="1" applyFont="1" applyFill="1" applyBorder="1" applyAlignment="1" applyProtection="1">
      <alignment horizontal="center" vertical="top"/>
      <protection locked="0"/>
    </xf>
    <xf numFmtId="258" fontId="199" fillId="136" borderId="50" xfId="0" applyNumberFormat="1" applyFont="1" applyFill="1" applyBorder="1" applyAlignment="1" applyProtection="1">
      <alignment horizontal="center" vertical="top"/>
      <protection locked="0"/>
    </xf>
    <xf numFmtId="0" fontId="199" fillId="98" borderId="54" xfId="0" applyFont="1" applyFill="1" applyBorder="1" applyAlignment="1" applyProtection="1">
      <alignment horizontal="center" vertical="top"/>
      <protection locked="0"/>
    </xf>
    <xf numFmtId="0" fontId="199" fillId="0" borderId="18" xfId="0" applyFont="1" applyBorder="1" applyAlignment="1">
      <alignment horizontal="center" vertical="top"/>
    </xf>
    <xf numFmtId="0" fontId="199" fillId="0" borderId="50" xfId="0" applyFont="1" applyBorder="1" applyAlignment="1">
      <alignment horizontal="center" vertical="top"/>
    </xf>
    <xf numFmtId="0" fontId="199" fillId="0" borderId="18" xfId="0" applyFont="1" applyBorder="1" applyAlignment="1">
      <alignment horizontal="center" vertical="top" wrapText="1"/>
    </xf>
    <xf numFmtId="0" fontId="199" fillId="0" borderId="50" xfId="0" applyFont="1" applyBorder="1" applyAlignment="1">
      <alignment horizontal="center" vertical="top" wrapText="1"/>
    </xf>
    <xf numFmtId="0" fontId="199" fillId="0" borderId="19" xfId="0" applyFont="1" applyBorder="1" applyAlignment="1">
      <alignment horizontal="center" vertical="top"/>
    </xf>
    <xf numFmtId="0" fontId="199" fillId="93" borderId="19" xfId="0" applyFont="1" applyFill="1" applyBorder="1" applyAlignment="1">
      <alignment horizontal="center" vertical="top" wrapText="1"/>
    </xf>
    <xf numFmtId="0" fontId="199" fillId="0" borderId="19" xfId="0" applyFont="1" applyBorder="1" applyAlignment="1">
      <alignment horizontal="center" vertical="top" wrapText="1"/>
    </xf>
    <xf numFmtId="0" fontId="0" fillId="135" borderId="59" xfId="0" applyFill="1" applyBorder="1" applyAlignment="1">
      <alignment horizontal="center" vertical="top"/>
    </xf>
    <xf numFmtId="0" fontId="0" fillId="135" borderId="50" xfId="0" applyFill="1" applyBorder="1" applyAlignment="1">
      <alignment horizontal="center" vertical="top"/>
    </xf>
    <xf numFmtId="0" fontId="199" fillId="90" borderId="54" xfId="0" applyFont="1" applyFill="1" applyBorder="1" applyAlignment="1" applyProtection="1">
      <alignment horizontal="center" vertical="top"/>
      <protection locked="0"/>
    </xf>
    <xf numFmtId="0" fontId="199" fillId="91" borderId="58" xfId="0" applyFont="1" applyFill="1" applyBorder="1" applyAlignment="1" applyProtection="1">
      <alignment horizontal="center" vertical="top"/>
      <protection locked="0"/>
    </xf>
    <xf numFmtId="0" fontId="199" fillId="91" borderId="21" xfId="0" applyFont="1" applyFill="1" applyBorder="1" applyAlignment="1" applyProtection="1">
      <alignment horizontal="center" vertical="top"/>
      <protection locked="0"/>
    </xf>
    <xf numFmtId="0" fontId="199" fillId="91" borderId="56" xfId="0" applyFont="1" applyFill="1" applyBorder="1" applyAlignment="1" applyProtection="1">
      <alignment horizontal="center" vertical="top"/>
      <protection locked="0"/>
    </xf>
    <xf numFmtId="0" fontId="199" fillId="92" borderId="54" xfId="0" applyFont="1" applyFill="1" applyBorder="1" applyAlignment="1" applyProtection="1">
      <alignment horizontal="center" vertical="top"/>
      <protection locked="0"/>
    </xf>
    <xf numFmtId="258" fontId="199" fillId="99" borderId="58" xfId="0" applyNumberFormat="1" applyFont="1" applyFill="1" applyBorder="1" applyAlignment="1" applyProtection="1">
      <alignment horizontal="center" vertical="top"/>
      <protection locked="0"/>
    </xf>
    <xf numFmtId="258" fontId="199" fillId="99" borderId="21" xfId="0" applyNumberFormat="1" applyFont="1" applyFill="1" applyBorder="1" applyAlignment="1" applyProtection="1">
      <alignment horizontal="center" vertical="top"/>
      <protection locked="0"/>
    </xf>
    <xf numFmtId="258" fontId="199" fillId="99" borderId="56" xfId="0" applyNumberFormat="1" applyFont="1" applyFill="1" applyBorder="1" applyAlignment="1" applyProtection="1">
      <alignment horizontal="center" vertical="top"/>
      <protection locked="0"/>
    </xf>
    <xf numFmtId="257" fontId="201" fillId="88" borderId="59" xfId="25429" applyNumberFormat="1" applyFont="1" applyFill="1" applyBorder="1" applyAlignment="1">
      <alignment horizontal="center" vertical="top" wrapText="1"/>
    </xf>
    <xf numFmtId="257" fontId="201" fillId="88" borderId="50" xfId="25429" applyNumberFormat="1" applyFont="1" applyFill="1" applyBorder="1" applyAlignment="1">
      <alignment horizontal="center" vertical="top" wrapText="1"/>
    </xf>
    <xf numFmtId="0" fontId="199" fillId="100" borderId="19" xfId="0" applyFont="1" applyFill="1" applyBorder="1" applyAlignment="1" applyProtection="1">
      <alignment horizontal="center" vertical="top"/>
      <protection locked="0"/>
    </xf>
    <xf numFmtId="257" fontId="203" fillId="88" borderId="59" xfId="25429" applyNumberFormat="1" applyFont="1" applyFill="1" applyBorder="1" applyAlignment="1">
      <alignment horizontal="center" vertical="top" wrapText="1"/>
    </xf>
    <xf numFmtId="257" fontId="203" fillId="88" borderId="50" xfId="25429" applyNumberFormat="1" applyFont="1" applyFill="1" applyBorder="1" applyAlignment="1">
      <alignment horizontal="center" vertical="top" wrapText="1"/>
    </xf>
    <xf numFmtId="4" fontId="199" fillId="0" borderId="19" xfId="0" applyNumberFormat="1" applyFont="1" applyBorder="1" applyAlignment="1">
      <alignment horizontal="center" vertical="top" wrapText="1"/>
    </xf>
    <xf numFmtId="0" fontId="199" fillId="90" borderId="58" xfId="0" applyFont="1" applyFill="1" applyBorder="1" applyAlignment="1" applyProtection="1">
      <alignment horizontal="center" vertical="top"/>
      <protection locked="0"/>
    </xf>
    <xf numFmtId="0" fontId="199" fillId="90" borderId="21" xfId="0" applyFont="1" applyFill="1" applyBorder="1" applyAlignment="1" applyProtection="1">
      <alignment horizontal="center" vertical="top"/>
      <protection locked="0"/>
    </xf>
    <xf numFmtId="0" fontId="199" fillId="90" borderId="56" xfId="0" applyFont="1" applyFill="1" applyBorder="1" applyAlignment="1" applyProtection="1">
      <alignment horizontal="center" vertical="top"/>
      <protection locked="0"/>
    </xf>
    <xf numFmtId="258" fontId="199" fillId="95" borderId="19" xfId="30294" applyNumberFormat="1" applyFont="1" applyFill="1" applyBorder="1" applyAlignment="1">
      <alignment horizontal="center" vertical="center" wrapText="1"/>
    </xf>
    <xf numFmtId="0" fontId="199" fillId="96" borderId="19" xfId="30294" applyFont="1" applyFill="1" applyBorder="1" applyAlignment="1">
      <alignment horizontal="center" vertical="center" wrapText="1"/>
    </xf>
    <xf numFmtId="0" fontId="204" fillId="79" borderId="19" xfId="30294" applyFont="1" applyFill="1" applyBorder="1" applyAlignment="1">
      <alignment horizontal="center" vertical="center"/>
    </xf>
    <xf numFmtId="0" fontId="199" fillId="89" borderId="19" xfId="30294" applyFont="1" applyFill="1" applyBorder="1" applyAlignment="1">
      <alignment horizontal="center" vertical="center" wrapText="1"/>
    </xf>
    <xf numFmtId="0" fontId="0" fillId="0" borderId="15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0" fillId="0" borderId="49" xfId="0" applyBorder="1" applyAlignment="1">
      <alignment horizontal="right" vertical="center"/>
    </xf>
    <xf numFmtId="49" fontId="199" fillId="95" borderId="19" xfId="30294" applyNumberFormat="1" applyFont="1" applyFill="1" applyBorder="1" applyAlignment="1">
      <alignment horizontal="center" vertical="center" wrapText="1"/>
    </xf>
    <xf numFmtId="0" fontId="205" fillId="0" borderId="18" xfId="0" applyFont="1" applyBorder="1" applyAlignment="1">
      <alignment horizontal="right" vertical="center"/>
    </xf>
    <xf numFmtId="0" fontId="205" fillId="0" borderId="18" xfId="0" applyFont="1" applyBorder="1" applyAlignment="1">
      <alignment horizontal="center" vertical="center"/>
    </xf>
    <xf numFmtId="0" fontId="205" fillId="105" borderId="18" xfId="0" applyFont="1" applyFill="1" applyBorder="1" applyAlignment="1">
      <alignment horizontal="center" vertical="center"/>
    </xf>
    <xf numFmtId="0" fontId="199" fillId="0" borderId="54" xfId="0" applyFont="1" applyBorder="1" applyAlignment="1">
      <alignment horizontal="center" vertical="center"/>
    </xf>
  </cellXfs>
  <cellStyles count="51650">
    <cellStyle name=" 1" xfId="1" xr:uid="{00000000-0005-0000-0000-000000000000}"/>
    <cellStyle name=" 1 2" xfId="2" xr:uid="{00000000-0005-0000-0000-000001000000}"/>
    <cellStyle name="_x000a_386grabber=m" xfId="3" xr:uid="{00000000-0005-0000-0000-000002000000}"/>
    <cellStyle name="$1000s (0)" xfId="4" xr:uid="{00000000-0005-0000-0000-000003000000}"/>
    <cellStyle name="%" xfId="5" xr:uid="{00000000-0005-0000-0000-000004000000}"/>
    <cellStyle name="%_BS_Separation_TaxResIndem_Q12412 tf" xfId="6" xr:uid="{00000000-0005-0000-0000-000005000000}"/>
    <cellStyle name="%_BS_Separation_TaxResIndem_Q12412 tf_Guidance" xfId="7" xr:uid="{00000000-0005-0000-0000-000006000000}"/>
    <cellStyle name="%_BS_Separation_TaxResIndem_Q12412 tf_Guidance 2" xfId="8" xr:uid="{00000000-0005-0000-0000-000007000000}"/>
    <cellStyle name="%_BS_Separation_TaxResIndem_Q12412 tf_Guidance_BS retrieve" xfId="9" xr:uid="{00000000-0005-0000-0000-000008000000}"/>
    <cellStyle name="%_BS_Separation_TaxResIndem_Q12412 tf_Guidance_Free CF" xfId="10" xr:uid="{00000000-0005-0000-0000-000009000000}"/>
    <cellStyle name="%_BS_Separation_TaxResIndem_Q12412 tf_Guidance_P&amp;L Rec Qtr" xfId="11" xr:uid="{00000000-0005-0000-0000-00000A000000}"/>
    <cellStyle name="%_BS_Separation_TaxResIndem_Q12412 tf_Guidance_Sheet1" xfId="12" xr:uid="{00000000-0005-0000-0000-00000B000000}"/>
    <cellStyle name="%_BS_Separation_TaxResIndem_Q12412 tf_Guidance_Sheet2" xfId="13" xr:uid="{00000000-0005-0000-0000-00000C000000}"/>
    <cellStyle name="%_BS_Separation_TaxResIndem_Q12412 tf_Guidance_Sheet3" xfId="14" xr:uid="{00000000-0005-0000-0000-00000D000000}"/>
    <cellStyle name="%_BS_Separation_TaxResIndem_Q12412 tf_Guidance_Sheet4" xfId="15" xr:uid="{00000000-0005-0000-0000-00000E000000}"/>
    <cellStyle name="%_BS_Separation_TaxResIndem_Q12412 tf_II.7. Sep&amp;Discrete" xfId="16" xr:uid="{00000000-0005-0000-0000-00000F000000}"/>
    <cellStyle name="%_BS_Separation_TaxResIndem_Q12412 tf_II.7. Sep&amp;Discrete_Guidance" xfId="17" xr:uid="{00000000-0005-0000-0000-000010000000}"/>
    <cellStyle name="%_BS_Separation_TaxResIndem_Q12412 tf_II.7. Sep&amp;Discrete_Guidance 2" xfId="18" xr:uid="{00000000-0005-0000-0000-000011000000}"/>
    <cellStyle name="%_BS_Separation_TaxResIndem_Q12412 tf_II.7. Sep&amp;Discrete_Guidance_BS retrieve" xfId="19" xr:uid="{00000000-0005-0000-0000-000012000000}"/>
    <cellStyle name="%_BS_Separation_TaxResIndem_Q12412 tf_II.7. Sep&amp;Discrete_Guidance_Free CF" xfId="20" xr:uid="{00000000-0005-0000-0000-000013000000}"/>
    <cellStyle name="%_BS_Separation_TaxResIndem_Q12412 tf_II.7. Sep&amp;Discrete_Guidance_P&amp;L Rec Qtr" xfId="21" xr:uid="{00000000-0005-0000-0000-000014000000}"/>
    <cellStyle name="%_BS_Separation_TaxResIndem_Q12412 tf_II.7. Sep&amp;Discrete_Guidance_Sheet1" xfId="22" xr:uid="{00000000-0005-0000-0000-000015000000}"/>
    <cellStyle name="%_BS_Separation_TaxResIndem_Q12412 tf_II.7. Sep&amp;Discrete_Guidance_Sheet2" xfId="23" xr:uid="{00000000-0005-0000-0000-000016000000}"/>
    <cellStyle name="%_BS_Separation_TaxResIndem_Q12412 tf_II.7. Sep&amp;Discrete_Guidance_Sheet3" xfId="24" xr:uid="{00000000-0005-0000-0000-000017000000}"/>
    <cellStyle name="%_BS_Separation_TaxResIndem_Q12412 tf_II.7. Sep&amp;Discrete_Guidance_Sheet4" xfId="25" xr:uid="{00000000-0005-0000-0000-000018000000}"/>
    <cellStyle name="%_BS_Separation_TaxResIndem_Q12412 tf_Restructuring &amp; Separation" xfId="26" xr:uid="{00000000-0005-0000-0000-000019000000}"/>
    <cellStyle name="%_BS_Separation_TaxResIndem_Q12412 tf_Restructuring &amp; Separation_Guidance" xfId="27" xr:uid="{00000000-0005-0000-0000-00001A000000}"/>
    <cellStyle name="%_BS_Separation_TaxResIndem_Q12412 tf_Restructuring &amp; Separation_Guidance 2" xfId="28" xr:uid="{00000000-0005-0000-0000-00001B000000}"/>
    <cellStyle name="%_BS_Separation_TaxResIndem_Q12412 tf_Restructuring &amp; Separation_Guidance_BS retrieve" xfId="29" xr:uid="{00000000-0005-0000-0000-00001C000000}"/>
    <cellStyle name="%_BS_Separation_TaxResIndem_Q12412 tf_Restructuring &amp; Separation_Guidance_Free CF" xfId="30" xr:uid="{00000000-0005-0000-0000-00001D000000}"/>
    <cellStyle name="%_BS_Separation_TaxResIndem_Q12412 tf_Restructuring &amp; Separation_Guidance_P&amp;L Rec Qtr" xfId="31" xr:uid="{00000000-0005-0000-0000-00001E000000}"/>
    <cellStyle name="%_BS_Separation_TaxResIndem_Q12412 tf_Restructuring &amp; Separation_Guidance_Sheet1" xfId="32" xr:uid="{00000000-0005-0000-0000-00001F000000}"/>
    <cellStyle name="%_BS_Separation_TaxResIndem_Q12412 tf_Restructuring &amp; Separation_Guidance_Sheet2" xfId="33" xr:uid="{00000000-0005-0000-0000-000020000000}"/>
    <cellStyle name="%_BS_Separation_TaxResIndem_Q12412 tf_Restructuring &amp; Separation_Guidance_Sheet3" xfId="34" xr:uid="{00000000-0005-0000-0000-000021000000}"/>
    <cellStyle name="%_BS_Separation_TaxResIndem_Q12412 tf_Restructuring &amp; Separation_Guidance_Sheet4" xfId="35" xr:uid="{00000000-0005-0000-0000-000022000000}"/>
    <cellStyle name="%_BS_Separation_TaxResIndem_Q12412 tf_Restructuring &amp; Separation_II.7. Sep&amp;Discrete" xfId="36" xr:uid="{00000000-0005-0000-0000-000023000000}"/>
    <cellStyle name="%_BS_Separation_TaxResIndem_Q12412 tf_Restructuring &amp; Separation_II.7. Sep&amp;Discrete_Guidance" xfId="37" xr:uid="{00000000-0005-0000-0000-000024000000}"/>
    <cellStyle name="%_BS_Separation_TaxResIndem_Q12412 tf_Restructuring &amp; Separation_II.7. Sep&amp;Discrete_Guidance 2" xfId="38" xr:uid="{00000000-0005-0000-0000-000025000000}"/>
    <cellStyle name="%_BS_Separation_TaxResIndem_Q12412 tf_Restructuring &amp; Separation_II.7. Sep&amp;Discrete_Guidance_BS retrieve" xfId="39" xr:uid="{00000000-0005-0000-0000-000026000000}"/>
    <cellStyle name="%_BS_Separation_TaxResIndem_Q12412 tf_Restructuring &amp; Separation_II.7. Sep&amp;Discrete_Guidance_Free CF" xfId="40" xr:uid="{00000000-0005-0000-0000-000027000000}"/>
    <cellStyle name="%_BS_Separation_TaxResIndem_Q12412 tf_Restructuring &amp; Separation_II.7. Sep&amp;Discrete_Guidance_P&amp;L Rec Qtr" xfId="41" xr:uid="{00000000-0005-0000-0000-000028000000}"/>
    <cellStyle name="%_BS_Separation_TaxResIndem_Q12412 tf_Restructuring &amp; Separation_II.7. Sep&amp;Discrete_Guidance_Sheet1" xfId="42" xr:uid="{00000000-0005-0000-0000-000029000000}"/>
    <cellStyle name="%_BS_Separation_TaxResIndem_Q12412 tf_Restructuring &amp; Separation_II.7. Sep&amp;Discrete_Guidance_Sheet2" xfId="43" xr:uid="{00000000-0005-0000-0000-00002A000000}"/>
    <cellStyle name="%_BS_Separation_TaxResIndem_Q12412 tf_Restructuring &amp; Separation_II.7. Sep&amp;Discrete_Guidance_Sheet3" xfId="44" xr:uid="{00000000-0005-0000-0000-00002B000000}"/>
    <cellStyle name="%_BS_Separation_TaxResIndem_Q12412 tf_Restructuring &amp; Separation_II.7. Sep&amp;Discrete_Guidance_Sheet4" xfId="45" xr:uid="{00000000-0005-0000-0000-00002C000000}"/>
    <cellStyle name="%_Guidance" xfId="46" xr:uid="{00000000-0005-0000-0000-00002D000000}"/>
    <cellStyle name="%_Guidance 2" xfId="47" xr:uid="{00000000-0005-0000-0000-00002E000000}"/>
    <cellStyle name="%_Guidance_BS retrieve" xfId="48" xr:uid="{00000000-0005-0000-0000-00002F000000}"/>
    <cellStyle name="%_Guidance_Free CF" xfId="49" xr:uid="{00000000-0005-0000-0000-000030000000}"/>
    <cellStyle name="%_Guidance_P&amp;L Rec Qtr" xfId="50" xr:uid="{00000000-0005-0000-0000-000031000000}"/>
    <cellStyle name="%_Guidance_Sheet1" xfId="51" xr:uid="{00000000-0005-0000-0000-000032000000}"/>
    <cellStyle name="%_Guidance_Sheet2" xfId="52" xr:uid="{00000000-0005-0000-0000-000033000000}"/>
    <cellStyle name="%_Guidance_Sheet3" xfId="53" xr:uid="{00000000-0005-0000-0000-000034000000}"/>
    <cellStyle name="%_Guidance_Sheet4" xfId="54" xr:uid="{00000000-0005-0000-0000-000035000000}"/>
    <cellStyle name="%_II.7. Sep&amp;Discrete" xfId="55" xr:uid="{00000000-0005-0000-0000-000036000000}"/>
    <cellStyle name="%_II.7. Sep&amp;Discrete_Guidance" xfId="56" xr:uid="{00000000-0005-0000-0000-000037000000}"/>
    <cellStyle name="%_II.7. Sep&amp;Discrete_Guidance 2" xfId="57" xr:uid="{00000000-0005-0000-0000-000038000000}"/>
    <cellStyle name="%_II.7. Sep&amp;Discrete_Guidance_BS retrieve" xfId="58" xr:uid="{00000000-0005-0000-0000-000039000000}"/>
    <cellStyle name="%_II.7. Sep&amp;Discrete_Guidance_Free CF" xfId="59" xr:uid="{00000000-0005-0000-0000-00003A000000}"/>
    <cellStyle name="%_II.7. Sep&amp;Discrete_Guidance_P&amp;L Rec Qtr" xfId="60" xr:uid="{00000000-0005-0000-0000-00003B000000}"/>
    <cellStyle name="%_II.7. Sep&amp;Discrete_Guidance_Sheet1" xfId="61" xr:uid="{00000000-0005-0000-0000-00003C000000}"/>
    <cellStyle name="%_II.7. Sep&amp;Discrete_Guidance_Sheet2" xfId="62" xr:uid="{00000000-0005-0000-0000-00003D000000}"/>
    <cellStyle name="%_II.7. Sep&amp;Discrete_Guidance_Sheet3" xfId="63" xr:uid="{00000000-0005-0000-0000-00003E000000}"/>
    <cellStyle name="%_II.7. Sep&amp;Discrete_Guidance_Sheet4" xfId="64" xr:uid="{00000000-0005-0000-0000-00003F000000}"/>
    <cellStyle name="%_II.8. Sep&amp;Discrete" xfId="65" xr:uid="{00000000-0005-0000-0000-000040000000}"/>
    <cellStyle name="%_II.8. Sep&amp;Discrete_Guidance" xfId="66" xr:uid="{00000000-0005-0000-0000-000041000000}"/>
    <cellStyle name="%_II.8. Sep&amp;Discrete_Guidance 2" xfId="67" xr:uid="{00000000-0005-0000-0000-000042000000}"/>
    <cellStyle name="%_II.8. Sep&amp;Discrete_Guidance_BS retrieve" xfId="68" xr:uid="{00000000-0005-0000-0000-000043000000}"/>
    <cellStyle name="%_II.8. Sep&amp;Discrete_Guidance_Free CF" xfId="69" xr:uid="{00000000-0005-0000-0000-000044000000}"/>
    <cellStyle name="%_II.8. Sep&amp;Discrete_Guidance_P&amp;L Rec Qtr" xfId="70" xr:uid="{00000000-0005-0000-0000-000045000000}"/>
    <cellStyle name="%_II.8. Sep&amp;Discrete_Guidance_Sheet1" xfId="71" xr:uid="{00000000-0005-0000-0000-000046000000}"/>
    <cellStyle name="%_II.8. Sep&amp;Discrete_Guidance_Sheet2" xfId="72" xr:uid="{00000000-0005-0000-0000-000047000000}"/>
    <cellStyle name="%_II.8. Sep&amp;Discrete_Guidance_Sheet3" xfId="73" xr:uid="{00000000-0005-0000-0000-000048000000}"/>
    <cellStyle name="%_II.8. Sep&amp;Discrete_Guidance_Sheet4" xfId="74" xr:uid="{00000000-0005-0000-0000-000049000000}"/>
    <cellStyle name="%_Restructuring &amp; Separation" xfId="75" xr:uid="{00000000-0005-0000-0000-00004A000000}"/>
    <cellStyle name="%_Restructuring &amp; Separation_Guidance" xfId="76" xr:uid="{00000000-0005-0000-0000-00004B000000}"/>
    <cellStyle name="%_Restructuring &amp; Separation_Guidance 2" xfId="77" xr:uid="{00000000-0005-0000-0000-00004C000000}"/>
    <cellStyle name="%_Restructuring &amp; Separation_Guidance_BS retrieve" xfId="78" xr:uid="{00000000-0005-0000-0000-00004D000000}"/>
    <cellStyle name="%_Restructuring &amp; Separation_Guidance_Free CF" xfId="79" xr:uid="{00000000-0005-0000-0000-00004E000000}"/>
    <cellStyle name="%_Restructuring &amp; Separation_Guidance_P&amp;L Rec Qtr" xfId="80" xr:uid="{00000000-0005-0000-0000-00004F000000}"/>
    <cellStyle name="%_Restructuring &amp; Separation_Guidance_Sheet1" xfId="81" xr:uid="{00000000-0005-0000-0000-000050000000}"/>
    <cellStyle name="%_Restructuring &amp; Separation_Guidance_Sheet2" xfId="82" xr:uid="{00000000-0005-0000-0000-000051000000}"/>
    <cellStyle name="%_Restructuring &amp; Separation_Guidance_Sheet3" xfId="83" xr:uid="{00000000-0005-0000-0000-000052000000}"/>
    <cellStyle name="%_Restructuring &amp; Separation_Guidance_Sheet4" xfId="84" xr:uid="{00000000-0005-0000-0000-000053000000}"/>
    <cellStyle name="%_Restructuring &amp; Separation_II.7. Sep&amp;Discrete" xfId="85" xr:uid="{00000000-0005-0000-0000-000054000000}"/>
    <cellStyle name="%_Restructuring &amp; Separation_II.7. Sep&amp;Discrete_Guidance" xfId="86" xr:uid="{00000000-0005-0000-0000-000055000000}"/>
    <cellStyle name="%_Restructuring &amp; Separation_II.7. Sep&amp;Discrete_Guidance 2" xfId="87" xr:uid="{00000000-0005-0000-0000-000056000000}"/>
    <cellStyle name="%_Restructuring &amp; Separation_II.7. Sep&amp;Discrete_Guidance_BS retrieve" xfId="88" xr:uid="{00000000-0005-0000-0000-000057000000}"/>
    <cellStyle name="%_Restructuring &amp; Separation_II.7. Sep&amp;Discrete_Guidance_Free CF" xfId="89" xr:uid="{00000000-0005-0000-0000-000058000000}"/>
    <cellStyle name="%_Restructuring &amp; Separation_II.7. Sep&amp;Discrete_Guidance_P&amp;L Rec Qtr" xfId="90" xr:uid="{00000000-0005-0000-0000-000059000000}"/>
    <cellStyle name="%_Restructuring &amp; Separation_II.7. Sep&amp;Discrete_Guidance_Sheet1" xfId="91" xr:uid="{00000000-0005-0000-0000-00005A000000}"/>
    <cellStyle name="%_Restructuring &amp; Separation_II.7. Sep&amp;Discrete_Guidance_Sheet2" xfId="92" xr:uid="{00000000-0005-0000-0000-00005B000000}"/>
    <cellStyle name="%_Restructuring &amp; Separation_II.7. Sep&amp;Discrete_Guidance_Sheet3" xfId="93" xr:uid="{00000000-0005-0000-0000-00005C000000}"/>
    <cellStyle name="%_Restructuring &amp; Separation_II.7. Sep&amp;Discrete_Guidance_Sheet4" xfId="94" xr:uid="{00000000-0005-0000-0000-00005D000000}"/>
    <cellStyle name="??" xfId="95" xr:uid="{00000000-0005-0000-0000-00005E000000}"/>
    <cellStyle name="?? [0]_Apr AcFc_WKI" xfId="96" xr:uid="{00000000-0005-0000-0000-00005F000000}"/>
    <cellStyle name="?? 1- " xfId="97" xr:uid="{00000000-0005-0000-0000-000060000000}"/>
    <cellStyle name="?? 1-  2" xfId="98" xr:uid="{00000000-0005-0000-0000-000061000000}"/>
    <cellStyle name="?? 1-  3" xfId="99" xr:uid="{00000000-0005-0000-0000-000062000000}"/>
    <cellStyle name="?? 1-  3 2" xfId="100" xr:uid="{00000000-0005-0000-0000-000063000000}"/>
    <cellStyle name="?? 1-  4" xfId="101" xr:uid="{00000000-0005-0000-0000-000064000000}"/>
    <cellStyle name="?? 10" xfId="102" xr:uid="{00000000-0005-0000-0000-000065000000}"/>
    <cellStyle name="?? 10 2" xfId="103" xr:uid="{00000000-0005-0000-0000-000066000000}"/>
    <cellStyle name="?? 11" xfId="104" xr:uid="{00000000-0005-0000-0000-000067000000}"/>
    <cellStyle name="?? 11 2" xfId="105" xr:uid="{00000000-0005-0000-0000-000068000000}"/>
    <cellStyle name="?? 12" xfId="106" xr:uid="{00000000-0005-0000-0000-000069000000}"/>
    <cellStyle name="?? 12 2" xfId="107" xr:uid="{00000000-0005-0000-0000-00006A000000}"/>
    <cellStyle name="?? 13" xfId="108" xr:uid="{00000000-0005-0000-0000-00006B000000}"/>
    <cellStyle name="?? 13 2" xfId="109" xr:uid="{00000000-0005-0000-0000-00006C000000}"/>
    <cellStyle name="?? 14" xfId="110" xr:uid="{00000000-0005-0000-0000-00006D000000}"/>
    <cellStyle name="?? 14 2" xfId="111" xr:uid="{00000000-0005-0000-0000-00006E000000}"/>
    <cellStyle name="?? 15" xfId="112" xr:uid="{00000000-0005-0000-0000-00006F000000}"/>
    <cellStyle name="?? 15 2" xfId="113" xr:uid="{00000000-0005-0000-0000-000070000000}"/>
    <cellStyle name="?? 16" xfId="114" xr:uid="{00000000-0005-0000-0000-000071000000}"/>
    <cellStyle name="?? 17" xfId="115" xr:uid="{00000000-0005-0000-0000-000072000000}"/>
    <cellStyle name="?? 18" xfId="116" xr:uid="{00000000-0005-0000-0000-000073000000}"/>
    <cellStyle name="?? 19" xfId="117" xr:uid="{00000000-0005-0000-0000-000074000000}"/>
    <cellStyle name="?? 2" xfId="118" xr:uid="{00000000-0005-0000-0000-000075000000}"/>
    <cellStyle name="?? 2- " xfId="119" xr:uid="{00000000-0005-0000-0000-000076000000}"/>
    <cellStyle name="?? 2-  2" xfId="120" xr:uid="{00000000-0005-0000-0000-000077000000}"/>
    <cellStyle name="?? 2-  3" xfId="121" xr:uid="{00000000-0005-0000-0000-000078000000}"/>
    <cellStyle name="?? 2-  3 2" xfId="122" xr:uid="{00000000-0005-0000-0000-000079000000}"/>
    <cellStyle name="?? 2-  4" xfId="123" xr:uid="{00000000-0005-0000-0000-00007A000000}"/>
    <cellStyle name="?? 2 2" xfId="124" xr:uid="{00000000-0005-0000-0000-00007B000000}"/>
    <cellStyle name="?? 2 3" xfId="125" xr:uid="{00000000-0005-0000-0000-00007C000000}"/>
    <cellStyle name="?? 2 4" xfId="126" xr:uid="{00000000-0005-0000-0000-00007D000000}"/>
    <cellStyle name="?? 2 5" xfId="127" xr:uid="{00000000-0005-0000-0000-00007E000000}"/>
    <cellStyle name="?? 20" xfId="128" xr:uid="{00000000-0005-0000-0000-00007F000000}"/>
    <cellStyle name="?? 21" xfId="129" xr:uid="{00000000-0005-0000-0000-000080000000}"/>
    <cellStyle name="?? 22" xfId="130" xr:uid="{00000000-0005-0000-0000-000081000000}"/>
    <cellStyle name="?? 23" xfId="131" xr:uid="{00000000-0005-0000-0000-000082000000}"/>
    <cellStyle name="?? 24" xfId="132" xr:uid="{00000000-0005-0000-0000-000083000000}"/>
    <cellStyle name="?? 3" xfId="133" xr:uid="{00000000-0005-0000-0000-000084000000}"/>
    <cellStyle name="?? 3- " xfId="134" xr:uid="{00000000-0005-0000-0000-000085000000}"/>
    <cellStyle name="?? 3-  2" xfId="135" xr:uid="{00000000-0005-0000-0000-000086000000}"/>
    <cellStyle name="?? 3-  3" xfId="136" xr:uid="{00000000-0005-0000-0000-000087000000}"/>
    <cellStyle name="?? 3-  3 2" xfId="137" xr:uid="{00000000-0005-0000-0000-000088000000}"/>
    <cellStyle name="?? 3-  4" xfId="138" xr:uid="{00000000-0005-0000-0000-000089000000}"/>
    <cellStyle name="?? 3 2" xfId="139" xr:uid="{00000000-0005-0000-0000-00008A000000}"/>
    <cellStyle name="?? 3 3" xfId="140" xr:uid="{00000000-0005-0000-0000-00008B000000}"/>
    <cellStyle name="?? 3 4" xfId="141" xr:uid="{00000000-0005-0000-0000-00008C000000}"/>
    <cellStyle name="?? 3 5" xfId="142" xr:uid="{00000000-0005-0000-0000-00008D000000}"/>
    <cellStyle name="?? 4" xfId="143" xr:uid="{00000000-0005-0000-0000-00008E000000}"/>
    <cellStyle name="?? 4- " xfId="144" xr:uid="{00000000-0005-0000-0000-00008F000000}"/>
    <cellStyle name="?? 4-  2" xfId="145" xr:uid="{00000000-0005-0000-0000-000090000000}"/>
    <cellStyle name="?? 4-  3" xfId="146" xr:uid="{00000000-0005-0000-0000-000091000000}"/>
    <cellStyle name="?? 4-  3 2" xfId="147" xr:uid="{00000000-0005-0000-0000-000092000000}"/>
    <cellStyle name="?? 4-  4" xfId="148" xr:uid="{00000000-0005-0000-0000-000093000000}"/>
    <cellStyle name="?? 4 10" xfId="149" xr:uid="{00000000-0005-0000-0000-000094000000}"/>
    <cellStyle name="?? 4 10 2" xfId="150" xr:uid="{00000000-0005-0000-0000-000095000000}"/>
    <cellStyle name="?? 4 10 3" xfId="151" xr:uid="{00000000-0005-0000-0000-000096000000}"/>
    <cellStyle name="?? 4 10 4" xfId="152" xr:uid="{00000000-0005-0000-0000-000097000000}"/>
    <cellStyle name="?? 4 10 5" xfId="153" xr:uid="{00000000-0005-0000-0000-000098000000}"/>
    <cellStyle name="?? 4 10 6" xfId="154" xr:uid="{00000000-0005-0000-0000-000099000000}"/>
    <cellStyle name="?? 4 11" xfId="155" xr:uid="{00000000-0005-0000-0000-00009A000000}"/>
    <cellStyle name="?? 4 11 2" xfId="156" xr:uid="{00000000-0005-0000-0000-00009B000000}"/>
    <cellStyle name="?? 4 11 3" xfId="157" xr:uid="{00000000-0005-0000-0000-00009C000000}"/>
    <cellStyle name="?? 4 11 4" xfId="158" xr:uid="{00000000-0005-0000-0000-00009D000000}"/>
    <cellStyle name="?? 4 12" xfId="159" xr:uid="{00000000-0005-0000-0000-00009E000000}"/>
    <cellStyle name="?? 4 12 2" xfId="160" xr:uid="{00000000-0005-0000-0000-00009F000000}"/>
    <cellStyle name="?? 4 12 3" xfId="161" xr:uid="{00000000-0005-0000-0000-0000A0000000}"/>
    <cellStyle name="?? 4 12 4" xfId="162" xr:uid="{00000000-0005-0000-0000-0000A1000000}"/>
    <cellStyle name="?? 4 13" xfId="163" xr:uid="{00000000-0005-0000-0000-0000A2000000}"/>
    <cellStyle name="?? 4 13 2" xfId="164" xr:uid="{00000000-0005-0000-0000-0000A3000000}"/>
    <cellStyle name="?? 4 13 3" xfId="165" xr:uid="{00000000-0005-0000-0000-0000A4000000}"/>
    <cellStyle name="?? 4 14" xfId="166" xr:uid="{00000000-0005-0000-0000-0000A5000000}"/>
    <cellStyle name="?? 4 14 2" xfId="167" xr:uid="{00000000-0005-0000-0000-0000A6000000}"/>
    <cellStyle name="?? 4 14 3" xfId="168" xr:uid="{00000000-0005-0000-0000-0000A7000000}"/>
    <cellStyle name="?? 4 15" xfId="169" xr:uid="{00000000-0005-0000-0000-0000A8000000}"/>
    <cellStyle name="?? 4 15 2" xfId="170" xr:uid="{00000000-0005-0000-0000-0000A9000000}"/>
    <cellStyle name="?? 4 15 3" xfId="171" xr:uid="{00000000-0005-0000-0000-0000AA000000}"/>
    <cellStyle name="?? 4 16" xfId="172" xr:uid="{00000000-0005-0000-0000-0000AB000000}"/>
    <cellStyle name="?? 4 16 2" xfId="173" xr:uid="{00000000-0005-0000-0000-0000AC000000}"/>
    <cellStyle name="?? 4 16 3" xfId="174" xr:uid="{00000000-0005-0000-0000-0000AD000000}"/>
    <cellStyle name="?? 4 16 4" xfId="175" xr:uid="{00000000-0005-0000-0000-0000AE000000}"/>
    <cellStyle name="?? 4 17" xfId="176" xr:uid="{00000000-0005-0000-0000-0000AF000000}"/>
    <cellStyle name="?? 4 17 2" xfId="177" xr:uid="{00000000-0005-0000-0000-0000B0000000}"/>
    <cellStyle name="?? 4 17 3" xfId="178" xr:uid="{00000000-0005-0000-0000-0000B1000000}"/>
    <cellStyle name="?? 4 17 4" xfId="179" xr:uid="{00000000-0005-0000-0000-0000B2000000}"/>
    <cellStyle name="?? 4 18" xfId="180" xr:uid="{00000000-0005-0000-0000-0000B3000000}"/>
    <cellStyle name="?? 4 18 2" xfId="181" xr:uid="{00000000-0005-0000-0000-0000B4000000}"/>
    <cellStyle name="?? 4 19" xfId="182" xr:uid="{00000000-0005-0000-0000-0000B5000000}"/>
    <cellStyle name="?? 4 19 2" xfId="183" xr:uid="{00000000-0005-0000-0000-0000B6000000}"/>
    <cellStyle name="?? 4 2" xfId="184" xr:uid="{00000000-0005-0000-0000-0000B7000000}"/>
    <cellStyle name="?? 4 2 2" xfId="185" xr:uid="{00000000-0005-0000-0000-0000B8000000}"/>
    <cellStyle name="?? 4 2 2 2" xfId="186" xr:uid="{00000000-0005-0000-0000-0000B9000000}"/>
    <cellStyle name="?? 4 2 2 2 2" xfId="187" xr:uid="{00000000-0005-0000-0000-0000BA000000}"/>
    <cellStyle name="?? 4 2 2 2 3" xfId="188" xr:uid="{00000000-0005-0000-0000-0000BB000000}"/>
    <cellStyle name="?? 4 2 2 3" xfId="189" xr:uid="{00000000-0005-0000-0000-0000BC000000}"/>
    <cellStyle name="?? 4 2 2 3 2" xfId="190" xr:uid="{00000000-0005-0000-0000-0000BD000000}"/>
    <cellStyle name="?? 4 2 2 3 3" xfId="191" xr:uid="{00000000-0005-0000-0000-0000BE000000}"/>
    <cellStyle name="?? 4 2 2 4" xfId="192" xr:uid="{00000000-0005-0000-0000-0000BF000000}"/>
    <cellStyle name="?? 4 2 2 5" xfId="193" xr:uid="{00000000-0005-0000-0000-0000C0000000}"/>
    <cellStyle name="?? 4 2 2 6" xfId="194" xr:uid="{00000000-0005-0000-0000-0000C1000000}"/>
    <cellStyle name="?? 4 2 3" xfId="195" xr:uid="{00000000-0005-0000-0000-0000C2000000}"/>
    <cellStyle name="?? 4 2 3 2" xfId="196" xr:uid="{00000000-0005-0000-0000-0000C3000000}"/>
    <cellStyle name="?? 4 2 3 3" xfId="197" xr:uid="{00000000-0005-0000-0000-0000C4000000}"/>
    <cellStyle name="?? 4 2 4" xfId="198" xr:uid="{00000000-0005-0000-0000-0000C5000000}"/>
    <cellStyle name="?? 4 2 5" xfId="199" xr:uid="{00000000-0005-0000-0000-0000C6000000}"/>
    <cellStyle name="?? 4 2 6" xfId="200" xr:uid="{00000000-0005-0000-0000-0000C7000000}"/>
    <cellStyle name="?? 4 2 7" xfId="201" xr:uid="{00000000-0005-0000-0000-0000C8000000}"/>
    <cellStyle name="?? 4 20" xfId="202" xr:uid="{00000000-0005-0000-0000-0000C9000000}"/>
    <cellStyle name="?? 4 20 2" xfId="203" xr:uid="{00000000-0005-0000-0000-0000CA000000}"/>
    <cellStyle name="?? 4 21" xfId="204" xr:uid="{00000000-0005-0000-0000-0000CB000000}"/>
    <cellStyle name="?? 4 21 2" xfId="205" xr:uid="{00000000-0005-0000-0000-0000CC000000}"/>
    <cellStyle name="?? 4 21 3" xfId="206" xr:uid="{00000000-0005-0000-0000-0000CD000000}"/>
    <cellStyle name="?? 4 22" xfId="207" xr:uid="{00000000-0005-0000-0000-0000CE000000}"/>
    <cellStyle name="?? 4 22 2" xfId="208" xr:uid="{00000000-0005-0000-0000-0000CF000000}"/>
    <cellStyle name="?? 4 22 3" xfId="209" xr:uid="{00000000-0005-0000-0000-0000D0000000}"/>
    <cellStyle name="?? 4 23" xfId="210" xr:uid="{00000000-0005-0000-0000-0000D1000000}"/>
    <cellStyle name="?? 4 23 2" xfId="211" xr:uid="{00000000-0005-0000-0000-0000D2000000}"/>
    <cellStyle name="?? 4 24" xfId="212" xr:uid="{00000000-0005-0000-0000-0000D3000000}"/>
    <cellStyle name="?? 4 24 2" xfId="213" xr:uid="{00000000-0005-0000-0000-0000D4000000}"/>
    <cellStyle name="?? 4 25" xfId="214" xr:uid="{00000000-0005-0000-0000-0000D5000000}"/>
    <cellStyle name="?? 4 25 2" xfId="215" xr:uid="{00000000-0005-0000-0000-0000D6000000}"/>
    <cellStyle name="?? 4 26" xfId="216" xr:uid="{00000000-0005-0000-0000-0000D7000000}"/>
    <cellStyle name="?? 4 27" xfId="217" xr:uid="{00000000-0005-0000-0000-0000D8000000}"/>
    <cellStyle name="?? 4 3" xfId="218" xr:uid="{00000000-0005-0000-0000-0000D9000000}"/>
    <cellStyle name="?? 4 3 2" xfId="219" xr:uid="{00000000-0005-0000-0000-0000DA000000}"/>
    <cellStyle name="?? 4 3 2 2" xfId="220" xr:uid="{00000000-0005-0000-0000-0000DB000000}"/>
    <cellStyle name="?? 4 3 2 2 2" xfId="221" xr:uid="{00000000-0005-0000-0000-0000DC000000}"/>
    <cellStyle name="?? 4 3 2 2 3" xfId="222" xr:uid="{00000000-0005-0000-0000-0000DD000000}"/>
    <cellStyle name="?? 4 3 2 3" xfId="223" xr:uid="{00000000-0005-0000-0000-0000DE000000}"/>
    <cellStyle name="?? 4 3 2 3 2" xfId="224" xr:uid="{00000000-0005-0000-0000-0000DF000000}"/>
    <cellStyle name="?? 4 3 2 3 3" xfId="225" xr:uid="{00000000-0005-0000-0000-0000E0000000}"/>
    <cellStyle name="?? 4 3 2 4" xfId="226" xr:uid="{00000000-0005-0000-0000-0000E1000000}"/>
    <cellStyle name="?? 4 3 2 5" xfId="227" xr:uid="{00000000-0005-0000-0000-0000E2000000}"/>
    <cellStyle name="?? 4 3 2 6" xfId="228" xr:uid="{00000000-0005-0000-0000-0000E3000000}"/>
    <cellStyle name="?? 4 3 3" xfId="229" xr:uid="{00000000-0005-0000-0000-0000E4000000}"/>
    <cellStyle name="?? 4 3 3 2" xfId="230" xr:uid="{00000000-0005-0000-0000-0000E5000000}"/>
    <cellStyle name="?? 4 3 3 3" xfId="231" xr:uid="{00000000-0005-0000-0000-0000E6000000}"/>
    <cellStyle name="?? 4 3 4" xfId="232" xr:uid="{00000000-0005-0000-0000-0000E7000000}"/>
    <cellStyle name="?? 4 3 5" xfId="233" xr:uid="{00000000-0005-0000-0000-0000E8000000}"/>
    <cellStyle name="?? 4 3 6" xfId="234" xr:uid="{00000000-0005-0000-0000-0000E9000000}"/>
    <cellStyle name="?? 4 3 7" xfId="235" xr:uid="{00000000-0005-0000-0000-0000EA000000}"/>
    <cellStyle name="?? 4 4" xfId="236" xr:uid="{00000000-0005-0000-0000-0000EB000000}"/>
    <cellStyle name="?? 4 4 2" xfId="237" xr:uid="{00000000-0005-0000-0000-0000EC000000}"/>
    <cellStyle name="?? 4 4 2 2" xfId="238" xr:uid="{00000000-0005-0000-0000-0000ED000000}"/>
    <cellStyle name="?? 4 4 2 2 2" xfId="239" xr:uid="{00000000-0005-0000-0000-0000EE000000}"/>
    <cellStyle name="?? 4 4 2 2 3" xfId="240" xr:uid="{00000000-0005-0000-0000-0000EF000000}"/>
    <cellStyle name="?? 4 4 2 3" xfId="241" xr:uid="{00000000-0005-0000-0000-0000F0000000}"/>
    <cellStyle name="?? 4 4 2 3 2" xfId="242" xr:uid="{00000000-0005-0000-0000-0000F1000000}"/>
    <cellStyle name="?? 4 4 2 3 3" xfId="243" xr:uid="{00000000-0005-0000-0000-0000F2000000}"/>
    <cellStyle name="?? 4 4 2 4" xfId="244" xr:uid="{00000000-0005-0000-0000-0000F3000000}"/>
    <cellStyle name="?? 4 4 2 5" xfId="245" xr:uid="{00000000-0005-0000-0000-0000F4000000}"/>
    <cellStyle name="?? 4 4 2 6" xfId="246" xr:uid="{00000000-0005-0000-0000-0000F5000000}"/>
    <cellStyle name="?? 4 4 3" xfId="247" xr:uid="{00000000-0005-0000-0000-0000F6000000}"/>
    <cellStyle name="?? 4 4 3 2" xfId="248" xr:uid="{00000000-0005-0000-0000-0000F7000000}"/>
    <cellStyle name="?? 4 4 3 3" xfId="249" xr:uid="{00000000-0005-0000-0000-0000F8000000}"/>
    <cellStyle name="?? 4 4 4" xfId="250" xr:uid="{00000000-0005-0000-0000-0000F9000000}"/>
    <cellStyle name="?? 4 4 5" xfId="251" xr:uid="{00000000-0005-0000-0000-0000FA000000}"/>
    <cellStyle name="?? 4 4 6" xfId="252" xr:uid="{00000000-0005-0000-0000-0000FB000000}"/>
    <cellStyle name="?? 4 4 7" xfId="253" xr:uid="{00000000-0005-0000-0000-0000FC000000}"/>
    <cellStyle name="?? 4 5" xfId="254" xr:uid="{00000000-0005-0000-0000-0000FD000000}"/>
    <cellStyle name="?? 4 5 2" xfId="255" xr:uid="{00000000-0005-0000-0000-0000FE000000}"/>
    <cellStyle name="?? 4 5 2 2" xfId="256" xr:uid="{00000000-0005-0000-0000-0000FF000000}"/>
    <cellStyle name="?? 4 5 2 2 2" xfId="257" xr:uid="{00000000-0005-0000-0000-000000010000}"/>
    <cellStyle name="?? 4 5 2 2 2 2" xfId="258" xr:uid="{00000000-0005-0000-0000-000001010000}"/>
    <cellStyle name="?? 4 5 2 2 2 3" xfId="259" xr:uid="{00000000-0005-0000-0000-000002010000}"/>
    <cellStyle name="?? 4 5 2 2 3" xfId="260" xr:uid="{00000000-0005-0000-0000-000003010000}"/>
    <cellStyle name="?? 4 5 2 2 3 2" xfId="261" xr:uid="{00000000-0005-0000-0000-000004010000}"/>
    <cellStyle name="?? 4 5 2 2 3 3" xfId="262" xr:uid="{00000000-0005-0000-0000-000005010000}"/>
    <cellStyle name="?? 4 5 2 2 4" xfId="263" xr:uid="{00000000-0005-0000-0000-000006010000}"/>
    <cellStyle name="?? 4 5 2 2 5" xfId="264" xr:uid="{00000000-0005-0000-0000-000007010000}"/>
    <cellStyle name="?? 4 5 2 3" xfId="265" xr:uid="{00000000-0005-0000-0000-000008010000}"/>
    <cellStyle name="?? 4 5 2 3 2" xfId="266" xr:uid="{00000000-0005-0000-0000-000009010000}"/>
    <cellStyle name="?? 4 5 2 3 3" xfId="267" xr:uid="{00000000-0005-0000-0000-00000A010000}"/>
    <cellStyle name="?? 4 5 2 4" xfId="268" xr:uid="{00000000-0005-0000-0000-00000B010000}"/>
    <cellStyle name="?? 4 5 2 4 2" xfId="269" xr:uid="{00000000-0005-0000-0000-00000C010000}"/>
    <cellStyle name="?? 4 5 2 4 3" xfId="270" xr:uid="{00000000-0005-0000-0000-00000D010000}"/>
    <cellStyle name="?? 4 5 2 5" xfId="271" xr:uid="{00000000-0005-0000-0000-00000E010000}"/>
    <cellStyle name="?? 4 5 2 6" xfId="272" xr:uid="{00000000-0005-0000-0000-00000F010000}"/>
    <cellStyle name="?? 4 5 2 7" xfId="273" xr:uid="{00000000-0005-0000-0000-000010010000}"/>
    <cellStyle name="?? 4 5 3" xfId="274" xr:uid="{00000000-0005-0000-0000-000011010000}"/>
    <cellStyle name="?? 4 5 3 2" xfId="275" xr:uid="{00000000-0005-0000-0000-000012010000}"/>
    <cellStyle name="?? 4 5 3 3" xfId="276" xr:uid="{00000000-0005-0000-0000-000013010000}"/>
    <cellStyle name="?? 4 5 4" xfId="277" xr:uid="{00000000-0005-0000-0000-000014010000}"/>
    <cellStyle name="?? 4 5 5" xfId="278" xr:uid="{00000000-0005-0000-0000-000015010000}"/>
    <cellStyle name="?? 4 5 6" xfId="279" xr:uid="{00000000-0005-0000-0000-000016010000}"/>
    <cellStyle name="?? 4 5 7" xfId="280" xr:uid="{00000000-0005-0000-0000-000017010000}"/>
    <cellStyle name="?? 4 6" xfId="281" xr:uid="{00000000-0005-0000-0000-000018010000}"/>
    <cellStyle name="?? 4 6 2" xfId="282" xr:uid="{00000000-0005-0000-0000-000019010000}"/>
    <cellStyle name="?? 4 6 2 2" xfId="283" xr:uid="{00000000-0005-0000-0000-00001A010000}"/>
    <cellStyle name="?? 4 6 2 2 2" xfId="284" xr:uid="{00000000-0005-0000-0000-00001B010000}"/>
    <cellStyle name="?? 4 6 2 2 3" xfId="285" xr:uid="{00000000-0005-0000-0000-00001C010000}"/>
    <cellStyle name="?? 4 6 2 3" xfId="286" xr:uid="{00000000-0005-0000-0000-00001D010000}"/>
    <cellStyle name="?? 4 6 2 3 2" xfId="287" xr:uid="{00000000-0005-0000-0000-00001E010000}"/>
    <cellStyle name="?? 4 6 2 3 3" xfId="288" xr:uid="{00000000-0005-0000-0000-00001F010000}"/>
    <cellStyle name="?? 4 6 2 4" xfId="289" xr:uid="{00000000-0005-0000-0000-000020010000}"/>
    <cellStyle name="?? 4 6 2 5" xfId="290" xr:uid="{00000000-0005-0000-0000-000021010000}"/>
    <cellStyle name="?? 4 6 2 6" xfId="291" xr:uid="{00000000-0005-0000-0000-000022010000}"/>
    <cellStyle name="?? 4 6 3" xfId="292" xr:uid="{00000000-0005-0000-0000-000023010000}"/>
    <cellStyle name="?? 4 6 3 2" xfId="293" xr:uid="{00000000-0005-0000-0000-000024010000}"/>
    <cellStyle name="?? 4 6 3 3" xfId="294" xr:uid="{00000000-0005-0000-0000-000025010000}"/>
    <cellStyle name="?? 4 6 4" xfId="295" xr:uid="{00000000-0005-0000-0000-000026010000}"/>
    <cellStyle name="?? 4 6 5" xfId="296" xr:uid="{00000000-0005-0000-0000-000027010000}"/>
    <cellStyle name="?? 4 6 6" xfId="297" xr:uid="{00000000-0005-0000-0000-000028010000}"/>
    <cellStyle name="?? 4 6 7" xfId="298" xr:uid="{00000000-0005-0000-0000-000029010000}"/>
    <cellStyle name="?? 4 7" xfId="299" xr:uid="{00000000-0005-0000-0000-00002A010000}"/>
    <cellStyle name="?? 4 7 2" xfId="300" xr:uid="{00000000-0005-0000-0000-00002B010000}"/>
    <cellStyle name="?? 4 7 2 2" xfId="301" xr:uid="{00000000-0005-0000-0000-00002C010000}"/>
    <cellStyle name="?? 4 7 2 3" xfId="302" xr:uid="{00000000-0005-0000-0000-00002D010000}"/>
    <cellStyle name="?? 4 7 2 4" xfId="303" xr:uid="{00000000-0005-0000-0000-00002E010000}"/>
    <cellStyle name="?? 4 7 3" xfId="304" xr:uid="{00000000-0005-0000-0000-00002F010000}"/>
    <cellStyle name="?? 4 7 3 2" xfId="305" xr:uid="{00000000-0005-0000-0000-000030010000}"/>
    <cellStyle name="?? 4 7 3 3" xfId="306" xr:uid="{00000000-0005-0000-0000-000031010000}"/>
    <cellStyle name="?? 4 7 4" xfId="307" xr:uid="{00000000-0005-0000-0000-000032010000}"/>
    <cellStyle name="?? 4 7 5" xfId="308" xr:uid="{00000000-0005-0000-0000-000033010000}"/>
    <cellStyle name="?? 4 7 6" xfId="309" xr:uid="{00000000-0005-0000-0000-000034010000}"/>
    <cellStyle name="?? 4 7 7" xfId="310" xr:uid="{00000000-0005-0000-0000-000035010000}"/>
    <cellStyle name="?? 4 7 8" xfId="311" xr:uid="{00000000-0005-0000-0000-000036010000}"/>
    <cellStyle name="?? 4 8" xfId="312" xr:uid="{00000000-0005-0000-0000-000037010000}"/>
    <cellStyle name="?? 4 8 2" xfId="313" xr:uid="{00000000-0005-0000-0000-000038010000}"/>
    <cellStyle name="?? 4 8 2 2" xfId="314" xr:uid="{00000000-0005-0000-0000-000039010000}"/>
    <cellStyle name="?? 4 8 3" xfId="315" xr:uid="{00000000-0005-0000-0000-00003A010000}"/>
    <cellStyle name="?? 4 8 4" xfId="316" xr:uid="{00000000-0005-0000-0000-00003B010000}"/>
    <cellStyle name="?? 4 8 5" xfId="317" xr:uid="{00000000-0005-0000-0000-00003C010000}"/>
    <cellStyle name="?? 4 8 6" xfId="318" xr:uid="{00000000-0005-0000-0000-00003D010000}"/>
    <cellStyle name="?? 4 9" xfId="319" xr:uid="{00000000-0005-0000-0000-00003E010000}"/>
    <cellStyle name="?? 4 9 2" xfId="320" xr:uid="{00000000-0005-0000-0000-00003F010000}"/>
    <cellStyle name="?? 4 9 2 2" xfId="321" xr:uid="{00000000-0005-0000-0000-000040010000}"/>
    <cellStyle name="?? 4 9 3" xfId="322" xr:uid="{00000000-0005-0000-0000-000041010000}"/>
    <cellStyle name="?? 4 9 4" xfId="323" xr:uid="{00000000-0005-0000-0000-000042010000}"/>
    <cellStyle name="?? 4 9 5" xfId="324" xr:uid="{00000000-0005-0000-0000-000043010000}"/>
    <cellStyle name="?? 4 9 6" xfId="325" xr:uid="{00000000-0005-0000-0000-000044010000}"/>
    <cellStyle name="?? 5" xfId="326" xr:uid="{00000000-0005-0000-0000-000045010000}"/>
    <cellStyle name="?? 5 2" xfId="327" xr:uid="{00000000-0005-0000-0000-000046010000}"/>
    <cellStyle name="?? 5 3" xfId="328" xr:uid="{00000000-0005-0000-0000-000047010000}"/>
    <cellStyle name="?? 6" xfId="329" xr:uid="{00000000-0005-0000-0000-000048010000}"/>
    <cellStyle name="?? 6 2" xfId="330" xr:uid="{00000000-0005-0000-0000-000049010000}"/>
    <cellStyle name="?? 6 3" xfId="331" xr:uid="{00000000-0005-0000-0000-00004A010000}"/>
    <cellStyle name="?? 6i" xfId="332" xr:uid="{00000000-0005-0000-0000-00004B010000}"/>
    <cellStyle name="?? 6i 10" xfId="333" xr:uid="{00000000-0005-0000-0000-00004C010000}"/>
    <cellStyle name="?? 6i 11" xfId="334" xr:uid="{00000000-0005-0000-0000-00004D010000}"/>
    <cellStyle name="?? 6i 12" xfId="335" xr:uid="{00000000-0005-0000-0000-00004E010000}"/>
    <cellStyle name="?? 6i 2" xfId="336" xr:uid="{00000000-0005-0000-0000-00004F010000}"/>
    <cellStyle name="?? 6i 2 2" xfId="337" xr:uid="{00000000-0005-0000-0000-000050010000}"/>
    <cellStyle name="?? 6i 2 2 2" xfId="338" xr:uid="{00000000-0005-0000-0000-000051010000}"/>
    <cellStyle name="?? 6i 2 2 2 2" xfId="339" xr:uid="{00000000-0005-0000-0000-000052010000}"/>
    <cellStyle name="?? 6i 2 2 2 3" xfId="340" xr:uid="{00000000-0005-0000-0000-000053010000}"/>
    <cellStyle name="?? 6i 2 2 3" xfId="341" xr:uid="{00000000-0005-0000-0000-000054010000}"/>
    <cellStyle name="?? 6i 2 2 3 2" xfId="342" xr:uid="{00000000-0005-0000-0000-000055010000}"/>
    <cellStyle name="?? 6i 2 2 3 3" xfId="343" xr:uid="{00000000-0005-0000-0000-000056010000}"/>
    <cellStyle name="?? 6i 2 2 4" xfId="344" xr:uid="{00000000-0005-0000-0000-000057010000}"/>
    <cellStyle name="?? 6i 2 2 5" xfId="345" xr:uid="{00000000-0005-0000-0000-000058010000}"/>
    <cellStyle name="?? 6i 2 2 6" xfId="346" xr:uid="{00000000-0005-0000-0000-000059010000}"/>
    <cellStyle name="?? 6i 2 3" xfId="347" xr:uid="{00000000-0005-0000-0000-00005A010000}"/>
    <cellStyle name="?? 6i 2 3 2" xfId="348" xr:uid="{00000000-0005-0000-0000-00005B010000}"/>
    <cellStyle name="?? 6i 2 3 3" xfId="349" xr:uid="{00000000-0005-0000-0000-00005C010000}"/>
    <cellStyle name="?? 6i 2 4" xfId="350" xr:uid="{00000000-0005-0000-0000-00005D010000}"/>
    <cellStyle name="?? 6i 2 5" xfId="351" xr:uid="{00000000-0005-0000-0000-00005E010000}"/>
    <cellStyle name="?? 6i 2 6" xfId="352" xr:uid="{00000000-0005-0000-0000-00005F010000}"/>
    <cellStyle name="?? 6i 2 7" xfId="353" xr:uid="{00000000-0005-0000-0000-000060010000}"/>
    <cellStyle name="?? 6i 3" xfId="354" xr:uid="{00000000-0005-0000-0000-000061010000}"/>
    <cellStyle name="?? 6i 3 2" xfId="355" xr:uid="{00000000-0005-0000-0000-000062010000}"/>
    <cellStyle name="?? 6i 3 2 2" xfId="356" xr:uid="{00000000-0005-0000-0000-000063010000}"/>
    <cellStyle name="?? 6i 3 2 2 2" xfId="357" xr:uid="{00000000-0005-0000-0000-000064010000}"/>
    <cellStyle name="?? 6i 3 2 2 3" xfId="358" xr:uid="{00000000-0005-0000-0000-000065010000}"/>
    <cellStyle name="?? 6i 3 2 3" xfId="359" xr:uid="{00000000-0005-0000-0000-000066010000}"/>
    <cellStyle name="?? 6i 3 2 3 2" xfId="360" xr:uid="{00000000-0005-0000-0000-000067010000}"/>
    <cellStyle name="?? 6i 3 2 3 3" xfId="361" xr:uid="{00000000-0005-0000-0000-000068010000}"/>
    <cellStyle name="?? 6i 3 2 4" xfId="362" xr:uid="{00000000-0005-0000-0000-000069010000}"/>
    <cellStyle name="?? 6i 3 2 5" xfId="363" xr:uid="{00000000-0005-0000-0000-00006A010000}"/>
    <cellStyle name="?? 6i 3 2 6" xfId="364" xr:uid="{00000000-0005-0000-0000-00006B010000}"/>
    <cellStyle name="?? 6i 3 3" xfId="365" xr:uid="{00000000-0005-0000-0000-00006C010000}"/>
    <cellStyle name="?? 6i 3 3 2" xfId="366" xr:uid="{00000000-0005-0000-0000-00006D010000}"/>
    <cellStyle name="?? 6i 3 3 3" xfId="367" xr:uid="{00000000-0005-0000-0000-00006E010000}"/>
    <cellStyle name="?? 6i 3 4" xfId="368" xr:uid="{00000000-0005-0000-0000-00006F010000}"/>
    <cellStyle name="?? 6i 3 4 2" xfId="369" xr:uid="{00000000-0005-0000-0000-000070010000}"/>
    <cellStyle name="?? 6i 3 4 3" xfId="370" xr:uid="{00000000-0005-0000-0000-000071010000}"/>
    <cellStyle name="?? 6i 3 5" xfId="371" xr:uid="{00000000-0005-0000-0000-000072010000}"/>
    <cellStyle name="?? 6i 3 6" xfId="372" xr:uid="{00000000-0005-0000-0000-000073010000}"/>
    <cellStyle name="?? 6i 3 7" xfId="373" xr:uid="{00000000-0005-0000-0000-000074010000}"/>
    <cellStyle name="?? 6i 3 8" xfId="374" xr:uid="{00000000-0005-0000-0000-000075010000}"/>
    <cellStyle name="?? 6i 3 9" xfId="375" xr:uid="{00000000-0005-0000-0000-000076010000}"/>
    <cellStyle name="?? 6i 4" xfId="376" xr:uid="{00000000-0005-0000-0000-000077010000}"/>
    <cellStyle name="?? 6i 4 2" xfId="377" xr:uid="{00000000-0005-0000-0000-000078010000}"/>
    <cellStyle name="?? 6i 4 2 2" xfId="378" xr:uid="{00000000-0005-0000-0000-000079010000}"/>
    <cellStyle name="?? 6i 4 3" xfId="379" xr:uid="{00000000-0005-0000-0000-00007A010000}"/>
    <cellStyle name="?? 6i 4 4" xfId="380" xr:uid="{00000000-0005-0000-0000-00007B010000}"/>
    <cellStyle name="?? 6i 4 5" xfId="381" xr:uid="{00000000-0005-0000-0000-00007C010000}"/>
    <cellStyle name="?? 6i 4 6" xfId="382" xr:uid="{00000000-0005-0000-0000-00007D010000}"/>
    <cellStyle name="?? 6i 5" xfId="383" xr:uid="{00000000-0005-0000-0000-00007E010000}"/>
    <cellStyle name="?? 6i 5 2" xfId="384" xr:uid="{00000000-0005-0000-0000-00007F010000}"/>
    <cellStyle name="?? 6i 5 3" xfId="385" xr:uid="{00000000-0005-0000-0000-000080010000}"/>
    <cellStyle name="?? 6i 5 4" xfId="386" xr:uid="{00000000-0005-0000-0000-000081010000}"/>
    <cellStyle name="?? 6i 5 5" xfId="387" xr:uid="{00000000-0005-0000-0000-000082010000}"/>
    <cellStyle name="?? 6i 6" xfId="388" xr:uid="{00000000-0005-0000-0000-000083010000}"/>
    <cellStyle name="?? 6i 6 2" xfId="389" xr:uid="{00000000-0005-0000-0000-000084010000}"/>
    <cellStyle name="?? 6i 6 3" xfId="390" xr:uid="{00000000-0005-0000-0000-000085010000}"/>
    <cellStyle name="?? 6i 6 4" xfId="391" xr:uid="{00000000-0005-0000-0000-000086010000}"/>
    <cellStyle name="?? 6i 7" xfId="392" xr:uid="{00000000-0005-0000-0000-000087010000}"/>
    <cellStyle name="?? 6i 7 2" xfId="393" xr:uid="{00000000-0005-0000-0000-000088010000}"/>
    <cellStyle name="?? 6i 7 3" xfId="394" xr:uid="{00000000-0005-0000-0000-000089010000}"/>
    <cellStyle name="?? 6i 8" xfId="395" xr:uid="{00000000-0005-0000-0000-00008A010000}"/>
    <cellStyle name="?? 6i 8 2" xfId="396" xr:uid="{00000000-0005-0000-0000-00008B010000}"/>
    <cellStyle name="?? 6i 8 3" xfId="397" xr:uid="{00000000-0005-0000-0000-00008C010000}"/>
    <cellStyle name="?? 6i 9" xfId="398" xr:uid="{00000000-0005-0000-0000-00008D010000}"/>
    <cellStyle name="?? 6i 9 2" xfId="399" xr:uid="{00000000-0005-0000-0000-00008E010000}"/>
    <cellStyle name="?? 6i 9 3" xfId="400" xr:uid="{00000000-0005-0000-0000-00008F010000}"/>
    <cellStyle name="?? 7" xfId="401" xr:uid="{00000000-0005-0000-0000-000090010000}"/>
    <cellStyle name="?? 7 2" xfId="402" xr:uid="{00000000-0005-0000-0000-000091010000}"/>
    <cellStyle name="?? 7 3" xfId="403" xr:uid="{00000000-0005-0000-0000-000092010000}"/>
    <cellStyle name="?? 8" xfId="404" xr:uid="{00000000-0005-0000-0000-000093010000}"/>
    <cellStyle name="?? 8 2" xfId="405" xr:uid="{00000000-0005-0000-0000-000094010000}"/>
    <cellStyle name="?? 9" xfId="406" xr:uid="{00000000-0005-0000-0000-000095010000}"/>
    <cellStyle name="?? 9 2" xfId="407" xr:uid="{00000000-0005-0000-0000-000096010000}"/>
    <cellStyle name="??% " xfId="408" xr:uid="{00000000-0005-0000-0000-000097010000}"/>
    <cellStyle name="??%  2" xfId="409" xr:uid="{00000000-0005-0000-0000-000098010000}"/>
    <cellStyle name="??%  3" xfId="410" xr:uid="{00000000-0005-0000-0000-000099010000}"/>
    <cellStyle name="??%  3 2" xfId="411" xr:uid="{00000000-0005-0000-0000-00009A010000}"/>
    <cellStyle name="??%  4" xfId="412" xr:uid="{00000000-0005-0000-0000-00009B010000}"/>
    <cellStyle name="??? ???" xfId="413" xr:uid="{00000000-0005-0000-0000-00009C010000}"/>
    <cellStyle name="??? ??? 2" xfId="414" xr:uid="{00000000-0005-0000-0000-00009D010000}"/>
    <cellStyle name="??? ??? 3" xfId="415" xr:uid="{00000000-0005-0000-0000-00009E010000}"/>
    <cellStyle name="??? ??? 3 2" xfId="416" xr:uid="{00000000-0005-0000-0000-00009F010000}"/>
    <cellStyle name="??? ??? 4" xfId="417" xr:uid="{00000000-0005-0000-0000-0000A0010000}"/>
    <cellStyle name="????" xfId="418" xr:uid="{00000000-0005-0000-0000-0000A1010000}"/>
    <cellStyle name="???? 10" xfId="419" xr:uid="{00000000-0005-0000-0000-0000A2010000}"/>
    <cellStyle name="???? 11" xfId="420" xr:uid="{00000000-0005-0000-0000-0000A3010000}"/>
    <cellStyle name="???? 2" xfId="421" xr:uid="{00000000-0005-0000-0000-0000A4010000}"/>
    <cellStyle name="???? 2 2" xfId="422" xr:uid="{00000000-0005-0000-0000-0000A5010000}"/>
    <cellStyle name="???? 2 2 2" xfId="423" xr:uid="{00000000-0005-0000-0000-0000A6010000}"/>
    <cellStyle name="???? 2 2 2 2" xfId="424" xr:uid="{00000000-0005-0000-0000-0000A7010000}"/>
    <cellStyle name="???? 2 2 2 3" xfId="425" xr:uid="{00000000-0005-0000-0000-0000A8010000}"/>
    <cellStyle name="???? 2 2 3" xfId="426" xr:uid="{00000000-0005-0000-0000-0000A9010000}"/>
    <cellStyle name="???? 2 2 3 2" xfId="427" xr:uid="{00000000-0005-0000-0000-0000AA010000}"/>
    <cellStyle name="???? 2 2 3 3" xfId="428" xr:uid="{00000000-0005-0000-0000-0000AB010000}"/>
    <cellStyle name="???? 2 2 4" xfId="429" xr:uid="{00000000-0005-0000-0000-0000AC010000}"/>
    <cellStyle name="???? 2 2 5" xfId="430" xr:uid="{00000000-0005-0000-0000-0000AD010000}"/>
    <cellStyle name="???? 2 2 6" xfId="431" xr:uid="{00000000-0005-0000-0000-0000AE010000}"/>
    <cellStyle name="???? 2 3" xfId="432" xr:uid="{00000000-0005-0000-0000-0000AF010000}"/>
    <cellStyle name="???? 2 3 2" xfId="433" xr:uid="{00000000-0005-0000-0000-0000B0010000}"/>
    <cellStyle name="???? 2 3 3" xfId="434" xr:uid="{00000000-0005-0000-0000-0000B1010000}"/>
    <cellStyle name="???? 2 4" xfId="435" xr:uid="{00000000-0005-0000-0000-0000B2010000}"/>
    <cellStyle name="???? 2 5" xfId="436" xr:uid="{00000000-0005-0000-0000-0000B3010000}"/>
    <cellStyle name="???? 2 6" xfId="437" xr:uid="{00000000-0005-0000-0000-0000B4010000}"/>
    <cellStyle name="???? 2 7" xfId="438" xr:uid="{00000000-0005-0000-0000-0000B5010000}"/>
    <cellStyle name="???? 3" xfId="439" xr:uid="{00000000-0005-0000-0000-0000B6010000}"/>
    <cellStyle name="???? 3 2" xfId="440" xr:uid="{00000000-0005-0000-0000-0000B7010000}"/>
    <cellStyle name="???? 3 2 2" xfId="441" xr:uid="{00000000-0005-0000-0000-0000B8010000}"/>
    <cellStyle name="???? 3 2 2 2" xfId="442" xr:uid="{00000000-0005-0000-0000-0000B9010000}"/>
    <cellStyle name="???? 3 2 2 3" xfId="443" xr:uid="{00000000-0005-0000-0000-0000BA010000}"/>
    <cellStyle name="???? 3 2 3" xfId="444" xr:uid="{00000000-0005-0000-0000-0000BB010000}"/>
    <cellStyle name="???? 3 2 3 2" xfId="445" xr:uid="{00000000-0005-0000-0000-0000BC010000}"/>
    <cellStyle name="???? 3 2 3 3" xfId="446" xr:uid="{00000000-0005-0000-0000-0000BD010000}"/>
    <cellStyle name="???? 3 2 4" xfId="447" xr:uid="{00000000-0005-0000-0000-0000BE010000}"/>
    <cellStyle name="???? 3 2 5" xfId="448" xr:uid="{00000000-0005-0000-0000-0000BF010000}"/>
    <cellStyle name="???? 3 2 6" xfId="449" xr:uid="{00000000-0005-0000-0000-0000C0010000}"/>
    <cellStyle name="???? 3 3" xfId="450" xr:uid="{00000000-0005-0000-0000-0000C1010000}"/>
    <cellStyle name="???? 3 3 2" xfId="451" xr:uid="{00000000-0005-0000-0000-0000C2010000}"/>
    <cellStyle name="???? 3 3 3" xfId="452" xr:uid="{00000000-0005-0000-0000-0000C3010000}"/>
    <cellStyle name="???? 3 4" xfId="453" xr:uid="{00000000-0005-0000-0000-0000C4010000}"/>
    <cellStyle name="???? 3 4 2" xfId="454" xr:uid="{00000000-0005-0000-0000-0000C5010000}"/>
    <cellStyle name="???? 3 4 3" xfId="455" xr:uid="{00000000-0005-0000-0000-0000C6010000}"/>
    <cellStyle name="???? 3 5" xfId="456" xr:uid="{00000000-0005-0000-0000-0000C7010000}"/>
    <cellStyle name="???? 3 6" xfId="457" xr:uid="{00000000-0005-0000-0000-0000C8010000}"/>
    <cellStyle name="???? 3 7" xfId="458" xr:uid="{00000000-0005-0000-0000-0000C9010000}"/>
    <cellStyle name="???? 3 8" xfId="459" xr:uid="{00000000-0005-0000-0000-0000CA010000}"/>
    <cellStyle name="???? 3 9" xfId="460" xr:uid="{00000000-0005-0000-0000-0000CB010000}"/>
    <cellStyle name="???? 4" xfId="461" xr:uid="{00000000-0005-0000-0000-0000CC010000}"/>
    <cellStyle name="???? 4 2" xfId="462" xr:uid="{00000000-0005-0000-0000-0000CD010000}"/>
    <cellStyle name="???? 4 2 2" xfId="463" xr:uid="{00000000-0005-0000-0000-0000CE010000}"/>
    <cellStyle name="???? 4 3" xfId="464" xr:uid="{00000000-0005-0000-0000-0000CF010000}"/>
    <cellStyle name="???? 4 4" xfId="465" xr:uid="{00000000-0005-0000-0000-0000D0010000}"/>
    <cellStyle name="???? 4 5" xfId="466" xr:uid="{00000000-0005-0000-0000-0000D1010000}"/>
    <cellStyle name="???? 5" xfId="467" xr:uid="{00000000-0005-0000-0000-0000D2010000}"/>
    <cellStyle name="???? 5 2" xfId="468" xr:uid="{00000000-0005-0000-0000-0000D3010000}"/>
    <cellStyle name="???? 5 3" xfId="469" xr:uid="{00000000-0005-0000-0000-0000D4010000}"/>
    <cellStyle name="???? 5 4" xfId="470" xr:uid="{00000000-0005-0000-0000-0000D5010000}"/>
    <cellStyle name="???? 5 5" xfId="471" xr:uid="{00000000-0005-0000-0000-0000D6010000}"/>
    <cellStyle name="???? 5 6" xfId="472" xr:uid="{00000000-0005-0000-0000-0000D7010000}"/>
    <cellStyle name="???? 6" xfId="473" xr:uid="{00000000-0005-0000-0000-0000D8010000}"/>
    <cellStyle name="???? 6 2" xfId="474" xr:uid="{00000000-0005-0000-0000-0000D9010000}"/>
    <cellStyle name="???? 6 3" xfId="475" xr:uid="{00000000-0005-0000-0000-0000DA010000}"/>
    <cellStyle name="???? 6 4" xfId="476" xr:uid="{00000000-0005-0000-0000-0000DB010000}"/>
    <cellStyle name="???? 7" xfId="477" xr:uid="{00000000-0005-0000-0000-0000DC010000}"/>
    <cellStyle name="???? 7 2" xfId="478" xr:uid="{00000000-0005-0000-0000-0000DD010000}"/>
    <cellStyle name="???? 7 3" xfId="479" xr:uid="{00000000-0005-0000-0000-0000DE010000}"/>
    <cellStyle name="???? 8" xfId="480" xr:uid="{00000000-0005-0000-0000-0000DF010000}"/>
    <cellStyle name="???? 8 2" xfId="481" xr:uid="{00000000-0005-0000-0000-0000E0010000}"/>
    <cellStyle name="???? 8 3" xfId="482" xr:uid="{00000000-0005-0000-0000-0000E1010000}"/>
    <cellStyle name="???? 9" xfId="483" xr:uid="{00000000-0005-0000-0000-0000E2010000}"/>
    <cellStyle name="????? " xfId="484" xr:uid="{00000000-0005-0000-0000-0000E3010000}"/>
    <cellStyle name="?????  ??" xfId="485" xr:uid="{00000000-0005-0000-0000-0000E4010000}"/>
    <cellStyle name="?????  ?? 2" xfId="486" xr:uid="{00000000-0005-0000-0000-0000E5010000}"/>
    <cellStyle name="?????  ?? 3" xfId="487" xr:uid="{00000000-0005-0000-0000-0000E6010000}"/>
    <cellStyle name="?????  ?? 3 2" xfId="488" xr:uid="{00000000-0005-0000-0000-0000E7010000}"/>
    <cellStyle name="?????  ?? 4" xfId="489" xr:uid="{00000000-0005-0000-0000-0000E8010000}"/>
    <cellStyle name="?????  ???" xfId="490" xr:uid="{00000000-0005-0000-0000-0000E9010000}"/>
    <cellStyle name="?????  ??? " xfId="491" xr:uid="{00000000-0005-0000-0000-0000EA010000}"/>
    <cellStyle name="?????  ???  2" xfId="492" xr:uid="{00000000-0005-0000-0000-0000EB010000}"/>
    <cellStyle name="?????  ???  3" xfId="493" xr:uid="{00000000-0005-0000-0000-0000EC010000}"/>
    <cellStyle name="?????  ???  3 2" xfId="494" xr:uid="{00000000-0005-0000-0000-0000ED010000}"/>
    <cellStyle name="?????  ???  4" xfId="495" xr:uid="{00000000-0005-0000-0000-0000EE010000}"/>
    <cellStyle name="?????  ??? 10" xfId="496" xr:uid="{00000000-0005-0000-0000-0000EF010000}"/>
    <cellStyle name="?????  ??? 10 2" xfId="497" xr:uid="{00000000-0005-0000-0000-0000F0010000}"/>
    <cellStyle name="?????  ??? 10 2 2" xfId="498" xr:uid="{00000000-0005-0000-0000-0000F1010000}"/>
    <cellStyle name="?????  ??? 10 2 3" xfId="499" xr:uid="{00000000-0005-0000-0000-0000F2010000}"/>
    <cellStyle name="?????  ??? 10 2 4" xfId="500" xr:uid="{00000000-0005-0000-0000-0000F3010000}"/>
    <cellStyle name="?????  ??? 10 3" xfId="501" xr:uid="{00000000-0005-0000-0000-0000F4010000}"/>
    <cellStyle name="?????  ??? 10 3 2" xfId="502" xr:uid="{00000000-0005-0000-0000-0000F5010000}"/>
    <cellStyle name="?????  ??? 10 3 3" xfId="503" xr:uid="{00000000-0005-0000-0000-0000F6010000}"/>
    <cellStyle name="?????  ??? 10 4" xfId="504" xr:uid="{00000000-0005-0000-0000-0000F7010000}"/>
    <cellStyle name="?????  ??? 10 5" xfId="505" xr:uid="{00000000-0005-0000-0000-0000F8010000}"/>
    <cellStyle name="?????  ??? 10 6" xfId="506" xr:uid="{00000000-0005-0000-0000-0000F9010000}"/>
    <cellStyle name="?????  ??? 10 7" xfId="507" xr:uid="{00000000-0005-0000-0000-0000FA010000}"/>
    <cellStyle name="?????  ??? 10 8" xfId="508" xr:uid="{00000000-0005-0000-0000-0000FB010000}"/>
    <cellStyle name="?????  ??? 11" xfId="509" xr:uid="{00000000-0005-0000-0000-0000FC010000}"/>
    <cellStyle name="?????  ??? 11 2" xfId="510" xr:uid="{00000000-0005-0000-0000-0000FD010000}"/>
    <cellStyle name="?????  ??? 11 3" xfId="511" xr:uid="{00000000-0005-0000-0000-0000FE010000}"/>
    <cellStyle name="?????  ??? 11 4" xfId="512" xr:uid="{00000000-0005-0000-0000-0000FF010000}"/>
    <cellStyle name="?????  ??? 11 5" xfId="513" xr:uid="{00000000-0005-0000-0000-000000020000}"/>
    <cellStyle name="?????  ??? 11 6" xfId="514" xr:uid="{00000000-0005-0000-0000-000001020000}"/>
    <cellStyle name="?????  ??? 12" xfId="515" xr:uid="{00000000-0005-0000-0000-000002020000}"/>
    <cellStyle name="?????  ??? 12 2" xfId="516" xr:uid="{00000000-0005-0000-0000-000003020000}"/>
    <cellStyle name="?????  ??? 12 3" xfId="517" xr:uid="{00000000-0005-0000-0000-000004020000}"/>
    <cellStyle name="?????  ??? 12 4" xfId="518" xr:uid="{00000000-0005-0000-0000-000005020000}"/>
    <cellStyle name="?????  ??? 12 5" xfId="519" xr:uid="{00000000-0005-0000-0000-000006020000}"/>
    <cellStyle name="?????  ??? 12 6" xfId="520" xr:uid="{00000000-0005-0000-0000-000007020000}"/>
    <cellStyle name="?????  ??? 13" xfId="521" xr:uid="{00000000-0005-0000-0000-000008020000}"/>
    <cellStyle name="?????  ??? 13 2" xfId="522" xr:uid="{00000000-0005-0000-0000-000009020000}"/>
    <cellStyle name="?????  ??? 13 3" xfId="523" xr:uid="{00000000-0005-0000-0000-00000A020000}"/>
    <cellStyle name="?????  ??? 13 4" xfId="524" xr:uid="{00000000-0005-0000-0000-00000B020000}"/>
    <cellStyle name="?????  ??? 13 5" xfId="525" xr:uid="{00000000-0005-0000-0000-00000C020000}"/>
    <cellStyle name="?????  ??? 13 6" xfId="526" xr:uid="{00000000-0005-0000-0000-00000D020000}"/>
    <cellStyle name="?????  ??? 14" xfId="527" xr:uid="{00000000-0005-0000-0000-00000E020000}"/>
    <cellStyle name="?????  ??? 14 2" xfId="528" xr:uid="{00000000-0005-0000-0000-00000F020000}"/>
    <cellStyle name="?????  ??? 14 3" xfId="529" xr:uid="{00000000-0005-0000-0000-000010020000}"/>
    <cellStyle name="?????  ??? 14 4" xfId="530" xr:uid="{00000000-0005-0000-0000-000011020000}"/>
    <cellStyle name="?????  ??? 15" xfId="531" xr:uid="{00000000-0005-0000-0000-000012020000}"/>
    <cellStyle name="?????  ??? 15 2" xfId="532" xr:uid="{00000000-0005-0000-0000-000013020000}"/>
    <cellStyle name="?????  ??? 15 3" xfId="533" xr:uid="{00000000-0005-0000-0000-000014020000}"/>
    <cellStyle name="?????  ??? 15 4" xfId="534" xr:uid="{00000000-0005-0000-0000-000015020000}"/>
    <cellStyle name="?????  ??? 16" xfId="535" xr:uid="{00000000-0005-0000-0000-000016020000}"/>
    <cellStyle name="?????  ??? 16 2" xfId="536" xr:uid="{00000000-0005-0000-0000-000017020000}"/>
    <cellStyle name="?????  ??? 16 3" xfId="537" xr:uid="{00000000-0005-0000-0000-000018020000}"/>
    <cellStyle name="?????  ??? 17" xfId="538" xr:uid="{00000000-0005-0000-0000-000019020000}"/>
    <cellStyle name="?????  ??? 17 2" xfId="539" xr:uid="{00000000-0005-0000-0000-00001A020000}"/>
    <cellStyle name="?????  ??? 17 3" xfId="540" xr:uid="{00000000-0005-0000-0000-00001B020000}"/>
    <cellStyle name="?????  ??? 18" xfId="541" xr:uid="{00000000-0005-0000-0000-00001C020000}"/>
    <cellStyle name="?????  ??? 18 2" xfId="542" xr:uid="{00000000-0005-0000-0000-00001D020000}"/>
    <cellStyle name="?????  ??? 18 3" xfId="543" xr:uid="{00000000-0005-0000-0000-00001E020000}"/>
    <cellStyle name="?????  ??? 19" xfId="544" xr:uid="{00000000-0005-0000-0000-00001F020000}"/>
    <cellStyle name="?????  ??? 19 2" xfId="545" xr:uid="{00000000-0005-0000-0000-000020020000}"/>
    <cellStyle name="?????  ??? 19 3" xfId="546" xr:uid="{00000000-0005-0000-0000-000021020000}"/>
    <cellStyle name="?????  ??? 2" xfId="547" xr:uid="{00000000-0005-0000-0000-000022020000}"/>
    <cellStyle name="?????  ??? 2 10" xfId="548" xr:uid="{00000000-0005-0000-0000-000023020000}"/>
    <cellStyle name="?????  ??? 2 11" xfId="549" xr:uid="{00000000-0005-0000-0000-000024020000}"/>
    <cellStyle name="?????  ??? 2 2" xfId="550" xr:uid="{00000000-0005-0000-0000-000025020000}"/>
    <cellStyle name="?????  ??? 2 2 2" xfId="551" xr:uid="{00000000-0005-0000-0000-000026020000}"/>
    <cellStyle name="?????  ??? 2 2 2 2" xfId="552" xr:uid="{00000000-0005-0000-0000-000027020000}"/>
    <cellStyle name="?????  ??? 2 2 2 2 2" xfId="553" xr:uid="{00000000-0005-0000-0000-000028020000}"/>
    <cellStyle name="?????  ??? 2 2 2 2 3" xfId="554" xr:uid="{00000000-0005-0000-0000-000029020000}"/>
    <cellStyle name="?????  ??? 2 2 2 3" xfId="555" xr:uid="{00000000-0005-0000-0000-00002A020000}"/>
    <cellStyle name="?????  ??? 2 2 2 3 2" xfId="556" xr:uid="{00000000-0005-0000-0000-00002B020000}"/>
    <cellStyle name="?????  ??? 2 2 2 3 3" xfId="557" xr:uid="{00000000-0005-0000-0000-00002C020000}"/>
    <cellStyle name="?????  ??? 2 2 2 4" xfId="558" xr:uid="{00000000-0005-0000-0000-00002D020000}"/>
    <cellStyle name="?????  ??? 2 2 2 5" xfId="559" xr:uid="{00000000-0005-0000-0000-00002E020000}"/>
    <cellStyle name="?????  ??? 2 2 2 6" xfId="560" xr:uid="{00000000-0005-0000-0000-00002F020000}"/>
    <cellStyle name="?????  ??? 2 2 3" xfId="561" xr:uid="{00000000-0005-0000-0000-000030020000}"/>
    <cellStyle name="?????  ??? 2 2 3 2" xfId="562" xr:uid="{00000000-0005-0000-0000-000031020000}"/>
    <cellStyle name="?????  ??? 2 2 3 3" xfId="563" xr:uid="{00000000-0005-0000-0000-000032020000}"/>
    <cellStyle name="?????  ??? 2 2 4" xfId="564" xr:uid="{00000000-0005-0000-0000-000033020000}"/>
    <cellStyle name="?????  ??? 2 2 5" xfId="565" xr:uid="{00000000-0005-0000-0000-000034020000}"/>
    <cellStyle name="?????  ??? 2 2 6" xfId="566" xr:uid="{00000000-0005-0000-0000-000035020000}"/>
    <cellStyle name="?????  ??? 2 2 7" xfId="567" xr:uid="{00000000-0005-0000-0000-000036020000}"/>
    <cellStyle name="?????  ??? 2 3" xfId="568" xr:uid="{00000000-0005-0000-0000-000037020000}"/>
    <cellStyle name="?????  ??? 2 3 2" xfId="569" xr:uid="{00000000-0005-0000-0000-000038020000}"/>
    <cellStyle name="?????  ??? 2 3 2 2" xfId="570" xr:uid="{00000000-0005-0000-0000-000039020000}"/>
    <cellStyle name="?????  ??? 2 3 2 2 2" xfId="571" xr:uid="{00000000-0005-0000-0000-00003A020000}"/>
    <cellStyle name="?????  ??? 2 3 2 2 3" xfId="572" xr:uid="{00000000-0005-0000-0000-00003B020000}"/>
    <cellStyle name="?????  ??? 2 3 2 3" xfId="573" xr:uid="{00000000-0005-0000-0000-00003C020000}"/>
    <cellStyle name="?????  ??? 2 3 2 3 2" xfId="574" xr:uid="{00000000-0005-0000-0000-00003D020000}"/>
    <cellStyle name="?????  ??? 2 3 2 3 3" xfId="575" xr:uid="{00000000-0005-0000-0000-00003E020000}"/>
    <cellStyle name="?????  ??? 2 3 2 4" xfId="576" xr:uid="{00000000-0005-0000-0000-00003F020000}"/>
    <cellStyle name="?????  ??? 2 3 2 5" xfId="577" xr:uid="{00000000-0005-0000-0000-000040020000}"/>
    <cellStyle name="?????  ??? 2 3 2 6" xfId="578" xr:uid="{00000000-0005-0000-0000-000041020000}"/>
    <cellStyle name="?????  ??? 2 3 3" xfId="579" xr:uid="{00000000-0005-0000-0000-000042020000}"/>
    <cellStyle name="?????  ??? 2 3 3 2" xfId="580" xr:uid="{00000000-0005-0000-0000-000043020000}"/>
    <cellStyle name="?????  ??? 2 3 3 3" xfId="581" xr:uid="{00000000-0005-0000-0000-000044020000}"/>
    <cellStyle name="?????  ??? 2 3 4" xfId="582" xr:uid="{00000000-0005-0000-0000-000045020000}"/>
    <cellStyle name="?????  ??? 2 3 4 2" xfId="583" xr:uid="{00000000-0005-0000-0000-000046020000}"/>
    <cellStyle name="?????  ??? 2 3 4 3" xfId="584" xr:uid="{00000000-0005-0000-0000-000047020000}"/>
    <cellStyle name="?????  ??? 2 3 5" xfId="585" xr:uid="{00000000-0005-0000-0000-000048020000}"/>
    <cellStyle name="?????  ??? 2 3 6" xfId="586" xr:uid="{00000000-0005-0000-0000-000049020000}"/>
    <cellStyle name="?????  ??? 2 3 7" xfId="587" xr:uid="{00000000-0005-0000-0000-00004A020000}"/>
    <cellStyle name="?????  ??? 2 3 8" xfId="588" xr:uid="{00000000-0005-0000-0000-00004B020000}"/>
    <cellStyle name="?????  ??? 2 3 9" xfId="589" xr:uid="{00000000-0005-0000-0000-00004C020000}"/>
    <cellStyle name="?????  ??? 2 4" xfId="590" xr:uid="{00000000-0005-0000-0000-00004D020000}"/>
    <cellStyle name="?????  ??? 2 4 2" xfId="591" xr:uid="{00000000-0005-0000-0000-00004E020000}"/>
    <cellStyle name="?????  ??? 2 4 3" xfId="592" xr:uid="{00000000-0005-0000-0000-00004F020000}"/>
    <cellStyle name="?????  ??? 2 4 4" xfId="593" xr:uid="{00000000-0005-0000-0000-000050020000}"/>
    <cellStyle name="?????  ??? 2 4 5" xfId="594" xr:uid="{00000000-0005-0000-0000-000051020000}"/>
    <cellStyle name="?????  ??? 2 4 6" xfId="595" xr:uid="{00000000-0005-0000-0000-000052020000}"/>
    <cellStyle name="?????  ??? 2 5" xfId="596" xr:uid="{00000000-0005-0000-0000-000053020000}"/>
    <cellStyle name="?????  ??? 2 5 2" xfId="597" xr:uid="{00000000-0005-0000-0000-000054020000}"/>
    <cellStyle name="?????  ??? 2 5 3" xfId="598" xr:uid="{00000000-0005-0000-0000-000055020000}"/>
    <cellStyle name="?????  ??? 2 5 4" xfId="599" xr:uid="{00000000-0005-0000-0000-000056020000}"/>
    <cellStyle name="?????  ??? 2 6" xfId="600" xr:uid="{00000000-0005-0000-0000-000057020000}"/>
    <cellStyle name="?????  ??? 2 6 2" xfId="601" xr:uid="{00000000-0005-0000-0000-000058020000}"/>
    <cellStyle name="?????  ??? 2 6 3" xfId="602" xr:uid="{00000000-0005-0000-0000-000059020000}"/>
    <cellStyle name="?????  ??? 2 7" xfId="603" xr:uid="{00000000-0005-0000-0000-00005A020000}"/>
    <cellStyle name="?????  ??? 2 7 2" xfId="604" xr:uid="{00000000-0005-0000-0000-00005B020000}"/>
    <cellStyle name="?????  ??? 2 7 3" xfId="605" xr:uid="{00000000-0005-0000-0000-00005C020000}"/>
    <cellStyle name="?????  ??? 2 8" xfId="606" xr:uid="{00000000-0005-0000-0000-00005D020000}"/>
    <cellStyle name="?????  ??? 2 8 2" xfId="607" xr:uid="{00000000-0005-0000-0000-00005E020000}"/>
    <cellStyle name="?????  ??? 2 8 3" xfId="608" xr:uid="{00000000-0005-0000-0000-00005F020000}"/>
    <cellStyle name="?????  ??? 2 9" xfId="609" xr:uid="{00000000-0005-0000-0000-000060020000}"/>
    <cellStyle name="?????  ??? 20" xfId="610" xr:uid="{00000000-0005-0000-0000-000061020000}"/>
    <cellStyle name="?????  ??? 20 2" xfId="611" xr:uid="{00000000-0005-0000-0000-000062020000}"/>
    <cellStyle name="?????  ??? 20 3" xfId="612" xr:uid="{00000000-0005-0000-0000-000063020000}"/>
    <cellStyle name="?????  ??? 20 4" xfId="613" xr:uid="{00000000-0005-0000-0000-000064020000}"/>
    <cellStyle name="?????  ??? 21" xfId="614" xr:uid="{00000000-0005-0000-0000-000065020000}"/>
    <cellStyle name="?????  ??? 21 2" xfId="615" xr:uid="{00000000-0005-0000-0000-000066020000}"/>
    <cellStyle name="?????  ??? 21 3" xfId="616" xr:uid="{00000000-0005-0000-0000-000067020000}"/>
    <cellStyle name="?????  ??? 21 4" xfId="617" xr:uid="{00000000-0005-0000-0000-000068020000}"/>
    <cellStyle name="?????  ??? 22" xfId="618" xr:uid="{00000000-0005-0000-0000-000069020000}"/>
    <cellStyle name="?????  ??? 22 2" xfId="619" xr:uid="{00000000-0005-0000-0000-00006A020000}"/>
    <cellStyle name="?????  ??? 22 3" xfId="620" xr:uid="{00000000-0005-0000-0000-00006B020000}"/>
    <cellStyle name="?????  ??? 23" xfId="621" xr:uid="{00000000-0005-0000-0000-00006C020000}"/>
    <cellStyle name="?????  ??? 23 2" xfId="622" xr:uid="{00000000-0005-0000-0000-00006D020000}"/>
    <cellStyle name="?????  ??? 23 3" xfId="623" xr:uid="{00000000-0005-0000-0000-00006E020000}"/>
    <cellStyle name="?????  ??? 24" xfId="624" xr:uid="{00000000-0005-0000-0000-00006F020000}"/>
    <cellStyle name="?????  ??? 24 2" xfId="625" xr:uid="{00000000-0005-0000-0000-000070020000}"/>
    <cellStyle name="?????  ??? 25" xfId="626" xr:uid="{00000000-0005-0000-0000-000071020000}"/>
    <cellStyle name="?????  ??? 25 2" xfId="627" xr:uid="{00000000-0005-0000-0000-000072020000}"/>
    <cellStyle name="?????  ??? 26" xfId="628" xr:uid="{00000000-0005-0000-0000-000073020000}"/>
    <cellStyle name="?????  ??? 26 2" xfId="629" xr:uid="{00000000-0005-0000-0000-000074020000}"/>
    <cellStyle name="?????  ??? 27" xfId="630" xr:uid="{00000000-0005-0000-0000-000075020000}"/>
    <cellStyle name="?????  ??? 27 2" xfId="631" xr:uid="{00000000-0005-0000-0000-000076020000}"/>
    <cellStyle name="?????  ??? 28" xfId="632" xr:uid="{00000000-0005-0000-0000-000077020000}"/>
    <cellStyle name="?????  ??? 28 2" xfId="633" xr:uid="{00000000-0005-0000-0000-000078020000}"/>
    <cellStyle name="?????  ??? 29" xfId="634" xr:uid="{00000000-0005-0000-0000-000079020000}"/>
    <cellStyle name="?????  ??? 29 2" xfId="635" xr:uid="{00000000-0005-0000-0000-00007A020000}"/>
    <cellStyle name="?????  ??? 3" xfId="636" xr:uid="{00000000-0005-0000-0000-00007B020000}"/>
    <cellStyle name="?????  ??? 3 2" xfId="637" xr:uid="{00000000-0005-0000-0000-00007C020000}"/>
    <cellStyle name="?????  ??? 3 2 2" xfId="638" xr:uid="{00000000-0005-0000-0000-00007D020000}"/>
    <cellStyle name="?????  ??? 3 2 2 2" xfId="639" xr:uid="{00000000-0005-0000-0000-00007E020000}"/>
    <cellStyle name="?????  ??? 3 2 2 2 2" xfId="640" xr:uid="{00000000-0005-0000-0000-00007F020000}"/>
    <cellStyle name="?????  ??? 3 2 2 2 3" xfId="641" xr:uid="{00000000-0005-0000-0000-000080020000}"/>
    <cellStyle name="?????  ??? 3 2 2 3" xfId="642" xr:uid="{00000000-0005-0000-0000-000081020000}"/>
    <cellStyle name="?????  ??? 3 2 2 3 2" xfId="643" xr:uid="{00000000-0005-0000-0000-000082020000}"/>
    <cellStyle name="?????  ??? 3 2 2 3 3" xfId="644" xr:uid="{00000000-0005-0000-0000-000083020000}"/>
    <cellStyle name="?????  ??? 3 2 2 4" xfId="645" xr:uid="{00000000-0005-0000-0000-000084020000}"/>
    <cellStyle name="?????  ??? 3 2 2 5" xfId="646" xr:uid="{00000000-0005-0000-0000-000085020000}"/>
    <cellStyle name="?????  ??? 3 2 3" xfId="647" xr:uid="{00000000-0005-0000-0000-000086020000}"/>
    <cellStyle name="?????  ??? 3 2 3 2" xfId="648" xr:uid="{00000000-0005-0000-0000-000087020000}"/>
    <cellStyle name="?????  ??? 3 2 3 3" xfId="649" xr:uid="{00000000-0005-0000-0000-000088020000}"/>
    <cellStyle name="?????  ??? 3 2 4" xfId="650" xr:uid="{00000000-0005-0000-0000-000089020000}"/>
    <cellStyle name="?????  ??? 3 2 4 2" xfId="651" xr:uid="{00000000-0005-0000-0000-00008A020000}"/>
    <cellStyle name="?????  ??? 3 2 4 3" xfId="652" xr:uid="{00000000-0005-0000-0000-00008B020000}"/>
    <cellStyle name="?????  ??? 3 2 5" xfId="653" xr:uid="{00000000-0005-0000-0000-00008C020000}"/>
    <cellStyle name="?????  ??? 3 2 6" xfId="654" xr:uid="{00000000-0005-0000-0000-00008D020000}"/>
    <cellStyle name="?????  ??? 3 2 7" xfId="655" xr:uid="{00000000-0005-0000-0000-00008E020000}"/>
    <cellStyle name="?????  ??? 3 2 8" xfId="656" xr:uid="{00000000-0005-0000-0000-00008F020000}"/>
    <cellStyle name="?????  ??? 3 2 9" xfId="657" xr:uid="{00000000-0005-0000-0000-000090020000}"/>
    <cellStyle name="?????  ??? 3 3" xfId="658" xr:uid="{00000000-0005-0000-0000-000091020000}"/>
    <cellStyle name="?????  ??? 3 3 2" xfId="659" xr:uid="{00000000-0005-0000-0000-000092020000}"/>
    <cellStyle name="?????  ??? 3 3 3" xfId="660" xr:uid="{00000000-0005-0000-0000-000093020000}"/>
    <cellStyle name="?????  ??? 3 3 4" xfId="661" xr:uid="{00000000-0005-0000-0000-000094020000}"/>
    <cellStyle name="?????  ??? 3 3 5" xfId="662" xr:uid="{00000000-0005-0000-0000-000095020000}"/>
    <cellStyle name="?????  ??? 3 3 6" xfId="663" xr:uid="{00000000-0005-0000-0000-000096020000}"/>
    <cellStyle name="?????  ??? 3 4" xfId="664" xr:uid="{00000000-0005-0000-0000-000097020000}"/>
    <cellStyle name="?????  ??? 3 5" xfId="665" xr:uid="{00000000-0005-0000-0000-000098020000}"/>
    <cellStyle name="?????  ??? 3 6" xfId="666" xr:uid="{00000000-0005-0000-0000-000099020000}"/>
    <cellStyle name="?????  ??? 3 7" xfId="667" xr:uid="{00000000-0005-0000-0000-00009A020000}"/>
    <cellStyle name="?????  ??? 30" xfId="668" xr:uid="{00000000-0005-0000-0000-00009B020000}"/>
    <cellStyle name="?????  ??? 31" xfId="669" xr:uid="{00000000-0005-0000-0000-00009C020000}"/>
    <cellStyle name="?????  ??? 4" xfId="670" xr:uid="{00000000-0005-0000-0000-00009D020000}"/>
    <cellStyle name="?????  ??? 4 2" xfId="671" xr:uid="{00000000-0005-0000-0000-00009E020000}"/>
    <cellStyle name="?????  ??? 4 2 2" xfId="672" xr:uid="{00000000-0005-0000-0000-00009F020000}"/>
    <cellStyle name="?????  ??? 4 2 2 2" xfId="673" xr:uid="{00000000-0005-0000-0000-0000A0020000}"/>
    <cellStyle name="?????  ??? 4 2 2 2 2" xfId="674" xr:uid="{00000000-0005-0000-0000-0000A1020000}"/>
    <cellStyle name="?????  ??? 4 2 2 2 3" xfId="675" xr:uid="{00000000-0005-0000-0000-0000A2020000}"/>
    <cellStyle name="?????  ??? 4 2 2 3" xfId="676" xr:uid="{00000000-0005-0000-0000-0000A3020000}"/>
    <cellStyle name="?????  ??? 4 2 2 3 2" xfId="677" xr:uid="{00000000-0005-0000-0000-0000A4020000}"/>
    <cellStyle name="?????  ??? 4 2 2 3 3" xfId="678" xr:uid="{00000000-0005-0000-0000-0000A5020000}"/>
    <cellStyle name="?????  ??? 4 2 2 4" xfId="679" xr:uid="{00000000-0005-0000-0000-0000A6020000}"/>
    <cellStyle name="?????  ??? 4 2 2 5" xfId="680" xr:uid="{00000000-0005-0000-0000-0000A7020000}"/>
    <cellStyle name="?????  ??? 4 2 3" xfId="681" xr:uid="{00000000-0005-0000-0000-0000A8020000}"/>
    <cellStyle name="?????  ??? 4 2 3 2" xfId="682" xr:uid="{00000000-0005-0000-0000-0000A9020000}"/>
    <cellStyle name="?????  ??? 4 2 3 3" xfId="683" xr:uid="{00000000-0005-0000-0000-0000AA020000}"/>
    <cellStyle name="?????  ??? 4 2 4" xfId="684" xr:uid="{00000000-0005-0000-0000-0000AB020000}"/>
    <cellStyle name="?????  ??? 4 2 4 2" xfId="685" xr:uid="{00000000-0005-0000-0000-0000AC020000}"/>
    <cellStyle name="?????  ??? 4 2 4 3" xfId="686" xr:uid="{00000000-0005-0000-0000-0000AD020000}"/>
    <cellStyle name="?????  ??? 4 2 5" xfId="687" xr:uid="{00000000-0005-0000-0000-0000AE020000}"/>
    <cellStyle name="?????  ??? 4 2 6" xfId="688" xr:uid="{00000000-0005-0000-0000-0000AF020000}"/>
    <cellStyle name="?????  ??? 4 2 7" xfId="689" xr:uid="{00000000-0005-0000-0000-0000B0020000}"/>
    <cellStyle name="?????  ??? 4 2 8" xfId="690" xr:uid="{00000000-0005-0000-0000-0000B1020000}"/>
    <cellStyle name="?????  ??? 4 2 9" xfId="691" xr:uid="{00000000-0005-0000-0000-0000B2020000}"/>
    <cellStyle name="?????  ??? 4 3" xfId="692" xr:uid="{00000000-0005-0000-0000-0000B3020000}"/>
    <cellStyle name="?????  ??? 4 3 2" xfId="693" xr:uid="{00000000-0005-0000-0000-0000B4020000}"/>
    <cellStyle name="?????  ??? 4 3 3" xfId="694" xr:uid="{00000000-0005-0000-0000-0000B5020000}"/>
    <cellStyle name="?????  ??? 4 3 4" xfId="695" xr:uid="{00000000-0005-0000-0000-0000B6020000}"/>
    <cellStyle name="?????  ??? 4 3 5" xfId="696" xr:uid="{00000000-0005-0000-0000-0000B7020000}"/>
    <cellStyle name="?????  ??? 4 3 6" xfId="697" xr:uid="{00000000-0005-0000-0000-0000B8020000}"/>
    <cellStyle name="?????  ??? 4 4" xfId="698" xr:uid="{00000000-0005-0000-0000-0000B9020000}"/>
    <cellStyle name="?????  ??? 4 5" xfId="699" xr:uid="{00000000-0005-0000-0000-0000BA020000}"/>
    <cellStyle name="?????  ??? 4 6" xfId="700" xr:uid="{00000000-0005-0000-0000-0000BB020000}"/>
    <cellStyle name="?????  ??? 4 7" xfId="701" xr:uid="{00000000-0005-0000-0000-0000BC020000}"/>
    <cellStyle name="?????  ??? 5" xfId="702" xr:uid="{00000000-0005-0000-0000-0000BD020000}"/>
    <cellStyle name="?????  ??? 5 2" xfId="703" xr:uid="{00000000-0005-0000-0000-0000BE020000}"/>
    <cellStyle name="?????  ??? 5 2 2" xfId="704" xr:uid="{00000000-0005-0000-0000-0000BF020000}"/>
    <cellStyle name="?????  ??? 5 2 2 2" xfId="705" xr:uid="{00000000-0005-0000-0000-0000C0020000}"/>
    <cellStyle name="?????  ??? 5 2 2 2 2" xfId="706" xr:uid="{00000000-0005-0000-0000-0000C1020000}"/>
    <cellStyle name="?????  ??? 5 2 2 2 3" xfId="707" xr:uid="{00000000-0005-0000-0000-0000C2020000}"/>
    <cellStyle name="?????  ??? 5 2 2 3" xfId="708" xr:uid="{00000000-0005-0000-0000-0000C3020000}"/>
    <cellStyle name="?????  ??? 5 2 2 3 2" xfId="709" xr:uid="{00000000-0005-0000-0000-0000C4020000}"/>
    <cellStyle name="?????  ??? 5 2 2 3 3" xfId="710" xr:uid="{00000000-0005-0000-0000-0000C5020000}"/>
    <cellStyle name="?????  ??? 5 2 2 4" xfId="711" xr:uid="{00000000-0005-0000-0000-0000C6020000}"/>
    <cellStyle name="?????  ??? 5 2 2 5" xfId="712" xr:uid="{00000000-0005-0000-0000-0000C7020000}"/>
    <cellStyle name="?????  ??? 5 2 3" xfId="713" xr:uid="{00000000-0005-0000-0000-0000C8020000}"/>
    <cellStyle name="?????  ??? 5 2 3 2" xfId="714" xr:uid="{00000000-0005-0000-0000-0000C9020000}"/>
    <cellStyle name="?????  ??? 5 2 3 3" xfId="715" xr:uid="{00000000-0005-0000-0000-0000CA020000}"/>
    <cellStyle name="?????  ??? 5 2 4" xfId="716" xr:uid="{00000000-0005-0000-0000-0000CB020000}"/>
    <cellStyle name="?????  ??? 5 2 4 2" xfId="717" xr:uid="{00000000-0005-0000-0000-0000CC020000}"/>
    <cellStyle name="?????  ??? 5 2 4 3" xfId="718" xr:uid="{00000000-0005-0000-0000-0000CD020000}"/>
    <cellStyle name="?????  ??? 5 2 5" xfId="719" xr:uid="{00000000-0005-0000-0000-0000CE020000}"/>
    <cellStyle name="?????  ??? 5 2 6" xfId="720" xr:uid="{00000000-0005-0000-0000-0000CF020000}"/>
    <cellStyle name="?????  ??? 5 2 7" xfId="721" xr:uid="{00000000-0005-0000-0000-0000D0020000}"/>
    <cellStyle name="?????  ??? 5 2 8" xfId="722" xr:uid="{00000000-0005-0000-0000-0000D1020000}"/>
    <cellStyle name="?????  ??? 5 2 9" xfId="723" xr:uid="{00000000-0005-0000-0000-0000D2020000}"/>
    <cellStyle name="?????  ??? 5 3" xfId="724" xr:uid="{00000000-0005-0000-0000-0000D3020000}"/>
    <cellStyle name="?????  ??? 5 3 2" xfId="725" xr:uid="{00000000-0005-0000-0000-0000D4020000}"/>
    <cellStyle name="?????  ??? 5 3 3" xfId="726" xr:uid="{00000000-0005-0000-0000-0000D5020000}"/>
    <cellStyle name="?????  ??? 5 3 4" xfId="727" xr:uid="{00000000-0005-0000-0000-0000D6020000}"/>
    <cellStyle name="?????  ??? 5 3 5" xfId="728" xr:uid="{00000000-0005-0000-0000-0000D7020000}"/>
    <cellStyle name="?????  ??? 5 3 6" xfId="729" xr:uid="{00000000-0005-0000-0000-0000D8020000}"/>
    <cellStyle name="?????  ??? 5 4" xfId="730" xr:uid="{00000000-0005-0000-0000-0000D9020000}"/>
    <cellStyle name="?????  ??? 5 5" xfId="731" xr:uid="{00000000-0005-0000-0000-0000DA020000}"/>
    <cellStyle name="?????  ??? 5 6" xfId="732" xr:uid="{00000000-0005-0000-0000-0000DB020000}"/>
    <cellStyle name="?????  ??? 5 7" xfId="733" xr:uid="{00000000-0005-0000-0000-0000DC020000}"/>
    <cellStyle name="?????  ??? 6" xfId="734" xr:uid="{00000000-0005-0000-0000-0000DD020000}"/>
    <cellStyle name="?????  ??? 6 2" xfId="735" xr:uid="{00000000-0005-0000-0000-0000DE020000}"/>
    <cellStyle name="?????  ??? 6 2 2" xfId="736" xr:uid="{00000000-0005-0000-0000-0000DF020000}"/>
    <cellStyle name="?????  ??? 6 2 2 2" xfId="737" xr:uid="{00000000-0005-0000-0000-0000E0020000}"/>
    <cellStyle name="?????  ??? 6 2 2 2 2" xfId="738" xr:uid="{00000000-0005-0000-0000-0000E1020000}"/>
    <cellStyle name="?????  ??? 6 2 2 2 3" xfId="739" xr:uid="{00000000-0005-0000-0000-0000E2020000}"/>
    <cellStyle name="?????  ??? 6 2 2 3" xfId="740" xr:uid="{00000000-0005-0000-0000-0000E3020000}"/>
    <cellStyle name="?????  ??? 6 2 2 3 2" xfId="741" xr:uid="{00000000-0005-0000-0000-0000E4020000}"/>
    <cellStyle name="?????  ??? 6 2 2 3 3" xfId="742" xr:uid="{00000000-0005-0000-0000-0000E5020000}"/>
    <cellStyle name="?????  ??? 6 2 2 4" xfId="743" xr:uid="{00000000-0005-0000-0000-0000E6020000}"/>
    <cellStyle name="?????  ??? 6 2 2 5" xfId="744" xr:uid="{00000000-0005-0000-0000-0000E7020000}"/>
    <cellStyle name="?????  ??? 6 2 3" xfId="745" xr:uid="{00000000-0005-0000-0000-0000E8020000}"/>
    <cellStyle name="?????  ??? 6 2 3 2" xfId="746" xr:uid="{00000000-0005-0000-0000-0000E9020000}"/>
    <cellStyle name="?????  ??? 6 2 3 3" xfId="747" xr:uid="{00000000-0005-0000-0000-0000EA020000}"/>
    <cellStyle name="?????  ??? 6 2 4" xfId="748" xr:uid="{00000000-0005-0000-0000-0000EB020000}"/>
    <cellStyle name="?????  ??? 6 2 4 2" xfId="749" xr:uid="{00000000-0005-0000-0000-0000EC020000}"/>
    <cellStyle name="?????  ??? 6 2 4 3" xfId="750" xr:uid="{00000000-0005-0000-0000-0000ED020000}"/>
    <cellStyle name="?????  ??? 6 2 5" xfId="751" xr:uid="{00000000-0005-0000-0000-0000EE020000}"/>
    <cellStyle name="?????  ??? 6 2 6" xfId="752" xr:uid="{00000000-0005-0000-0000-0000EF020000}"/>
    <cellStyle name="?????  ??? 6 2 7" xfId="753" xr:uid="{00000000-0005-0000-0000-0000F0020000}"/>
    <cellStyle name="?????  ??? 6 2 8" xfId="754" xr:uid="{00000000-0005-0000-0000-0000F1020000}"/>
    <cellStyle name="?????  ??? 6 2 9" xfId="755" xr:uid="{00000000-0005-0000-0000-0000F2020000}"/>
    <cellStyle name="?????  ??? 6 3" xfId="756" xr:uid="{00000000-0005-0000-0000-0000F3020000}"/>
    <cellStyle name="?????  ??? 6 3 2" xfId="757" xr:uid="{00000000-0005-0000-0000-0000F4020000}"/>
    <cellStyle name="?????  ??? 6 3 3" xfId="758" xr:uid="{00000000-0005-0000-0000-0000F5020000}"/>
    <cellStyle name="?????  ??? 6 3 4" xfId="759" xr:uid="{00000000-0005-0000-0000-0000F6020000}"/>
    <cellStyle name="?????  ??? 6 3 5" xfId="760" xr:uid="{00000000-0005-0000-0000-0000F7020000}"/>
    <cellStyle name="?????  ??? 6 3 6" xfId="761" xr:uid="{00000000-0005-0000-0000-0000F8020000}"/>
    <cellStyle name="?????  ??? 6 4" xfId="762" xr:uid="{00000000-0005-0000-0000-0000F9020000}"/>
    <cellStyle name="?????  ??? 6 5" xfId="763" xr:uid="{00000000-0005-0000-0000-0000FA020000}"/>
    <cellStyle name="?????  ??? 6 6" xfId="764" xr:uid="{00000000-0005-0000-0000-0000FB020000}"/>
    <cellStyle name="?????  ??? 6 7" xfId="765" xr:uid="{00000000-0005-0000-0000-0000FC020000}"/>
    <cellStyle name="?????  ??? 7" xfId="766" xr:uid="{00000000-0005-0000-0000-0000FD020000}"/>
    <cellStyle name="?????  ??? 7 2" xfId="767" xr:uid="{00000000-0005-0000-0000-0000FE020000}"/>
    <cellStyle name="?????  ??? 7 2 2" xfId="768" xr:uid="{00000000-0005-0000-0000-0000FF020000}"/>
    <cellStyle name="?????  ??? 7 2 2 2" xfId="769" xr:uid="{00000000-0005-0000-0000-000000030000}"/>
    <cellStyle name="?????  ??? 7 2 2 3" xfId="770" xr:uid="{00000000-0005-0000-0000-000001030000}"/>
    <cellStyle name="?????  ??? 7 2 3" xfId="771" xr:uid="{00000000-0005-0000-0000-000002030000}"/>
    <cellStyle name="?????  ??? 7 2 3 2" xfId="772" xr:uid="{00000000-0005-0000-0000-000003030000}"/>
    <cellStyle name="?????  ??? 7 2 3 3" xfId="773" xr:uid="{00000000-0005-0000-0000-000004030000}"/>
    <cellStyle name="?????  ??? 7 2 4" xfId="774" xr:uid="{00000000-0005-0000-0000-000005030000}"/>
    <cellStyle name="?????  ??? 7 2 5" xfId="775" xr:uid="{00000000-0005-0000-0000-000006030000}"/>
    <cellStyle name="?????  ??? 7 2 6" xfId="776" xr:uid="{00000000-0005-0000-0000-000007030000}"/>
    <cellStyle name="?????  ??? 7 2 7" xfId="777" xr:uid="{00000000-0005-0000-0000-000008030000}"/>
    <cellStyle name="?????  ??? 7 2 8" xfId="778" xr:uid="{00000000-0005-0000-0000-000009030000}"/>
    <cellStyle name="?????  ??? 7 3" xfId="779" xr:uid="{00000000-0005-0000-0000-00000A030000}"/>
    <cellStyle name="?????  ??? 7 3 2" xfId="780" xr:uid="{00000000-0005-0000-0000-00000B030000}"/>
    <cellStyle name="?????  ??? 7 3 3" xfId="781" xr:uid="{00000000-0005-0000-0000-00000C030000}"/>
    <cellStyle name="?????  ??? 7 4" xfId="782" xr:uid="{00000000-0005-0000-0000-00000D030000}"/>
    <cellStyle name="?????  ??? 7 5" xfId="783" xr:uid="{00000000-0005-0000-0000-00000E030000}"/>
    <cellStyle name="?????  ??? 7 6" xfId="784" xr:uid="{00000000-0005-0000-0000-00000F030000}"/>
    <cellStyle name="?????  ??? 7 7" xfId="785" xr:uid="{00000000-0005-0000-0000-000010030000}"/>
    <cellStyle name="?????  ??? 8" xfId="786" xr:uid="{00000000-0005-0000-0000-000011030000}"/>
    <cellStyle name="?????  ??? 8 2" xfId="787" xr:uid="{00000000-0005-0000-0000-000012030000}"/>
    <cellStyle name="?????  ??? 8 2 2" xfId="788" xr:uid="{00000000-0005-0000-0000-000013030000}"/>
    <cellStyle name="?????  ??? 8 2 2 2" xfId="789" xr:uid="{00000000-0005-0000-0000-000014030000}"/>
    <cellStyle name="?????  ??? 8 2 2 3" xfId="790" xr:uid="{00000000-0005-0000-0000-000015030000}"/>
    <cellStyle name="?????  ??? 8 2 3" xfId="791" xr:uid="{00000000-0005-0000-0000-000016030000}"/>
    <cellStyle name="?????  ??? 8 2 3 2" xfId="792" xr:uid="{00000000-0005-0000-0000-000017030000}"/>
    <cellStyle name="?????  ??? 8 2 3 3" xfId="793" xr:uid="{00000000-0005-0000-0000-000018030000}"/>
    <cellStyle name="?????  ??? 8 2 4" xfId="794" xr:uid="{00000000-0005-0000-0000-000019030000}"/>
    <cellStyle name="?????  ??? 8 2 5" xfId="795" xr:uid="{00000000-0005-0000-0000-00001A030000}"/>
    <cellStyle name="?????  ??? 8 2 6" xfId="796" xr:uid="{00000000-0005-0000-0000-00001B030000}"/>
    <cellStyle name="?????  ??? 8 3" xfId="797" xr:uid="{00000000-0005-0000-0000-00001C030000}"/>
    <cellStyle name="?????  ??? 8 3 2" xfId="798" xr:uid="{00000000-0005-0000-0000-00001D030000}"/>
    <cellStyle name="?????  ??? 8 3 3" xfId="799" xr:uid="{00000000-0005-0000-0000-00001E030000}"/>
    <cellStyle name="?????  ??? 8 4" xfId="800" xr:uid="{00000000-0005-0000-0000-00001F030000}"/>
    <cellStyle name="?????  ??? 8 5" xfId="801" xr:uid="{00000000-0005-0000-0000-000020030000}"/>
    <cellStyle name="?????  ??? 8 6" xfId="802" xr:uid="{00000000-0005-0000-0000-000021030000}"/>
    <cellStyle name="?????  ??? 8 7" xfId="803" xr:uid="{00000000-0005-0000-0000-000022030000}"/>
    <cellStyle name="?????  ??? 9" xfId="804" xr:uid="{00000000-0005-0000-0000-000023030000}"/>
    <cellStyle name="?????  ??? 9 2" xfId="805" xr:uid="{00000000-0005-0000-0000-000024030000}"/>
    <cellStyle name="?????  ??? 9 2 2" xfId="806" xr:uid="{00000000-0005-0000-0000-000025030000}"/>
    <cellStyle name="?????  ??? 9 2 2 2" xfId="807" xr:uid="{00000000-0005-0000-0000-000026030000}"/>
    <cellStyle name="?????  ??? 9 2 2 3" xfId="808" xr:uid="{00000000-0005-0000-0000-000027030000}"/>
    <cellStyle name="?????  ??? 9 2 3" xfId="809" xr:uid="{00000000-0005-0000-0000-000028030000}"/>
    <cellStyle name="?????  ??? 9 2 3 2" xfId="810" xr:uid="{00000000-0005-0000-0000-000029030000}"/>
    <cellStyle name="?????  ??? 9 2 3 3" xfId="811" xr:uid="{00000000-0005-0000-0000-00002A030000}"/>
    <cellStyle name="?????  ??? 9 2 4" xfId="812" xr:uid="{00000000-0005-0000-0000-00002B030000}"/>
    <cellStyle name="?????  ??? 9 2 5" xfId="813" xr:uid="{00000000-0005-0000-0000-00002C030000}"/>
    <cellStyle name="?????  ??? 9 2 6" xfId="814" xr:uid="{00000000-0005-0000-0000-00002D030000}"/>
    <cellStyle name="?????  ??? 9 3" xfId="815" xr:uid="{00000000-0005-0000-0000-00002E030000}"/>
    <cellStyle name="?????  ??? 9 3 2" xfId="816" xr:uid="{00000000-0005-0000-0000-00002F030000}"/>
    <cellStyle name="?????  ??? 9 3 3" xfId="817" xr:uid="{00000000-0005-0000-0000-000030030000}"/>
    <cellStyle name="?????  ??? 9 4" xfId="818" xr:uid="{00000000-0005-0000-0000-000031030000}"/>
    <cellStyle name="?????  ??? 9 4 2" xfId="819" xr:uid="{00000000-0005-0000-0000-000032030000}"/>
    <cellStyle name="?????  ??? 9 4 3" xfId="820" xr:uid="{00000000-0005-0000-0000-000033030000}"/>
    <cellStyle name="?????  ??? 9 5" xfId="821" xr:uid="{00000000-0005-0000-0000-000034030000}"/>
    <cellStyle name="?????  ??? 9 6" xfId="822" xr:uid="{00000000-0005-0000-0000-000035030000}"/>
    <cellStyle name="?????  ??? 9 7" xfId="823" xr:uid="{00000000-0005-0000-0000-000036030000}"/>
    <cellStyle name="?????  ??? 9 8" xfId="824" xr:uid="{00000000-0005-0000-0000-000037030000}"/>
    <cellStyle name="?????  ??? 9 9" xfId="825" xr:uid="{00000000-0005-0000-0000-000038030000}"/>
    <cellStyle name="?????  10" xfId="826" xr:uid="{00000000-0005-0000-0000-000039030000}"/>
    <cellStyle name="?????  11" xfId="827" xr:uid="{00000000-0005-0000-0000-00003A030000}"/>
    <cellStyle name="?????  12" xfId="828" xr:uid="{00000000-0005-0000-0000-00003B030000}"/>
    <cellStyle name="?????  12 2" xfId="829" xr:uid="{00000000-0005-0000-0000-00003C030000}"/>
    <cellStyle name="?????  13" xfId="830" xr:uid="{00000000-0005-0000-0000-00003D030000}"/>
    <cellStyle name="?????  13 2" xfId="831" xr:uid="{00000000-0005-0000-0000-00003E030000}"/>
    <cellStyle name="?????  14" xfId="832" xr:uid="{00000000-0005-0000-0000-00003F030000}"/>
    <cellStyle name="?????  14 2" xfId="833" xr:uid="{00000000-0005-0000-0000-000040030000}"/>
    <cellStyle name="?????  15" xfId="834" xr:uid="{00000000-0005-0000-0000-000041030000}"/>
    <cellStyle name="?????  16" xfId="835" xr:uid="{00000000-0005-0000-0000-000042030000}"/>
    <cellStyle name="?????  17" xfId="836" xr:uid="{00000000-0005-0000-0000-000043030000}"/>
    <cellStyle name="?????  18" xfId="837" xr:uid="{00000000-0005-0000-0000-000044030000}"/>
    <cellStyle name="?????  19" xfId="838" xr:uid="{00000000-0005-0000-0000-000045030000}"/>
    <cellStyle name="?????  2" xfId="839" xr:uid="{00000000-0005-0000-0000-000046030000}"/>
    <cellStyle name="?????  20" xfId="840" xr:uid="{00000000-0005-0000-0000-000047030000}"/>
    <cellStyle name="?????  21" xfId="841" xr:uid="{00000000-0005-0000-0000-000048030000}"/>
    <cellStyle name="?????  22" xfId="842" xr:uid="{00000000-0005-0000-0000-000049030000}"/>
    <cellStyle name="?????  23" xfId="843" xr:uid="{00000000-0005-0000-0000-00004A030000}"/>
    <cellStyle name="?????  3" xfId="844" xr:uid="{00000000-0005-0000-0000-00004B030000}"/>
    <cellStyle name="?????  3 2" xfId="845" xr:uid="{00000000-0005-0000-0000-00004C030000}"/>
    <cellStyle name="?????  3 3" xfId="846" xr:uid="{00000000-0005-0000-0000-00004D030000}"/>
    <cellStyle name="?????  4" xfId="847" xr:uid="{00000000-0005-0000-0000-00004E030000}"/>
    <cellStyle name="?????  4 2" xfId="848" xr:uid="{00000000-0005-0000-0000-00004F030000}"/>
    <cellStyle name="?????  4 3" xfId="849" xr:uid="{00000000-0005-0000-0000-000050030000}"/>
    <cellStyle name="?????  5" xfId="850" xr:uid="{00000000-0005-0000-0000-000051030000}"/>
    <cellStyle name="?????  5 2" xfId="851" xr:uid="{00000000-0005-0000-0000-000052030000}"/>
    <cellStyle name="?????  5 3" xfId="852" xr:uid="{00000000-0005-0000-0000-000053030000}"/>
    <cellStyle name="?????  6" xfId="853" xr:uid="{00000000-0005-0000-0000-000054030000}"/>
    <cellStyle name="?????  6 2" xfId="854" xr:uid="{00000000-0005-0000-0000-000055030000}"/>
    <cellStyle name="?????  6 3" xfId="855" xr:uid="{00000000-0005-0000-0000-000056030000}"/>
    <cellStyle name="?????  7" xfId="856" xr:uid="{00000000-0005-0000-0000-000057030000}"/>
    <cellStyle name="?????  8" xfId="857" xr:uid="{00000000-0005-0000-0000-000058030000}"/>
    <cellStyle name="?????  8 2" xfId="858" xr:uid="{00000000-0005-0000-0000-000059030000}"/>
    <cellStyle name="?????  9" xfId="859" xr:uid="{00000000-0005-0000-0000-00005A030000}"/>
    <cellStyle name="????? ??" xfId="860" xr:uid="{00000000-0005-0000-0000-00005B030000}"/>
    <cellStyle name="????? ?? 2" xfId="861" xr:uid="{00000000-0005-0000-0000-00005C030000}"/>
    <cellStyle name="????? ?? 3" xfId="862" xr:uid="{00000000-0005-0000-0000-00005D030000}"/>
    <cellStyle name="????? ?? 3 2" xfId="863" xr:uid="{00000000-0005-0000-0000-00005E030000}"/>
    <cellStyle name="????? ?? 4" xfId="864" xr:uid="{00000000-0005-0000-0000-00005F030000}"/>
    <cellStyle name="????? ???  tTex" xfId="865" xr:uid="{00000000-0005-0000-0000-000060030000}"/>
    <cellStyle name="????? ???  tTex 2" xfId="866" xr:uid="{00000000-0005-0000-0000-000061030000}"/>
    <cellStyle name="????? ???  tTex 3" xfId="867" xr:uid="{00000000-0005-0000-0000-000062030000}"/>
    <cellStyle name="????? ???  tTex 3 2" xfId="868" xr:uid="{00000000-0005-0000-0000-000063030000}"/>
    <cellStyle name="????? ???  tTex 4" xfId="869" xr:uid="{00000000-0005-0000-0000-000064030000}"/>
    <cellStyle name="????? ??? ??? x" xfId="870" xr:uid="{00000000-0005-0000-0000-000065030000}"/>
    <cellStyle name="????? ??? ??? x 2" xfId="871" xr:uid="{00000000-0005-0000-0000-000066030000}"/>
    <cellStyle name="????? ??? ??? x 3" xfId="872" xr:uid="{00000000-0005-0000-0000-000067030000}"/>
    <cellStyle name="????? ??? ??? x 3 2" xfId="873" xr:uid="{00000000-0005-0000-0000-000068030000}"/>
    <cellStyle name="????? ??? ??? x 4" xfId="874" xr:uid="{00000000-0005-0000-0000-000069030000}"/>
    <cellStyle name="????? ????" xfId="875" xr:uid="{00000000-0005-0000-0000-00006A030000}"/>
    <cellStyle name="????? ???? 2" xfId="876" xr:uid="{00000000-0005-0000-0000-00006B030000}"/>
    <cellStyle name="????? ???? 3" xfId="877" xr:uid="{00000000-0005-0000-0000-00006C030000}"/>
    <cellStyle name="????? ???? 3 2" xfId="878" xr:uid="{00000000-0005-0000-0000-00006D030000}"/>
    <cellStyle name="????? ???? 4" xfId="879" xr:uid="{00000000-0005-0000-0000-00006E030000}"/>
    <cellStyle name="????? g Tex" xfId="880" xr:uid="{00000000-0005-0000-0000-00006F030000}"/>
    <cellStyle name="????? g Tex 2" xfId="881" xr:uid="{00000000-0005-0000-0000-000070030000}"/>
    <cellStyle name="????? g Tex 3" xfId="882" xr:uid="{00000000-0005-0000-0000-000071030000}"/>
    <cellStyle name="????? g Tex 3 2" xfId="883" xr:uid="{00000000-0005-0000-0000-000072030000}"/>
    <cellStyle name="????? g Tex 4" xfId="884" xr:uid="{00000000-0005-0000-0000-000073030000}"/>
    <cellStyle name="??????" xfId="885" xr:uid="{00000000-0005-0000-0000-000074030000}"/>
    <cellStyle name="?????? ?" xfId="886" xr:uid="{00000000-0005-0000-0000-000075030000}"/>
    <cellStyle name="?????? ? 2" xfId="887" xr:uid="{00000000-0005-0000-0000-000076030000}"/>
    <cellStyle name="?????? ? 3" xfId="888" xr:uid="{00000000-0005-0000-0000-000077030000}"/>
    <cellStyle name="?????? ? 3 2" xfId="889" xr:uid="{00000000-0005-0000-0000-000078030000}"/>
    <cellStyle name="?????? ? 4" xfId="890" xr:uid="{00000000-0005-0000-0000-000079030000}"/>
    <cellStyle name="?????? ??? tTextt\" xfId="891" xr:uid="{00000000-0005-0000-0000-00007A030000}"/>
    <cellStyle name="?????? ??? tTextt\ 2" xfId="892" xr:uid="{00000000-0005-0000-0000-00007B030000}"/>
    <cellStyle name="?????? ??? tTextt\ 3" xfId="893" xr:uid="{00000000-0005-0000-0000-00007C030000}"/>
    <cellStyle name="?????? ??? tTextt\ 3 2" xfId="894" xr:uid="{00000000-0005-0000-0000-00007D030000}"/>
    <cellStyle name="?????? ??? tTextt\ 4" xfId="895" xr:uid="{00000000-0005-0000-0000-00007E030000}"/>
    <cellStyle name="?????? ??? tTextt\ 5" xfId="896" xr:uid="{00000000-0005-0000-0000-00007F030000}"/>
    <cellStyle name="?????? 1???? 6" xfId="897" xr:uid="{00000000-0005-0000-0000-000080030000}"/>
    <cellStyle name="?????? 1???? 6 2" xfId="898" xr:uid="{00000000-0005-0000-0000-000081030000}"/>
    <cellStyle name="?????? 1???? 6 3" xfId="899" xr:uid="{00000000-0005-0000-0000-000082030000}"/>
    <cellStyle name="?????? 1???? 6 3 2" xfId="900" xr:uid="{00000000-0005-0000-0000-000083030000}"/>
    <cellStyle name="?????? 1???? 6 4" xfId="901" xr:uid="{00000000-0005-0000-0000-000084030000}"/>
    <cellStyle name="?????? 10" xfId="902" xr:uid="{00000000-0005-0000-0000-000085030000}"/>
    <cellStyle name="?????? 11" xfId="903" xr:uid="{00000000-0005-0000-0000-000086030000}"/>
    <cellStyle name="?????? 12" xfId="904" xr:uid="{00000000-0005-0000-0000-000087030000}"/>
    <cellStyle name="?????? 12 2" xfId="905" xr:uid="{00000000-0005-0000-0000-000088030000}"/>
    <cellStyle name="?????? 13" xfId="906" xr:uid="{00000000-0005-0000-0000-000089030000}"/>
    <cellStyle name="?????? 13 2" xfId="907" xr:uid="{00000000-0005-0000-0000-00008A030000}"/>
    <cellStyle name="?????? 14" xfId="908" xr:uid="{00000000-0005-0000-0000-00008B030000}"/>
    <cellStyle name="?????? 14 2" xfId="909" xr:uid="{00000000-0005-0000-0000-00008C030000}"/>
    <cellStyle name="?????? 15" xfId="910" xr:uid="{00000000-0005-0000-0000-00008D030000}"/>
    <cellStyle name="?????? 16" xfId="911" xr:uid="{00000000-0005-0000-0000-00008E030000}"/>
    <cellStyle name="?????? 17" xfId="912" xr:uid="{00000000-0005-0000-0000-00008F030000}"/>
    <cellStyle name="?????? 18" xfId="913" xr:uid="{00000000-0005-0000-0000-000090030000}"/>
    <cellStyle name="?????? 19" xfId="914" xr:uid="{00000000-0005-0000-0000-000091030000}"/>
    <cellStyle name="?????? 2" xfId="915" xr:uid="{00000000-0005-0000-0000-000092030000}"/>
    <cellStyle name="?????? 2???? 6" xfId="916" xr:uid="{00000000-0005-0000-0000-000093030000}"/>
    <cellStyle name="?????? 2???? 6 2" xfId="917" xr:uid="{00000000-0005-0000-0000-000094030000}"/>
    <cellStyle name="?????? 2???? 6 3" xfId="918" xr:uid="{00000000-0005-0000-0000-000095030000}"/>
    <cellStyle name="?????? 2???? 6 3 2" xfId="919" xr:uid="{00000000-0005-0000-0000-000096030000}"/>
    <cellStyle name="?????? 2???? 6 4" xfId="920" xr:uid="{00000000-0005-0000-0000-000097030000}"/>
    <cellStyle name="?????? 20" xfId="921" xr:uid="{00000000-0005-0000-0000-000098030000}"/>
    <cellStyle name="?????? 21" xfId="922" xr:uid="{00000000-0005-0000-0000-000099030000}"/>
    <cellStyle name="?????? 22" xfId="923" xr:uid="{00000000-0005-0000-0000-00009A030000}"/>
    <cellStyle name="?????? 23" xfId="924" xr:uid="{00000000-0005-0000-0000-00009B030000}"/>
    <cellStyle name="?????? 3" xfId="925" xr:uid="{00000000-0005-0000-0000-00009C030000}"/>
    <cellStyle name="?????? 3 2" xfId="926" xr:uid="{00000000-0005-0000-0000-00009D030000}"/>
    <cellStyle name="?????? 3 3" xfId="927" xr:uid="{00000000-0005-0000-0000-00009E030000}"/>
    <cellStyle name="?????? 3???? 6" xfId="928" xr:uid="{00000000-0005-0000-0000-00009F030000}"/>
    <cellStyle name="?????? 3???? 6 2" xfId="929" xr:uid="{00000000-0005-0000-0000-0000A0030000}"/>
    <cellStyle name="?????? 3???? 6 3" xfId="930" xr:uid="{00000000-0005-0000-0000-0000A1030000}"/>
    <cellStyle name="?????? 3???? 6 3 2" xfId="931" xr:uid="{00000000-0005-0000-0000-0000A2030000}"/>
    <cellStyle name="?????? 3???? 6 4" xfId="932" xr:uid="{00000000-0005-0000-0000-0000A3030000}"/>
    <cellStyle name="?????? 4" xfId="933" xr:uid="{00000000-0005-0000-0000-0000A4030000}"/>
    <cellStyle name="?????? 4 2" xfId="934" xr:uid="{00000000-0005-0000-0000-0000A5030000}"/>
    <cellStyle name="?????? 4 3" xfId="935" xr:uid="{00000000-0005-0000-0000-0000A6030000}"/>
    <cellStyle name="?????? 4???? 6" xfId="936" xr:uid="{00000000-0005-0000-0000-0000A7030000}"/>
    <cellStyle name="?????? 4???? 6 2" xfId="937" xr:uid="{00000000-0005-0000-0000-0000A8030000}"/>
    <cellStyle name="?????? 4???? 6 3" xfId="938" xr:uid="{00000000-0005-0000-0000-0000A9030000}"/>
    <cellStyle name="?????? 4???? 6 3 2" xfId="939" xr:uid="{00000000-0005-0000-0000-0000AA030000}"/>
    <cellStyle name="?????? 4???? 6 4" xfId="940" xr:uid="{00000000-0005-0000-0000-0000AB030000}"/>
    <cellStyle name="?????? 5" xfId="941" xr:uid="{00000000-0005-0000-0000-0000AC030000}"/>
    <cellStyle name="?????? 5 2" xfId="942" xr:uid="{00000000-0005-0000-0000-0000AD030000}"/>
    <cellStyle name="?????? 5 3" xfId="943" xr:uid="{00000000-0005-0000-0000-0000AE030000}"/>
    <cellStyle name="?????? 5???? 6" xfId="944" xr:uid="{00000000-0005-0000-0000-0000AF030000}"/>
    <cellStyle name="?????? 5???? 6 2" xfId="945" xr:uid="{00000000-0005-0000-0000-0000B0030000}"/>
    <cellStyle name="?????? 5???? 6 3" xfId="946" xr:uid="{00000000-0005-0000-0000-0000B1030000}"/>
    <cellStyle name="?????? 5???? 6 3 2" xfId="947" xr:uid="{00000000-0005-0000-0000-0000B2030000}"/>
    <cellStyle name="?????? 5???? 6 4" xfId="948" xr:uid="{00000000-0005-0000-0000-0000B3030000}"/>
    <cellStyle name="?????? 6" xfId="949" xr:uid="{00000000-0005-0000-0000-0000B4030000}"/>
    <cellStyle name="?????? 6 2" xfId="950" xr:uid="{00000000-0005-0000-0000-0000B5030000}"/>
    <cellStyle name="?????? 6 3" xfId="951" xr:uid="{00000000-0005-0000-0000-0000B6030000}"/>
    <cellStyle name="?????? 6???? 6" xfId="952" xr:uid="{00000000-0005-0000-0000-0000B7030000}"/>
    <cellStyle name="?????? 6???? 6 2" xfId="953" xr:uid="{00000000-0005-0000-0000-0000B8030000}"/>
    <cellStyle name="?????? 6???? 6 3" xfId="954" xr:uid="{00000000-0005-0000-0000-0000B9030000}"/>
    <cellStyle name="?????? 6???? 6 3 2" xfId="955" xr:uid="{00000000-0005-0000-0000-0000BA030000}"/>
    <cellStyle name="?????? 6???? 6 4" xfId="956" xr:uid="{00000000-0005-0000-0000-0000BB030000}"/>
    <cellStyle name="?????? 7" xfId="957" xr:uid="{00000000-0005-0000-0000-0000BC030000}"/>
    <cellStyle name="?????? 8" xfId="958" xr:uid="{00000000-0005-0000-0000-0000BD030000}"/>
    <cellStyle name="?????? 8 2" xfId="959" xr:uid="{00000000-0005-0000-0000-0000BE030000}"/>
    <cellStyle name="?????? 9" xfId="960" xr:uid="{00000000-0005-0000-0000-0000BF030000}"/>
    <cellStyle name="??????? ?" xfId="961" xr:uid="{00000000-0005-0000-0000-0000C0030000}"/>
    <cellStyle name="??????? ? 2" xfId="962" xr:uid="{00000000-0005-0000-0000-0000C1030000}"/>
    <cellStyle name="??????? ? 3" xfId="963" xr:uid="{00000000-0005-0000-0000-0000C2030000}"/>
    <cellStyle name="??????? ? 3 2" xfId="964" xr:uid="{00000000-0005-0000-0000-0000C3030000}"/>
    <cellStyle name="??????? ? 4" xfId="965" xr:uid="{00000000-0005-0000-0000-0000C4030000}"/>
    <cellStyle name="??????? ??" xfId="966" xr:uid="{00000000-0005-0000-0000-0000C5030000}"/>
    <cellStyle name="??????? ?? 10" xfId="967" xr:uid="{00000000-0005-0000-0000-0000C6030000}"/>
    <cellStyle name="??????? ?? 11" xfId="968" xr:uid="{00000000-0005-0000-0000-0000C7030000}"/>
    <cellStyle name="??????? ?? 12" xfId="969" xr:uid="{00000000-0005-0000-0000-0000C8030000}"/>
    <cellStyle name="??????? ?? 13" xfId="970" xr:uid="{00000000-0005-0000-0000-0000C9030000}"/>
    <cellStyle name="??????? ?? 2" xfId="971" xr:uid="{00000000-0005-0000-0000-0000CA030000}"/>
    <cellStyle name="??????? ?? 2 10" xfId="972" xr:uid="{00000000-0005-0000-0000-0000CB030000}"/>
    <cellStyle name="??????? ?? 2 11" xfId="973" xr:uid="{00000000-0005-0000-0000-0000CC030000}"/>
    <cellStyle name="??????? ?? 2 2" xfId="974" xr:uid="{00000000-0005-0000-0000-0000CD030000}"/>
    <cellStyle name="??????? ?? 2 2 2" xfId="975" xr:uid="{00000000-0005-0000-0000-0000CE030000}"/>
    <cellStyle name="??????? ?? 2 2 2 2" xfId="976" xr:uid="{00000000-0005-0000-0000-0000CF030000}"/>
    <cellStyle name="??????? ?? 2 2 2 2 2" xfId="977" xr:uid="{00000000-0005-0000-0000-0000D0030000}"/>
    <cellStyle name="??????? ?? 2 2 2 2 3" xfId="978" xr:uid="{00000000-0005-0000-0000-0000D1030000}"/>
    <cellStyle name="??????? ?? 2 2 2 3" xfId="979" xr:uid="{00000000-0005-0000-0000-0000D2030000}"/>
    <cellStyle name="??????? ?? 2 2 2 3 2" xfId="980" xr:uid="{00000000-0005-0000-0000-0000D3030000}"/>
    <cellStyle name="??????? ?? 2 2 2 3 3" xfId="981" xr:uid="{00000000-0005-0000-0000-0000D4030000}"/>
    <cellStyle name="??????? ?? 2 2 2 4" xfId="982" xr:uid="{00000000-0005-0000-0000-0000D5030000}"/>
    <cellStyle name="??????? ?? 2 2 2 5" xfId="983" xr:uid="{00000000-0005-0000-0000-0000D6030000}"/>
    <cellStyle name="??????? ?? 2 2 2 6" xfId="984" xr:uid="{00000000-0005-0000-0000-0000D7030000}"/>
    <cellStyle name="??????? ?? 2 2 3" xfId="985" xr:uid="{00000000-0005-0000-0000-0000D8030000}"/>
    <cellStyle name="??????? ?? 2 2 3 2" xfId="986" xr:uid="{00000000-0005-0000-0000-0000D9030000}"/>
    <cellStyle name="??????? ?? 2 2 3 3" xfId="987" xr:uid="{00000000-0005-0000-0000-0000DA030000}"/>
    <cellStyle name="??????? ?? 2 2 4" xfId="988" xr:uid="{00000000-0005-0000-0000-0000DB030000}"/>
    <cellStyle name="??????? ?? 2 2 5" xfId="989" xr:uid="{00000000-0005-0000-0000-0000DC030000}"/>
    <cellStyle name="??????? ?? 2 2 6" xfId="990" xr:uid="{00000000-0005-0000-0000-0000DD030000}"/>
    <cellStyle name="??????? ?? 2 2 7" xfId="991" xr:uid="{00000000-0005-0000-0000-0000DE030000}"/>
    <cellStyle name="??????? ?? 2 3" xfId="992" xr:uid="{00000000-0005-0000-0000-0000DF030000}"/>
    <cellStyle name="??????? ?? 2 3 2" xfId="993" xr:uid="{00000000-0005-0000-0000-0000E0030000}"/>
    <cellStyle name="??????? ?? 2 3 2 2" xfId="994" xr:uid="{00000000-0005-0000-0000-0000E1030000}"/>
    <cellStyle name="??????? ?? 2 3 2 2 2" xfId="995" xr:uid="{00000000-0005-0000-0000-0000E2030000}"/>
    <cellStyle name="??????? ?? 2 3 2 2 3" xfId="996" xr:uid="{00000000-0005-0000-0000-0000E3030000}"/>
    <cellStyle name="??????? ?? 2 3 2 3" xfId="997" xr:uid="{00000000-0005-0000-0000-0000E4030000}"/>
    <cellStyle name="??????? ?? 2 3 2 3 2" xfId="998" xr:uid="{00000000-0005-0000-0000-0000E5030000}"/>
    <cellStyle name="??????? ?? 2 3 2 3 3" xfId="999" xr:uid="{00000000-0005-0000-0000-0000E6030000}"/>
    <cellStyle name="??????? ?? 2 3 2 4" xfId="1000" xr:uid="{00000000-0005-0000-0000-0000E7030000}"/>
    <cellStyle name="??????? ?? 2 3 2 5" xfId="1001" xr:uid="{00000000-0005-0000-0000-0000E8030000}"/>
    <cellStyle name="??????? ?? 2 3 2 6" xfId="1002" xr:uid="{00000000-0005-0000-0000-0000E9030000}"/>
    <cellStyle name="??????? ?? 2 3 3" xfId="1003" xr:uid="{00000000-0005-0000-0000-0000EA030000}"/>
    <cellStyle name="??????? ?? 2 3 3 2" xfId="1004" xr:uid="{00000000-0005-0000-0000-0000EB030000}"/>
    <cellStyle name="??????? ?? 2 3 3 3" xfId="1005" xr:uid="{00000000-0005-0000-0000-0000EC030000}"/>
    <cellStyle name="??????? ?? 2 3 4" xfId="1006" xr:uid="{00000000-0005-0000-0000-0000ED030000}"/>
    <cellStyle name="??????? ?? 2 3 4 2" xfId="1007" xr:uid="{00000000-0005-0000-0000-0000EE030000}"/>
    <cellStyle name="??????? ?? 2 3 4 3" xfId="1008" xr:uid="{00000000-0005-0000-0000-0000EF030000}"/>
    <cellStyle name="??????? ?? 2 3 5" xfId="1009" xr:uid="{00000000-0005-0000-0000-0000F0030000}"/>
    <cellStyle name="??????? ?? 2 3 6" xfId="1010" xr:uid="{00000000-0005-0000-0000-0000F1030000}"/>
    <cellStyle name="??????? ?? 2 3 7" xfId="1011" xr:uid="{00000000-0005-0000-0000-0000F2030000}"/>
    <cellStyle name="??????? ?? 2 3 8" xfId="1012" xr:uid="{00000000-0005-0000-0000-0000F3030000}"/>
    <cellStyle name="??????? ?? 2 3 9" xfId="1013" xr:uid="{00000000-0005-0000-0000-0000F4030000}"/>
    <cellStyle name="??????? ?? 2 4" xfId="1014" xr:uid="{00000000-0005-0000-0000-0000F5030000}"/>
    <cellStyle name="??????? ?? 2 4 2" xfId="1015" xr:uid="{00000000-0005-0000-0000-0000F6030000}"/>
    <cellStyle name="??????? ?? 2 4 3" xfId="1016" xr:uid="{00000000-0005-0000-0000-0000F7030000}"/>
    <cellStyle name="??????? ?? 2 4 4" xfId="1017" xr:uid="{00000000-0005-0000-0000-0000F8030000}"/>
    <cellStyle name="??????? ?? 2 4 5" xfId="1018" xr:uid="{00000000-0005-0000-0000-0000F9030000}"/>
    <cellStyle name="??????? ?? 2 4 6" xfId="1019" xr:uid="{00000000-0005-0000-0000-0000FA030000}"/>
    <cellStyle name="??????? ?? 2 5" xfId="1020" xr:uid="{00000000-0005-0000-0000-0000FB030000}"/>
    <cellStyle name="??????? ?? 2 5 2" xfId="1021" xr:uid="{00000000-0005-0000-0000-0000FC030000}"/>
    <cellStyle name="??????? ?? 2 5 3" xfId="1022" xr:uid="{00000000-0005-0000-0000-0000FD030000}"/>
    <cellStyle name="??????? ?? 2 5 4" xfId="1023" xr:uid="{00000000-0005-0000-0000-0000FE030000}"/>
    <cellStyle name="??????? ?? 2 6" xfId="1024" xr:uid="{00000000-0005-0000-0000-0000FF030000}"/>
    <cellStyle name="??????? ?? 2 6 2" xfId="1025" xr:uid="{00000000-0005-0000-0000-000000040000}"/>
    <cellStyle name="??????? ?? 2 6 3" xfId="1026" xr:uid="{00000000-0005-0000-0000-000001040000}"/>
    <cellStyle name="??????? ?? 2 7" xfId="1027" xr:uid="{00000000-0005-0000-0000-000002040000}"/>
    <cellStyle name="??????? ?? 2 7 2" xfId="1028" xr:uid="{00000000-0005-0000-0000-000003040000}"/>
    <cellStyle name="??????? ?? 2 7 3" xfId="1029" xr:uid="{00000000-0005-0000-0000-000004040000}"/>
    <cellStyle name="??????? ?? 2 8" xfId="1030" xr:uid="{00000000-0005-0000-0000-000005040000}"/>
    <cellStyle name="??????? ?? 2 8 2" xfId="1031" xr:uid="{00000000-0005-0000-0000-000006040000}"/>
    <cellStyle name="??????? ?? 2 8 3" xfId="1032" xr:uid="{00000000-0005-0000-0000-000007040000}"/>
    <cellStyle name="??????? ?? 2 9" xfId="1033" xr:uid="{00000000-0005-0000-0000-000008040000}"/>
    <cellStyle name="??????? ?? 3" xfId="1034" xr:uid="{00000000-0005-0000-0000-000009040000}"/>
    <cellStyle name="??????? ?? 3 2" xfId="1035" xr:uid="{00000000-0005-0000-0000-00000A040000}"/>
    <cellStyle name="??????? ?? 3 2 2" xfId="1036" xr:uid="{00000000-0005-0000-0000-00000B040000}"/>
    <cellStyle name="??????? ?? 3 2 2 2" xfId="1037" xr:uid="{00000000-0005-0000-0000-00000C040000}"/>
    <cellStyle name="??????? ?? 3 2 2 2 2" xfId="1038" xr:uid="{00000000-0005-0000-0000-00000D040000}"/>
    <cellStyle name="??????? ?? 3 2 2 2 3" xfId="1039" xr:uid="{00000000-0005-0000-0000-00000E040000}"/>
    <cellStyle name="??????? ?? 3 2 2 3" xfId="1040" xr:uid="{00000000-0005-0000-0000-00000F040000}"/>
    <cellStyle name="??????? ?? 3 2 2 3 2" xfId="1041" xr:uid="{00000000-0005-0000-0000-000010040000}"/>
    <cellStyle name="??????? ?? 3 2 2 3 3" xfId="1042" xr:uid="{00000000-0005-0000-0000-000011040000}"/>
    <cellStyle name="??????? ?? 3 2 2 4" xfId="1043" xr:uid="{00000000-0005-0000-0000-000012040000}"/>
    <cellStyle name="??????? ?? 3 2 2 5" xfId="1044" xr:uid="{00000000-0005-0000-0000-000013040000}"/>
    <cellStyle name="??????? ?? 3 2 3" xfId="1045" xr:uid="{00000000-0005-0000-0000-000014040000}"/>
    <cellStyle name="??????? ?? 3 2 3 2" xfId="1046" xr:uid="{00000000-0005-0000-0000-000015040000}"/>
    <cellStyle name="??????? ?? 3 2 3 3" xfId="1047" xr:uid="{00000000-0005-0000-0000-000016040000}"/>
    <cellStyle name="??????? ?? 3 2 4" xfId="1048" xr:uid="{00000000-0005-0000-0000-000017040000}"/>
    <cellStyle name="??????? ?? 3 2 4 2" xfId="1049" xr:uid="{00000000-0005-0000-0000-000018040000}"/>
    <cellStyle name="??????? ?? 3 2 4 3" xfId="1050" xr:uid="{00000000-0005-0000-0000-000019040000}"/>
    <cellStyle name="??????? ?? 3 2 5" xfId="1051" xr:uid="{00000000-0005-0000-0000-00001A040000}"/>
    <cellStyle name="??????? ?? 3 2 6" xfId="1052" xr:uid="{00000000-0005-0000-0000-00001B040000}"/>
    <cellStyle name="??????? ?? 3 2 7" xfId="1053" xr:uid="{00000000-0005-0000-0000-00001C040000}"/>
    <cellStyle name="??????? ?? 3 2 8" xfId="1054" xr:uid="{00000000-0005-0000-0000-00001D040000}"/>
    <cellStyle name="??????? ?? 3 2 9" xfId="1055" xr:uid="{00000000-0005-0000-0000-00001E040000}"/>
    <cellStyle name="??????? ?? 3 3" xfId="1056" xr:uid="{00000000-0005-0000-0000-00001F040000}"/>
    <cellStyle name="??????? ?? 3 3 2" xfId="1057" xr:uid="{00000000-0005-0000-0000-000020040000}"/>
    <cellStyle name="??????? ?? 3 3 3" xfId="1058" xr:uid="{00000000-0005-0000-0000-000021040000}"/>
    <cellStyle name="??????? ?? 3 3 4" xfId="1059" xr:uid="{00000000-0005-0000-0000-000022040000}"/>
    <cellStyle name="??????? ?? 3 3 5" xfId="1060" xr:uid="{00000000-0005-0000-0000-000023040000}"/>
    <cellStyle name="??????? ?? 3 3 6" xfId="1061" xr:uid="{00000000-0005-0000-0000-000024040000}"/>
    <cellStyle name="??????? ?? 3 4" xfId="1062" xr:uid="{00000000-0005-0000-0000-000025040000}"/>
    <cellStyle name="??????? ?? 3 5" xfId="1063" xr:uid="{00000000-0005-0000-0000-000026040000}"/>
    <cellStyle name="??????? ?? 3 6" xfId="1064" xr:uid="{00000000-0005-0000-0000-000027040000}"/>
    <cellStyle name="??????? ?? 3 7" xfId="1065" xr:uid="{00000000-0005-0000-0000-000028040000}"/>
    <cellStyle name="??????? ?? 4" xfId="1066" xr:uid="{00000000-0005-0000-0000-000029040000}"/>
    <cellStyle name="??????? ?? 4 2" xfId="1067" xr:uid="{00000000-0005-0000-0000-00002A040000}"/>
    <cellStyle name="??????? ?? 4 2 2" xfId="1068" xr:uid="{00000000-0005-0000-0000-00002B040000}"/>
    <cellStyle name="??????? ?? 4 2 2 2" xfId="1069" xr:uid="{00000000-0005-0000-0000-00002C040000}"/>
    <cellStyle name="??????? ?? 4 2 2 2 2" xfId="1070" xr:uid="{00000000-0005-0000-0000-00002D040000}"/>
    <cellStyle name="??????? ?? 4 2 2 2 3" xfId="1071" xr:uid="{00000000-0005-0000-0000-00002E040000}"/>
    <cellStyle name="??????? ?? 4 2 2 3" xfId="1072" xr:uid="{00000000-0005-0000-0000-00002F040000}"/>
    <cellStyle name="??????? ?? 4 2 2 3 2" xfId="1073" xr:uid="{00000000-0005-0000-0000-000030040000}"/>
    <cellStyle name="??????? ?? 4 2 2 3 3" xfId="1074" xr:uid="{00000000-0005-0000-0000-000031040000}"/>
    <cellStyle name="??????? ?? 4 2 2 4" xfId="1075" xr:uid="{00000000-0005-0000-0000-000032040000}"/>
    <cellStyle name="??????? ?? 4 2 2 5" xfId="1076" xr:uid="{00000000-0005-0000-0000-000033040000}"/>
    <cellStyle name="??????? ?? 4 2 3" xfId="1077" xr:uid="{00000000-0005-0000-0000-000034040000}"/>
    <cellStyle name="??????? ?? 4 2 3 2" xfId="1078" xr:uid="{00000000-0005-0000-0000-000035040000}"/>
    <cellStyle name="??????? ?? 4 2 3 3" xfId="1079" xr:uid="{00000000-0005-0000-0000-000036040000}"/>
    <cellStyle name="??????? ?? 4 2 4" xfId="1080" xr:uid="{00000000-0005-0000-0000-000037040000}"/>
    <cellStyle name="??????? ?? 4 2 4 2" xfId="1081" xr:uid="{00000000-0005-0000-0000-000038040000}"/>
    <cellStyle name="??????? ?? 4 2 4 3" xfId="1082" xr:uid="{00000000-0005-0000-0000-000039040000}"/>
    <cellStyle name="??????? ?? 4 2 5" xfId="1083" xr:uid="{00000000-0005-0000-0000-00003A040000}"/>
    <cellStyle name="??????? ?? 4 2 6" xfId="1084" xr:uid="{00000000-0005-0000-0000-00003B040000}"/>
    <cellStyle name="??????? ?? 4 2 7" xfId="1085" xr:uid="{00000000-0005-0000-0000-00003C040000}"/>
    <cellStyle name="??????? ?? 4 3" xfId="1086" xr:uid="{00000000-0005-0000-0000-00003D040000}"/>
    <cellStyle name="??????? ?? 4 3 2" xfId="1087" xr:uid="{00000000-0005-0000-0000-00003E040000}"/>
    <cellStyle name="??????? ?? 4 3 3" xfId="1088" xr:uid="{00000000-0005-0000-0000-00003F040000}"/>
    <cellStyle name="??????? ?? 4 4" xfId="1089" xr:uid="{00000000-0005-0000-0000-000040040000}"/>
    <cellStyle name="??????? ?? 4 5" xfId="1090" xr:uid="{00000000-0005-0000-0000-000041040000}"/>
    <cellStyle name="??????? ?? 4 6" xfId="1091" xr:uid="{00000000-0005-0000-0000-000042040000}"/>
    <cellStyle name="??????? ?? 4 7" xfId="1092" xr:uid="{00000000-0005-0000-0000-000043040000}"/>
    <cellStyle name="??????? ?? 5" xfId="1093" xr:uid="{00000000-0005-0000-0000-000044040000}"/>
    <cellStyle name="??????? ?? 5 2" xfId="1094" xr:uid="{00000000-0005-0000-0000-000045040000}"/>
    <cellStyle name="??????? ?? 5 2 2" xfId="1095" xr:uid="{00000000-0005-0000-0000-000046040000}"/>
    <cellStyle name="??????? ?? 5 3" xfId="1096" xr:uid="{00000000-0005-0000-0000-000047040000}"/>
    <cellStyle name="??????? ?? 5 4" xfId="1097" xr:uid="{00000000-0005-0000-0000-000048040000}"/>
    <cellStyle name="??????? ?? 5 5" xfId="1098" xr:uid="{00000000-0005-0000-0000-000049040000}"/>
    <cellStyle name="??????? ?? 5 6" xfId="1099" xr:uid="{00000000-0005-0000-0000-00004A040000}"/>
    <cellStyle name="??????? ?? 6" xfId="1100" xr:uid="{00000000-0005-0000-0000-00004B040000}"/>
    <cellStyle name="??????? ?? 6 2" xfId="1101" xr:uid="{00000000-0005-0000-0000-00004C040000}"/>
    <cellStyle name="??????? ?? 6 3" xfId="1102" xr:uid="{00000000-0005-0000-0000-00004D040000}"/>
    <cellStyle name="??????? ?? 6 4" xfId="1103" xr:uid="{00000000-0005-0000-0000-00004E040000}"/>
    <cellStyle name="??????? ?? 6 5" xfId="1104" xr:uid="{00000000-0005-0000-0000-00004F040000}"/>
    <cellStyle name="??????? ?? 7" xfId="1105" xr:uid="{00000000-0005-0000-0000-000050040000}"/>
    <cellStyle name="??????? ?? 7 2" xfId="1106" xr:uid="{00000000-0005-0000-0000-000051040000}"/>
    <cellStyle name="??????? ?? 7 3" xfId="1107" xr:uid="{00000000-0005-0000-0000-000052040000}"/>
    <cellStyle name="??????? ?? 7 4" xfId="1108" xr:uid="{00000000-0005-0000-0000-000053040000}"/>
    <cellStyle name="??????? ?? 8" xfId="1109" xr:uid="{00000000-0005-0000-0000-000054040000}"/>
    <cellStyle name="??????? ?? 8 2" xfId="1110" xr:uid="{00000000-0005-0000-0000-000055040000}"/>
    <cellStyle name="??????? ?? 8 3" xfId="1111" xr:uid="{00000000-0005-0000-0000-000056040000}"/>
    <cellStyle name="??????? ?? 9" xfId="1112" xr:uid="{00000000-0005-0000-0000-000057040000}"/>
    <cellStyle name="??????? ?? 9 2" xfId="1113" xr:uid="{00000000-0005-0000-0000-000058040000}"/>
    <cellStyle name="??????? ?? 9 3" xfId="1114" xr:uid="{00000000-0005-0000-0000-000059040000}"/>
    <cellStyle name="??????? ????? xtt\Shared" xfId="1115" xr:uid="{00000000-0005-0000-0000-00005A040000}"/>
    <cellStyle name="??????? ????? xtt\Shared 2" xfId="1116" xr:uid="{00000000-0005-0000-0000-00005B040000}"/>
    <cellStyle name="??????? ????? xtt\Shared 3" xfId="1117" xr:uid="{00000000-0005-0000-0000-00005C040000}"/>
    <cellStyle name="??????? ????? xtt\Shared 3 2" xfId="1118" xr:uid="{00000000-0005-0000-0000-00005D040000}"/>
    <cellStyle name="??????? ????? xtt\Shared 4" xfId="1119" xr:uid="{00000000-0005-0000-0000-00005E040000}"/>
    <cellStyle name="?????????? tTextt\" xfId="1120" xr:uid="{00000000-0005-0000-0000-00005F040000}"/>
    <cellStyle name="?????????? tTextt\ 2" xfId="1121" xr:uid="{00000000-0005-0000-0000-000060040000}"/>
    <cellStyle name="?????????? tTextt\ 3" xfId="1122" xr:uid="{00000000-0005-0000-0000-000061040000}"/>
    <cellStyle name="?????????? tTextt\ 3 2" xfId="1123" xr:uid="{00000000-0005-0000-0000-000062040000}"/>
    <cellStyle name="?????????? tTextt\ 4" xfId="1124" xr:uid="{00000000-0005-0000-0000-000063040000}"/>
    <cellStyle name="????????????? xtt\" xfId="1125" xr:uid="{00000000-0005-0000-0000-000064040000}"/>
    <cellStyle name="????????????? xtt\ 2" xfId="1126" xr:uid="{00000000-0005-0000-0000-000065040000}"/>
    <cellStyle name="????????????? xtt\ 3" xfId="1127" xr:uid="{00000000-0005-0000-0000-000066040000}"/>
    <cellStyle name="????????????? xtt\ 3 2" xfId="1128" xr:uid="{00000000-0005-0000-0000-000067040000}"/>
    <cellStyle name="????????????? xtt\ 4" xfId="1129" xr:uid="{00000000-0005-0000-0000-000068040000}"/>
    <cellStyle name="??????????¢ç¢®¢¯?? ????¢ç¢®¢¯?? ????????¢ç¢®¢¯?????????" xfId="1130" xr:uid="{00000000-0005-0000-0000-000069040000}"/>
    <cellStyle name="????????¢ç¢®¢¯?????????" xfId="1131" xr:uid="{00000000-0005-0000-0000-00006A040000}"/>
    <cellStyle name="???????¢ç¢®¡¿?? ?¢ç¢®¡¿?? ?????¢ç¢®¡¿?????????" xfId="1132" xr:uid="{00000000-0005-0000-0000-00006B040000}"/>
    <cellStyle name="???????¢ç¢®¢¯?¢ç¢®¡¿?_Template-ProdMarketing 1009" xfId="1133" xr:uid="{00000000-0005-0000-0000-00006C040000}"/>
    <cellStyle name="?????¢ç¢®¡¿?????????" xfId="1134" xr:uid="{00000000-0005-0000-0000-00006D040000}"/>
    <cellStyle name="?????1g Te" xfId="1135" xr:uid="{00000000-0005-0000-0000-00006E040000}"/>
    <cellStyle name="?????1g Te 2" xfId="1136" xr:uid="{00000000-0005-0000-0000-00006F040000}"/>
    <cellStyle name="?????1g Te 3" xfId="1137" xr:uid="{00000000-0005-0000-0000-000070040000}"/>
    <cellStyle name="?????1g Te 3 2" xfId="1138" xr:uid="{00000000-0005-0000-0000-000071040000}"/>
    <cellStyle name="?????1g Te 4" xfId="1139" xr:uid="{00000000-0005-0000-0000-000072040000}"/>
    <cellStyle name="?????2g Te" xfId="1140" xr:uid="{00000000-0005-0000-0000-000073040000}"/>
    <cellStyle name="?????2g Te 2" xfId="1141" xr:uid="{00000000-0005-0000-0000-000074040000}"/>
    <cellStyle name="?????2g Te 3" xfId="1142" xr:uid="{00000000-0005-0000-0000-000075040000}"/>
    <cellStyle name="?????2g Te 3 2" xfId="1143" xr:uid="{00000000-0005-0000-0000-000076040000}"/>
    <cellStyle name="?????2g Te 4" xfId="1144" xr:uid="{00000000-0005-0000-0000-000077040000}"/>
    <cellStyle name="?????3g Te" xfId="1145" xr:uid="{00000000-0005-0000-0000-000078040000}"/>
    <cellStyle name="?????3g Te 2" xfId="1146" xr:uid="{00000000-0005-0000-0000-000079040000}"/>
    <cellStyle name="?????3g Te 3" xfId="1147" xr:uid="{00000000-0005-0000-0000-00007A040000}"/>
    <cellStyle name="?????3g Te 3 2" xfId="1148" xr:uid="{00000000-0005-0000-0000-00007B040000}"/>
    <cellStyle name="?????3g Te 4" xfId="1149" xr:uid="{00000000-0005-0000-0000-00007C040000}"/>
    <cellStyle name="?????4g Te" xfId="1150" xr:uid="{00000000-0005-0000-0000-00007D040000}"/>
    <cellStyle name="?????4g Te 2" xfId="1151" xr:uid="{00000000-0005-0000-0000-00007E040000}"/>
    <cellStyle name="?????4g Te 3" xfId="1152" xr:uid="{00000000-0005-0000-0000-00007F040000}"/>
    <cellStyle name="?????4g Te 3 2" xfId="1153" xr:uid="{00000000-0005-0000-0000-000080040000}"/>
    <cellStyle name="?????4g Te 4" xfId="1154" xr:uid="{00000000-0005-0000-0000-000081040000}"/>
    <cellStyle name="?????ng Te" xfId="1155" xr:uid="{00000000-0005-0000-0000-000082040000}"/>
    <cellStyle name="?????ng Te 10" xfId="1156" xr:uid="{00000000-0005-0000-0000-000083040000}"/>
    <cellStyle name="?????ng Te 11" xfId="1157" xr:uid="{00000000-0005-0000-0000-000084040000}"/>
    <cellStyle name="?????ng Te 12" xfId="1158" xr:uid="{00000000-0005-0000-0000-000085040000}"/>
    <cellStyle name="?????ng Te 2" xfId="1159" xr:uid="{00000000-0005-0000-0000-000086040000}"/>
    <cellStyle name="?????ng Te 2 2" xfId="1160" xr:uid="{00000000-0005-0000-0000-000087040000}"/>
    <cellStyle name="?????ng Te 2 2 2" xfId="1161" xr:uid="{00000000-0005-0000-0000-000088040000}"/>
    <cellStyle name="?????ng Te 2 2 2 2" xfId="1162" xr:uid="{00000000-0005-0000-0000-000089040000}"/>
    <cellStyle name="?????ng Te 2 2 2 3" xfId="1163" xr:uid="{00000000-0005-0000-0000-00008A040000}"/>
    <cellStyle name="?????ng Te 2 2 3" xfId="1164" xr:uid="{00000000-0005-0000-0000-00008B040000}"/>
    <cellStyle name="?????ng Te 2 2 3 2" xfId="1165" xr:uid="{00000000-0005-0000-0000-00008C040000}"/>
    <cellStyle name="?????ng Te 2 2 3 3" xfId="1166" xr:uid="{00000000-0005-0000-0000-00008D040000}"/>
    <cellStyle name="?????ng Te 2 2 4" xfId="1167" xr:uid="{00000000-0005-0000-0000-00008E040000}"/>
    <cellStyle name="?????ng Te 2 2 5" xfId="1168" xr:uid="{00000000-0005-0000-0000-00008F040000}"/>
    <cellStyle name="?????ng Te 2 2 6" xfId="1169" xr:uid="{00000000-0005-0000-0000-000090040000}"/>
    <cellStyle name="?????ng Te 2 3" xfId="1170" xr:uid="{00000000-0005-0000-0000-000091040000}"/>
    <cellStyle name="?????ng Te 2 3 2" xfId="1171" xr:uid="{00000000-0005-0000-0000-000092040000}"/>
    <cellStyle name="?????ng Te 2 3 3" xfId="1172" xr:uid="{00000000-0005-0000-0000-000093040000}"/>
    <cellStyle name="?????ng Te 2 4" xfId="1173" xr:uid="{00000000-0005-0000-0000-000094040000}"/>
    <cellStyle name="?????ng Te 2 5" xfId="1174" xr:uid="{00000000-0005-0000-0000-000095040000}"/>
    <cellStyle name="?????ng Te 2 6" xfId="1175" xr:uid="{00000000-0005-0000-0000-000096040000}"/>
    <cellStyle name="?????ng Te 2 7" xfId="1176" xr:uid="{00000000-0005-0000-0000-000097040000}"/>
    <cellStyle name="?????ng Te 3" xfId="1177" xr:uid="{00000000-0005-0000-0000-000098040000}"/>
    <cellStyle name="?????ng Te 3 2" xfId="1178" xr:uid="{00000000-0005-0000-0000-000099040000}"/>
    <cellStyle name="?????ng Te 3 2 2" xfId="1179" xr:uid="{00000000-0005-0000-0000-00009A040000}"/>
    <cellStyle name="?????ng Te 3 2 2 2" xfId="1180" xr:uid="{00000000-0005-0000-0000-00009B040000}"/>
    <cellStyle name="?????ng Te 3 2 2 3" xfId="1181" xr:uid="{00000000-0005-0000-0000-00009C040000}"/>
    <cellStyle name="?????ng Te 3 2 3" xfId="1182" xr:uid="{00000000-0005-0000-0000-00009D040000}"/>
    <cellStyle name="?????ng Te 3 2 3 2" xfId="1183" xr:uid="{00000000-0005-0000-0000-00009E040000}"/>
    <cellStyle name="?????ng Te 3 2 3 3" xfId="1184" xr:uid="{00000000-0005-0000-0000-00009F040000}"/>
    <cellStyle name="?????ng Te 3 2 4" xfId="1185" xr:uid="{00000000-0005-0000-0000-0000A0040000}"/>
    <cellStyle name="?????ng Te 3 2 5" xfId="1186" xr:uid="{00000000-0005-0000-0000-0000A1040000}"/>
    <cellStyle name="?????ng Te 3 2 6" xfId="1187" xr:uid="{00000000-0005-0000-0000-0000A2040000}"/>
    <cellStyle name="?????ng Te 3 3" xfId="1188" xr:uid="{00000000-0005-0000-0000-0000A3040000}"/>
    <cellStyle name="?????ng Te 3 3 2" xfId="1189" xr:uid="{00000000-0005-0000-0000-0000A4040000}"/>
    <cellStyle name="?????ng Te 3 3 3" xfId="1190" xr:uid="{00000000-0005-0000-0000-0000A5040000}"/>
    <cellStyle name="?????ng Te 3 4" xfId="1191" xr:uid="{00000000-0005-0000-0000-0000A6040000}"/>
    <cellStyle name="?????ng Te 3 4 2" xfId="1192" xr:uid="{00000000-0005-0000-0000-0000A7040000}"/>
    <cellStyle name="?????ng Te 3 4 3" xfId="1193" xr:uid="{00000000-0005-0000-0000-0000A8040000}"/>
    <cellStyle name="?????ng Te 3 5" xfId="1194" xr:uid="{00000000-0005-0000-0000-0000A9040000}"/>
    <cellStyle name="?????ng Te 3 6" xfId="1195" xr:uid="{00000000-0005-0000-0000-0000AA040000}"/>
    <cellStyle name="?????ng Te 3 7" xfId="1196" xr:uid="{00000000-0005-0000-0000-0000AB040000}"/>
    <cellStyle name="?????ng Te 3 8" xfId="1197" xr:uid="{00000000-0005-0000-0000-0000AC040000}"/>
    <cellStyle name="?????ng Te 3 9" xfId="1198" xr:uid="{00000000-0005-0000-0000-0000AD040000}"/>
    <cellStyle name="?????ng Te 4" xfId="1199" xr:uid="{00000000-0005-0000-0000-0000AE040000}"/>
    <cellStyle name="?????ng Te 4 2" xfId="1200" xr:uid="{00000000-0005-0000-0000-0000AF040000}"/>
    <cellStyle name="?????ng Te 4 2 2" xfId="1201" xr:uid="{00000000-0005-0000-0000-0000B0040000}"/>
    <cellStyle name="?????ng Te 4 3" xfId="1202" xr:uid="{00000000-0005-0000-0000-0000B1040000}"/>
    <cellStyle name="?????ng Te 4 4" xfId="1203" xr:uid="{00000000-0005-0000-0000-0000B2040000}"/>
    <cellStyle name="?????ng Te 4 5" xfId="1204" xr:uid="{00000000-0005-0000-0000-0000B3040000}"/>
    <cellStyle name="?????ng Te 4 6" xfId="1205" xr:uid="{00000000-0005-0000-0000-0000B4040000}"/>
    <cellStyle name="?????ng Te 5" xfId="1206" xr:uid="{00000000-0005-0000-0000-0000B5040000}"/>
    <cellStyle name="?????ng Te 5 2" xfId="1207" xr:uid="{00000000-0005-0000-0000-0000B6040000}"/>
    <cellStyle name="?????ng Te 5 3" xfId="1208" xr:uid="{00000000-0005-0000-0000-0000B7040000}"/>
    <cellStyle name="?????ng Te 5 4" xfId="1209" xr:uid="{00000000-0005-0000-0000-0000B8040000}"/>
    <cellStyle name="?????ng Te 5 5" xfId="1210" xr:uid="{00000000-0005-0000-0000-0000B9040000}"/>
    <cellStyle name="?????ng Te 6" xfId="1211" xr:uid="{00000000-0005-0000-0000-0000BA040000}"/>
    <cellStyle name="?????ng Te 6 2" xfId="1212" xr:uid="{00000000-0005-0000-0000-0000BB040000}"/>
    <cellStyle name="?????ng Te 6 3" xfId="1213" xr:uid="{00000000-0005-0000-0000-0000BC040000}"/>
    <cellStyle name="?????ng Te 6 4" xfId="1214" xr:uid="{00000000-0005-0000-0000-0000BD040000}"/>
    <cellStyle name="?????ng Te 7" xfId="1215" xr:uid="{00000000-0005-0000-0000-0000BE040000}"/>
    <cellStyle name="?????ng Te 7 2" xfId="1216" xr:uid="{00000000-0005-0000-0000-0000BF040000}"/>
    <cellStyle name="?????ng Te 7 3" xfId="1217" xr:uid="{00000000-0005-0000-0000-0000C0040000}"/>
    <cellStyle name="?????ng Te 8" xfId="1218" xr:uid="{00000000-0005-0000-0000-0000C1040000}"/>
    <cellStyle name="?????ng Te 8 2" xfId="1219" xr:uid="{00000000-0005-0000-0000-0000C2040000}"/>
    <cellStyle name="?????ng Te 8 3" xfId="1220" xr:uid="{00000000-0005-0000-0000-0000C3040000}"/>
    <cellStyle name="?????ng Te 9" xfId="1221" xr:uid="{00000000-0005-0000-0000-0000C4040000}"/>
    <cellStyle name="????¡§¢®??????" xfId="1222" xr:uid="{00000000-0005-0000-0000-0000C5040000}"/>
    <cellStyle name="????¨¡?¢¬???" xfId="1223" xr:uid="{00000000-0005-0000-0000-0000C6040000}"/>
    <cellStyle name="????¢®¡×?¢ç??????" xfId="1224" xr:uid="{00000000-0005-0000-0000-0000C7040000}"/>
    <cellStyle name="????¢ç¢®¡¿¢®¡×?_2009 Opex Plan QD" xfId="1225" xr:uid="{00000000-0005-0000-0000-0000C8040000}"/>
    <cellStyle name="????2  ?" xfId="1226" xr:uid="{00000000-0005-0000-0000-0000C9040000}"/>
    <cellStyle name="????2  ? 2" xfId="1227" xr:uid="{00000000-0005-0000-0000-0000CA040000}"/>
    <cellStyle name="????2  ? 2 2" xfId="1228" xr:uid="{00000000-0005-0000-0000-0000CB040000}"/>
    <cellStyle name="????2  ? 3" xfId="1229" xr:uid="{00000000-0005-0000-0000-0000CC040000}"/>
    <cellStyle name="????2  ? 3 2" xfId="1230" xr:uid="{00000000-0005-0000-0000-0000CD040000}"/>
    <cellStyle name="????2  ? 3 3" xfId="1231" xr:uid="{00000000-0005-0000-0000-0000CE040000}"/>
    <cellStyle name="????2  ? 4" xfId="1232" xr:uid="{00000000-0005-0000-0000-0000CF040000}"/>
    <cellStyle name="????2  ? 4 2" xfId="1233" xr:uid="{00000000-0005-0000-0000-0000D0040000}"/>
    <cellStyle name="???[0]_CBALA11" xfId="1234" xr:uid="{00000000-0005-0000-0000-0000D1040000}"/>
    <cellStyle name="???_6sigma" xfId="1235" xr:uid="{00000000-0005-0000-0000-0000D2040000}"/>
    <cellStyle name="???¡§¨£_2009 Opex Plan QD" xfId="1236" xr:uid="{00000000-0005-0000-0000-0000D3040000}"/>
    <cellStyle name="???¨ª_2009 Opex Plan QD" xfId="1237" xr:uid="{00000000-0005-0000-0000-0000D4040000}"/>
    <cellStyle name="???¢®¡×¡§?_2009 Opex Plan QD" xfId="1238" xr:uid="{00000000-0005-0000-0000-0000D5040000}"/>
    <cellStyle name="???¢ç?¢®¡×?? ¢®¡×?? ????¢®¡×?¢ç??????" xfId="1239" xr:uid="{00000000-0005-0000-0000-0000D6040000}"/>
    <cellStyle name="???1ing" xfId="1240" xr:uid="{00000000-0005-0000-0000-0000D7040000}"/>
    <cellStyle name="???1ing 2" xfId="1241" xr:uid="{00000000-0005-0000-0000-0000D8040000}"/>
    <cellStyle name="???1ing 3" xfId="1242" xr:uid="{00000000-0005-0000-0000-0000D9040000}"/>
    <cellStyle name="???1ing 3 2" xfId="1243" xr:uid="{00000000-0005-0000-0000-0000DA040000}"/>
    <cellStyle name="???1ing 4" xfId="1244" xr:uid="{00000000-0005-0000-0000-0000DB040000}"/>
    <cellStyle name="???2ing" xfId="1245" xr:uid="{00000000-0005-0000-0000-0000DC040000}"/>
    <cellStyle name="???2ing 2" xfId="1246" xr:uid="{00000000-0005-0000-0000-0000DD040000}"/>
    <cellStyle name="???2ing 3" xfId="1247" xr:uid="{00000000-0005-0000-0000-0000DE040000}"/>
    <cellStyle name="???2ing 3 2" xfId="1248" xr:uid="{00000000-0005-0000-0000-0000DF040000}"/>
    <cellStyle name="???2ing 4" xfId="1249" xr:uid="{00000000-0005-0000-0000-0000E0040000}"/>
    <cellStyle name="???3ing" xfId="1250" xr:uid="{00000000-0005-0000-0000-0000E1040000}"/>
    <cellStyle name="???3ing 2" xfId="1251" xr:uid="{00000000-0005-0000-0000-0000E2040000}"/>
    <cellStyle name="???3ing 3" xfId="1252" xr:uid="{00000000-0005-0000-0000-0000E3040000}"/>
    <cellStyle name="???3ing 3 2" xfId="1253" xr:uid="{00000000-0005-0000-0000-0000E4040000}"/>
    <cellStyle name="???3ing 4" xfId="1254" xr:uid="{00000000-0005-0000-0000-0000E5040000}"/>
    <cellStyle name="???4ing" xfId="1255" xr:uid="{00000000-0005-0000-0000-0000E6040000}"/>
    <cellStyle name="???4ing 2" xfId="1256" xr:uid="{00000000-0005-0000-0000-0000E7040000}"/>
    <cellStyle name="???4ing 3" xfId="1257" xr:uid="{00000000-0005-0000-0000-0000E8040000}"/>
    <cellStyle name="???4ing 3 2" xfId="1258" xr:uid="{00000000-0005-0000-0000-0000E9040000}"/>
    <cellStyle name="???4ing 4" xfId="1259" xr:uid="{00000000-0005-0000-0000-0000EA040000}"/>
    <cellStyle name="???5ing" xfId="1260" xr:uid="{00000000-0005-0000-0000-0000EB040000}"/>
    <cellStyle name="???5ing 2" xfId="1261" xr:uid="{00000000-0005-0000-0000-0000EC040000}"/>
    <cellStyle name="???5ing 3" xfId="1262" xr:uid="{00000000-0005-0000-0000-0000ED040000}"/>
    <cellStyle name="???5ing 3 2" xfId="1263" xr:uid="{00000000-0005-0000-0000-0000EE040000}"/>
    <cellStyle name="???5ing 4" xfId="1264" xr:uid="{00000000-0005-0000-0000-0000EF040000}"/>
    <cellStyle name="???6ing" xfId="1265" xr:uid="{00000000-0005-0000-0000-0000F0040000}"/>
    <cellStyle name="???6ing 2" xfId="1266" xr:uid="{00000000-0005-0000-0000-0000F1040000}"/>
    <cellStyle name="???6ing 3" xfId="1267" xr:uid="{00000000-0005-0000-0000-0000F2040000}"/>
    <cellStyle name="???6ing 3 2" xfId="1268" xr:uid="{00000000-0005-0000-0000-0000F3040000}"/>
    <cellStyle name="???6ing 4" xfId="1269" xr:uid="{00000000-0005-0000-0000-0000F4040000}"/>
    <cellStyle name="??[0]_CBALA11" xfId="1270" xr:uid="{00000000-0005-0000-0000-0000F5040000}"/>
    <cellStyle name="??_?? 7,8,9?" xfId="1271" xr:uid="{00000000-0005-0000-0000-0000F6040000}"/>
    <cellStyle name="??¢®?¡§?? ¡§?? ????¡§¢®??????" xfId="1272" xr:uid="{00000000-0005-0000-0000-0000F7040000}"/>
    <cellStyle name="?ñ×_Revised MOR4" xfId="1273" xr:uid="{00000000-0005-0000-0000-0000F804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274" xr:uid="{00000000-0005-0000-0000-0000F9040000}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275" xr:uid="{00000000-0005-0000-0000-0000FA040000}"/>
    <cellStyle name="_~0039877" xfId="1276" xr:uid="{00000000-0005-0000-0000-0000FB040000}"/>
    <cellStyle name="_~0039877_BS_Separation_TaxResIndem_Q12412 tf" xfId="1277" xr:uid="{00000000-0005-0000-0000-0000FC040000}"/>
    <cellStyle name="_~0039877_BS_Separation_TaxResIndem_Q12412 tf_Guidance" xfId="1278" xr:uid="{00000000-0005-0000-0000-0000FD040000}"/>
    <cellStyle name="_~0039877_BS_Separation_TaxResIndem_Q12412 tf_Guidance 2" xfId="1279" xr:uid="{00000000-0005-0000-0000-0000FE040000}"/>
    <cellStyle name="_~0039877_BS_Separation_TaxResIndem_Q12412 tf_Guidance_BS retrieve" xfId="1280" xr:uid="{00000000-0005-0000-0000-0000FF040000}"/>
    <cellStyle name="_~0039877_BS_Separation_TaxResIndem_Q12412 tf_Guidance_Free CF" xfId="1281" xr:uid="{00000000-0005-0000-0000-000000050000}"/>
    <cellStyle name="_~0039877_BS_Separation_TaxResIndem_Q12412 tf_Guidance_P&amp;L Rec Qtr" xfId="1282" xr:uid="{00000000-0005-0000-0000-000001050000}"/>
    <cellStyle name="_~0039877_BS_Separation_TaxResIndem_Q12412 tf_Guidance_Sheet1" xfId="1283" xr:uid="{00000000-0005-0000-0000-000002050000}"/>
    <cellStyle name="_~0039877_BS_Separation_TaxResIndem_Q12412 tf_Guidance_Sheet2" xfId="1284" xr:uid="{00000000-0005-0000-0000-000003050000}"/>
    <cellStyle name="_~0039877_BS_Separation_TaxResIndem_Q12412 tf_Guidance_Sheet3" xfId="1285" xr:uid="{00000000-0005-0000-0000-000004050000}"/>
    <cellStyle name="_~0039877_BS_Separation_TaxResIndem_Q12412 tf_Guidance_Sheet4" xfId="1286" xr:uid="{00000000-0005-0000-0000-000005050000}"/>
    <cellStyle name="_~0039877_BS_Separation_TaxResIndem_Q12412 tf_II.7. Sep&amp;Discrete" xfId="1287" xr:uid="{00000000-0005-0000-0000-000006050000}"/>
    <cellStyle name="_~0039877_BS_Separation_TaxResIndem_Q12412 tf_II.7. Sep&amp;Discrete_Guidance" xfId="1288" xr:uid="{00000000-0005-0000-0000-000007050000}"/>
    <cellStyle name="_~0039877_BS_Separation_TaxResIndem_Q12412 tf_II.7. Sep&amp;Discrete_Guidance 2" xfId="1289" xr:uid="{00000000-0005-0000-0000-000008050000}"/>
    <cellStyle name="_~0039877_BS_Separation_TaxResIndem_Q12412 tf_II.7. Sep&amp;Discrete_Guidance_BS retrieve" xfId="1290" xr:uid="{00000000-0005-0000-0000-000009050000}"/>
    <cellStyle name="_~0039877_BS_Separation_TaxResIndem_Q12412 tf_II.7. Sep&amp;Discrete_Guidance_Free CF" xfId="1291" xr:uid="{00000000-0005-0000-0000-00000A050000}"/>
    <cellStyle name="_~0039877_BS_Separation_TaxResIndem_Q12412 tf_II.7. Sep&amp;Discrete_Guidance_P&amp;L Rec Qtr" xfId="1292" xr:uid="{00000000-0005-0000-0000-00000B050000}"/>
    <cellStyle name="_~0039877_BS_Separation_TaxResIndem_Q12412 tf_II.7. Sep&amp;Discrete_Guidance_Sheet1" xfId="1293" xr:uid="{00000000-0005-0000-0000-00000C050000}"/>
    <cellStyle name="_~0039877_BS_Separation_TaxResIndem_Q12412 tf_II.7. Sep&amp;Discrete_Guidance_Sheet2" xfId="1294" xr:uid="{00000000-0005-0000-0000-00000D050000}"/>
    <cellStyle name="_~0039877_BS_Separation_TaxResIndem_Q12412 tf_II.7. Sep&amp;Discrete_Guidance_Sheet3" xfId="1295" xr:uid="{00000000-0005-0000-0000-00000E050000}"/>
    <cellStyle name="_~0039877_BS_Separation_TaxResIndem_Q12412 tf_II.7. Sep&amp;Discrete_Guidance_Sheet4" xfId="1296" xr:uid="{00000000-0005-0000-0000-00000F050000}"/>
    <cellStyle name="_~0039877_BS_Separation_TaxResIndem_Q12412 tf_Restructuring &amp; Separation" xfId="1297" xr:uid="{00000000-0005-0000-0000-000010050000}"/>
    <cellStyle name="_~0039877_BS_Separation_TaxResIndem_Q12412 tf_Restructuring &amp; Separation_Guidance" xfId="1298" xr:uid="{00000000-0005-0000-0000-000011050000}"/>
    <cellStyle name="_~0039877_BS_Separation_TaxResIndem_Q12412 tf_Restructuring &amp; Separation_Guidance 2" xfId="1299" xr:uid="{00000000-0005-0000-0000-000012050000}"/>
    <cellStyle name="_~0039877_BS_Separation_TaxResIndem_Q12412 tf_Restructuring &amp; Separation_Guidance_BS retrieve" xfId="1300" xr:uid="{00000000-0005-0000-0000-000013050000}"/>
    <cellStyle name="_~0039877_BS_Separation_TaxResIndem_Q12412 tf_Restructuring &amp; Separation_Guidance_Free CF" xfId="1301" xr:uid="{00000000-0005-0000-0000-000014050000}"/>
    <cellStyle name="_~0039877_BS_Separation_TaxResIndem_Q12412 tf_Restructuring &amp; Separation_Guidance_P&amp;L Rec Qtr" xfId="1302" xr:uid="{00000000-0005-0000-0000-000015050000}"/>
    <cellStyle name="_~0039877_BS_Separation_TaxResIndem_Q12412 tf_Restructuring &amp; Separation_Guidance_Sheet1" xfId="1303" xr:uid="{00000000-0005-0000-0000-000016050000}"/>
    <cellStyle name="_~0039877_BS_Separation_TaxResIndem_Q12412 tf_Restructuring &amp; Separation_Guidance_Sheet2" xfId="1304" xr:uid="{00000000-0005-0000-0000-000017050000}"/>
    <cellStyle name="_~0039877_BS_Separation_TaxResIndem_Q12412 tf_Restructuring &amp; Separation_Guidance_Sheet3" xfId="1305" xr:uid="{00000000-0005-0000-0000-000018050000}"/>
    <cellStyle name="_~0039877_BS_Separation_TaxResIndem_Q12412 tf_Restructuring &amp; Separation_Guidance_Sheet4" xfId="1306" xr:uid="{00000000-0005-0000-0000-000019050000}"/>
    <cellStyle name="_~0039877_BS_Separation_TaxResIndem_Q12412 tf_Restructuring &amp; Separation_II.7. Sep&amp;Discrete" xfId="1307" xr:uid="{00000000-0005-0000-0000-00001A050000}"/>
    <cellStyle name="_~0039877_BS_Separation_TaxResIndem_Q12412 tf_Restructuring &amp; Separation_II.7. Sep&amp;Discrete_Guidance" xfId="1308" xr:uid="{00000000-0005-0000-0000-00001B050000}"/>
    <cellStyle name="_~0039877_BS_Separation_TaxResIndem_Q12412 tf_Restructuring &amp; Separation_II.7. Sep&amp;Discrete_Guidance 2" xfId="1309" xr:uid="{00000000-0005-0000-0000-00001C050000}"/>
    <cellStyle name="_~0039877_BS_Separation_TaxResIndem_Q12412 tf_Restructuring &amp; Separation_II.7. Sep&amp;Discrete_Guidance_BS retrieve" xfId="1310" xr:uid="{00000000-0005-0000-0000-00001D050000}"/>
    <cellStyle name="_~0039877_BS_Separation_TaxResIndem_Q12412 tf_Restructuring &amp; Separation_II.7. Sep&amp;Discrete_Guidance_Free CF" xfId="1311" xr:uid="{00000000-0005-0000-0000-00001E050000}"/>
    <cellStyle name="_~0039877_BS_Separation_TaxResIndem_Q12412 tf_Restructuring &amp; Separation_II.7. Sep&amp;Discrete_Guidance_P&amp;L Rec Qtr" xfId="1312" xr:uid="{00000000-0005-0000-0000-00001F050000}"/>
    <cellStyle name="_~0039877_BS_Separation_TaxResIndem_Q12412 tf_Restructuring &amp; Separation_II.7. Sep&amp;Discrete_Guidance_Sheet1" xfId="1313" xr:uid="{00000000-0005-0000-0000-000020050000}"/>
    <cellStyle name="_~0039877_BS_Separation_TaxResIndem_Q12412 tf_Restructuring &amp; Separation_II.7. Sep&amp;Discrete_Guidance_Sheet2" xfId="1314" xr:uid="{00000000-0005-0000-0000-000021050000}"/>
    <cellStyle name="_~0039877_BS_Separation_TaxResIndem_Q12412 tf_Restructuring &amp; Separation_II.7. Sep&amp;Discrete_Guidance_Sheet3" xfId="1315" xr:uid="{00000000-0005-0000-0000-000022050000}"/>
    <cellStyle name="_~0039877_BS_Separation_TaxResIndem_Q12412 tf_Restructuring &amp; Separation_II.7. Sep&amp;Discrete_Guidance_Sheet4" xfId="1316" xr:uid="{00000000-0005-0000-0000-000023050000}"/>
    <cellStyle name="_~0039877_By Country Detail 1Q10 041410pm FIN 18 revised per disc w Mary" xfId="1317" xr:uid="{00000000-0005-0000-0000-000024050000}"/>
    <cellStyle name="_~0039877_By Country Detail 1Q10 041410pm FIN 18 revised per disc w Mary_BS_Separation_TaxResIndem_Q12412 tf" xfId="1318" xr:uid="{00000000-0005-0000-0000-000025050000}"/>
    <cellStyle name="_~0039877_By Country Detail 1Q10 041410pm FIN 18 revised per disc w Mary_BS_Separation_TaxResIndem_Q12412 tf_Guidance" xfId="1319" xr:uid="{00000000-0005-0000-0000-000026050000}"/>
    <cellStyle name="_~0039877_By Country Detail 1Q10 041410pm FIN 18 revised per disc w Mary_BS_Separation_TaxResIndem_Q12412 tf_Guidance 2" xfId="1320" xr:uid="{00000000-0005-0000-0000-000027050000}"/>
    <cellStyle name="_~0039877_By Country Detail 1Q10 041410pm FIN 18 revised per disc w Mary_BS_Separation_TaxResIndem_Q12412 tf_Guidance_BS retrieve" xfId="1321" xr:uid="{00000000-0005-0000-0000-000028050000}"/>
    <cellStyle name="_~0039877_By Country Detail 1Q10 041410pm FIN 18 revised per disc w Mary_BS_Separation_TaxResIndem_Q12412 tf_Guidance_Free CF" xfId="1322" xr:uid="{00000000-0005-0000-0000-000029050000}"/>
    <cellStyle name="_~0039877_By Country Detail 1Q10 041410pm FIN 18 revised per disc w Mary_BS_Separation_TaxResIndem_Q12412 tf_Guidance_P&amp;L Rec Qtr" xfId="1323" xr:uid="{00000000-0005-0000-0000-00002A050000}"/>
    <cellStyle name="_~0039877_By Country Detail 1Q10 041410pm FIN 18 revised per disc w Mary_BS_Separation_TaxResIndem_Q12412 tf_Guidance_Sheet1" xfId="1324" xr:uid="{00000000-0005-0000-0000-00002B050000}"/>
    <cellStyle name="_~0039877_By Country Detail 1Q10 041410pm FIN 18 revised per disc w Mary_BS_Separation_TaxResIndem_Q12412 tf_Guidance_Sheet2" xfId="1325" xr:uid="{00000000-0005-0000-0000-00002C050000}"/>
    <cellStyle name="_~0039877_By Country Detail 1Q10 041410pm FIN 18 revised per disc w Mary_BS_Separation_TaxResIndem_Q12412 tf_Guidance_Sheet3" xfId="1326" xr:uid="{00000000-0005-0000-0000-00002D050000}"/>
    <cellStyle name="_~0039877_By Country Detail 1Q10 041410pm FIN 18 revised per disc w Mary_BS_Separation_TaxResIndem_Q12412 tf_Guidance_Sheet4" xfId="1327" xr:uid="{00000000-0005-0000-0000-00002E050000}"/>
    <cellStyle name="_~0039877_By Country Detail 1Q10 041410pm FIN 18 revised per disc w Mary_BS_Separation_TaxResIndem_Q12412 tf_II.7. Sep&amp;Discrete" xfId="1328" xr:uid="{00000000-0005-0000-0000-00002F050000}"/>
    <cellStyle name="_~0039877_By Country Detail 1Q10 041410pm FIN 18 revised per disc w Mary_BS_Separation_TaxResIndem_Q12412 tf_II.7. Sep&amp;Discrete_Guidance" xfId="1329" xr:uid="{00000000-0005-0000-0000-000030050000}"/>
    <cellStyle name="_~0039877_By Country Detail 1Q10 041410pm FIN 18 revised per disc w Mary_BS_Separation_TaxResIndem_Q12412 tf_II.7. Sep&amp;Discrete_Guidance 2" xfId="1330" xr:uid="{00000000-0005-0000-0000-000031050000}"/>
    <cellStyle name="_~0039877_By Country Detail 1Q10 041410pm FIN 18 revised per disc w Mary_BS_Separation_TaxResIndem_Q12412 tf_II.7. Sep&amp;Discrete_Guidance_BS retrieve" xfId="1331" xr:uid="{00000000-0005-0000-0000-000032050000}"/>
    <cellStyle name="_~0039877_By Country Detail 1Q10 041410pm FIN 18 revised per disc w Mary_BS_Separation_TaxResIndem_Q12412 tf_II.7. Sep&amp;Discrete_Guidance_Free CF" xfId="1332" xr:uid="{00000000-0005-0000-0000-000033050000}"/>
    <cellStyle name="_~0039877_By Country Detail 1Q10 041410pm FIN 18 revised per disc w Mary_BS_Separation_TaxResIndem_Q12412 tf_II.7. Sep&amp;Discrete_Guidance_P&amp;L Rec Qtr" xfId="1333" xr:uid="{00000000-0005-0000-0000-000034050000}"/>
    <cellStyle name="_~0039877_By Country Detail 1Q10 041410pm FIN 18 revised per disc w Mary_BS_Separation_TaxResIndem_Q12412 tf_II.7. Sep&amp;Discrete_Guidance_Sheet1" xfId="1334" xr:uid="{00000000-0005-0000-0000-000035050000}"/>
    <cellStyle name="_~0039877_By Country Detail 1Q10 041410pm FIN 18 revised per disc w Mary_BS_Separation_TaxResIndem_Q12412 tf_II.7. Sep&amp;Discrete_Guidance_Sheet2" xfId="1335" xr:uid="{00000000-0005-0000-0000-000036050000}"/>
    <cellStyle name="_~0039877_By Country Detail 1Q10 041410pm FIN 18 revised per disc w Mary_BS_Separation_TaxResIndem_Q12412 tf_II.7. Sep&amp;Discrete_Guidance_Sheet3" xfId="1336" xr:uid="{00000000-0005-0000-0000-000037050000}"/>
    <cellStyle name="_~0039877_By Country Detail 1Q10 041410pm FIN 18 revised per disc w Mary_BS_Separation_TaxResIndem_Q12412 tf_II.7. Sep&amp;Discrete_Guidance_Sheet4" xfId="1337" xr:uid="{00000000-0005-0000-0000-000038050000}"/>
    <cellStyle name="_~0039877_By Country Detail 1Q10 041410pm FIN 18 revised per disc w Mary_BS_Separation_TaxResIndem_Q12412 tf_Restructuring &amp; Separation" xfId="1338" xr:uid="{00000000-0005-0000-0000-000039050000}"/>
    <cellStyle name="_~0039877_By Country Detail 1Q10 041410pm FIN 18 revised per disc w Mary_BS_Separation_TaxResIndem_Q12412 tf_Restructuring &amp; Separation_Guidance" xfId="1339" xr:uid="{00000000-0005-0000-0000-00003A050000}"/>
    <cellStyle name="_~0039877_By Country Detail 1Q10 041410pm FIN 18 revised per disc w Mary_BS_Separation_TaxResIndem_Q12412 tf_Restructuring &amp; Separation_Guidance 2" xfId="1340" xr:uid="{00000000-0005-0000-0000-00003B050000}"/>
    <cellStyle name="_~0039877_By Country Detail 1Q10 041410pm FIN 18 revised per disc w Mary_BS_Separation_TaxResIndem_Q12412 tf_Restructuring &amp; Separation_Guidance_BS retrieve" xfId="1341" xr:uid="{00000000-0005-0000-0000-00003C050000}"/>
    <cellStyle name="_~0039877_By Country Detail 1Q10 041410pm FIN 18 revised per disc w Mary_BS_Separation_TaxResIndem_Q12412 tf_Restructuring &amp; Separation_Guidance_Free CF" xfId="1342" xr:uid="{00000000-0005-0000-0000-00003D050000}"/>
    <cellStyle name="_~0039877_By Country Detail 1Q10 041410pm FIN 18 revised per disc w Mary_BS_Separation_TaxResIndem_Q12412 tf_Restructuring &amp; Separation_Guidance_P&amp;L Rec Qtr" xfId="1343" xr:uid="{00000000-0005-0000-0000-00003E050000}"/>
    <cellStyle name="_~0039877_By Country Detail 1Q10 041410pm FIN 18 revised per disc w Mary_BS_Separation_TaxResIndem_Q12412 tf_Restructuring &amp; Separation_Guidance_Sheet1" xfId="1344" xr:uid="{00000000-0005-0000-0000-00003F050000}"/>
    <cellStyle name="_~0039877_By Country Detail 1Q10 041410pm FIN 18 revised per disc w Mary_BS_Separation_TaxResIndem_Q12412 tf_Restructuring &amp; Separation_Guidance_Sheet2" xfId="1345" xr:uid="{00000000-0005-0000-0000-000040050000}"/>
    <cellStyle name="_~0039877_By Country Detail 1Q10 041410pm FIN 18 revised per disc w Mary_BS_Separation_TaxResIndem_Q12412 tf_Restructuring &amp; Separation_Guidance_Sheet3" xfId="1346" xr:uid="{00000000-0005-0000-0000-000041050000}"/>
    <cellStyle name="_~0039877_By Country Detail 1Q10 041410pm FIN 18 revised per disc w Mary_BS_Separation_TaxResIndem_Q12412 tf_Restructuring &amp; Separation_Guidance_Sheet4" xfId="1347" xr:uid="{00000000-0005-0000-0000-000042050000}"/>
    <cellStyle name="_~0039877_By Country Detail 1Q10 041410pm FIN 18 revised per disc w Mary_BS_Separation_TaxResIndem_Q12412 tf_Restructuring &amp; Separation_II.7. Sep&amp;Discrete" xfId="1348" xr:uid="{00000000-0005-0000-0000-000043050000}"/>
    <cellStyle name="_~0039877_By Country Detail 1Q10 041410pm FIN 18 revised per disc w Mary_BS_Separation_TaxResIndem_Q12412 tf_Restructuring &amp; Separation_II.7. Sep&amp;Discrete_Guidance" xfId="1349" xr:uid="{00000000-0005-0000-0000-000044050000}"/>
    <cellStyle name="_~0039877_By Country Detail 1Q10 041410pm FIN 18 revised per disc w Mary_BS_Separation_TaxResIndem_Q12412 tf_Restructuring &amp; Separation_II.7. Sep&amp;Discrete_Guidance 2" xfId="1350" xr:uid="{00000000-0005-0000-0000-000045050000}"/>
    <cellStyle name="_~0039877_By Country Detail 1Q10 041410pm FIN 18 revised per disc w Mary_BS_Separation_TaxResIndem_Q12412 tf_Restructuring &amp; Separation_II.7. Sep&amp;Discrete_Guidance_BS retrieve" xfId="1351" xr:uid="{00000000-0005-0000-0000-000046050000}"/>
    <cellStyle name="_~0039877_By Country Detail 1Q10 041410pm FIN 18 revised per disc w Mary_BS_Separation_TaxResIndem_Q12412 tf_Restructuring &amp; Separation_II.7. Sep&amp;Discrete_Guidance_Free CF" xfId="1352" xr:uid="{00000000-0005-0000-0000-000047050000}"/>
    <cellStyle name="_~0039877_By Country Detail 1Q10 041410pm FIN 18 revised per disc w Mary_BS_Separation_TaxResIndem_Q12412 tf_Restructuring &amp; Separation_II.7. Sep&amp;Discrete_Guidance_P&amp;L Rec Qtr" xfId="1353" xr:uid="{00000000-0005-0000-0000-000048050000}"/>
    <cellStyle name="_~0039877_By Country Detail 1Q10 041410pm FIN 18 revised per disc w Mary_BS_Separation_TaxResIndem_Q12412 tf_Restructuring &amp; Separation_II.7. Sep&amp;Discrete_Guidance_Sheet1" xfId="1354" xr:uid="{00000000-0005-0000-0000-000049050000}"/>
    <cellStyle name="_~0039877_By Country Detail 1Q10 041410pm FIN 18 revised per disc w Mary_BS_Separation_TaxResIndem_Q12412 tf_Restructuring &amp; Separation_II.7. Sep&amp;Discrete_Guidance_Sheet2" xfId="1355" xr:uid="{00000000-0005-0000-0000-00004A050000}"/>
    <cellStyle name="_~0039877_By Country Detail 1Q10 041410pm FIN 18 revised per disc w Mary_BS_Separation_TaxResIndem_Q12412 tf_Restructuring &amp; Separation_II.7. Sep&amp;Discrete_Guidance_Sheet3" xfId="1356" xr:uid="{00000000-0005-0000-0000-00004B050000}"/>
    <cellStyle name="_~0039877_By Country Detail 1Q10 041410pm FIN 18 revised per disc w Mary_BS_Separation_TaxResIndem_Q12412 tf_Restructuring &amp; Separation_II.7. Sep&amp;Discrete_Guidance_Sheet4" xfId="1357" xr:uid="{00000000-0005-0000-0000-00004C050000}"/>
    <cellStyle name="_~0039877_By Country Detail 1Q10 041410pm FIN 18 revised per disc w Mary_Guidance" xfId="1358" xr:uid="{00000000-0005-0000-0000-00004D050000}"/>
    <cellStyle name="_~0039877_By Country Detail 1Q10 041410pm FIN 18 revised per disc w Mary_Guidance 2" xfId="1359" xr:uid="{00000000-0005-0000-0000-00004E050000}"/>
    <cellStyle name="_~0039877_By Country Detail 1Q10 041410pm FIN 18 revised per disc w Mary_Guidance_BS retrieve" xfId="1360" xr:uid="{00000000-0005-0000-0000-00004F050000}"/>
    <cellStyle name="_~0039877_By Country Detail 1Q10 041410pm FIN 18 revised per disc w Mary_Guidance_Free CF" xfId="1361" xr:uid="{00000000-0005-0000-0000-000050050000}"/>
    <cellStyle name="_~0039877_By Country Detail 1Q10 041410pm FIN 18 revised per disc w Mary_Guidance_P&amp;L Rec Qtr" xfId="1362" xr:uid="{00000000-0005-0000-0000-000051050000}"/>
    <cellStyle name="_~0039877_By Country Detail 1Q10 041410pm FIN 18 revised per disc w Mary_Guidance_Sheet1" xfId="1363" xr:uid="{00000000-0005-0000-0000-000052050000}"/>
    <cellStyle name="_~0039877_By Country Detail 1Q10 041410pm FIN 18 revised per disc w Mary_Guidance_Sheet2" xfId="1364" xr:uid="{00000000-0005-0000-0000-000053050000}"/>
    <cellStyle name="_~0039877_By Country Detail 1Q10 041410pm FIN 18 revised per disc w Mary_Guidance_Sheet3" xfId="1365" xr:uid="{00000000-0005-0000-0000-000054050000}"/>
    <cellStyle name="_~0039877_By Country Detail 1Q10 041410pm FIN 18 revised per disc w Mary_Guidance_Sheet4" xfId="1366" xr:uid="{00000000-0005-0000-0000-000055050000}"/>
    <cellStyle name="_~0039877_By Country Detail 1Q10 041410pm FIN 18 revised per disc w Mary_II.7. Sep&amp;Discrete" xfId="1367" xr:uid="{00000000-0005-0000-0000-000056050000}"/>
    <cellStyle name="_~0039877_By Country Detail 1Q10 041410pm FIN 18 revised per disc w Mary_II.7. Sep&amp;Discrete_Guidance" xfId="1368" xr:uid="{00000000-0005-0000-0000-000057050000}"/>
    <cellStyle name="_~0039877_By Country Detail 1Q10 041410pm FIN 18 revised per disc w Mary_II.7. Sep&amp;Discrete_Guidance 2" xfId="1369" xr:uid="{00000000-0005-0000-0000-000058050000}"/>
    <cellStyle name="_~0039877_By Country Detail 1Q10 041410pm FIN 18 revised per disc w Mary_II.7. Sep&amp;Discrete_Guidance_BS retrieve" xfId="1370" xr:uid="{00000000-0005-0000-0000-000059050000}"/>
    <cellStyle name="_~0039877_By Country Detail 1Q10 041410pm FIN 18 revised per disc w Mary_II.7. Sep&amp;Discrete_Guidance_Free CF" xfId="1371" xr:uid="{00000000-0005-0000-0000-00005A050000}"/>
    <cellStyle name="_~0039877_By Country Detail 1Q10 041410pm FIN 18 revised per disc w Mary_II.7. Sep&amp;Discrete_Guidance_P&amp;L Rec Qtr" xfId="1372" xr:uid="{00000000-0005-0000-0000-00005B050000}"/>
    <cellStyle name="_~0039877_By Country Detail 1Q10 041410pm FIN 18 revised per disc w Mary_II.7. Sep&amp;Discrete_Guidance_Sheet1" xfId="1373" xr:uid="{00000000-0005-0000-0000-00005C050000}"/>
    <cellStyle name="_~0039877_By Country Detail 1Q10 041410pm FIN 18 revised per disc w Mary_II.7. Sep&amp;Discrete_Guidance_Sheet2" xfId="1374" xr:uid="{00000000-0005-0000-0000-00005D050000}"/>
    <cellStyle name="_~0039877_By Country Detail 1Q10 041410pm FIN 18 revised per disc w Mary_II.7. Sep&amp;Discrete_Guidance_Sheet3" xfId="1375" xr:uid="{00000000-0005-0000-0000-00005E050000}"/>
    <cellStyle name="_~0039877_By Country Detail 1Q10 041410pm FIN 18 revised per disc w Mary_II.7. Sep&amp;Discrete_Guidance_Sheet4" xfId="1376" xr:uid="{00000000-0005-0000-0000-00005F050000}"/>
    <cellStyle name="_~0039877_By Country Detail 1Q10 041410pm FIN 18 revised per disc w Mary_II.8. Sep&amp;Discrete" xfId="1377" xr:uid="{00000000-0005-0000-0000-000060050000}"/>
    <cellStyle name="_~0039877_By Country Detail 1Q10 041410pm FIN 18 revised per disc w Mary_II.8. Sep&amp;Discrete_Guidance" xfId="1378" xr:uid="{00000000-0005-0000-0000-000061050000}"/>
    <cellStyle name="_~0039877_By Country Detail 1Q10 041410pm FIN 18 revised per disc w Mary_II.8. Sep&amp;Discrete_Guidance 2" xfId="1379" xr:uid="{00000000-0005-0000-0000-000062050000}"/>
    <cellStyle name="_~0039877_By Country Detail 1Q10 041410pm FIN 18 revised per disc w Mary_II.8. Sep&amp;Discrete_Guidance_BS retrieve" xfId="1380" xr:uid="{00000000-0005-0000-0000-000063050000}"/>
    <cellStyle name="_~0039877_By Country Detail 1Q10 041410pm FIN 18 revised per disc w Mary_II.8. Sep&amp;Discrete_Guidance_Free CF" xfId="1381" xr:uid="{00000000-0005-0000-0000-000064050000}"/>
    <cellStyle name="_~0039877_By Country Detail 1Q10 041410pm FIN 18 revised per disc w Mary_II.8. Sep&amp;Discrete_Guidance_P&amp;L Rec Qtr" xfId="1382" xr:uid="{00000000-0005-0000-0000-000065050000}"/>
    <cellStyle name="_~0039877_By Country Detail 1Q10 041410pm FIN 18 revised per disc w Mary_II.8. Sep&amp;Discrete_Guidance_Sheet1" xfId="1383" xr:uid="{00000000-0005-0000-0000-000066050000}"/>
    <cellStyle name="_~0039877_By Country Detail 1Q10 041410pm FIN 18 revised per disc w Mary_II.8. Sep&amp;Discrete_Guidance_Sheet2" xfId="1384" xr:uid="{00000000-0005-0000-0000-000067050000}"/>
    <cellStyle name="_~0039877_By Country Detail 1Q10 041410pm FIN 18 revised per disc w Mary_II.8. Sep&amp;Discrete_Guidance_Sheet3" xfId="1385" xr:uid="{00000000-0005-0000-0000-000068050000}"/>
    <cellStyle name="_~0039877_By Country Detail 1Q10 041410pm FIN 18 revised per disc w Mary_II.8. Sep&amp;Discrete_Guidance_Sheet4" xfId="1386" xr:uid="{00000000-0005-0000-0000-000069050000}"/>
    <cellStyle name="_~0039877_By Country Detail 1Q10 041410pm FIN 18 revised per disc w Mary_Restructuring &amp; Separation" xfId="1387" xr:uid="{00000000-0005-0000-0000-00006A050000}"/>
    <cellStyle name="_~0039877_By Country Detail 1Q10 041410pm FIN 18 revised per disc w Mary_Restructuring &amp; Separation_Guidance" xfId="1388" xr:uid="{00000000-0005-0000-0000-00006B050000}"/>
    <cellStyle name="_~0039877_By Country Detail 1Q10 041410pm FIN 18 revised per disc w Mary_Restructuring &amp; Separation_Guidance 2" xfId="1389" xr:uid="{00000000-0005-0000-0000-00006C050000}"/>
    <cellStyle name="_~0039877_By Country Detail 1Q10 041410pm FIN 18 revised per disc w Mary_Restructuring &amp; Separation_Guidance_BS retrieve" xfId="1390" xr:uid="{00000000-0005-0000-0000-00006D050000}"/>
    <cellStyle name="_~0039877_By Country Detail 1Q10 041410pm FIN 18 revised per disc w Mary_Restructuring &amp; Separation_Guidance_Free CF" xfId="1391" xr:uid="{00000000-0005-0000-0000-00006E050000}"/>
    <cellStyle name="_~0039877_By Country Detail 1Q10 041410pm FIN 18 revised per disc w Mary_Restructuring &amp; Separation_Guidance_P&amp;L Rec Qtr" xfId="1392" xr:uid="{00000000-0005-0000-0000-00006F050000}"/>
    <cellStyle name="_~0039877_By Country Detail 1Q10 041410pm FIN 18 revised per disc w Mary_Restructuring &amp; Separation_Guidance_Sheet1" xfId="1393" xr:uid="{00000000-0005-0000-0000-000070050000}"/>
    <cellStyle name="_~0039877_By Country Detail 1Q10 041410pm FIN 18 revised per disc w Mary_Restructuring &amp; Separation_Guidance_Sheet2" xfId="1394" xr:uid="{00000000-0005-0000-0000-000071050000}"/>
    <cellStyle name="_~0039877_By Country Detail 1Q10 041410pm FIN 18 revised per disc w Mary_Restructuring &amp; Separation_Guidance_Sheet3" xfId="1395" xr:uid="{00000000-0005-0000-0000-000072050000}"/>
    <cellStyle name="_~0039877_By Country Detail 1Q10 041410pm FIN 18 revised per disc w Mary_Restructuring &amp; Separation_Guidance_Sheet4" xfId="1396" xr:uid="{00000000-0005-0000-0000-000073050000}"/>
    <cellStyle name="_~0039877_By Country Detail 1Q10 041410pm FIN 18 revised per disc w Mary_Restructuring &amp; Separation_II.7. Sep&amp;Discrete" xfId="1397" xr:uid="{00000000-0005-0000-0000-000074050000}"/>
    <cellStyle name="_~0039877_By Country Detail 1Q10 041410pm FIN 18 revised per disc w Mary_Restructuring &amp; Separation_II.7. Sep&amp;Discrete_Guidance" xfId="1398" xr:uid="{00000000-0005-0000-0000-000075050000}"/>
    <cellStyle name="_~0039877_By Country Detail 1Q10 041410pm FIN 18 revised per disc w Mary_Restructuring &amp; Separation_II.7. Sep&amp;Discrete_Guidance 2" xfId="1399" xr:uid="{00000000-0005-0000-0000-000076050000}"/>
    <cellStyle name="_~0039877_By Country Detail 1Q10 041410pm FIN 18 revised per disc w Mary_Restructuring &amp; Separation_II.7. Sep&amp;Discrete_Guidance_BS retrieve" xfId="1400" xr:uid="{00000000-0005-0000-0000-000077050000}"/>
    <cellStyle name="_~0039877_By Country Detail 1Q10 041410pm FIN 18 revised per disc w Mary_Restructuring &amp; Separation_II.7. Sep&amp;Discrete_Guidance_Free CF" xfId="1401" xr:uid="{00000000-0005-0000-0000-000078050000}"/>
    <cellStyle name="_~0039877_By Country Detail 1Q10 041410pm FIN 18 revised per disc w Mary_Restructuring &amp; Separation_II.7. Sep&amp;Discrete_Guidance_P&amp;L Rec Qtr" xfId="1402" xr:uid="{00000000-0005-0000-0000-000079050000}"/>
    <cellStyle name="_~0039877_By Country Detail 1Q10 041410pm FIN 18 revised per disc w Mary_Restructuring &amp; Separation_II.7. Sep&amp;Discrete_Guidance_Sheet1" xfId="1403" xr:uid="{00000000-0005-0000-0000-00007A050000}"/>
    <cellStyle name="_~0039877_By Country Detail 1Q10 041410pm FIN 18 revised per disc w Mary_Restructuring &amp; Separation_II.7. Sep&amp;Discrete_Guidance_Sheet2" xfId="1404" xr:uid="{00000000-0005-0000-0000-00007B050000}"/>
    <cellStyle name="_~0039877_By Country Detail 1Q10 041410pm FIN 18 revised per disc w Mary_Restructuring &amp; Separation_II.7. Sep&amp;Discrete_Guidance_Sheet3" xfId="1405" xr:uid="{00000000-0005-0000-0000-00007C050000}"/>
    <cellStyle name="_~0039877_By Country Detail 1Q10 041410pm FIN 18 revised per disc w Mary_Restructuring &amp; Separation_II.7. Sep&amp;Discrete_Guidance_Sheet4" xfId="1406" xr:uid="{00000000-0005-0000-0000-00007D050000}"/>
    <cellStyle name="_~0039877_Guidance" xfId="1407" xr:uid="{00000000-0005-0000-0000-00007E050000}"/>
    <cellStyle name="_~0039877_Guidance 2" xfId="1408" xr:uid="{00000000-0005-0000-0000-00007F050000}"/>
    <cellStyle name="_~0039877_Guidance_BS retrieve" xfId="1409" xr:uid="{00000000-0005-0000-0000-000080050000}"/>
    <cellStyle name="_~0039877_Guidance_Free CF" xfId="1410" xr:uid="{00000000-0005-0000-0000-000081050000}"/>
    <cellStyle name="_~0039877_Guidance_P&amp;L Rec Qtr" xfId="1411" xr:uid="{00000000-0005-0000-0000-000082050000}"/>
    <cellStyle name="_~0039877_Guidance_Sheet1" xfId="1412" xr:uid="{00000000-0005-0000-0000-000083050000}"/>
    <cellStyle name="_~0039877_Guidance_Sheet2" xfId="1413" xr:uid="{00000000-0005-0000-0000-000084050000}"/>
    <cellStyle name="_~0039877_Guidance_Sheet3" xfId="1414" xr:uid="{00000000-0005-0000-0000-000085050000}"/>
    <cellStyle name="_~0039877_Guidance_Sheet4" xfId="1415" xr:uid="{00000000-0005-0000-0000-000086050000}"/>
    <cellStyle name="_~0039877_II.4. RawMaterials" xfId="1416" xr:uid="{00000000-0005-0000-0000-000087050000}"/>
    <cellStyle name="_~0039877_II.4. RawMaterials 2" xfId="1417" xr:uid="{00000000-0005-0000-0000-000088050000}"/>
    <cellStyle name="_~0039877_II.4. RawMaterials_BS retrieve" xfId="1418" xr:uid="{00000000-0005-0000-0000-000089050000}"/>
    <cellStyle name="_~0039877_II.4. RawMaterials_Free CF" xfId="1419" xr:uid="{00000000-0005-0000-0000-00008A050000}"/>
    <cellStyle name="_~0039877_II.4. RawMaterials_P&amp;L Rec Qtr" xfId="1420" xr:uid="{00000000-0005-0000-0000-00008B050000}"/>
    <cellStyle name="_~0039877_II.4. RawMaterials_Sheet1" xfId="1421" xr:uid="{00000000-0005-0000-0000-00008C050000}"/>
    <cellStyle name="_~0039877_II.4. RawMaterials_Sheet2" xfId="1422" xr:uid="{00000000-0005-0000-0000-00008D050000}"/>
    <cellStyle name="_~0039877_II.4. RawMaterials_Sheet3" xfId="1423" xr:uid="{00000000-0005-0000-0000-00008E050000}"/>
    <cellStyle name="_~0039877_II.4. RawMaterials_Sheet4" xfId="1424" xr:uid="{00000000-0005-0000-0000-00008F050000}"/>
    <cellStyle name="_~0039877_II.5. RawMaterials" xfId="1425" xr:uid="{00000000-0005-0000-0000-000090050000}"/>
    <cellStyle name="_~0039877_II.5. RawMaterials 2" xfId="1426" xr:uid="{00000000-0005-0000-0000-000091050000}"/>
    <cellStyle name="_~0039877_II.5. RawMaterials_BS retrieve" xfId="1427" xr:uid="{00000000-0005-0000-0000-000092050000}"/>
    <cellStyle name="_~0039877_II.5. RawMaterials_Free CF" xfId="1428" xr:uid="{00000000-0005-0000-0000-000093050000}"/>
    <cellStyle name="_~0039877_II.5. RawMaterials_Guidance" xfId="1429" xr:uid="{00000000-0005-0000-0000-000094050000}"/>
    <cellStyle name="_~0039877_II.5. RawMaterials_Guidance 2" xfId="1430" xr:uid="{00000000-0005-0000-0000-000095050000}"/>
    <cellStyle name="_~0039877_II.5. RawMaterials_Guidance_BS retrieve" xfId="1431" xr:uid="{00000000-0005-0000-0000-000096050000}"/>
    <cellStyle name="_~0039877_II.5. RawMaterials_Guidance_Free CF" xfId="1432" xr:uid="{00000000-0005-0000-0000-000097050000}"/>
    <cellStyle name="_~0039877_II.5. RawMaterials_Guidance_P&amp;L Rec Qtr" xfId="1433" xr:uid="{00000000-0005-0000-0000-000098050000}"/>
    <cellStyle name="_~0039877_II.5. RawMaterials_Guidance_Sheet1" xfId="1434" xr:uid="{00000000-0005-0000-0000-000099050000}"/>
    <cellStyle name="_~0039877_II.5. RawMaterials_Guidance_Sheet2" xfId="1435" xr:uid="{00000000-0005-0000-0000-00009A050000}"/>
    <cellStyle name="_~0039877_II.5. RawMaterials_Guidance_Sheet3" xfId="1436" xr:uid="{00000000-0005-0000-0000-00009B050000}"/>
    <cellStyle name="_~0039877_II.5. RawMaterials_Guidance_Sheet4" xfId="1437" xr:uid="{00000000-0005-0000-0000-00009C050000}"/>
    <cellStyle name="_~0039877_II.5. RawMaterials_P&amp;L Rec Qtr" xfId="1438" xr:uid="{00000000-0005-0000-0000-00009D050000}"/>
    <cellStyle name="_~0039877_II.5. RawMaterials_Sheet1" xfId="1439" xr:uid="{00000000-0005-0000-0000-00009E050000}"/>
    <cellStyle name="_~0039877_II.5. RawMaterials_Sheet2" xfId="1440" xr:uid="{00000000-0005-0000-0000-00009F050000}"/>
    <cellStyle name="_~0039877_II.5. RawMaterials_Sheet3" xfId="1441" xr:uid="{00000000-0005-0000-0000-0000A0050000}"/>
    <cellStyle name="_~0039877_II.5. RawMaterials_Sheet4" xfId="1442" xr:uid="{00000000-0005-0000-0000-0000A1050000}"/>
    <cellStyle name="_~0039877_II.5. RM Volume Sensitivities" xfId="1443" xr:uid="{00000000-0005-0000-0000-0000A2050000}"/>
    <cellStyle name="_~0039877_II.5. RM Volume Sensitivities 2" xfId="1444" xr:uid="{00000000-0005-0000-0000-0000A3050000}"/>
    <cellStyle name="_~0039877_II.5. RM Volume Sensitivities_BS retrieve" xfId="1445" xr:uid="{00000000-0005-0000-0000-0000A4050000}"/>
    <cellStyle name="_~0039877_II.5. RM Volume Sensitivities_Free CF" xfId="1446" xr:uid="{00000000-0005-0000-0000-0000A5050000}"/>
    <cellStyle name="_~0039877_II.5. RM Volume Sensitivities_P&amp;L Rec Qtr" xfId="1447" xr:uid="{00000000-0005-0000-0000-0000A6050000}"/>
    <cellStyle name="_~0039877_II.5. RM Volume Sensitivities_Sheet1" xfId="1448" xr:uid="{00000000-0005-0000-0000-0000A7050000}"/>
    <cellStyle name="_~0039877_II.5. RM Volume Sensitivities_Sheet2" xfId="1449" xr:uid="{00000000-0005-0000-0000-0000A8050000}"/>
    <cellStyle name="_~0039877_II.5. RM Volume Sensitivities_Sheet3" xfId="1450" xr:uid="{00000000-0005-0000-0000-0000A9050000}"/>
    <cellStyle name="_~0039877_II.5. RM Volume Sensitivities_Sheet4" xfId="1451" xr:uid="{00000000-0005-0000-0000-0000AA050000}"/>
    <cellStyle name="_~0039877_II.7. Sep&amp;Discrete" xfId="1452" xr:uid="{00000000-0005-0000-0000-0000AB050000}"/>
    <cellStyle name="_~0039877_II.7. Sep&amp;Discrete_Guidance" xfId="1453" xr:uid="{00000000-0005-0000-0000-0000AC050000}"/>
    <cellStyle name="_~0039877_II.7. Sep&amp;Discrete_Guidance 2" xfId="1454" xr:uid="{00000000-0005-0000-0000-0000AD050000}"/>
    <cellStyle name="_~0039877_II.7. Sep&amp;Discrete_Guidance_BS retrieve" xfId="1455" xr:uid="{00000000-0005-0000-0000-0000AE050000}"/>
    <cellStyle name="_~0039877_II.7. Sep&amp;Discrete_Guidance_Free CF" xfId="1456" xr:uid="{00000000-0005-0000-0000-0000AF050000}"/>
    <cellStyle name="_~0039877_II.7. Sep&amp;Discrete_Guidance_P&amp;L Rec Qtr" xfId="1457" xr:uid="{00000000-0005-0000-0000-0000B0050000}"/>
    <cellStyle name="_~0039877_II.7. Sep&amp;Discrete_Guidance_Sheet1" xfId="1458" xr:uid="{00000000-0005-0000-0000-0000B1050000}"/>
    <cellStyle name="_~0039877_II.7. Sep&amp;Discrete_Guidance_Sheet2" xfId="1459" xr:uid="{00000000-0005-0000-0000-0000B2050000}"/>
    <cellStyle name="_~0039877_II.7. Sep&amp;Discrete_Guidance_Sheet3" xfId="1460" xr:uid="{00000000-0005-0000-0000-0000B3050000}"/>
    <cellStyle name="_~0039877_II.7. Sep&amp;Discrete_Guidance_Sheet4" xfId="1461" xr:uid="{00000000-0005-0000-0000-0000B4050000}"/>
    <cellStyle name="_~0039877_II.8. Sep&amp;Discrete" xfId="1462" xr:uid="{00000000-0005-0000-0000-0000B5050000}"/>
    <cellStyle name="_~0039877_II.8. Sep&amp;Discrete_Guidance" xfId="1463" xr:uid="{00000000-0005-0000-0000-0000B6050000}"/>
    <cellStyle name="_~0039877_II.8. Sep&amp;Discrete_Guidance 2" xfId="1464" xr:uid="{00000000-0005-0000-0000-0000B7050000}"/>
    <cellStyle name="_~0039877_II.8. Sep&amp;Discrete_Guidance_BS retrieve" xfId="1465" xr:uid="{00000000-0005-0000-0000-0000B8050000}"/>
    <cellStyle name="_~0039877_II.8. Sep&amp;Discrete_Guidance_Free CF" xfId="1466" xr:uid="{00000000-0005-0000-0000-0000B9050000}"/>
    <cellStyle name="_~0039877_II.8. Sep&amp;Discrete_Guidance_P&amp;L Rec Qtr" xfId="1467" xr:uid="{00000000-0005-0000-0000-0000BA050000}"/>
    <cellStyle name="_~0039877_II.8. Sep&amp;Discrete_Guidance_Sheet1" xfId="1468" xr:uid="{00000000-0005-0000-0000-0000BB050000}"/>
    <cellStyle name="_~0039877_II.8. Sep&amp;Discrete_Guidance_Sheet2" xfId="1469" xr:uid="{00000000-0005-0000-0000-0000BC050000}"/>
    <cellStyle name="_~0039877_II.8. Sep&amp;Discrete_Guidance_Sheet3" xfId="1470" xr:uid="{00000000-0005-0000-0000-0000BD050000}"/>
    <cellStyle name="_~0039877_II.8. Sep&amp;Discrete_Guidance_Sheet4" xfId="1471" xr:uid="{00000000-0005-0000-0000-0000BE050000}"/>
    <cellStyle name="_~0039877_Restructuring &amp; Separation" xfId="1472" xr:uid="{00000000-0005-0000-0000-0000BF050000}"/>
    <cellStyle name="_~0039877_Restructuring &amp; Separation_Guidance" xfId="1473" xr:uid="{00000000-0005-0000-0000-0000C0050000}"/>
    <cellStyle name="_~0039877_Restructuring &amp; Separation_Guidance 2" xfId="1474" xr:uid="{00000000-0005-0000-0000-0000C1050000}"/>
    <cellStyle name="_~0039877_Restructuring &amp; Separation_Guidance_BS retrieve" xfId="1475" xr:uid="{00000000-0005-0000-0000-0000C2050000}"/>
    <cellStyle name="_~0039877_Restructuring &amp; Separation_Guidance_Free CF" xfId="1476" xr:uid="{00000000-0005-0000-0000-0000C3050000}"/>
    <cellStyle name="_~0039877_Restructuring &amp; Separation_Guidance_P&amp;L Rec Qtr" xfId="1477" xr:uid="{00000000-0005-0000-0000-0000C4050000}"/>
    <cellStyle name="_~0039877_Restructuring &amp; Separation_Guidance_Sheet1" xfId="1478" xr:uid="{00000000-0005-0000-0000-0000C5050000}"/>
    <cellStyle name="_~0039877_Restructuring &amp; Separation_Guidance_Sheet2" xfId="1479" xr:uid="{00000000-0005-0000-0000-0000C6050000}"/>
    <cellStyle name="_~0039877_Restructuring &amp; Separation_Guidance_Sheet3" xfId="1480" xr:uid="{00000000-0005-0000-0000-0000C7050000}"/>
    <cellStyle name="_~0039877_Restructuring &amp; Separation_Guidance_Sheet4" xfId="1481" xr:uid="{00000000-0005-0000-0000-0000C8050000}"/>
    <cellStyle name="_~0039877_Restructuring &amp; Separation_II.7. Sep&amp;Discrete" xfId="1482" xr:uid="{00000000-0005-0000-0000-0000C9050000}"/>
    <cellStyle name="_~0039877_Restructuring &amp; Separation_II.7. Sep&amp;Discrete_Guidance" xfId="1483" xr:uid="{00000000-0005-0000-0000-0000CA050000}"/>
    <cellStyle name="_~0039877_Restructuring &amp; Separation_II.7. Sep&amp;Discrete_Guidance 2" xfId="1484" xr:uid="{00000000-0005-0000-0000-0000CB050000}"/>
    <cellStyle name="_~0039877_Restructuring &amp; Separation_II.7. Sep&amp;Discrete_Guidance_BS retrieve" xfId="1485" xr:uid="{00000000-0005-0000-0000-0000CC050000}"/>
    <cellStyle name="_~0039877_Restructuring &amp; Separation_II.7. Sep&amp;Discrete_Guidance_Free CF" xfId="1486" xr:uid="{00000000-0005-0000-0000-0000CD050000}"/>
    <cellStyle name="_~0039877_Restructuring &amp; Separation_II.7. Sep&amp;Discrete_Guidance_P&amp;L Rec Qtr" xfId="1487" xr:uid="{00000000-0005-0000-0000-0000CE050000}"/>
    <cellStyle name="_~0039877_Restructuring &amp; Separation_II.7. Sep&amp;Discrete_Guidance_Sheet1" xfId="1488" xr:uid="{00000000-0005-0000-0000-0000CF050000}"/>
    <cellStyle name="_~0039877_Restructuring &amp; Separation_II.7. Sep&amp;Discrete_Guidance_Sheet2" xfId="1489" xr:uid="{00000000-0005-0000-0000-0000D0050000}"/>
    <cellStyle name="_~0039877_Restructuring &amp; Separation_II.7. Sep&amp;Discrete_Guidance_Sheet3" xfId="1490" xr:uid="{00000000-0005-0000-0000-0000D1050000}"/>
    <cellStyle name="_~0039877_Restructuring &amp; Separation_II.7. Sep&amp;Discrete_Guidance_Sheet4" xfId="1491" xr:uid="{00000000-0005-0000-0000-0000D2050000}"/>
    <cellStyle name="_~0039877_Restructuring_Separation_TAX_JuneFC2010 tf" xfId="1492" xr:uid="{00000000-0005-0000-0000-0000D3050000}"/>
    <cellStyle name="_~0039877_Restructuring_Separation_TAX_JuneFC2010 tf_BS_Separation_TaxResIndem_Q12412 tf" xfId="1493" xr:uid="{00000000-0005-0000-0000-0000D4050000}"/>
    <cellStyle name="_~0039877_Restructuring_Separation_TAX_JuneFC2010 tf_BS_Separation_TaxResIndem_Q12412 tf_Guidance" xfId="1494" xr:uid="{00000000-0005-0000-0000-0000D5050000}"/>
    <cellStyle name="_~0039877_Restructuring_Separation_TAX_JuneFC2010 tf_BS_Separation_TaxResIndem_Q12412 tf_Guidance 2" xfId="1495" xr:uid="{00000000-0005-0000-0000-0000D6050000}"/>
    <cellStyle name="_~0039877_Restructuring_Separation_TAX_JuneFC2010 tf_BS_Separation_TaxResIndem_Q12412 tf_Guidance_BS retrieve" xfId="1496" xr:uid="{00000000-0005-0000-0000-0000D7050000}"/>
    <cellStyle name="_~0039877_Restructuring_Separation_TAX_JuneFC2010 tf_BS_Separation_TaxResIndem_Q12412 tf_Guidance_Free CF" xfId="1497" xr:uid="{00000000-0005-0000-0000-0000D8050000}"/>
    <cellStyle name="_~0039877_Restructuring_Separation_TAX_JuneFC2010 tf_BS_Separation_TaxResIndem_Q12412 tf_Guidance_P&amp;L Rec Qtr" xfId="1498" xr:uid="{00000000-0005-0000-0000-0000D9050000}"/>
    <cellStyle name="_~0039877_Restructuring_Separation_TAX_JuneFC2010 tf_BS_Separation_TaxResIndem_Q12412 tf_Guidance_Sheet1" xfId="1499" xr:uid="{00000000-0005-0000-0000-0000DA050000}"/>
    <cellStyle name="_~0039877_Restructuring_Separation_TAX_JuneFC2010 tf_BS_Separation_TaxResIndem_Q12412 tf_Guidance_Sheet2" xfId="1500" xr:uid="{00000000-0005-0000-0000-0000DB050000}"/>
    <cellStyle name="_~0039877_Restructuring_Separation_TAX_JuneFC2010 tf_BS_Separation_TaxResIndem_Q12412 tf_Guidance_Sheet3" xfId="1501" xr:uid="{00000000-0005-0000-0000-0000DC050000}"/>
    <cellStyle name="_~0039877_Restructuring_Separation_TAX_JuneFC2010 tf_BS_Separation_TaxResIndem_Q12412 tf_Guidance_Sheet4" xfId="1502" xr:uid="{00000000-0005-0000-0000-0000DD050000}"/>
    <cellStyle name="_~0039877_Restructuring_Separation_TAX_JuneFC2010 tf_BS_Separation_TaxResIndem_Q12412 tf_II.7. Sep&amp;Discrete" xfId="1503" xr:uid="{00000000-0005-0000-0000-0000DE050000}"/>
    <cellStyle name="_~0039877_Restructuring_Separation_TAX_JuneFC2010 tf_BS_Separation_TaxResIndem_Q12412 tf_II.7. Sep&amp;Discrete_Guidance" xfId="1504" xr:uid="{00000000-0005-0000-0000-0000DF050000}"/>
    <cellStyle name="_~0039877_Restructuring_Separation_TAX_JuneFC2010 tf_BS_Separation_TaxResIndem_Q12412 tf_II.7. Sep&amp;Discrete_Guidance 2" xfId="1505" xr:uid="{00000000-0005-0000-0000-0000E0050000}"/>
    <cellStyle name="_~0039877_Restructuring_Separation_TAX_JuneFC2010 tf_BS_Separation_TaxResIndem_Q12412 tf_II.7. Sep&amp;Discrete_Guidance_BS retrieve" xfId="1506" xr:uid="{00000000-0005-0000-0000-0000E1050000}"/>
    <cellStyle name="_~0039877_Restructuring_Separation_TAX_JuneFC2010 tf_BS_Separation_TaxResIndem_Q12412 tf_II.7. Sep&amp;Discrete_Guidance_Free CF" xfId="1507" xr:uid="{00000000-0005-0000-0000-0000E2050000}"/>
    <cellStyle name="_~0039877_Restructuring_Separation_TAX_JuneFC2010 tf_BS_Separation_TaxResIndem_Q12412 tf_II.7. Sep&amp;Discrete_Guidance_P&amp;L Rec Qtr" xfId="1508" xr:uid="{00000000-0005-0000-0000-0000E3050000}"/>
    <cellStyle name="_~0039877_Restructuring_Separation_TAX_JuneFC2010 tf_BS_Separation_TaxResIndem_Q12412 tf_II.7. Sep&amp;Discrete_Guidance_Sheet1" xfId="1509" xr:uid="{00000000-0005-0000-0000-0000E4050000}"/>
    <cellStyle name="_~0039877_Restructuring_Separation_TAX_JuneFC2010 tf_BS_Separation_TaxResIndem_Q12412 tf_II.7. Sep&amp;Discrete_Guidance_Sheet2" xfId="1510" xr:uid="{00000000-0005-0000-0000-0000E5050000}"/>
    <cellStyle name="_~0039877_Restructuring_Separation_TAX_JuneFC2010 tf_BS_Separation_TaxResIndem_Q12412 tf_II.7. Sep&amp;Discrete_Guidance_Sheet3" xfId="1511" xr:uid="{00000000-0005-0000-0000-0000E6050000}"/>
    <cellStyle name="_~0039877_Restructuring_Separation_TAX_JuneFC2010 tf_BS_Separation_TaxResIndem_Q12412 tf_II.7. Sep&amp;Discrete_Guidance_Sheet4" xfId="1512" xr:uid="{00000000-0005-0000-0000-0000E7050000}"/>
    <cellStyle name="_~0039877_Restructuring_Separation_TAX_JuneFC2010 tf_BS_Separation_TaxResIndem_Q12412 tf_Restructuring &amp; Separation" xfId="1513" xr:uid="{00000000-0005-0000-0000-0000E8050000}"/>
    <cellStyle name="_~0039877_Restructuring_Separation_TAX_JuneFC2010 tf_BS_Separation_TaxResIndem_Q12412 tf_Restructuring &amp; Separation_Guidance" xfId="1514" xr:uid="{00000000-0005-0000-0000-0000E9050000}"/>
    <cellStyle name="_~0039877_Restructuring_Separation_TAX_JuneFC2010 tf_BS_Separation_TaxResIndem_Q12412 tf_Restructuring &amp; Separation_Guidance 2" xfId="1515" xr:uid="{00000000-0005-0000-0000-0000EA050000}"/>
    <cellStyle name="_~0039877_Restructuring_Separation_TAX_JuneFC2010 tf_BS_Separation_TaxResIndem_Q12412 tf_Restructuring &amp; Separation_Guidance_BS retrieve" xfId="1516" xr:uid="{00000000-0005-0000-0000-0000EB050000}"/>
    <cellStyle name="_~0039877_Restructuring_Separation_TAX_JuneFC2010 tf_BS_Separation_TaxResIndem_Q12412 tf_Restructuring &amp; Separation_Guidance_Free CF" xfId="1517" xr:uid="{00000000-0005-0000-0000-0000EC050000}"/>
    <cellStyle name="_~0039877_Restructuring_Separation_TAX_JuneFC2010 tf_BS_Separation_TaxResIndem_Q12412 tf_Restructuring &amp; Separation_Guidance_P&amp;L Rec Qtr" xfId="1518" xr:uid="{00000000-0005-0000-0000-0000ED050000}"/>
    <cellStyle name="_~0039877_Restructuring_Separation_TAX_JuneFC2010 tf_BS_Separation_TaxResIndem_Q12412 tf_Restructuring &amp; Separation_Guidance_Sheet1" xfId="1519" xr:uid="{00000000-0005-0000-0000-0000EE050000}"/>
    <cellStyle name="_~0039877_Restructuring_Separation_TAX_JuneFC2010 tf_BS_Separation_TaxResIndem_Q12412 tf_Restructuring &amp; Separation_Guidance_Sheet2" xfId="1520" xr:uid="{00000000-0005-0000-0000-0000EF050000}"/>
    <cellStyle name="_~0039877_Restructuring_Separation_TAX_JuneFC2010 tf_BS_Separation_TaxResIndem_Q12412 tf_Restructuring &amp; Separation_Guidance_Sheet3" xfId="1521" xr:uid="{00000000-0005-0000-0000-0000F0050000}"/>
    <cellStyle name="_~0039877_Restructuring_Separation_TAX_JuneFC2010 tf_BS_Separation_TaxResIndem_Q12412 tf_Restructuring &amp; Separation_Guidance_Sheet4" xfId="1522" xr:uid="{00000000-0005-0000-0000-0000F1050000}"/>
    <cellStyle name="_~0039877_Restructuring_Separation_TAX_JuneFC2010 tf_BS_Separation_TaxResIndem_Q12412 tf_Restructuring &amp; Separation_II.7. Sep&amp;Discrete" xfId="1523" xr:uid="{00000000-0005-0000-0000-0000F2050000}"/>
    <cellStyle name="_~0039877_Restructuring_Separation_TAX_JuneFC2010 tf_BS_Separation_TaxResIndem_Q12412 tf_Restructuring &amp; Separation_II.7. Sep&amp;Discrete_Guidance" xfId="1524" xr:uid="{00000000-0005-0000-0000-0000F3050000}"/>
    <cellStyle name="_~0039877_Restructuring_Separation_TAX_JuneFC2010 tf_BS_Separation_TaxResIndem_Q12412 tf_Restructuring &amp; Separation_II.7. Sep&amp;Discrete_Guidance 2" xfId="1525" xr:uid="{00000000-0005-0000-0000-0000F4050000}"/>
    <cellStyle name="_~0039877_Restructuring_Separation_TAX_JuneFC2010 tf_BS_Separation_TaxResIndem_Q12412 tf_Restructuring &amp; Separation_II.7. Sep&amp;Discrete_Guidance_BS retrieve" xfId="1526" xr:uid="{00000000-0005-0000-0000-0000F5050000}"/>
    <cellStyle name="_~0039877_Restructuring_Separation_TAX_JuneFC2010 tf_BS_Separation_TaxResIndem_Q12412 tf_Restructuring &amp; Separation_II.7. Sep&amp;Discrete_Guidance_Free CF" xfId="1527" xr:uid="{00000000-0005-0000-0000-0000F6050000}"/>
    <cellStyle name="_~0039877_Restructuring_Separation_TAX_JuneFC2010 tf_BS_Separation_TaxResIndem_Q12412 tf_Restructuring &amp; Separation_II.7. Sep&amp;Discrete_Guidance_P&amp;L Rec Qtr" xfId="1528" xr:uid="{00000000-0005-0000-0000-0000F7050000}"/>
    <cellStyle name="_~0039877_Restructuring_Separation_TAX_JuneFC2010 tf_BS_Separation_TaxResIndem_Q12412 tf_Restructuring &amp; Separation_II.7. Sep&amp;Discrete_Guidance_Sheet1" xfId="1529" xr:uid="{00000000-0005-0000-0000-0000F8050000}"/>
    <cellStyle name="_~0039877_Restructuring_Separation_TAX_JuneFC2010 tf_BS_Separation_TaxResIndem_Q12412 tf_Restructuring &amp; Separation_II.7. Sep&amp;Discrete_Guidance_Sheet2" xfId="1530" xr:uid="{00000000-0005-0000-0000-0000F9050000}"/>
    <cellStyle name="_~0039877_Restructuring_Separation_TAX_JuneFC2010 tf_BS_Separation_TaxResIndem_Q12412 tf_Restructuring &amp; Separation_II.7. Sep&amp;Discrete_Guidance_Sheet3" xfId="1531" xr:uid="{00000000-0005-0000-0000-0000FA050000}"/>
    <cellStyle name="_~0039877_Restructuring_Separation_TAX_JuneFC2010 tf_BS_Separation_TaxResIndem_Q12412 tf_Restructuring &amp; Separation_II.7. Sep&amp;Discrete_Guidance_Sheet4" xfId="1532" xr:uid="{00000000-0005-0000-0000-0000FB050000}"/>
    <cellStyle name="_~0039877_Restructuring_Separation_TAX_JuneFC2010 tf_Guidance" xfId="1533" xr:uid="{00000000-0005-0000-0000-0000FC050000}"/>
    <cellStyle name="_~0039877_Restructuring_Separation_TAX_JuneFC2010 tf_Guidance 2" xfId="1534" xr:uid="{00000000-0005-0000-0000-0000FD050000}"/>
    <cellStyle name="_~0039877_Restructuring_Separation_TAX_JuneFC2010 tf_Guidance_BS retrieve" xfId="1535" xr:uid="{00000000-0005-0000-0000-0000FE050000}"/>
    <cellStyle name="_~0039877_Restructuring_Separation_TAX_JuneFC2010 tf_Guidance_Free CF" xfId="1536" xr:uid="{00000000-0005-0000-0000-0000FF050000}"/>
    <cellStyle name="_~0039877_Restructuring_Separation_TAX_JuneFC2010 tf_Guidance_P&amp;L Rec Qtr" xfId="1537" xr:uid="{00000000-0005-0000-0000-000000060000}"/>
    <cellStyle name="_~0039877_Restructuring_Separation_TAX_JuneFC2010 tf_Guidance_Sheet1" xfId="1538" xr:uid="{00000000-0005-0000-0000-000001060000}"/>
    <cellStyle name="_~0039877_Restructuring_Separation_TAX_JuneFC2010 tf_Guidance_Sheet2" xfId="1539" xr:uid="{00000000-0005-0000-0000-000002060000}"/>
    <cellStyle name="_~0039877_Restructuring_Separation_TAX_JuneFC2010 tf_Guidance_Sheet3" xfId="1540" xr:uid="{00000000-0005-0000-0000-000003060000}"/>
    <cellStyle name="_~0039877_Restructuring_Separation_TAX_JuneFC2010 tf_Guidance_Sheet4" xfId="1541" xr:uid="{00000000-0005-0000-0000-000004060000}"/>
    <cellStyle name="_~0039877_Restructuring_Separation_TAX_JuneFC2010 tf_II.7. Sep&amp;Discrete" xfId="1542" xr:uid="{00000000-0005-0000-0000-000005060000}"/>
    <cellStyle name="_~0039877_Restructuring_Separation_TAX_JuneFC2010 tf_II.7. Sep&amp;Discrete_Guidance" xfId="1543" xr:uid="{00000000-0005-0000-0000-000006060000}"/>
    <cellStyle name="_~0039877_Restructuring_Separation_TAX_JuneFC2010 tf_II.7. Sep&amp;Discrete_Guidance 2" xfId="1544" xr:uid="{00000000-0005-0000-0000-000007060000}"/>
    <cellStyle name="_~0039877_Restructuring_Separation_TAX_JuneFC2010 tf_II.7. Sep&amp;Discrete_Guidance_BS retrieve" xfId="1545" xr:uid="{00000000-0005-0000-0000-000008060000}"/>
    <cellStyle name="_~0039877_Restructuring_Separation_TAX_JuneFC2010 tf_II.7. Sep&amp;Discrete_Guidance_Free CF" xfId="1546" xr:uid="{00000000-0005-0000-0000-000009060000}"/>
    <cellStyle name="_~0039877_Restructuring_Separation_TAX_JuneFC2010 tf_II.7. Sep&amp;Discrete_Guidance_P&amp;L Rec Qtr" xfId="1547" xr:uid="{00000000-0005-0000-0000-00000A060000}"/>
    <cellStyle name="_~0039877_Restructuring_Separation_TAX_JuneFC2010 tf_II.7. Sep&amp;Discrete_Guidance_Sheet1" xfId="1548" xr:uid="{00000000-0005-0000-0000-00000B060000}"/>
    <cellStyle name="_~0039877_Restructuring_Separation_TAX_JuneFC2010 tf_II.7. Sep&amp;Discrete_Guidance_Sheet2" xfId="1549" xr:uid="{00000000-0005-0000-0000-00000C060000}"/>
    <cellStyle name="_~0039877_Restructuring_Separation_TAX_JuneFC2010 tf_II.7. Sep&amp;Discrete_Guidance_Sheet3" xfId="1550" xr:uid="{00000000-0005-0000-0000-00000D060000}"/>
    <cellStyle name="_~0039877_Restructuring_Separation_TAX_JuneFC2010 tf_II.7. Sep&amp;Discrete_Guidance_Sheet4" xfId="1551" xr:uid="{00000000-0005-0000-0000-00000E060000}"/>
    <cellStyle name="_~0039877_Restructuring_Separation_TAX_JuneFC2010 tf_II.8. Sep&amp;Discrete" xfId="1552" xr:uid="{00000000-0005-0000-0000-00000F060000}"/>
    <cellStyle name="_~0039877_Restructuring_Separation_TAX_JuneFC2010 tf_II.8. Sep&amp;Discrete_Guidance" xfId="1553" xr:uid="{00000000-0005-0000-0000-000010060000}"/>
    <cellStyle name="_~0039877_Restructuring_Separation_TAX_JuneFC2010 tf_II.8. Sep&amp;Discrete_Guidance 2" xfId="1554" xr:uid="{00000000-0005-0000-0000-000011060000}"/>
    <cellStyle name="_~0039877_Restructuring_Separation_TAX_JuneFC2010 tf_II.8. Sep&amp;Discrete_Guidance_BS retrieve" xfId="1555" xr:uid="{00000000-0005-0000-0000-000012060000}"/>
    <cellStyle name="_~0039877_Restructuring_Separation_TAX_JuneFC2010 tf_II.8. Sep&amp;Discrete_Guidance_Free CF" xfId="1556" xr:uid="{00000000-0005-0000-0000-000013060000}"/>
    <cellStyle name="_~0039877_Restructuring_Separation_TAX_JuneFC2010 tf_II.8. Sep&amp;Discrete_Guidance_P&amp;L Rec Qtr" xfId="1557" xr:uid="{00000000-0005-0000-0000-000014060000}"/>
    <cellStyle name="_~0039877_Restructuring_Separation_TAX_JuneFC2010 tf_II.8. Sep&amp;Discrete_Guidance_Sheet1" xfId="1558" xr:uid="{00000000-0005-0000-0000-000015060000}"/>
    <cellStyle name="_~0039877_Restructuring_Separation_TAX_JuneFC2010 tf_II.8. Sep&amp;Discrete_Guidance_Sheet2" xfId="1559" xr:uid="{00000000-0005-0000-0000-000016060000}"/>
    <cellStyle name="_~0039877_Restructuring_Separation_TAX_JuneFC2010 tf_II.8. Sep&amp;Discrete_Guidance_Sheet3" xfId="1560" xr:uid="{00000000-0005-0000-0000-000017060000}"/>
    <cellStyle name="_~0039877_Restructuring_Separation_TAX_JuneFC2010 tf_II.8. Sep&amp;Discrete_Guidance_Sheet4" xfId="1561" xr:uid="{00000000-0005-0000-0000-000018060000}"/>
    <cellStyle name="_~0039877_Restructuring_Separation_TAX_JuneFC2010 tf_Restructuring &amp; Separation" xfId="1562" xr:uid="{00000000-0005-0000-0000-000019060000}"/>
    <cellStyle name="_~0039877_Restructuring_Separation_TAX_JuneFC2010 tf_Restructuring &amp; Separation_Guidance" xfId="1563" xr:uid="{00000000-0005-0000-0000-00001A060000}"/>
    <cellStyle name="_~0039877_Restructuring_Separation_TAX_JuneFC2010 tf_Restructuring &amp; Separation_Guidance 2" xfId="1564" xr:uid="{00000000-0005-0000-0000-00001B060000}"/>
    <cellStyle name="_~0039877_Restructuring_Separation_TAX_JuneFC2010 tf_Restructuring &amp; Separation_Guidance_BS retrieve" xfId="1565" xr:uid="{00000000-0005-0000-0000-00001C060000}"/>
    <cellStyle name="_~0039877_Restructuring_Separation_TAX_JuneFC2010 tf_Restructuring &amp; Separation_Guidance_Free CF" xfId="1566" xr:uid="{00000000-0005-0000-0000-00001D060000}"/>
    <cellStyle name="_~0039877_Restructuring_Separation_TAX_JuneFC2010 tf_Restructuring &amp; Separation_Guidance_P&amp;L Rec Qtr" xfId="1567" xr:uid="{00000000-0005-0000-0000-00001E060000}"/>
    <cellStyle name="_~0039877_Restructuring_Separation_TAX_JuneFC2010 tf_Restructuring &amp; Separation_Guidance_Sheet1" xfId="1568" xr:uid="{00000000-0005-0000-0000-00001F060000}"/>
    <cellStyle name="_~0039877_Restructuring_Separation_TAX_JuneFC2010 tf_Restructuring &amp; Separation_Guidance_Sheet2" xfId="1569" xr:uid="{00000000-0005-0000-0000-000020060000}"/>
    <cellStyle name="_~0039877_Restructuring_Separation_TAX_JuneFC2010 tf_Restructuring &amp; Separation_Guidance_Sheet3" xfId="1570" xr:uid="{00000000-0005-0000-0000-000021060000}"/>
    <cellStyle name="_~0039877_Restructuring_Separation_TAX_JuneFC2010 tf_Restructuring &amp; Separation_Guidance_Sheet4" xfId="1571" xr:uid="{00000000-0005-0000-0000-000022060000}"/>
    <cellStyle name="_~0039877_Restructuring_Separation_TAX_JuneFC2010 tf_Restructuring &amp; Separation_II.7. Sep&amp;Discrete" xfId="1572" xr:uid="{00000000-0005-0000-0000-000023060000}"/>
    <cellStyle name="_~0039877_Restructuring_Separation_TAX_JuneFC2010 tf_Restructuring &amp; Separation_II.7. Sep&amp;Discrete_Guidance" xfId="1573" xr:uid="{00000000-0005-0000-0000-000024060000}"/>
    <cellStyle name="_~0039877_Restructuring_Separation_TAX_JuneFC2010 tf_Restructuring &amp; Separation_II.7. Sep&amp;Discrete_Guidance 2" xfId="1574" xr:uid="{00000000-0005-0000-0000-000025060000}"/>
    <cellStyle name="_~0039877_Restructuring_Separation_TAX_JuneFC2010 tf_Restructuring &amp; Separation_II.7. Sep&amp;Discrete_Guidance_BS retrieve" xfId="1575" xr:uid="{00000000-0005-0000-0000-000026060000}"/>
    <cellStyle name="_~0039877_Restructuring_Separation_TAX_JuneFC2010 tf_Restructuring &amp; Separation_II.7. Sep&amp;Discrete_Guidance_Free CF" xfId="1576" xr:uid="{00000000-0005-0000-0000-000027060000}"/>
    <cellStyle name="_~0039877_Restructuring_Separation_TAX_JuneFC2010 tf_Restructuring &amp; Separation_II.7. Sep&amp;Discrete_Guidance_P&amp;L Rec Qtr" xfId="1577" xr:uid="{00000000-0005-0000-0000-000028060000}"/>
    <cellStyle name="_~0039877_Restructuring_Separation_TAX_JuneFC2010 tf_Restructuring &amp; Separation_II.7. Sep&amp;Discrete_Guidance_Sheet1" xfId="1578" xr:uid="{00000000-0005-0000-0000-000029060000}"/>
    <cellStyle name="_~0039877_Restructuring_Separation_TAX_JuneFC2010 tf_Restructuring &amp; Separation_II.7. Sep&amp;Discrete_Guidance_Sheet2" xfId="1579" xr:uid="{00000000-0005-0000-0000-00002A060000}"/>
    <cellStyle name="_~0039877_Restructuring_Separation_TAX_JuneFC2010 tf_Restructuring &amp; Separation_II.7. Sep&amp;Discrete_Guidance_Sheet3" xfId="1580" xr:uid="{00000000-0005-0000-0000-00002B060000}"/>
    <cellStyle name="_~0039877_Restructuring_Separation_TAX_JuneFC2010 tf_Restructuring &amp; Separation_II.7. Sep&amp;Discrete_Guidance_Sheet4" xfId="1581" xr:uid="{00000000-0005-0000-0000-00002C060000}"/>
    <cellStyle name="_041005 Exhibit 4C v1" xfId="1582" xr:uid="{00000000-0005-0000-0000-00002D060000}"/>
    <cellStyle name="_041005 Exhibit 4C v1_BS_Separation_TaxResIndem_Q12412 tf" xfId="1583" xr:uid="{00000000-0005-0000-0000-00002E060000}"/>
    <cellStyle name="_041005 Exhibit 4C v1_BS_Separation_TaxResIndem_Q12412 tf_Guidance" xfId="1584" xr:uid="{00000000-0005-0000-0000-00002F060000}"/>
    <cellStyle name="_041005 Exhibit 4C v1_BS_Separation_TaxResIndem_Q12412 tf_Guidance 2" xfId="1585" xr:uid="{00000000-0005-0000-0000-000030060000}"/>
    <cellStyle name="_041005 Exhibit 4C v1_BS_Separation_TaxResIndem_Q12412 tf_Guidance_BS retrieve" xfId="1586" xr:uid="{00000000-0005-0000-0000-000031060000}"/>
    <cellStyle name="_041005 Exhibit 4C v1_BS_Separation_TaxResIndem_Q12412 tf_Guidance_Free CF" xfId="1587" xr:uid="{00000000-0005-0000-0000-000032060000}"/>
    <cellStyle name="_041005 Exhibit 4C v1_BS_Separation_TaxResIndem_Q12412 tf_Guidance_P&amp;L Rec Qtr" xfId="1588" xr:uid="{00000000-0005-0000-0000-000033060000}"/>
    <cellStyle name="_041005 Exhibit 4C v1_BS_Separation_TaxResIndem_Q12412 tf_Guidance_Sheet1" xfId="1589" xr:uid="{00000000-0005-0000-0000-000034060000}"/>
    <cellStyle name="_041005 Exhibit 4C v1_BS_Separation_TaxResIndem_Q12412 tf_Guidance_Sheet2" xfId="1590" xr:uid="{00000000-0005-0000-0000-000035060000}"/>
    <cellStyle name="_041005 Exhibit 4C v1_BS_Separation_TaxResIndem_Q12412 tf_Guidance_Sheet3" xfId="1591" xr:uid="{00000000-0005-0000-0000-000036060000}"/>
    <cellStyle name="_041005 Exhibit 4C v1_BS_Separation_TaxResIndem_Q12412 tf_Guidance_Sheet4" xfId="1592" xr:uid="{00000000-0005-0000-0000-000037060000}"/>
    <cellStyle name="_041005 Exhibit 4C v1_BS_Separation_TaxResIndem_Q12412 tf_II.7. Sep&amp;Discrete" xfId="1593" xr:uid="{00000000-0005-0000-0000-000038060000}"/>
    <cellStyle name="_041005 Exhibit 4C v1_BS_Separation_TaxResIndem_Q12412 tf_II.7. Sep&amp;Discrete_Guidance" xfId="1594" xr:uid="{00000000-0005-0000-0000-000039060000}"/>
    <cellStyle name="_041005 Exhibit 4C v1_BS_Separation_TaxResIndem_Q12412 tf_II.7. Sep&amp;Discrete_Guidance 2" xfId="1595" xr:uid="{00000000-0005-0000-0000-00003A060000}"/>
    <cellStyle name="_041005 Exhibit 4C v1_BS_Separation_TaxResIndem_Q12412 tf_II.7. Sep&amp;Discrete_Guidance_BS retrieve" xfId="1596" xr:uid="{00000000-0005-0000-0000-00003B060000}"/>
    <cellStyle name="_041005 Exhibit 4C v1_BS_Separation_TaxResIndem_Q12412 tf_II.7. Sep&amp;Discrete_Guidance_Free CF" xfId="1597" xr:uid="{00000000-0005-0000-0000-00003C060000}"/>
    <cellStyle name="_041005 Exhibit 4C v1_BS_Separation_TaxResIndem_Q12412 tf_II.7. Sep&amp;Discrete_Guidance_P&amp;L Rec Qtr" xfId="1598" xr:uid="{00000000-0005-0000-0000-00003D060000}"/>
    <cellStyle name="_041005 Exhibit 4C v1_BS_Separation_TaxResIndem_Q12412 tf_II.7. Sep&amp;Discrete_Guidance_Sheet1" xfId="1599" xr:uid="{00000000-0005-0000-0000-00003E060000}"/>
    <cellStyle name="_041005 Exhibit 4C v1_BS_Separation_TaxResIndem_Q12412 tf_II.7. Sep&amp;Discrete_Guidance_Sheet2" xfId="1600" xr:uid="{00000000-0005-0000-0000-00003F060000}"/>
    <cellStyle name="_041005 Exhibit 4C v1_BS_Separation_TaxResIndem_Q12412 tf_II.7. Sep&amp;Discrete_Guidance_Sheet3" xfId="1601" xr:uid="{00000000-0005-0000-0000-000040060000}"/>
    <cellStyle name="_041005 Exhibit 4C v1_BS_Separation_TaxResIndem_Q12412 tf_II.7. Sep&amp;Discrete_Guidance_Sheet4" xfId="1602" xr:uid="{00000000-0005-0000-0000-000041060000}"/>
    <cellStyle name="_041005 Exhibit 4C v1_BS_Separation_TaxResIndem_Q12412 tf_Restructuring &amp; Separation" xfId="1603" xr:uid="{00000000-0005-0000-0000-000042060000}"/>
    <cellStyle name="_041005 Exhibit 4C v1_BS_Separation_TaxResIndem_Q12412 tf_Restructuring &amp; Separation_Guidance" xfId="1604" xr:uid="{00000000-0005-0000-0000-000043060000}"/>
    <cellStyle name="_041005 Exhibit 4C v1_BS_Separation_TaxResIndem_Q12412 tf_Restructuring &amp; Separation_Guidance 2" xfId="1605" xr:uid="{00000000-0005-0000-0000-000044060000}"/>
    <cellStyle name="_041005 Exhibit 4C v1_BS_Separation_TaxResIndem_Q12412 tf_Restructuring &amp; Separation_Guidance_BS retrieve" xfId="1606" xr:uid="{00000000-0005-0000-0000-000045060000}"/>
    <cellStyle name="_041005 Exhibit 4C v1_BS_Separation_TaxResIndem_Q12412 tf_Restructuring &amp; Separation_Guidance_Free CF" xfId="1607" xr:uid="{00000000-0005-0000-0000-000046060000}"/>
    <cellStyle name="_041005 Exhibit 4C v1_BS_Separation_TaxResIndem_Q12412 tf_Restructuring &amp; Separation_Guidance_P&amp;L Rec Qtr" xfId="1608" xr:uid="{00000000-0005-0000-0000-000047060000}"/>
    <cellStyle name="_041005 Exhibit 4C v1_BS_Separation_TaxResIndem_Q12412 tf_Restructuring &amp; Separation_Guidance_Sheet1" xfId="1609" xr:uid="{00000000-0005-0000-0000-000048060000}"/>
    <cellStyle name="_041005 Exhibit 4C v1_BS_Separation_TaxResIndem_Q12412 tf_Restructuring &amp; Separation_Guidance_Sheet2" xfId="1610" xr:uid="{00000000-0005-0000-0000-000049060000}"/>
    <cellStyle name="_041005 Exhibit 4C v1_BS_Separation_TaxResIndem_Q12412 tf_Restructuring &amp; Separation_Guidance_Sheet3" xfId="1611" xr:uid="{00000000-0005-0000-0000-00004A060000}"/>
    <cellStyle name="_041005 Exhibit 4C v1_BS_Separation_TaxResIndem_Q12412 tf_Restructuring &amp; Separation_Guidance_Sheet4" xfId="1612" xr:uid="{00000000-0005-0000-0000-00004B060000}"/>
    <cellStyle name="_041005 Exhibit 4C v1_BS_Separation_TaxResIndem_Q12412 tf_Restructuring &amp; Separation_II.7. Sep&amp;Discrete" xfId="1613" xr:uid="{00000000-0005-0000-0000-00004C060000}"/>
    <cellStyle name="_041005 Exhibit 4C v1_BS_Separation_TaxResIndem_Q12412 tf_Restructuring &amp; Separation_II.7. Sep&amp;Discrete_Guidance" xfId="1614" xr:uid="{00000000-0005-0000-0000-00004D060000}"/>
    <cellStyle name="_041005 Exhibit 4C v1_BS_Separation_TaxResIndem_Q12412 tf_Restructuring &amp; Separation_II.7. Sep&amp;Discrete_Guidance 2" xfId="1615" xr:uid="{00000000-0005-0000-0000-00004E060000}"/>
    <cellStyle name="_041005 Exhibit 4C v1_BS_Separation_TaxResIndem_Q12412 tf_Restructuring &amp; Separation_II.7. Sep&amp;Discrete_Guidance_BS retrieve" xfId="1616" xr:uid="{00000000-0005-0000-0000-00004F060000}"/>
    <cellStyle name="_041005 Exhibit 4C v1_BS_Separation_TaxResIndem_Q12412 tf_Restructuring &amp; Separation_II.7. Sep&amp;Discrete_Guidance_Free CF" xfId="1617" xr:uid="{00000000-0005-0000-0000-000050060000}"/>
    <cellStyle name="_041005 Exhibit 4C v1_BS_Separation_TaxResIndem_Q12412 tf_Restructuring &amp; Separation_II.7. Sep&amp;Discrete_Guidance_P&amp;L Rec Qtr" xfId="1618" xr:uid="{00000000-0005-0000-0000-000051060000}"/>
    <cellStyle name="_041005 Exhibit 4C v1_BS_Separation_TaxResIndem_Q12412 tf_Restructuring &amp; Separation_II.7. Sep&amp;Discrete_Guidance_Sheet1" xfId="1619" xr:uid="{00000000-0005-0000-0000-000052060000}"/>
    <cellStyle name="_041005 Exhibit 4C v1_BS_Separation_TaxResIndem_Q12412 tf_Restructuring &amp; Separation_II.7. Sep&amp;Discrete_Guidance_Sheet2" xfId="1620" xr:uid="{00000000-0005-0000-0000-000053060000}"/>
    <cellStyle name="_041005 Exhibit 4C v1_BS_Separation_TaxResIndem_Q12412 tf_Restructuring &amp; Separation_II.7. Sep&amp;Discrete_Guidance_Sheet3" xfId="1621" xr:uid="{00000000-0005-0000-0000-000054060000}"/>
    <cellStyle name="_041005 Exhibit 4C v1_BS_Separation_TaxResIndem_Q12412 tf_Restructuring &amp; Separation_II.7. Sep&amp;Discrete_Guidance_Sheet4" xfId="1622" xr:uid="{00000000-0005-0000-0000-000055060000}"/>
    <cellStyle name="_041005 Exhibit 4C v1_Deferred tax MarchFC 2011" xfId="1623" xr:uid="{00000000-0005-0000-0000-000056060000}"/>
    <cellStyle name="_041005 Exhibit 4C v1_Deferred tax MarchFC 2011_BS_Separation_TaxResIndem_Q12412 tf" xfId="1624" xr:uid="{00000000-0005-0000-0000-000057060000}"/>
    <cellStyle name="_041005 Exhibit 4C v1_Deferred tax MarchFC 2011_BS_Separation_TaxResIndem_Q12412 tf_Guidance" xfId="1625" xr:uid="{00000000-0005-0000-0000-000058060000}"/>
    <cellStyle name="_041005 Exhibit 4C v1_Deferred tax MarchFC 2011_BS_Separation_TaxResIndem_Q12412 tf_Guidance 2" xfId="1626" xr:uid="{00000000-0005-0000-0000-000059060000}"/>
    <cellStyle name="_041005 Exhibit 4C v1_Deferred tax MarchFC 2011_BS_Separation_TaxResIndem_Q12412 tf_Guidance_BS retrieve" xfId="1627" xr:uid="{00000000-0005-0000-0000-00005A060000}"/>
    <cellStyle name="_041005 Exhibit 4C v1_Deferred tax MarchFC 2011_BS_Separation_TaxResIndem_Q12412 tf_Guidance_Free CF" xfId="1628" xr:uid="{00000000-0005-0000-0000-00005B060000}"/>
    <cellStyle name="_041005 Exhibit 4C v1_Deferred tax MarchFC 2011_BS_Separation_TaxResIndem_Q12412 tf_Guidance_P&amp;L Rec Qtr" xfId="1629" xr:uid="{00000000-0005-0000-0000-00005C060000}"/>
    <cellStyle name="_041005 Exhibit 4C v1_Deferred tax MarchFC 2011_BS_Separation_TaxResIndem_Q12412 tf_Guidance_Sheet1" xfId="1630" xr:uid="{00000000-0005-0000-0000-00005D060000}"/>
    <cellStyle name="_041005 Exhibit 4C v1_Deferred tax MarchFC 2011_BS_Separation_TaxResIndem_Q12412 tf_Guidance_Sheet2" xfId="1631" xr:uid="{00000000-0005-0000-0000-00005E060000}"/>
    <cellStyle name="_041005 Exhibit 4C v1_Deferred tax MarchFC 2011_BS_Separation_TaxResIndem_Q12412 tf_Guidance_Sheet3" xfId="1632" xr:uid="{00000000-0005-0000-0000-00005F060000}"/>
    <cellStyle name="_041005 Exhibit 4C v1_Deferred tax MarchFC 2011_BS_Separation_TaxResIndem_Q12412 tf_Guidance_Sheet4" xfId="1633" xr:uid="{00000000-0005-0000-0000-000060060000}"/>
    <cellStyle name="_041005 Exhibit 4C v1_Deferred tax MarchFC 2011_BS_Separation_TaxResIndem_Q12412 tf_II.7. Sep&amp;Discrete" xfId="1634" xr:uid="{00000000-0005-0000-0000-000061060000}"/>
    <cellStyle name="_041005 Exhibit 4C v1_Deferred tax MarchFC 2011_BS_Separation_TaxResIndem_Q12412 tf_II.7. Sep&amp;Discrete_Guidance" xfId="1635" xr:uid="{00000000-0005-0000-0000-000062060000}"/>
    <cellStyle name="_041005 Exhibit 4C v1_Deferred tax MarchFC 2011_BS_Separation_TaxResIndem_Q12412 tf_II.7. Sep&amp;Discrete_Guidance 2" xfId="1636" xr:uid="{00000000-0005-0000-0000-000063060000}"/>
    <cellStyle name="_041005 Exhibit 4C v1_Deferred tax MarchFC 2011_BS_Separation_TaxResIndem_Q12412 tf_II.7. Sep&amp;Discrete_Guidance_BS retrieve" xfId="1637" xr:uid="{00000000-0005-0000-0000-000064060000}"/>
    <cellStyle name="_041005 Exhibit 4C v1_Deferred tax MarchFC 2011_BS_Separation_TaxResIndem_Q12412 tf_II.7. Sep&amp;Discrete_Guidance_Free CF" xfId="1638" xr:uid="{00000000-0005-0000-0000-000065060000}"/>
    <cellStyle name="_041005 Exhibit 4C v1_Deferred tax MarchFC 2011_BS_Separation_TaxResIndem_Q12412 tf_II.7. Sep&amp;Discrete_Guidance_P&amp;L Rec Qtr" xfId="1639" xr:uid="{00000000-0005-0000-0000-000066060000}"/>
    <cellStyle name="_041005 Exhibit 4C v1_Deferred tax MarchFC 2011_BS_Separation_TaxResIndem_Q12412 tf_II.7. Sep&amp;Discrete_Guidance_Sheet1" xfId="1640" xr:uid="{00000000-0005-0000-0000-000067060000}"/>
    <cellStyle name="_041005 Exhibit 4C v1_Deferred tax MarchFC 2011_BS_Separation_TaxResIndem_Q12412 tf_II.7. Sep&amp;Discrete_Guidance_Sheet2" xfId="1641" xr:uid="{00000000-0005-0000-0000-000068060000}"/>
    <cellStyle name="_041005 Exhibit 4C v1_Deferred tax MarchFC 2011_BS_Separation_TaxResIndem_Q12412 tf_II.7. Sep&amp;Discrete_Guidance_Sheet3" xfId="1642" xr:uid="{00000000-0005-0000-0000-000069060000}"/>
    <cellStyle name="_041005 Exhibit 4C v1_Deferred tax MarchFC 2011_BS_Separation_TaxResIndem_Q12412 tf_II.7. Sep&amp;Discrete_Guidance_Sheet4" xfId="1643" xr:uid="{00000000-0005-0000-0000-00006A060000}"/>
    <cellStyle name="_041005 Exhibit 4C v1_Deferred tax MarchFC 2011_BS_Separation_TaxResIndem_Q12412 tf_Restructuring &amp; Separation" xfId="1644" xr:uid="{00000000-0005-0000-0000-00006B060000}"/>
    <cellStyle name="_041005 Exhibit 4C v1_Deferred tax MarchFC 2011_BS_Separation_TaxResIndem_Q12412 tf_Restructuring &amp; Separation_Guidance" xfId="1645" xr:uid="{00000000-0005-0000-0000-00006C060000}"/>
    <cellStyle name="_041005 Exhibit 4C v1_Deferred tax MarchFC 2011_BS_Separation_TaxResIndem_Q12412 tf_Restructuring &amp; Separation_Guidance 2" xfId="1646" xr:uid="{00000000-0005-0000-0000-00006D060000}"/>
    <cellStyle name="_041005 Exhibit 4C v1_Deferred tax MarchFC 2011_BS_Separation_TaxResIndem_Q12412 tf_Restructuring &amp; Separation_Guidance_BS retrieve" xfId="1647" xr:uid="{00000000-0005-0000-0000-00006E060000}"/>
    <cellStyle name="_041005 Exhibit 4C v1_Deferred tax MarchFC 2011_BS_Separation_TaxResIndem_Q12412 tf_Restructuring &amp; Separation_Guidance_Free CF" xfId="1648" xr:uid="{00000000-0005-0000-0000-00006F060000}"/>
    <cellStyle name="_041005 Exhibit 4C v1_Deferred tax MarchFC 2011_BS_Separation_TaxResIndem_Q12412 tf_Restructuring &amp; Separation_Guidance_P&amp;L Rec Qtr" xfId="1649" xr:uid="{00000000-0005-0000-0000-000070060000}"/>
    <cellStyle name="_041005 Exhibit 4C v1_Deferred tax MarchFC 2011_BS_Separation_TaxResIndem_Q12412 tf_Restructuring &amp; Separation_Guidance_Sheet1" xfId="1650" xr:uid="{00000000-0005-0000-0000-000071060000}"/>
    <cellStyle name="_041005 Exhibit 4C v1_Deferred tax MarchFC 2011_BS_Separation_TaxResIndem_Q12412 tf_Restructuring &amp; Separation_Guidance_Sheet2" xfId="1651" xr:uid="{00000000-0005-0000-0000-000072060000}"/>
    <cellStyle name="_041005 Exhibit 4C v1_Deferred tax MarchFC 2011_BS_Separation_TaxResIndem_Q12412 tf_Restructuring &amp; Separation_Guidance_Sheet3" xfId="1652" xr:uid="{00000000-0005-0000-0000-000073060000}"/>
    <cellStyle name="_041005 Exhibit 4C v1_Deferred tax MarchFC 2011_BS_Separation_TaxResIndem_Q12412 tf_Restructuring &amp; Separation_Guidance_Sheet4" xfId="1653" xr:uid="{00000000-0005-0000-0000-000074060000}"/>
    <cellStyle name="_041005 Exhibit 4C v1_Deferred tax MarchFC 2011_BS_Separation_TaxResIndem_Q12412 tf_Restructuring &amp; Separation_II.7. Sep&amp;Discrete" xfId="1654" xr:uid="{00000000-0005-0000-0000-000075060000}"/>
    <cellStyle name="_041005 Exhibit 4C v1_Deferred tax MarchFC 2011_BS_Separation_TaxResIndem_Q12412 tf_Restructuring &amp; Separation_II.7. Sep&amp;Discrete_Guidance" xfId="1655" xr:uid="{00000000-0005-0000-0000-000076060000}"/>
    <cellStyle name="_041005 Exhibit 4C v1_Deferred tax MarchFC 2011_BS_Separation_TaxResIndem_Q12412 tf_Restructuring &amp; Separation_II.7. Sep&amp;Discrete_Guidance 2" xfId="1656" xr:uid="{00000000-0005-0000-0000-000077060000}"/>
    <cellStyle name="_041005 Exhibit 4C v1_Deferred tax MarchFC 2011_BS_Separation_TaxResIndem_Q12412 tf_Restructuring &amp; Separation_II.7. Sep&amp;Discrete_Guidance_BS retrieve" xfId="1657" xr:uid="{00000000-0005-0000-0000-000078060000}"/>
    <cellStyle name="_041005 Exhibit 4C v1_Deferred tax MarchFC 2011_BS_Separation_TaxResIndem_Q12412 tf_Restructuring &amp; Separation_II.7. Sep&amp;Discrete_Guidance_Free CF" xfId="1658" xr:uid="{00000000-0005-0000-0000-000079060000}"/>
    <cellStyle name="_041005 Exhibit 4C v1_Deferred tax MarchFC 2011_BS_Separation_TaxResIndem_Q12412 tf_Restructuring &amp; Separation_II.7. Sep&amp;Discrete_Guidance_P&amp;L Rec Qtr" xfId="1659" xr:uid="{00000000-0005-0000-0000-00007A060000}"/>
    <cellStyle name="_041005 Exhibit 4C v1_Deferred tax MarchFC 2011_BS_Separation_TaxResIndem_Q12412 tf_Restructuring &amp; Separation_II.7. Sep&amp;Discrete_Guidance_Sheet1" xfId="1660" xr:uid="{00000000-0005-0000-0000-00007B060000}"/>
    <cellStyle name="_041005 Exhibit 4C v1_Deferred tax MarchFC 2011_BS_Separation_TaxResIndem_Q12412 tf_Restructuring &amp; Separation_II.7. Sep&amp;Discrete_Guidance_Sheet2" xfId="1661" xr:uid="{00000000-0005-0000-0000-00007C060000}"/>
    <cellStyle name="_041005 Exhibit 4C v1_Deferred tax MarchFC 2011_BS_Separation_TaxResIndem_Q12412 tf_Restructuring &amp; Separation_II.7. Sep&amp;Discrete_Guidance_Sheet3" xfId="1662" xr:uid="{00000000-0005-0000-0000-00007D060000}"/>
    <cellStyle name="_041005 Exhibit 4C v1_Deferred tax MarchFC 2011_BS_Separation_TaxResIndem_Q12412 tf_Restructuring &amp; Separation_II.7. Sep&amp;Discrete_Guidance_Sheet4" xfId="1663" xr:uid="{00000000-0005-0000-0000-00007E060000}"/>
    <cellStyle name="_041005 Exhibit 4C v1_Deferred tax MarchFC 2011_Guidance" xfId="1664" xr:uid="{00000000-0005-0000-0000-00007F060000}"/>
    <cellStyle name="_041005 Exhibit 4C v1_Deferred tax MarchFC 2011_Guidance 2" xfId="1665" xr:uid="{00000000-0005-0000-0000-000080060000}"/>
    <cellStyle name="_041005 Exhibit 4C v1_Deferred tax MarchFC 2011_Guidance_BS retrieve" xfId="1666" xr:uid="{00000000-0005-0000-0000-000081060000}"/>
    <cellStyle name="_041005 Exhibit 4C v1_Deferred tax MarchFC 2011_Guidance_Free CF" xfId="1667" xr:uid="{00000000-0005-0000-0000-000082060000}"/>
    <cellStyle name="_041005 Exhibit 4C v1_Deferred tax MarchFC 2011_Guidance_P&amp;L Rec Qtr" xfId="1668" xr:uid="{00000000-0005-0000-0000-000083060000}"/>
    <cellStyle name="_041005 Exhibit 4C v1_Deferred tax MarchFC 2011_Guidance_Sheet1" xfId="1669" xr:uid="{00000000-0005-0000-0000-000084060000}"/>
    <cellStyle name="_041005 Exhibit 4C v1_Deferred tax MarchFC 2011_Guidance_Sheet2" xfId="1670" xr:uid="{00000000-0005-0000-0000-000085060000}"/>
    <cellStyle name="_041005 Exhibit 4C v1_Deferred tax MarchFC 2011_Guidance_Sheet3" xfId="1671" xr:uid="{00000000-0005-0000-0000-000086060000}"/>
    <cellStyle name="_041005 Exhibit 4C v1_Deferred tax MarchFC 2011_Guidance_Sheet4" xfId="1672" xr:uid="{00000000-0005-0000-0000-000087060000}"/>
    <cellStyle name="_041005 Exhibit 4C v1_Deferred tax MarchFC 2011_II.7. Sep&amp;Discrete" xfId="1673" xr:uid="{00000000-0005-0000-0000-000088060000}"/>
    <cellStyle name="_041005 Exhibit 4C v1_Deferred tax MarchFC 2011_II.7. Sep&amp;Discrete_Guidance" xfId="1674" xr:uid="{00000000-0005-0000-0000-000089060000}"/>
    <cellStyle name="_041005 Exhibit 4C v1_Deferred tax MarchFC 2011_II.7. Sep&amp;Discrete_Guidance 2" xfId="1675" xr:uid="{00000000-0005-0000-0000-00008A060000}"/>
    <cellStyle name="_041005 Exhibit 4C v1_Deferred tax MarchFC 2011_II.7. Sep&amp;Discrete_Guidance_BS retrieve" xfId="1676" xr:uid="{00000000-0005-0000-0000-00008B060000}"/>
    <cellStyle name="_041005 Exhibit 4C v1_Deferred tax MarchFC 2011_II.7. Sep&amp;Discrete_Guidance_Free CF" xfId="1677" xr:uid="{00000000-0005-0000-0000-00008C060000}"/>
    <cellStyle name="_041005 Exhibit 4C v1_Deferred tax MarchFC 2011_II.7. Sep&amp;Discrete_Guidance_P&amp;L Rec Qtr" xfId="1678" xr:uid="{00000000-0005-0000-0000-00008D060000}"/>
    <cellStyle name="_041005 Exhibit 4C v1_Deferred tax MarchFC 2011_II.7. Sep&amp;Discrete_Guidance_Sheet1" xfId="1679" xr:uid="{00000000-0005-0000-0000-00008E060000}"/>
    <cellStyle name="_041005 Exhibit 4C v1_Deferred tax MarchFC 2011_II.7. Sep&amp;Discrete_Guidance_Sheet2" xfId="1680" xr:uid="{00000000-0005-0000-0000-00008F060000}"/>
    <cellStyle name="_041005 Exhibit 4C v1_Deferred tax MarchFC 2011_II.7. Sep&amp;Discrete_Guidance_Sheet3" xfId="1681" xr:uid="{00000000-0005-0000-0000-000090060000}"/>
    <cellStyle name="_041005 Exhibit 4C v1_Deferred tax MarchFC 2011_II.7. Sep&amp;Discrete_Guidance_Sheet4" xfId="1682" xr:uid="{00000000-0005-0000-0000-000091060000}"/>
    <cellStyle name="_041005 Exhibit 4C v1_Deferred tax MarchFC 2011_II.8. Sep&amp;Discrete" xfId="1683" xr:uid="{00000000-0005-0000-0000-000092060000}"/>
    <cellStyle name="_041005 Exhibit 4C v1_Deferred tax MarchFC 2011_II.8. Sep&amp;Discrete_Guidance" xfId="1684" xr:uid="{00000000-0005-0000-0000-000093060000}"/>
    <cellStyle name="_041005 Exhibit 4C v1_Deferred tax MarchFC 2011_II.8. Sep&amp;Discrete_Guidance 2" xfId="1685" xr:uid="{00000000-0005-0000-0000-000094060000}"/>
    <cellStyle name="_041005 Exhibit 4C v1_Deferred tax MarchFC 2011_II.8. Sep&amp;Discrete_Guidance_BS retrieve" xfId="1686" xr:uid="{00000000-0005-0000-0000-000095060000}"/>
    <cellStyle name="_041005 Exhibit 4C v1_Deferred tax MarchFC 2011_II.8. Sep&amp;Discrete_Guidance_Free CF" xfId="1687" xr:uid="{00000000-0005-0000-0000-000096060000}"/>
    <cellStyle name="_041005 Exhibit 4C v1_Deferred tax MarchFC 2011_II.8. Sep&amp;Discrete_Guidance_P&amp;L Rec Qtr" xfId="1688" xr:uid="{00000000-0005-0000-0000-000097060000}"/>
    <cellStyle name="_041005 Exhibit 4C v1_Deferred tax MarchFC 2011_II.8. Sep&amp;Discrete_Guidance_Sheet1" xfId="1689" xr:uid="{00000000-0005-0000-0000-000098060000}"/>
    <cellStyle name="_041005 Exhibit 4C v1_Deferred tax MarchFC 2011_II.8. Sep&amp;Discrete_Guidance_Sheet2" xfId="1690" xr:uid="{00000000-0005-0000-0000-000099060000}"/>
    <cellStyle name="_041005 Exhibit 4C v1_Deferred tax MarchFC 2011_II.8. Sep&amp;Discrete_Guidance_Sheet3" xfId="1691" xr:uid="{00000000-0005-0000-0000-00009A060000}"/>
    <cellStyle name="_041005 Exhibit 4C v1_Deferred tax MarchFC 2011_II.8. Sep&amp;Discrete_Guidance_Sheet4" xfId="1692" xr:uid="{00000000-0005-0000-0000-00009B060000}"/>
    <cellStyle name="_041005 Exhibit 4C v1_Deferred tax MarchFC 2011_Restructuring &amp; Separation" xfId="1693" xr:uid="{00000000-0005-0000-0000-00009C060000}"/>
    <cellStyle name="_041005 Exhibit 4C v1_Deferred tax MarchFC 2011_Restructuring &amp; Separation_Guidance" xfId="1694" xr:uid="{00000000-0005-0000-0000-00009D060000}"/>
    <cellStyle name="_041005 Exhibit 4C v1_Deferred tax MarchFC 2011_Restructuring &amp; Separation_Guidance 2" xfId="1695" xr:uid="{00000000-0005-0000-0000-00009E060000}"/>
    <cellStyle name="_041005 Exhibit 4C v1_Deferred tax MarchFC 2011_Restructuring &amp; Separation_Guidance_BS retrieve" xfId="1696" xr:uid="{00000000-0005-0000-0000-00009F060000}"/>
    <cellStyle name="_041005 Exhibit 4C v1_Deferred tax MarchFC 2011_Restructuring &amp; Separation_Guidance_Free CF" xfId="1697" xr:uid="{00000000-0005-0000-0000-0000A0060000}"/>
    <cellStyle name="_041005 Exhibit 4C v1_Deferred tax MarchFC 2011_Restructuring &amp; Separation_Guidance_P&amp;L Rec Qtr" xfId="1698" xr:uid="{00000000-0005-0000-0000-0000A1060000}"/>
    <cellStyle name="_041005 Exhibit 4C v1_Deferred tax MarchFC 2011_Restructuring &amp; Separation_Guidance_Sheet1" xfId="1699" xr:uid="{00000000-0005-0000-0000-0000A2060000}"/>
    <cellStyle name="_041005 Exhibit 4C v1_Deferred tax MarchFC 2011_Restructuring &amp; Separation_Guidance_Sheet2" xfId="1700" xr:uid="{00000000-0005-0000-0000-0000A3060000}"/>
    <cellStyle name="_041005 Exhibit 4C v1_Deferred tax MarchFC 2011_Restructuring &amp; Separation_Guidance_Sheet3" xfId="1701" xr:uid="{00000000-0005-0000-0000-0000A4060000}"/>
    <cellStyle name="_041005 Exhibit 4C v1_Deferred tax MarchFC 2011_Restructuring &amp; Separation_Guidance_Sheet4" xfId="1702" xr:uid="{00000000-0005-0000-0000-0000A5060000}"/>
    <cellStyle name="_041005 Exhibit 4C v1_Deferred tax MarchFC 2011_Restructuring &amp; Separation_II.7. Sep&amp;Discrete" xfId="1703" xr:uid="{00000000-0005-0000-0000-0000A6060000}"/>
    <cellStyle name="_041005 Exhibit 4C v1_Deferred tax MarchFC 2011_Restructuring &amp; Separation_II.7. Sep&amp;Discrete_Guidance" xfId="1704" xr:uid="{00000000-0005-0000-0000-0000A7060000}"/>
    <cellStyle name="_041005 Exhibit 4C v1_Deferred tax MarchFC 2011_Restructuring &amp; Separation_II.7. Sep&amp;Discrete_Guidance 2" xfId="1705" xr:uid="{00000000-0005-0000-0000-0000A8060000}"/>
    <cellStyle name="_041005 Exhibit 4C v1_Deferred tax MarchFC 2011_Restructuring &amp; Separation_II.7. Sep&amp;Discrete_Guidance_BS retrieve" xfId="1706" xr:uid="{00000000-0005-0000-0000-0000A9060000}"/>
    <cellStyle name="_041005 Exhibit 4C v1_Deferred tax MarchFC 2011_Restructuring &amp; Separation_II.7. Sep&amp;Discrete_Guidance_Free CF" xfId="1707" xr:uid="{00000000-0005-0000-0000-0000AA060000}"/>
    <cellStyle name="_041005 Exhibit 4C v1_Deferred tax MarchFC 2011_Restructuring &amp; Separation_II.7. Sep&amp;Discrete_Guidance_P&amp;L Rec Qtr" xfId="1708" xr:uid="{00000000-0005-0000-0000-0000AB060000}"/>
    <cellStyle name="_041005 Exhibit 4C v1_Deferred tax MarchFC 2011_Restructuring &amp; Separation_II.7. Sep&amp;Discrete_Guidance_Sheet1" xfId="1709" xr:uid="{00000000-0005-0000-0000-0000AC060000}"/>
    <cellStyle name="_041005 Exhibit 4C v1_Deferred tax MarchFC 2011_Restructuring &amp; Separation_II.7. Sep&amp;Discrete_Guidance_Sheet2" xfId="1710" xr:uid="{00000000-0005-0000-0000-0000AD060000}"/>
    <cellStyle name="_041005 Exhibit 4C v1_Deferred tax MarchFC 2011_Restructuring &amp; Separation_II.7. Sep&amp;Discrete_Guidance_Sheet3" xfId="1711" xr:uid="{00000000-0005-0000-0000-0000AE060000}"/>
    <cellStyle name="_041005 Exhibit 4C v1_Deferred tax MarchFC 2011_Restructuring &amp; Separation_II.7. Sep&amp;Discrete_Guidance_Sheet4" xfId="1712" xr:uid="{00000000-0005-0000-0000-0000AF060000}"/>
    <cellStyle name="_041005 Exhibit 4C v1_Guidance" xfId="1713" xr:uid="{00000000-0005-0000-0000-0000B0060000}"/>
    <cellStyle name="_041005 Exhibit 4C v1_Guidance 2" xfId="1714" xr:uid="{00000000-0005-0000-0000-0000B1060000}"/>
    <cellStyle name="_041005 Exhibit 4C v1_Guidance_BS retrieve" xfId="1715" xr:uid="{00000000-0005-0000-0000-0000B2060000}"/>
    <cellStyle name="_041005 Exhibit 4C v1_Guidance_Free CF" xfId="1716" xr:uid="{00000000-0005-0000-0000-0000B3060000}"/>
    <cellStyle name="_041005 Exhibit 4C v1_Guidance_P&amp;L Rec Qtr" xfId="1717" xr:uid="{00000000-0005-0000-0000-0000B4060000}"/>
    <cellStyle name="_041005 Exhibit 4C v1_Guidance_Sheet1" xfId="1718" xr:uid="{00000000-0005-0000-0000-0000B5060000}"/>
    <cellStyle name="_041005 Exhibit 4C v1_Guidance_Sheet2" xfId="1719" xr:uid="{00000000-0005-0000-0000-0000B6060000}"/>
    <cellStyle name="_041005 Exhibit 4C v1_Guidance_Sheet3" xfId="1720" xr:uid="{00000000-0005-0000-0000-0000B7060000}"/>
    <cellStyle name="_041005 Exhibit 4C v1_Guidance_Sheet4" xfId="1721" xr:uid="{00000000-0005-0000-0000-0000B8060000}"/>
    <cellStyle name="_041005 Exhibit 4C v1_II.7. Sep&amp;Discrete" xfId="1722" xr:uid="{00000000-0005-0000-0000-0000B9060000}"/>
    <cellStyle name="_041005 Exhibit 4C v1_II.7. Sep&amp;Discrete_Guidance" xfId="1723" xr:uid="{00000000-0005-0000-0000-0000BA060000}"/>
    <cellStyle name="_041005 Exhibit 4C v1_II.7. Sep&amp;Discrete_Guidance 2" xfId="1724" xr:uid="{00000000-0005-0000-0000-0000BB060000}"/>
    <cellStyle name="_041005 Exhibit 4C v1_II.7. Sep&amp;Discrete_Guidance_BS retrieve" xfId="1725" xr:uid="{00000000-0005-0000-0000-0000BC060000}"/>
    <cellStyle name="_041005 Exhibit 4C v1_II.7. Sep&amp;Discrete_Guidance_Free CF" xfId="1726" xr:uid="{00000000-0005-0000-0000-0000BD060000}"/>
    <cellStyle name="_041005 Exhibit 4C v1_II.7. Sep&amp;Discrete_Guidance_P&amp;L Rec Qtr" xfId="1727" xr:uid="{00000000-0005-0000-0000-0000BE060000}"/>
    <cellStyle name="_041005 Exhibit 4C v1_II.7. Sep&amp;Discrete_Guidance_Sheet1" xfId="1728" xr:uid="{00000000-0005-0000-0000-0000BF060000}"/>
    <cellStyle name="_041005 Exhibit 4C v1_II.7. Sep&amp;Discrete_Guidance_Sheet2" xfId="1729" xr:uid="{00000000-0005-0000-0000-0000C0060000}"/>
    <cellStyle name="_041005 Exhibit 4C v1_II.7. Sep&amp;Discrete_Guidance_Sheet3" xfId="1730" xr:uid="{00000000-0005-0000-0000-0000C1060000}"/>
    <cellStyle name="_041005 Exhibit 4C v1_II.7. Sep&amp;Discrete_Guidance_Sheet4" xfId="1731" xr:uid="{00000000-0005-0000-0000-0000C2060000}"/>
    <cellStyle name="_041005 Exhibit 4C v1_II.8. Sep&amp;Discrete" xfId="1732" xr:uid="{00000000-0005-0000-0000-0000C3060000}"/>
    <cellStyle name="_041005 Exhibit 4C v1_II.8. Sep&amp;Discrete_Guidance" xfId="1733" xr:uid="{00000000-0005-0000-0000-0000C4060000}"/>
    <cellStyle name="_041005 Exhibit 4C v1_II.8. Sep&amp;Discrete_Guidance 2" xfId="1734" xr:uid="{00000000-0005-0000-0000-0000C5060000}"/>
    <cellStyle name="_041005 Exhibit 4C v1_II.8. Sep&amp;Discrete_Guidance_BS retrieve" xfId="1735" xr:uid="{00000000-0005-0000-0000-0000C6060000}"/>
    <cellStyle name="_041005 Exhibit 4C v1_II.8. Sep&amp;Discrete_Guidance_Free CF" xfId="1736" xr:uid="{00000000-0005-0000-0000-0000C7060000}"/>
    <cellStyle name="_041005 Exhibit 4C v1_II.8. Sep&amp;Discrete_Guidance_P&amp;L Rec Qtr" xfId="1737" xr:uid="{00000000-0005-0000-0000-0000C8060000}"/>
    <cellStyle name="_041005 Exhibit 4C v1_II.8. Sep&amp;Discrete_Guidance_Sheet1" xfId="1738" xr:uid="{00000000-0005-0000-0000-0000C9060000}"/>
    <cellStyle name="_041005 Exhibit 4C v1_II.8. Sep&amp;Discrete_Guidance_Sheet2" xfId="1739" xr:uid="{00000000-0005-0000-0000-0000CA060000}"/>
    <cellStyle name="_041005 Exhibit 4C v1_II.8. Sep&amp;Discrete_Guidance_Sheet3" xfId="1740" xr:uid="{00000000-0005-0000-0000-0000CB060000}"/>
    <cellStyle name="_041005 Exhibit 4C v1_II.8. Sep&amp;Discrete_Guidance_Sheet4" xfId="1741" xr:uid="{00000000-0005-0000-0000-0000CC060000}"/>
    <cellStyle name="_041005 Exhibit 4C v1_Restructuring &amp; Separation" xfId="1742" xr:uid="{00000000-0005-0000-0000-0000CD060000}"/>
    <cellStyle name="_041005 Exhibit 4C v1_Restructuring &amp; Separation_Guidance" xfId="1743" xr:uid="{00000000-0005-0000-0000-0000CE060000}"/>
    <cellStyle name="_041005 Exhibit 4C v1_Restructuring &amp; Separation_Guidance 2" xfId="1744" xr:uid="{00000000-0005-0000-0000-0000CF060000}"/>
    <cellStyle name="_041005 Exhibit 4C v1_Restructuring &amp; Separation_Guidance_BS retrieve" xfId="1745" xr:uid="{00000000-0005-0000-0000-0000D0060000}"/>
    <cellStyle name="_041005 Exhibit 4C v1_Restructuring &amp; Separation_Guidance_Free CF" xfId="1746" xr:uid="{00000000-0005-0000-0000-0000D1060000}"/>
    <cellStyle name="_041005 Exhibit 4C v1_Restructuring &amp; Separation_Guidance_P&amp;L Rec Qtr" xfId="1747" xr:uid="{00000000-0005-0000-0000-0000D2060000}"/>
    <cellStyle name="_041005 Exhibit 4C v1_Restructuring &amp; Separation_Guidance_Sheet1" xfId="1748" xr:uid="{00000000-0005-0000-0000-0000D3060000}"/>
    <cellStyle name="_041005 Exhibit 4C v1_Restructuring &amp; Separation_Guidance_Sheet2" xfId="1749" xr:uid="{00000000-0005-0000-0000-0000D4060000}"/>
    <cellStyle name="_041005 Exhibit 4C v1_Restructuring &amp; Separation_Guidance_Sheet3" xfId="1750" xr:uid="{00000000-0005-0000-0000-0000D5060000}"/>
    <cellStyle name="_041005 Exhibit 4C v1_Restructuring &amp; Separation_Guidance_Sheet4" xfId="1751" xr:uid="{00000000-0005-0000-0000-0000D6060000}"/>
    <cellStyle name="_041005 Exhibit 4C v1_Restructuring &amp; Separation_II.7. Sep&amp;Discrete" xfId="1752" xr:uid="{00000000-0005-0000-0000-0000D7060000}"/>
    <cellStyle name="_041005 Exhibit 4C v1_Restructuring &amp; Separation_II.7. Sep&amp;Discrete_Guidance" xfId="1753" xr:uid="{00000000-0005-0000-0000-0000D8060000}"/>
    <cellStyle name="_041005 Exhibit 4C v1_Restructuring &amp; Separation_II.7. Sep&amp;Discrete_Guidance 2" xfId="1754" xr:uid="{00000000-0005-0000-0000-0000D9060000}"/>
    <cellStyle name="_041005 Exhibit 4C v1_Restructuring &amp; Separation_II.7. Sep&amp;Discrete_Guidance_BS retrieve" xfId="1755" xr:uid="{00000000-0005-0000-0000-0000DA060000}"/>
    <cellStyle name="_041005 Exhibit 4C v1_Restructuring &amp; Separation_II.7. Sep&amp;Discrete_Guidance_Free CF" xfId="1756" xr:uid="{00000000-0005-0000-0000-0000DB060000}"/>
    <cellStyle name="_041005 Exhibit 4C v1_Restructuring &amp; Separation_II.7. Sep&amp;Discrete_Guidance_P&amp;L Rec Qtr" xfId="1757" xr:uid="{00000000-0005-0000-0000-0000DC060000}"/>
    <cellStyle name="_041005 Exhibit 4C v1_Restructuring &amp; Separation_II.7. Sep&amp;Discrete_Guidance_Sheet1" xfId="1758" xr:uid="{00000000-0005-0000-0000-0000DD060000}"/>
    <cellStyle name="_041005 Exhibit 4C v1_Restructuring &amp; Separation_II.7. Sep&amp;Discrete_Guidance_Sheet2" xfId="1759" xr:uid="{00000000-0005-0000-0000-0000DE060000}"/>
    <cellStyle name="_041005 Exhibit 4C v1_Restructuring &amp; Separation_II.7. Sep&amp;Discrete_Guidance_Sheet3" xfId="1760" xr:uid="{00000000-0005-0000-0000-0000DF060000}"/>
    <cellStyle name="_041005 Exhibit 4C v1_Restructuring &amp; Separation_II.7. Sep&amp;Discrete_Guidance_Sheet4" xfId="1761" xr:uid="{00000000-0005-0000-0000-0000E0060000}"/>
    <cellStyle name="_041005 Exhibit 4C v1_Sheet1" xfId="1762" xr:uid="{00000000-0005-0000-0000-0000E1060000}"/>
    <cellStyle name="_041005 Exhibit 4C v1_Sheet1_1" xfId="1763" xr:uid="{00000000-0005-0000-0000-0000E2060000}"/>
    <cellStyle name="_041005 Exhibit 4C v1_Sheet1_1_Guidance" xfId="1764" xr:uid="{00000000-0005-0000-0000-0000E3060000}"/>
    <cellStyle name="_041005 Exhibit 4C v1_Sheet1_1_Guidance 2" xfId="1765" xr:uid="{00000000-0005-0000-0000-0000E4060000}"/>
    <cellStyle name="_041005 Exhibit 4C v1_Sheet1_1_Guidance_BS retrieve" xfId="1766" xr:uid="{00000000-0005-0000-0000-0000E5060000}"/>
    <cellStyle name="_041005 Exhibit 4C v1_Sheet1_1_Guidance_Free CF" xfId="1767" xr:uid="{00000000-0005-0000-0000-0000E6060000}"/>
    <cellStyle name="_041005 Exhibit 4C v1_Sheet1_1_Guidance_P&amp;L Rec Qtr" xfId="1768" xr:uid="{00000000-0005-0000-0000-0000E7060000}"/>
    <cellStyle name="_041005 Exhibit 4C v1_Sheet1_1_Guidance_Sheet1" xfId="1769" xr:uid="{00000000-0005-0000-0000-0000E8060000}"/>
    <cellStyle name="_041005 Exhibit 4C v1_Sheet1_1_Guidance_Sheet2" xfId="1770" xr:uid="{00000000-0005-0000-0000-0000E9060000}"/>
    <cellStyle name="_041005 Exhibit 4C v1_Sheet1_1_Guidance_Sheet3" xfId="1771" xr:uid="{00000000-0005-0000-0000-0000EA060000}"/>
    <cellStyle name="_041005 Exhibit 4C v1_Sheet1_1_Guidance_Sheet4" xfId="1772" xr:uid="{00000000-0005-0000-0000-0000EB060000}"/>
    <cellStyle name="_041005 Exhibit 4C v1_Sheet1_1_II.7. Sep&amp;Discrete" xfId="1773" xr:uid="{00000000-0005-0000-0000-0000EC060000}"/>
    <cellStyle name="_041005 Exhibit 4C v1_Sheet1_1_II.7. Sep&amp;Discrete_Guidance" xfId="1774" xr:uid="{00000000-0005-0000-0000-0000ED060000}"/>
    <cellStyle name="_041005 Exhibit 4C v1_Sheet1_1_II.7. Sep&amp;Discrete_Guidance 2" xfId="1775" xr:uid="{00000000-0005-0000-0000-0000EE060000}"/>
    <cellStyle name="_041005 Exhibit 4C v1_Sheet1_1_II.7. Sep&amp;Discrete_Guidance_BS retrieve" xfId="1776" xr:uid="{00000000-0005-0000-0000-0000EF060000}"/>
    <cellStyle name="_041005 Exhibit 4C v1_Sheet1_1_II.7. Sep&amp;Discrete_Guidance_Free CF" xfId="1777" xr:uid="{00000000-0005-0000-0000-0000F0060000}"/>
    <cellStyle name="_041005 Exhibit 4C v1_Sheet1_1_II.7. Sep&amp;Discrete_Guidance_P&amp;L Rec Qtr" xfId="1778" xr:uid="{00000000-0005-0000-0000-0000F1060000}"/>
    <cellStyle name="_041005 Exhibit 4C v1_Sheet1_1_II.7. Sep&amp;Discrete_Guidance_Sheet1" xfId="1779" xr:uid="{00000000-0005-0000-0000-0000F2060000}"/>
    <cellStyle name="_041005 Exhibit 4C v1_Sheet1_1_II.7. Sep&amp;Discrete_Guidance_Sheet2" xfId="1780" xr:uid="{00000000-0005-0000-0000-0000F3060000}"/>
    <cellStyle name="_041005 Exhibit 4C v1_Sheet1_1_II.7. Sep&amp;Discrete_Guidance_Sheet3" xfId="1781" xr:uid="{00000000-0005-0000-0000-0000F4060000}"/>
    <cellStyle name="_041005 Exhibit 4C v1_Sheet1_1_II.7. Sep&amp;Discrete_Guidance_Sheet4" xfId="1782" xr:uid="{00000000-0005-0000-0000-0000F5060000}"/>
    <cellStyle name="_041005 Exhibit 4C v1_Sheet1_1_Restructuring &amp; Separation" xfId="1783" xr:uid="{00000000-0005-0000-0000-0000F6060000}"/>
    <cellStyle name="_041005 Exhibit 4C v1_Sheet1_1_Restructuring &amp; Separation_Guidance" xfId="1784" xr:uid="{00000000-0005-0000-0000-0000F7060000}"/>
    <cellStyle name="_041005 Exhibit 4C v1_Sheet1_1_Restructuring &amp; Separation_Guidance 2" xfId="1785" xr:uid="{00000000-0005-0000-0000-0000F8060000}"/>
    <cellStyle name="_041005 Exhibit 4C v1_Sheet1_1_Restructuring &amp; Separation_Guidance_BS retrieve" xfId="1786" xr:uid="{00000000-0005-0000-0000-0000F9060000}"/>
    <cellStyle name="_041005 Exhibit 4C v1_Sheet1_1_Restructuring &amp; Separation_Guidance_Free CF" xfId="1787" xr:uid="{00000000-0005-0000-0000-0000FA060000}"/>
    <cellStyle name="_041005 Exhibit 4C v1_Sheet1_1_Restructuring &amp; Separation_Guidance_P&amp;L Rec Qtr" xfId="1788" xr:uid="{00000000-0005-0000-0000-0000FB060000}"/>
    <cellStyle name="_041005 Exhibit 4C v1_Sheet1_1_Restructuring &amp; Separation_Guidance_Sheet1" xfId="1789" xr:uid="{00000000-0005-0000-0000-0000FC060000}"/>
    <cellStyle name="_041005 Exhibit 4C v1_Sheet1_1_Restructuring &amp; Separation_Guidance_Sheet2" xfId="1790" xr:uid="{00000000-0005-0000-0000-0000FD060000}"/>
    <cellStyle name="_041005 Exhibit 4C v1_Sheet1_1_Restructuring &amp; Separation_Guidance_Sheet3" xfId="1791" xr:uid="{00000000-0005-0000-0000-0000FE060000}"/>
    <cellStyle name="_041005 Exhibit 4C v1_Sheet1_1_Restructuring &amp; Separation_Guidance_Sheet4" xfId="1792" xr:uid="{00000000-0005-0000-0000-0000FF060000}"/>
    <cellStyle name="_041005 Exhibit 4C v1_Sheet1_1_Restructuring &amp; Separation_II.7. Sep&amp;Discrete" xfId="1793" xr:uid="{00000000-0005-0000-0000-000000070000}"/>
    <cellStyle name="_041005 Exhibit 4C v1_Sheet1_1_Restructuring &amp; Separation_II.7. Sep&amp;Discrete_Guidance" xfId="1794" xr:uid="{00000000-0005-0000-0000-000001070000}"/>
    <cellStyle name="_041005 Exhibit 4C v1_Sheet1_1_Restructuring &amp; Separation_II.7. Sep&amp;Discrete_Guidance 2" xfId="1795" xr:uid="{00000000-0005-0000-0000-000002070000}"/>
    <cellStyle name="_041005 Exhibit 4C v1_Sheet1_1_Restructuring &amp; Separation_II.7. Sep&amp;Discrete_Guidance_BS retrieve" xfId="1796" xr:uid="{00000000-0005-0000-0000-000003070000}"/>
    <cellStyle name="_041005 Exhibit 4C v1_Sheet1_1_Restructuring &amp; Separation_II.7. Sep&amp;Discrete_Guidance_Free CF" xfId="1797" xr:uid="{00000000-0005-0000-0000-000004070000}"/>
    <cellStyle name="_041005 Exhibit 4C v1_Sheet1_1_Restructuring &amp; Separation_II.7. Sep&amp;Discrete_Guidance_P&amp;L Rec Qtr" xfId="1798" xr:uid="{00000000-0005-0000-0000-000005070000}"/>
    <cellStyle name="_041005 Exhibit 4C v1_Sheet1_1_Restructuring &amp; Separation_II.7. Sep&amp;Discrete_Guidance_Sheet1" xfId="1799" xr:uid="{00000000-0005-0000-0000-000006070000}"/>
    <cellStyle name="_041005 Exhibit 4C v1_Sheet1_1_Restructuring &amp; Separation_II.7. Sep&amp;Discrete_Guidance_Sheet2" xfId="1800" xr:uid="{00000000-0005-0000-0000-000007070000}"/>
    <cellStyle name="_041005 Exhibit 4C v1_Sheet1_1_Restructuring &amp; Separation_II.7. Sep&amp;Discrete_Guidance_Sheet3" xfId="1801" xr:uid="{00000000-0005-0000-0000-000008070000}"/>
    <cellStyle name="_041005 Exhibit 4C v1_Sheet1_1_Restructuring &amp; Separation_II.7. Sep&amp;Discrete_Guidance_Sheet4" xfId="1802" xr:uid="{00000000-0005-0000-0000-000009070000}"/>
    <cellStyle name="_041005 Exhibit 4C v1_Sheet1_BS_Separation_TaxResIndem_Q12412 tf" xfId="1803" xr:uid="{00000000-0005-0000-0000-00000A070000}"/>
    <cellStyle name="_041005 Exhibit 4C v1_Sheet1_BS_Separation_TaxResIndem_Q12412 tf_Guidance" xfId="1804" xr:uid="{00000000-0005-0000-0000-00000B070000}"/>
    <cellStyle name="_041005 Exhibit 4C v1_Sheet1_BS_Separation_TaxResIndem_Q12412 tf_Guidance 2" xfId="1805" xr:uid="{00000000-0005-0000-0000-00000C070000}"/>
    <cellStyle name="_041005 Exhibit 4C v1_Sheet1_BS_Separation_TaxResIndem_Q12412 tf_Guidance_BS retrieve" xfId="1806" xr:uid="{00000000-0005-0000-0000-00000D070000}"/>
    <cellStyle name="_041005 Exhibit 4C v1_Sheet1_BS_Separation_TaxResIndem_Q12412 tf_Guidance_Free CF" xfId="1807" xr:uid="{00000000-0005-0000-0000-00000E070000}"/>
    <cellStyle name="_041005 Exhibit 4C v1_Sheet1_BS_Separation_TaxResIndem_Q12412 tf_Guidance_P&amp;L Rec Qtr" xfId="1808" xr:uid="{00000000-0005-0000-0000-00000F070000}"/>
    <cellStyle name="_041005 Exhibit 4C v1_Sheet1_BS_Separation_TaxResIndem_Q12412 tf_Guidance_Sheet1" xfId="1809" xr:uid="{00000000-0005-0000-0000-000010070000}"/>
    <cellStyle name="_041005 Exhibit 4C v1_Sheet1_BS_Separation_TaxResIndem_Q12412 tf_Guidance_Sheet2" xfId="1810" xr:uid="{00000000-0005-0000-0000-000011070000}"/>
    <cellStyle name="_041005 Exhibit 4C v1_Sheet1_BS_Separation_TaxResIndem_Q12412 tf_Guidance_Sheet3" xfId="1811" xr:uid="{00000000-0005-0000-0000-000012070000}"/>
    <cellStyle name="_041005 Exhibit 4C v1_Sheet1_BS_Separation_TaxResIndem_Q12412 tf_Guidance_Sheet4" xfId="1812" xr:uid="{00000000-0005-0000-0000-000013070000}"/>
    <cellStyle name="_041005 Exhibit 4C v1_Sheet1_BS_Separation_TaxResIndem_Q12412 tf_II.7. Sep&amp;Discrete" xfId="1813" xr:uid="{00000000-0005-0000-0000-000014070000}"/>
    <cellStyle name="_041005 Exhibit 4C v1_Sheet1_BS_Separation_TaxResIndem_Q12412 tf_II.7. Sep&amp;Discrete_Guidance" xfId="1814" xr:uid="{00000000-0005-0000-0000-000015070000}"/>
    <cellStyle name="_041005 Exhibit 4C v1_Sheet1_BS_Separation_TaxResIndem_Q12412 tf_II.7. Sep&amp;Discrete_Guidance 2" xfId="1815" xr:uid="{00000000-0005-0000-0000-000016070000}"/>
    <cellStyle name="_041005 Exhibit 4C v1_Sheet1_BS_Separation_TaxResIndem_Q12412 tf_II.7. Sep&amp;Discrete_Guidance_BS retrieve" xfId="1816" xr:uid="{00000000-0005-0000-0000-000017070000}"/>
    <cellStyle name="_041005 Exhibit 4C v1_Sheet1_BS_Separation_TaxResIndem_Q12412 tf_II.7. Sep&amp;Discrete_Guidance_Free CF" xfId="1817" xr:uid="{00000000-0005-0000-0000-000018070000}"/>
    <cellStyle name="_041005 Exhibit 4C v1_Sheet1_BS_Separation_TaxResIndem_Q12412 tf_II.7. Sep&amp;Discrete_Guidance_P&amp;L Rec Qtr" xfId="1818" xr:uid="{00000000-0005-0000-0000-000019070000}"/>
    <cellStyle name="_041005 Exhibit 4C v1_Sheet1_BS_Separation_TaxResIndem_Q12412 tf_II.7. Sep&amp;Discrete_Guidance_Sheet1" xfId="1819" xr:uid="{00000000-0005-0000-0000-00001A070000}"/>
    <cellStyle name="_041005 Exhibit 4C v1_Sheet1_BS_Separation_TaxResIndem_Q12412 tf_II.7. Sep&amp;Discrete_Guidance_Sheet2" xfId="1820" xr:uid="{00000000-0005-0000-0000-00001B070000}"/>
    <cellStyle name="_041005 Exhibit 4C v1_Sheet1_BS_Separation_TaxResIndem_Q12412 tf_II.7. Sep&amp;Discrete_Guidance_Sheet3" xfId="1821" xr:uid="{00000000-0005-0000-0000-00001C070000}"/>
    <cellStyle name="_041005 Exhibit 4C v1_Sheet1_BS_Separation_TaxResIndem_Q12412 tf_II.7. Sep&amp;Discrete_Guidance_Sheet4" xfId="1822" xr:uid="{00000000-0005-0000-0000-00001D070000}"/>
    <cellStyle name="_041005 Exhibit 4C v1_Sheet1_BS_Separation_TaxResIndem_Q12412 tf_Restructuring &amp; Separation" xfId="1823" xr:uid="{00000000-0005-0000-0000-00001E070000}"/>
    <cellStyle name="_041005 Exhibit 4C v1_Sheet1_BS_Separation_TaxResIndem_Q12412 tf_Restructuring &amp; Separation_Guidance" xfId="1824" xr:uid="{00000000-0005-0000-0000-00001F070000}"/>
    <cellStyle name="_041005 Exhibit 4C v1_Sheet1_BS_Separation_TaxResIndem_Q12412 tf_Restructuring &amp; Separation_Guidance 2" xfId="1825" xr:uid="{00000000-0005-0000-0000-000020070000}"/>
    <cellStyle name="_041005 Exhibit 4C v1_Sheet1_BS_Separation_TaxResIndem_Q12412 tf_Restructuring &amp; Separation_Guidance_BS retrieve" xfId="1826" xr:uid="{00000000-0005-0000-0000-000021070000}"/>
    <cellStyle name="_041005 Exhibit 4C v1_Sheet1_BS_Separation_TaxResIndem_Q12412 tf_Restructuring &amp; Separation_Guidance_Free CF" xfId="1827" xr:uid="{00000000-0005-0000-0000-000022070000}"/>
    <cellStyle name="_041005 Exhibit 4C v1_Sheet1_BS_Separation_TaxResIndem_Q12412 tf_Restructuring &amp; Separation_Guidance_P&amp;L Rec Qtr" xfId="1828" xr:uid="{00000000-0005-0000-0000-000023070000}"/>
    <cellStyle name="_041005 Exhibit 4C v1_Sheet1_BS_Separation_TaxResIndem_Q12412 tf_Restructuring &amp; Separation_Guidance_Sheet1" xfId="1829" xr:uid="{00000000-0005-0000-0000-000024070000}"/>
    <cellStyle name="_041005 Exhibit 4C v1_Sheet1_BS_Separation_TaxResIndem_Q12412 tf_Restructuring &amp; Separation_Guidance_Sheet2" xfId="1830" xr:uid="{00000000-0005-0000-0000-000025070000}"/>
    <cellStyle name="_041005 Exhibit 4C v1_Sheet1_BS_Separation_TaxResIndem_Q12412 tf_Restructuring &amp; Separation_Guidance_Sheet3" xfId="1831" xr:uid="{00000000-0005-0000-0000-000026070000}"/>
    <cellStyle name="_041005 Exhibit 4C v1_Sheet1_BS_Separation_TaxResIndem_Q12412 tf_Restructuring &amp; Separation_Guidance_Sheet4" xfId="1832" xr:uid="{00000000-0005-0000-0000-000027070000}"/>
    <cellStyle name="_041005 Exhibit 4C v1_Sheet1_BS_Separation_TaxResIndem_Q12412 tf_Restructuring &amp; Separation_II.7. Sep&amp;Discrete" xfId="1833" xr:uid="{00000000-0005-0000-0000-000028070000}"/>
    <cellStyle name="_041005 Exhibit 4C v1_Sheet1_BS_Separation_TaxResIndem_Q12412 tf_Restructuring &amp; Separation_II.7. Sep&amp;Discrete_Guidance" xfId="1834" xr:uid="{00000000-0005-0000-0000-000029070000}"/>
    <cellStyle name="_041005 Exhibit 4C v1_Sheet1_BS_Separation_TaxResIndem_Q12412 tf_Restructuring &amp; Separation_II.7. Sep&amp;Discrete_Guidance 2" xfId="1835" xr:uid="{00000000-0005-0000-0000-00002A070000}"/>
    <cellStyle name="_041005 Exhibit 4C v1_Sheet1_BS_Separation_TaxResIndem_Q12412 tf_Restructuring &amp; Separation_II.7. Sep&amp;Discrete_Guidance_BS retrieve" xfId="1836" xr:uid="{00000000-0005-0000-0000-00002B070000}"/>
    <cellStyle name="_041005 Exhibit 4C v1_Sheet1_BS_Separation_TaxResIndem_Q12412 tf_Restructuring &amp; Separation_II.7. Sep&amp;Discrete_Guidance_Free CF" xfId="1837" xr:uid="{00000000-0005-0000-0000-00002C070000}"/>
    <cellStyle name="_041005 Exhibit 4C v1_Sheet1_BS_Separation_TaxResIndem_Q12412 tf_Restructuring &amp; Separation_II.7. Sep&amp;Discrete_Guidance_P&amp;L Rec Qtr" xfId="1838" xr:uid="{00000000-0005-0000-0000-00002D070000}"/>
    <cellStyle name="_041005 Exhibit 4C v1_Sheet1_BS_Separation_TaxResIndem_Q12412 tf_Restructuring &amp; Separation_II.7. Sep&amp;Discrete_Guidance_Sheet1" xfId="1839" xr:uid="{00000000-0005-0000-0000-00002E070000}"/>
    <cellStyle name="_041005 Exhibit 4C v1_Sheet1_BS_Separation_TaxResIndem_Q12412 tf_Restructuring &amp; Separation_II.7. Sep&amp;Discrete_Guidance_Sheet2" xfId="1840" xr:uid="{00000000-0005-0000-0000-00002F070000}"/>
    <cellStyle name="_041005 Exhibit 4C v1_Sheet1_BS_Separation_TaxResIndem_Q12412 tf_Restructuring &amp; Separation_II.7. Sep&amp;Discrete_Guidance_Sheet3" xfId="1841" xr:uid="{00000000-0005-0000-0000-000030070000}"/>
    <cellStyle name="_041005 Exhibit 4C v1_Sheet1_BS_Separation_TaxResIndem_Q12412 tf_Restructuring &amp; Separation_II.7. Sep&amp;Discrete_Guidance_Sheet4" xfId="1842" xr:uid="{00000000-0005-0000-0000-000031070000}"/>
    <cellStyle name="_041005 Exhibit 4C v1_Sheet1_Guidance" xfId="1843" xr:uid="{00000000-0005-0000-0000-000032070000}"/>
    <cellStyle name="_041005 Exhibit 4C v1_Sheet1_Guidance 2" xfId="1844" xr:uid="{00000000-0005-0000-0000-000033070000}"/>
    <cellStyle name="_041005 Exhibit 4C v1_Sheet1_Guidance_BS retrieve" xfId="1845" xr:uid="{00000000-0005-0000-0000-000034070000}"/>
    <cellStyle name="_041005 Exhibit 4C v1_Sheet1_Guidance_Free CF" xfId="1846" xr:uid="{00000000-0005-0000-0000-000035070000}"/>
    <cellStyle name="_041005 Exhibit 4C v1_Sheet1_Guidance_P&amp;L Rec Qtr" xfId="1847" xr:uid="{00000000-0005-0000-0000-000036070000}"/>
    <cellStyle name="_041005 Exhibit 4C v1_Sheet1_Guidance_Sheet1" xfId="1848" xr:uid="{00000000-0005-0000-0000-000037070000}"/>
    <cellStyle name="_041005 Exhibit 4C v1_Sheet1_Guidance_Sheet2" xfId="1849" xr:uid="{00000000-0005-0000-0000-000038070000}"/>
    <cellStyle name="_041005 Exhibit 4C v1_Sheet1_Guidance_Sheet3" xfId="1850" xr:uid="{00000000-0005-0000-0000-000039070000}"/>
    <cellStyle name="_041005 Exhibit 4C v1_Sheet1_Guidance_Sheet4" xfId="1851" xr:uid="{00000000-0005-0000-0000-00003A070000}"/>
    <cellStyle name="_041005 Exhibit 4C v1_Sheet1_II.7. Sep&amp;Discrete" xfId="1852" xr:uid="{00000000-0005-0000-0000-00003B070000}"/>
    <cellStyle name="_041005 Exhibit 4C v1_Sheet1_II.7. Sep&amp;Discrete_Guidance" xfId="1853" xr:uid="{00000000-0005-0000-0000-00003C070000}"/>
    <cellStyle name="_041005 Exhibit 4C v1_Sheet1_II.7. Sep&amp;Discrete_Guidance 2" xfId="1854" xr:uid="{00000000-0005-0000-0000-00003D070000}"/>
    <cellStyle name="_041005 Exhibit 4C v1_Sheet1_II.7. Sep&amp;Discrete_Guidance_BS retrieve" xfId="1855" xr:uid="{00000000-0005-0000-0000-00003E070000}"/>
    <cellStyle name="_041005 Exhibit 4C v1_Sheet1_II.7. Sep&amp;Discrete_Guidance_Free CF" xfId="1856" xr:uid="{00000000-0005-0000-0000-00003F070000}"/>
    <cellStyle name="_041005 Exhibit 4C v1_Sheet1_II.7. Sep&amp;Discrete_Guidance_P&amp;L Rec Qtr" xfId="1857" xr:uid="{00000000-0005-0000-0000-000040070000}"/>
    <cellStyle name="_041005 Exhibit 4C v1_Sheet1_II.7. Sep&amp;Discrete_Guidance_Sheet1" xfId="1858" xr:uid="{00000000-0005-0000-0000-000041070000}"/>
    <cellStyle name="_041005 Exhibit 4C v1_Sheet1_II.7. Sep&amp;Discrete_Guidance_Sheet2" xfId="1859" xr:uid="{00000000-0005-0000-0000-000042070000}"/>
    <cellStyle name="_041005 Exhibit 4C v1_Sheet1_II.7. Sep&amp;Discrete_Guidance_Sheet3" xfId="1860" xr:uid="{00000000-0005-0000-0000-000043070000}"/>
    <cellStyle name="_041005 Exhibit 4C v1_Sheet1_II.7. Sep&amp;Discrete_Guidance_Sheet4" xfId="1861" xr:uid="{00000000-0005-0000-0000-000044070000}"/>
    <cellStyle name="_041005 Exhibit 4C v1_Sheet1_II.8. Sep&amp;Discrete" xfId="1862" xr:uid="{00000000-0005-0000-0000-000045070000}"/>
    <cellStyle name="_041005 Exhibit 4C v1_Sheet1_II.8. Sep&amp;Discrete_Guidance" xfId="1863" xr:uid="{00000000-0005-0000-0000-000046070000}"/>
    <cellStyle name="_041005 Exhibit 4C v1_Sheet1_II.8. Sep&amp;Discrete_Guidance 2" xfId="1864" xr:uid="{00000000-0005-0000-0000-000047070000}"/>
    <cellStyle name="_041005 Exhibit 4C v1_Sheet1_II.8. Sep&amp;Discrete_Guidance_BS retrieve" xfId="1865" xr:uid="{00000000-0005-0000-0000-000048070000}"/>
    <cellStyle name="_041005 Exhibit 4C v1_Sheet1_II.8. Sep&amp;Discrete_Guidance_Free CF" xfId="1866" xr:uid="{00000000-0005-0000-0000-000049070000}"/>
    <cellStyle name="_041005 Exhibit 4C v1_Sheet1_II.8. Sep&amp;Discrete_Guidance_P&amp;L Rec Qtr" xfId="1867" xr:uid="{00000000-0005-0000-0000-00004A070000}"/>
    <cellStyle name="_041005 Exhibit 4C v1_Sheet1_II.8. Sep&amp;Discrete_Guidance_Sheet1" xfId="1868" xr:uid="{00000000-0005-0000-0000-00004B070000}"/>
    <cellStyle name="_041005 Exhibit 4C v1_Sheet1_II.8. Sep&amp;Discrete_Guidance_Sheet2" xfId="1869" xr:uid="{00000000-0005-0000-0000-00004C070000}"/>
    <cellStyle name="_041005 Exhibit 4C v1_Sheet1_II.8. Sep&amp;Discrete_Guidance_Sheet3" xfId="1870" xr:uid="{00000000-0005-0000-0000-00004D070000}"/>
    <cellStyle name="_041005 Exhibit 4C v1_Sheet1_II.8. Sep&amp;Discrete_Guidance_Sheet4" xfId="1871" xr:uid="{00000000-0005-0000-0000-00004E070000}"/>
    <cellStyle name="_041005 Exhibit 4C v1_Sheet1_Restructuring &amp; Separation" xfId="1872" xr:uid="{00000000-0005-0000-0000-00004F070000}"/>
    <cellStyle name="_041005 Exhibit 4C v1_Sheet1_Restructuring &amp; Separation_Guidance" xfId="1873" xr:uid="{00000000-0005-0000-0000-000050070000}"/>
    <cellStyle name="_041005 Exhibit 4C v1_Sheet1_Restructuring &amp; Separation_Guidance 2" xfId="1874" xr:uid="{00000000-0005-0000-0000-000051070000}"/>
    <cellStyle name="_041005 Exhibit 4C v1_Sheet1_Restructuring &amp; Separation_Guidance_BS retrieve" xfId="1875" xr:uid="{00000000-0005-0000-0000-000052070000}"/>
    <cellStyle name="_041005 Exhibit 4C v1_Sheet1_Restructuring &amp; Separation_Guidance_Free CF" xfId="1876" xr:uid="{00000000-0005-0000-0000-000053070000}"/>
    <cellStyle name="_041005 Exhibit 4C v1_Sheet1_Restructuring &amp; Separation_Guidance_P&amp;L Rec Qtr" xfId="1877" xr:uid="{00000000-0005-0000-0000-000054070000}"/>
    <cellStyle name="_041005 Exhibit 4C v1_Sheet1_Restructuring &amp; Separation_Guidance_Sheet1" xfId="1878" xr:uid="{00000000-0005-0000-0000-000055070000}"/>
    <cellStyle name="_041005 Exhibit 4C v1_Sheet1_Restructuring &amp; Separation_Guidance_Sheet2" xfId="1879" xr:uid="{00000000-0005-0000-0000-000056070000}"/>
    <cellStyle name="_041005 Exhibit 4C v1_Sheet1_Restructuring &amp; Separation_Guidance_Sheet3" xfId="1880" xr:uid="{00000000-0005-0000-0000-000057070000}"/>
    <cellStyle name="_041005 Exhibit 4C v1_Sheet1_Restructuring &amp; Separation_Guidance_Sheet4" xfId="1881" xr:uid="{00000000-0005-0000-0000-000058070000}"/>
    <cellStyle name="_041005 Exhibit 4C v1_Sheet1_Restructuring &amp; Separation_II.7. Sep&amp;Discrete" xfId="1882" xr:uid="{00000000-0005-0000-0000-000059070000}"/>
    <cellStyle name="_041005 Exhibit 4C v1_Sheet1_Restructuring &amp; Separation_II.7. Sep&amp;Discrete_Guidance" xfId="1883" xr:uid="{00000000-0005-0000-0000-00005A070000}"/>
    <cellStyle name="_041005 Exhibit 4C v1_Sheet1_Restructuring &amp; Separation_II.7. Sep&amp;Discrete_Guidance 2" xfId="1884" xr:uid="{00000000-0005-0000-0000-00005B070000}"/>
    <cellStyle name="_041005 Exhibit 4C v1_Sheet1_Restructuring &amp; Separation_II.7. Sep&amp;Discrete_Guidance_BS retrieve" xfId="1885" xr:uid="{00000000-0005-0000-0000-00005C070000}"/>
    <cellStyle name="_041005 Exhibit 4C v1_Sheet1_Restructuring &amp; Separation_II.7. Sep&amp;Discrete_Guidance_Free CF" xfId="1886" xr:uid="{00000000-0005-0000-0000-00005D070000}"/>
    <cellStyle name="_041005 Exhibit 4C v1_Sheet1_Restructuring &amp; Separation_II.7. Sep&amp;Discrete_Guidance_P&amp;L Rec Qtr" xfId="1887" xr:uid="{00000000-0005-0000-0000-00005E070000}"/>
    <cellStyle name="_041005 Exhibit 4C v1_Sheet1_Restructuring &amp; Separation_II.7. Sep&amp;Discrete_Guidance_Sheet1" xfId="1888" xr:uid="{00000000-0005-0000-0000-00005F070000}"/>
    <cellStyle name="_041005 Exhibit 4C v1_Sheet1_Restructuring &amp; Separation_II.7. Sep&amp;Discrete_Guidance_Sheet2" xfId="1889" xr:uid="{00000000-0005-0000-0000-000060070000}"/>
    <cellStyle name="_041005 Exhibit 4C v1_Sheet1_Restructuring &amp; Separation_II.7. Sep&amp;Discrete_Guidance_Sheet3" xfId="1890" xr:uid="{00000000-0005-0000-0000-000061070000}"/>
    <cellStyle name="_041005 Exhibit 4C v1_Sheet1_Restructuring &amp; Separation_II.7. Sep&amp;Discrete_Guidance_Sheet4" xfId="1891" xr:uid="{00000000-0005-0000-0000-000062070000}"/>
    <cellStyle name="_06.04" xfId="1892" xr:uid="{00000000-0005-0000-0000-000063070000}"/>
    <cellStyle name="_06.04 2" xfId="1893" xr:uid="{00000000-0005-0000-0000-000064070000}"/>
    <cellStyle name="_12+0 MOR" xfId="1894" xr:uid="{00000000-0005-0000-0000-000065070000}"/>
    <cellStyle name="_12+0 MOR_BS_Separation_TaxResIndem_Q12412 tf" xfId="1895" xr:uid="{00000000-0005-0000-0000-000066070000}"/>
    <cellStyle name="_12+0 MOR_BS_Separation_TaxResIndem_Q12412 tf_Guidance" xfId="1896" xr:uid="{00000000-0005-0000-0000-000067070000}"/>
    <cellStyle name="_12+0 MOR_BS_Separation_TaxResIndem_Q12412 tf_Guidance 2" xfId="1897" xr:uid="{00000000-0005-0000-0000-000068070000}"/>
    <cellStyle name="_12+0 MOR_BS_Separation_TaxResIndem_Q12412 tf_Guidance_BS retrieve" xfId="1898" xr:uid="{00000000-0005-0000-0000-000069070000}"/>
    <cellStyle name="_12+0 MOR_BS_Separation_TaxResIndem_Q12412 tf_Guidance_Free CF" xfId="1899" xr:uid="{00000000-0005-0000-0000-00006A070000}"/>
    <cellStyle name="_12+0 MOR_BS_Separation_TaxResIndem_Q12412 tf_Guidance_P&amp;L Rec Qtr" xfId="1900" xr:uid="{00000000-0005-0000-0000-00006B070000}"/>
    <cellStyle name="_12+0 MOR_BS_Separation_TaxResIndem_Q12412 tf_Guidance_Sheet1" xfId="1901" xr:uid="{00000000-0005-0000-0000-00006C070000}"/>
    <cellStyle name="_12+0 MOR_BS_Separation_TaxResIndem_Q12412 tf_Guidance_Sheet2" xfId="1902" xr:uid="{00000000-0005-0000-0000-00006D070000}"/>
    <cellStyle name="_12+0 MOR_BS_Separation_TaxResIndem_Q12412 tf_Guidance_Sheet3" xfId="1903" xr:uid="{00000000-0005-0000-0000-00006E070000}"/>
    <cellStyle name="_12+0 MOR_BS_Separation_TaxResIndem_Q12412 tf_Guidance_Sheet4" xfId="1904" xr:uid="{00000000-0005-0000-0000-00006F070000}"/>
    <cellStyle name="_12+0 MOR_BS_Separation_TaxResIndem_Q12412 tf_II.7. Sep&amp;Discrete" xfId="1905" xr:uid="{00000000-0005-0000-0000-000070070000}"/>
    <cellStyle name="_12+0 MOR_BS_Separation_TaxResIndem_Q12412 tf_II.7. Sep&amp;Discrete_Guidance" xfId="1906" xr:uid="{00000000-0005-0000-0000-000071070000}"/>
    <cellStyle name="_12+0 MOR_BS_Separation_TaxResIndem_Q12412 tf_II.7. Sep&amp;Discrete_Guidance 2" xfId="1907" xr:uid="{00000000-0005-0000-0000-000072070000}"/>
    <cellStyle name="_12+0 MOR_BS_Separation_TaxResIndem_Q12412 tf_II.7. Sep&amp;Discrete_Guidance_BS retrieve" xfId="1908" xr:uid="{00000000-0005-0000-0000-000073070000}"/>
    <cellStyle name="_12+0 MOR_BS_Separation_TaxResIndem_Q12412 tf_II.7. Sep&amp;Discrete_Guidance_Free CF" xfId="1909" xr:uid="{00000000-0005-0000-0000-000074070000}"/>
    <cellStyle name="_12+0 MOR_BS_Separation_TaxResIndem_Q12412 tf_II.7. Sep&amp;Discrete_Guidance_P&amp;L Rec Qtr" xfId="1910" xr:uid="{00000000-0005-0000-0000-000075070000}"/>
    <cellStyle name="_12+0 MOR_BS_Separation_TaxResIndem_Q12412 tf_II.7. Sep&amp;Discrete_Guidance_Sheet1" xfId="1911" xr:uid="{00000000-0005-0000-0000-000076070000}"/>
    <cellStyle name="_12+0 MOR_BS_Separation_TaxResIndem_Q12412 tf_II.7. Sep&amp;Discrete_Guidance_Sheet2" xfId="1912" xr:uid="{00000000-0005-0000-0000-000077070000}"/>
    <cellStyle name="_12+0 MOR_BS_Separation_TaxResIndem_Q12412 tf_II.7. Sep&amp;Discrete_Guidance_Sheet3" xfId="1913" xr:uid="{00000000-0005-0000-0000-000078070000}"/>
    <cellStyle name="_12+0 MOR_BS_Separation_TaxResIndem_Q12412 tf_II.7. Sep&amp;Discrete_Guidance_Sheet4" xfId="1914" xr:uid="{00000000-0005-0000-0000-000079070000}"/>
    <cellStyle name="_12+0 MOR_BS_Separation_TaxResIndem_Q12412 tf_Restructuring &amp; Separation" xfId="1915" xr:uid="{00000000-0005-0000-0000-00007A070000}"/>
    <cellStyle name="_12+0 MOR_BS_Separation_TaxResIndem_Q12412 tf_Restructuring &amp; Separation_Guidance" xfId="1916" xr:uid="{00000000-0005-0000-0000-00007B070000}"/>
    <cellStyle name="_12+0 MOR_BS_Separation_TaxResIndem_Q12412 tf_Restructuring &amp; Separation_Guidance 2" xfId="1917" xr:uid="{00000000-0005-0000-0000-00007C070000}"/>
    <cellStyle name="_12+0 MOR_BS_Separation_TaxResIndem_Q12412 tf_Restructuring &amp; Separation_Guidance_BS retrieve" xfId="1918" xr:uid="{00000000-0005-0000-0000-00007D070000}"/>
    <cellStyle name="_12+0 MOR_BS_Separation_TaxResIndem_Q12412 tf_Restructuring &amp; Separation_Guidance_Free CF" xfId="1919" xr:uid="{00000000-0005-0000-0000-00007E070000}"/>
    <cellStyle name="_12+0 MOR_BS_Separation_TaxResIndem_Q12412 tf_Restructuring &amp; Separation_Guidance_P&amp;L Rec Qtr" xfId="1920" xr:uid="{00000000-0005-0000-0000-00007F070000}"/>
    <cellStyle name="_12+0 MOR_BS_Separation_TaxResIndem_Q12412 tf_Restructuring &amp; Separation_Guidance_Sheet1" xfId="1921" xr:uid="{00000000-0005-0000-0000-000080070000}"/>
    <cellStyle name="_12+0 MOR_BS_Separation_TaxResIndem_Q12412 tf_Restructuring &amp; Separation_Guidance_Sheet2" xfId="1922" xr:uid="{00000000-0005-0000-0000-000081070000}"/>
    <cellStyle name="_12+0 MOR_BS_Separation_TaxResIndem_Q12412 tf_Restructuring &amp; Separation_Guidance_Sheet3" xfId="1923" xr:uid="{00000000-0005-0000-0000-000082070000}"/>
    <cellStyle name="_12+0 MOR_BS_Separation_TaxResIndem_Q12412 tf_Restructuring &amp; Separation_Guidance_Sheet4" xfId="1924" xr:uid="{00000000-0005-0000-0000-000083070000}"/>
    <cellStyle name="_12+0 MOR_BS_Separation_TaxResIndem_Q12412 tf_Restructuring &amp; Separation_II.7. Sep&amp;Discrete" xfId="1925" xr:uid="{00000000-0005-0000-0000-000084070000}"/>
    <cellStyle name="_12+0 MOR_BS_Separation_TaxResIndem_Q12412 tf_Restructuring &amp; Separation_II.7. Sep&amp;Discrete_Guidance" xfId="1926" xr:uid="{00000000-0005-0000-0000-000085070000}"/>
    <cellStyle name="_12+0 MOR_BS_Separation_TaxResIndem_Q12412 tf_Restructuring &amp; Separation_II.7. Sep&amp;Discrete_Guidance 2" xfId="1927" xr:uid="{00000000-0005-0000-0000-000086070000}"/>
    <cellStyle name="_12+0 MOR_BS_Separation_TaxResIndem_Q12412 tf_Restructuring &amp; Separation_II.7. Sep&amp;Discrete_Guidance_BS retrieve" xfId="1928" xr:uid="{00000000-0005-0000-0000-000087070000}"/>
    <cellStyle name="_12+0 MOR_BS_Separation_TaxResIndem_Q12412 tf_Restructuring &amp; Separation_II.7. Sep&amp;Discrete_Guidance_Free CF" xfId="1929" xr:uid="{00000000-0005-0000-0000-000088070000}"/>
    <cellStyle name="_12+0 MOR_BS_Separation_TaxResIndem_Q12412 tf_Restructuring &amp; Separation_II.7. Sep&amp;Discrete_Guidance_P&amp;L Rec Qtr" xfId="1930" xr:uid="{00000000-0005-0000-0000-000089070000}"/>
    <cellStyle name="_12+0 MOR_BS_Separation_TaxResIndem_Q12412 tf_Restructuring &amp; Separation_II.7. Sep&amp;Discrete_Guidance_Sheet1" xfId="1931" xr:uid="{00000000-0005-0000-0000-00008A070000}"/>
    <cellStyle name="_12+0 MOR_BS_Separation_TaxResIndem_Q12412 tf_Restructuring &amp; Separation_II.7. Sep&amp;Discrete_Guidance_Sheet2" xfId="1932" xr:uid="{00000000-0005-0000-0000-00008B070000}"/>
    <cellStyle name="_12+0 MOR_BS_Separation_TaxResIndem_Q12412 tf_Restructuring &amp; Separation_II.7. Sep&amp;Discrete_Guidance_Sheet3" xfId="1933" xr:uid="{00000000-0005-0000-0000-00008C070000}"/>
    <cellStyle name="_12+0 MOR_BS_Separation_TaxResIndem_Q12412 tf_Restructuring &amp; Separation_II.7. Sep&amp;Discrete_Guidance_Sheet4" xfId="1934" xr:uid="{00000000-0005-0000-0000-00008D070000}"/>
    <cellStyle name="_12+0 MOR_By Country Detail 1Q10 041410pm FIN 18 revised per disc w Mary" xfId="1935" xr:uid="{00000000-0005-0000-0000-00008E070000}"/>
    <cellStyle name="_12+0 MOR_By Country Detail 1Q10 041410pm FIN 18 revised per disc w Mary_BS_Separation_TaxResIndem_Q12412 tf" xfId="1936" xr:uid="{00000000-0005-0000-0000-00008F070000}"/>
    <cellStyle name="_12+0 MOR_By Country Detail 1Q10 041410pm FIN 18 revised per disc w Mary_BS_Separation_TaxResIndem_Q12412 tf_Guidance" xfId="1937" xr:uid="{00000000-0005-0000-0000-000090070000}"/>
    <cellStyle name="_12+0 MOR_By Country Detail 1Q10 041410pm FIN 18 revised per disc w Mary_BS_Separation_TaxResIndem_Q12412 tf_Guidance 2" xfId="1938" xr:uid="{00000000-0005-0000-0000-000091070000}"/>
    <cellStyle name="_12+0 MOR_By Country Detail 1Q10 041410pm FIN 18 revised per disc w Mary_BS_Separation_TaxResIndem_Q12412 tf_Guidance_BS retrieve" xfId="1939" xr:uid="{00000000-0005-0000-0000-000092070000}"/>
    <cellStyle name="_12+0 MOR_By Country Detail 1Q10 041410pm FIN 18 revised per disc w Mary_BS_Separation_TaxResIndem_Q12412 tf_Guidance_Free CF" xfId="1940" xr:uid="{00000000-0005-0000-0000-000093070000}"/>
    <cellStyle name="_12+0 MOR_By Country Detail 1Q10 041410pm FIN 18 revised per disc w Mary_BS_Separation_TaxResIndem_Q12412 tf_Guidance_P&amp;L Rec Qtr" xfId="1941" xr:uid="{00000000-0005-0000-0000-000094070000}"/>
    <cellStyle name="_12+0 MOR_By Country Detail 1Q10 041410pm FIN 18 revised per disc w Mary_BS_Separation_TaxResIndem_Q12412 tf_Guidance_Sheet1" xfId="1942" xr:uid="{00000000-0005-0000-0000-000095070000}"/>
    <cellStyle name="_12+0 MOR_By Country Detail 1Q10 041410pm FIN 18 revised per disc w Mary_BS_Separation_TaxResIndem_Q12412 tf_Guidance_Sheet2" xfId="1943" xr:uid="{00000000-0005-0000-0000-000096070000}"/>
    <cellStyle name="_12+0 MOR_By Country Detail 1Q10 041410pm FIN 18 revised per disc w Mary_BS_Separation_TaxResIndem_Q12412 tf_Guidance_Sheet3" xfId="1944" xr:uid="{00000000-0005-0000-0000-000097070000}"/>
    <cellStyle name="_12+0 MOR_By Country Detail 1Q10 041410pm FIN 18 revised per disc w Mary_BS_Separation_TaxResIndem_Q12412 tf_Guidance_Sheet4" xfId="1945" xr:uid="{00000000-0005-0000-0000-000098070000}"/>
    <cellStyle name="_12+0 MOR_By Country Detail 1Q10 041410pm FIN 18 revised per disc w Mary_BS_Separation_TaxResIndem_Q12412 tf_II.7. Sep&amp;Discrete" xfId="1946" xr:uid="{00000000-0005-0000-0000-000099070000}"/>
    <cellStyle name="_12+0 MOR_By Country Detail 1Q10 041410pm FIN 18 revised per disc w Mary_BS_Separation_TaxResIndem_Q12412 tf_II.7. Sep&amp;Discrete_Guidance" xfId="1947" xr:uid="{00000000-0005-0000-0000-00009A070000}"/>
    <cellStyle name="_12+0 MOR_By Country Detail 1Q10 041410pm FIN 18 revised per disc w Mary_BS_Separation_TaxResIndem_Q12412 tf_II.7. Sep&amp;Discrete_Guidance 2" xfId="1948" xr:uid="{00000000-0005-0000-0000-00009B070000}"/>
    <cellStyle name="_12+0 MOR_By Country Detail 1Q10 041410pm FIN 18 revised per disc w Mary_BS_Separation_TaxResIndem_Q12412 tf_II.7. Sep&amp;Discrete_Guidance_BS retrieve" xfId="1949" xr:uid="{00000000-0005-0000-0000-00009C070000}"/>
    <cellStyle name="_12+0 MOR_By Country Detail 1Q10 041410pm FIN 18 revised per disc w Mary_BS_Separation_TaxResIndem_Q12412 tf_II.7. Sep&amp;Discrete_Guidance_Free CF" xfId="1950" xr:uid="{00000000-0005-0000-0000-00009D070000}"/>
    <cellStyle name="_12+0 MOR_By Country Detail 1Q10 041410pm FIN 18 revised per disc w Mary_BS_Separation_TaxResIndem_Q12412 tf_II.7. Sep&amp;Discrete_Guidance_P&amp;L Rec Qtr" xfId="1951" xr:uid="{00000000-0005-0000-0000-00009E070000}"/>
    <cellStyle name="_12+0 MOR_By Country Detail 1Q10 041410pm FIN 18 revised per disc w Mary_BS_Separation_TaxResIndem_Q12412 tf_II.7. Sep&amp;Discrete_Guidance_Sheet1" xfId="1952" xr:uid="{00000000-0005-0000-0000-00009F070000}"/>
    <cellStyle name="_12+0 MOR_By Country Detail 1Q10 041410pm FIN 18 revised per disc w Mary_BS_Separation_TaxResIndem_Q12412 tf_II.7. Sep&amp;Discrete_Guidance_Sheet2" xfId="1953" xr:uid="{00000000-0005-0000-0000-0000A0070000}"/>
    <cellStyle name="_12+0 MOR_By Country Detail 1Q10 041410pm FIN 18 revised per disc w Mary_BS_Separation_TaxResIndem_Q12412 tf_II.7. Sep&amp;Discrete_Guidance_Sheet3" xfId="1954" xr:uid="{00000000-0005-0000-0000-0000A1070000}"/>
    <cellStyle name="_12+0 MOR_By Country Detail 1Q10 041410pm FIN 18 revised per disc w Mary_BS_Separation_TaxResIndem_Q12412 tf_II.7. Sep&amp;Discrete_Guidance_Sheet4" xfId="1955" xr:uid="{00000000-0005-0000-0000-0000A2070000}"/>
    <cellStyle name="_12+0 MOR_By Country Detail 1Q10 041410pm FIN 18 revised per disc w Mary_BS_Separation_TaxResIndem_Q12412 tf_Restructuring &amp; Separation" xfId="1956" xr:uid="{00000000-0005-0000-0000-0000A3070000}"/>
    <cellStyle name="_12+0 MOR_By Country Detail 1Q10 041410pm FIN 18 revised per disc w Mary_BS_Separation_TaxResIndem_Q12412 tf_Restructuring &amp; Separation_Guidance" xfId="1957" xr:uid="{00000000-0005-0000-0000-0000A4070000}"/>
    <cellStyle name="_12+0 MOR_By Country Detail 1Q10 041410pm FIN 18 revised per disc w Mary_BS_Separation_TaxResIndem_Q12412 tf_Restructuring &amp; Separation_Guidance 2" xfId="1958" xr:uid="{00000000-0005-0000-0000-0000A5070000}"/>
    <cellStyle name="_12+0 MOR_By Country Detail 1Q10 041410pm FIN 18 revised per disc w Mary_BS_Separation_TaxResIndem_Q12412 tf_Restructuring &amp; Separation_Guidance_BS retrieve" xfId="1959" xr:uid="{00000000-0005-0000-0000-0000A6070000}"/>
    <cellStyle name="_12+0 MOR_By Country Detail 1Q10 041410pm FIN 18 revised per disc w Mary_BS_Separation_TaxResIndem_Q12412 tf_Restructuring &amp; Separation_Guidance_Free CF" xfId="1960" xr:uid="{00000000-0005-0000-0000-0000A7070000}"/>
    <cellStyle name="_12+0 MOR_By Country Detail 1Q10 041410pm FIN 18 revised per disc w Mary_BS_Separation_TaxResIndem_Q12412 tf_Restructuring &amp; Separation_Guidance_P&amp;L Rec Qtr" xfId="1961" xr:uid="{00000000-0005-0000-0000-0000A8070000}"/>
    <cellStyle name="_12+0 MOR_By Country Detail 1Q10 041410pm FIN 18 revised per disc w Mary_BS_Separation_TaxResIndem_Q12412 tf_Restructuring &amp; Separation_Guidance_Sheet1" xfId="1962" xr:uid="{00000000-0005-0000-0000-0000A9070000}"/>
    <cellStyle name="_12+0 MOR_By Country Detail 1Q10 041410pm FIN 18 revised per disc w Mary_BS_Separation_TaxResIndem_Q12412 tf_Restructuring &amp; Separation_Guidance_Sheet2" xfId="1963" xr:uid="{00000000-0005-0000-0000-0000AA070000}"/>
    <cellStyle name="_12+0 MOR_By Country Detail 1Q10 041410pm FIN 18 revised per disc w Mary_BS_Separation_TaxResIndem_Q12412 tf_Restructuring &amp; Separation_Guidance_Sheet3" xfId="1964" xr:uid="{00000000-0005-0000-0000-0000AB070000}"/>
    <cellStyle name="_12+0 MOR_By Country Detail 1Q10 041410pm FIN 18 revised per disc w Mary_BS_Separation_TaxResIndem_Q12412 tf_Restructuring &amp; Separation_Guidance_Sheet4" xfId="1965" xr:uid="{00000000-0005-0000-0000-0000AC070000}"/>
    <cellStyle name="_12+0 MOR_By Country Detail 1Q10 041410pm FIN 18 revised per disc w Mary_BS_Separation_TaxResIndem_Q12412 tf_Restructuring &amp; Separation_II.7. Sep&amp;Discrete" xfId="1966" xr:uid="{00000000-0005-0000-0000-0000AD070000}"/>
    <cellStyle name="_12+0 MOR_By Country Detail 1Q10 041410pm FIN 18 revised per disc w Mary_BS_Separation_TaxResIndem_Q12412 tf_Restructuring &amp; Separation_II.7. Sep&amp;Discrete_Guidance" xfId="1967" xr:uid="{00000000-0005-0000-0000-0000AE070000}"/>
    <cellStyle name="_12+0 MOR_By Country Detail 1Q10 041410pm FIN 18 revised per disc w Mary_BS_Separation_TaxResIndem_Q12412 tf_Restructuring &amp; Separation_II.7. Sep&amp;Discrete_Guidance 2" xfId="1968" xr:uid="{00000000-0005-0000-0000-0000AF070000}"/>
    <cellStyle name="_12+0 MOR_By Country Detail 1Q10 041410pm FIN 18 revised per disc w Mary_BS_Separation_TaxResIndem_Q12412 tf_Restructuring &amp; Separation_II.7. Sep&amp;Discrete_Guidance_BS retrieve" xfId="1969" xr:uid="{00000000-0005-0000-0000-0000B0070000}"/>
    <cellStyle name="_12+0 MOR_By Country Detail 1Q10 041410pm FIN 18 revised per disc w Mary_BS_Separation_TaxResIndem_Q12412 tf_Restructuring &amp; Separation_II.7. Sep&amp;Discrete_Guidance_Free CF" xfId="1970" xr:uid="{00000000-0005-0000-0000-0000B1070000}"/>
    <cellStyle name="_12+0 MOR_By Country Detail 1Q10 041410pm FIN 18 revised per disc w Mary_BS_Separation_TaxResIndem_Q12412 tf_Restructuring &amp; Separation_II.7. Sep&amp;Discrete_Guidance_P&amp;L Rec Qtr" xfId="1971" xr:uid="{00000000-0005-0000-0000-0000B2070000}"/>
    <cellStyle name="_12+0 MOR_By Country Detail 1Q10 041410pm FIN 18 revised per disc w Mary_BS_Separation_TaxResIndem_Q12412 tf_Restructuring &amp; Separation_II.7. Sep&amp;Discrete_Guidance_Sheet1" xfId="1972" xr:uid="{00000000-0005-0000-0000-0000B3070000}"/>
    <cellStyle name="_12+0 MOR_By Country Detail 1Q10 041410pm FIN 18 revised per disc w Mary_BS_Separation_TaxResIndem_Q12412 tf_Restructuring &amp; Separation_II.7. Sep&amp;Discrete_Guidance_Sheet2" xfId="1973" xr:uid="{00000000-0005-0000-0000-0000B4070000}"/>
    <cellStyle name="_12+0 MOR_By Country Detail 1Q10 041410pm FIN 18 revised per disc w Mary_BS_Separation_TaxResIndem_Q12412 tf_Restructuring &amp; Separation_II.7. Sep&amp;Discrete_Guidance_Sheet3" xfId="1974" xr:uid="{00000000-0005-0000-0000-0000B5070000}"/>
    <cellStyle name="_12+0 MOR_By Country Detail 1Q10 041410pm FIN 18 revised per disc w Mary_BS_Separation_TaxResIndem_Q12412 tf_Restructuring &amp; Separation_II.7. Sep&amp;Discrete_Guidance_Sheet4" xfId="1975" xr:uid="{00000000-0005-0000-0000-0000B6070000}"/>
    <cellStyle name="_12+0 MOR_By Country Detail 1Q10 041410pm FIN 18 revised per disc w Mary_Guidance" xfId="1976" xr:uid="{00000000-0005-0000-0000-0000B7070000}"/>
    <cellStyle name="_12+0 MOR_By Country Detail 1Q10 041410pm FIN 18 revised per disc w Mary_Guidance 2" xfId="1977" xr:uid="{00000000-0005-0000-0000-0000B8070000}"/>
    <cellStyle name="_12+0 MOR_By Country Detail 1Q10 041410pm FIN 18 revised per disc w Mary_Guidance_BS retrieve" xfId="1978" xr:uid="{00000000-0005-0000-0000-0000B9070000}"/>
    <cellStyle name="_12+0 MOR_By Country Detail 1Q10 041410pm FIN 18 revised per disc w Mary_Guidance_Free CF" xfId="1979" xr:uid="{00000000-0005-0000-0000-0000BA070000}"/>
    <cellStyle name="_12+0 MOR_By Country Detail 1Q10 041410pm FIN 18 revised per disc w Mary_Guidance_P&amp;L Rec Qtr" xfId="1980" xr:uid="{00000000-0005-0000-0000-0000BB070000}"/>
    <cellStyle name="_12+0 MOR_By Country Detail 1Q10 041410pm FIN 18 revised per disc w Mary_Guidance_Sheet1" xfId="1981" xr:uid="{00000000-0005-0000-0000-0000BC070000}"/>
    <cellStyle name="_12+0 MOR_By Country Detail 1Q10 041410pm FIN 18 revised per disc w Mary_Guidance_Sheet2" xfId="1982" xr:uid="{00000000-0005-0000-0000-0000BD070000}"/>
    <cellStyle name="_12+0 MOR_By Country Detail 1Q10 041410pm FIN 18 revised per disc w Mary_Guidance_Sheet3" xfId="1983" xr:uid="{00000000-0005-0000-0000-0000BE070000}"/>
    <cellStyle name="_12+0 MOR_By Country Detail 1Q10 041410pm FIN 18 revised per disc w Mary_Guidance_Sheet4" xfId="1984" xr:uid="{00000000-0005-0000-0000-0000BF070000}"/>
    <cellStyle name="_12+0 MOR_By Country Detail 1Q10 041410pm FIN 18 revised per disc w Mary_II.7. Sep&amp;Discrete" xfId="1985" xr:uid="{00000000-0005-0000-0000-0000C0070000}"/>
    <cellStyle name="_12+0 MOR_By Country Detail 1Q10 041410pm FIN 18 revised per disc w Mary_II.7. Sep&amp;Discrete_Guidance" xfId="1986" xr:uid="{00000000-0005-0000-0000-0000C1070000}"/>
    <cellStyle name="_12+0 MOR_By Country Detail 1Q10 041410pm FIN 18 revised per disc w Mary_II.7. Sep&amp;Discrete_Guidance 2" xfId="1987" xr:uid="{00000000-0005-0000-0000-0000C2070000}"/>
    <cellStyle name="_12+0 MOR_By Country Detail 1Q10 041410pm FIN 18 revised per disc w Mary_II.7. Sep&amp;Discrete_Guidance_BS retrieve" xfId="1988" xr:uid="{00000000-0005-0000-0000-0000C3070000}"/>
    <cellStyle name="_12+0 MOR_By Country Detail 1Q10 041410pm FIN 18 revised per disc w Mary_II.7. Sep&amp;Discrete_Guidance_Free CF" xfId="1989" xr:uid="{00000000-0005-0000-0000-0000C4070000}"/>
    <cellStyle name="_12+0 MOR_By Country Detail 1Q10 041410pm FIN 18 revised per disc w Mary_II.7. Sep&amp;Discrete_Guidance_P&amp;L Rec Qtr" xfId="1990" xr:uid="{00000000-0005-0000-0000-0000C5070000}"/>
    <cellStyle name="_12+0 MOR_By Country Detail 1Q10 041410pm FIN 18 revised per disc w Mary_II.7. Sep&amp;Discrete_Guidance_Sheet1" xfId="1991" xr:uid="{00000000-0005-0000-0000-0000C6070000}"/>
    <cellStyle name="_12+0 MOR_By Country Detail 1Q10 041410pm FIN 18 revised per disc w Mary_II.7. Sep&amp;Discrete_Guidance_Sheet2" xfId="1992" xr:uid="{00000000-0005-0000-0000-0000C7070000}"/>
    <cellStyle name="_12+0 MOR_By Country Detail 1Q10 041410pm FIN 18 revised per disc w Mary_II.7. Sep&amp;Discrete_Guidance_Sheet3" xfId="1993" xr:uid="{00000000-0005-0000-0000-0000C8070000}"/>
    <cellStyle name="_12+0 MOR_By Country Detail 1Q10 041410pm FIN 18 revised per disc w Mary_II.7. Sep&amp;Discrete_Guidance_Sheet4" xfId="1994" xr:uid="{00000000-0005-0000-0000-0000C9070000}"/>
    <cellStyle name="_12+0 MOR_By Country Detail 1Q10 041410pm FIN 18 revised per disc w Mary_II.8. Sep&amp;Discrete" xfId="1995" xr:uid="{00000000-0005-0000-0000-0000CA070000}"/>
    <cellStyle name="_12+0 MOR_By Country Detail 1Q10 041410pm FIN 18 revised per disc w Mary_II.8. Sep&amp;Discrete_Guidance" xfId="1996" xr:uid="{00000000-0005-0000-0000-0000CB070000}"/>
    <cellStyle name="_12+0 MOR_By Country Detail 1Q10 041410pm FIN 18 revised per disc w Mary_II.8. Sep&amp;Discrete_Guidance 2" xfId="1997" xr:uid="{00000000-0005-0000-0000-0000CC070000}"/>
    <cellStyle name="_12+0 MOR_By Country Detail 1Q10 041410pm FIN 18 revised per disc w Mary_II.8. Sep&amp;Discrete_Guidance_BS retrieve" xfId="1998" xr:uid="{00000000-0005-0000-0000-0000CD070000}"/>
    <cellStyle name="_12+0 MOR_By Country Detail 1Q10 041410pm FIN 18 revised per disc w Mary_II.8. Sep&amp;Discrete_Guidance_Free CF" xfId="1999" xr:uid="{00000000-0005-0000-0000-0000CE070000}"/>
    <cellStyle name="_12+0 MOR_By Country Detail 1Q10 041410pm FIN 18 revised per disc w Mary_II.8. Sep&amp;Discrete_Guidance_P&amp;L Rec Qtr" xfId="2000" xr:uid="{00000000-0005-0000-0000-0000CF070000}"/>
    <cellStyle name="_12+0 MOR_By Country Detail 1Q10 041410pm FIN 18 revised per disc w Mary_II.8. Sep&amp;Discrete_Guidance_Sheet1" xfId="2001" xr:uid="{00000000-0005-0000-0000-0000D0070000}"/>
    <cellStyle name="_12+0 MOR_By Country Detail 1Q10 041410pm FIN 18 revised per disc w Mary_II.8. Sep&amp;Discrete_Guidance_Sheet2" xfId="2002" xr:uid="{00000000-0005-0000-0000-0000D1070000}"/>
    <cellStyle name="_12+0 MOR_By Country Detail 1Q10 041410pm FIN 18 revised per disc w Mary_II.8. Sep&amp;Discrete_Guidance_Sheet3" xfId="2003" xr:uid="{00000000-0005-0000-0000-0000D2070000}"/>
    <cellStyle name="_12+0 MOR_By Country Detail 1Q10 041410pm FIN 18 revised per disc w Mary_II.8. Sep&amp;Discrete_Guidance_Sheet4" xfId="2004" xr:uid="{00000000-0005-0000-0000-0000D3070000}"/>
    <cellStyle name="_12+0 MOR_By Country Detail 1Q10 041410pm FIN 18 revised per disc w Mary_Restructuring &amp; Separation" xfId="2005" xr:uid="{00000000-0005-0000-0000-0000D4070000}"/>
    <cellStyle name="_12+0 MOR_By Country Detail 1Q10 041410pm FIN 18 revised per disc w Mary_Restructuring &amp; Separation_Guidance" xfId="2006" xr:uid="{00000000-0005-0000-0000-0000D5070000}"/>
    <cellStyle name="_12+0 MOR_By Country Detail 1Q10 041410pm FIN 18 revised per disc w Mary_Restructuring &amp; Separation_Guidance 2" xfId="2007" xr:uid="{00000000-0005-0000-0000-0000D6070000}"/>
    <cellStyle name="_12+0 MOR_By Country Detail 1Q10 041410pm FIN 18 revised per disc w Mary_Restructuring &amp; Separation_Guidance_BS retrieve" xfId="2008" xr:uid="{00000000-0005-0000-0000-0000D7070000}"/>
    <cellStyle name="_12+0 MOR_By Country Detail 1Q10 041410pm FIN 18 revised per disc w Mary_Restructuring &amp; Separation_Guidance_Free CF" xfId="2009" xr:uid="{00000000-0005-0000-0000-0000D8070000}"/>
    <cellStyle name="_12+0 MOR_By Country Detail 1Q10 041410pm FIN 18 revised per disc w Mary_Restructuring &amp; Separation_Guidance_P&amp;L Rec Qtr" xfId="2010" xr:uid="{00000000-0005-0000-0000-0000D9070000}"/>
    <cellStyle name="_12+0 MOR_By Country Detail 1Q10 041410pm FIN 18 revised per disc w Mary_Restructuring &amp; Separation_Guidance_Sheet1" xfId="2011" xr:uid="{00000000-0005-0000-0000-0000DA070000}"/>
    <cellStyle name="_12+0 MOR_By Country Detail 1Q10 041410pm FIN 18 revised per disc w Mary_Restructuring &amp; Separation_Guidance_Sheet2" xfId="2012" xr:uid="{00000000-0005-0000-0000-0000DB070000}"/>
    <cellStyle name="_12+0 MOR_By Country Detail 1Q10 041410pm FIN 18 revised per disc w Mary_Restructuring &amp; Separation_Guidance_Sheet3" xfId="2013" xr:uid="{00000000-0005-0000-0000-0000DC070000}"/>
    <cellStyle name="_12+0 MOR_By Country Detail 1Q10 041410pm FIN 18 revised per disc w Mary_Restructuring &amp; Separation_Guidance_Sheet4" xfId="2014" xr:uid="{00000000-0005-0000-0000-0000DD070000}"/>
    <cellStyle name="_12+0 MOR_By Country Detail 1Q10 041410pm FIN 18 revised per disc w Mary_Restructuring &amp; Separation_II.7. Sep&amp;Discrete" xfId="2015" xr:uid="{00000000-0005-0000-0000-0000DE070000}"/>
    <cellStyle name="_12+0 MOR_By Country Detail 1Q10 041410pm FIN 18 revised per disc w Mary_Restructuring &amp; Separation_II.7. Sep&amp;Discrete_Guidance" xfId="2016" xr:uid="{00000000-0005-0000-0000-0000DF070000}"/>
    <cellStyle name="_12+0 MOR_By Country Detail 1Q10 041410pm FIN 18 revised per disc w Mary_Restructuring &amp; Separation_II.7. Sep&amp;Discrete_Guidance 2" xfId="2017" xr:uid="{00000000-0005-0000-0000-0000E0070000}"/>
    <cellStyle name="_12+0 MOR_By Country Detail 1Q10 041410pm FIN 18 revised per disc w Mary_Restructuring &amp; Separation_II.7. Sep&amp;Discrete_Guidance_BS retrieve" xfId="2018" xr:uid="{00000000-0005-0000-0000-0000E1070000}"/>
    <cellStyle name="_12+0 MOR_By Country Detail 1Q10 041410pm FIN 18 revised per disc w Mary_Restructuring &amp; Separation_II.7. Sep&amp;Discrete_Guidance_Free CF" xfId="2019" xr:uid="{00000000-0005-0000-0000-0000E2070000}"/>
    <cellStyle name="_12+0 MOR_By Country Detail 1Q10 041410pm FIN 18 revised per disc w Mary_Restructuring &amp; Separation_II.7. Sep&amp;Discrete_Guidance_P&amp;L Rec Qtr" xfId="2020" xr:uid="{00000000-0005-0000-0000-0000E3070000}"/>
    <cellStyle name="_12+0 MOR_By Country Detail 1Q10 041410pm FIN 18 revised per disc w Mary_Restructuring &amp; Separation_II.7. Sep&amp;Discrete_Guidance_Sheet1" xfId="2021" xr:uid="{00000000-0005-0000-0000-0000E4070000}"/>
    <cellStyle name="_12+0 MOR_By Country Detail 1Q10 041410pm FIN 18 revised per disc w Mary_Restructuring &amp; Separation_II.7. Sep&amp;Discrete_Guidance_Sheet2" xfId="2022" xr:uid="{00000000-0005-0000-0000-0000E5070000}"/>
    <cellStyle name="_12+0 MOR_By Country Detail 1Q10 041410pm FIN 18 revised per disc w Mary_Restructuring &amp; Separation_II.7. Sep&amp;Discrete_Guidance_Sheet3" xfId="2023" xr:uid="{00000000-0005-0000-0000-0000E6070000}"/>
    <cellStyle name="_12+0 MOR_By Country Detail 1Q10 041410pm FIN 18 revised per disc w Mary_Restructuring &amp; Separation_II.7. Sep&amp;Discrete_Guidance_Sheet4" xfId="2024" xr:uid="{00000000-0005-0000-0000-0000E7070000}"/>
    <cellStyle name="_12+0 MOR_Guidance" xfId="2025" xr:uid="{00000000-0005-0000-0000-0000E8070000}"/>
    <cellStyle name="_12+0 MOR_Guidance 2" xfId="2026" xr:uid="{00000000-0005-0000-0000-0000E9070000}"/>
    <cellStyle name="_12+0 MOR_Guidance_BS retrieve" xfId="2027" xr:uid="{00000000-0005-0000-0000-0000EA070000}"/>
    <cellStyle name="_12+0 MOR_Guidance_Free CF" xfId="2028" xr:uid="{00000000-0005-0000-0000-0000EB070000}"/>
    <cellStyle name="_12+0 MOR_Guidance_P&amp;L Rec Qtr" xfId="2029" xr:uid="{00000000-0005-0000-0000-0000EC070000}"/>
    <cellStyle name="_12+0 MOR_Guidance_Sheet1" xfId="2030" xr:uid="{00000000-0005-0000-0000-0000ED070000}"/>
    <cellStyle name="_12+0 MOR_Guidance_Sheet2" xfId="2031" xr:uid="{00000000-0005-0000-0000-0000EE070000}"/>
    <cellStyle name="_12+0 MOR_Guidance_Sheet3" xfId="2032" xr:uid="{00000000-0005-0000-0000-0000EF070000}"/>
    <cellStyle name="_12+0 MOR_Guidance_Sheet4" xfId="2033" xr:uid="{00000000-0005-0000-0000-0000F0070000}"/>
    <cellStyle name="_12+0 MOR_II.4. RawMaterials" xfId="2034" xr:uid="{00000000-0005-0000-0000-0000F1070000}"/>
    <cellStyle name="_12+0 MOR_II.4. RawMaterials 2" xfId="2035" xr:uid="{00000000-0005-0000-0000-0000F2070000}"/>
    <cellStyle name="_12+0 MOR_II.4. RawMaterials_BS retrieve" xfId="2036" xr:uid="{00000000-0005-0000-0000-0000F3070000}"/>
    <cellStyle name="_12+0 MOR_II.4. RawMaterials_Free CF" xfId="2037" xr:uid="{00000000-0005-0000-0000-0000F4070000}"/>
    <cellStyle name="_12+0 MOR_II.4. RawMaterials_P&amp;L Rec Qtr" xfId="2038" xr:uid="{00000000-0005-0000-0000-0000F5070000}"/>
    <cellStyle name="_12+0 MOR_II.4. RawMaterials_Sheet1" xfId="2039" xr:uid="{00000000-0005-0000-0000-0000F6070000}"/>
    <cellStyle name="_12+0 MOR_II.4. RawMaterials_Sheet2" xfId="2040" xr:uid="{00000000-0005-0000-0000-0000F7070000}"/>
    <cellStyle name="_12+0 MOR_II.4. RawMaterials_Sheet3" xfId="2041" xr:uid="{00000000-0005-0000-0000-0000F8070000}"/>
    <cellStyle name="_12+0 MOR_II.4. RawMaterials_Sheet4" xfId="2042" xr:uid="{00000000-0005-0000-0000-0000F9070000}"/>
    <cellStyle name="_12+0 MOR_II.5. RawMaterials" xfId="2043" xr:uid="{00000000-0005-0000-0000-0000FA070000}"/>
    <cellStyle name="_12+0 MOR_II.5. RawMaterials 2" xfId="2044" xr:uid="{00000000-0005-0000-0000-0000FB070000}"/>
    <cellStyle name="_12+0 MOR_II.5. RawMaterials_BS retrieve" xfId="2045" xr:uid="{00000000-0005-0000-0000-0000FC070000}"/>
    <cellStyle name="_12+0 MOR_II.5. RawMaterials_Free CF" xfId="2046" xr:uid="{00000000-0005-0000-0000-0000FD070000}"/>
    <cellStyle name="_12+0 MOR_II.5. RawMaterials_Guidance" xfId="2047" xr:uid="{00000000-0005-0000-0000-0000FE070000}"/>
    <cellStyle name="_12+0 MOR_II.5. RawMaterials_Guidance 2" xfId="2048" xr:uid="{00000000-0005-0000-0000-0000FF070000}"/>
    <cellStyle name="_12+0 MOR_II.5. RawMaterials_Guidance_BS retrieve" xfId="2049" xr:uid="{00000000-0005-0000-0000-000000080000}"/>
    <cellStyle name="_12+0 MOR_II.5. RawMaterials_Guidance_Free CF" xfId="2050" xr:uid="{00000000-0005-0000-0000-000001080000}"/>
    <cellStyle name="_12+0 MOR_II.5. RawMaterials_Guidance_P&amp;L Rec Qtr" xfId="2051" xr:uid="{00000000-0005-0000-0000-000002080000}"/>
    <cellStyle name="_12+0 MOR_II.5. RawMaterials_Guidance_Sheet1" xfId="2052" xr:uid="{00000000-0005-0000-0000-000003080000}"/>
    <cellStyle name="_12+0 MOR_II.5. RawMaterials_Guidance_Sheet2" xfId="2053" xr:uid="{00000000-0005-0000-0000-000004080000}"/>
    <cellStyle name="_12+0 MOR_II.5. RawMaterials_Guidance_Sheet3" xfId="2054" xr:uid="{00000000-0005-0000-0000-000005080000}"/>
    <cellStyle name="_12+0 MOR_II.5. RawMaterials_Guidance_Sheet4" xfId="2055" xr:uid="{00000000-0005-0000-0000-000006080000}"/>
    <cellStyle name="_12+0 MOR_II.5. RawMaterials_P&amp;L Rec Qtr" xfId="2056" xr:uid="{00000000-0005-0000-0000-000007080000}"/>
    <cellStyle name="_12+0 MOR_II.5. RawMaterials_Sheet1" xfId="2057" xr:uid="{00000000-0005-0000-0000-000008080000}"/>
    <cellStyle name="_12+0 MOR_II.5. RawMaterials_Sheet2" xfId="2058" xr:uid="{00000000-0005-0000-0000-000009080000}"/>
    <cellStyle name="_12+0 MOR_II.5. RawMaterials_Sheet3" xfId="2059" xr:uid="{00000000-0005-0000-0000-00000A080000}"/>
    <cellStyle name="_12+0 MOR_II.5. RawMaterials_Sheet4" xfId="2060" xr:uid="{00000000-0005-0000-0000-00000B080000}"/>
    <cellStyle name="_12+0 MOR_II.5. RM Volume Sensitivities" xfId="2061" xr:uid="{00000000-0005-0000-0000-00000C080000}"/>
    <cellStyle name="_12+0 MOR_II.5. RM Volume Sensitivities 2" xfId="2062" xr:uid="{00000000-0005-0000-0000-00000D080000}"/>
    <cellStyle name="_12+0 MOR_II.5. RM Volume Sensitivities_BS retrieve" xfId="2063" xr:uid="{00000000-0005-0000-0000-00000E080000}"/>
    <cellStyle name="_12+0 MOR_II.5. RM Volume Sensitivities_Free CF" xfId="2064" xr:uid="{00000000-0005-0000-0000-00000F080000}"/>
    <cellStyle name="_12+0 MOR_II.5. RM Volume Sensitivities_P&amp;L Rec Qtr" xfId="2065" xr:uid="{00000000-0005-0000-0000-000010080000}"/>
    <cellStyle name="_12+0 MOR_II.5. RM Volume Sensitivities_Sheet1" xfId="2066" xr:uid="{00000000-0005-0000-0000-000011080000}"/>
    <cellStyle name="_12+0 MOR_II.5. RM Volume Sensitivities_Sheet2" xfId="2067" xr:uid="{00000000-0005-0000-0000-000012080000}"/>
    <cellStyle name="_12+0 MOR_II.5. RM Volume Sensitivities_Sheet3" xfId="2068" xr:uid="{00000000-0005-0000-0000-000013080000}"/>
    <cellStyle name="_12+0 MOR_II.5. RM Volume Sensitivities_Sheet4" xfId="2069" xr:uid="{00000000-0005-0000-0000-000014080000}"/>
    <cellStyle name="_12+0 MOR_II.7. Sep&amp;Discrete" xfId="2070" xr:uid="{00000000-0005-0000-0000-000015080000}"/>
    <cellStyle name="_12+0 MOR_II.7. Sep&amp;Discrete_Guidance" xfId="2071" xr:uid="{00000000-0005-0000-0000-000016080000}"/>
    <cellStyle name="_12+0 MOR_II.7. Sep&amp;Discrete_Guidance 2" xfId="2072" xr:uid="{00000000-0005-0000-0000-000017080000}"/>
    <cellStyle name="_12+0 MOR_II.7. Sep&amp;Discrete_Guidance_BS retrieve" xfId="2073" xr:uid="{00000000-0005-0000-0000-000018080000}"/>
    <cellStyle name="_12+0 MOR_II.7. Sep&amp;Discrete_Guidance_Free CF" xfId="2074" xr:uid="{00000000-0005-0000-0000-000019080000}"/>
    <cellStyle name="_12+0 MOR_II.7. Sep&amp;Discrete_Guidance_P&amp;L Rec Qtr" xfId="2075" xr:uid="{00000000-0005-0000-0000-00001A080000}"/>
    <cellStyle name="_12+0 MOR_II.7. Sep&amp;Discrete_Guidance_Sheet1" xfId="2076" xr:uid="{00000000-0005-0000-0000-00001B080000}"/>
    <cellStyle name="_12+0 MOR_II.7. Sep&amp;Discrete_Guidance_Sheet2" xfId="2077" xr:uid="{00000000-0005-0000-0000-00001C080000}"/>
    <cellStyle name="_12+0 MOR_II.7. Sep&amp;Discrete_Guidance_Sheet3" xfId="2078" xr:uid="{00000000-0005-0000-0000-00001D080000}"/>
    <cellStyle name="_12+0 MOR_II.7. Sep&amp;Discrete_Guidance_Sheet4" xfId="2079" xr:uid="{00000000-0005-0000-0000-00001E080000}"/>
    <cellStyle name="_12+0 MOR_II.8. Sep&amp;Discrete" xfId="2080" xr:uid="{00000000-0005-0000-0000-00001F080000}"/>
    <cellStyle name="_12+0 MOR_II.8. Sep&amp;Discrete_Guidance" xfId="2081" xr:uid="{00000000-0005-0000-0000-000020080000}"/>
    <cellStyle name="_12+0 MOR_II.8. Sep&amp;Discrete_Guidance 2" xfId="2082" xr:uid="{00000000-0005-0000-0000-000021080000}"/>
    <cellStyle name="_12+0 MOR_II.8. Sep&amp;Discrete_Guidance_BS retrieve" xfId="2083" xr:uid="{00000000-0005-0000-0000-000022080000}"/>
    <cellStyle name="_12+0 MOR_II.8. Sep&amp;Discrete_Guidance_Free CF" xfId="2084" xr:uid="{00000000-0005-0000-0000-000023080000}"/>
    <cellStyle name="_12+0 MOR_II.8. Sep&amp;Discrete_Guidance_P&amp;L Rec Qtr" xfId="2085" xr:uid="{00000000-0005-0000-0000-000024080000}"/>
    <cellStyle name="_12+0 MOR_II.8. Sep&amp;Discrete_Guidance_Sheet1" xfId="2086" xr:uid="{00000000-0005-0000-0000-000025080000}"/>
    <cellStyle name="_12+0 MOR_II.8. Sep&amp;Discrete_Guidance_Sheet2" xfId="2087" xr:uid="{00000000-0005-0000-0000-000026080000}"/>
    <cellStyle name="_12+0 MOR_II.8. Sep&amp;Discrete_Guidance_Sheet3" xfId="2088" xr:uid="{00000000-0005-0000-0000-000027080000}"/>
    <cellStyle name="_12+0 MOR_II.8. Sep&amp;Discrete_Guidance_Sheet4" xfId="2089" xr:uid="{00000000-0005-0000-0000-000028080000}"/>
    <cellStyle name="_12+0 MOR_Restructuring &amp; Separation" xfId="2090" xr:uid="{00000000-0005-0000-0000-000029080000}"/>
    <cellStyle name="_12+0 MOR_Restructuring &amp; Separation_Guidance" xfId="2091" xr:uid="{00000000-0005-0000-0000-00002A080000}"/>
    <cellStyle name="_12+0 MOR_Restructuring &amp; Separation_Guidance 2" xfId="2092" xr:uid="{00000000-0005-0000-0000-00002B080000}"/>
    <cellStyle name="_12+0 MOR_Restructuring &amp; Separation_Guidance_BS retrieve" xfId="2093" xr:uid="{00000000-0005-0000-0000-00002C080000}"/>
    <cellStyle name="_12+0 MOR_Restructuring &amp; Separation_Guidance_Free CF" xfId="2094" xr:uid="{00000000-0005-0000-0000-00002D080000}"/>
    <cellStyle name="_12+0 MOR_Restructuring &amp; Separation_Guidance_P&amp;L Rec Qtr" xfId="2095" xr:uid="{00000000-0005-0000-0000-00002E080000}"/>
    <cellStyle name="_12+0 MOR_Restructuring &amp; Separation_Guidance_Sheet1" xfId="2096" xr:uid="{00000000-0005-0000-0000-00002F080000}"/>
    <cellStyle name="_12+0 MOR_Restructuring &amp; Separation_Guidance_Sheet2" xfId="2097" xr:uid="{00000000-0005-0000-0000-000030080000}"/>
    <cellStyle name="_12+0 MOR_Restructuring &amp; Separation_Guidance_Sheet3" xfId="2098" xr:uid="{00000000-0005-0000-0000-000031080000}"/>
    <cellStyle name="_12+0 MOR_Restructuring &amp; Separation_Guidance_Sheet4" xfId="2099" xr:uid="{00000000-0005-0000-0000-000032080000}"/>
    <cellStyle name="_12+0 MOR_Restructuring &amp; Separation_II.7. Sep&amp;Discrete" xfId="2100" xr:uid="{00000000-0005-0000-0000-000033080000}"/>
    <cellStyle name="_12+0 MOR_Restructuring &amp; Separation_II.7. Sep&amp;Discrete_Guidance" xfId="2101" xr:uid="{00000000-0005-0000-0000-000034080000}"/>
    <cellStyle name="_12+0 MOR_Restructuring &amp; Separation_II.7. Sep&amp;Discrete_Guidance 2" xfId="2102" xr:uid="{00000000-0005-0000-0000-000035080000}"/>
    <cellStyle name="_12+0 MOR_Restructuring &amp; Separation_II.7. Sep&amp;Discrete_Guidance_BS retrieve" xfId="2103" xr:uid="{00000000-0005-0000-0000-000036080000}"/>
    <cellStyle name="_12+0 MOR_Restructuring &amp; Separation_II.7. Sep&amp;Discrete_Guidance_Free CF" xfId="2104" xr:uid="{00000000-0005-0000-0000-000037080000}"/>
    <cellStyle name="_12+0 MOR_Restructuring &amp; Separation_II.7. Sep&amp;Discrete_Guidance_P&amp;L Rec Qtr" xfId="2105" xr:uid="{00000000-0005-0000-0000-000038080000}"/>
    <cellStyle name="_12+0 MOR_Restructuring &amp; Separation_II.7. Sep&amp;Discrete_Guidance_Sheet1" xfId="2106" xr:uid="{00000000-0005-0000-0000-000039080000}"/>
    <cellStyle name="_12+0 MOR_Restructuring &amp; Separation_II.7. Sep&amp;Discrete_Guidance_Sheet2" xfId="2107" xr:uid="{00000000-0005-0000-0000-00003A080000}"/>
    <cellStyle name="_12+0 MOR_Restructuring &amp; Separation_II.7. Sep&amp;Discrete_Guidance_Sheet3" xfId="2108" xr:uid="{00000000-0005-0000-0000-00003B080000}"/>
    <cellStyle name="_12+0 MOR_Restructuring &amp; Separation_II.7. Sep&amp;Discrete_Guidance_Sheet4" xfId="2109" xr:uid="{00000000-0005-0000-0000-00003C080000}"/>
    <cellStyle name="_12+0 MOR_Restructuring_Separation_TAX_JuneFC2010 tf" xfId="2110" xr:uid="{00000000-0005-0000-0000-00003D080000}"/>
    <cellStyle name="_12+0 MOR_Restructuring_Separation_TAX_JuneFC2010 tf_BS_Separation_TaxResIndem_Q12412 tf" xfId="2111" xr:uid="{00000000-0005-0000-0000-00003E080000}"/>
    <cellStyle name="_12+0 MOR_Restructuring_Separation_TAX_JuneFC2010 tf_BS_Separation_TaxResIndem_Q12412 tf_Guidance" xfId="2112" xr:uid="{00000000-0005-0000-0000-00003F080000}"/>
    <cellStyle name="_12+0 MOR_Restructuring_Separation_TAX_JuneFC2010 tf_BS_Separation_TaxResIndem_Q12412 tf_Guidance 2" xfId="2113" xr:uid="{00000000-0005-0000-0000-000040080000}"/>
    <cellStyle name="_12+0 MOR_Restructuring_Separation_TAX_JuneFC2010 tf_BS_Separation_TaxResIndem_Q12412 tf_Guidance_BS retrieve" xfId="2114" xr:uid="{00000000-0005-0000-0000-000041080000}"/>
    <cellStyle name="_12+0 MOR_Restructuring_Separation_TAX_JuneFC2010 tf_BS_Separation_TaxResIndem_Q12412 tf_Guidance_Free CF" xfId="2115" xr:uid="{00000000-0005-0000-0000-000042080000}"/>
    <cellStyle name="_12+0 MOR_Restructuring_Separation_TAX_JuneFC2010 tf_BS_Separation_TaxResIndem_Q12412 tf_Guidance_P&amp;L Rec Qtr" xfId="2116" xr:uid="{00000000-0005-0000-0000-000043080000}"/>
    <cellStyle name="_12+0 MOR_Restructuring_Separation_TAX_JuneFC2010 tf_BS_Separation_TaxResIndem_Q12412 tf_Guidance_Sheet1" xfId="2117" xr:uid="{00000000-0005-0000-0000-000044080000}"/>
    <cellStyle name="_12+0 MOR_Restructuring_Separation_TAX_JuneFC2010 tf_BS_Separation_TaxResIndem_Q12412 tf_Guidance_Sheet2" xfId="2118" xr:uid="{00000000-0005-0000-0000-000045080000}"/>
    <cellStyle name="_12+0 MOR_Restructuring_Separation_TAX_JuneFC2010 tf_BS_Separation_TaxResIndem_Q12412 tf_Guidance_Sheet3" xfId="2119" xr:uid="{00000000-0005-0000-0000-000046080000}"/>
    <cellStyle name="_12+0 MOR_Restructuring_Separation_TAX_JuneFC2010 tf_BS_Separation_TaxResIndem_Q12412 tf_Guidance_Sheet4" xfId="2120" xr:uid="{00000000-0005-0000-0000-000047080000}"/>
    <cellStyle name="_12+0 MOR_Restructuring_Separation_TAX_JuneFC2010 tf_BS_Separation_TaxResIndem_Q12412 tf_II.7. Sep&amp;Discrete" xfId="2121" xr:uid="{00000000-0005-0000-0000-000048080000}"/>
    <cellStyle name="_12+0 MOR_Restructuring_Separation_TAX_JuneFC2010 tf_BS_Separation_TaxResIndem_Q12412 tf_II.7. Sep&amp;Discrete_Guidance" xfId="2122" xr:uid="{00000000-0005-0000-0000-000049080000}"/>
    <cellStyle name="_12+0 MOR_Restructuring_Separation_TAX_JuneFC2010 tf_BS_Separation_TaxResIndem_Q12412 tf_II.7. Sep&amp;Discrete_Guidance 2" xfId="2123" xr:uid="{00000000-0005-0000-0000-00004A080000}"/>
    <cellStyle name="_12+0 MOR_Restructuring_Separation_TAX_JuneFC2010 tf_BS_Separation_TaxResIndem_Q12412 tf_II.7. Sep&amp;Discrete_Guidance_BS retrieve" xfId="2124" xr:uid="{00000000-0005-0000-0000-00004B080000}"/>
    <cellStyle name="_12+0 MOR_Restructuring_Separation_TAX_JuneFC2010 tf_BS_Separation_TaxResIndem_Q12412 tf_II.7. Sep&amp;Discrete_Guidance_Free CF" xfId="2125" xr:uid="{00000000-0005-0000-0000-00004C080000}"/>
    <cellStyle name="_12+0 MOR_Restructuring_Separation_TAX_JuneFC2010 tf_BS_Separation_TaxResIndem_Q12412 tf_II.7. Sep&amp;Discrete_Guidance_P&amp;L Rec Qtr" xfId="2126" xr:uid="{00000000-0005-0000-0000-00004D080000}"/>
    <cellStyle name="_12+0 MOR_Restructuring_Separation_TAX_JuneFC2010 tf_BS_Separation_TaxResIndem_Q12412 tf_II.7. Sep&amp;Discrete_Guidance_Sheet1" xfId="2127" xr:uid="{00000000-0005-0000-0000-00004E080000}"/>
    <cellStyle name="_12+0 MOR_Restructuring_Separation_TAX_JuneFC2010 tf_BS_Separation_TaxResIndem_Q12412 tf_II.7. Sep&amp;Discrete_Guidance_Sheet2" xfId="2128" xr:uid="{00000000-0005-0000-0000-00004F080000}"/>
    <cellStyle name="_12+0 MOR_Restructuring_Separation_TAX_JuneFC2010 tf_BS_Separation_TaxResIndem_Q12412 tf_II.7. Sep&amp;Discrete_Guidance_Sheet3" xfId="2129" xr:uid="{00000000-0005-0000-0000-000050080000}"/>
    <cellStyle name="_12+0 MOR_Restructuring_Separation_TAX_JuneFC2010 tf_BS_Separation_TaxResIndem_Q12412 tf_II.7. Sep&amp;Discrete_Guidance_Sheet4" xfId="2130" xr:uid="{00000000-0005-0000-0000-000051080000}"/>
    <cellStyle name="_12+0 MOR_Restructuring_Separation_TAX_JuneFC2010 tf_BS_Separation_TaxResIndem_Q12412 tf_Restructuring &amp; Separation" xfId="2131" xr:uid="{00000000-0005-0000-0000-000052080000}"/>
    <cellStyle name="_12+0 MOR_Restructuring_Separation_TAX_JuneFC2010 tf_BS_Separation_TaxResIndem_Q12412 tf_Restructuring &amp; Separation_Guidance" xfId="2132" xr:uid="{00000000-0005-0000-0000-000053080000}"/>
    <cellStyle name="_12+0 MOR_Restructuring_Separation_TAX_JuneFC2010 tf_BS_Separation_TaxResIndem_Q12412 tf_Restructuring &amp; Separation_Guidance 2" xfId="2133" xr:uid="{00000000-0005-0000-0000-000054080000}"/>
    <cellStyle name="_12+0 MOR_Restructuring_Separation_TAX_JuneFC2010 tf_BS_Separation_TaxResIndem_Q12412 tf_Restructuring &amp; Separation_Guidance_BS retrieve" xfId="2134" xr:uid="{00000000-0005-0000-0000-000055080000}"/>
    <cellStyle name="_12+0 MOR_Restructuring_Separation_TAX_JuneFC2010 tf_BS_Separation_TaxResIndem_Q12412 tf_Restructuring &amp; Separation_Guidance_Free CF" xfId="2135" xr:uid="{00000000-0005-0000-0000-000056080000}"/>
    <cellStyle name="_12+0 MOR_Restructuring_Separation_TAX_JuneFC2010 tf_BS_Separation_TaxResIndem_Q12412 tf_Restructuring &amp; Separation_Guidance_P&amp;L Rec Qtr" xfId="2136" xr:uid="{00000000-0005-0000-0000-000057080000}"/>
    <cellStyle name="_12+0 MOR_Restructuring_Separation_TAX_JuneFC2010 tf_BS_Separation_TaxResIndem_Q12412 tf_Restructuring &amp; Separation_Guidance_Sheet1" xfId="2137" xr:uid="{00000000-0005-0000-0000-000058080000}"/>
    <cellStyle name="_12+0 MOR_Restructuring_Separation_TAX_JuneFC2010 tf_BS_Separation_TaxResIndem_Q12412 tf_Restructuring &amp; Separation_Guidance_Sheet2" xfId="2138" xr:uid="{00000000-0005-0000-0000-000059080000}"/>
    <cellStyle name="_12+0 MOR_Restructuring_Separation_TAX_JuneFC2010 tf_BS_Separation_TaxResIndem_Q12412 tf_Restructuring &amp; Separation_Guidance_Sheet3" xfId="2139" xr:uid="{00000000-0005-0000-0000-00005A080000}"/>
    <cellStyle name="_12+0 MOR_Restructuring_Separation_TAX_JuneFC2010 tf_BS_Separation_TaxResIndem_Q12412 tf_Restructuring &amp; Separation_Guidance_Sheet4" xfId="2140" xr:uid="{00000000-0005-0000-0000-00005B080000}"/>
    <cellStyle name="_12+0 MOR_Restructuring_Separation_TAX_JuneFC2010 tf_BS_Separation_TaxResIndem_Q12412 tf_Restructuring &amp; Separation_II.7. Sep&amp;Discrete" xfId="2141" xr:uid="{00000000-0005-0000-0000-00005C080000}"/>
    <cellStyle name="_12+0 MOR_Restructuring_Separation_TAX_JuneFC2010 tf_BS_Separation_TaxResIndem_Q12412 tf_Restructuring &amp; Separation_II.7. Sep&amp;Discrete_Guidance" xfId="2142" xr:uid="{00000000-0005-0000-0000-00005D080000}"/>
    <cellStyle name="_12+0 MOR_Restructuring_Separation_TAX_JuneFC2010 tf_BS_Separation_TaxResIndem_Q12412 tf_Restructuring &amp; Separation_II.7. Sep&amp;Discrete_Guidance 2" xfId="2143" xr:uid="{00000000-0005-0000-0000-00005E080000}"/>
    <cellStyle name="_12+0 MOR_Restructuring_Separation_TAX_JuneFC2010 tf_BS_Separation_TaxResIndem_Q12412 tf_Restructuring &amp; Separation_II.7. Sep&amp;Discrete_Guidance_BS retrieve" xfId="2144" xr:uid="{00000000-0005-0000-0000-00005F080000}"/>
    <cellStyle name="_12+0 MOR_Restructuring_Separation_TAX_JuneFC2010 tf_BS_Separation_TaxResIndem_Q12412 tf_Restructuring &amp; Separation_II.7. Sep&amp;Discrete_Guidance_Free CF" xfId="2145" xr:uid="{00000000-0005-0000-0000-000060080000}"/>
    <cellStyle name="_12+0 MOR_Restructuring_Separation_TAX_JuneFC2010 tf_BS_Separation_TaxResIndem_Q12412 tf_Restructuring &amp; Separation_II.7. Sep&amp;Discrete_Guidance_P&amp;L Rec Qtr" xfId="2146" xr:uid="{00000000-0005-0000-0000-000061080000}"/>
    <cellStyle name="_12+0 MOR_Restructuring_Separation_TAX_JuneFC2010 tf_BS_Separation_TaxResIndem_Q12412 tf_Restructuring &amp; Separation_II.7. Sep&amp;Discrete_Guidance_Sheet1" xfId="2147" xr:uid="{00000000-0005-0000-0000-000062080000}"/>
    <cellStyle name="_12+0 MOR_Restructuring_Separation_TAX_JuneFC2010 tf_BS_Separation_TaxResIndem_Q12412 tf_Restructuring &amp; Separation_II.7. Sep&amp;Discrete_Guidance_Sheet2" xfId="2148" xr:uid="{00000000-0005-0000-0000-000063080000}"/>
    <cellStyle name="_12+0 MOR_Restructuring_Separation_TAX_JuneFC2010 tf_BS_Separation_TaxResIndem_Q12412 tf_Restructuring &amp; Separation_II.7. Sep&amp;Discrete_Guidance_Sheet3" xfId="2149" xr:uid="{00000000-0005-0000-0000-000064080000}"/>
    <cellStyle name="_12+0 MOR_Restructuring_Separation_TAX_JuneFC2010 tf_BS_Separation_TaxResIndem_Q12412 tf_Restructuring &amp; Separation_II.7. Sep&amp;Discrete_Guidance_Sheet4" xfId="2150" xr:uid="{00000000-0005-0000-0000-000065080000}"/>
    <cellStyle name="_12+0 MOR_Restructuring_Separation_TAX_JuneFC2010 tf_Guidance" xfId="2151" xr:uid="{00000000-0005-0000-0000-000066080000}"/>
    <cellStyle name="_12+0 MOR_Restructuring_Separation_TAX_JuneFC2010 tf_Guidance 2" xfId="2152" xr:uid="{00000000-0005-0000-0000-000067080000}"/>
    <cellStyle name="_12+0 MOR_Restructuring_Separation_TAX_JuneFC2010 tf_Guidance_BS retrieve" xfId="2153" xr:uid="{00000000-0005-0000-0000-000068080000}"/>
    <cellStyle name="_12+0 MOR_Restructuring_Separation_TAX_JuneFC2010 tf_Guidance_Free CF" xfId="2154" xr:uid="{00000000-0005-0000-0000-000069080000}"/>
    <cellStyle name="_12+0 MOR_Restructuring_Separation_TAX_JuneFC2010 tf_Guidance_P&amp;L Rec Qtr" xfId="2155" xr:uid="{00000000-0005-0000-0000-00006A080000}"/>
    <cellStyle name="_12+0 MOR_Restructuring_Separation_TAX_JuneFC2010 tf_Guidance_Sheet1" xfId="2156" xr:uid="{00000000-0005-0000-0000-00006B080000}"/>
    <cellStyle name="_12+0 MOR_Restructuring_Separation_TAX_JuneFC2010 tf_Guidance_Sheet2" xfId="2157" xr:uid="{00000000-0005-0000-0000-00006C080000}"/>
    <cellStyle name="_12+0 MOR_Restructuring_Separation_TAX_JuneFC2010 tf_Guidance_Sheet3" xfId="2158" xr:uid="{00000000-0005-0000-0000-00006D080000}"/>
    <cellStyle name="_12+0 MOR_Restructuring_Separation_TAX_JuneFC2010 tf_Guidance_Sheet4" xfId="2159" xr:uid="{00000000-0005-0000-0000-00006E080000}"/>
    <cellStyle name="_12+0 MOR_Restructuring_Separation_TAX_JuneFC2010 tf_II.7. Sep&amp;Discrete" xfId="2160" xr:uid="{00000000-0005-0000-0000-00006F080000}"/>
    <cellStyle name="_12+0 MOR_Restructuring_Separation_TAX_JuneFC2010 tf_II.7. Sep&amp;Discrete_Guidance" xfId="2161" xr:uid="{00000000-0005-0000-0000-000070080000}"/>
    <cellStyle name="_12+0 MOR_Restructuring_Separation_TAX_JuneFC2010 tf_II.7. Sep&amp;Discrete_Guidance 2" xfId="2162" xr:uid="{00000000-0005-0000-0000-000071080000}"/>
    <cellStyle name="_12+0 MOR_Restructuring_Separation_TAX_JuneFC2010 tf_II.7. Sep&amp;Discrete_Guidance_BS retrieve" xfId="2163" xr:uid="{00000000-0005-0000-0000-000072080000}"/>
    <cellStyle name="_12+0 MOR_Restructuring_Separation_TAX_JuneFC2010 tf_II.7. Sep&amp;Discrete_Guidance_Free CF" xfId="2164" xr:uid="{00000000-0005-0000-0000-000073080000}"/>
    <cellStyle name="_12+0 MOR_Restructuring_Separation_TAX_JuneFC2010 tf_II.7. Sep&amp;Discrete_Guidance_P&amp;L Rec Qtr" xfId="2165" xr:uid="{00000000-0005-0000-0000-000074080000}"/>
    <cellStyle name="_12+0 MOR_Restructuring_Separation_TAX_JuneFC2010 tf_II.7. Sep&amp;Discrete_Guidance_Sheet1" xfId="2166" xr:uid="{00000000-0005-0000-0000-000075080000}"/>
    <cellStyle name="_12+0 MOR_Restructuring_Separation_TAX_JuneFC2010 tf_II.7. Sep&amp;Discrete_Guidance_Sheet2" xfId="2167" xr:uid="{00000000-0005-0000-0000-000076080000}"/>
    <cellStyle name="_12+0 MOR_Restructuring_Separation_TAX_JuneFC2010 tf_II.7. Sep&amp;Discrete_Guidance_Sheet3" xfId="2168" xr:uid="{00000000-0005-0000-0000-000077080000}"/>
    <cellStyle name="_12+0 MOR_Restructuring_Separation_TAX_JuneFC2010 tf_II.7. Sep&amp;Discrete_Guidance_Sheet4" xfId="2169" xr:uid="{00000000-0005-0000-0000-000078080000}"/>
    <cellStyle name="_12+0 MOR_Restructuring_Separation_TAX_JuneFC2010 tf_II.8. Sep&amp;Discrete" xfId="2170" xr:uid="{00000000-0005-0000-0000-000079080000}"/>
    <cellStyle name="_12+0 MOR_Restructuring_Separation_TAX_JuneFC2010 tf_II.8. Sep&amp;Discrete_Guidance" xfId="2171" xr:uid="{00000000-0005-0000-0000-00007A080000}"/>
    <cellStyle name="_12+0 MOR_Restructuring_Separation_TAX_JuneFC2010 tf_II.8. Sep&amp;Discrete_Guidance 2" xfId="2172" xr:uid="{00000000-0005-0000-0000-00007B080000}"/>
    <cellStyle name="_12+0 MOR_Restructuring_Separation_TAX_JuneFC2010 tf_II.8. Sep&amp;Discrete_Guidance_BS retrieve" xfId="2173" xr:uid="{00000000-0005-0000-0000-00007C080000}"/>
    <cellStyle name="_12+0 MOR_Restructuring_Separation_TAX_JuneFC2010 tf_II.8. Sep&amp;Discrete_Guidance_Free CF" xfId="2174" xr:uid="{00000000-0005-0000-0000-00007D080000}"/>
    <cellStyle name="_12+0 MOR_Restructuring_Separation_TAX_JuneFC2010 tf_II.8. Sep&amp;Discrete_Guidance_P&amp;L Rec Qtr" xfId="2175" xr:uid="{00000000-0005-0000-0000-00007E080000}"/>
    <cellStyle name="_12+0 MOR_Restructuring_Separation_TAX_JuneFC2010 tf_II.8. Sep&amp;Discrete_Guidance_Sheet1" xfId="2176" xr:uid="{00000000-0005-0000-0000-00007F080000}"/>
    <cellStyle name="_12+0 MOR_Restructuring_Separation_TAX_JuneFC2010 tf_II.8. Sep&amp;Discrete_Guidance_Sheet2" xfId="2177" xr:uid="{00000000-0005-0000-0000-000080080000}"/>
    <cellStyle name="_12+0 MOR_Restructuring_Separation_TAX_JuneFC2010 tf_II.8. Sep&amp;Discrete_Guidance_Sheet3" xfId="2178" xr:uid="{00000000-0005-0000-0000-000081080000}"/>
    <cellStyle name="_12+0 MOR_Restructuring_Separation_TAX_JuneFC2010 tf_II.8. Sep&amp;Discrete_Guidance_Sheet4" xfId="2179" xr:uid="{00000000-0005-0000-0000-000082080000}"/>
    <cellStyle name="_12+0 MOR_Restructuring_Separation_TAX_JuneFC2010 tf_Restructuring &amp; Separation" xfId="2180" xr:uid="{00000000-0005-0000-0000-000083080000}"/>
    <cellStyle name="_12+0 MOR_Restructuring_Separation_TAX_JuneFC2010 tf_Restructuring &amp; Separation_Guidance" xfId="2181" xr:uid="{00000000-0005-0000-0000-000084080000}"/>
    <cellStyle name="_12+0 MOR_Restructuring_Separation_TAX_JuneFC2010 tf_Restructuring &amp; Separation_Guidance 2" xfId="2182" xr:uid="{00000000-0005-0000-0000-000085080000}"/>
    <cellStyle name="_12+0 MOR_Restructuring_Separation_TAX_JuneFC2010 tf_Restructuring &amp; Separation_Guidance_BS retrieve" xfId="2183" xr:uid="{00000000-0005-0000-0000-000086080000}"/>
    <cellStyle name="_12+0 MOR_Restructuring_Separation_TAX_JuneFC2010 tf_Restructuring &amp; Separation_Guidance_Free CF" xfId="2184" xr:uid="{00000000-0005-0000-0000-000087080000}"/>
    <cellStyle name="_12+0 MOR_Restructuring_Separation_TAX_JuneFC2010 tf_Restructuring &amp; Separation_Guidance_P&amp;L Rec Qtr" xfId="2185" xr:uid="{00000000-0005-0000-0000-000088080000}"/>
    <cellStyle name="_12+0 MOR_Restructuring_Separation_TAX_JuneFC2010 tf_Restructuring &amp; Separation_Guidance_Sheet1" xfId="2186" xr:uid="{00000000-0005-0000-0000-000089080000}"/>
    <cellStyle name="_12+0 MOR_Restructuring_Separation_TAX_JuneFC2010 tf_Restructuring &amp; Separation_Guidance_Sheet2" xfId="2187" xr:uid="{00000000-0005-0000-0000-00008A080000}"/>
    <cellStyle name="_12+0 MOR_Restructuring_Separation_TAX_JuneFC2010 tf_Restructuring &amp; Separation_Guidance_Sheet3" xfId="2188" xr:uid="{00000000-0005-0000-0000-00008B080000}"/>
    <cellStyle name="_12+0 MOR_Restructuring_Separation_TAX_JuneFC2010 tf_Restructuring &amp; Separation_Guidance_Sheet4" xfId="2189" xr:uid="{00000000-0005-0000-0000-00008C080000}"/>
    <cellStyle name="_12+0 MOR_Restructuring_Separation_TAX_JuneFC2010 tf_Restructuring &amp; Separation_II.7. Sep&amp;Discrete" xfId="2190" xr:uid="{00000000-0005-0000-0000-00008D080000}"/>
    <cellStyle name="_12+0 MOR_Restructuring_Separation_TAX_JuneFC2010 tf_Restructuring &amp; Separation_II.7. Sep&amp;Discrete_Guidance" xfId="2191" xr:uid="{00000000-0005-0000-0000-00008E080000}"/>
    <cellStyle name="_12+0 MOR_Restructuring_Separation_TAX_JuneFC2010 tf_Restructuring &amp; Separation_II.7. Sep&amp;Discrete_Guidance 2" xfId="2192" xr:uid="{00000000-0005-0000-0000-00008F080000}"/>
    <cellStyle name="_12+0 MOR_Restructuring_Separation_TAX_JuneFC2010 tf_Restructuring &amp; Separation_II.7. Sep&amp;Discrete_Guidance_BS retrieve" xfId="2193" xr:uid="{00000000-0005-0000-0000-000090080000}"/>
    <cellStyle name="_12+0 MOR_Restructuring_Separation_TAX_JuneFC2010 tf_Restructuring &amp; Separation_II.7. Sep&amp;Discrete_Guidance_Free CF" xfId="2194" xr:uid="{00000000-0005-0000-0000-000091080000}"/>
    <cellStyle name="_12+0 MOR_Restructuring_Separation_TAX_JuneFC2010 tf_Restructuring &amp; Separation_II.7. Sep&amp;Discrete_Guidance_P&amp;L Rec Qtr" xfId="2195" xr:uid="{00000000-0005-0000-0000-000092080000}"/>
    <cellStyle name="_12+0 MOR_Restructuring_Separation_TAX_JuneFC2010 tf_Restructuring &amp; Separation_II.7. Sep&amp;Discrete_Guidance_Sheet1" xfId="2196" xr:uid="{00000000-0005-0000-0000-000093080000}"/>
    <cellStyle name="_12+0 MOR_Restructuring_Separation_TAX_JuneFC2010 tf_Restructuring &amp; Separation_II.7. Sep&amp;Discrete_Guidance_Sheet2" xfId="2197" xr:uid="{00000000-0005-0000-0000-000094080000}"/>
    <cellStyle name="_12+0 MOR_Restructuring_Separation_TAX_JuneFC2010 tf_Restructuring &amp; Separation_II.7. Sep&amp;Discrete_Guidance_Sheet3" xfId="2198" xr:uid="{00000000-0005-0000-0000-000095080000}"/>
    <cellStyle name="_12+0 MOR_Restructuring_Separation_TAX_JuneFC2010 tf_Restructuring &amp; Separation_II.7. Sep&amp;Discrete_Guidance_Sheet4" xfId="2199" xr:uid="{00000000-0005-0000-0000-000096080000}"/>
    <cellStyle name="_AOP 2010 Income Statement VCS" xfId="2200" xr:uid="{00000000-0005-0000-0000-000097080000}"/>
    <cellStyle name="_AOP 2010 Income Statement VCS_BS_Separation_TaxResIndem_Q12412 tf" xfId="2201" xr:uid="{00000000-0005-0000-0000-000098080000}"/>
    <cellStyle name="_AOP 2010 Income Statement VCS_BS_Separation_TaxResIndem_Q12412 tf_Guidance" xfId="2202" xr:uid="{00000000-0005-0000-0000-000099080000}"/>
    <cellStyle name="_AOP 2010 Income Statement VCS_BS_Separation_TaxResIndem_Q12412 tf_Guidance 2" xfId="2203" xr:uid="{00000000-0005-0000-0000-00009A080000}"/>
    <cellStyle name="_AOP 2010 Income Statement VCS_BS_Separation_TaxResIndem_Q12412 tf_Guidance_BS retrieve" xfId="2204" xr:uid="{00000000-0005-0000-0000-00009B080000}"/>
    <cellStyle name="_AOP 2010 Income Statement VCS_BS_Separation_TaxResIndem_Q12412 tf_Guidance_Free CF" xfId="2205" xr:uid="{00000000-0005-0000-0000-00009C080000}"/>
    <cellStyle name="_AOP 2010 Income Statement VCS_BS_Separation_TaxResIndem_Q12412 tf_Guidance_P&amp;L Rec Qtr" xfId="2206" xr:uid="{00000000-0005-0000-0000-00009D080000}"/>
    <cellStyle name="_AOP 2010 Income Statement VCS_BS_Separation_TaxResIndem_Q12412 tf_Guidance_Sheet1" xfId="2207" xr:uid="{00000000-0005-0000-0000-00009E080000}"/>
    <cellStyle name="_AOP 2010 Income Statement VCS_BS_Separation_TaxResIndem_Q12412 tf_Guidance_Sheet2" xfId="2208" xr:uid="{00000000-0005-0000-0000-00009F080000}"/>
    <cellStyle name="_AOP 2010 Income Statement VCS_BS_Separation_TaxResIndem_Q12412 tf_Guidance_Sheet3" xfId="2209" xr:uid="{00000000-0005-0000-0000-0000A0080000}"/>
    <cellStyle name="_AOP 2010 Income Statement VCS_BS_Separation_TaxResIndem_Q12412 tf_Guidance_Sheet4" xfId="2210" xr:uid="{00000000-0005-0000-0000-0000A1080000}"/>
    <cellStyle name="_AOP 2010 Income Statement VCS_BS_Separation_TaxResIndem_Q12412 tf_II.7. Sep&amp;Discrete" xfId="2211" xr:uid="{00000000-0005-0000-0000-0000A2080000}"/>
    <cellStyle name="_AOP 2010 Income Statement VCS_BS_Separation_TaxResIndem_Q12412 tf_II.7. Sep&amp;Discrete_Guidance" xfId="2212" xr:uid="{00000000-0005-0000-0000-0000A3080000}"/>
    <cellStyle name="_AOP 2010 Income Statement VCS_BS_Separation_TaxResIndem_Q12412 tf_II.7. Sep&amp;Discrete_Guidance 2" xfId="2213" xr:uid="{00000000-0005-0000-0000-0000A4080000}"/>
    <cellStyle name="_AOP 2010 Income Statement VCS_BS_Separation_TaxResIndem_Q12412 tf_II.7. Sep&amp;Discrete_Guidance_BS retrieve" xfId="2214" xr:uid="{00000000-0005-0000-0000-0000A5080000}"/>
    <cellStyle name="_AOP 2010 Income Statement VCS_BS_Separation_TaxResIndem_Q12412 tf_II.7. Sep&amp;Discrete_Guidance_Free CF" xfId="2215" xr:uid="{00000000-0005-0000-0000-0000A6080000}"/>
    <cellStyle name="_AOP 2010 Income Statement VCS_BS_Separation_TaxResIndem_Q12412 tf_II.7. Sep&amp;Discrete_Guidance_P&amp;L Rec Qtr" xfId="2216" xr:uid="{00000000-0005-0000-0000-0000A7080000}"/>
    <cellStyle name="_AOP 2010 Income Statement VCS_BS_Separation_TaxResIndem_Q12412 tf_II.7. Sep&amp;Discrete_Guidance_Sheet1" xfId="2217" xr:uid="{00000000-0005-0000-0000-0000A8080000}"/>
    <cellStyle name="_AOP 2010 Income Statement VCS_BS_Separation_TaxResIndem_Q12412 tf_II.7. Sep&amp;Discrete_Guidance_Sheet2" xfId="2218" xr:uid="{00000000-0005-0000-0000-0000A9080000}"/>
    <cellStyle name="_AOP 2010 Income Statement VCS_BS_Separation_TaxResIndem_Q12412 tf_II.7. Sep&amp;Discrete_Guidance_Sheet3" xfId="2219" xr:uid="{00000000-0005-0000-0000-0000AA080000}"/>
    <cellStyle name="_AOP 2010 Income Statement VCS_BS_Separation_TaxResIndem_Q12412 tf_II.7. Sep&amp;Discrete_Guidance_Sheet4" xfId="2220" xr:uid="{00000000-0005-0000-0000-0000AB080000}"/>
    <cellStyle name="_AOP 2010 Income Statement VCS_BS_Separation_TaxResIndem_Q12412 tf_Restructuring &amp; Separation" xfId="2221" xr:uid="{00000000-0005-0000-0000-0000AC080000}"/>
    <cellStyle name="_AOP 2010 Income Statement VCS_BS_Separation_TaxResIndem_Q12412 tf_Restructuring &amp; Separation_Guidance" xfId="2222" xr:uid="{00000000-0005-0000-0000-0000AD080000}"/>
    <cellStyle name="_AOP 2010 Income Statement VCS_BS_Separation_TaxResIndem_Q12412 tf_Restructuring &amp; Separation_Guidance 2" xfId="2223" xr:uid="{00000000-0005-0000-0000-0000AE080000}"/>
    <cellStyle name="_AOP 2010 Income Statement VCS_BS_Separation_TaxResIndem_Q12412 tf_Restructuring &amp; Separation_Guidance_BS retrieve" xfId="2224" xr:uid="{00000000-0005-0000-0000-0000AF080000}"/>
    <cellStyle name="_AOP 2010 Income Statement VCS_BS_Separation_TaxResIndem_Q12412 tf_Restructuring &amp; Separation_Guidance_Free CF" xfId="2225" xr:uid="{00000000-0005-0000-0000-0000B0080000}"/>
    <cellStyle name="_AOP 2010 Income Statement VCS_BS_Separation_TaxResIndem_Q12412 tf_Restructuring &amp; Separation_Guidance_P&amp;L Rec Qtr" xfId="2226" xr:uid="{00000000-0005-0000-0000-0000B1080000}"/>
    <cellStyle name="_AOP 2010 Income Statement VCS_BS_Separation_TaxResIndem_Q12412 tf_Restructuring &amp; Separation_Guidance_Sheet1" xfId="2227" xr:uid="{00000000-0005-0000-0000-0000B2080000}"/>
    <cellStyle name="_AOP 2010 Income Statement VCS_BS_Separation_TaxResIndem_Q12412 tf_Restructuring &amp; Separation_Guidance_Sheet2" xfId="2228" xr:uid="{00000000-0005-0000-0000-0000B3080000}"/>
    <cellStyle name="_AOP 2010 Income Statement VCS_BS_Separation_TaxResIndem_Q12412 tf_Restructuring &amp; Separation_Guidance_Sheet3" xfId="2229" xr:uid="{00000000-0005-0000-0000-0000B4080000}"/>
    <cellStyle name="_AOP 2010 Income Statement VCS_BS_Separation_TaxResIndem_Q12412 tf_Restructuring &amp; Separation_Guidance_Sheet4" xfId="2230" xr:uid="{00000000-0005-0000-0000-0000B5080000}"/>
    <cellStyle name="_AOP 2010 Income Statement VCS_BS_Separation_TaxResIndem_Q12412 tf_Restructuring &amp; Separation_II.7. Sep&amp;Discrete" xfId="2231" xr:uid="{00000000-0005-0000-0000-0000B6080000}"/>
    <cellStyle name="_AOP 2010 Income Statement VCS_BS_Separation_TaxResIndem_Q12412 tf_Restructuring &amp; Separation_II.7. Sep&amp;Discrete_Guidance" xfId="2232" xr:uid="{00000000-0005-0000-0000-0000B7080000}"/>
    <cellStyle name="_AOP 2010 Income Statement VCS_BS_Separation_TaxResIndem_Q12412 tf_Restructuring &amp; Separation_II.7. Sep&amp;Discrete_Guidance 2" xfId="2233" xr:uid="{00000000-0005-0000-0000-0000B8080000}"/>
    <cellStyle name="_AOP 2010 Income Statement VCS_BS_Separation_TaxResIndem_Q12412 tf_Restructuring &amp; Separation_II.7. Sep&amp;Discrete_Guidance_BS retrieve" xfId="2234" xr:uid="{00000000-0005-0000-0000-0000B9080000}"/>
    <cellStyle name="_AOP 2010 Income Statement VCS_BS_Separation_TaxResIndem_Q12412 tf_Restructuring &amp; Separation_II.7. Sep&amp;Discrete_Guidance_Free CF" xfId="2235" xr:uid="{00000000-0005-0000-0000-0000BA080000}"/>
    <cellStyle name="_AOP 2010 Income Statement VCS_BS_Separation_TaxResIndem_Q12412 tf_Restructuring &amp; Separation_II.7. Sep&amp;Discrete_Guidance_P&amp;L Rec Qtr" xfId="2236" xr:uid="{00000000-0005-0000-0000-0000BB080000}"/>
    <cellStyle name="_AOP 2010 Income Statement VCS_BS_Separation_TaxResIndem_Q12412 tf_Restructuring &amp; Separation_II.7. Sep&amp;Discrete_Guidance_Sheet1" xfId="2237" xr:uid="{00000000-0005-0000-0000-0000BC080000}"/>
    <cellStyle name="_AOP 2010 Income Statement VCS_BS_Separation_TaxResIndem_Q12412 tf_Restructuring &amp; Separation_II.7. Sep&amp;Discrete_Guidance_Sheet2" xfId="2238" xr:uid="{00000000-0005-0000-0000-0000BD080000}"/>
    <cellStyle name="_AOP 2010 Income Statement VCS_BS_Separation_TaxResIndem_Q12412 tf_Restructuring &amp; Separation_II.7. Sep&amp;Discrete_Guidance_Sheet3" xfId="2239" xr:uid="{00000000-0005-0000-0000-0000BE080000}"/>
    <cellStyle name="_AOP 2010 Income Statement VCS_BS_Separation_TaxResIndem_Q12412 tf_Restructuring &amp; Separation_II.7. Sep&amp;Discrete_Guidance_Sheet4" xfId="2240" xr:uid="{00000000-0005-0000-0000-0000BF080000}"/>
    <cellStyle name="_AOP 2010 Income Statement VCS_Guidance" xfId="2241" xr:uid="{00000000-0005-0000-0000-0000C0080000}"/>
    <cellStyle name="_AOP 2010 Income Statement VCS_Guidance 2" xfId="2242" xr:uid="{00000000-0005-0000-0000-0000C1080000}"/>
    <cellStyle name="_AOP 2010 Income Statement VCS_Guidance_BS retrieve" xfId="2243" xr:uid="{00000000-0005-0000-0000-0000C2080000}"/>
    <cellStyle name="_AOP 2010 Income Statement VCS_Guidance_Free CF" xfId="2244" xr:uid="{00000000-0005-0000-0000-0000C3080000}"/>
    <cellStyle name="_AOP 2010 Income Statement VCS_Guidance_P&amp;L Rec Qtr" xfId="2245" xr:uid="{00000000-0005-0000-0000-0000C4080000}"/>
    <cellStyle name="_AOP 2010 Income Statement VCS_Guidance_Sheet1" xfId="2246" xr:uid="{00000000-0005-0000-0000-0000C5080000}"/>
    <cellStyle name="_AOP 2010 Income Statement VCS_Guidance_Sheet2" xfId="2247" xr:uid="{00000000-0005-0000-0000-0000C6080000}"/>
    <cellStyle name="_AOP 2010 Income Statement VCS_Guidance_Sheet3" xfId="2248" xr:uid="{00000000-0005-0000-0000-0000C7080000}"/>
    <cellStyle name="_AOP 2010 Income Statement VCS_Guidance_Sheet4" xfId="2249" xr:uid="{00000000-0005-0000-0000-0000C8080000}"/>
    <cellStyle name="_AOP 2010 Income Statement VCS_II.7. Sep&amp;Discrete" xfId="2250" xr:uid="{00000000-0005-0000-0000-0000C9080000}"/>
    <cellStyle name="_AOP 2010 Income Statement VCS_II.7. Sep&amp;Discrete_Guidance" xfId="2251" xr:uid="{00000000-0005-0000-0000-0000CA080000}"/>
    <cellStyle name="_AOP 2010 Income Statement VCS_II.7. Sep&amp;Discrete_Guidance 2" xfId="2252" xr:uid="{00000000-0005-0000-0000-0000CB080000}"/>
    <cellStyle name="_AOP 2010 Income Statement VCS_II.7. Sep&amp;Discrete_Guidance_BS retrieve" xfId="2253" xr:uid="{00000000-0005-0000-0000-0000CC080000}"/>
    <cellStyle name="_AOP 2010 Income Statement VCS_II.7. Sep&amp;Discrete_Guidance_Free CF" xfId="2254" xr:uid="{00000000-0005-0000-0000-0000CD080000}"/>
    <cellStyle name="_AOP 2010 Income Statement VCS_II.7. Sep&amp;Discrete_Guidance_P&amp;L Rec Qtr" xfId="2255" xr:uid="{00000000-0005-0000-0000-0000CE080000}"/>
    <cellStyle name="_AOP 2010 Income Statement VCS_II.7. Sep&amp;Discrete_Guidance_Sheet1" xfId="2256" xr:uid="{00000000-0005-0000-0000-0000CF080000}"/>
    <cellStyle name="_AOP 2010 Income Statement VCS_II.7. Sep&amp;Discrete_Guidance_Sheet2" xfId="2257" xr:uid="{00000000-0005-0000-0000-0000D0080000}"/>
    <cellStyle name="_AOP 2010 Income Statement VCS_II.7. Sep&amp;Discrete_Guidance_Sheet3" xfId="2258" xr:uid="{00000000-0005-0000-0000-0000D1080000}"/>
    <cellStyle name="_AOP 2010 Income Statement VCS_II.7. Sep&amp;Discrete_Guidance_Sheet4" xfId="2259" xr:uid="{00000000-0005-0000-0000-0000D2080000}"/>
    <cellStyle name="_AOP 2010 Income Statement VCS_II.8. Sep&amp;Discrete" xfId="2260" xr:uid="{00000000-0005-0000-0000-0000D3080000}"/>
    <cellStyle name="_AOP 2010 Income Statement VCS_II.8. Sep&amp;Discrete_Guidance" xfId="2261" xr:uid="{00000000-0005-0000-0000-0000D4080000}"/>
    <cellStyle name="_AOP 2010 Income Statement VCS_II.8. Sep&amp;Discrete_Guidance 2" xfId="2262" xr:uid="{00000000-0005-0000-0000-0000D5080000}"/>
    <cellStyle name="_AOP 2010 Income Statement VCS_II.8. Sep&amp;Discrete_Guidance_BS retrieve" xfId="2263" xr:uid="{00000000-0005-0000-0000-0000D6080000}"/>
    <cellStyle name="_AOP 2010 Income Statement VCS_II.8. Sep&amp;Discrete_Guidance_Free CF" xfId="2264" xr:uid="{00000000-0005-0000-0000-0000D7080000}"/>
    <cellStyle name="_AOP 2010 Income Statement VCS_II.8. Sep&amp;Discrete_Guidance_P&amp;L Rec Qtr" xfId="2265" xr:uid="{00000000-0005-0000-0000-0000D8080000}"/>
    <cellStyle name="_AOP 2010 Income Statement VCS_II.8. Sep&amp;Discrete_Guidance_Sheet1" xfId="2266" xr:uid="{00000000-0005-0000-0000-0000D9080000}"/>
    <cellStyle name="_AOP 2010 Income Statement VCS_II.8. Sep&amp;Discrete_Guidance_Sheet2" xfId="2267" xr:uid="{00000000-0005-0000-0000-0000DA080000}"/>
    <cellStyle name="_AOP 2010 Income Statement VCS_II.8. Sep&amp;Discrete_Guidance_Sheet3" xfId="2268" xr:uid="{00000000-0005-0000-0000-0000DB080000}"/>
    <cellStyle name="_AOP 2010 Income Statement VCS_II.8. Sep&amp;Discrete_Guidance_Sheet4" xfId="2269" xr:uid="{00000000-0005-0000-0000-0000DC080000}"/>
    <cellStyle name="_AOP 2010 Income Statement VCS_Restructuring &amp; Separation" xfId="2270" xr:uid="{00000000-0005-0000-0000-0000DD080000}"/>
    <cellStyle name="_AOP 2010 Income Statement VCS_Restructuring &amp; Separation_Guidance" xfId="2271" xr:uid="{00000000-0005-0000-0000-0000DE080000}"/>
    <cellStyle name="_AOP 2010 Income Statement VCS_Restructuring &amp; Separation_Guidance 2" xfId="2272" xr:uid="{00000000-0005-0000-0000-0000DF080000}"/>
    <cellStyle name="_AOP 2010 Income Statement VCS_Restructuring &amp; Separation_Guidance_BS retrieve" xfId="2273" xr:uid="{00000000-0005-0000-0000-0000E0080000}"/>
    <cellStyle name="_AOP 2010 Income Statement VCS_Restructuring &amp; Separation_Guidance_Free CF" xfId="2274" xr:uid="{00000000-0005-0000-0000-0000E1080000}"/>
    <cellStyle name="_AOP 2010 Income Statement VCS_Restructuring &amp; Separation_Guidance_P&amp;L Rec Qtr" xfId="2275" xr:uid="{00000000-0005-0000-0000-0000E2080000}"/>
    <cellStyle name="_AOP 2010 Income Statement VCS_Restructuring &amp; Separation_Guidance_Sheet1" xfId="2276" xr:uid="{00000000-0005-0000-0000-0000E3080000}"/>
    <cellStyle name="_AOP 2010 Income Statement VCS_Restructuring &amp; Separation_Guidance_Sheet2" xfId="2277" xr:uid="{00000000-0005-0000-0000-0000E4080000}"/>
    <cellStyle name="_AOP 2010 Income Statement VCS_Restructuring &amp; Separation_Guidance_Sheet3" xfId="2278" xr:uid="{00000000-0005-0000-0000-0000E5080000}"/>
    <cellStyle name="_AOP 2010 Income Statement VCS_Restructuring &amp; Separation_Guidance_Sheet4" xfId="2279" xr:uid="{00000000-0005-0000-0000-0000E6080000}"/>
    <cellStyle name="_AOP 2010 Income Statement VCS_Restructuring &amp; Separation_II.7. Sep&amp;Discrete" xfId="2280" xr:uid="{00000000-0005-0000-0000-0000E7080000}"/>
    <cellStyle name="_AOP 2010 Income Statement VCS_Restructuring &amp; Separation_II.7. Sep&amp;Discrete_Guidance" xfId="2281" xr:uid="{00000000-0005-0000-0000-0000E8080000}"/>
    <cellStyle name="_AOP 2010 Income Statement VCS_Restructuring &amp; Separation_II.7. Sep&amp;Discrete_Guidance 2" xfId="2282" xr:uid="{00000000-0005-0000-0000-0000E9080000}"/>
    <cellStyle name="_AOP 2010 Income Statement VCS_Restructuring &amp; Separation_II.7. Sep&amp;Discrete_Guidance_BS retrieve" xfId="2283" xr:uid="{00000000-0005-0000-0000-0000EA080000}"/>
    <cellStyle name="_AOP 2010 Income Statement VCS_Restructuring &amp; Separation_II.7. Sep&amp;Discrete_Guidance_Free CF" xfId="2284" xr:uid="{00000000-0005-0000-0000-0000EB080000}"/>
    <cellStyle name="_AOP 2010 Income Statement VCS_Restructuring &amp; Separation_II.7. Sep&amp;Discrete_Guidance_P&amp;L Rec Qtr" xfId="2285" xr:uid="{00000000-0005-0000-0000-0000EC080000}"/>
    <cellStyle name="_AOP 2010 Income Statement VCS_Restructuring &amp; Separation_II.7. Sep&amp;Discrete_Guidance_Sheet1" xfId="2286" xr:uid="{00000000-0005-0000-0000-0000ED080000}"/>
    <cellStyle name="_AOP 2010 Income Statement VCS_Restructuring &amp; Separation_II.7. Sep&amp;Discrete_Guidance_Sheet2" xfId="2287" xr:uid="{00000000-0005-0000-0000-0000EE080000}"/>
    <cellStyle name="_AOP 2010 Income Statement VCS_Restructuring &amp; Separation_II.7. Sep&amp;Discrete_Guidance_Sheet3" xfId="2288" xr:uid="{00000000-0005-0000-0000-0000EF080000}"/>
    <cellStyle name="_AOP 2010 Income Statement VCS_Restructuring &amp; Separation_II.7. Sep&amp;Discrete_Guidance_Sheet4" xfId="2289" xr:uid="{00000000-0005-0000-0000-0000F0080000}"/>
    <cellStyle name="_AOP 2010 Income Statement VCS_Sheet1" xfId="2290" xr:uid="{00000000-0005-0000-0000-0000F1080000}"/>
    <cellStyle name="_AOP 2010 Income Statement VCS_Sheet1_1" xfId="2291" xr:uid="{00000000-0005-0000-0000-0000F2080000}"/>
    <cellStyle name="_AOP 2010 Income Statement VCS_Sheet1_1_Guidance" xfId="2292" xr:uid="{00000000-0005-0000-0000-0000F3080000}"/>
    <cellStyle name="_AOP 2010 Income Statement VCS_Sheet1_1_Guidance 2" xfId="2293" xr:uid="{00000000-0005-0000-0000-0000F4080000}"/>
    <cellStyle name="_AOP 2010 Income Statement VCS_Sheet1_1_Guidance_BS retrieve" xfId="2294" xr:uid="{00000000-0005-0000-0000-0000F5080000}"/>
    <cellStyle name="_AOP 2010 Income Statement VCS_Sheet1_1_Guidance_Free CF" xfId="2295" xr:uid="{00000000-0005-0000-0000-0000F6080000}"/>
    <cellStyle name="_AOP 2010 Income Statement VCS_Sheet1_1_Guidance_P&amp;L Rec Qtr" xfId="2296" xr:uid="{00000000-0005-0000-0000-0000F7080000}"/>
    <cellStyle name="_AOP 2010 Income Statement VCS_Sheet1_1_Guidance_Sheet1" xfId="2297" xr:uid="{00000000-0005-0000-0000-0000F8080000}"/>
    <cellStyle name="_AOP 2010 Income Statement VCS_Sheet1_1_Guidance_Sheet2" xfId="2298" xr:uid="{00000000-0005-0000-0000-0000F9080000}"/>
    <cellStyle name="_AOP 2010 Income Statement VCS_Sheet1_1_Guidance_Sheet3" xfId="2299" xr:uid="{00000000-0005-0000-0000-0000FA080000}"/>
    <cellStyle name="_AOP 2010 Income Statement VCS_Sheet1_1_Guidance_Sheet4" xfId="2300" xr:uid="{00000000-0005-0000-0000-0000FB080000}"/>
    <cellStyle name="_AOP 2010 Income Statement VCS_Sheet1_1_II.7. Sep&amp;Discrete" xfId="2301" xr:uid="{00000000-0005-0000-0000-0000FC080000}"/>
    <cellStyle name="_AOP 2010 Income Statement VCS_Sheet1_1_II.7. Sep&amp;Discrete_Guidance" xfId="2302" xr:uid="{00000000-0005-0000-0000-0000FD080000}"/>
    <cellStyle name="_AOP 2010 Income Statement VCS_Sheet1_1_II.7. Sep&amp;Discrete_Guidance 2" xfId="2303" xr:uid="{00000000-0005-0000-0000-0000FE080000}"/>
    <cellStyle name="_AOP 2010 Income Statement VCS_Sheet1_1_II.7. Sep&amp;Discrete_Guidance_BS retrieve" xfId="2304" xr:uid="{00000000-0005-0000-0000-0000FF080000}"/>
    <cellStyle name="_AOP 2010 Income Statement VCS_Sheet1_1_II.7. Sep&amp;Discrete_Guidance_Free CF" xfId="2305" xr:uid="{00000000-0005-0000-0000-000000090000}"/>
    <cellStyle name="_AOP 2010 Income Statement VCS_Sheet1_1_II.7. Sep&amp;Discrete_Guidance_P&amp;L Rec Qtr" xfId="2306" xr:uid="{00000000-0005-0000-0000-000001090000}"/>
    <cellStyle name="_AOP 2010 Income Statement VCS_Sheet1_1_II.7. Sep&amp;Discrete_Guidance_Sheet1" xfId="2307" xr:uid="{00000000-0005-0000-0000-000002090000}"/>
    <cellStyle name="_AOP 2010 Income Statement VCS_Sheet1_1_II.7. Sep&amp;Discrete_Guidance_Sheet2" xfId="2308" xr:uid="{00000000-0005-0000-0000-000003090000}"/>
    <cellStyle name="_AOP 2010 Income Statement VCS_Sheet1_1_II.7. Sep&amp;Discrete_Guidance_Sheet3" xfId="2309" xr:uid="{00000000-0005-0000-0000-000004090000}"/>
    <cellStyle name="_AOP 2010 Income Statement VCS_Sheet1_1_II.7. Sep&amp;Discrete_Guidance_Sheet4" xfId="2310" xr:uid="{00000000-0005-0000-0000-000005090000}"/>
    <cellStyle name="_AOP 2010 Income Statement VCS_Sheet1_1_Restructuring &amp; Separation" xfId="2311" xr:uid="{00000000-0005-0000-0000-000006090000}"/>
    <cellStyle name="_AOP 2010 Income Statement VCS_Sheet1_1_Restructuring &amp; Separation_Guidance" xfId="2312" xr:uid="{00000000-0005-0000-0000-000007090000}"/>
    <cellStyle name="_AOP 2010 Income Statement VCS_Sheet1_1_Restructuring &amp; Separation_Guidance 2" xfId="2313" xr:uid="{00000000-0005-0000-0000-000008090000}"/>
    <cellStyle name="_AOP 2010 Income Statement VCS_Sheet1_1_Restructuring &amp; Separation_Guidance_BS retrieve" xfId="2314" xr:uid="{00000000-0005-0000-0000-000009090000}"/>
    <cellStyle name="_AOP 2010 Income Statement VCS_Sheet1_1_Restructuring &amp; Separation_Guidance_Free CF" xfId="2315" xr:uid="{00000000-0005-0000-0000-00000A090000}"/>
    <cellStyle name="_AOP 2010 Income Statement VCS_Sheet1_1_Restructuring &amp; Separation_Guidance_P&amp;L Rec Qtr" xfId="2316" xr:uid="{00000000-0005-0000-0000-00000B090000}"/>
    <cellStyle name="_AOP 2010 Income Statement VCS_Sheet1_1_Restructuring &amp; Separation_Guidance_Sheet1" xfId="2317" xr:uid="{00000000-0005-0000-0000-00000C090000}"/>
    <cellStyle name="_AOP 2010 Income Statement VCS_Sheet1_1_Restructuring &amp; Separation_Guidance_Sheet2" xfId="2318" xr:uid="{00000000-0005-0000-0000-00000D090000}"/>
    <cellStyle name="_AOP 2010 Income Statement VCS_Sheet1_1_Restructuring &amp; Separation_Guidance_Sheet3" xfId="2319" xr:uid="{00000000-0005-0000-0000-00000E090000}"/>
    <cellStyle name="_AOP 2010 Income Statement VCS_Sheet1_1_Restructuring &amp; Separation_Guidance_Sheet4" xfId="2320" xr:uid="{00000000-0005-0000-0000-00000F090000}"/>
    <cellStyle name="_AOP 2010 Income Statement VCS_Sheet1_1_Restructuring &amp; Separation_II.7. Sep&amp;Discrete" xfId="2321" xr:uid="{00000000-0005-0000-0000-000010090000}"/>
    <cellStyle name="_AOP 2010 Income Statement VCS_Sheet1_1_Restructuring &amp; Separation_II.7. Sep&amp;Discrete_Guidance" xfId="2322" xr:uid="{00000000-0005-0000-0000-000011090000}"/>
    <cellStyle name="_AOP 2010 Income Statement VCS_Sheet1_1_Restructuring &amp; Separation_II.7. Sep&amp;Discrete_Guidance 2" xfId="2323" xr:uid="{00000000-0005-0000-0000-000012090000}"/>
    <cellStyle name="_AOP 2010 Income Statement VCS_Sheet1_1_Restructuring &amp; Separation_II.7. Sep&amp;Discrete_Guidance_BS retrieve" xfId="2324" xr:uid="{00000000-0005-0000-0000-000013090000}"/>
    <cellStyle name="_AOP 2010 Income Statement VCS_Sheet1_1_Restructuring &amp; Separation_II.7. Sep&amp;Discrete_Guidance_Free CF" xfId="2325" xr:uid="{00000000-0005-0000-0000-000014090000}"/>
    <cellStyle name="_AOP 2010 Income Statement VCS_Sheet1_1_Restructuring &amp; Separation_II.7. Sep&amp;Discrete_Guidance_P&amp;L Rec Qtr" xfId="2326" xr:uid="{00000000-0005-0000-0000-000015090000}"/>
    <cellStyle name="_AOP 2010 Income Statement VCS_Sheet1_1_Restructuring &amp; Separation_II.7. Sep&amp;Discrete_Guidance_Sheet1" xfId="2327" xr:uid="{00000000-0005-0000-0000-000016090000}"/>
    <cellStyle name="_AOP 2010 Income Statement VCS_Sheet1_1_Restructuring &amp; Separation_II.7. Sep&amp;Discrete_Guidance_Sheet2" xfId="2328" xr:uid="{00000000-0005-0000-0000-000017090000}"/>
    <cellStyle name="_AOP 2010 Income Statement VCS_Sheet1_1_Restructuring &amp; Separation_II.7. Sep&amp;Discrete_Guidance_Sheet3" xfId="2329" xr:uid="{00000000-0005-0000-0000-000018090000}"/>
    <cellStyle name="_AOP 2010 Income Statement VCS_Sheet1_1_Restructuring &amp; Separation_II.7. Sep&amp;Discrete_Guidance_Sheet4" xfId="2330" xr:uid="{00000000-0005-0000-0000-000019090000}"/>
    <cellStyle name="_AOP 2010 Income Statement VCS_Sheet1_BS_Separation_TaxResIndem_Q12412 tf" xfId="2331" xr:uid="{00000000-0005-0000-0000-00001A090000}"/>
    <cellStyle name="_AOP 2010 Income Statement VCS_Sheet1_BS_Separation_TaxResIndem_Q12412 tf_Guidance" xfId="2332" xr:uid="{00000000-0005-0000-0000-00001B090000}"/>
    <cellStyle name="_AOP 2010 Income Statement VCS_Sheet1_BS_Separation_TaxResIndem_Q12412 tf_Guidance 2" xfId="2333" xr:uid="{00000000-0005-0000-0000-00001C090000}"/>
    <cellStyle name="_AOP 2010 Income Statement VCS_Sheet1_BS_Separation_TaxResIndem_Q12412 tf_Guidance_BS retrieve" xfId="2334" xr:uid="{00000000-0005-0000-0000-00001D090000}"/>
    <cellStyle name="_AOP 2010 Income Statement VCS_Sheet1_BS_Separation_TaxResIndem_Q12412 tf_Guidance_Free CF" xfId="2335" xr:uid="{00000000-0005-0000-0000-00001E090000}"/>
    <cellStyle name="_AOP 2010 Income Statement VCS_Sheet1_BS_Separation_TaxResIndem_Q12412 tf_Guidance_P&amp;L Rec Qtr" xfId="2336" xr:uid="{00000000-0005-0000-0000-00001F090000}"/>
    <cellStyle name="_AOP 2010 Income Statement VCS_Sheet1_BS_Separation_TaxResIndem_Q12412 tf_Guidance_Sheet1" xfId="2337" xr:uid="{00000000-0005-0000-0000-000020090000}"/>
    <cellStyle name="_AOP 2010 Income Statement VCS_Sheet1_BS_Separation_TaxResIndem_Q12412 tf_Guidance_Sheet2" xfId="2338" xr:uid="{00000000-0005-0000-0000-000021090000}"/>
    <cellStyle name="_AOP 2010 Income Statement VCS_Sheet1_BS_Separation_TaxResIndem_Q12412 tf_Guidance_Sheet3" xfId="2339" xr:uid="{00000000-0005-0000-0000-000022090000}"/>
    <cellStyle name="_AOP 2010 Income Statement VCS_Sheet1_BS_Separation_TaxResIndem_Q12412 tf_Guidance_Sheet4" xfId="2340" xr:uid="{00000000-0005-0000-0000-000023090000}"/>
    <cellStyle name="_AOP 2010 Income Statement VCS_Sheet1_BS_Separation_TaxResIndem_Q12412 tf_II.7. Sep&amp;Discrete" xfId="2341" xr:uid="{00000000-0005-0000-0000-000024090000}"/>
    <cellStyle name="_AOP 2010 Income Statement VCS_Sheet1_BS_Separation_TaxResIndem_Q12412 tf_II.7. Sep&amp;Discrete_Guidance" xfId="2342" xr:uid="{00000000-0005-0000-0000-000025090000}"/>
    <cellStyle name="_AOP 2010 Income Statement VCS_Sheet1_BS_Separation_TaxResIndem_Q12412 tf_II.7. Sep&amp;Discrete_Guidance 2" xfId="2343" xr:uid="{00000000-0005-0000-0000-000026090000}"/>
    <cellStyle name="_AOP 2010 Income Statement VCS_Sheet1_BS_Separation_TaxResIndem_Q12412 tf_II.7. Sep&amp;Discrete_Guidance_BS retrieve" xfId="2344" xr:uid="{00000000-0005-0000-0000-000027090000}"/>
    <cellStyle name="_AOP 2010 Income Statement VCS_Sheet1_BS_Separation_TaxResIndem_Q12412 tf_II.7. Sep&amp;Discrete_Guidance_Free CF" xfId="2345" xr:uid="{00000000-0005-0000-0000-000028090000}"/>
    <cellStyle name="_AOP 2010 Income Statement VCS_Sheet1_BS_Separation_TaxResIndem_Q12412 tf_II.7. Sep&amp;Discrete_Guidance_P&amp;L Rec Qtr" xfId="2346" xr:uid="{00000000-0005-0000-0000-000029090000}"/>
    <cellStyle name="_AOP 2010 Income Statement VCS_Sheet1_BS_Separation_TaxResIndem_Q12412 tf_II.7. Sep&amp;Discrete_Guidance_Sheet1" xfId="2347" xr:uid="{00000000-0005-0000-0000-00002A090000}"/>
    <cellStyle name="_AOP 2010 Income Statement VCS_Sheet1_BS_Separation_TaxResIndem_Q12412 tf_II.7. Sep&amp;Discrete_Guidance_Sheet2" xfId="2348" xr:uid="{00000000-0005-0000-0000-00002B090000}"/>
    <cellStyle name="_AOP 2010 Income Statement VCS_Sheet1_BS_Separation_TaxResIndem_Q12412 tf_II.7. Sep&amp;Discrete_Guidance_Sheet3" xfId="2349" xr:uid="{00000000-0005-0000-0000-00002C090000}"/>
    <cellStyle name="_AOP 2010 Income Statement VCS_Sheet1_BS_Separation_TaxResIndem_Q12412 tf_II.7. Sep&amp;Discrete_Guidance_Sheet4" xfId="2350" xr:uid="{00000000-0005-0000-0000-00002D090000}"/>
    <cellStyle name="_AOP 2010 Income Statement VCS_Sheet1_BS_Separation_TaxResIndem_Q12412 tf_Restructuring &amp; Separation" xfId="2351" xr:uid="{00000000-0005-0000-0000-00002E090000}"/>
    <cellStyle name="_AOP 2010 Income Statement VCS_Sheet1_BS_Separation_TaxResIndem_Q12412 tf_Restructuring &amp; Separation_Guidance" xfId="2352" xr:uid="{00000000-0005-0000-0000-00002F090000}"/>
    <cellStyle name="_AOP 2010 Income Statement VCS_Sheet1_BS_Separation_TaxResIndem_Q12412 tf_Restructuring &amp; Separation_Guidance 2" xfId="2353" xr:uid="{00000000-0005-0000-0000-000030090000}"/>
    <cellStyle name="_AOP 2010 Income Statement VCS_Sheet1_BS_Separation_TaxResIndem_Q12412 tf_Restructuring &amp; Separation_Guidance_BS retrieve" xfId="2354" xr:uid="{00000000-0005-0000-0000-000031090000}"/>
    <cellStyle name="_AOP 2010 Income Statement VCS_Sheet1_BS_Separation_TaxResIndem_Q12412 tf_Restructuring &amp; Separation_Guidance_Free CF" xfId="2355" xr:uid="{00000000-0005-0000-0000-000032090000}"/>
    <cellStyle name="_AOP 2010 Income Statement VCS_Sheet1_BS_Separation_TaxResIndem_Q12412 tf_Restructuring &amp; Separation_Guidance_P&amp;L Rec Qtr" xfId="2356" xr:uid="{00000000-0005-0000-0000-000033090000}"/>
    <cellStyle name="_AOP 2010 Income Statement VCS_Sheet1_BS_Separation_TaxResIndem_Q12412 tf_Restructuring &amp; Separation_Guidance_Sheet1" xfId="2357" xr:uid="{00000000-0005-0000-0000-000034090000}"/>
    <cellStyle name="_AOP 2010 Income Statement VCS_Sheet1_BS_Separation_TaxResIndem_Q12412 tf_Restructuring &amp; Separation_Guidance_Sheet2" xfId="2358" xr:uid="{00000000-0005-0000-0000-000035090000}"/>
    <cellStyle name="_AOP 2010 Income Statement VCS_Sheet1_BS_Separation_TaxResIndem_Q12412 tf_Restructuring &amp; Separation_Guidance_Sheet3" xfId="2359" xr:uid="{00000000-0005-0000-0000-000036090000}"/>
    <cellStyle name="_AOP 2010 Income Statement VCS_Sheet1_BS_Separation_TaxResIndem_Q12412 tf_Restructuring &amp; Separation_Guidance_Sheet4" xfId="2360" xr:uid="{00000000-0005-0000-0000-000037090000}"/>
    <cellStyle name="_AOP 2010 Income Statement VCS_Sheet1_BS_Separation_TaxResIndem_Q12412 tf_Restructuring &amp; Separation_II.7. Sep&amp;Discrete" xfId="2361" xr:uid="{00000000-0005-0000-0000-000038090000}"/>
    <cellStyle name="_AOP 2010 Income Statement VCS_Sheet1_BS_Separation_TaxResIndem_Q12412 tf_Restructuring &amp; Separation_II.7. Sep&amp;Discrete_Guidance" xfId="2362" xr:uid="{00000000-0005-0000-0000-000039090000}"/>
    <cellStyle name="_AOP 2010 Income Statement VCS_Sheet1_BS_Separation_TaxResIndem_Q12412 tf_Restructuring &amp; Separation_II.7. Sep&amp;Discrete_Guidance 2" xfId="2363" xr:uid="{00000000-0005-0000-0000-00003A090000}"/>
    <cellStyle name="_AOP 2010 Income Statement VCS_Sheet1_BS_Separation_TaxResIndem_Q12412 tf_Restructuring &amp; Separation_II.7. Sep&amp;Discrete_Guidance_BS retrieve" xfId="2364" xr:uid="{00000000-0005-0000-0000-00003B090000}"/>
    <cellStyle name="_AOP 2010 Income Statement VCS_Sheet1_BS_Separation_TaxResIndem_Q12412 tf_Restructuring &amp; Separation_II.7. Sep&amp;Discrete_Guidance_Free CF" xfId="2365" xr:uid="{00000000-0005-0000-0000-00003C090000}"/>
    <cellStyle name="_AOP 2010 Income Statement VCS_Sheet1_BS_Separation_TaxResIndem_Q12412 tf_Restructuring &amp; Separation_II.7. Sep&amp;Discrete_Guidance_P&amp;L Rec Qtr" xfId="2366" xr:uid="{00000000-0005-0000-0000-00003D090000}"/>
    <cellStyle name="_AOP 2010 Income Statement VCS_Sheet1_BS_Separation_TaxResIndem_Q12412 tf_Restructuring &amp; Separation_II.7. Sep&amp;Discrete_Guidance_Sheet1" xfId="2367" xr:uid="{00000000-0005-0000-0000-00003E090000}"/>
    <cellStyle name="_AOP 2010 Income Statement VCS_Sheet1_BS_Separation_TaxResIndem_Q12412 tf_Restructuring &amp; Separation_II.7. Sep&amp;Discrete_Guidance_Sheet2" xfId="2368" xr:uid="{00000000-0005-0000-0000-00003F090000}"/>
    <cellStyle name="_AOP 2010 Income Statement VCS_Sheet1_BS_Separation_TaxResIndem_Q12412 tf_Restructuring &amp; Separation_II.7. Sep&amp;Discrete_Guidance_Sheet3" xfId="2369" xr:uid="{00000000-0005-0000-0000-000040090000}"/>
    <cellStyle name="_AOP 2010 Income Statement VCS_Sheet1_BS_Separation_TaxResIndem_Q12412 tf_Restructuring &amp; Separation_II.7. Sep&amp;Discrete_Guidance_Sheet4" xfId="2370" xr:uid="{00000000-0005-0000-0000-000041090000}"/>
    <cellStyle name="_AOP 2010 Income Statement VCS_Sheet1_Guidance" xfId="2371" xr:uid="{00000000-0005-0000-0000-000042090000}"/>
    <cellStyle name="_AOP 2010 Income Statement VCS_Sheet1_Guidance 2" xfId="2372" xr:uid="{00000000-0005-0000-0000-000043090000}"/>
    <cellStyle name="_AOP 2010 Income Statement VCS_Sheet1_Guidance_BS retrieve" xfId="2373" xr:uid="{00000000-0005-0000-0000-000044090000}"/>
    <cellStyle name="_AOP 2010 Income Statement VCS_Sheet1_Guidance_Free CF" xfId="2374" xr:uid="{00000000-0005-0000-0000-000045090000}"/>
    <cellStyle name="_AOP 2010 Income Statement VCS_Sheet1_Guidance_P&amp;L Rec Qtr" xfId="2375" xr:uid="{00000000-0005-0000-0000-000046090000}"/>
    <cellStyle name="_AOP 2010 Income Statement VCS_Sheet1_Guidance_Sheet1" xfId="2376" xr:uid="{00000000-0005-0000-0000-000047090000}"/>
    <cellStyle name="_AOP 2010 Income Statement VCS_Sheet1_Guidance_Sheet2" xfId="2377" xr:uid="{00000000-0005-0000-0000-000048090000}"/>
    <cellStyle name="_AOP 2010 Income Statement VCS_Sheet1_Guidance_Sheet3" xfId="2378" xr:uid="{00000000-0005-0000-0000-000049090000}"/>
    <cellStyle name="_AOP 2010 Income Statement VCS_Sheet1_Guidance_Sheet4" xfId="2379" xr:uid="{00000000-0005-0000-0000-00004A090000}"/>
    <cellStyle name="_AOP 2010 Income Statement VCS_Sheet1_II.7. Sep&amp;Discrete" xfId="2380" xr:uid="{00000000-0005-0000-0000-00004B090000}"/>
    <cellStyle name="_AOP 2010 Income Statement VCS_Sheet1_II.7. Sep&amp;Discrete_Guidance" xfId="2381" xr:uid="{00000000-0005-0000-0000-00004C090000}"/>
    <cellStyle name="_AOP 2010 Income Statement VCS_Sheet1_II.7. Sep&amp;Discrete_Guidance 2" xfId="2382" xr:uid="{00000000-0005-0000-0000-00004D090000}"/>
    <cellStyle name="_AOP 2010 Income Statement VCS_Sheet1_II.7. Sep&amp;Discrete_Guidance_BS retrieve" xfId="2383" xr:uid="{00000000-0005-0000-0000-00004E090000}"/>
    <cellStyle name="_AOP 2010 Income Statement VCS_Sheet1_II.7. Sep&amp;Discrete_Guidance_Free CF" xfId="2384" xr:uid="{00000000-0005-0000-0000-00004F090000}"/>
    <cellStyle name="_AOP 2010 Income Statement VCS_Sheet1_II.7. Sep&amp;Discrete_Guidance_P&amp;L Rec Qtr" xfId="2385" xr:uid="{00000000-0005-0000-0000-000050090000}"/>
    <cellStyle name="_AOP 2010 Income Statement VCS_Sheet1_II.7. Sep&amp;Discrete_Guidance_Sheet1" xfId="2386" xr:uid="{00000000-0005-0000-0000-000051090000}"/>
    <cellStyle name="_AOP 2010 Income Statement VCS_Sheet1_II.7. Sep&amp;Discrete_Guidance_Sheet2" xfId="2387" xr:uid="{00000000-0005-0000-0000-000052090000}"/>
    <cellStyle name="_AOP 2010 Income Statement VCS_Sheet1_II.7. Sep&amp;Discrete_Guidance_Sheet3" xfId="2388" xr:uid="{00000000-0005-0000-0000-000053090000}"/>
    <cellStyle name="_AOP 2010 Income Statement VCS_Sheet1_II.7. Sep&amp;Discrete_Guidance_Sheet4" xfId="2389" xr:uid="{00000000-0005-0000-0000-000054090000}"/>
    <cellStyle name="_AOP 2010 Income Statement VCS_Sheet1_II.8. Sep&amp;Discrete" xfId="2390" xr:uid="{00000000-0005-0000-0000-000055090000}"/>
    <cellStyle name="_AOP 2010 Income Statement VCS_Sheet1_II.8. Sep&amp;Discrete_Guidance" xfId="2391" xr:uid="{00000000-0005-0000-0000-000056090000}"/>
    <cellStyle name="_AOP 2010 Income Statement VCS_Sheet1_II.8. Sep&amp;Discrete_Guidance 2" xfId="2392" xr:uid="{00000000-0005-0000-0000-000057090000}"/>
    <cellStyle name="_AOP 2010 Income Statement VCS_Sheet1_II.8. Sep&amp;Discrete_Guidance_BS retrieve" xfId="2393" xr:uid="{00000000-0005-0000-0000-000058090000}"/>
    <cellStyle name="_AOP 2010 Income Statement VCS_Sheet1_II.8. Sep&amp;Discrete_Guidance_Free CF" xfId="2394" xr:uid="{00000000-0005-0000-0000-000059090000}"/>
    <cellStyle name="_AOP 2010 Income Statement VCS_Sheet1_II.8. Sep&amp;Discrete_Guidance_P&amp;L Rec Qtr" xfId="2395" xr:uid="{00000000-0005-0000-0000-00005A090000}"/>
    <cellStyle name="_AOP 2010 Income Statement VCS_Sheet1_II.8. Sep&amp;Discrete_Guidance_Sheet1" xfId="2396" xr:uid="{00000000-0005-0000-0000-00005B090000}"/>
    <cellStyle name="_AOP 2010 Income Statement VCS_Sheet1_II.8. Sep&amp;Discrete_Guidance_Sheet2" xfId="2397" xr:uid="{00000000-0005-0000-0000-00005C090000}"/>
    <cellStyle name="_AOP 2010 Income Statement VCS_Sheet1_II.8. Sep&amp;Discrete_Guidance_Sheet3" xfId="2398" xr:uid="{00000000-0005-0000-0000-00005D090000}"/>
    <cellStyle name="_AOP 2010 Income Statement VCS_Sheet1_II.8. Sep&amp;Discrete_Guidance_Sheet4" xfId="2399" xr:uid="{00000000-0005-0000-0000-00005E090000}"/>
    <cellStyle name="_AOP 2010 Income Statement VCS_Sheet1_Restructuring &amp; Separation" xfId="2400" xr:uid="{00000000-0005-0000-0000-00005F090000}"/>
    <cellStyle name="_AOP 2010 Income Statement VCS_Sheet1_Restructuring &amp; Separation_Guidance" xfId="2401" xr:uid="{00000000-0005-0000-0000-000060090000}"/>
    <cellStyle name="_AOP 2010 Income Statement VCS_Sheet1_Restructuring &amp; Separation_Guidance 2" xfId="2402" xr:uid="{00000000-0005-0000-0000-000061090000}"/>
    <cellStyle name="_AOP 2010 Income Statement VCS_Sheet1_Restructuring &amp; Separation_Guidance_BS retrieve" xfId="2403" xr:uid="{00000000-0005-0000-0000-000062090000}"/>
    <cellStyle name="_AOP 2010 Income Statement VCS_Sheet1_Restructuring &amp; Separation_Guidance_Free CF" xfId="2404" xr:uid="{00000000-0005-0000-0000-000063090000}"/>
    <cellStyle name="_AOP 2010 Income Statement VCS_Sheet1_Restructuring &amp; Separation_Guidance_P&amp;L Rec Qtr" xfId="2405" xr:uid="{00000000-0005-0000-0000-000064090000}"/>
    <cellStyle name="_AOP 2010 Income Statement VCS_Sheet1_Restructuring &amp; Separation_Guidance_Sheet1" xfId="2406" xr:uid="{00000000-0005-0000-0000-000065090000}"/>
    <cellStyle name="_AOP 2010 Income Statement VCS_Sheet1_Restructuring &amp; Separation_Guidance_Sheet2" xfId="2407" xr:uid="{00000000-0005-0000-0000-000066090000}"/>
    <cellStyle name="_AOP 2010 Income Statement VCS_Sheet1_Restructuring &amp; Separation_Guidance_Sheet3" xfId="2408" xr:uid="{00000000-0005-0000-0000-000067090000}"/>
    <cellStyle name="_AOP 2010 Income Statement VCS_Sheet1_Restructuring &amp; Separation_Guidance_Sheet4" xfId="2409" xr:uid="{00000000-0005-0000-0000-000068090000}"/>
    <cellStyle name="_AOP 2010 Income Statement VCS_Sheet1_Restructuring &amp; Separation_II.7. Sep&amp;Discrete" xfId="2410" xr:uid="{00000000-0005-0000-0000-000069090000}"/>
    <cellStyle name="_AOP 2010 Income Statement VCS_Sheet1_Restructuring &amp; Separation_II.7. Sep&amp;Discrete_Guidance" xfId="2411" xr:uid="{00000000-0005-0000-0000-00006A090000}"/>
    <cellStyle name="_AOP 2010 Income Statement VCS_Sheet1_Restructuring &amp; Separation_II.7. Sep&amp;Discrete_Guidance 2" xfId="2412" xr:uid="{00000000-0005-0000-0000-00006B090000}"/>
    <cellStyle name="_AOP 2010 Income Statement VCS_Sheet1_Restructuring &amp; Separation_II.7. Sep&amp;Discrete_Guidance_BS retrieve" xfId="2413" xr:uid="{00000000-0005-0000-0000-00006C090000}"/>
    <cellStyle name="_AOP 2010 Income Statement VCS_Sheet1_Restructuring &amp; Separation_II.7. Sep&amp;Discrete_Guidance_Free CF" xfId="2414" xr:uid="{00000000-0005-0000-0000-00006D090000}"/>
    <cellStyle name="_AOP 2010 Income Statement VCS_Sheet1_Restructuring &amp; Separation_II.7. Sep&amp;Discrete_Guidance_P&amp;L Rec Qtr" xfId="2415" xr:uid="{00000000-0005-0000-0000-00006E090000}"/>
    <cellStyle name="_AOP 2010 Income Statement VCS_Sheet1_Restructuring &amp; Separation_II.7. Sep&amp;Discrete_Guidance_Sheet1" xfId="2416" xr:uid="{00000000-0005-0000-0000-00006F090000}"/>
    <cellStyle name="_AOP 2010 Income Statement VCS_Sheet1_Restructuring &amp; Separation_II.7. Sep&amp;Discrete_Guidance_Sheet2" xfId="2417" xr:uid="{00000000-0005-0000-0000-000070090000}"/>
    <cellStyle name="_AOP 2010 Income Statement VCS_Sheet1_Restructuring &amp; Separation_II.7. Sep&amp;Discrete_Guidance_Sheet3" xfId="2418" xr:uid="{00000000-0005-0000-0000-000071090000}"/>
    <cellStyle name="_AOP 2010 Income Statement VCS_Sheet1_Restructuring &amp; Separation_II.7. Sep&amp;Discrete_Guidance_Sheet4" xfId="2419" xr:uid="{00000000-0005-0000-0000-000072090000}"/>
    <cellStyle name="_APGA 5045.04" xfId="2420" xr:uid="{00000000-0005-0000-0000-000073090000}"/>
    <cellStyle name="_APGA 5045.04_BS_Separation_TaxResIndem_Q12412 tf" xfId="2421" xr:uid="{00000000-0005-0000-0000-000074090000}"/>
    <cellStyle name="_APGA 5045.04_BS_Separation_TaxResIndem_Q12412 tf_Guidance" xfId="2422" xr:uid="{00000000-0005-0000-0000-000075090000}"/>
    <cellStyle name="_APGA 5045.04_BS_Separation_TaxResIndem_Q12412 tf_Guidance 2" xfId="2423" xr:uid="{00000000-0005-0000-0000-000076090000}"/>
    <cellStyle name="_APGA 5045.04_BS_Separation_TaxResIndem_Q12412 tf_Guidance_BS retrieve" xfId="2424" xr:uid="{00000000-0005-0000-0000-000077090000}"/>
    <cellStyle name="_APGA 5045.04_BS_Separation_TaxResIndem_Q12412 tf_Guidance_Free CF" xfId="2425" xr:uid="{00000000-0005-0000-0000-000078090000}"/>
    <cellStyle name="_APGA 5045.04_BS_Separation_TaxResIndem_Q12412 tf_Guidance_P&amp;L Rec Qtr" xfId="2426" xr:uid="{00000000-0005-0000-0000-000079090000}"/>
    <cellStyle name="_APGA 5045.04_BS_Separation_TaxResIndem_Q12412 tf_Guidance_Sheet1" xfId="2427" xr:uid="{00000000-0005-0000-0000-00007A090000}"/>
    <cellStyle name="_APGA 5045.04_BS_Separation_TaxResIndem_Q12412 tf_Guidance_Sheet2" xfId="2428" xr:uid="{00000000-0005-0000-0000-00007B090000}"/>
    <cellStyle name="_APGA 5045.04_BS_Separation_TaxResIndem_Q12412 tf_Guidance_Sheet3" xfId="2429" xr:uid="{00000000-0005-0000-0000-00007C090000}"/>
    <cellStyle name="_APGA 5045.04_BS_Separation_TaxResIndem_Q12412 tf_Guidance_Sheet4" xfId="2430" xr:uid="{00000000-0005-0000-0000-00007D090000}"/>
    <cellStyle name="_APGA 5045.04_BS_Separation_TaxResIndem_Q12412 tf_II.7. Sep&amp;Discrete" xfId="2431" xr:uid="{00000000-0005-0000-0000-00007E090000}"/>
    <cellStyle name="_APGA 5045.04_BS_Separation_TaxResIndem_Q12412 tf_II.7. Sep&amp;Discrete_Guidance" xfId="2432" xr:uid="{00000000-0005-0000-0000-00007F090000}"/>
    <cellStyle name="_APGA 5045.04_BS_Separation_TaxResIndem_Q12412 tf_II.7. Sep&amp;Discrete_Guidance 2" xfId="2433" xr:uid="{00000000-0005-0000-0000-000080090000}"/>
    <cellStyle name="_APGA 5045.04_BS_Separation_TaxResIndem_Q12412 tf_II.7. Sep&amp;Discrete_Guidance_BS retrieve" xfId="2434" xr:uid="{00000000-0005-0000-0000-000081090000}"/>
    <cellStyle name="_APGA 5045.04_BS_Separation_TaxResIndem_Q12412 tf_II.7. Sep&amp;Discrete_Guidance_Free CF" xfId="2435" xr:uid="{00000000-0005-0000-0000-000082090000}"/>
    <cellStyle name="_APGA 5045.04_BS_Separation_TaxResIndem_Q12412 tf_II.7. Sep&amp;Discrete_Guidance_P&amp;L Rec Qtr" xfId="2436" xr:uid="{00000000-0005-0000-0000-000083090000}"/>
    <cellStyle name="_APGA 5045.04_BS_Separation_TaxResIndem_Q12412 tf_II.7. Sep&amp;Discrete_Guidance_Sheet1" xfId="2437" xr:uid="{00000000-0005-0000-0000-000084090000}"/>
    <cellStyle name="_APGA 5045.04_BS_Separation_TaxResIndem_Q12412 tf_II.7. Sep&amp;Discrete_Guidance_Sheet2" xfId="2438" xr:uid="{00000000-0005-0000-0000-000085090000}"/>
    <cellStyle name="_APGA 5045.04_BS_Separation_TaxResIndem_Q12412 tf_II.7. Sep&amp;Discrete_Guidance_Sheet3" xfId="2439" xr:uid="{00000000-0005-0000-0000-000086090000}"/>
    <cellStyle name="_APGA 5045.04_BS_Separation_TaxResIndem_Q12412 tf_II.7. Sep&amp;Discrete_Guidance_Sheet4" xfId="2440" xr:uid="{00000000-0005-0000-0000-000087090000}"/>
    <cellStyle name="_APGA 5045.04_BS_Separation_TaxResIndem_Q12412 tf_Restructuring &amp; Separation" xfId="2441" xr:uid="{00000000-0005-0000-0000-000088090000}"/>
    <cellStyle name="_APGA 5045.04_BS_Separation_TaxResIndem_Q12412 tf_Restructuring &amp; Separation_Guidance" xfId="2442" xr:uid="{00000000-0005-0000-0000-000089090000}"/>
    <cellStyle name="_APGA 5045.04_BS_Separation_TaxResIndem_Q12412 tf_Restructuring &amp; Separation_Guidance 2" xfId="2443" xr:uid="{00000000-0005-0000-0000-00008A090000}"/>
    <cellStyle name="_APGA 5045.04_BS_Separation_TaxResIndem_Q12412 tf_Restructuring &amp; Separation_Guidance_BS retrieve" xfId="2444" xr:uid="{00000000-0005-0000-0000-00008B090000}"/>
    <cellStyle name="_APGA 5045.04_BS_Separation_TaxResIndem_Q12412 tf_Restructuring &amp; Separation_Guidance_Free CF" xfId="2445" xr:uid="{00000000-0005-0000-0000-00008C090000}"/>
    <cellStyle name="_APGA 5045.04_BS_Separation_TaxResIndem_Q12412 tf_Restructuring &amp; Separation_Guidance_P&amp;L Rec Qtr" xfId="2446" xr:uid="{00000000-0005-0000-0000-00008D090000}"/>
    <cellStyle name="_APGA 5045.04_BS_Separation_TaxResIndem_Q12412 tf_Restructuring &amp; Separation_Guidance_Sheet1" xfId="2447" xr:uid="{00000000-0005-0000-0000-00008E090000}"/>
    <cellStyle name="_APGA 5045.04_BS_Separation_TaxResIndem_Q12412 tf_Restructuring &amp; Separation_Guidance_Sheet2" xfId="2448" xr:uid="{00000000-0005-0000-0000-00008F090000}"/>
    <cellStyle name="_APGA 5045.04_BS_Separation_TaxResIndem_Q12412 tf_Restructuring &amp; Separation_Guidance_Sheet3" xfId="2449" xr:uid="{00000000-0005-0000-0000-000090090000}"/>
    <cellStyle name="_APGA 5045.04_BS_Separation_TaxResIndem_Q12412 tf_Restructuring &amp; Separation_Guidance_Sheet4" xfId="2450" xr:uid="{00000000-0005-0000-0000-000091090000}"/>
    <cellStyle name="_APGA 5045.04_BS_Separation_TaxResIndem_Q12412 tf_Restructuring &amp; Separation_II.7. Sep&amp;Discrete" xfId="2451" xr:uid="{00000000-0005-0000-0000-000092090000}"/>
    <cellStyle name="_APGA 5045.04_BS_Separation_TaxResIndem_Q12412 tf_Restructuring &amp; Separation_II.7. Sep&amp;Discrete_Guidance" xfId="2452" xr:uid="{00000000-0005-0000-0000-000093090000}"/>
    <cellStyle name="_APGA 5045.04_BS_Separation_TaxResIndem_Q12412 tf_Restructuring &amp; Separation_II.7. Sep&amp;Discrete_Guidance 2" xfId="2453" xr:uid="{00000000-0005-0000-0000-000094090000}"/>
    <cellStyle name="_APGA 5045.04_BS_Separation_TaxResIndem_Q12412 tf_Restructuring &amp; Separation_II.7. Sep&amp;Discrete_Guidance_BS retrieve" xfId="2454" xr:uid="{00000000-0005-0000-0000-000095090000}"/>
    <cellStyle name="_APGA 5045.04_BS_Separation_TaxResIndem_Q12412 tf_Restructuring &amp; Separation_II.7. Sep&amp;Discrete_Guidance_Free CF" xfId="2455" xr:uid="{00000000-0005-0000-0000-000096090000}"/>
    <cellStyle name="_APGA 5045.04_BS_Separation_TaxResIndem_Q12412 tf_Restructuring &amp; Separation_II.7. Sep&amp;Discrete_Guidance_P&amp;L Rec Qtr" xfId="2456" xr:uid="{00000000-0005-0000-0000-000097090000}"/>
    <cellStyle name="_APGA 5045.04_BS_Separation_TaxResIndem_Q12412 tf_Restructuring &amp; Separation_II.7. Sep&amp;Discrete_Guidance_Sheet1" xfId="2457" xr:uid="{00000000-0005-0000-0000-000098090000}"/>
    <cellStyle name="_APGA 5045.04_BS_Separation_TaxResIndem_Q12412 tf_Restructuring &amp; Separation_II.7. Sep&amp;Discrete_Guidance_Sheet2" xfId="2458" xr:uid="{00000000-0005-0000-0000-000099090000}"/>
    <cellStyle name="_APGA 5045.04_BS_Separation_TaxResIndem_Q12412 tf_Restructuring &amp; Separation_II.7. Sep&amp;Discrete_Guidance_Sheet3" xfId="2459" xr:uid="{00000000-0005-0000-0000-00009A090000}"/>
    <cellStyle name="_APGA 5045.04_BS_Separation_TaxResIndem_Q12412 tf_Restructuring &amp; Separation_II.7. Sep&amp;Discrete_Guidance_Sheet4" xfId="2460" xr:uid="{00000000-0005-0000-0000-00009B090000}"/>
    <cellStyle name="_APGA 5045.04_Guidance" xfId="2461" xr:uid="{00000000-0005-0000-0000-00009C090000}"/>
    <cellStyle name="_APGA 5045.04_Guidance 2" xfId="2462" xr:uid="{00000000-0005-0000-0000-00009D090000}"/>
    <cellStyle name="_APGA 5045.04_Guidance_BS retrieve" xfId="2463" xr:uid="{00000000-0005-0000-0000-00009E090000}"/>
    <cellStyle name="_APGA 5045.04_Guidance_Free CF" xfId="2464" xr:uid="{00000000-0005-0000-0000-00009F090000}"/>
    <cellStyle name="_APGA 5045.04_Guidance_P&amp;L Rec Qtr" xfId="2465" xr:uid="{00000000-0005-0000-0000-0000A0090000}"/>
    <cellStyle name="_APGA 5045.04_Guidance_Sheet1" xfId="2466" xr:uid="{00000000-0005-0000-0000-0000A1090000}"/>
    <cellStyle name="_APGA 5045.04_Guidance_Sheet2" xfId="2467" xr:uid="{00000000-0005-0000-0000-0000A2090000}"/>
    <cellStyle name="_APGA 5045.04_Guidance_Sheet3" xfId="2468" xr:uid="{00000000-0005-0000-0000-0000A3090000}"/>
    <cellStyle name="_APGA 5045.04_Guidance_Sheet4" xfId="2469" xr:uid="{00000000-0005-0000-0000-0000A4090000}"/>
    <cellStyle name="_APGA 5045.04_II.7. Sep&amp;Discrete" xfId="2470" xr:uid="{00000000-0005-0000-0000-0000A5090000}"/>
    <cellStyle name="_APGA 5045.04_II.7. Sep&amp;Discrete_Guidance" xfId="2471" xr:uid="{00000000-0005-0000-0000-0000A6090000}"/>
    <cellStyle name="_APGA 5045.04_II.7. Sep&amp;Discrete_Guidance 2" xfId="2472" xr:uid="{00000000-0005-0000-0000-0000A7090000}"/>
    <cellStyle name="_APGA 5045.04_II.7. Sep&amp;Discrete_Guidance_BS retrieve" xfId="2473" xr:uid="{00000000-0005-0000-0000-0000A8090000}"/>
    <cellStyle name="_APGA 5045.04_II.7. Sep&amp;Discrete_Guidance_Free CF" xfId="2474" xr:uid="{00000000-0005-0000-0000-0000A9090000}"/>
    <cellStyle name="_APGA 5045.04_II.7. Sep&amp;Discrete_Guidance_P&amp;L Rec Qtr" xfId="2475" xr:uid="{00000000-0005-0000-0000-0000AA090000}"/>
    <cellStyle name="_APGA 5045.04_II.7. Sep&amp;Discrete_Guidance_Sheet1" xfId="2476" xr:uid="{00000000-0005-0000-0000-0000AB090000}"/>
    <cellStyle name="_APGA 5045.04_II.7. Sep&amp;Discrete_Guidance_Sheet2" xfId="2477" xr:uid="{00000000-0005-0000-0000-0000AC090000}"/>
    <cellStyle name="_APGA 5045.04_II.7. Sep&amp;Discrete_Guidance_Sheet3" xfId="2478" xr:uid="{00000000-0005-0000-0000-0000AD090000}"/>
    <cellStyle name="_APGA 5045.04_II.7. Sep&amp;Discrete_Guidance_Sheet4" xfId="2479" xr:uid="{00000000-0005-0000-0000-0000AE090000}"/>
    <cellStyle name="_APGA 5045.04_II.8. Sep&amp;Discrete" xfId="2480" xr:uid="{00000000-0005-0000-0000-0000AF090000}"/>
    <cellStyle name="_APGA 5045.04_II.8. Sep&amp;Discrete_Guidance" xfId="2481" xr:uid="{00000000-0005-0000-0000-0000B0090000}"/>
    <cellStyle name="_APGA 5045.04_II.8. Sep&amp;Discrete_Guidance 2" xfId="2482" xr:uid="{00000000-0005-0000-0000-0000B1090000}"/>
    <cellStyle name="_APGA 5045.04_II.8. Sep&amp;Discrete_Guidance_BS retrieve" xfId="2483" xr:uid="{00000000-0005-0000-0000-0000B2090000}"/>
    <cellStyle name="_APGA 5045.04_II.8. Sep&amp;Discrete_Guidance_Free CF" xfId="2484" xr:uid="{00000000-0005-0000-0000-0000B3090000}"/>
    <cellStyle name="_APGA 5045.04_II.8. Sep&amp;Discrete_Guidance_P&amp;L Rec Qtr" xfId="2485" xr:uid="{00000000-0005-0000-0000-0000B4090000}"/>
    <cellStyle name="_APGA 5045.04_II.8. Sep&amp;Discrete_Guidance_Sheet1" xfId="2486" xr:uid="{00000000-0005-0000-0000-0000B5090000}"/>
    <cellStyle name="_APGA 5045.04_II.8. Sep&amp;Discrete_Guidance_Sheet2" xfId="2487" xr:uid="{00000000-0005-0000-0000-0000B6090000}"/>
    <cellStyle name="_APGA 5045.04_II.8. Sep&amp;Discrete_Guidance_Sheet3" xfId="2488" xr:uid="{00000000-0005-0000-0000-0000B7090000}"/>
    <cellStyle name="_APGA 5045.04_II.8. Sep&amp;Discrete_Guidance_Sheet4" xfId="2489" xr:uid="{00000000-0005-0000-0000-0000B8090000}"/>
    <cellStyle name="_APGA 5045.04_Restructuring &amp; Separation" xfId="2490" xr:uid="{00000000-0005-0000-0000-0000B9090000}"/>
    <cellStyle name="_APGA 5045.04_Restructuring &amp; Separation_Guidance" xfId="2491" xr:uid="{00000000-0005-0000-0000-0000BA090000}"/>
    <cellStyle name="_APGA 5045.04_Restructuring &amp; Separation_Guidance 2" xfId="2492" xr:uid="{00000000-0005-0000-0000-0000BB090000}"/>
    <cellStyle name="_APGA 5045.04_Restructuring &amp; Separation_Guidance_BS retrieve" xfId="2493" xr:uid="{00000000-0005-0000-0000-0000BC090000}"/>
    <cellStyle name="_APGA 5045.04_Restructuring &amp; Separation_Guidance_Free CF" xfId="2494" xr:uid="{00000000-0005-0000-0000-0000BD090000}"/>
    <cellStyle name="_APGA 5045.04_Restructuring &amp; Separation_Guidance_P&amp;L Rec Qtr" xfId="2495" xr:uid="{00000000-0005-0000-0000-0000BE090000}"/>
    <cellStyle name="_APGA 5045.04_Restructuring &amp; Separation_Guidance_Sheet1" xfId="2496" xr:uid="{00000000-0005-0000-0000-0000BF090000}"/>
    <cellStyle name="_APGA 5045.04_Restructuring &amp; Separation_Guidance_Sheet2" xfId="2497" xr:uid="{00000000-0005-0000-0000-0000C0090000}"/>
    <cellStyle name="_APGA 5045.04_Restructuring &amp; Separation_Guidance_Sheet3" xfId="2498" xr:uid="{00000000-0005-0000-0000-0000C1090000}"/>
    <cellStyle name="_APGA 5045.04_Restructuring &amp; Separation_Guidance_Sheet4" xfId="2499" xr:uid="{00000000-0005-0000-0000-0000C2090000}"/>
    <cellStyle name="_APGA 5045.04_Restructuring &amp; Separation_II.7. Sep&amp;Discrete" xfId="2500" xr:uid="{00000000-0005-0000-0000-0000C3090000}"/>
    <cellStyle name="_APGA 5045.04_Restructuring &amp; Separation_II.7. Sep&amp;Discrete_Guidance" xfId="2501" xr:uid="{00000000-0005-0000-0000-0000C4090000}"/>
    <cellStyle name="_APGA 5045.04_Restructuring &amp; Separation_II.7. Sep&amp;Discrete_Guidance 2" xfId="2502" xr:uid="{00000000-0005-0000-0000-0000C5090000}"/>
    <cellStyle name="_APGA 5045.04_Restructuring &amp; Separation_II.7. Sep&amp;Discrete_Guidance_BS retrieve" xfId="2503" xr:uid="{00000000-0005-0000-0000-0000C6090000}"/>
    <cellStyle name="_APGA 5045.04_Restructuring &amp; Separation_II.7. Sep&amp;Discrete_Guidance_Free CF" xfId="2504" xr:uid="{00000000-0005-0000-0000-0000C7090000}"/>
    <cellStyle name="_APGA 5045.04_Restructuring &amp; Separation_II.7. Sep&amp;Discrete_Guidance_P&amp;L Rec Qtr" xfId="2505" xr:uid="{00000000-0005-0000-0000-0000C8090000}"/>
    <cellStyle name="_APGA 5045.04_Restructuring &amp; Separation_II.7. Sep&amp;Discrete_Guidance_Sheet1" xfId="2506" xr:uid="{00000000-0005-0000-0000-0000C9090000}"/>
    <cellStyle name="_APGA 5045.04_Restructuring &amp; Separation_II.7. Sep&amp;Discrete_Guidance_Sheet2" xfId="2507" xr:uid="{00000000-0005-0000-0000-0000CA090000}"/>
    <cellStyle name="_APGA 5045.04_Restructuring &amp; Separation_II.7. Sep&amp;Discrete_Guidance_Sheet3" xfId="2508" xr:uid="{00000000-0005-0000-0000-0000CB090000}"/>
    <cellStyle name="_APGA 5045.04_Restructuring &amp; Separation_II.7. Sep&amp;Discrete_Guidance_Sheet4" xfId="2509" xr:uid="{00000000-0005-0000-0000-0000CC090000}"/>
    <cellStyle name="_APGA 5045.04_Sheet1" xfId="2510" xr:uid="{00000000-0005-0000-0000-0000CD090000}"/>
    <cellStyle name="_APGA 5045.04_Sheet1_1" xfId="2511" xr:uid="{00000000-0005-0000-0000-0000CE090000}"/>
    <cellStyle name="_APGA 5045.04_Sheet1_1_Guidance" xfId="2512" xr:uid="{00000000-0005-0000-0000-0000CF090000}"/>
    <cellStyle name="_APGA 5045.04_Sheet1_1_Guidance 2" xfId="2513" xr:uid="{00000000-0005-0000-0000-0000D0090000}"/>
    <cellStyle name="_APGA 5045.04_Sheet1_1_Guidance_BS retrieve" xfId="2514" xr:uid="{00000000-0005-0000-0000-0000D1090000}"/>
    <cellStyle name="_APGA 5045.04_Sheet1_1_Guidance_Free CF" xfId="2515" xr:uid="{00000000-0005-0000-0000-0000D2090000}"/>
    <cellStyle name="_APGA 5045.04_Sheet1_1_Guidance_P&amp;L Rec Qtr" xfId="2516" xr:uid="{00000000-0005-0000-0000-0000D3090000}"/>
    <cellStyle name="_APGA 5045.04_Sheet1_1_Guidance_Sheet1" xfId="2517" xr:uid="{00000000-0005-0000-0000-0000D4090000}"/>
    <cellStyle name="_APGA 5045.04_Sheet1_1_Guidance_Sheet2" xfId="2518" xr:uid="{00000000-0005-0000-0000-0000D5090000}"/>
    <cellStyle name="_APGA 5045.04_Sheet1_1_Guidance_Sheet3" xfId="2519" xr:uid="{00000000-0005-0000-0000-0000D6090000}"/>
    <cellStyle name="_APGA 5045.04_Sheet1_1_Guidance_Sheet4" xfId="2520" xr:uid="{00000000-0005-0000-0000-0000D7090000}"/>
    <cellStyle name="_APGA 5045.04_Sheet1_1_II.7. Sep&amp;Discrete" xfId="2521" xr:uid="{00000000-0005-0000-0000-0000D8090000}"/>
    <cellStyle name="_APGA 5045.04_Sheet1_1_II.7. Sep&amp;Discrete_Guidance" xfId="2522" xr:uid="{00000000-0005-0000-0000-0000D9090000}"/>
    <cellStyle name="_APGA 5045.04_Sheet1_1_II.7. Sep&amp;Discrete_Guidance 2" xfId="2523" xr:uid="{00000000-0005-0000-0000-0000DA090000}"/>
    <cellStyle name="_APGA 5045.04_Sheet1_1_II.7. Sep&amp;Discrete_Guidance_BS retrieve" xfId="2524" xr:uid="{00000000-0005-0000-0000-0000DB090000}"/>
    <cellStyle name="_APGA 5045.04_Sheet1_1_II.7. Sep&amp;Discrete_Guidance_Free CF" xfId="2525" xr:uid="{00000000-0005-0000-0000-0000DC090000}"/>
    <cellStyle name="_APGA 5045.04_Sheet1_1_II.7. Sep&amp;Discrete_Guidance_P&amp;L Rec Qtr" xfId="2526" xr:uid="{00000000-0005-0000-0000-0000DD090000}"/>
    <cellStyle name="_APGA 5045.04_Sheet1_1_II.7. Sep&amp;Discrete_Guidance_Sheet1" xfId="2527" xr:uid="{00000000-0005-0000-0000-0000DE090000}"/>
    <cellStyle name="_APGA 5045.04_Sheet1_1_II.7. Sep&amp;Discrete_Guidance_Sheet2" xfId="2528" xr:uid="{00000000-0005-0000-0000-0000DF090000}"/>
    <cellStyle name="_APGA 5045.04_Sheet1_1_II.7. Sep&amp;Discrete_Guidance_Sheet3" xfId="2529" xr:uid="{00000000-0005-0000-0000-0000E0090000}"/>
    <cellStyle name="_APGA 5045.04_Sheet1_1_II.7. Sep&amp;Discrete_Guidance_Sheet4" xfId="2530" xr:uid="{00000000-0005-0000-0000-0000E1090000}"/>
    <cellStyle name="_APGA 5045.04_Sheet1_1_Restructuring &amp; Separation" xfId="2531" xr:uid="{00000000-0005-0000-0000-0000E2090000}"/>
    <cellStyle name="_APGA 5045.04_Sheet1_1_Restructuring &amp; Separation_Guidance" xfId="2532" xr:uid="{00000000-0005-0000-0000-0000E3090000}"/>
    <cellStyle name="_APGA 5045.04_Sheet1_1_Restructuring &amp; Separation_Guidance 2" xfId="2533" xr:uid="{00000000-0005-0000-0000-0000E4090000}"/>
    <cellStyle name="_APGA 5045.04_Sheet1_1_Restructuring &amp; Separation_Guidance_BS retrieve" xfId="2534" xr:uid="{00000000-0005-0000-0000-0000E5090000}"/>
    <cellStyle name="_APGA 5045.04_Sheet1_1_Restructuring &amp; Separation_Guidance_Free CF" xfId="2535" xr:uid="{00000000-0005-0000-0000-0000E6090000}"/>
    <cellStyle name="_APGA 5045.04_Sheet1_1_Restructuring &amp; Separation_Guidance_P&amp;L Rec Qtr" xfId="2536" xr:uid="{00000000-0005-0000-0000-0000E7090000}"/>
    <cellStyle name="_APGA 5045.04_Sheet1_1_Restructuring &amp; Separation_Guidance_Sheet1" xfId="2537" xr:uid="{00000000-0005-0000-0000-0000E8090000}"/>
    <cellStyle name="_APGA 5045.04_Sheet1_1_Restructuring &amp; Separation_Guidance_Sheet2" xfId="2538" xr:uid="{00000000-0005-0000-0000-0000E9090000}"/>
    <cellStyle name="_APGA 5045.04_Sheet1_1_Restructuring &amp; Separation_Guidance_Sheet3" xfId="2539" xr:uid="{00000000-0005-0000-0000-0000EA090000}"/>
    <cellStyle name="_APGA 5045.04_Sheet1_1_Restructuring &amp; Separation_Guidance_Sheet4" xfId="2540" xr:uid="{00000000-0005-0000-0000-0000EB090000}"/>
    <cellStyle name="_APGA 5045.04_Sheet1_1_Restructuring &amp; Separation_II.7. Sep&amp;Discrete" xfId="2541" xr:uid="{00000000-0005-0000-0000-0000EC090000}"/>
    <cellStyle name="_APGA 5045.04_Sheet1_1_Restructuring &amp; Separation_II.7. Sep&amp;Discrete_Guidance" xfId="2542" xr:uid="{00000000-0005-0000-0000-0000ED090000}"/>
    <cellStyle name="_APGA 5045.04_Sheet1_1_Restructuring &amp; Separation_II.7. Sep&amp;Discrete_Guidance 2" xfId="2543" xr:uid="{00000000-0005-0000-0000-0000EE090000}"/>
    <cellStyle name="_APGA 5045.04_Sheet1_1_Restructuring &amp; Separation_II.7. Sep&amp;Discrete_Guidance_BS retrieve" xfId="2544" xr:uid="{00000000-0005-0000-0000-0000EF090000}"/>
    <cellStyle name="_APGA 5045.04_Sheet1_1_Restructuring &amp; Separation_II.7. Sep&amp;Discrete_Guidance_Free CF" xfId="2545" xr:uid="{00000000-0005-0000-0000-0000F0090000}"/>
    <cellStyle name="_APGA 5045.04_Sheet1_1_Restructuring &amp; Separation_II.7. Sep&amp;Discrete_Guidance_P&amp;L Rec Qtr" xfId="2546" xr:uid="{00000000-0005-0000-0000-0000F1090000}"/>
    <cellStyle name="_APGA 5045.04_Sheet1_1_Restructuring &amp; Separation_II.7. Sep&amp;Discrete_Guidance_Sheet1" xfId="2547" xr:uid="{00000000-0005-0000-0000-0000F2090000}"/>
    <cellStyle name="_APGA 5045.04_Sheet1_1_Restructuring &amp; Separation_II.7. Sep&amp;Discrete_Guidance_Sheet2" xfId="2548" xr:uid="{00000000-0005-0000-0000-0000F3090000}"/>
    <cellStyle name="_APGA 5045.04_Sheet1_1_Restructuring &amp; Separation_II.7. Sep&amp;Discrete_Guidance_Sheet3" xfId="2549" xr:uid="{00000000-0005-0000-0000-0000F4090000}"/>
    <cellStyle name="_APGA 5045.04_Sheet1_1_Restructuring &amp; Separation_II.7. Sep&amp;Discrete_Guidance_Sheet4" xfId="2550" xr:uid="{00000000-0005-0000-0000-0000F5090000}"/>
    <cellStyle name="_APGA 5045.04_Sheet1_BS_Separation_TaxResIndem_Q12412 tf" xfId="2551" xr:uid="{00000000-0005-0000-0000-0000F6090000}"/>
    <cellStyle name="_APGA 5045.04_Sheet1_BS_Separation_TaxResIndem_Q12412 tf_Guidance" xfId="2552" xr:uid="{00000000-0005-0000-0000-0000F7090000}"/>
    <cellStyle name="_APGA 5045.04_Sheet1_BS_Separation_TaxResIndem_Q12412 tf_Guidance 2" xfId="2553" xr:uid="{00000000-0005-0000-0000-0000F8090000}"/>
    <cellStyle name="_APGA 5045.04_Sheet1_BS_Separation_TaxResIndem_Q12412 tf_Guidance_BS retrieve" xfId="2554" xr:uid="{00000000-0005-0000-0000-0000F9090000}"/>
    <cellStyle name="_APGA 5045.04_Sheet1_BS_Separation_TaxResIndem_Q12412 tf_Guidance_Free CF" xfId="2555" xr:uid="{00000000-0005-0000-0000-0000FA090000}"/>
    <cellStyle name="_APGA 5045.04_Sheet1_BS_Separation_TaxResIndem_Q12412 tf_Guidance_P&amp;L Rec Qtr" xfId="2556" xr:uid="{00000000-0005-0000-0000-0000FB090000}"/>
    <cellStyle name="_APGA 5045.04_Sheet1_BS_Separation_TaxResIndem_Q12412 tf_Guidance_Sheet1" xfId="2557" xr:uid="{00000000-0005-0000-0000-0000FC090000}"/>
    <cellStyle name="_APGA 5045.04_Sheet1_BS_Separation_TaxResIndem_Q12412 tf_Guidance_Sheet2" xfId="2558" xr:uid="{00000000-0005-0000-0000-0000FD090000}"/>
    <cellStyle name="_APGA 5045.04_Sheet1_BS_Separation_TaxResIndem_Q12412 tf_Guidance_Sheet3" xfId="2559" xr:uid="{00000000-0005-0000-0000-0000FE090000}"/>
    <cellStyle name="_APGA 5045.04_Sheet1_BS_Separation_TaxResIndem_Q12412 tf_Guidance_Sheet4" xfId="2560" xr:uid="{00000000-0005-0000-0000-0000FF090000}"/>
    <cellStyle name="_APGA 5045.04_Sheet1_BS_Separation_TaxResIndem_Q12412 tf_II.7. Sep&amp;Discrete" xfId="2561" xr:uid="{00000000-0005-0000-0000-0000000A0000}"/>
    <cellStyle name="_APGA 5045.04_Sheet1_BS_Separation_TaxResIndem_Q12412 tf_II.7. Sep&amp;Discrete_Guidance" xfId="2562" xr:uid="{00000000-0005-0000-0000-0000010A0000}"/>
    <cellStyle name="_APGA 5045.04_Sheet1_BS_Separation_TaxResIndem_Q12412 tf_II.7. Sep&amp;Discrete_Guidance 2" xfId="2563" xr:uid="{00000000-0005-0000-0000-0000020A0000}"/>
    <cellStyle name="_APGA 5045.04_Sheet1_BS_Separation_TaxResIndem_Q12412 tf_II.7. Sep&amp;Discrete_Guidance_BS retrieve" xfId="2564" xr:uid="{00000000-0005-0000-0000-0000030A0000}"/>
    <cellStyle name="_APGA 5045.04_Sheet1_BS_Separation_TaxResIndem_Q12412 tf_II.7. Sep&amp;Discrete_Guidance_Free CF" xfId="2565" xr:uid="{00000000-0005-0000-0000-0000040A0000}"/>
    <cellStyle name="_APGA 5045.04_Sheet1_BS_Separation_TaxResIndem_Q12412 tf_II.7. Sep&amp;Discrete_Guidance_P&amp;L Rec Qtr" xfId="2566" xr:uid="{00000000-0005-0000-0000-0000050A0000}"/>
    <cellStyle name="_APGA 5045.04_Sheet1_BS_Separation_TaxResIndem_Q12412 tf_II.7. Sep&amp;Discrete_Guidance_Sheet1" xfId="2567" xr:uid="{00000000-0005-0000-0000-0000060A0000}"/>
    <cellStyle name="_APGA 5045.04_Sheet1_BS_Separation_TaxResIndem_Q12412 tf_II.7. Sep&amp;Discrete_Guidance_Sheet2" xfId="2568" xr:uid="{00000000-0005-0000-0000-0000070A0000}"/>
    <cellStyle name="_APGA 5045.04_Sheet1_BS_Separation_TaxResIndem_Q12412 tf_II.7. Sep&amp;Discrete_Guidance_Sheet3" xfId="2569" xr:uid="{00000000-0005-0000-0000-0000080A0000}"/>
    <cellStyle name="_APGA 5045.04_Sheet1_BS_Separation_TaxResIndem_Q12412 tf_II.7. Sep&amp;Discrete_Guidance_Sheet4" xfId="2570" xr:uid="{00000000-0005-0000-0000-0000090A0000}"/>
    <cellStyle name="_APGA 5045.04_Sheet1_BS_Separation_TaxResIndem_Q12412 tf_Restructuring &amp; Separation" xfId="2571" xr:uid="{00000000-0005-0000-0000-00000A0A0000}"/>
    <cellStyle name="_APGA 5045.04_Sheet1_BS_Separation_TaxResIndem_Q12412 tf_Restructuring &amp; Separation_Guidance" xfId="2572" xr:uid="{00000000-0005-0000-0000-00000B0A0000}"/>
    <cellStyle name="_APGA 5045.04_Sheet1_BS_Separation_TaxResIndem_Q12412 tf_Restructuring &amp; Separation_Guidance 2" xfId="2573" xr:uid="{00000000-0005-0000-0000-00000C0A0000}"/>
    <cellStyle name="_APGA 5045.04_Sheet1_BS_Separation_TaxResIndem_Q12412 tf_Restructuring &amp; Separation_Guidance_BS retrieve" xfId="2574" xr:uid="{00000000-0005-0000-0000-00000D0A0000}"/>
    <cellStyle name="_APGA 5045.04_Sheet1_BS_Separation_TaxResIndem_Q12412 tf_Restructuring &amp; Separation_Guidance_Free CF" xfId="2575" xr:uid="{00000000-0005-0000-0000-00000E0A0000}"/>
    <cellStyle name="_APGA 5045.04_Sheet1_BS_Separation_TaxResIndem_Q12412 tf_Restructuring &amp; Separation_Guidance_P&amp;L Rec Qtr" xfId="2576" xr:uid="{00000000-0005-0000-0000-00000F0A0000}"/>
    <cellStyle name="_APGA 5045.04_Sheet1_BS_Separation_TaxResIndem_Q12412 tf_Restructuring &amp; Separation_Guidance_Sheet1" xfId="2577" xr:uid="{00000000-0005-0000-0000-0000100A0000}"/>
    <cellStyle name="_APGA 5045.04_Sheet1_BS_Separation_TaxResIndem_Q12412 tf_Restructuring &amp; Separation_Guidance_Sheet2" xfId="2578" xr:uid="{00000000-0005-0000-0000-0000110A0000}"/>
    <cellStyle name="_APGA 5045.04_Sheet1_BS_Separation_TaxResIndem_Q12412 tf_Restructuring &amp; Separation_Guidance_Sheet3" xfId="2579" xr:uid="{00000000-0005-0000-0000-0000120A0000}"/>
    <cellStyle name="_APGA 5045.04_Sheet1_BS_Separation_TaxResIndem_Q12412 tf_Restructuring &amp; Separation_Guidance_Sheet4" xfId="2580" xr:uid="{00000000-0005-0000-0000-0000130A0000}"/>
    <cellStyle name="_APGA 5045.04_Sheet1_BS_Separation_TaxResIndem_Q12412 tf_Restructuring &amp; Separation_II.7. Sep&amp;Discrete" xfId="2581" xr:uid="{00000000-0005-0000-0000-0000140A0000}"/>
    <cellStyle name="_APGA 5045.04_Sheet1_BS_Separation_TaxResIndem_Q12412 tf_Restructuring &amp; Separation_II.7. Sep&amp;Discrete_Guidance" xfId="2582" xr:uid="{00000000-0005-0000-0000-0000150A0000}"/>
    <cellStyle name="_APGA 5045.04_Sheet1_BS_Separation_TaxResIndem_Q12412 tf_Restructuring &amp; Separation_II.7. Sep&amp;Discrete_Guidance 2" xfId="2583" xr:uid="{00000000-0005-0000-0000-0000160A0000}"/>
    <cellStyle name="_APGA 5045.04_Sheet1_BS_Separation_TaxResIndem_Q12412 tf_Restructuring &amp; Separation_II.7. Sep&amp;Discrete_Guidance_BS retrieve" xfId="2584" xr:uid="{00000000-0005-0000-0000-0000170A0000}"/>
    <cellStyle name="_APGA 5045.04_Sheet1_BS_Separation_TaxResIndem_Q12412 tf_Restructuring &amp; Separation_II.7. Sep&amp;Discrete_Guidance_Free CF" xfId="2585" xr:uid="{00000000-0005-0000-0000-0000180A0000}"/>
    <cellStyle name="_APGA 5045.04_Sheet1_BS_Separation_TaxResIndem_Q12412 tf_Restructuring &amp; Separation_II.7. Sep&amp;Discrete_Guidance_P&amp;L Rec Qtr" xfId="2586" xr:uid="{00000000-0005-0000-0000-0000190A0000}"/>
    <cellStyle name="_APGA 5045.04_Sheet1_BS_Separation_TaxResIndem_Q12412 tf_Restructuring &amp; Separation_II.7. Sep&amp;Discrete_Guidance_Sheet1" xfId="2587" xr:uid="{00000000-0005-0000-0000-00001A0A0000}"/>
    <cellStyle name="_APGA 5045.04_Sheet1_BS_Separation_TaxResIndem_Q12412 tf_Restructuring &amp; Separation_II.7. Sep&amp;Discrete_Guidance_Sheet2" xfId="2588" xr:uid="{00000000-0005-0000-0000-00001B0A0000}"/>
    <cellStyle name="_APGA 5045.04_Sheet1_BS_Separation_TaxResIndem_Q12412 tf_Restructuring &amp; Separation_II.7. Sep&amp;Discrete_Guidance_Sheet3" xfId="2589" xr:uid="{00000000-0005-0000-0000-00001C0A0000}"/>
    <cellStyle name="_APGA 5045.04_Sheet1_BS_Separation_TaxResIndem_Q12412 tf_Restructuring &amp; Separation_II.7. Sep&amp;Discrete_Guidance_Sheet4" xfId="2590" xr:uid="{00000000-0005-0000-0000-00001D0A0000}"/>
    <cellStyle name="_APGA 5045.04_Sheet1_Guidance" xfId="2591" xr:uid="{00000000-0005-0000-0000-00001E0A0000}"/>
    <cellStyle name="_APGA 5045.04_Sheet1_Guidance 2" xfId="2592" xr:uid="{00000000-0005-0000-0000-00001F0A0000}"/>
    <cellStyle name="_APGA 5045.04_Sheet1_Guidance_BS retrieve" xfId="2593" xr:uid="{00000000-0005-0000-0000-0000200A0000}"/>
    <cellStyle name="_APGA 5045.04_Sheet1_Guidance_Free CF" xfId="2594" xr:uid="{00000000-0005-0000-0000-0000210A0000}"/>
    <cellStyle name="_APGA 5045.04_Sheet1_Guidance_P&amp;L Rec Qtr" xfId="2595" xr:uid="{00000000-0005-0000-0000-0000220A0000}"/>
    <cellStyle name="_APGA 5045.04_Sheet1_Guidance_Sheet1" xfId="2596" xr:uid="{00000000-0005-0000-0000-0000230A0000}"/>
    <cellStyle name="_APGA 5045.04_Sheet1_Guidance_Sheet2" xfId="2597" xr:uid="{00000000-0005-0000-0000-0000240A0000}"/>
    <cellStyle name="_APGA 5045.04_Sheet1_Guidance_Sheet3" xfId="2598" xr:uid="{00000000-0005-0000-0000-0000250A0000}"/>
    <cellStyle name="_APGA 5045.04_Sheet1_Guidance_Sheet4" xfId="2599" xr:uid="{00000000-0005-0000-0000-0000260A0000}"/>
    <cellStyle name="_APGA 5045.04_Sheet1_II.7. Sep&amp;Discrete" xfId="2600" xr:uid="{00000000-0005-0000-0000-0000270A0000}"/>
    <cellStyle name="_APGA 5045.04_Sheet1_II.7. Sep&amp;Discrete_Guidance" xfId="2601" xr:uid="{00000000-0005-0000-0000-0000280A0000}"/>
    <cellStyle name="_APGA 5045.04_Sheet1_II.7. Sep&amp;Discrete_Guidance 2" xfId="2602" xr:uid="{00000000-0005-0000-0000-0000290A0000}"/>
    <cellStyle name="_APGA 5045.04_Sheet1_II.7. Sep&amp;Discrete_Guidance_BS retrieve" xfId="2603" xr:uid="{00000000-0005-0000-0000-00002A0A0000}"/>
    <cellStyle name="_APGA 5045.04_Sheet1_II.7. Sep&amp;Discrete_Guidance_Free CF" xfId="2604" xr:uid="{00000000-0005-0000-0000-00002B0A0000}"/>
    <cellStyle name="_APGA 5045.04_Sheet1_II.7. Sep&amp;Discrete_Guidance_P&amp;L Rec Qtr" xfId="2605" xr:uid="{00000000-0005-0000-0000-00002C0A0000}"/>
    <cellStyle name="_APGA 5045.04_Sheet1_II.7. Sep&amp;Discrete_Guidance_Sheet1" xfId="2606" xr:uid="{00000000-0005-0000-0000-00002D0A0000}"/>
    <cellStyle name="_APGA 5045.04_Sheet1_II.7. Sep&amp;Discrete_Guidance_Sheet2" xfId="2607" xr:uid="{00000000-0005-0000-0000-00002E0A0000}"/>
    <cellStyle name="_APGA 5045.04_Sheet1_II.7. Sep&amp;Discrete_Guidance_Sheet3" xfId="2608" xr:uid="{00000000-0005-0000-0000-00002F0A0000}"/>
    <cellStyle name="_APGA 5045.04_Sheet1_II.7. Sep&amp;Discrete_Guidance_Sheet4" xfId="2609" xr:uid="{00000000-0005-0000-0000-0000300A0000}"/>
    <cellStyle name="_APGA 5045.04_Sheet1_II.8. Sep&amp;Discrete" xfId="2610" xr:uid="{00000000-0005-0000-0000-0000310A0000}"/>
    <cellStyle name="_APGA 5045.04_Sheet1_II.8. Sep&amp;Discrete_Guidance" xfId="2611" xr:uid="{00000000-0005-0000-0000-0000320A0000}"/>
    <cellStyle name="_APGA 5045.04_Sheet1_II.8. Sep&amp;Discrete_Guidance 2" xfId="2612" xr:uid="{00000000-0005-0000-0000-0000330A0000}"/>
    <cellStyle name="_APGA 5045.04_Sheet1_II.8. Sep&amp;Discrete_Guidance_BS retrieve" xfId="2613" xr:uid="{00000000-0005-0000-0000-0000340A0000}"/>
    <cellStyle name="_APGA 5045.04_Sheet1_II.8. Sep&amp;Discrete_Guidance_Free CF" xfId="2614" xr:uid="{00000000-0005-0000-0000-0000350A0000}"/>
    <cellStyle name="_APGA 5045.04_Sheet1_II.8. Sep&amp;Discrete_Guidance_P&amp;L Rec Qtr" xfId="2615" xr:uid="{00000000-0005-0000-0000-0000360A0000}"/>
    <cellStyle name="_APGA 5045.04_Sheet1_II.8. Sep&amp;Discrete_Guidance_Sheet1" xfId="2616" xr:uid="{00000000-0005-0000-0000-0000370A0000}"/>
    <cellStyle name="_APGA 5045.04_Sheet1_II.8. Sep&amp;Discrete_Guidance_Sheet2" xfId="2617" xr:uid="{00000000-0005-0000-0000-0000380A0000}"/>
    <cellStyle name="_APGA 5045.04_Sheet1_II.8. Sep&amp;Discrete_Guidance_Sheet3" xfId="2618" xr:uid="{00000000-0005-0000-0000-0000390A0000}"/>
    <cellStyle name="_APGA 5045.04_Sheet1_II.8. Sep&amp;Discrete_Guidance_Sheet4" xfId="2619" xr:uid="{00000000-0005-0000-0000-00003A0A0000}"/>
    <cellStyle name="_APGA 5045.04_Sheet1_Restructuring &amp; Separation" xfId="2620" xr:uid="{00000000-0005-0000-0000-00003B0A0000}"/>
    <cellStyle name="_APGA 5045.04_Sheet1_Restructuring &amp; Separation_Guidance" xfId="2621" xr:uid="{00000000-0005-0000-0000-00003C0A0000}"/>
    <cellStyle name="_APGA 5045.04_Sheet1_Restructuring &amp; Separation_Guidance 2" xfId="2622" xr:uid="{00000000-0005-0000-0000-00003D0A0000}"/>
    <cellStyle name="_APGA 5045.04_Sheet1_Restructuring &amp; Separation_Guidance_BS retrieve" xfId="2623" xr:uid="{00000000-0005-0000-0000-00003E0A0000}"/>
    <cellStyle name="_APGA 5045.04_Sheet1_Restructuring &amp; Separation_Guidance_Free CF" xfId="2624" xr:uid="{00000000-0005-0000-0000-00003F0A0000}"/>
    <cellStyle name="_APGA 5045.04_Sheet1_Restructuring &amp; Separation_Guidance_P&amp;L Rec Qtr" xfId="2625" xr:uid="{00000000-0005-0000-0000-0000400A0000}"/>
    <cellStyle name="_APGA 5045.04_Sheet1_Restructuring &amp; Separation_Guidance_Sheet1" xfId="2626" xr:uid="{00000000-0005-0000-0000-0000410A0000}"/>
    <cellStyle name="_APGA 5045.04_Sheet1_Restructuring &amp; Separation_Guidance_Sheet2" xfId="2627" xr:uid="{00000000-0005-0000-0000-0000420A0000}"/>
    <cellStyle name="_APGA 5045.04_Sheet1_Restructuring &amp; Separation_Guidance_Sheet3" xfId="2628" xr:uid="{00000000-0005-0000-0000-0000430A0000}"/>
    <cellStyle name="_APGA 5045.04_Sheet1_Restructuring &amp; Separation_Guidance_Sheet4" xfId="2629" xr:uid="{00000000-0005-0000-0000-0000440A0000}"/>
    <cellStyle name="_APGA 5045.04_Sheet1_Restructuring &amp; Separation_II.7. Sep&amp;Discrete" xfId="2630" xr:uid="{00000000-0005-0000-0000-0000450A0000}"/>
    <cellStyle name="_APGA 5045.04_Sheet1_Restructuring &amp; Separation_II.7. Sep&amp;Discrete_Guidance" xfId="2631" xr:uid="{00000000-0005-0000-0000-0000460A0000}"/>
    <cellStyle name="_APGA 5045.04_Sheet1_Restructuring &amp; Separation_II.7. Sep&amp;Discrete_Guidance 2" xfId="2632" xr:uid="{00000000-0005-0000-0000-0000470A0000}"/>
    <cellStyle name="_APGA 5045.04_Sheet1_Restructuring &amp; Separation_II.7. Sep&amp;Discrete_Guidance_BS retrieve" xfId="2633" xr:uid="{00000000-0005-0000-0000-0000480A0000}"/>
    <cellStyle name="_APGA 5045.04_Sheet1_Restructuring &amp; Separation_II.7. Sep&amp;Discrete_Guidance_Free CF" xfId="2634" xr:uid="{00000000-0005-0000-0000-0000490A0000}"/>
    <cellStyle name="_APGA 5045.04_Sheet1_Restructuring &amp; Separation_II.7. Sep&amp;Discrete_Guidance_P&amp;L Rec Qtr" xfId="2635" xr:uid="{00000000-0005-0000-0000-00004A0A0000}"/>
    <cellStyle name="_APGA 5045.04_Sheet1_Restructuring &amp; Separation_II.7. Sep&amp;Discrete_Guidance_Sheet1" xfId="2636" xr:uid="{00000000-0005-0000-0000-00004B0A0000}"/>
    <cellStyle name="_APGA 5045.04_Sheet1_Restructuring &amp; Separation_II.7. Sep&amp;Discrete_Guidance_Sheet2" xfId="2637" xr:uid="{00000000-0005-0000-0000-00004C0A0000}"/>
    <cellStyle name="_APGA 5045.04_Sheet1_Restructuring &amp; Separation_II.7. Sep&amp;Discrete_Guidance_Sheet3" xfId="2638" xr:uid="{00000000-0005-0000-0000-00004D0A0000}"/>
    <cellStyle name="_APGA 5045.04_Sheet1_Restructuring &amp; Separation_II.7. Sep&amp;Discrete_Guidance_Sheet4" xfId="2639" xr:uid="{00000000-0005-0000-0000-00004E0A0000}"/>
    <cellStyle name="_ASE - Financial Approval - 05.18.05" xfId="2640" xr:uid="{00000000-0005-0000-0000-00004F0A0000}"/>
    <cellStyle name="_Book1" xfId="2641" xr:uid="{00000000-0005-0000-0000-0000500A0000}"/>
    <cellStyle name="_Book1 (2)" xfId="2642" xr:uid="{00000000-0005-0000-0000-0000510A0000}"/>
    <cellStyle name="_CAPEX  TOOL Update-APAC 08-QD" xfId="2643" xr:uid="{00000000-0005-0000-0000-0000520A0000}"/>
    <cellStyle name="_Copy of Check_Plan2010 VCS" xfId="2644" xr:uid="{00000000-0005-0000-0000-0000530A0000}"/>
    <cellStyle name="_Copy of Check_Plan2010 VCS_BS_Separation_TaxResIndem_Q12412 tf" xfId="2645" xr:uid="{00000000-0005-0000-0000-0000540A0000}"/>
    <cellStyle name="_Copy of Check_Plan2010 VCS_BS_Separation_TaxResIndem_Q12412 tf_Guidance" xfId="2646" xr:uid="{00000000-0005-0000-0000-0000550A0000}"/>
    <cellStyle name="_Copy of Check_Plan2010 VCS_BS_Separation_TaxResIndem_Q12412 tf_Guidance 2" xfId="2647" xr:uid="{00000000-0005-0000-0000-0000560A0000}"/>
    <cellStyle name="_Copy of Check_Plan2010 VCS_BS_Separation_TaxResIndem_Q12412 tf_Guidance_BS retrieve" xfId="2648" xr:uid="{00000000-0005-0000-0000-0000570A0000}"/>
    <cellStyle name="_Copy of Check_Plan2010 VCS_BS_Separation_TaxResIndem_Q12412 tf_Guidance_Free CF" xfId="2649" xr:uid="{00000000-0005-0000-0000-0000580A0000}"/>
    <cellStyle name="_Copy of Check_Plan2010 VCS_BS_Separation_TaxResIndem_Q12412 tf_Guidance_P&amp;L Rec Qtr" xfId="2650" xr:uid="{00000000-0005-0000-0000-0000590A0000}"/>
    <cellStyle name="_Copy of Check_Plan2010 VCS_BS_Separation_TaxResIndem_Q12412 tf_Guidance_Sheet1" xfId="2651" xr:uid="{00000000-0005-0000-0000-00005A0A0000}"/>
    <cellStyle name="_Copy of Check_Plan2010 VCS_BS_Separation_TaxResIndem_Q12412 tf_Guidance_Sheet2" xfId="2652" xr:uid="{00000000-0005-0000-0000-00005B0A0000}"/>
    <cellStyle name="_Copy of Check_Plan2010 VCS_BS_Separation_TaxResIndem_Q12412 tf_Guidance_Sheet3" xfId="2653" xr:uid="{00000000-0005-0000-0000-00005C0A0000}"/>
    <cellStyle name="_Copy of Check_Plan2010 VCS_BS_Separation_TaxResIndem_Q12412 tf_Guidance_Sheet4" xfId="2654" xr:uid="{00000000-0005-0000-0000-00005D0A0000}"/>
    <cellStyle name="_Copy of Check_Plan2010 VCS_BS_Separation_TaxResIndem_Q12412 tf_II.7. Sep&amp;Discrete" xfId="2655" xr:uid="{00000000-0005-0000-0000-00005E0A0000}"/>
    <cellStyle name="_Copy of Check_Plan2010 VCS_BS_Separation_TaxResIndem_Q12412 tf_II.7. Sep&amp;Discrete_Guidance" xfId="2656" xr:uid="{00000000-0005-0000-0000-00005F0A0000}"/>
    <cellStyle name="_Copy of Check_Plan2010 VCS_BS_Separation_TaxResIndem_Q12412 tf_II.7. Sep&amp;Discrete_Guidance 2" xfId="2657" xr:uid="{00000000-0005-0000-0000-0000600A0000}"/>
    <cellStyle name="_Copy of Check_Plan2010 VCS_BS_Separation_TaxResIndem_Q12412 tf_II.7. Sep&amp;Discrete_Guidance_BS retrieve" xfId="2658" xr:uid="{00000000-0005-0000-0000-0000610A0000}"/>
    <cellStyle name="_Copy of Check_Plan2010 VCS_BS_Separation_TaxResIndem_Q12412 tf_II.7. Sep&amp;Discrete_Guidance_Free CF" xfId="2659" xr:uid="{00000000-0005-0000-0000-0000620A0000}"/>
    <cellStyle name="_Copy of Check_Plan2010 VCS_BS_Separation_TaxResIndem_Q12412 tf_II.7. Sep&amp;Discrete_Guidance_P&amp;L Rec Qtr" xfId="2660" xr:uid="{00000000-0005-0000-0000-0000630A0000}"/>
    <cellStyle name="_Copy of Check_Plan2010 VCS_BS_Separation_TaxResIndem_Q12412 tf_II.7. Sep&amp;Discrete_Guidance_Sheet1" xfId="2661" xr:uid="{00000000-0005-0000-0000-0000640A0000}"/>
    <cellStyle name="_Copy of Check_Plan2010 VCS_BS_Separation_TaxResIndem_Q12412 tf_II.7. Sep&amp;Discrete_Guidance_Sheet2" xfId="2662" xr:uid="{00000000-0005-0000-0000-0000650A0000}"/>
    <cellStyle name="_Copy of Check_Plan2010 VCS_BS_Separation_TaxResIndem_Q12412 tf_II.7. Sep&amp;Discrete_Guidance_Sheet3" xfId="2663" xr:uid="{00000000-0005-0000-0000-0000660A0000}"/>
    <cellStyle name="_Copy of Check_Plan2010 VCS_BS_Separation_TaxResIndem_Q12412 tf_II.7. Sep&amp;Discrete_Guidance_Sheet4" xfId="2664" xr:uid="{00000000-0005-0000-0000-0000670A0000}"/>
    <cellStyle name="_Copy of Check_Plan2010 VCS_BS_Separation_TaxResIndem_Q12412 tf_Restructuring &amp; Separation" xfId="2665" xr:uid="{00000000-0005-0000-0000-0000680A0000}"/>
    <cellStyle name="_Copy of Check_Plan2010 VCS_BS_Separation_TaxResIndem_Q12412 tf_Restructuring &amp; Separation_Guidance" xfId="2666" xr:uid="{00000000-0005-0000-0000-0000690A0000}"/>
    <cellStyle name="_Copy of Check_Plan2010 VCS_BS_Separation_TaxResIndem_Q12412 tf_Restructuring &amp; Separation_Guidance 2" xfId="2667" xr:uid="{00000000-0005-0000-0000-00006A0A0000}"/>
    <cellStyle name="_Copy of Check_Plan2010 VCS_BS_Separation_TaxResIndem_Q12412 tf_Restructuring &amp; Separation_Guidance_BS retrieve" xfId="2668" xr:uid="{00000000-0005-0000-0000-00006B0A0000}"/>
    <cellStyle name="_Copy of Check_Plan2010 VCS_BS_Separation_TaxResIndem_Q12412 tf_Restructuring &amp; Separation_Guidance_Free CF" xfId="2669" xr:uid="{00000000-0005-0000-0000-00006C0A0000}"/>
    <cellStyle name="_Copy of Check_Plan2010 VCS_BS_Separation_TaxResIndem_Q12412 tf_Restructuring &amp; Separation_Guidance_P&amp;L Rec Qtr" xfId="2670" xr:uid="{00000000-0005-0000-0000-00006D0A0000}"/>
    <cellStyle name="_Copy of Check_Plan2010 VCS_BS_Separation_TaxResIndem_Q12412 tf_Restructuring &amp; Separation_Guidance_Sheet1" xfId="2671" xr:uid="{00000000-0005-0000-0000-00006E0A0000}"/>
    <cellStyle name="_Copy of Check_Plan2010 VCS_BS_Separation_TaxResIndem_Q12412 tf_Restructuring &amp; Separation_Guidance_Sheet2" xfId="2672" xr:uid="{00000000-0005-0000-0000-00006F0A0000}"/>
    <cellStyle name="_Copy of Check_Plan2010 VCS_BS_Separation_TaxResIndem_Q12412 tf_Restructuring &amp; Separation_Guidance_Sheet3" xfId="2673" xr:uid="{00000000-0005-0000-0000-0000700A0000}"/>
    <cellStyle name="_Copy of Check_Plan2010 VCS_BS_Separation_TaxResIndem_Q12412 tf_Restructuring &amp; Separation_Guidance_Sheet4" xfId="2674" xr:uid="{00000000-0005-0000-0000-0000710A0000}"/>
    <cellStyle name="_Copy of Check_Plan2010 VCS_BS_Separation_TaxResIndem_Q12412 tf_Restructuring &amp; Separation_II.7. Sep&amp;Discrete" xfId="2675" xr:uid="{00000000-0005-0000-0000-0000720A0000}"/>
    <cellStyle name="_Copy of Check_Plan2010 VCS_BS_Separation_TaxResIndem_Q12412 tf_Restructuring &amp; Separation_II.7. Sep&amp;Discrete_Guidance" xfId="2676" xr:uid="{00000000-0005-0000-0000-0000730A0000}"/>
    <cellStyle name="_Copy of Check_Plan2010 VCS_BS_Separation_TaxResIndem_Q12412 tf_Restructuring &amp; Separation_II.7. Sep&amp;Discrete_Guidance 2" xfId="2677" xr:uid="{00000000-0005-0000-0000-0000740A0000}"/>
    <cellStyle name="_Copy of Check_Plan2010 VCS_BS_Separation_TaxResIndem_Q12412 tf_Restructuring &amp; Separation_II.7. Sep&amp;Discrete_Guidance_BS retrieve" xfId="2678" xr:uid="{00000000-0005-0000-0000-0000750A0000}"/>
    <cellStyle name="_Copy of Check_Plan2010 VCS_BS_Separation_TaxResIndem_Q12412 tf_Restructuring &amp; Separation_II.7. Sep&amp;Discrete_Guidance_Free CF" xfId="2679" xr:uid="{00000000-0005-0000-0000-0000760A0000}"/>
    <cellStyle name="_Copy of Check_Plan2010 VCS_BS_Separation_TaxResIndem_Q12412 tf_Restructuring &amp; Separation_II.7. Sep&amp;Discrete_Guidance_P&amp;L Rec Qtr" xfId="2680" xr:uid="{00000000-0005-0000-0000-0000770A0000}"/>
    <cellStyle name="_Copy of Check_Plan2010 VCS_BS_Separation_TaxResIndem_Q12412 tf_Restructuring &amp; Separation_II.7. Sep&amp;Discrete_Guidance_Sheet1" xfId="2681" xr:uid="{00000000-0005-0000-0000-0000780A0000}"/>
    <cellStyle name="_Copy of Check_Plan2010 VCS_BS_Separation_TaxResIndem_Q12412 tf_Restructuring &amp; Separation_II.7. Sep&amp;Discrete_Guidance_Sheet2" xfId="2682" xr:uid="{00000000-0005-0000-0000-0000790A0000}"/>
    <cellStyle name="_Copy of Check_Plan2010 VCS_BS_Separation_TaxResIndem_Q12412 tf_Restructuring &amp; Separation_II.7. Sep&amp;Discrete_Guidance_Sheet3" xfId="2683" xr:uid="{00000000-0005-0000-0000-00007A0A0000}"/>
    <cellStyle name="_Copy of Check_Plan2010 VCS_BS_Separation_TaxResIndem_Q12412 tf_Restructuring &amp; Separation_II.7. Sep&amp;Discrete_Guidance_Sheet4" xfId="2684" xr:uid="{00000000-0005-0000-0000-00007B0A0000}"/>
    <cellStyle name="_Copy of Check_Plan2010 VCS_Guidance" xfId="2685" xr:uid="{00000000-0005-0000-0000-00007C0A0000}"/>
    <cellStyle name="_Copy of Check_Plan2010 VCS_Guidance 2" xfId="2686" xr:uid="{00000000-0005-0000-0000-00007D0A0000}"/>
    <cellStyle name="_Copy of Check_Plan2010 VCS_Guidance_BS retrieve" xfId="2687" xr:uid="{00000000-0005-0000-0000-00007E0A0000}"/>
    <cellStyle name="_Copy of Check_Plan2010 VCS_Guidance_Free CF" xfId="2688" xr:uid="{00000000-0005-0000-0000-00007F0A0000}"/>
    <cellStyle name="_Copy of Check_Plan2010 VCS_Guidance_P&amp;L Rec Qtr" xfId="2689" xr:uid="{00000000-0005-0000-0000-0000800A0000}"/>
    <cellStyle name="_Copy of Check_Plan2010 VCS_Guidance_Sheet1" xfId="2690" xr:uid="{00000000-0005-0000-0000-0000810A0000}"/>
    <cellStyle name="_Copy of Check_Plan2010 VCS_Guidance_Sheet2" xfId="2691" xr:uid="{00000000-0005-0000-0000-0000820A0000}"/>
    <cellStyle name="_Copy of Check_Plan2010 VCS_Guidance_Sheet3" xfId="2692" xr:uid="{00000000-0005-0000-0000-0000830A0000}"/>
    <cellStyle name="_Copy of Check_Plan2010 VCS_Guidance_Sheet4" xfId="2693" xr:uid="{00000000-0005-0000-0000-0000840A0000}"/>
    <cellStyle name="_Copy of Check_Plan2010 VCS_II.7. Sep&amp;Discrete" xfId="2694" xr:uid="{00000000-0005-0000-0000-0000850A0000}"/>
    <cellStyle name="_Copy of Check_Plan2010 VCS_II.7. Sep&amp;Discrete_Guidance" xfId="2695" xr:uid="{00000000-0005-0000-0000-0000860A0000}"/>
    <cellStyle name="_Copy of Check_Plan2010 VCS_II.7. Sep&amp;Discrete_Guidance 2" xfId="2696" xr:uid="{00000000-0005-0000-0000-0000870A0000}"/>
    <cellStyle name="_Copy of Check_Plan2010 VCS_II.7. Sep&amp;Discrete_Guidance_BS retrieve" xfId="2697" xr:uid="{00000000-0005-0000-0000-0000880A0000}"/>
    <cellStyle name="_Copy of Check_Plan2010 VCS_II.7. Sep&amp;Discrete_Guidance_Free CF" xfId="2698" xr:uid="{00000000-0005-0000-0000-0000890A0000}"/>
    <cellStyle name="_Copy of Check_Plan2010 VCS_II.7. Sep&amp;Discrete_Guidance_P&amp;L Rec Qtr" xfId="2699" xr:uid="{00000000-0005-0000-0000-00008A0A0000}"/>
    <cellStyle name="_Copy of Check_Plan2010 VCS_II.7. Sep&amp;Discrete_Guidance_Sheet1" xfId="2700" xr:uid="{00000000-0005-0000-0000-00008B0A0000}"/>
    <cellStyle name="_Copy of Check_Plan2010 VCS_II.7. Sep&amp;Discrete_Guidance_Sheet2" xfId="2701" xr:uid="{00000000-0005-0000-0000-00008C0A0000}"/>
    <cellStyle name="_Copy of Check_Plan2010 VCS_II.7. Sep&amp;Discrete_Guidance_Sheet3" xfId="2702" xr:uid="{00000000-0005-0000-0000-00008D0A0000}"/>
    <cellStyle name="_Copy of Check_Plan2010 VCS_II.7. Sep&amp;Discrete_Guidance_Sheet4" xfId="2703" xr:uid="{00000000-0005-0000-0000-00008E0A0000}"/>
    <cellStyle name="_Copy of Check_Plan2010 VCS_II.8. Sep&amp;Discrete" xfId="2704" xr:uid="{00000000-0005-0000-0000-00008F0A0000}"/>
    <cellStyle name="_Copy of Check_Plan2010 VCS_II.8. Sep&amp;Discrete_Guidance" xfId="2705" xr:uid="{00000000-0005-0000-0000-0000900A0000}"/>
    <cellStyle name="_Copy of Check_Plan2010 VCS_II.8. Sep&amp;Discrete_Guidance 2" xfId="2706" xr:uid="{00000000-0005-0000-0000-0000910A0000}"/>
    <cellStyle name="_Copy of Check_Plan2010 VCS_II.8. Sep&amp;Discrete_Guidance_BS retrieve" xfId="2707" xr:uid="{00000000-0005-0000-0000-0000920A0000}"/>
    <cellStyle name="_Copy of Check_Plan2010 VCS_II.8. Sep&amp;Discrete_Guidance_Free CF" xfId="2708" xr:uid="{00000000-0005-0000-0000-0000930A0000}"/>
    <cellStyle name="_Copy of Check_Plan2010 VCS_II.8. Sep&amp;Discrete_Guidance_P&amp;L Rec Qtr" xfId="2709" xr:uid="{00000000-0005-0000-0000-0000940A0000}"/>
    <cellStyle name="_Copy of Check_Plan2010 VCS_II.8. Sep&amp;Discrete_Guidance_Sheet1" xfId="2710" xr:uid="{00000000-0005-0000-0000-0000950A0000}"/>
    <cellStyle name="_Copy of Check_Plan2010 VCS_II.8. Sep&amp;Discrete_Guidance_Sheet2" xfId="2711" xr:uid="{00000000-0005-0000-0000-0000960A0000}"/>
    <cellStyle name="_Copy of Check_Plan2010 VCS_II.8. Sep&amp;Discrete_Guidance_Sheet3" xfId="2712" xr:uid="{00000000-0005-0000-0000-0000970A0000}"/>
    <cellStyle name="_Copy of Check_Plan2010 VCS_II.8. Sep&amp;Discrete_Guidance_Sheet4" xfId="2713" xr:uid="{00000000-0005-0000-0000-0000980A0000}"/>
    <cellStyle name="_Copy of Check_Plan2010 VCS_Restructuring &amp; Separation" xfId="2714" xr:uid="{00000000-0005-0000-0000-0000990A0000}"/>
    <cellStyle name="_Copy of Check_Plan2010 VCS_Restructuring &amp; Separation_Guidance" xfId="2715" xr:uid="{00000000-0005-0000-0000-00009A0A0000}"/>
    <cellStyle name="_Copy of Check_Plan2010 VCS_Restructuring &amp; Separation_Guidance 2" xfId="2716" xr:uid="{00000000-0005-0000-0000-00009B0A0000}"/>
    <cellStyle name="_Copy of Check_Plan2010 VCS_Restructuring &amp; Separation_Guidance_BS retrieve" xfId="2717" xr:uid="{00000000-0005-0000-0000-00009C0A0000}"/>
    <cellStyle name="_Copy of Check_Plan2010 VCS_Restructuring &amp; Separation_Guidance_Free CF" xfId="2718" xr:uid="{00000000-0005-0000-0000-00009D0A0000}"/>
    <cellStyle name="_Copy of Check_Plan2010 VCS_Restructuring &amp; Separation_Guidance_P&amp;L Rec Qtr" xfId="2719" xr:uid="{00000000-0005-0000-0000-00009E0A0000}"/>
    <cellStyle name="_Copy of Check_Plan2010 VCS_Restructuring &amp; Separation_Guidance_Sheet1" xfId="2720" xr:uid="{00000000-0005-0000-0000-00009F0A0000}"/>
    <cellStyle name="_Copy of Check_Plan2010 VCS_Restructuring &amp; Separation_Guidance_Sheet2" xfId="2721" xr:uid="{00000000-0005-0000-0000-0000A00A0000}"/>
    <cellStyle name="_Copy of Check_Plan2010 VCS_Restructuring &amp; Separation_Guidance_Sheet3" xfId="2722" xr:uid="{00000000-0005-0000-0000-0000A10A0000}"/>
    <cellStyle name="_Copy of Check_Plan2010 VCS_Restructuring &amp; Separation_Guidance_Sheet4" xfId="2723" xr:uid="{00000000-0005-0000-0000-0000A20A0000}"/>
    <cellStyle name="_Copy of Check_Plan2010 VCS_Restructuring &amp; Separation_II.7. Sep&amp;Discrete" xfId="2724" xr:uid="{00000000-0005-0000-0000-0000A30A0000}"/>
    <cellStyle name="_Copy of Check_Plan2010 VCS_Restructuring &amp; Separation_II.7. Sep&amp;Discrete_Guidance" xfId="2725" xr:uid="{00000000-0005-0000-0000-0000A40A0000}"/>
    <cellStyle name="_Copy of Check_Plan2010 VCS_Restructuring &amp; Separation_II.7. Sep&amp;Discrete_Guidance 2" xfId="2726" xr:uid="{00000000-0005-0000-0000-0000A50A0000}"/>
    <cellStyle name="_Copy of Check_Plan2010 VCS_Restructuring &amp; Separation_II.7. Sep&amp;Discrete_Guidance_BS retrieve" xfId="2727" xr:uid="{00000000-0005-0000-0000-0000A60A0000}"/>
    <cellStyle name="_Copy of Check_Plan2010 VCS_Restructuring &amp; Separation_II.7. Sep&amp;Discrete_Guidance_Free CF" xfId="2728" xr:uid="{00000000-0005-0000-0000-0000A70A0000}"/>
    <cellStyle name="_Copy of Check_Plan2010 VCS_Restructuring &amp; Separation_II.7. Sep&amp;Discrete_Guidance_P&amp;L Rec Qtr" xfId="2729" xr:uid="{00000000-0005-0000-0000-0000A80A0000}"/>
    <cellStyle name="_Copy of Check_Plan2010 VCS_Restructuring &amp; Separation_II.7. Sep&amp;Discrete_Guidance_Sheet1" xfId="2730" xr:uid="{00000000-0005-0000-0000-0000A90A0000}"/>
    <cellStyle name="_Copy of Check_Plan2010 VCS_Restructuring &amp; Separation_II.7. Sep&amp;Discrete_Guidance_Sheet2" xfId="2731" xr:uid="{00000000-0005-0000-0000-0000AA0A0000}"/>
    <cellStyle name="_Copy of Check_Plan2010 VCS_Restructuring &amp; Separation_II.7. Sep&amp;Discrete_Guidance_Sheet3" xfId="2732" xr:uid="{00000000-0005-0000-0000-0000AB0A0000}"/>
    <cellStyle name="_Copy of Check_Plan2010 VCS_Restructuring &amp; Separation_II.7. Sep&amp;Discrete_Guidance_Sheet4" xfId="2733" xr:uid="{00000000-0005-0000-0000-0000AC0A0000}"/>
    <cellStyle name="_Copy of Check_Plan2010 VCS_Sheet1" xfId="2734" xr:uid="{00000000-0005-0000-0000-0000AD0A0000}"/>
    <cellStyle name="_Copy of Check_Plan2010 VCS_Sheet1_1" xfId="2735" xr:uid="{00000000-0005-0000-0000-0000AE0A0000}"/>
    <cellStyle name="_Copy of Check_Plan2010 VCS_Sheet1_1_Guidance" xfId="2736" xr:uid="{00000000-0005-0000-0000-0000AF0A0000}"/>
    <cellStyle name="_Copy of Check_Plan2010 VCS_Sheet1_1_Guidance 2" xfId="2737" xr:uid="{00000000-0005-0000-0000-0000B00A0000}"/>
    <cellStyle name="_Copy of Check_Plan2010 VCS_Sheet1_1_Guidance_BS retrieve" xfId="2738" xr:uid="{00000000-0005-0000-0000-0000B10A0000}"/>
    <cellStyle name="_Copy of Check_Plan2010 VCS_Sheet1_1_Guidance_Free CF" xfId="2739" xr:uid="{00000000-0005-0000-0000-0000B20A0000}"/>
    <cellStyle name="_Copy of Check_Plan2010 VCS_Sheet1_1_Guidance_P&amp;L Rec Qtr" xfId="2740" xr:uid="{00000000-0005-0000-0000-0000B30A0000}"/>
    <cellStyle name="_Copy of Check_Plan2010 VCS_Sheet1_1_Guidance_Sheet1" xfId="2741" xr:uid="{00000000-0005-0000-0000-0000B40A0000}"/>
    <cellStyle name="_Copy of Check_Plan2010 VCS_Sheet1_1_Guidance_Sheet2" xfId="2742" xr:uid="{00000000-0005-0000-0000-0000B50A0000}"/>
    <cellStyle name="_Copy of Check_Plan2010 VCS_Sheet1_1_Guidance_Sheet3" xfId="2743" xr:uid="{00000000-0005-0000-0000-0000B60A0000}"/>
    <cellStyle name="_Copy of Check_Plan2010 VCS_Sheet1_1_Guidance_Sheet4" xfId="2744" xr:uid="{00000000-0005-0000-0000-0000B70A0000}"/>
    <cellStyle name="_Copy of Check_Plan2010 VCS_Sheet1_1_II.7. Sep&amp;Discrete" xfId="2745" xr:uid="{00000000-0005-0000-0000-0000B80A0000}"/>
    <cellStyle name="_Copy of Check_Plan2010 VCS_Sheet1_1_II.7. Sep&amp;Discrete_Guidance" xfId="2746" xr:uid="{00000000-0005-0000-0000-0000B90A0000}"/>
    <cellStyle name="_Copy of Check_Plan2010 VCS_Sheet1_1_II.7. Sep&amp;Discrete_Guidance 2" xfId="2747" xr:uid="{00000000-0005-0000-0000-0000BA0A0000}"/>
    <cellStyle name="_Copy of Check_Plan2010 VCS_Sheet1_1_II.7. Sep&amp;Discrete_Guidance_BS retrieve" xfId="2748" xr:uid="{00000000-0005-0000-0000-0000BB0A0000}"/>
    <cellStyle name="_Copy of Check_Plan2010 VCS_Sheet1_1_II.7. Sep&amp;Discrete_Guidance_Free CF" xfId="2749" xr:uid="{00000000-0005-0000-0000-0000BC0A0000}"/>
    <cellStyle name="_Copy of Check_Plan2010 VCS_Sheet1_1_II.7. Sep&amp;Discrete_Guidance_P&amp;L Rec Qtr" xfId="2750" xr:uid="{00000000-0005-0000-0000-0000BD0A0000}"/>
    <cellStyle name="_Copy of Check_Plan2010 VCS_Sheet1_1_II.7. Sep&amp;Discrete_Guidance_Sheet1" xfId="2751" xr:uid="{00000000-0005-0000-0000-0000BE0A0000}"/>
    <cellStyle name="_Copy of Check_Plan2010 VCS_Sheet1_1_II.7. Sep&amp;Discrete_Guidance_Sheet2" xfId="2752" xr:uid="{00000000-0005-0000-0000-0000BF0A0000}"/>
    <cellStyle name="_Copy of Check_Plan2010 VCS_Sheet1_1_II.7. Sep&amp;Discrete_Guidance_Sheet3" xfId="2753" xr:uid="{00000000-0005-0000-0000-0000C00A0000}"/>
    <cellStyle name="_Copy of Check_Plan2010 VCS_Sheet1_1_II.7. Sep&amp;Discrete_Guidance_Sheet4" xfId="2754" xr:uid="{00000000-0005-0000-0000-0000C10A0000}"/>
    <cellStyle name="_Copy of Check_Plan2010 VCS_Sheet1_1_Restructuring &amp; Separation" xfId="2755" xr:uid="{00000000-0005-0000-0000-0000C20A0000}"/>
    <cellStyle name="_Copy of Check_Plan2010 VCS_Sheet1_1_Restructuring &amp; Separation_Guidance" xfId="2756" xr:uid="{00000000-0005-0000-0000-0000C30A0000}"/>
    <cellStyle name="_Copy of Check_Plan2010 VCS_Sheet1_1_Restructuring &amp; Separation_Guidance 2" xfId="2757" xr:uid="{00000000-0005-0000-0000-0000C40A0000}"/>
    <cellStyle name="_Copy of Check_Plan2010 VCS_Sheet1_1_Restructuring &amp; Separation_Guidance_BS retrieve" xfId="2758" xr:uid="{00000000-0005-0000-0000-0000C50A0000}"/>
    <cellStyle name="_Copy of Check_Plan2010 VCS_Sheet1_1_Restructuring &amp; Separation_Guidance_Free CF" xfId="2759" xr:uid="{00000000-0005-0000-0000-0000C60A0000}"/>
    <cellStyle name="_Copy of Check_Plan2010 VCS_Sheet1_1_Restructuring &amp; Separation_Guidance_P&amp;L Rec Qtr" xfId="2760" xr:uid="{00000000-0005-0000-0000-0000C70A0000}"/>
    <cellStyle name="_Copy of Check_Plan2010 VCS_Sheet1_1_Restructuring &amp; Separation_Guidance_Sheet1" xfId="2761" xr:uid="{00000000-0005-0000-0000-0000C80A0000}"/>
    <cellStyle name="_Copy of Check_Plan2010 VCS_Sheet1_1_Restructuring &amp; Separation_Guidance_Sheet2" xfId="2762" xr:uid="{00000000-0005-0000-0000-0000C90A0000}"/>
    <cellStyle name="_Copy of Check_Plan2010 VCS_Sheet1_1_Restructuring &amp; Separation_Guidance_Sheet3" xfId="2763" xr:uid="{00000000-0005-0000-0000-0000CA0A0000}"/>
    <cellStyle name="_Copy of Check_Plan2010 VCS_Sheet1_1_Restructuring &amp; Separation_Guidance_Sheet4" xfId="2764" xr:uid="{00000000-0005-0000-0000-0000CB0A0000}"/>
    <cellStyle name="_Copy of Check_Plan2010 VCS_Sheet1_1_Restructuring &amp; Separation_II.7. Sep&amp;Discrete" xfId="2765" xr:uid="{00000000-0005-0000-0000-0000CC0A0000}"/>
    <cellStyle name="_Copy of Check_Plan2010 VCS_Sheet1_1_Restructuring &amp; Separation_II.7. Sep&amp;Discrete_Guidance" xfId="2766" xr:uid="{00000000-0005-0000-0000-0000CD0A0000}"/>
    <cellStyle name="_Copy of Check_Plan2010 VCS_Sheet1_1_Restructuring &amp; Separation_II.7. Sep&amp;Discrete_Guidance 2" xfId="2767" xr:uid="{00000000-0005-0000-0000-0000CE0A0000}"/>
    <cellStyle name="_Copy of Check_Plan2010 VCS_Sheet1_1_Restructuring &amp; Separation_II.7. Sep&amp;Discrete_Guidance_BS retrieve" xfId="2768" xr:uid="{00000000-0005-0000-0000-0000CF0A0000}"/>
    <cellStyle name="_Copy of Check_Plan2010 VCS_Sheet1_1_Restructuring &amp; Separation_II.7. Sep&amp;Discrete_Guidance_Free CF" xfId="2769" xr:uid="{00000000-0005-0000-0000-0000D00A0000}"/>
    <cellStyle name="_Copy of Check_Plan2010 VCS_Sheet1_1_Restructuring &amp; Separation_II.7. Sep&amp;Discrete_Guidance_P&amp;L Rec Qtr" xfId="2770" xr:uid="{00000000-0005-0000-0000-0000D10A0000}"/>
    <cellStyle name="_Copy of Check_Plan2010 VCS_Sheet1_1_Restructuring &amp; Separation_II.7. Sep&amp;Discrete_Guidance_Sheet1" xfId="2771" xr:uid="{00000000-0005-0000-0000-0000D20A0000}"/>
    <cellStyle name="_Copy of Check_Plan2010 VCS_Sheet1_1_Restructuring &amp; Separation_II.7. Sep&amp;Discrete_Guidance_Sheet2" xfId="2772" xr:uid="{00000000-0005-0000-0000-0000D30A0000}"/>
    <cellStyle name="_Copy of Check_Plan2010 VCS_Sheet1_1_Restructuring &amp; Separation_II.7. Sep&amp;Discrete_Guidance_Sheet3" xfId="2773" xr:uid="{00000000-0005-0000-0000-0000D40A0000}"/>
    <cellStyle name="_Copy of Check_Plan2010 VCS_Sheet1_1_Restructuring &amp; Separation_II.7. Sep&amp;Discrete_Guidance_Sheet4" xfId="2774" xr:uid="{00000000-0005-0000-0000-0000D50A0000}"/>
    <cellStyle name="_Copy of Check_Plan2010 VCS_Sheet1_BS_Separation_TaxResIndem_Q12412 tf" xfId="2775" xr:uid="{00000000-0005-0000-0000-0000D60A0000}"/>
    <cellStyle name="_Copy of Check_Plan2010 VCS_Sheet1_BS_Separation_TaxResIndem_Q12412 tf_Guidance" xfId="2776" xr:uid="{00000000-0005-0000-0000-0000D70A0000}"/>
    <cellStyle name="_Copy of Check_Plan2010 VCS_Sheet1_BS_Separation_TaxResIndem_Q12412 tf_Guidance 2" xfId="2777" xr:uid="{00000000-0005-0000-0000-0000D80A0000}"/>
    <cellStyle name="_Copy of Check_Plan2010 VCS_Sheet1_BS_Separation_TaxResIndem_Q12412 tf_Guidance_BS retrieve" xfId="2778" xr:uid="{00000000-0005-0000-0000-0000D90A0000}"/>
    <cellStyle name="_Copy of Check_Plan2010 VCS_Sheet1_BS_Separation_TaxResIndem_Q12412 tf_Guidance_Free CF" xfId="2779" xr:uid="{00000000-0005-0000-0000-0000DA0A0000}"/>
    <cellStyle name="_Copy of Check_Plan2010 VCS_Sheet1_BS_Separation_TaxResIndem_Q12412 tf_Guidance_P&amp;L Rec Qtr" xfId="2780" xr:uid="{00000000-0005-0000-0000-0000DB0A0000}"/>
    <cellStyle name="_Copy of Check_Plan2010 VCS_Sheet1_BS_Separation_TaxResIndem_Q12412 tf_Guidance_Sheet1" xfId="2781" xr:uid="{00000000-0005-0000-0000-0000DC0A0000}"/>
    <cellStyle name="_Copy of Check_Plan2010 VCS_Sheet1_BS_Separation_TaxResIndem_Q12412 tf_Guidance_Sheet2" xfId="2782" xr:uid="{00000000-0005-0000-0000-0000DD0A0000}"/>
    <cellStyle name="_Copy of Check_Plan2010 VCS_Sheet1_BS_Separation_TaxResIndem_Q12412 tf_Guidance_Sheet3" xfId="2783" xr:uid="{00000000-0005-0000-0000-0000DE0A0000}"/>
    <cellStyle name="_Copy of Check_Plan2010 VCS_Sheet1_BS_Separation_TaxResIndem_Q12412 tf_Guidance_Sheet4" xfId="2784" xr:uid="{00000000-0005-0000-0000-0000DF0A0000}"/>
    <cellStyle name="_Copy of Check_Plan2010 VCS_Sheet1_BS_Separation_TaxResIndem_Q12412 tf_II.7. Sep&amp;Discrete" xfId="2785" xr:uid="{00000000-0005-0000-0000-0000E00A0000}"/>
    <cellStyle name="_Copy of Check_Plan2010 VCS_Sheet1_BS_Separation_TaxResIndem_Q12412 tf_II.7. Sep&amp;Discrete_Guidance" xfId="2786" xr:uid="{00000000-0005-0000-0000-0000E10A0000}"/>
    <cellStyle name="_Copy of Check_Plan2010 VCS_Sheet1_BS_Separation_TaxResIndem_Q12412 tf_II.7. Sep&amp;Discrete_Guidance 2" xfId="2787" xr:uid="{00000000-0005-0000-0000-0000E20A0000}"/>
    <cellStyle name="_Copy of Check_Plan2010 VCS_Sheet1_BS_Separation_TaxResIndem_Q12412 tf_II.7. Sep&amp;Discrete_Guidance_BS retrieve" xfId="2788" xr:uid="{00000000-0005-0000-0000-0000E30A0000}"/>
    <cellStyle name="_Copy of Check_Plan2010 VCS_Sheet1_BS_Separation_TaxResIndem_Q12412 tf_II.7. Sep&amp;Discrete_Guidance_Free CF" xfId="2789" xr:uid="{00000000-0005-0000-0000-0000E40A0000}"/>
    <cellStyle name="_Copy of Check_Plan2010 VCS_Sheet1_BS_Separation_TaxResIndem_Q12412 tf_II.7. Sep&amp;Discrete_Guidance_P&amp;L Rec Qtr" xfId="2790" xr:uid="{00000000-0005-0000-0000-0000E50A0000}"/>
    <cellStyle name="_Copy of Check_Plan2010 VCS_Sheet1_BS_Separation_TaxResIndem_Q12412 tf_II.7. Sep&amp;Discrete_Guidance_Sheet1" xfId="2791" xr:uid="{00000000-0005-0000-0000-0000E60A0000}"/>
    <cellStyle name="_Copy of Check_Plan2010 VCS_Sheet1_BS_Separation_TaxResIndem_Q12412 tf_II.7. Sep&amp;Discrete_Guidance_Sheet2" xfId="2792" xr:uid="{00000000-0005-0000-0000-0000E70A0000}"/>
    <cellStyle name="_Copy of Check_Plan2010 VCS_Sheet1_BS_Separation_TaxResIndem_Q12412 tf_II.7. Sep&amp;Discrete_Guidance_Sheet3" xfId="2793" xr:uid="{00000000-0005-0000-0000-0000E80A0000}"/>
    <cellStyle name="_Copy of Check_Plan2010 VCS_Sheet1_BS_Separation_TaxResIndem_Q12412 tf_II.7. Sep&amp;Discrete_Guidance_Sheet4" xfId="2794" xr:uid="{00000000-0005-0000-0000-0000E90A0000}"/>
    <cellStyle name="_Copy of Check_Plan2010 VCS_Sheet1_BS_Separation_TaxResIndem_Q12412 tf_Restructuring &amp; Separation" xfId="2795" xr:uid="{00000000-0005-0000-0000-0000EA0A0000}"/>
    <cellStyle name="_Copy of Check_Plan2010 VCS_Sheet1_BS_Separation_TaxResIndem_Q12412 tf_Restructuring &amp; Separation_Guidance" xfId="2796" xr:uid="{00000000-0005-0000-0000-0000EB0A0000}"/>
    <cellStyle name="_Copy of Check_Plan2010 VCS_Sheet1_BS_Separation_TaxResIndem_Q12412 tf_Restructuring &amp; Separation_Guidance 2" xfId="2797" xr:uid="{00000000-0005-0000-0000-0000EC0A0000}"/>
    <cellStyle name="_Copy of Check_Plan2010 VCS_Sheet1_BS_Separation_TaxResIndem_Q12412 tf_Restructuring &amp; Separation_Guidance_BS retrieve" xfId="2798" xr:uid="{00000000-0005-0000-0000-0000ED0A0000}"/>
    <cellStyle name="_Copy of Check_Plan2010 VCS_Sheet1_BS_Separation_TaxResIndem_Q12412 tf_Restructuring &amp; Separation_Guidance_Free CF" xfId="2799" xr:uid="{00000000-0005-0000-0000-0000EE0A0000}"/>
    <cellStyle name="_Copy of Check_Plan2010 VCS_Sheet1_BS_Separation_TaxResIndem_Q12412 tf_Restructuring &amp; Separation_Guidance_P&amp;L Rec Qtr" xfId="2800" xr:uid="{00000000-0005-0000-0000-0000EF0A0000}"/>
    <cellStyle name="_Copy of Check_Plan2010 VCS_Sheet1_BS_Separation_TaxResIndem_Q12412 tf_Restructuring &amp; Separation_Guidance_Sheet1" xfId="2801" xr:uid="{00000000-0005-0000-0000-0000F00A0000}"/>
    <cellStyle name="_Copy of Check_Plan2010 VCS_Sheet1_BS_Separation_TaxResIndem_Q12412 tf_Restructuring &amp; Separation_Guidance_Sheet2" xfId="2802" xr:uid="{00000000-0005-0000-0000-0000F10A0000}"/>
    <cellStyle name="_Copy of Check_Plan2010 VCS_Sheet1_BS_Separation_TaxResIndem_Q12412 tf_Restructuring &amp; Separation_Guidance_Sheet3" xfId="2803" xr:uid="{00000000-0005-0000-0000-0000F20A0000}"/>
    <cellStyle name="_Copy of Check_Plan2010 VCS_Sheet1_BS_Separation_TaxResIndem_Q12412 tf_Restructuring &amp; Separation_Guidance_Sheet4" xfId="2804" xr:uid="{00000000-0005-0000-0000-0000F30A0000}"/>
    <cellStyle name="_Copy of Check_Plan2010 VCS_Sheet1_BS_Separation_TaxResIndem_Q12412 tf_Restructuring &amp; Separation_II.7. Sep&amp;Discrete" xfId="2805" xr:uid="{00000000-0005-0000-0000-0000F40A0000}"/>
    <cellStyle name="_Copy of Check_Plan2010 VCS_Sheet1_BS_Separation_TaxResIndem_Q12412 tf_Restructuring &amp; Separation_II.7. Sep&amp;Discrete_Guidance" xfId="2806" xr:uid="{00000000-0005-0000-0000-0000F50A0000}"/>
    <cellStyle name="_Copy of Check_Plan2010 VCS_Sheet1_BS_Separation_TaxResIndem_Q12412 tf_Restructuring &amp; Separation_II.7. Sep&amp;Discrete_Guidance 2" xfId="2807" xr:uid="{00000000-0005-0000-0000-0000F60A0000}"/>
    <cellStyle name="_Copy of Check_Plan2010 VCS_Sheet1_BS_Separation_TaxResIndem_Q12412 tf_Restructuring &amp; Separation_II.7. Sep&amp;Discrete_Guidance_BS retrieve" xfId="2808" xr:uid="{00000000-0005-0000-0000-0000F70A0000}"/>
    <cellStyle name="_Copy of Check_Plan2010 VCS_Sheet1_BS_Separation_TaxResIndem_Q12412 tf_Restructuring &amp; Separation_II.7. Sep&amp;Discrete_Guidance_Free CF" xfId="2809" xr:uid="{00000000-0005-0000-0000-0000F80A0000}"/>
    <cellStyle name="_Copy of Check_Plan2010 VCS_Sheet1_BS_Separation_TaxResIndem_Q12412 tf_Restructuring &amp; Separation_II.7. Sep&amp;Discrete_Guidance_P&amp;L Rec Qtr" xfId="2810" xr:uid="{00000000-0005-0000-0000-0000F90A0000}"/>
    <cellStyle name="_Copy of Check_Plan2010 VCS_Sheet1_BS_Separation_TaxResIndem_Q12412 tf_Restructuring &amp; Separation_II.7. Sep&amp;Discrete_Guidance_Sheet1" xfId="2811" xr:uid="{00000000-0005-0000-0000-0000FA0A0000}"/>
    <cellStyle name="_Copy of Check_Plan2010 VCS_Sheet1_BS_Separation_TaxResIndem_Q12412 tf_Restructuring &amp; Separation_II.7. Sep&amp;Discrete_Guidance_Sheet2" xfId="2812" xr:uid="{00000000-0005-0000-0000-0000FB0A0000}"/>
    <cellStyle name="_Copy of Check_Plan2010 VCS_Sheet1_BS_Separation_TaxResIndem_Q12412 tf_Restructuring &amp; Separation_II.7. Sep&amp;Discrete_Guidance_Sheet3" xfId="2813" xr:uid="{00000000-0005-0000-0000-0000FC0A0000}"/>
    <cellStyle name="_Copy of Check_Plan2010 VCS_Sheet1_BS_Separation_TaxResIndem_Q12412 tf_Restructuring &amp; Separation_II.7. Sep&amp;Discrete_Guidance_Sheet4" xfId="2814" xr:uid="{00000000-0005-0000-0000-0000FD0A0000}"/>
    <cellStyle name="_Copy of Check_Plan2010 VCS_Sheet1_Guidance" xfId="2815" xr:uid="{00000000-0005-0000-0000-0000FE0A0000}"/>
    <cellStyle name="_Copy of Check_Plan2010 VCS_Sheet1_Guidance 2" xfId="2816" xr:uid="{00000000-0005-0000-0000-0000FF0A0000}"/>
    <cellStyle name="_Copy of Check_Plan2010 VCS_Sheet1_Guidance_BS retrieve" xfId="2817" xr:uid="{00000000-0005-0000-0000-0000000B0000}"/>
    <cellStyle name="_Copy of Check_Plan2010 VCS_Sheet1_Guidance_Free CF" xfId="2818" xr:uid="{00000000-0005-0000-0000-0000010B0000}"/>
    <cellStyle name="_Copy of Check_Plan2010 VCS_Sheet1_Guidance_P&amp;L Rec Qtr" xfId="2819" xr:uid="{00000000-0005-0000-0000-0000020B0000}"/>
    <cellStyle name="_Copy of Check_Plan2010 VCS_Sheet1_Guidance_Sheet1" xfId="2820" xr:uid="{00000000-0005-0000-0000-0000030B0000}"/>
    <cellStyle name="_Copy of Check_Plan2010 VCS_Sheet1_Guidance_Sheet2" xfId="2821" xr:uid="{00000000-0005-0000-0000-0000040B0000}"/>
    <cellStyle name="_Copy of Check_Plan2010 VCS_Sheet1_Guidance_Sheet3" xfId="2822" xr:uid="{00000000-0005-0000-0000-0000050B0000}"/>
    <cellStyle name="_Copy of Check_Plan2010 VCS_Sheet1_Guidance_Sheet4" xfId="2823" xr:uid="{00000000-0005-0000-0000-0000060B0000}"/>
    <cellStyle name="_Copy of Check_Plan2010 VCS_Sheet1_II.7. Sep&amp;Discrete" xfId="2824" xr:uid="{00000000-0005-0000-0000-0000070B0000}"/>
    <cellStyle name="_Copy of Check_Plan2010 VCS_Sheet1_II.7. Sep&amp;Discrete_Guidance" xfId="2825" xr:uid="{00000000-0005-0000-0000-0000080B0000}"/>
    <cellStyle name="_Copy of Check_Plan2010 VCS_Sheet1_II.7. Sep&amp;Discrete_Guidance 2" xfId="2826" xr:uid="{00000000-0005-0000-0000-0000090B0000}"/>
    <cellStyle name="_Copy of Check_Plan2010 VCS_Sheet1_II.7. Sep&amp;Discrete_Guidance_BS retrieve" xfId="2827" xr:uid="{00000000-0005-0000-0000-00000A0B0000}"/>
    <cellStyle name="_Copy of Check_Plan2010 VCS_Sheet1_II.7. Sep&amp;Discrete_Guidance_Free CF" xfId="2828" xr:uid="{00000000-0005-0000-0000-00000B0B0000}"/>
    <cellStyle name="_Copy of Check_Plan2010 VCS_Sheet1_II.7. Sep&amp;Discrete_Guidance_P&amp;L Rec Qtr" xfId="2829" xr:uid="{00000000-0005-0000-0000-00000C0B0000}"/>
    <cellStyle name="_Copy of Check_Plan2010 VCS_Sheet1_II.7. Sep&amp;Discrete_Guidance_Sheet1" xfId="2830" xr:uid="{00000000-0005-0000-0000-00000D0B0000}"/>
    <cellStyle name="_Copy of Check_Plan2010 VCS_Sheet1_II.7. Sep&amp;Discrete_Guidance_Sheet2" xfId="2831" xr:uid="{00000000-0005-0000-0000-00000E0B0000}"/>
    <cellStyle name="_Copy of Check_Plan2010 VCS_Sheet1_II.7. Sep&amp;Discrete_Guidance_Sheet3" xfId="2832" xr:uid="{00000000-0005-0000-0000-00000F0B0000}"/>
    <cellStyle name="_Copy of Check_Plan2010 VCS_Sheet1_II.7. Sep&amp;Discrete_Guidance_Sheet4" xfId="2833" xr:uid="{00000000-0005-0000-0000-0000100B0000}"/>
    <cellStyle name="_Copy of Check_Plan2010 VCS_Sheet1_II.8. Sep&amp;Discrete" xfId="2834" xr:uid="{00000000-0005-0000-0000-0000110B0000}"/>
    <cellStyle name="_Copy of Check_Plan2010 VCS_Sheet1_II.8. Sep&amp;Discrete_Guidance" xfId="2835" xr:uid="{00000000-0005-0000-0000-0000120B0000}"/>
    <cellStyle name="_Copy of Check_Plan2010 VCS_Sheet1_II.8. Sep&amp;Discrete_Guidance 2" xfId="2836" xr:uid="{00000000-0005-0000-0000-0000130B0000}"/>
    <cellStyle name="_Copy of Check_Plan2010 VCS_Sheet1_II.8. Sep&amp;Discrete_Guidance_BS retrieve" xfId="2837" xr:uid="{00000000-0005-0000-0000-0000140B0000}"/>
    <cellStyle name="_Copy of Check_Plan2010 VCS_Sheet1_II.8. Sep&amp;Discrete_Guidance_Free CF" xfId="2838" xr:uid="{00000000-0005-0000-0000-0000150B0000}"/>
    <cellStyle name="_Copy of Check_Plan2010 VCS_Sheet1_II.8. Sep&amp;Discrete_Guidance_P&amp;L Rec Qtr" xfId="2839" xr:uid="{00000000-0005-0000-0000-0000160B0000}"/>
    <cellStyle name="_Copy of Check_Plan2010 VCS_Sheet1_II.8. Sep&amp;Discrete_Guidance_Sheet1" xfId="2840" xr:uid="{00000000-0005-0000-0000-0000170B0000}"/>
    <cellStyle name="_Copy of Check_Plan2010 VCS_Sheet1_II.8. Sep&amp;Discrete_Guidance_Sheet2" xfId="2841" xr:uid="{00000000-0005-0000-0000-0000180B0000}"/>
    <cellStyle name="_Copy of Check_Plan2010 VCS_Sheet1_II.8. Sep&amp;Discrete_Guidance_Sheet3" xfId="2842" xr:uid="{00000000-0005-0000-0000-0000190B0000}"/>
    <cellStyle name="_Copy of Check_Plan2010 VCS_Sheet1_II.8. Sep&amp;Discrete_Guidance_Sheet4" xfId="2843" xr:uid="{00000000-0005-0000-0000-00001A0B0000}"/>
    <cellStyle name="_Copy of Check_Plan2010 VCS_Sheet1_Restructuring &amp; Separation" xfId="2844" xr:uid="{00000000-0005-0000-0000-00001B0B0000}"/>
    <cellStyle name="_Copy of Check_Plan2010 VCS_Sheet1_Restructuring &amp; Separation_Guidance" xfId="2845" xr:uid="{00000000-0005-0000-0000-00001C0B0000}"/>
    <cellStyle name="_Copy of Check_Plan2010 VCS_Sheet1_Restructuring &amp; Separation_Guidance 2" xfId="2846" xr:uid="{00000000-0005-0000-0000-00001D0B0000}"/>
    <cellStyle name="_Copy of Check_Plan2010 VCS_Sheet1_Restructuring &amp; Separation_Guidance_BS retrieve" xfId="2847" xr:uid="{00000000-0005-0000-0000-00001E0B0000}"/>
    <cellStyle name="_Copy of Check_Plan2010 VCS_Sheet1_Restructuring &amp; Separation_Guidance_Free CF" xfId="2848" xr:uid="{00000000-0005-0000-0000-00001F0B0000}"/>
    <cellStyle name="_Copy of Check_Plan2010 VCS_Sheet1_Restructuring &amp; Separation_Guidance_P&amp;L Rec Qtr" xfId="2849" xr:uid="{00000000-0005-0000-0000-0000200B0000}"/>
    <cellStyle name="_Copy of Check_Plan2010 VCS_Sheet1_Restructuring &amp; Separation_Guidance_Sheet1" xfId="2850" xr:uid="{00000000-0005-0000-0000-0000210B0000}"/>
    <cellStyle name="_Copy of Check_Plan2010 VCS_Sheet1_Restructuring &amp; Separation_Guidance_Sheet2" xfId="2851" xr:uid="{00000000-0005-0000-0000-0000220B0000}"/>
    <cellStyle name="_Copy of Check_Plan2010 VCS_Sheet1_Restructuring &amp; Separation_Guidance_Sheet3" xfId="2852" xr:uid="{00000000-0005-0000-0000-0000230B0000}"/>
    <cellStyle name="_Copy of Check_Plan2010 VCS_Sheet1_Restructuring &amp; Separation_Guidance_Sheet4" xfId="2853" xr:uid="{00000000-0005-0000-0000-0000240B0000}"/>
    <cellStyle name="_Copy of Check_Plan2010 VCS_Sheet1_Restructuring &amp; Separation_II.7. Sep&amp;Discrete" xfId="2854" xr:uid="{00000000-0005-0000-0000-0000250B0000}"/>
    <cellStyle name="_Copy of Check_Plan2010 VCS_Sheet1_Restructuring &amp; Separation_II.7. Sep&amp;Discrete_Guidance" xfId="2855" xr:uid="{00000000-0005-0000-0000-0000260B0000}"/>
    <cellStyle name="_Copy of Check_Plan2010 VCS_Sheet1_Restructuring &amp; Separation_II.7. Sep&amp;Discrete_Guidance 2" xfId="2856" xr:uid="{00000000-0005-0000-0000-0000270B0000}"/>
    <cellStyle name="_Copy of Check_Plan2010 VCS_Sheet1_Restructuring &amp; Separation_II.7. Sep&amp;Discrete_Guidance_BS retrieve" xfId="2857" xr:uid="{00000000-0005-0000-0000-0000280B0000}"/>
    <cellStyle name="_Copy of Check_Plan2010 VCS_Sheet1_Restructuring &amp; Separation_II.7. Sep&amp;Discrete_Guidance_Free CF" xfId="2858" xr:uid="{00000000-0005-0000-0000-0000290B0000}"/>
    <cellStyle name="_Copy of Check_Plan2010 VCS_Sheet1_Restructuring &amp; Separation_II.7. Sep&amp;Discrete_Guidance_P&amp;L Rec Qtr" xfId="2859" xr:uid="{00000000-0005-0000-0000-00002A0B0000}"/>
    <cellStyle name="_Copy of Check_Plan2010 VCS_Sheet1_Restructuring &amp; Separation_II.7. Sep&amp;Discrete_Guidance_Sheet1" xfId="2860" xr:uid="{00000000-0005-0000-0000-00002B0B0000}"/>
    <cellStyle name="_Copy of Check_Plan2010 VCS_Sheet1_Restructuring &amp; Separation_II.7. Sep&amp;Discrete_Guidance_Sheet2" xfId="2861" xr:uid="{00000000-0005-0000-0000-00002C0B0000}"/>
    <cellStyle name="_Copy of Check_Plan2010 VCS_Sheet1_Restructuring &amp; Separation_II.7. Sep&amp;Discrete_Guidance_Sheet3" xfId="2862" xr:uid="{00000000-0005-0000-0000-00002D0B0000}"/>
    <cellStyle name="_Copy of Check_Plan2010 VCS_Sheet1_Restructuring &amp; Separation_II.7. Sep&amp;Discrete_Guidance_Sheet4" xfId="2863" xr:uid="{00000000-0005-0000-0000-00002E0B0000}"/>
    <cellStyle name="_Deal Approval Template v42 5-3-05 JWK" xfId="2864" xr:uid="{00000000-0005-0000-0000-00002F0B0000}"/>
    <cellStyle name="_Deal Approval Template v42 5-3-05 JWK_BS_Separation_TaxResIndem_Q12412 tf" xfId="2865" xr:uid="{00000000-0005-0000-0000-0000300B0000}"/>
    <cellStyle name="_Deal Approval Template v42 5-3-05 JWK_BS_Separation_TaxResIndem_Q12412 tf_Guidance" xfId="2866" xr:uid="{00000000-0005-0000-0000-0000310B0000}"/>
    <cellStyle name="_Deal Approval Template v42 5-3-05 JWK_BS_Separation_TaxResIndem_Q12412 tf_Guidance 2" xfId="2867" xr:uid="{00000000-0005-0000-0000-0000320B0000}"/>
    <cellStyle name="_Deal Approval Template v42 5-3-05 JWK_BS_Separation_TaxResIndem_Q12412 tf_Guidance_BS retrieve" xfId="2868" xr:uid="{00000000-0005-0000-0000-0000330B0000}"/>
    <cellStyle name="_Deal Approval Template v42 5-3-05 JWK_BS_Separation_TaxResIndem_Q12412 tf_Guidance_Free CF" xfId="2869" xr:uid="{00000000-0005-0000-0000-0000340B0000}"/>
    <cellStyle name="_Deal Approval Template v42 5-3-05 JWK_BS_Separation_TaxResIndem_Q12412 tf_Guidance_P&amp;L Rec Qtr" xfId="2870" xr:uid="{00000000-0005-0000-0000-0000350B0000}"/>
    <cellStyle name="_Deal Approval Template v42 5-3-05 JWK_BS_Separation_TaxResIndem_Q12412 tf_Guidance_Sheet1" xfId="2871" xr:uid="{00000000-0005-0000-0000-0000360B0000}"/>
    <cellStyle name="_Deal Approval Template v42 5-3-05 JWK_BS_Separation_TaxResIndem_Q12412 tf_Guidance_Sheet2" xfId="2872" xr:uid="{00000000-0005-0000-0000-0000370B0000}"/>
    <cellStyle name="_Deal Approval Template v42 5-3-05 JWK_BS_Separation_TaxResIndem_Q12412 tf_Guidance_Sheet3" xfId="2873" xr:uid="{00000000-0005-0000-0000-0000380B0000}"/>
    <cellStyle name="_Deal Approval Template v42 5-3-05 JWK_BS_Separation_TaxResIndem_Q12412 tf_Guidance_Sheet4" xfId="2874" xr:uid="{00000000-0005-0000-0000-0000390B0000}"/>
    <cellStyle name="_Deal Approval Template v42 5-3-05 JWK_BS_Separation_TaxResIndem_Q12412 tf_II.7. Sep&amp;Discrete" xfId="2875" xr:uid="{00000000-0005-0000-0000-00003A0B0000}"/>
    <cellStyle name="_Deal Approval Template v42 5-3-05 JWK_BS_Separation_TaxResIndem_Q12412 tf_II.7. Sep&amp;Discrete_Guidance" xfId="2876" xr:uid="{00000000-0005-0000-0000-00003B0B0000}"/>
    <cellStyle name="_Deal Approval Template v42 5-3-05 JWK_BS_Separation_TaxResIndem_Q12412 tf_II.7. Sep&amp;Discrete_Guidance 2" xfId="2877" xr:uid="{00000000-0005-0000-0000-00003C0B0000}"/>
    <cellStyle name="_Deal Approval Template v42 5-3-05 JWK_BS_Separation_TaxResIndem_Q12412 tf_II.7. Sep&amp;Discrete_Guidance_BS retrieve" xfId="2878" xr:uid="{00000000-0005-0000-0000-00003D0B0000}"/>
    <cellStyle name="_Deal Approval Template v42 5-3-05 JWK_BS_Separation_TaxResIndem_Q12412 tf_II.7. Sep&amp;Discrete_Guidance_Free CF" xfId="2879" xr:uid="{00000000-0005-0000-0000-00003E0B0000}"/>
    <cellStyle name="_Deal Approval Template v42 5-3-05 JWK_BS_Separation_TaxResIndem_Q12412 tf_II.7. Sep&amp;Discrete_Guidance_P&amp;L Rec Qtr" xfId="2880" xr:uid="{00000000-0005-0000-0000-00003F0B0000}"/>
    <cellStyle name="_Deal Approval Template v42 5-3-05 JWK_BS_Separation_TaxResIndem_Q12412 tf_II.7. Sep&amp;Discrete_Guidance_Sheet1" xfId="2881" xr:uid="{00000000-0005-0000-0000-0000400B0000}"/>
    <cellStyle name="_Deal Approval Template v42 5-3-05 JWK_BS_Separation_TaxResIndem_Q12412 tf_II.7. Sep&amp;Discrete_Guidance_Sheet2" xfId="2882" xr:uid="{00000000-0005-0000-0000-0000410B0000}"/>
    <cellStyle name="_Deal Approval Template v42 5-3-05 JWK_BS_Separation_TaxResIndem_Q12412 tf_II.7. Sep&amp;Discrete_Guidance_Sheet3" xfId="2883" xr:uid="{00000000-0005-0000-0000-0000420B0000}"/>
    <cellStyle name="_Deal Approval Template v42 5-3-05 JWK_BS_Separation_TaxResIndem_Q12412 tf_II.7. Sep&amp;Discrete_Guidance_Sheet4" xfId="2884" xr:uid="{00000000-0005-0000-0000-0000430B0000}"/>
    <cellStyle name="_Deal Approval Template v42 5-3-05 JWK_BS_Separation_TaxResIndem_Q12412 tf_Restructuring &amp; Separation" xfId="2885" xr:uid="{00000000-0005-0000-0000-0000440B0000}"/>
    <cellStyle name="_Deal Approval Template v42 5-3-05 JWK_BS_Separation_TaxResIndem_Q12412 tf_Restructuring &amp; Separation_Guidance" xfId="2886" xr:uid="{00000000-0005-0000-0000-0000450B0000}"/>
    <cellStyle name="_Deal Approval Template v42 5-3-05 JWK_BS_Separation_TaxResIndem_Q12412 tf_Restructuring &amp; Separation_Guidance 2" xfId="2887" xr:uid="{00000000-0005-0000-0000-0000460B0000}"/>
    <cellStyle name="_Deal Approval Template v42 5-3-05 JWK_BS_Separation_TaxResIndem_Q12412 tf_Restructuring &amp; Separation_Guidance_BS retrieve" xfId="2888" xr:uid="{00000000-0005-0000-0000-0000470B0000}"/>
    <cellStyle name="_Deal Approval Template v42 5-3-05 JWK_BS_Separation_TaxResIndem_Q12412 tf_Restructuring &amp; Separation_Guidance_Free CF" xfId="2889" xr:uid="{00000000-0005-0000-0000-0000480B0000}"/>
    <cellStyle name="_Deal Approval Template v42 5-3-05 JWK_BS_Separation_TaxResIndem_Q12412 tf_Restructuring &amp; Separation_Guidance_P&amp;L Rec Qtr" xfId="2890" xr:uid="{00000000-0005-0000-0000-0000490B0000}"/>
    <cellStyle name="_Deal Approval Template v42 5-3-05 JWK_BS_Separation_TaxResIndem_Q12412 tf_Restructuring &amp; Separation_Guidance_Sheet1" xfId="2891" xr:uid="{00000000-0005-0000-0000-00004A0B0000}"/>
    <cellStyle name="_Deal Approval Template v42 5-3-05 JWK_BS_Separation_TaxResIndem_Q12412 tf_Restructuring &amp; Separation_Guidance_Sheet2" xfId="2892" xr:uid="{00000000-0005-0000-0000-00004B0B0000}"/>
    <cellStyle name="_Deal Approval Template v42 5-3-05 JWK_BS_Separation_TaxResIndem_Q12412 tf_Restructuring &amp; Separation_Guidance_Sheet3" xfId="2893" xr:uid="{00000000-0005-0000-0000-00004C0B0000}"/>
    <cellStyle name="_Deal Approval Template v42 5-3-05 JWK_BS_Separation_TaxResIndem_Q12412 tf_Restructuring &amp; Separation_Guidance_Sheet4" xfId="2894" xr:uid="{00000000-0005-0000-0000-00004D0B0000}"/>
    <cellStyle name="_Deal Approval Template v42 5-3-05 JWK_BS_Separation_TaxResIndem_Q12412 tf_Restructuring &amp; Separation_II.7. Sep&amp;Discrete" xfId="2895" xr:uid="{00000000-0005-0000-0000-00004E0B0000}"/>
    <cellStyle name="_Deal Approval Template v42 5-3-05 JWK_BS_Separation_TaxResIndem_Q12412 tf_Restructuring &amp; Separation_II.7. Sep&amp;Discrete_Guidance" xfId="2896" xr:uid="{00000000-0005-0000-0000-00004F0B0000}"/>
    <cellStyle name="_Deal Approval Template v42 5-3-05 JWK_BS_Separation_TaxResIndem_Q12412 tf_Restructuring &amp; Separation_II.7. Sep&amp;Discrete_Guidance 2" xfId="2897" xr:uid="{00000000-0005-0000-0000-0000500B0000}"/>
    <cellStyle name="_Deal Approval Template v42 5-3-05 JWK_BS_Separation_TaxResIndem_Q12412 tf_Restructuring &amp; Separation_II.7. Sep&amp;Discrete_Guidance_BS retrieve" xfId="2898" xr:uid="{00000000-0005-0000-0000-0000510B0000}"/>
    <cellStyle name="_Deal Approval Template v42 5-3-05 JWK_BS_Separation_TaxResIndem_Q12412 tf_Restructuring &amp; Separation_II.7. Sep&amp;Discrete_Guidance_Free CF" xfId="2899" xr:uid="{00000000-0005-0000-0000-0000520B0000}"/>
    <cellStyle name="_Deal Approval Template v42 5-3-05 JWK_BS_Separation_TaxResIndem_Q12412 tf_Restructuring &amp; Separation_II.7. Sep&amp;Discrete_Guidance_P&amp;L Rec Qtr" xfId="2900" xr:uid="{00000000-0005-0000-0000-0000530B0000}"/>
    <cellStyle name="_Deal Approval Template v42 5-3-05 JWK_BS_Separation_TaxResIndem_Q12412 tf_Restructuring &amp; Separation_II.7. Sep&amp;Discrete_Guidance_Sheet1" xfId="2901" xr:uid="{00000000-0005-0000-0000-0000540B0000}"/>
    <cellStyle name="_Deal Approval Template v42 5-3-05 JWK_BS_Separation_TaxResIndem_Q12412 tf_Restructuring &amp; Separation_II.7. Sep&amp;Discrete_Guidance_Sheet2" xfId="2902" xr:uid="{00000000-0005-0000-0000-0000550B0000}"/>
    <cellStyle name="_Deal Approval Template v42 5-3-05 JWK_BS_Separation_TaxResIndem_Q12412 tf_Restructuring &amp; Separation_II.7. Sep&amp;Discrete_Guidance_Sheet3" xfId="2903" xr:uid="{00000000-0005-0000-0000-0000560B0000}"/>
    <cellStyle name="_Deal Approval Template v42 5-3-05 JWK_BS_Separation_TaxResIndem_Q12412 tf_Restructuring &amp; Separation_II.7. Sep&amp;Discrete_Guidance_Sheet4" xfId="2904" xr:uid="{00000000-0005-0000-0000-0000570B0000}"/>
    <cellStyle name="_Deal Approval Template v42 5-3-05 JWK_Deferred tax MarchFC 2011" xfId="2905" xr:uid="{00000000-0005-0000-0000-0000580B0000}"/>
    <cellStyle name="_Deal Approval Template v42 5-3-05 JWK_Deferred tax MarchFC 2011_BS_Separation_TaxResIndem_Q12412 tf" xfId="2906" xr:uid="{00000000-0005-0000-0000-0000590B0000}"/>
    <cellStyle name="_Deal Approval Template v42 5-3-05 JWK_Deferred tax MarchFC 2011_BS_Separation_TaxResIndem_Q12412 tf_Guidance" xfId="2907" xr:uid="{00000000-0005-0000-0000-00005A0B0000}"/>
    <cellStyle name="_Deal Approval Template v42 5-3-05 JWK_Deferred tax MarchFC 2011_BS_Separation_TaxResIndem_Q12412 tf_Guidance 2" xfId="2908" xr:uid="{00000000-0005-0000-0000-00005B0B0000}"/>
    <cellStyle name="_Deal Approval Template v42 5-3-05 JWK_Deferred tax MarchFC 2011_BS_Separation_TaxResIndem_Q12412 tf_Guidance_BS retrieve" xfId="2909" xr:uid="{00000000-0005-0000-0000-00005C0B0000}"/>
    <cellStyle name="_Deal Approval Template v42 5-3-05 JWK_Deferred tax MarchFC 2011_BS_Separation_TaxResIndem_Q12412 tf_Guidance_Free CF" xfId="2910" xr:uid="{00000000-0005-0000-0000-00005D0B0000}"/>
    <cellStyle name="_Deal Approval Template v42 5-3-05 JWK_Deferred tax MarchFC 2011_BS_Separation_TaxResIndem_Q12412 tf_Guidance_P&amp;L Rec Qtr" xfId="2911" xr:uid="{00000000-0005-0000-0000-00005E0B0000}"/>
    <cellStyle name="_Deal Approval Template v42 5-3-05 JWK_Deferred tax MarchFC 2011_BS_Separation_TaxResIndem_Q12412 tf_Guidance_Sheet1" xfId="2912" xr:uid="{00000000-0005-0000-0000-00005F0B0000}"/>
    <cellStyle name="_Deal Approval Template v42 5-3-05 JWK_Deferred tax MarchFC 2011_BS_Separation_TaxResIndem_Q12412 tf_Guidance_Sheet2" xfId="2913" xr:uid="{00000000-0005-0000-0000-0000600B0000}"/>
    <cellStyle name="_Deal Approval Template v42 5-3-05 JWK_Deferred tax MarchFC 2011_BS_Separation_TaxResIndem_Q12412 tf_Guidance_Sheet3" xfId="2914" xr:uid="{00000000-0005-0000-0000-0000610B0000}"/>
    <cellStyle name="_Deal Approval Template v42 5-3-05 JWK_Deferred tax MarchFC 2011_BS_Separation_TaxResIndem_Q12412 tf_Guidance_Sheet4" xfId="2915" xr:uid="{00000000-0005-0000-0000-0000620B0000}"/>
    <cellStyle name="_Deal Approval Template v42 5-3-05 JWK_Deferred tax MarchFC 2011_BS_Separation_TaxResIndem_Q12412 tf_II.7. Sep&amp;Discrete" xfId="2916" xr:uid="{00000000-0005-0000-0000-0000630B0000}"/>
    <cellStyle name="_Deal Approval Template v42 5-3-05 JWK_Deferred tax MarchFC 2011_BS_Separation_TaxResIndem_Q12412 tf_II.7. Sep&amp;Discrete_Guidance" xfId="2917" xr:uid="{00000000-0005-0000-0000-0000640B0000}"/>
    <cellStyle name="_Deal Approval Template v42 5-3-05 JWK_Deferred tax MarchFC 2011_BS_Separation_TaxResIndem_Q12412 tf_II.7. Sep&amp;Discrete_Guidance 2" xfId="2918" xr:uid="{00000000-0005-0000-0000-0000650B0000}"/>
    <cellStyle name="_Deal Approval Template v42 5-3-05 JWK_Deferred tax MarchFC 2011_BS_Separation_TaxResIndem_Q12412 tf_II.7. Sep&amp;Discrete_Guidance_BS retrieve" xfId="2919" xr:uid="{00000000-0005-0000-0000-0000660B0000}"/>
    <cellStyle name="_Deal Approval Template v42 5-3-05 JWK_Deferred tax MarchFC 2011_BS_Separation_TaxResIndem_Q12412 tf_II.7. Sep&amp;Discrete_Guidance_Free CF" xfId="2920" xr:uid="{00000000-0005-0000-0000-0000670B0000}"/>
    <cellStyle name="_Deal Approval Template v42 5-3-05 JWK_Deferred tax MarchFC 2011_BS_Separation_TaxResIndem_Q12412 tf_II.7. Sep&amp;Discrete_Guidance_P&amp;L Rec Qtr" xfId="2921" xr:uid="{00000000-0005-0000-0000-0000680B0000}"/>
    <cellStyle name="_Deal Approval Template v42 5-3-05 JWK_Deferred tax MarchFC 2011_BS_Separation_TaxResIndem_Q12412 tf_II.7. Sep&amp;Discrete_Guidance_Sheet1" xfId="2922" xr:uid="{00000000-0005-0000-0000-0000690B0000}"/>
    <cellStyle name="_Deal Approval Template v42 5-3-05 JWK_Deferred tax MarchFC 2011_BS_Separation_TaxResIndem_Q12412 tf_II.7. Sep&amp;Discrete_Guidance_Sheet2" xfId="2923" xr:uid="{00000000-0005-0000-0000-00006A0B0000}"/>
    <cellStyle name="_Deal Approval Template v42 5-3-05 JWK_Deferred tax MarchFC 2011_BS_Separation_TaxResIndem_Q12412 tf_II.7. Sep&amp;Discrete_Guidance_Sheet3" xfId="2924" xr:uid="{00000000-0005-0000-0000-00006B0B0000}"/>
    <cellStyle name="_Deal Approval Template v42 5-3-05 JWK_Deferred tax MarchFC 2011_BS_Separation_TaxResIndem_Q12412 tf_II.7. Sep&amp;Discrete_Guidance_Sheet4" xfId="2925" xr:uid="{00000000-0005-0000-0000-00006C0B0000}"/>
    <cellStyle name="_Deal Approval Template v42 5-3-05 JWK_Deferred tax MarchFC 2011_BS_Separation_TaxResIndem_Q12412 tf_Restructuring &amp; Separation" xfId="2926" xr:uid="{00000000-0005-0000-0000-00006D0B0000}"/>
    <cellStyle name="_Deal Approval Template v42 5-3-05 JWK_Deferred tax MarchFC 2011_BS_Separation_TaxResIndem_Q12412 tf_Restructuring &amp; Separation_Guidance" xfId="2927" xr:uid="{00000000-0005-0000-0000-00006E0B0000}"/>
    <cellStyle name="_Deal Approval Template v42 5-3-05 JWK_Deferred tax MarchFC 2011_BS_Separation_TaxResIndem_Q12412 tf_Restructuring &amp; Separation_Guidance 2" xfId="2928" xr:uid="{00000000-0005-0000-0000-00006F0B0000}"/>
    <cellStyle name="_Deal Approval Template v42 5-3-05 JWK_Deferred tax MarchFC 2011_BS_Separation_TaxResIndem_Q12412 tf_Restructuring &amp; Separation_Guidance_BS retrieve" xfId="2929" xr:uid="{00000000-0005-0000-0000-0000700B0000}"/>
    <cellStyle name="_Deal Approval Template v42 5-3-05 JWK_Deferred tax MarchFC 2011_BS_Separation_TaxResIndem_Q12412 tf_Restructuring &amp; Separation_Guidance_Free CF" xfId="2930" xr:uid="{00000000-0005-0000-0000-0000710B0000}"/>
    <cellStyle name="_Deal Approval Template v42 5-3-05 JWK_Deferred tax MarchFC 2011_BS_Separation_TaxResIndem_Q12412 tf_Restructuring &amp; Separation_Guidance_P&amp;L Rec Qtr" xfId="2931" xr:uid="{00000000-0005-0000-0000-0000720B0000}"/>
    <cellStyle name="_Deal Approval Template v42 5-3-05 JWK_Deferred tax MarchFC 2011_BS_Separation_TaxResIndem_Q12412 tf_Restructuring &amp; Separation_Guidance_Sheet1" xfId="2932" xr:uid="{00000000-0005-0000-0000-0000730B0000}"/>
    <cellStyle name="_Deal Approval Template v42 5-3-05 JWK_Deferred tax MarchFC 2011_BS_Separation_TaxResIndem_Q12412 tf_Restructuring &amp; Separation_Guidance_Sheet2" xfId="2933" xr:uid="{00000000-0005-0000-0000-0000740B0000}"/>
    <cellStyle name="_Deal Approval Template v42 5-3-05 JWK_Deferred tax MarchFC 2011_BS_Separation_TaxResIndem_Q12412 tf_Restructuring &amp; Separation_Guidance_Sheet3" xfId="2934" xr:uid="{00000000-0005-0000-0000-0000750B0000}"/>
    <cellStyle name="_Deal Approval Template v42 5-3-05 JWK_Deferred tax MarchFC 2011_BS_Separation_TaxResIndem_Q12412 tf_Restructuring &amp; Separation_Guidance_Sheet4" xfId="2935" xr:uid="{00000000-0005-0000-0000-0000760B0000}"/>
    <cellStyle name="_Deal Approval Template v42 5-3-05 JWK_Deferred tax MarchFC 2011_BS_Separation_TaxResIndem_Q12412 tf_Restructuring &amp; Separation_II.7. Sep&amp;Discrete" xfId="2936" xr:uid="{00000000-0005-0000-0000-0000770B0000}"/>
    <cellStyle name="_Deal Approval Template v42 5-3-05 JWK_Deferred tax MarchFC 2011_BS_Separation_TaxResIndem_Q12412 tf_Restructuring &amp; Separation_II.7. Sep&amp;Discrete_Guidance" xfId="2937" xr:uid="{00000000-0005-0000-0000-0000780B0000}"/>
    <cellStyle name="_Deal Approval Template v42 5-3-05 JWK_Deferred tax MarchFC 2011_BS_Separation_TaxResIndem_Q12412 tf_Restructuring &amp; Separation_II.7. Sep&amp;Discrete_Guidance 2" xfId="2938" xr:uid="{00000000-0005-0000-0000-0000790B0000}"/>
    <cellStyle name="_Deal Approval Template v42 5-3-05 JWK_Deferred tax MarchFC 2011_BS_Separation_TaxResIndem_Q12412 tf_Restructuring &amp; Separation_II.7. Sep&amp;Discrete_Guidance_BS retrieve" xfId="2939" xr:uid="{00000000-0005-0000-0000-00007A0B0000}"/>
    <cellStyle name="_Deal Approval Template v42 5-3-05 JWK_Deferred tax MarchFC 2011_BS_Separation_TaxResIndem_Q12412 tf_Restructuring &amp; Separation_II.7. Sep&amp;Discrete_Guidance_Free CF" xfId="2940" xr:uid="{00000000-0005-0000-0000-00007B0B0000}"/>
    <cellStyle name="_Deal Approval Template v42 5-3-05 JWK_Deferred tax MarchFC 2011_BS_Separation_TaxResIndem_Q12412 tf_Restructuring &amp; Separation_II.7. Sep&amp;Discrete_Guidance_P&amp;L Rec Qtr" xfId="2941" xr:uid="{00000000-0005-0000-0000-00007C0B0000}"/>
    <cellStyle name="_Deal Approval Template v42 5-3-05 JWK_Deferred tax MarchFC 2011_BS_Separation_TaxResIndem_Q12412 tf_Restructuring &amp; Separation_II.7. Sep&amp;Discrete_Guidance_Sheet1" xfId="2942" xr:uid="{00000000-0005-0000-0000-00007D0B0000}"/>
    <cellStyle name="_Deal Approval Template v42 5-3-05 JWK_Deferred tax MarchFC 2011_BS_Separation_TaxResIndem_Q12412 tf_Restructuring &amp; Separation_II.7. Sep&amp;Discrete_Guidance_Sheet2" xfId="2943" xr:uid="{00000000-0005-0000-0000-00007E0B0000}"/>
    <cellStyle name="_Deal Approval Template v42 5-3-05 JWK_Deferred tax MarchFC 2011_BS_Separation_TaxResIndem_Q12412 tf_Restructuring &amp; Separation_II.7. Sep&amp;Discrete_Guidance_Sheet3" xfId="2944" xr:uid="{00000000-0005-0000-0000-00007F0B0000}"/>
    <cellStyle name="_Deal Approval Template v42 5-3-05 JWK_Deferred tax MarchFC 2011_BS_Separation_TaxResIndem_Q12412 tf_Restructuring &amp; Separation_II.7. Sep&amp;Discrete_Guidance_Sheet4" xfId="2945" xr:uid="{00000000-0005-0000-0000-0000800B0000}"/>
    <cellStyle name="_Deal Approval Template v42 5-3-05 JWK_Deferred tax MarchFC 2011_Guidance" xfId="2946" xr:uid="{00000000-0005-0000-0000-0000810B0000}"/>
    <cellStyle name="_Deal Approval Template v42 5-3-05 JWK_Deferred tax MarchFC 2011_Guidance 2" xfId="2947" xr:uid="{00000000-0005-0000-0000-0000820B0000}"/>
    <cellStyle name="_Deal Approval Template v42 5-3-05 JWK_Deferred tax MarchFC 2011_Guidance_BS retrieve" xfId="2948" xr:uid="{00000000-0005-0000-0000-0000830B0000}"/>
    <cellStyle name="_Deal Approval Template v42 5-3-05 JWK_Deferred tax MarchFC 2011_Guidance_Free CF" xfId="2949" xr:uid="{00000000-0005-0000-0000-0000840B0000}"/>
    <cellStyle name="_Deal Approval Template v42 5-3-05 JWK_Deferred tax MarchFC 2011_Guidance_P&amp;L Rec Qtr" xfId="2950" xr:uid="{00000000-0005-0000-0000-0000850B0000}"/>
    <cellStyle name="_Deal Approval Template v42 5-3-05 JWK_Deferred tax MarchFC 2011_Guidance_Sheet1" xfId="2951" xr:uid="{00000000-0005-0000-0000-0000860B0000}"/>
    <cellStyle name="_Deal Approval Template v42 5-3-05 JWK_Deferred tax MarchFC 2011_Guidance_Sheet2" xfId="2952" xr:uid="{00000000-0005-0000-0000-0000870B0000}"/>
    <cellStyle name="_Deal Approval Template v42 5-3-05 JWK_Deferred tax MarchFC 2011_Guidance_Sheet3" xfId="2953" xr:uid="{00000000-0005-0000-0000-0000880B0000}"/>
    <cellStyle name="_Deal Approval Template v42 5-3-05 JWK_Deferred tax MarchFC 2011_Guidance_Sheet4" xfId="2954" xr:uid="{00000000-0005-0000-0000-0000890B0000}"/>
    <cellStyle name="_Deal Approval Template v42 5-3-05 JWK_Deferred tax MarchFC 2011_II.7. Sep&amp;Discrete" xfId="2955" xr:uid="{00000000-0005-0000-0000-00008A0B0000}"/>
    <cellStyle name="_Deal Approval Template v42 5-3-05 JWK_Deferred tax MarchFC 2011_II.7. Sep&amp;Discrete_Guidance" xfId="2956" xr:uid="{00000000-0005-0000-0000-00008B0B0000}"/>
    <cellStyle name="_Deal Approval Template v42 5-3-05 JWK_Deferred tax MarchFC 2011_II.7. Sep&amp;Discrete_Guidance 2" xfId="2957" xr:uid="{00000000-0005-0000-0000-00008C0B0000}"/>
    <cellStyle name="_Deal Approval Template v42 5-3-05 JWK_Deferred tax MarchFC 2011_II.7. Sep&amp;Discrete_Guidance_BS retrieve" xfId="2958" xr:uid="{00000000-0005-0000-0000-00008D0B0000}"/>
    <cellStyle name="_Deal Approval Template v42 5-3-05 JWK_Deferred tax MarchFC 2011_II.7. Sep&amp;Discrete_Guidance_Free CF" xfId="2959" xr:uid="{00000000-0005-0000-0000-00008E0B0000}"/>
    <cellStyle name="_Deal Approval Template v42 5-3-05 JWK_Deferred tax MarchFC 2011_II.7. Sep&amp;Discrete_Guidance_P&amp;L Rec Qtr" xfId="2960" xr:uid="{00000000-0005-0000-0000-00008F0B0000}"/>
    <cellStyle name="_Deal Approval Template v42 5-3-05 JWK_Deferred tax MarchFC 2011_II.7. Sep&amp;Discrete_Guidance_Sheet1" xfId="2961" xr:uid="{00000000-0005-0000-0000-0000900B0000}"/>
    <cellStyle name="_Deal Approval Template v42 5-3-05 JWK_Deferred tax MarchFC 2011_II.7. Sep&amp;Discrete_Guidance_Sheet2" xfId="2962" xr:uid="{00000000-0005-0000-0000-0000910B0000}"/>
    <cellStyle name="_Deal Approval Template v42 5-3-05 JWK_Deferred tax MarchFC 2011_II.7. Sep&amp;Discrete_Guidance_Sheet3" xfId="2963" xr:uid="{00000000-0005-0000-0000-0000920B0000}"/>
    <cellStyle name="_Deal Approval Template v42 5-3-05 JWK_Deferred tax MarchFC 2011_II.7. Sep&amp;Discrete_Guidance_Sheet4" xfId="2964" xr:uid="{00000000-0005-0000-0000-0000930B0000}"/>
    <cellStyle name="_Deal Approval Template v42 5-3-05 JWK_Deferred tax MarchFC 2011_II.8. Sep&amp;Discrete" xfId="2965" xr:uid="{00000000-0005-0000-0000-0000940B0000}"/>
    <cellStyle name="_Deal Approval Template v42 5-3-05 JWK_Deferred tax MarchFC 2011_II.8. Sep&amp;Discrete_Guidance" xfId="2966" xr:uid="{00000000-0005-0000-0000-0000950B0000}"/>
    <cellStyle name="_Deal Approval Template v42 5-3-05 JWK_Deferred tax MarchFC 2011_II.8. Sep&amp;Discrete_Guidance 2" xfId="2967" xr:uid="{00000000-0005-0000-0000-0000960B0000}"/>
    <cellStyle name="_Deal Approval Template v42 5-3-05 JWK_Deferred tax MarchFC 2011_II.8. Sep&amp;Discrete_Guidance_BS retrieve" xfId="2968" xr:uid="{00000000-0005-0000-0000-0000970B0000}"/>
    <cellStyle name="_Deal Approval Template v42 5-3-05 JWK_Deferred tax MarchFC 2011_II.8. Sep&amp;Discrete_Guidance_Free CF" xfId="2969" xr:uid="{00000000-0005-0000-0000-0000980B0000}"/>
    <cellStyle name="_Deal Approval Template v42 5-3-05 JWK_Deferred tax MarchFC 2011_II.8. Sep&amp;Discrete_Guidance_P&amp;L Rec Qtr" xfId="2970" xr:uid="{00000000-0005-0000-0000-0000990B0000}"/>
    <cellStyle name="_Deal Approval Template v42 5-3-05 JWK_Deferred tax MarchFC 2011_II.8. Sep&amp;Discrete_Guidance_Sheet1" xfId="2971" xr:uid="{00000000-0005-0000-0000-00009A0B0000}"/>
    <cellStyle name="_Deal Approval Template v42 5-3-05 JWK_Deferred tax MarchFC 2011_II.8. Sep&amp;Discrete_Guidance_Sheet2" xfId="2972" xr:uid="{00000000-0005-0000-0000-00009B0B0000}"/>
    <cellStyle name="_Deal Approval Template v42 5-3-05 JWK_Deferred tax MarchFC 2011_II.8. Sep&amp;Discrete_Guidance_Sheet3" xfId="2973" xr:uid="{00000000-0005-0000-0000-00009C0B0000}"/>
    <cellStyle name="_Deal Approval Template v42 5-3-05 JWK_Deferred tax MarchFC 2011_II.8. Sep&amp;Discrete_Guidance_Sheet4" xfId="2974" xr:uid="{00000000-0005-0000-0000-00009D0B0000}"/>
    <cellStyle name="_Deal Approval Template v42 5-3-05 JWK_Deferred tax MarchFC 2011_Restructuring &amp; Separation" xfId="2975" xr:uid="{00000000-0005-0000-0000-00009E0B0000}"/>
    <cellStyle name="_Deal Approval Template v42 5-3-05 JWK_Deferred tax MarchFC 2011_Restructuring &amp; Separation_Guidance" xfId="2976" xr:uid="{00000000-0005-0000-0000-00009F0B0000}"/>
    <cellStyle name="_Deal Approval Template v42 5-3-05 JWK_Deferred tax MarchFC 2011_Restructuring &amp; Separation_Guidance 2" xfId="2977" xr:uid="{00000000-0005-0000-0000-0000A00B0000}"/>
    <cellStyle name="_Deal Approval Template v42 5-3-05 JWK_Deferred tax MarchFC 2011_Restructuring &amp; Separation_Guidance_BS retrieve" xfId="2978" xr:uid="{00000000-0005-0000-0000-0000A10B0000}"/>
    <cellStyle name="_Deal Approval Template v42 5-3-05 JWK_Deferred tax MarchFC 2011_Restructuring &amp; Separation_Guidance_Free CF" xfId="2979" xr:uid="{00000000-0005-0000-0000-0000A20B0000}"/>
    <cellStyle name="_Deal Approval Template v42 5-3-05 JWK_Deferred tax MarchFC 2011_Restructuring &amp; Separation_Guidance_P&amp;L Rec Qtr" xfId="2980" xr:uid="{00000000-0005-0000-0000-0000A30B0000}"/>
    <cellStyle name="_Deal Approval Template v42 5-3-05 JWK_Deferred tax MarchFC 2011_Restructuring &amp; Separation_Guidance_Sheet1" xfId="2981" xr:uid="{00000000-0005-0000-0000-0000A40B0000}"/>
    <cellStyle name="_Deal Approval Template v42 5-3-05 JWK_Deferred tax MarchFC 2011_Restructuring &amp; Separation_Guidance_Sheet2" xfId="2982" xr:uid="{00000000-0005-0000-0000-0000A50B0000}"/>
    <cellStyle name="_Deal Approval Template v42 5-3-05 JWK_Deferred tax MarchFC 2011_Restructuring &amp; Separation_Guidance_Sheet3" xfId="2983" xr:uid="{00000000-0005-0000-0000-0000A60B0000}"/>
    <cellStyle name="_Deal Approval Template v42 5-3-05 JWK_Deferred tax MarchFC 2011_Restructuring &amp; Separation_Guidance_Sheet4" xfId="2984" xr:uid="{00000000-0005-0000-0000-0000A70B0000}"/>
    <cellStyle name="_Deal Approval Template v42 5-3-05 JWK_Deferred tax MarchFC 2011_Restructuring &amp; Separation_II.7. Sep&amp;Discrete" xfId="2985" xr:uid="{00000000-0005-0000-0000-0000A80B0000}"/>
    <cellStyle name="_Deal Approval Template v42 5-3-05 JWK_Deferred tax MarchFC 2011_Restructuring &amp; Separation_II.7. Sep&amp;Discrete_Guidance" xfId="2986" xr:uid="{00000000-0005-0000-0000-0000A90B0000}"/>
    <cellStyle name="_Deal Approval Template v42 5-3-05 JWK_Deferred tax MarchFC 2011_Restructuring &amp; Separation_II.7. Sep&amp;Discrete_Guidance 2" xfId="2987" xr:uid="{00000000-0005-0000-0000-0000AA0B0000}"/>
    <cellStyle name="_Deal Approval Template v42 5-3-05 JWK_Deferred tax MarchFC 2011_Restructuring &amp; Separation_II.7. Sep&amp;Discrete_Guidance_BS retrieve" xfId="2988" xr:uid="{00000000-0005-0000-0000-0000AB0B0000}"/>
    <cellStyle name="_Deal Approval Template v42 5-3-05 JWK_Deferred tax MarchFC 2011_Restructuring &amp; Separation_II.7. Sep&amp;Discrete_Guidance_Free CF" xfId="2989" xr:uid="{00000000-0005-0000-0000-0000AC0B0000}"/>
    <cellStyle name="_Deal Approval Template v42 5-3-05 JWK_Deferred tax MarchFC 2011_Restructuring &amp; Separation_II.7. Sep&amp;Discrete_Guidance_P&amp;L Rec Qtr" xfId="2990" xr:uid="{00000000-0005-0000-0000-0000AD0B0000}"/>
    <cellStyle name="_Deal Approval Template v42 5-3-05 JWK_Deferred tax MarchFC 2011_Restructuring &amp; Separation_II.7. Sep&amp;Discrete_Guidance_Sheet1" xfId="2991" xr:uid="{00000000-0005-0000-0000-0000AE0B0000}"/>
    <cellStyle name="_Deal Approval Template v42 5-3-05 JWK_Deferred tax MarchFC 2011_Restructuring &amp; Separation_II.7. Sep&amp;Discrete_Guidance_Sheet2" xfId="2992" xr:uid="{00000000-0005-0000-0000-0000AF0B0000}"/>
    <cellStyle name="_Deal Approval Template v42 5-3-05 JWK_Deferred tax MarchFC 2011_Restructuring &amp; Separation_II.7. Sep&amp;Discrete_Guidance_Sheet3" xfId="2993" xr:uid="{00000000-0005-0000-0000-0000B00B0000}"/>
    <cellStyle name="_Deal Approval Template v42 5-3-05 JWK_Deferred tax MarchFC 2011_Restructuring &amp; Separation_II.7. Sep&amp;Discrete_Guidance_Sheet4" xfId="2994" xr:uid="{00000000-0005-0000-0000-0000B10B0000}"/>
    <cellStyle name="_Deal Approval Template v42 5-3-05 JWK_Guidance" xfId="2995" xr:uid="{00000000-0005-0000-0000-0000B20B0000}"/>
    <cellStyle name="_Deal Approval Template v42 5-3-05 JWK_Guidance 2" xfId="2996" xr:uid="{00000000-0005-0000-0000-0000B30B0000}"/>
    <cellStyle name="_Deal Approval Template v42 5-3-05 JWK_Guidance_BS retrieve" xfId="2997" xr:uid="{00000000-0005-0000-0000-0000B40B0000}"/>
    <cellStyle name="_Deal Approval Template v42 5-3-05 JWK_Guidance_Free CF" xfId="2998" xr:uid="{00000000-0005-0000-0000-0000B50B0000}"/>
    <cellStyle name="_Deal Approval Template v42 5-3-05 JWK_Guidance_P&amp;L Rec Qtr" xfId="2999" xr:uid="{00000000-0005-0000-0000-0000B60B0000}"/>
    <cellStyle name="_Deal Approval Template v42 5-3-05 JWK_Guidance_Sheet1" xfId="3000" xr:uid="{00000000-0005-0000-0000-0000B70B0000}"/>
    <cellStyle name="_Deal Approval Template v42 5-3-05 JWK_Guidance_Sheet2" xfId="3001" xr:uid="{00000000-0005-0000-0000-0000B80B0000}"/>
    <cellStyle name="_Deal Approval Template v42 5-3-05 JWK_Guidance_Sheet3" xfId="3002" xr:uid="{00000000-0005-0000-0000-0000B90B0000}"/>
    <cellStyle name="_Deal Approval Template v42 5-3-05 JWK_Guidance_Sheet4" xfId="3003" xr:uid="{00000000-0005-0000-0000-0000BA0B0000}"/>
    <cellStyle name="_Deal Approval Template v42 5-3-05 JWK_II.7. Sep&amp;Discrete" xfId="3004" xr:uid="{00000000-0005-0000-0000-0000BB0B0000}"/>
    <cellStyle name="_Deal Approval Template v42 5-3-05 JWK_II.7. Sep&amp;Discrete_Guidance" xfId="3005" xr:uid="{00000000-0005-0000-0000-0000BC0B0000}"/>
    <cellStyle name="_Deal Approval Template v42 5-3-05 JWK_II.7. Sep&amp;Discrete_Guidance 2" xfId="3006" xr:uid="{00000000-0005-0000-0000-0000BD0B0000}"/>
    <cellStyle name="_Deal Approval Template v42 5-3-05 JWK_II.7. Sep&amp;Discrete_Guidance_BS retrieve" xfId="3007" xr:uid="{00000000-0005-0000-0000-0000BE0B0000}"/>
    <cellStyle name="_Deal Approval Template v42 5-3-05 JWK_II.7. Sep&amp;Discrete_Guidance_Free CF" xfId="3008" xr:uid="{00000000-0005-0000-0000-0000BF0B0000}"/>
    <cellStyle name="_Deal Approval Template v42 5-3-05 JWK_II.7. Sep&amp;Discrete_Guidance_P&amp;L Rec Qtr" xfId="3009" xr:uid="{00000000-0005-0000-0000-0000C00B0000}"/>
    <cellStyle name="_Deal Approval Template v42 5-3-05 JWK_II.7. Sep&amp;Discrete_Guidance_Sheet1" xfId="3010" xr:uid="{00000000-0005-0000-0000-0000C10B0000}"/>
    <cellStyle name="_Deal Approval Template v42 5-3-05 JWK_II.7. Sep&amp;Discrete_Guidance_Sheet2" xfId="3011" xr:uid="{00000000-0005-0000-0000-0000C20B0000}"/>
    <cellStyle name="_Deal Approval Template v42 5-3-05 JWK_II.7. Sep&amp;Discrete_Guidance_Sheet3" xfId="3012" xr:uid="{00000000-0005-0000-0000-0000C30B0000}"/>
    <cellStyle name="_Deal Approval Template v42 5-3-05 JWK_II.7. Sep&amp;Discrete_Guidance_Sheet4" xfId="3013" xr:uid="{00000000-0005-0000-0000-0000C40B0000}"/>
    <cellStyle name="_Deal Approval Template v42 5-3-05 JWK_II.8. Sep&amp;Discrete" xfId="3014" xr:uid="{00000000-0005-0000-0000-0000C50B0000}"/>
    <cellStyle name="_Deal Approval Template v42 5-3-05 JWK_II.8. Sep&amp;Discrete_Guidance" xfId="3015" xr:uid="{00000000-0005-0000-0000-0000C60B0000}"/>
    <cellStyle name="_Deal Approval Template v42 5-3-05 JWK_II.8. Sep&amp;Discrete_Guidance 2" xfId="3016" xr:uid="{00000000-0005-0000-0000-0000C70B0000}"/>
    <cellStyle name="_Deal Approval Template v42 5-3-05 JWK_II.8. Sep&amp;Discrete_Guidance_BS retrieve" xfId="3017" xr:uid="{00000000-0005-0000-0000-0000C80B0000}"/>
    <cellStyle name="_Deal Approval Template v42 5-3-05 JWK_II.8. Sep&amp;Discrete_Guidance_Free CF" xfId="3018" xr:uid="{00000000-0005-0000-0000-0000C90B0000}"/>
    <cellStyle name="_Deal Approval Template v42 5-3-05 JWK_II.8. Sep&amp;Discrete_Guidance_P&amp;L Rec Qtr" xfId="3019" xr:uid="{00000000-0005-0000-0000-0000CA0B0000}"/>
    <cellStyle name="_Deal Approval Template v42 5-3-05 JWK_II.8. Sep&amp;Discrete_Guidance_Sheet1" xfId="3020" xr:uid="{00000000-0005-0000-0000-0000CB0B0000}"/>
    <cellStyle name="_Deal Approval Template v42 5-3-05 JWK_II.8. Sep&amp;Discrete_Guidance_Sheet2" xfId="3021" xr:uid="{00000000-0005-0000-0000-0000CC0B0000}"/>
    <cellStyle name="_Deal Approval Template v42 5-3-05 JWK_II.8. Sep&amp;Discrete_Guidance_Sheet3" xfId="3022" xr:uid="{00000000-0005-0000-0000-0000CD0B0000}"/>
    <cellStyle name="_Deal Approval Template v42 5-3-05 JWK_II.8. Sep&amp;Discrete_Guidance_Sheet4" xfId="3023" xr:uid="{00000000-0005-0000-0000-0000CE0B0000}"/>
    <cellStyle name="_Deal Approval Template v42 5-3-05 JWK_Restructuring &amp; Separation" xfId="3024" xr:uid="{00000000-0005-0000-0000-0000CF0B0000}"/>
    <cellStyle name="_Deal Approval Template v42 5-3-05 JWK_Restructuring &amp; Separation_Guidance" xfId="3025" xr:uid="{00000000-0005-0000-0000-0000D00B0000}"/>
    <cellStyle name="_Deal Approval Template v42 5-3-05 JWK_Restructuring &amp; Separation_Guidance 2" xfId="3026" xr:uid="{00000000-0005-0000-0000-0000D10B0000}"/>
    <cellStyle name="_Deal Approval Template v42 5-3-05 JWK_Restructuring &amp; Separation_Guidance_BS retrieve" xfId="3027" xr:uid="{00000000-0005-0000-0000-0000D20B0000}"/>
    <cellStyle name="_Deal Approval Template v42 5-3-05 JWK_Restructuring &amp; Separation_Guidance_Free CF" xfId="3028" xr:uid="{00000000-0005-0000-0000-0000D30B0000}"/>
    <cellStyle name="_Deal Approval Template v42 5-3-05 JWK_Restructuring &amp; Separation_Guidance_P&amp;L Rec Qtr" xfId="3029" xr:uid="{00000000-0005-0000-0000-0000D40B0000}"/>
    <cellStyle name="_Deal Approval Template v42 5-3-05 JWK_Restructuring &amp; Separation_Guidance_Sheet1" xfId="3030" xr:uid="{00000000-0005-0000-0000-0000D50B0000}"/>
    <cellStyle name="_Deal Approval Template v42 5-3-05 JWK_Restructuring &amp; Separation_Guidance_Sheet2" xfId="3031" xr:uid="{00000000-0005-0000-0000-0000D60B0000}"/>
    <cellStyle name="_Deal Approval Template v42 5-3-05 JWK_Restructuring &amp; Separation_Guidance_Sheet3" xfId="3032" xr:uid="{00000000-0005-0000-0000-0000D70B0000}"/>
    <cellStyle name="_Deal Approval Template v42 5-3-05 JWK_Restructuring &amp; Separation_Guidance_Sheet4" xfId="3033" xr:uid="{00000000-0005-0000-0000-0000D80B0000}"/>
    <cellStyle name="_Deal Approval Template v42 5-3-05 JWK_Restructuring &amp; Separation_II.7. Sep&amp;Discrete" xfId="3034" xr:uid="{00000000-0005-0000-0000-0000D90B0000}"/>
    <cellStyle name="_Deal Approval Template v42 5-3-05 JWK_Restructuring &amp; Separation_II.7. Sep&amp;Discrete_Guidance" xfId="3035" xr:uid="{00000000-0005-0000-0000-0000DA0B0000}"/>
    <cellStyle name="_Deal Approval Template v42 5-3-05 JWK_Restructuring &amp; Separation_II.7. Sep&amp;Discrete_Guidance 2" xfId="3036" xr:uid="{00000000-0005-0000-0000-0000DB0B0000}"/>
    <cellStyle name="_Deal Approval Template v42 5-3-05 JWK_Restructuring &amp; Separation_II.7. Sep&amp;Discrete_Guidance_BS retrieve" xfId="3037" xr:uid="{00000000-0005-0000-0000-0000DC0B0000}"/>
    <cellStyle name="_Deal Approval Template v42 5-3-05 JWK_Restructuring &amp; Separation_II.7. Sep&amp;Discrete_Guidance_Free CF" xfId="3038" xr:uid="{00000000-0005-0000-0000-0000DD0B0000}"/>
    <cellStyle name="_Deal Approval Template v42 5-3-05 JWK_Restructuring &amp; Separation_II.7. Sep&amp;Discrete_Guidance_P&amp;L Rec Qtr" xfId="3039" xr:uid="{00000000-0005-0000-0000-0000DE0B0000}"/>
    <cellStyle name="_Deal Approval Template v42 5-3-05 JWK_Restructuring &amp; Separation_II.7. Sep&amp;Discrete_Guidance_Sheet1" xfId="3040" xr:uid="{00000000-0005-0000-0000-0000DF0B0000}"/>
    <cellStyle name="_Deal Approval Template v42 5-3-05 JWK_Restructuring &amp; Separation_II.7. Sep&amp;Discrete_Guidance_Sheet2" xfId="3041" xr:uid="{00000000-0005-0000-0000-0000E00B0000}"/>
    <cellStyle name="_Deal Approval Template v42 5-3-05 JWK_Restructuring &amp; Separation_II.7. Sep&amp;Discrete_Guidance_Sheet3" xfId="3042" xr:uid="{00000000-0005-0000-0000-0000E10B0000}"/>
    <cellStyle name="_Deal Approval Template v42 5-3-05 JWK_Restructuring &amp; Separation_II.7. Sep&amp;Discrete_Guidance_Sheet4" xfId="3043" xr:uid="{00000000-0005-0000-0000-0000E20B0000}"/>
    <cellStyle name="_Deal Approval Template v42 5-3-05 JWK_Sheet1" xfId="3044" xr:uid="{00000000-0005-0000-0000-0000E30B0000}"/>
    <cellStyle name="_Deal Approval Template v42 5-3-05 JWK_Sheet1_1" xfId="3045" xr:uid="{00000000-0005-0000-0000-0000E40B0000}"/>
    <cellStyle name="_Deal Approval Template v42 5-3-05 JWK_Sheet1_1_Guidance" xfId="3046" xr:uid="{00000000-0005-0000-0000-0000E50B0000}"/>
    <cellStyle name="_Deal Approval Template v42 5-3-05 JWK_Sheet1_1_Guidance 2" xfId="3047" xr:uid="{00000000-0005-0000-0000-0000E60B0000}"/>
    <cellStyle name="_Deal Approval Template v42 5-3-05 JWK_Sheet1_1_Guidance_BS retrieve" xfId="3048" xr:uid="{00000000-0005-0000-0000-0000E70B0000}"/>
    <cellStyle name="_Deal Approval Template v42 5-3-05 JWK_Sheet1_1_Guidance_Free CF" xfId="3049" xr:uid="{00000000-0005-0000-0000-0000E80B0000}"/>
    <cellStyle name="_Deal Approval Template v42 5-3-05 JWK_Sheet1_1_Guidance_P&amp;L Rec Qtr" xfId="3050" xr:uid="{00000000-0005-0000-0000-0000E90B0000}"/>
    <cellStyle name="_Deal Approval Template v42 5-3-05 JWK_Sheet1_1_Guidance_Sheet1" xfId="3051" xr:uid="{00000000-0005-0000-0000-0000EA0B0000}"/>
    <cellStyle name="_Deal Approval Template v42 5-3-05 JWK_Sheet1_1_Guidance_Sheet2" xfId="3052" xr:uid="{00000000-0005-0000-0000-0000EB0B0000}"/>
    <cellStyle name="_Deal Approval Template v42 5-3-05 JWK_Sheet1_1_Guidance_Sheet3" xfId="3053" xr:uid="{00000000-0005-0000-0000-0000EC0B0000}"/>
    <cellStyle name="_Deal Approval Template v42 5-3-05 JWK_Sheet1_1_Guidance_Sheet4" xfId="3054" xr:uid="{00000000-0005-0000-0000-0000ED0B0000}"/>
    <cellStyle name="_Deal Approval Template v42 5-3-05 JWK_Sheet1_1_II.7. Sep&amp;Discrete" xfId="3055" xr:uid="{00000000-0005-0000-0000-0000EE0B0000}"/>
    <cellStyle name="_Deal Approval Template v42 5-3-05 JWK_Sheet1_1_II.7. Sep&amp;Discrete_Guidance" xfId="3056" xr:uid="{00000000-0005-0000-0000-0000EF0B0000}"/>
    <cellStyle name="_Deal Approval Template v42 5-3-05 JWK_Sheet1_1_II.7. Sep&amp;Discrete_Guidance 2" xfId="3057" xr:uid="{00000000-0005-0000-0000-0000F00B0000}"/>
    <cellStyle name="_Deal Approval Template v42 5-3-05 JWK_Sheet1_1_II.7. Sep&amp;Discrete_Guidance_BS retrieve" xfId="3058" xr:uid="{00000000-0005-0000-0000-0000F10B0000}"/>
    <cellStyle name="_Deal Approval Template v42 5-3-05 JWK_Sheet1_1_II.7. Sep&amp;Discrete_Guidance_Free CF" xfId="3059" xr:uid="{00000000-0005-0000-0000-0000F20B0000}"/>
    <cellStyle name="_Deal Approval Template v42 5-3-05 JWK_Sheet1_1_II.7. Sep&amp;Discrete_Guidance_P&amp;L Rec Qtr" xfId="3060" xr:uid="{00000000-0005-0000-0000-0000F30B0000}"/>
    <cellStyle name="_Deal Approval Template v42 5-3-05 JWK_Sheet1_1_II.7. Sep&amp;Discrete_Guidance_Sheet1" xfId="3061" xr:uid="{00000000-0005-0000-0000-0000F40B0000}"/>
    <cellStyle name="_Deal Approval Template v42 5-3-05 JWK_Sheet1_1_II.7. Sep&amp;Discrete_Guidance_Sheet2" xfId="3062" xr:uid="{00000000-0005-0000-0000-0000F50B0000}"/>
    <cellStyle name="_Deal Approval Template v42 5-3-05 JWK_Sheet1_1_II.7. Sep&amp;Discrete_Guidance_Sheet3" xfId="3063" xr:uid="{00000000-0005-0000-0000-0000F60B0000}"/>
    <cellStyle name="_Deal Approval Template v42 5-3-05 JWK_Sheet1_1_II.7. Sep&amp;Discrete_Guidance_Sheet4" xfId="3064" xr:uid="{00000000-0005-0000-0000-0000F70B0000}"/>
    <cellStyle name="_Deal Approval Template v42 5-3-05 JWK_Sheet1_1_Restructuring &amp; Separation" xfId="3065" xr:uid="{00000000-0005-0000-0000-0000F80B0000}"/>
    <cellStyle name="_Deal Approval Template v42 5-3-05 JWK_Sheet1_1_Restructuring &amp; Separation_Guidance" xfId="3066" xr:uid="{00000000-0005-0000-0000-0000F90B0000}"/>
    <cellStyle name="_Deal Approval Template v42 5-3-05 JWK_Sheet1_1_Restructuring &amp; Separation_Guidance 2" xfId="3067" xr:uid="{00000000-0005-0000-0000-0000FA0B0000}"/>
    <cellStyle name="_Deal Approval Template v42 5-3-05 JWK_Sheet1_1_Restructuring &amp; Separation_Guidance_BS retrieve" xfId="3068" xr:uid="{00000000-0005-0000-0000-0000FB0B0000}"/>
    <cellStyle name="_Deal Approval Template v42 5-3-05 JWK_Sheet1_1_Restructuring &amp; Separation_Guidance_Free CF" xfId="3069" xr:uid="{00000000-0005-0000-0000-0000FC0B0000}"/>
    <cellStyle name="_Deal Approval Template v42 5-3-05 JWK_Sheet1_1_Restructuring &amp; Separation_Guidance_P&amp;L Rec Qtr" xfId="3070" xr:uid="{00000000-0005-0000-0000-0000FD0B0000}"/>
    <cellStyle name="_Deal Approval Template v42 5-3-05 JWK_Sheet1_1_Restructuring &amp; Separation_Guidance_Sheet1" xfId="3071" xr:uid="{00000000-0005-0000-0000-0000FE0B0000}"/>
    <cellStyle name="_Deal Approval Template v42 5-3-05 JWK_Sheet1_1_Restructuring &amp; Separation_Guidance_Sheet2" xfId="3072" xr:uid="{00000000-0005-0000-0000-0000FF0B0000}"/>
    <cellStyle name="_Deal Approval Template v42 5-3-05 JWK_Sheet1_1_Restructuring &amp; Separation_Guidance_Sheet3" xfId="3073" xr:uid="{00000000-0005-0000-0000-0000000C0000}"/>
    <cellStyle name="_Deal Approval Template v42 5-3-05 JWK_Sheet1_1_Restructuring &amp; Separation_Guidance_Sheet4" xfId="3074" xr:uid="{00000000-0005-0000-0000-0000010C0000}"/>
    <cellStyle name="_Deal Approval Template v42 5-3-05 JWK_Sheet1_1_Restructuring &amp; Separation_II.7. Sep&amp;Discrete" xfId="3075" xr:uid="{00000000-0005-0000-0000-0000020C0000}"/>
    <cellStyle name="_Deal Approval Template v42 5-3-05 JWK_Sheet1_1_Restructuring &amp; Separation_II.7. Sep&amp;Discrete_Guidance" xfId="3076" xr:uid="{00000000-0005-0000-0000-0000030C0000}"/>
    <cellStyle name="_Deal Approval Template v42 5-3-05 JWK_Sheet1_1_Restructuring &amp; Separation_II.7. Sep&amp;Discrete_Guidance 2" xfId="3077" xr:uid="{00000000-0005-0000-0000-0000040C0000}"/>
    <cellStyle name="_Deal Approval Template v42 5-3-05 JWK_Sheet1_1_Restructuring &amp; Separation_II.7. Sep&amp;Discrete_Guidance_BS retrieve" xfId="3078" xr:uid="{00000000-0005-0000-0000-0000050C0000}"/>
    <cellStyle name="_Deal Approval Template v42 5-3-05 JWK_Sheet1_1_Restructuring &amp; Separation_II.7. Sep&amp;Discrete_Guidance_Free CF" xfId="3079" xr:uid="{00000000-0005-0000-0000-0000060C0000}"/>
    <cellStyle name="_Deal Approval Template v42 5-3-05 JWK_Sheet1_1_Restructuring &amp; Separation_II.7. Sep&amp;Discrete_Guidance_P&amp;L Rec Qtr" xfId="3080" xr:uid="{00000000-0005-0000-0000-0000070C0000}"/>
    <cellStyle name="_Deal Approval Template v42 5-3-05 JWK_Sheet1_1_Restructuring &amp; Separation_II.7. Sep&amp;Discrete_Guidance_Sheet1" xfId="3081" xr:uid="{00000000-0005-0000-0000-0000080C0000}"/>
    <cellStyle name="_Deal Approval Template v42 5-3-05 JWK_Sheet1_1_Restructuring &amp; Separation_II.7. Sep&amp;Discrete_Guidance_Sheet2" xfId="3082" xr:uid="{00000000-0005-0000-0000-0000090C0000}"/>
    <cellStyle name="_Deal Approval Template v42 5-3-05 JWK_Sheet1_1_Restructuring &amp; Separation_II.7. Sep&amp;Discrete_Guidance_Sheet3" xfId="3083" xr:uid="{00000000-0005-0000-0000-00000A0C0000}"/>
    <cellStyle name="_Deal Approval Template v42 5-3-05 JWK_Sheet1_1_Restructuring &amp; Separation_II.7. Sep&amp;Discrete_Guidance_Sheet4" xfId="3084" xr:uid="{00000000-0005-0000-0000-00000B0C0000}"/>
    <cellStyle name="_Deal Approval Template v42 5-3-05 JWK_Sheet1_BS_Separation_TaxResIndem_Q12412 tf" xfId="3085" xr:uid="{00000000-0005-0000-0000-00000C0C0000}"/>
    <cellStyle name="_Deal Approval Template v42 5-3-05 JWK_Sheet1_BS_Separation_TaxResIndem_Q12412 tf_Guidance" xfId="3086" xr:uid="{00000000-0005-0000-0000-00000D0C0000}"/>
    <cellStyle name="_Deal Approval Template v42 5-3-05 JWK_Sheet1_BS_Separation_TaxResIndem_Q12412 tf_Guidance 2" xfId="3087" xr:uid="{00000000-0005-0000-0000-00000E0C0000}"/>
    <cellStyle name="_Deal Approval Template v42 5-3-05 JWK_Sheet1_BS_Separation_TaxResIndem_Q12412 tf_Guidance_BS retrieve" xfId="3088" xr:uid="{00000000-0005-0000-0000-00000F0C0000}"/>
    <cellStyle name="_Deal Approval Template v42 5-3-05 JWK_Sheet1_BS_Separation_TaxResIndem_Q12412 tf_Guidance_Free CF" xfId="3089" xr:uid="{00000000-0005-0000-0000-0000100C0000}"/>
    <cellStyle name="_Deal Approval Template v42 5-3-05 JWK_Sheet1_BS_Separation_TaxResIndem_Q12412 tf_Guidance_P&amp;L Rec Qtr" xfId="3090" xr:uid="{00000000-0005-0000-0000-0000110C0000}"/>
    <cellStyle name="_Deal Approval Template v42 5-3-05 JWK_Sheet1_BS_Separation_TaxResIndem_Q12412 tf_Guidance_Sheet1" xfId="3091" xr:uid="{00000000-0005-0000-0000-0000120C0000}"/>
    <cellStyle name="_Deal Approval Template v42 5-3-05 JWK_Sheet1_BS_Separation_TaxResIndem_Q12412 tf_Guidance_Sheet2" xfId="3092" xr:uid="{00000000-0005-0000-0000-0000130C0000}"/>
    <cellStyle name="_Deal Approval Template v42 5-3-05 JWK_Sheet1_BS_Separation_TaxResIndem_Q12412 tf_Guidance_Sheet3" xfId="3093" xr:uid="{00000000-0005-0000-0000-0000140C0000}"/>
    <cellStyle name="_Deal Approval Template v42 5-3-05 JWK_Sheet1_BS_Separation_TaxResIndem_Q12412 tf_Guidance_Sheet4" xfId="3094" xr:uid="{00000000-0005-0000-0000-0000150C0000}"/>
    <cellStyle name="_Deal Approval Template v42 5-3-05 JWK_Sheet1_BS_Separation_TaxResIndem_Q12412 tf_II.7. Sep&amp;Discrete" xfId="3095" xr:uid="{00000000-0005-0000-0000-0000160C0000}"/>
    <cellStyle name="_Deal Approval Template v42 5-3-05 JWK_Sheet1_BS_Separation_TaxResIndem_Q12412 tf_II.7. Sep&amp;Discrete_Guidance" xfId="3096" xr:uid="{00000000-0005-0000-0000-0000170C0000}"/>
    <cellStyle name="_Deal Approval Template v42 5-3-05 JWK_Sheet1_BS_Separation_TaxResIndem_Q12412 tf_II.7. Sep&amp;Discrete_Guidance 2" xfId="3097" xr:uid="{00000000-0005-0000-0000-0000180C0000}"/>
    <cellStyle name="_Deal Approval Template v42 5-3-05 JWK_Sheet1_BS_Separation_TaxResIndem_Q12412 tf_II.7. Sep&amp;Discrete_Guidance_BS retrieve" xfId="3098" xr:uid="{00000000-0005-0000-0000-0000190C0000}"/>
    <cellStyle name="_Deal Approval Template v42 5-3-05 JWK_Sheet1_BS_Separation_TaxResIndem_Q12412 tf_II.7. Sep&amp;Discrete_Guidance_Free CF" xfId="3099" xr:uid="{00000000-0005-0000-0000-00001A0C0000}"/>
    <cellStyle name="_Deal Approval Template v42 5-3-05 JWK_Sheet1_BS_Separation_TaxResIndem_Q12412 tf_II.7. Sep&amp;Discrete_Guidance_P&amp;L Rec Qtr" xfId="3100" xr:uid="{00000000-0005-0000-0000-00001B0C0000}"/>
    <cellStyle name="_Deal Approval Template v42 5-3-05 JWK_Sheet1_BS_Separation_TaxResIndem_Q12412 tf_II.7. Sep&amp;Discrete_Guidance_Sheet1" xfId="3101" xr:uid="{00000000-0005-0000-0000-00001C0C0000}"/>
    <cellStyle name="_Deal Approval Template v42 5-3-05 JWK_Sheet1_BS_Separation_TaxResIndem_Q12412 tf_II.7. Sep&amp;Discrete_Guidance_Sheet2" xfId="3102" xr:uid="{00000000-0005-0000-0000-00001D0C0000}"/>
    <cellStyle name="_Deal Approval Template v42 5-3-05 JWK_Sheet1_BS_Separation_TaxResIndem_Q12412 tf_II.7. Sep&amp;Discrete_Guidance_Sheet3" xfId="3103" xr:uid="{00000000-0005-0000-0000-00001E0C0000}"/>
    <cellStyle name="_Deal Approval Template v42 5-3-05 JWK_Sheet1_BS_Separation_TaxResIndem_Q12412 tf_II.7. Sep&amp;Discrete_Guidance_Sheet4" xfId="3104" xr:uid="{00000000-0005-0000-0000-00001F0C0000}"/>
    <cellStyle name="_Deal Approval Template v42 5-3-05 JWK_Sheet1_BS_Separation_TaxResIndem_Q12412 tf_Restructuring &amp; Separation" xfId="3105" xr:uid="{00000000-0005-0000-0000-0000200C0000}"/>
    <cellStyle name="_Deal Approval Template v42 5-3-05 JWK_Sheet1_BS_Separation_TaxResIndem_Q12412 tf_Restructuring &amp; Separation_Guidance" xfId="3106" xr:uid="{00000000-0005-0000-0000-0000210C0000}"/>
    <cellStyle name="_Deal Approval Template v42 5-3-05 JWK_Sheet1_BS_Separation_TaxResIndem_Q12412 tf_Restructuring &amp; Separation_Guidance 2" xfId="3107" xr:uid="{00000000-0005-0000-0000-0000220C0000}"/>
    <cellStyle name="_Deal Approval Template v42 5-3-05 JWK_Sheet1_BS_Separation_TaxResIndem_Q12412 tf_Restructuring &amp; Separation_Guidance_BS retrieve" xfId="3108" xr:uid="{00000000-0005-0000-0000-0000230C0000}"/>
    <cellStyle name="_Deal Approval Template v42 5-3-05 JWK_Sheet1_BS_Separation_TaxResIndem_Q12412 tf_Restructuring &amp; Separation_Guidance_Free CF" xfId="3109" xr:uid="{00000000-0005-0000-0000-0000240C0000}"/>
    <cellStyle name="_Deal Approval Template v42 5-3-05 JWK_Sheet1_BS_Separation_TaxResIndem_Q12412 tf_Restructuring &amp; Separation_Guidance_P&amp;L Rec Qtr" xfId="3110" xr:uid="{00000000-0005-0000-0000-0000250C0000}"/>
    <cellStyle name="_Deal Approval Template v42 5-3-05 JWK_Sheet1_BS_Separation_TaxResIndem_Q12412 tf_Restructuring &amp; Separation_Guidance_Sheet1" xfId="3111" xr:uid="{00000000-0005-0000-0000-0000260C0000}"/>
    <cellStyle name="_Deal Approval Template v42 5-3-05 JWK_Sheet1_BS_Separation_TaxResIndem_Q12412 tf_Restructuring &amp; Separation_Guidance_Sheet2" xfId="3112" xr:uid="{00000000-0005-0000-0000-0000270C0000}"/>
    <cellStyle name="_Deal Approval Template v42 5-3-05 JWK_Sheet1_BS_Separation_TaxResIndem_Q12412 tf_Restructuring &amp; Separation_Guidance_Sheet3" xfId="3113" xr:uid="{00000000-0005-0000-0000-0000280C0000}"/>
    <cellStyle name="_Deal Approval Template v42 5-3-05 JWK_Sheet1_BS_Separation_TaxResIndem_Q12412 tf_Restructuring &amp; Separation_Guidance_Sheet4" xfId="3114" xr:uid="{00000000-0005-0000-0000-0000290C0000}"/>
    <cellStyle name="_Deal Approval Template v42 5-3-05 JWK_Sheet1_BS_Separation_TaxResIndem_Q12412 tf_Restructuring &amp; Separation_II.7. Sep&amp;Discrete" xfId="3115" xr:uid="{00000000-0005-0000-0000-00002A0C0000}"/>
    <cellStyle name="_Deal Approval Template v42 5-3-05 JWK_Sheet1_BS_Separation_TaxResIndem_Q12412 tf_Restructuring &amp; Separation_II.7. Sep&amp;Discrete_Guidance" xfId="3116" xr:uid="{00000000-0005-0000-0000-00002B0C0000}"/>
    <cellStyle name="_Deal Approval Template v42 5-3-05 JWK_Sheet1_BS_Separation_TaxResIndem_Q12412 tf_Restructuring &amp; Separation_II.7. Sep&amp;Discrete_Guidance 2" xfId="3117" xr:uid="{00000000-0005-0000-0000-00002C0C0000}"/>
    <cellStyle name="_Deal Approval Template v42 5-3-05 JWK_Sheet1_BS_Separation_TaxResIndem_Q12412 tf_Restructuring &amp; Separation_II.7. Sep&amp;Discrete_Guidance_BS retrieve" xfId="3118" xr:uid="{00000000-0005-0000-0000-00002D0C0000}"/>
    <cellStyle name="_Deal Approval Template v42 5-3-05 JWK_Sheet1_BS_Separation_TaxResIndem_Q12412 tf_Restructuring &amp; Separation_II.7. Sep&amp;Discrete_Guidance_Free CF" xfId="3119" xr:uid="{00000000-0005-0000-0000-00002E0C0000}"/>
    <cellStyle name="_Deal Approval Template v42 5-3-05 JWK_Sheet1_BS_Separation_TaxResIndem_Q12412 tf_Restructuring &amp; Separation_II.7. Sep&amp;Discrete_Guidance_P&amp;L Rec Qtr" xfId="3120" xr:uid="{00000000-0005-0000-0000-00002F0C0000}"/>
    <cellStyle name="_Deal Approval Template v42 5-3-05 JWK_Sheet1_BS_Separation_TaxResIndem_Q12412 tf_Restructuring &amp; Separation_II.7. Sep&amp;Discrete_Guidance_Sheet1" xfId="3121" xr:uid="{00000000-0005-0000-0000-0000300C0000}"/>
    <cellStyle name="_Deal Approval Template v42 5-3-05 JWK_Sheet1_BS_Separation_TaxResIndem_Q12412 tf_Restructuring &amp; Separation_II.7. Sep&amp;Discrete_Guidance_Sheet2" xfId="3122" xr:uid="{00000000-0005-0000-0000-0000310C0000}"/>
    <cellStyle name="_Deal Approval Template v42 5-3-05 JWK_Sheet1_BS_Separation_TaxResIndem_Q12412 tf_Restructuring &amp; Separation_II.7. Sep&amp;Discrete_Guidance_Sheet3" xfId="3123" xr:uid="{00000000-0005-0000-0000-0000320C0000}"/>
    <cellStyle name="_Deal Approval Template v42 5-3-05 JWK_Sheet1_BS_Separation_TaxResIndem_Q12412 tf_Restructuring &amp; Separation_II.7. Sep&amp;Discrete_Guidance_Sheet4" xfId="3124" xr:uid="{00000000-0005-0000-0000-0000330C0000}"/>
    <cellStyle name="_Deal Approval Template v42 5-3-05 JWK_Sheet1_Guidance" xfId="3125" xr:uid="{00000000-0005-0000-0000-0000340C0000}"/>
    <cellStyle name="_Deal Approval Template v42 5-3-05 JWK_Sheet1_Guidance 2" xfId="3126" xr:uid="{00000000-0005-0000-0000-0000350C0000}"/>
    <cellStyle name="_Deal Approval Template v42 5-3-05 JWK_Sheet1_Guidance_BS retrieve" xfId="3127" xr:uid="{00000000-0005-0000-0000-0000360C0000}"/>
    <cellStyle name="_Deal Approval Template v42 5-3-05 JWK_Sheet1_Guidance_Free CF" xfId="3128" xr:uid="{00000000-0005-0000-0000-0000370C0000}"/>
    <cellStyle name="_Deal Approval Template v42 5-3-05 JWK_Sheet1_Guidance_P&amp;L Rec Qtr" xfId="3129" xr:uid="{00000000-0005-0000-0000-0000380C0000}"/>
    <cellStyle name="_Deal Approval Template v42 5-3-05 JWK_Sheet1_Guidance_Sheet1" xfId="3130" xr:uid="{00000000-0005-0000-0000-0000390C0000}"/>
    <cellStyle name="_Deal Approval Template v42 5-3-05 JWK_Sheet1_Guidance_Sheet2" xfId="3131" xr:uid="{00000000-0005-0000-0000-00003A0C0000}"/>
    <cellStyle name="_Deal Approval Template v42 5-3-05 JWK_Sheet1_Guidance_Sheet3" xfId="3132" xr:uid="{00000000-0005-0000-0000-00003B0C0000}"/>
    <cellStyle name="_Deal Approval Template v42 5-3-05 JWK_Sheet1_Guidance_Sheet4" xfId="3133" xr:uid="{00000000-0005-0000-0000-00003C0C0000}"/>
    <cellStyle name="_Deal Approval Template v42 5-3-05 JWK_Sheet1_II.7. Sep&amp;Discrete" xfId="3134" xr:uid="{00000000-0005-0000-0000-00003D0C0000}"/>
    <cellStyle name="_Deal Approval Template v42 5-3-05 JWK_Sheet1_II.7. Sep&amp;Discrete_Guidance" xfId="3135" xr:uid="{00000000-0005-0000-0000-00003E0C0000}"/>
    <cellStyle name="_Deal Approval Template v42 5-3-05 JWK_Sheet1_II.7. Sep&amp;Discrete_Guidance 2" xfId="3136" xr:uid="{00000000-0005-0000-0000-00003F0C0000}"/>
    <cellStyle name="_Deal Approval Template v42 5-3-05 JWK_Sheet1_II.7. Sep&amp;Discrete_Guidance_BS retrieve" xfId="3137" xr:uid="{00000000-0005-0000-0000-0000400C0000}"/>
    <cellStyle name="_Deal Approval Template v42 5-3-05 JWK_Sheet1_II.7. Sep&amp;Discrete_Guidance_Free CF" xfId="3138" xr:uid="{00000000-0005-0000-0000-0000410C0000}"/>
    <cellStyle name="_Deal Approval Template v42 5-3-05 JWK_Sheet1_II.7. Sep&amp;Discrete_Guidance_P&amp;L Rec Qtr" xfId="3139" xr:uid="{00000000-0005-0000-0000-0000420C0000}"/>
    <cellStyle name="_Deal Approval Template v42 5-3-05 JWK_Sheet1_II.7. Sep&amp;Discrete_Guidance_Sheet1" xfId="3140" xr:uid="{00000000-0005-0000-0000-0000430C0000}"/>
    <cellStyle name="_Deal Approval Template v42 5-3-05 JWK_Sheet1_II.7. Sep&amp;Discrete_Guidance_Sheet2" xfId="3141" xr:uid="{00000000-0005-0000-0000-0000440C0000}"/>
    <cellStyle name="_Deal Approval Template v42 5-3-05 JWK_Sheet1_II.7. Sep&amp;Discrete_Guidance_Sheet3" xfId="3142" xr:uid="{00000000-0005-0000-0000-0000450C0000}"/>
    <cellStyle name="_Deal Approval Template v42 5-3-05 JWK_Sheet1_II.7. Sep&amp;Discrete_Guidance_Sheet4" xfId="3143" xr:uid="{00000000-0005-0000-0000-0000460C0000}"/>
    <cellStyle name="_Deal Approval Template v42 5-3-05 JWK_Sheet1_II.8. Sep&amp;Discrete" xfId="3144" xr:uid="{00000000-0005-0000-0000-0000470C0000}"/>
    <cellStyle name="_Deal Approval Template v42 5-3-05 JWK_Sheet1_II.8. Sep&amp;Discrete_Guidance" xfId="3145" xr:uid="{00000000-0005-0000-0000-0000480C0000}"/>
    <cellStyle name="_Deal Approval Template v42 5-3-05 JWK_Sheet1_II.8. Sep&amp;Discrete_Guidance 2" xfId="3146" xr:uid="{00000000-0005-0000-0000-0000490C0000}"/>
    <cellStyle name="_Deal Approval Template v42 5-3-05 JWK_Sheet1_II.8. Sep&amp;Discrete_Guidance_BS retrieve" xfId="3147" xr:uid="{00000000-0005-0000-0000-00004A0C0000}"/>
    <cellStyle name="_Deal Approval Template v42 5-3-05 JWK_Sheet1_II.8. Sep&amp;Discrete_Guidance_Free CF" xfId="3148" xr:uid="{00000000-0005-0000-0000-00004B0C0000}"/>
    <cellStyle name="_Deal Approval Template v42 5-3-05 JWK_Sheet1_II.8. Sep&amp;Discrete_Guidance_P&amp;L Rec Qtr" xfId="3149" xr:uid="{00000000-0005-0000-0000-00004C0C0000}"/>
    <cellStyle name="_Deal Approval Template v42 5-3-05 JWK_Sheet1_II.8. Sep&amp;Discrete_Guidance_Sheet1" xfId="3150" xr:uid="{00000000-0005-0000-0000-00004D0C0000}"/>
    <cellStyle name="_Deal Approval Template v42 5-3-05 JWK_Sheet1_II.8. Sep&amp;Discrete_Guidance_Sheet2" xfId="3151" xr:uid="{00000000-0005-0000-0000-00004E0C0000}"/>
    <cellStyle name="_Deal Approval Template v42 5-3-05 JWK_Sheet1_II.8. Sep&amp;Discrete_Guidance_Sheet3" xfId="3152" xr:uid="{00000000-0005-0000-0000-00004F0C0000}"/>
    <cellStyle name="_Deal Approval Template v42 5-3-05 JWK_Sheet1_II.8. Sep&amp;Discrete_Guidance_Sheet4" xfId="3153" xr:uid="{00000000-0005-0000-0000-0000500C0000}"/>
    <cellStyle name="_Deal Approval Template v42 5-3-05 JWK_Sheet1_Restructuring &amp; Separation" xfId="3154" xr:uid="{00000000-0005-0000-0000-0000510C0000}"/>
    <cellStyle name="_Deal Approval Template v42 5-3-05 JWK_Sheet1_Restructuring &amp; Separation_Guidance" xfId="3155" xr:uid="{00000000-0005-0000-0000-0000520C0000}"/>
    <cellStyle name="_Deal Approval Template v42 5-3-05 JWK_Sheet1_Restructuring &amp; Separation_Guidance 2" xfId="3156" xr:uid="{00000000-0005-0000-0000-0000530C0000}"/>
    <cellStyle name="_Deal Approval Template v42 5-3-05 JWK_Sheet1_Restructuring &amp; Separation_Guidance_BS retrieve" xfId="3157" xr:uid="{00000000-0005-0000-0000-0000540C0000}"/>
    <cellStyle name="_Deal Approval Template v42 5-3-05 JWK_Sheet1_Restructuring &amp; Separation_Guidance_Free CF" xfId="3158" xr:uid="{00000000-0005-0000-0000-0000550C0000}"/>
    <cellStyle name="_Deal Approval Template v42 5-3-05 JWK_Sheet1_Restructuring &amp; Separation_Guidance_P&amp;L Rec Qtr" xfId="3159" xr:uid="{00000000-0005-0000-0000-0000560C0000}"/>
    <cellStyle name="_Deal Approval Template v42 5-3-05 JWK_Sheet1_Restructuring &amp; Separation_Guidance_Sheet1" xfId="3160" xr:uid="{00000000-0005-0000-0000-0000570C0000}"/>
    <cellStyle name="_Deal Approval Template v42 5-3-05 JWK_Sheet1_Restructuring &amp; Separation_Guidance_Sheet2" xfId="3161" xr:uid="{00000000-0005-0000-0000-0000580C0000}"/>
    <cellStyle name="_Deal Approval Template v42 5-3-05 JWK_Sheet1_Restructuring &amp; Separation_Guidance_Sheet3" xfId="3162" xr:uid="{00000000-0005-0000-0000-0000590C0000}"/>
    <cellStyle name="_Deal Approval Template v42 5-3-05 JWK_Sheet1_Restructuring &amp; Separation_Guidance_Sheet4" xfId="3163" xr:uid="{00000000-0005-0000-0000-00005A0C0000}"/>
    <cellStyle name="_Deal Approval Template v42 5-3-05 JWK2" xfId="3164" xr:uid="{00000000-0005-0000-0000-00005B0C0000}"/>
    <cellStyle name="_Deal Approval Template v42 5-3-05 JWK2_BS_Separation_TaxResIndem_Q12412 tf" xfId="3165" xr:uid="{00000000-0005-0000-0000-00005C0C0000}"/>
    <cellStyle name="_Deal Approval Template v42 5-3-05 JWK2_BS_Separation_TaxResIndem_Q12412 tf_Guidance" xfId="3166" xr:uid="{00000000-0005-0000-0000-00005D0C0000}"/>
    <cellStyle name="_Deal Approval Template v42 5-3-05 JWK2_BS_Separation_TaxResIndem_Q12412 tf_Guidance 2" xfId="3167" xr:uid="{00000000-0005-0000-0000-00005E0C0000}"/>
    <cellStyle name="_Deal Approval Template v42 5-3-05 JWK2_BS_Separation_TaxResIndem_Q12412 tf_Guidance_BS retrieve" xfId="3168" xr:uid="{00000000-0005-0000-0000-00005F0C0000}"/>
    <cellStyle name="_Deal Approval Template v42 5-3-05 JWK2_BS_Separation_TaxResIndem_Q12412 tf_Guidance_Free CF" xfId="3169" xr:uid="{00000000-0005-0000-0000-0000600C0000}"/>
    <cellStyle name="_Deal Approval Template v42 5-3-05 JWK2_BS_Separation_TaxResIndem_Q12412 tf_Guidance_P&amp;L Rec Qtr" xfId="3170" xr:uid="{00000000-0005-0000-0000-0000610C0000}"/>
    <cellStyle name="_Deal Approval Template v42 5-3-05 JWK2_BS_Separation_TaxResIndem_Q12412 tf_Guidance_Sheet1" xfId="3171" xr:uid="{00000000-0005-0000-0000-0000620C0000}"/>
    <cellStyle name="_Deal Approval Template v42 5-3-05 JWK2_BS_Separation_TaxResIndem_Q12412 tf_Guidance_Sheet2" xfId="3172" xr:uid="{00000000-0005-0000-0000-0000630C0000}"/>
    <cellStyle name="_Deal Approval Template v42 5-3-05 JWK2_BS_Separation_TaxResIndem_Q12412 tf_Guidance_Sheet3" xfId="3173" xr:uid="{00000000-0005-0000-0000-0000640C0000}"/>
    <cellStyle name="_Deal Approval Template v42 5-3-05 JWK2_BS_Separation_TaxResIndem_Q12412 tf_Guidance_Sheet4" xfId="3174" xr:uid="{00000000-0005-0000-0000-0000650C0000}"/>
    <cellStyle name="_Deal Approval Template v42 5-3-05 JWK2_BS_Separation_TaxResIndem_Q12412 tf_Restructuring &amp; Separation" xfId="3175" xr:uid="{00000000-0005-0000-0000-0000660C0000}"/>
    <cellStyle name="_Deal Approval Template v42 5-3-05 JWK2_BS_Separation_TaxResIndem_Q12412 tf_Restructuring &amp; Separation_Guidance" xfId="3176" xr:uid="{00000000-0005-0000-0000-0000670C0000}"/>
    <cellStyle name="_Deal Approval Template v42 5-3-05 JWK2_BS_Separation_TaxResIndem_Q12412 tf_Restructuring &amp; Separation_Guidance 2" xfId="3177" xr:uid="{00000000-0005-0000-0000-0000680C0000}"/>
    <cellStyle name="_Deal Approval Template v42 5-3-05 JWK2_BS_Separation_TaxResIndem_Q12412 tf_Restructuring &amp; Separation_Guidance_BS retrieve" xfId="3178" xr:uid="{00000000-0005-0000-0000-0000690C0000}"/>
    <cellStyle name="_Deal Approval Template v42 5-3-05 JWK2_BS_Separation_TaxResIndem_Q12412 tf_Restructuring &amp; Separation_Guidance_Free CF" xfId="3179" xr:uid="{00000000-0005-0000-0000-00006A0C0000}"/>
    <cellStyle name="_Deal Approval Template v42 5-3-05 JWK2_BS_Separation_TaxResIndem_Q12412 tf_Restructuring &amp; Separation_Guidance_P&amp;L Rec Qtr" xfId="3180" xr:uid="{00000000-0005-0000-0000-00006B0C0000}"/>
    <cellStyle name="_Deal Approval Template v42 5-3-05 JWK2_BS_Separation_TaxResIndem_Q12412 tf_Restructuring &amp; Separation_Guidance_Sheet1" xfId="3181" xr:uid="{00000000-0005-0000-0000-00006C0C0000}"/>
    <cellStyle name="_Deal Approval Template v42 5-3-05 JWK2_BS_Separation_TaxResIndem_Q12412 tf_Restructuring &amp; Separation_Guidance_Sheet2" xfId="3182" xr:uid="{00000000-0005-0000-0000-00006D0C0000}"/>
    <cellStyle name="_Deal Approval Template v42 5-3-05 JWK2_BS_Separation_TaxResIndem_Q12412 tf_Restructuring &amp; Separation_Guidance_Sheet3" xfId="3183" xr:uid="{00000000-0005-0000-0000-00006E0C0000}"/>
    <cellStyle name="_Deal Approval Template v42 5-3-05 JWK2_BS_Separation_TaxResIndem_Q12412 tf_Restructuring &amp; Separation_Guidance_Sheet4" xfId="3184" xr:uid="{00000000-0005-0000-0000-00006F0C0000}"/>
    <cellStyle name="_Deal Approval Template v42 5-3-05 JWK2_Deferred tax MarchFC 2011" xfId="3185" xr:uid="{00000000-0005-0000-0000-0000700C0000}"/>
    <cellStyle name="_Deal Approval Template v42 5-3-05 JWK2_Deferred tax MarchFC 2011_BS_Separation_TaxResIndem_Q12412 tf" xfId="3186" xr:uid="{00000000-0005-0000-0000-0000710C0000}"/>
    <cellStyle name="_Deal Approval Template v42 5-3-05 JWK2_Deferred tax MarchFC 2011_BS_Separation_TaxResIndem_Q12412 tf_Guidance" xfId="3187" xr:uid="{00000000-0005-0000-0000-0000720C0000}"/>
    <cellStyle name="_Deal Approval Template v42 5-3-05 JWK2_Deferred tax MarchFC 2011_BS_Separation_TaxResIndem_Q12412 tf_Guidance 2" xfId="3188" xr:uid="{00000000-0005-0000-0000-0000730C0000}"/>
    <cellStyle name="_Deal Approval Template v42 5-3-05 JWK2_Deferred tax MarchFC 2011_BS_Separation_TaxResIndem_Q12412 tf_Guidance_BS retrieve" xfId="3189" xr:uid="{00000000-0005-0000-0000-0000740C0000}"/>
    <cellStyle name="_Deal Approval Template v42 5-3-05 JWK2_Deferred tax MarchFC 2011_BS_Separation_TaxResIndem_Q12412 tf_Guidance_Free CF" xfId="3190" xr:uid="{00000000-0005-0000-0000-0000750C0000}"/>
    <cellStyle name="_Deal Approval Template v42 5-3-05 JWK2_Deferred tax MarchFC 2011_BS_Separation_TaxResIndem_Q12412 tf_Guidance_P&amp;L Rec Qtr" xfId="3191" xr:uid="{00000000-0005-0000-0000-0000760C0000}"/>
    <cellStyle name="_Deal Approval Template v42 5-3-05 JWK2_Deferred tax MarchFC 2011_BS_Separation_TaxResIndem_Q12412 tf_Guidance_Sheet1" xfId="3192" xr:uid="{00000000-0005-0000-0000-0000770C0000}"/>
    <cellStyle name="_Deal Approval Template v42 5-3-05 JWK2_Deferred tax MarchFC 2011_BS_Separation_TaxResIndem_Q12412 tf_Guidance_Sheet2" xfId="3193" xr:uid="{00000000-0005-0000-0000-0000780C0000}"/>
    <cellStyle name="_Deal Approval Template v42 5-3-05 JWK2_Deferred tax MarchFC 2011_BS_Separation_TaxResIndem_Q12412 tf_Guidance_Sheet3" xfId="3194" xr:uid="{00000000-0005-0000-0000-0000790C0000}"/>
    <cellStyle name="_Deal Approval Template v42 5-3-05 JWK2_Deferred tax MarchFC 2011_BS_Separation_TaxResIndem_Q12412 tf_Guidance_Sheet4" xfId="3195" xr:uid="{00000000-0005-0000-0000-00007A0C0000}"/>
    <cellStyle name="_Deal Approval Template v42 5-3-05 JWK2_Deferred tax MarchFC 2011_BS_Separation_TaxResIndem_Q12412 tf_Restructuring &amp; Separation" xfId="3196" xr:uid="{00000000-0005-0000-0000-00007B0C0000}"/>
    <cellStyle name="_Deal Approval Template v42 5-3-05 JWK2_Deferred tax MarchFC 2011_BS_Separation_TaxResIndem_Q12412 tf_Restructuring &amp; Separation_Guidance" xfId="3197" xr:uid="{00000000-0005-0000-0000-00007C0C0000}"/>
    <cellStyle name="_Deal Approval Template v42 5-3-05 JWK2_Deferred tax MarchFC 2011_BS_Separation_TaxResIndem_Q12412 tf_Restructuring &amp; Separation_Guidance 2" xfId="3198" xr:uid="{00000000-0005-0000-0000-00007D0C0000}"/>
    <cellStyle name="_Deal Approval Template v42 5-3-05 JWK2_Deferred tax MarchFC 2011_BS_Separation_TaxResIndem_Q12412 tf_Restructuring &amp; Separation_Guidance_BS retrieve" xfId="3199" xr:uid="{00000000-0005-0000-0000-00007E0C0000}"/>
    <cellStyle name="_Deal Approval Template v42 5-3-05 JWK2_Deferred tax MarchFC 2011_BS_Separation_TaxResIndem_Q12412 tf_Restructuring &amp; Separation_Guidance_Free CF" xfId="3200" xr:uid="{00000000-0005-0000-0000-00007F0C0000}"/>
    <cellStyle name="_Deal Approval Template v42 5-3-05 JWK2_Deferred tax MarchFC 2011_BS_Separation_TaxResIndem_Q12412 tf_Restructuring &amp; Separation_Guidance_P&amp;L Rec Qtr" xfId="3201" xr:uid="{00000000-0005-0000-0000-0000800C0000}"/>
    <cellStyle name="_Deal Approval Template v42 5-3-05 JWK2_Deferred tax MarchFC 2011_BS_Separation_TaxResIndem_Q12412 tf_Restructuring &amp; Separation_Guidance_Sheet1" xfId="3202" xr:uid="{00000000-0005-0000-0000-0000810C0000}"/>
    <cellStyle name="_Deal Approval Template v42 5-3-05 JWK2_Deferred tax MarchFC 2011_BS_Separation_TaxResIndem_Q12412 tf_Restructuring &amp; Separation_Guidance_Sheet2" xfId="3203" xr:uid="{00000000-0005-0000-0000-0000820C0000}"/>
    <cellStyle name="_Deal Approval Template v42 5-3-05 JWK2_Deferred tax MarchFC 2011_BS_Separation_TaxResIndem_Q12412 tf_Restructuring &amp; Separation_Guidance_Sheet3" xfId="3204" xr:uid="{00000000-0005-0000-0000-0000830C0000}"/>
    <cellStyle name="_Deal Approval Template v42 5-3-05 JWK2_Deferred tax MarchFC 2011_BS_Separation_TaxResIndem_Q12412 tf_Restructuring &amp; Separation_Guidance_Sheet4" xfId="3205" xr:uid="{00000000-0005-0000-0000-0000840C0000}"/>
    <cellStyle name="_Deal Approval Template v42 5-3-05 JWK2_Deferred tax MarchFC 2011_Guidance" xfId="3206" xr:uid="{00000000-0005-0000-0000-0000850C0000}"/>
    <cellStyle name="_Deal Approval Template v42 5-3-05 JWK2_Deferred tax MarchFC 2011_Guidance 2" xfId="3207" xr:uid="{00000000-0005-0000-0000-0000860C0000}"/>
    <cellStyle name="_Deal Approval Template v42 5-3-05 JWK2_Deferred tax MarchFC 2011_Guidance_BS retrieve" xfId="3208" xr:uid="{00000000-0005-0000-0000-0000870C0000}"/>
    <cellStyle name="_Deal Approval Template v42 5-3-05 JWK2_Deferred tax MarchFC 2011_Guidance_Free CF" xfId="3209" xr:uid="{00000000-0005-0000-0000-0000880C0000}"/>
    <cellStyle name="_Deal Approval Template v42 5-3-05 JWK2_Deferred tax MarchFC 2011_Guidance_P&amp;L Rec Qtr" xfId="3210" xr:uid="{00000000-0005-0000-0000-0000890C0000}"/>
    <cellStyle name="_Deal Approval Template v42 5-3-05 JWK2_Deferred tax MarchFC 2011_Guidance_Sheet1" xfId="3211" xr:uid="{00000000-0005-0000-0000-00008A0C0000}"/>
    <cellStyle name="_Deal Approval Template v42 5-3-05 JWK2_Deferred tax MarchFC 2011_Guidance_Sheet2" xfId="3212" xr:uid="{00000000-0005-0000-0000-00008B0C0000}"/>
    <cellStyle name="_Deal Approval Template v42 5-3-05 JWK2_Deferred tax MarchFC 2011_Guidance_Sheet3" xfId="3213" xr:uid="{00000000-0005-0000-0000-00008C0C0000}"/>
    <cellStyle name="_Deal Approval Template v42 5-3-05 JWK2_Deferred tax MarchFC 2011_Guidance_Sheet4" xfId="3214" xr:uid="{00000000-0005-0000-0000-00008D0C0000}"/>
    <cellStyle name="_Deal Approval Template v42 5-3-05 JWK2_Deferred tax MarchFC 2011_II.8. Sep&amp;Discrete" xfId="3215" xr:uid="{00000000-0005-0000-0000-00008E0C0000}"/>
    <cellStyle name="_Deal Approval Template v42 5-3-05 JWK2_Deferred tax MarchFC 2011_II.8. Sep&amp;Discrete_Guidance" xfId="3216" xr:uid="{00000000-0005-0000-0000-00008F0C0000}"/>
    <cellStyle name="_Deal Approval Template v42 5-3-05 JWK2_Deferred tax MarchFC 2011_II.8. Sep&amp;Discrete_Guidance 2" xfId="3217" xr:uid="{00000000-0005-0000-0000-0000900C0000}"/>
    <cellStyle name="_Deal Approval Template v42 5-3-05 JWK2_Deferred tax MarchFC 2011_II.8. Sep&amp;Discrete_Guidance_BS retrieve" xfId="3218" xr:uid="{00000000-0005-0000-0000-0000910C0000}"/>
    <cellStyle name="_Deal Approval Template v42 5-3-05 JWK2_Deferred tax MarchFC 2011_II.8. Sep&amp;Discrete_Guidance_Free CF" xfId="3219" xr:uid="{00000000-0005-0000-0000-0000920C0000}"/>
    <cellStyle name="_Deal Approval Template v42 5-3-05 JWK2_Deferred tax MarchFC 2011_II.8. Sep&amp;Discrete_Guidance_P&amp;L Rec Qtr" xfId="3220" xr:uid="{00000000-0005-0000-0000-0000930C0000}"/>
    <cellStyle name="_Deal Approval Template v42 5-3-05 JWK2_Deferred tax MarchFC 2011_II.8. Sep&amp;Discrete_Guidance_Sheet1" xfId="3221" xr:uid="{00000000-0005-0000-0000-0000940C0000}"/>
    <cellStyle name="_Deal Approval Template v42 5-3-05 JWK2_Deferred tax MarchFC 2011_II.8. Sep&amp;Discrete_Guidance_Sheet2" xfId="3222" xr:uid="{00000000-0005-0000-0000-0000950C0000}"/>
    <cellStyle name="_Deal Approval Template v42 5-3-05 JWK2_Deferred tax MarchFC 2011_II.8. Sep&amp;Discrete_Guidance_Sheet3" xfId="3223" xr:uid="{00000000-0005-0000-0000-0000960C0000}"/>
    <cellStyle name="_Deal Approval Template v42 5-3-05 JWK2_Deferred tax MarchFC 2011_II.8. Sep&amp;Discrete_Guidance_Sheet4" xfId="3224" xr:uid="{00000000-0005-0000-0000-0000970C0000}"/>
    <cellStyle name="_Deal Approval Template v42 5-3-05 JWK2_Deferred tax MarchFC 2011_Restructuring &amp; Separation" xfId="3225" xr:uid="{00000000-0005-0000-0000-0000980C0000}"/>
    <cellStyle name="_Deal Approval Template v42 5-3-05 JWK2_Deferred tax MarchFC 2011_Restructuring &amp; Separation_Guidance" xfId="3226" xr:uid="{00000000-0005-0000-0000-0000990C0000}"/>
    <cellStyle name="_Deal Approval Template v42 5-3-05 JWK2_Deferred tax MarchFC 2011_Restructuring &amp; Separation_Guidance 2" xfId="3227" xr:uid="{00000000-0005-0000-0000-00009A0C0000}"/>
    <cellStyle name="_Deal Approval Template v42 5-3-05 JWK2_Deferred tax MarchFC 2011_Restructuring &amp; Separation_Guidance_BS retrieve" xfId="3228" xr:uid="{00000000-0005-0000-0000-00009B0C0000}"/>
    <cellStyle name="_Deal Approval Template v42 5-3-05 JWK2_Deferred tax MarchFC 2011_Restructuring &amp; Separation_Guidance_Free CF" xfId="3229" xr:uid="{00000000-0005-0000-0000-00009C0C0000}"/>
    <cellStyle name="_Deal Approval Template v42 5-3-05 JWK2_Deferred tax MarchFC 2011_Restructuring &amp; Separation_Guidance_P&amp;L Rec Qtr" xfId="3230" xr:uid="{00000000-0005-0000-0000-00009D0C0000}"/>
    <cellStyle name="_Deal Approval Template v42 5-3-05 JWK2_Deferred tax MarchFC 2011_Restructuring &amp; Separation_Guidance_Sheet1" xfId="3231" xr:uid="{00000000-0005-0000-0000-00009E0C0000}"/>
    <cellStyle name="_Deal Approval Template v42 5-3-05 JWK2_Deferred tax MarchFC 2011_Restructuring &amp; Separation_Guidance_Sheet2" xfId="3232" xr:uid="{00000000-0005-0000-0000-00009F0C0000}"/>
    <cellStyle name="_Deal Approval Template v42 5-3-05 JWK2_Deferred tax MarchFC 2011_Restructuring &amp; Separation_Guidance_Sheet3" xfId="3233" xr:uid="{00000000-0005-0000-0000-0000A00C0000}"/>
    <cellStyle name="_Deal Approval Template v42 5-3-05 JWK2_Deferred tax MarchFC 2011_Restructuring &amp; Separation_Guidance_Sheet4" xfId="3234" xr:uid="{00000000-0005-0000-0000-0000A10C0000}"/>
    <cellStyle name="_Deal Approval Template v42 5-3-05 JWK2_Guidance" xfId="3235" xr:uid="{00000000-0005-0000-0000-0000A20C0000}"/>
    <cellStyle name="_Deal Approval Template v42 5-3-05 JWK2_Guidance 2" xfId="3236" xr:uid="{00000000-0005-0000-0000-0000A30C0000}"/>
    <cellStyle name="_Deal Approval Template v42 5-3-05 JWK2_Guidance_BS retrieve" xfId="3237" xr:uid="{00000000-0005-0000-0000-0000A40C0000}"/>
    <cellStyle name="_Deal Approval Template v42 5-3-05 JWK2_Guidance_Free CF" xfId="3238" xr:uid="{00000000-0005-0000-0000-0000A50C0000}"/>
    <cellStyle name="_Deal Approval Template v42 5-3-05 JWK2_Guidance_P&amp;L Rec Qtr" xfId="3239" xr:uid="{00000000-0005-0000-0000-0000A60C0000}"/>
    <cellStyle name="_Deal Approval Template v42 5-3-05 JWK2_Guidance_Sheet1" xfId="3240" xr:uid="{00000000-0005-0000-0000-0000A70C0000}"/>
    <cellStyle name="_Deal Approval Template v42 5-3-05 JWK2_Guidance_Sheet2" xfId="3241" xr:uid="{00000000-0005-0000-0000-0000A80C0000}"/>
    <cellStyle name="_Deal Approval Template v42 5-3-05 JWK2_Guidance_Sheet3" xfId="3242" xr:uid="{00000000-0005-0000-0000-0000A90C0000}"/>
    <cellStyle name="_Deal Approval Template v42 5-3-05 JWK2_Guidance_Sheet4" xfId="3243" xr:uid="{00000000-0005-0000-0000-0000AA0C0000}"/>
    <cellStyle name="_Deal Approval Template v42 5-3-05 JWK2_II.8. Sep&amp;Discrete" xfId="3244" xr:uid="{00000000-0005-0000-0000-0000AB0C0000}"/>
    <cellStyle name="_Deal Approval Template v42 5-3-05 JWK2_II.8. Sep&amp;Discrete_Guidance" xfId="3245" xr:uid="{00000000-0005-0000-0000-0000AC0C0000}"/>
    <cellStyle name="_Deal Approval Template v42 5-3-05 JWK2_II.8. Sep&amp;Discrete_Guidance 2" xfId="3246" xr:uid="{00000000-0005-0000-0000-0000AD0C0000}"/>
    <cellStyle name="_Deal Approval Template v42 5-3-05 JWK2_II.8. Sep&amp;Discrete_Guidance_BS retrieve" xfId="3247" xr:uid="{00000000-0005-0000-0000-0000AE0C0000}"/>
    <cellStyle name="_Deal Approval Template v42 5-3-05 JWK2_II.8. Sep&amp;Discrete_Guidance_Free CF" xfId="3248" xr:uid="{00000000-0005-0000-0000-0000AF0C0000}"/>
    <cellStyle name="_Deal Approval Template v42 5-3-05 JWK2_II.8. Sep&amp;Discrete_Guidance_P&amp;L Rec Qtr" xfId="3249" xr:uid="{00000000-0005-0000-0000-0000B00C0000}"/>
    <cellStyle name="_Deal Approval Template v42 5-3-05 JWK2_II.8. Sep&amp;Discrete_Guidance_Sheet1" xfId="3250" xr:uid="{00000000-0005-0000-0000-0000B10C0000}"/>
    <cellStyle name="_Deal Approval Template v42 5-3-05 JWK2_II.8. Sep&amp;Discrete_Guidance_Sheet2" xfId="3251" xr:uid="{00000000-0005-0000-0000-0000B20C0000}"/>
    <cellStyle name="_Deal Approval Template v42 5-3-05 JWK2_II.8. Sep&amp;Discrete_Guidance_Sheet3" xfId="3252" xr:uid="{00000000-0005-0000-0000-0000B30C0000}"/>
    <cellStyle name="_Deal Approval Template v42 5-3-05 JWK2_II.8. Sep&amp;Discrete_Guidance_Sheet4" xfId="3253" xr:uid="{00000000-0005-0000-0000-0000B40C0000}"/>
    <cellStyle name="_Deal Approval Template v42 5-3-05 JWK2_Restructuring &amp; Separation" xfId="3254" xr:uid="{00000000-0005-0000-0000-0000B50C0000}"/>
    <cellStyle name="_Deal Approval Template v42 5-3-05 JWK2_Restructuring &amp; Separation_Guidance" xfId="3255" xr:uid="{00000000-0005-0000-0000-0000B60C0000}"/>
    <cellStyle name="_Deal Approval Template v42 5-3-05 JWK2_Restructuring &amp; Separation_Guidance 2" xfId="3256" xr:uid="{00000000-0005-0000-0000-0000B70C0000}"/>
    <cellStyle name="_Deal Approval Template v42 5-3-05 JWK2_Restructuring &amp; Separation_Guidance_BS retrieve" xfId="3257" xr:uid="{00000000-0005-0000-0000-0000B80C0000}"/>
    <cellStyle name="_Deal Approval Template v42 5-3-05 JWK2_Restructuring &amp; Separation_Guidance_Free CF" xfId="3258" xr:uid="{00000000-0005-0000-0000-0000B90C0000}"/>
    <cellStyle name="_Deal Approval Template v42 5-3-05 JWK2_Restructuring &amp; Separation_Guidance_P&amp;L Rec Qtr" xfId="3259" xr:uid="{00000000-0005-0000-0000-0000BA0C0000}"/>
    <cellStyle name="_Deal Approval Template v42 5-3-05 JWK2_Restructuring &amp; Separation_Guidance_Sheet1" xfId="3260" xr:uid="{00000000-0005-0000-0000-0000BB0C0000}"/>
    <cellStyle name="_Deal Approval Template v42 5-3-05 JWK2_Restructuring &amp; Separation_Guidance_Sheet2" xfId="3261" xr:uid="{00000000-0005-0000-0000-0000BC0C0000}"/>
    <cellStyle name="_Deal Approval Template v42 5-3-05 JWK2_Restructuring &amp; Separation_Guidance_Sheet3" xfId="3262" xr:uid="{00000000-0005-0000-0000-0000BD0C0000}"/>
    <cellStyle name="_Deal Approval Template v42 5-3-05 JWK2_Restructuring &amp; Separation_Guidance_Sheet4" xfId="3263" xr:uid="{00000000-0005-0000-0000-0000BE0C0000}"/>
    <cellStyle name="_Deal Approval Template v42 5-3-05 JWK2_Sheet1" xfId="3264" xr:uid="{00000000-0005-0000-0000-0000BF0C0000}"/>
    <cellStyle name="_Deal Approval Template v42 5-3-05 JWK2_Sheet1_1" xfId="3265" xr:uid="{00000000-0005-0000-0000-0000C00C0000}"/>
    <cellStyle name="_Deal Approval Template v42 5-3-05 JWK2_Sheet1_1_Guidance" xfId="3266" xr:uid="{00000000-0005-0000-0000-0000C10C0000}"/>
    <cellStyle name="_Deal Approval Template v42 5-3-05 JWK2_Sheet1_1_Guidance 2" xfId="3267" xr:uid="{00000000-0005-0000-0000-0000C20C0000}"/>
    <cellStyle name="_Deal Approval Template v42 5-3-05 JWK2_Sheet1_1_Guidance_BS retrieve" xfId="3268" xr:uid="{00000000-0005-0000-0000-0000C30C0000}"/>
    <cellStyle name="_Deal Approval Template v42 5-3-05 JWK2_Sheet1_1_Guidance_Free CF" xfId="3269" xr:uid="{00000000-0005-0000-0000-0000C40C0000}"/>
    <cellStyle name="_Deal Approval Template v42 5-3-05 JWK2_Sheet1_1_Guidance_P&amp;L Rec Qtr" xfId="3270" xr:uid="{00000000-0005-0000-0000-0000C50C0000}"/>
    <cellStyle name="_Deal Approval Template v42 5-3-05 JWK2_Sheet1_1_Guidance_Sheet1" xfId="3271" xr:uid="{00000000-0005-0000-0000-0000C60C0000}"/>
    <cellStyle name="_Deal Approval Template v42 5-3-05 JWK2_Sheet1_1_Guidance_Sheet2" xfId="3272" xr:uid="{00000000-0005-0000-0000-0000C70C0000}"/>
    <cellStyle name="_Deal Approval Template v42 5-3-05 JWK2_Sheet1_1_Guidance_Sheet3" xfId="3273" xr:uid="{00000000-0005-0000-0000-0000C80C0000}"/>
    <cellStyle name="_Deal Approval Template v42 5-3-05 JWK2_Sheet1_1_Guidance_Sheet4" xfId="3274" xr:uid="{00000000-0005-0000-0000-0000C90C0000}"/>
    <cellStyle name="_Deal Approval Template v42 5-3-05 JWK2_Sheet1_1_Restructuring &amp; Separation" xfId="3275" xr:uid="{00000000-0005-0000-0000-0000CA0C0000}"/>
    <cellStyle name="_Deal Approval Template v42 5-3-05 JWK2_Sheet1_1_Restructuring &amp; Separation_Guidance" xfId="3276" xr:uid="{00000000-0005-0000-0000-0000CB0C0000}"/>
    <cellStyle name="_Deal Approval Template v42 5-3-05 JWK2_Sheet1_1_Restructuring &amp; Separation_Guidance 2" xfId="3277" xr:uid="{00000000-0005-0000-0000-0000CC0C0000}"/>
    <cellStyle name="_Deal Approval Template v42 5-3-05 JWK2_Sheet1_1_Restructuring &amp; Separation_Guidance_BS retrieve" xfId="3278" xr:uid="{00000000-0005-0000-0000-0000CD0C0000}"/>
    <cellStyle name="_Deal Approval Template v42 5-3-05 JWK2_Sheet1_1_Restructuring &amp; Separation_Guidance_Free CF" xfId="3279" xr:uid="{00000000-0005-0000-0000-0000CE0C0000}"/>
    <cellStyle name="_Deal Approval Template v42 5-3-05 JWK2_Sheet1_1_Restructuring &amp; Separation_Guidance_P&amp;L Rec Qtr" xfId="3280" xr:uid="{00000000-0005-0000-0000-0000CF0C0000}"/>
    <cellStyle name="_Deal Approval Template v42 5-3-05 JWK2_Sheet1_1_Restructuring &amp; Separation_Guidance_Sheet1" xfId="3281" xr:uid="{00000000-0005-0000-0000-0000D00C0000}"/>
    <cellStyle name="_Deal Approval Template v42 5-3-05 JWK2_Sheet1_1_Restructuring &amp; Separation_Guidance_Sheet2" xfId="3282" xr:uid="{00000000-0005-0000-0000-0000D10C0000}"/>
    <cellStyle name="_Deal Approval Template v42 5-3-05 JWK2_Sheet1_1_Restructuring &amp; Separation_Guidance_Sheet3" xfId="3283" xr:uid="{00000000-0005-0000-0000-0000D20C0000}"/>
    <cellStyle name="_Deal Approval Template v42 5-3-05 JWK2_Sheet1_1_Restructuring &amp; Separation_Guidance_Sheet4" xfId="3284" xr:uid="{00000000-0005-0000-0000-0000D30C0000}"/>
    <cellStyle name="_Deal Approval Template v42 5-3-05 JWK2_Sheet1_BS_Separation_TaxResIndem_Q12412 tf" xfId="3285" xr:uid="{00000000-0005-0000-0000-0000D40C0000}"/>
    <cellStyle name="_Deal Approval Template v42 5-3-05 JWK2_Sheet1_BS_Separation_TaxResIndem_Q12412 tf_Guidance" xfId="3286" xr:uid="{00000000-0005-0000-0000-0000D50C0000}"/>
    <cellStyle name="_Deal Approval Template v42 5-3-05 JWK2_Sheet1_BS_Separation_TaxResIndem_Q12412 tf_Guidance 2" xfId="3287" xr:uid="{00000000-0005-0000-0000-0000D60C0000}"/>
    <cellStyle name="_Deal Approval Template v42 5-3-05 JWK2_Sheet1_BS_Separation_TaxResIndem_Q12412 tf_Guidance_BS retrieve" xfId="3288" xr:uid="{00000000-0005-0000-0000-0000D70C0000}"/>
    <cellStyle name="_Deal Approval Template v42 5-3-05 JWK2_Sheet1_BS_Separation_TaxResIndem_Q12412 tf_Guidance_Free CF" xfId="3289" xr:uid="{00000000-0005-0000-0000-0000D80C0000}"/>
    <cellStyle name="_Deal Approval Template v42 5-3-05 JWK2_Sheet1_BS_Separation_TaxResIndem_Q12412 tf_Guidance_P&amp;L Rec Qtr" xfId="3290" xr:uid="{00000000-0005-0000-0000-0000D90C0000}"/>
    <cellStyle name="_Deal Approval Template v42 5-3-05 JWK2_Sheet1_BS_Separation_TaxResIndem_Q12412 tf_Guidance_Sheet1" xfId="3291" xr:uid="{00000000-0005-0000-0000-0000DA0C0000}"/>
    <cellStyle name="_Deal Approval Template v42 5-3-05 JWK2_Sheet1_BS_Separation_TaxResIndem_Q12412 tf_Guidance_Sheet2" xfId="3292" xr:uid="{00000000-0005-0000-0000-0000DB0C0000}"/>
    <cellStyle name="_Deal Approval Template v42 5-3-05 JWK2_Sheet1_BS_Separation_TaxResIndem_Q12412 tf_Guidance_Sheet3" xfId="3293" xr:uid="{00000000-0005-0000-0000-0000DC0C0000}"/>
    <cellStyle name="_Deal Approval Template v42 5-3-05 JWK2_Sheet1_BS_Separation_TaxResIndem_Q12412 tf_Guidance_Sheet4" xfId="3294" xr:uid="{00000000-0005-0000-0000-0000DD0C0000}"/>
    <cellStyle name="_Deal Approval Template v42 5-3-05 JWK2_Sheet1_BS_Separation_TaxResIndem_Q12412 tf_Restructuring &amp; Separation" xfId="3295" xr:uid="{00000000-0005-0000-0000-0000DE0C0000}"/>
    <cellStyle name="_Deal Approval Template v42 5-3-05 JWK2_Sheet1_BS_Separation_TaxResIndem_Q12412 tf_Restructuring &amp; Separation_Guidance" xfId="3296" xr:uid="{00000000-0005-0000-0000-0000DF0C0000}"/>
    <cellStyle name="_Deal Approval Template v42 5-3-05 JWK2_Sheet1_BS_Separation_TaxResIndem_Q12412 tf_Restructuring &amp; Separation_Guidance 2" xfId="3297" xr:uid="{00000000-0005-0000-0000-0000E00C0000}"/>
    <cellStyle name="_Deal Approval Template v42 5-3-05 JWK2_Sheet1_BS_Separation_TaxResIndem_Q12412 tf_Restructuring &amp; Separation_Guidance_BS retrieve" xfId="3298" xr:uid="{00000000-0005-0000-0000-0000E10C0000}"/>
    <cellStyle name="_Deal Approval Template v42 5-3-05 JWK2_Sheet1_BS_Separation_TaxResIndem_Q12412 tf_Restructuring &amp; Separation_Guidance_Free CF" xfId="3299" xr:uid="{00000000-0005-0000-0000-0000E20C0000}"/>
    <cellStyle name="_Deal Approval Template v42 5-3-05 JWK2_Sheet1_BS_Separation_TaxResIndem_Q12412 tf_Restructuring &amp; Separation_Guidance_P&amp;L Rec Qtr" xfId="3300" xr:uid="{00000000-0005-0000-0000-0000E30C0000}"/>
    <cellStyle name="_Deal Approval Template v42 5-3-05 JWK2_Sheet1_BS_Separation_TaxResIndem_Q12412 tf_Restructuring &amp; Separation_Guidance_Sheet1" xfId="3301" xr:uid="{00000000-0005-0000-0000-0000E40C0000}"/>
    <cellStyle name="_Deal Approval Template v42 5-3-05 JWK2_Sheet1_BS_Separation_TaxResIndem_Q12412 tf_Restructuring &amp; Separation_Guidance_Sheet2" xfId="3302" xr:uid="{00000000-0005-0000-0000-0000E50C0000}"/>
    <cellStyle name="_Deal Approval Template v42 5-3-05 JWK2_Sheet1_BS_Separation_TaxResIndem_Q12412 tf_Restructuring &amp; Separation_Guidance_Sheet3" xfId="3303" xr:uid="{00000000-0005-0000-0000-0000E60C0000}"/>
    <cellStyle name="_Deal Approval Template v42 5-3-05 JWK2_Sheet1_BS_Separation_TaxResIndem_Q12412 tf_Restructuring &amp; Separation_Guidance_Sheet4" xfId="3304" xr:uid="{00000000-0005-0000-0000-0000E70C0000}"/>
    <cellStyle name="_Deal Approval Template v42 5-3-05 JWK2_Sheet1_Guidance" xfId="3305" xr:uid="{00000000-0005-0000-0000-0000E80C0000}"/>
    <cellStyle name="_Deal Approval Template v42 5-3-05 JWK2_Sheet1_Guidance 2" xfId="3306" xr:uid="{00000000-0005-0000-0000-0000E90C0000}"/>
    <cellStyle name="_Deal Approval Template v42 5-3-05 JWK2_Sheet1_Guidance_BS retrieve" xfId="3307" xr:uid="{00000000-0005-0000-0000-0000EA0C0000}"/>
    <cellStyle name="_Deal Approval Template v42 5-3-05 JWK2_Sheet1_Guidance_Free CF" xfId="3308" xr:uid="{00000000-0005-0000-0000-0000EB0C0000}"/>
    <cellStyle name="_Deal Approval Template v42 5-3-05 JWK2_Sheet1_Guidance_P&amp;L Rec Qtr" xfId="3309" xr:uid="{00000000-0005-0000-0000-0000EC0C0000}"/>
    <cellStyle name="_Deal Approval Template v42 5-3-05 JWK2_Sheet1_Guidance_Sheet1" xfId="3310" xr:uid="{00000000-0005-0000-0000-0000ED0C0000}"/>
    <cellStyle name="_Deal Approval Template v42 5-3-05 JWK2_Sheet1_Guidance_Sheet2" xfId="3311" xr:uid="{00000000-0005-0000-0000-0000EE0C0000}"/>
    <cellStyle name="_Deal Approval Template v42 5-3-05 JWK2_Sheet1_Guidance_Sheet3" xfId="3312" xr:uid="{00000000-0005-0000-0000-0000EF0C0000}"/>
    <cellStyle name="_Deal Approval Template v42 5-3-05 JWK2_Sheet1_Guidance_Sheet4" xfId="3313" xr:uid="{00000000-0005-0000-0000-0000F00C0000}"/>
    <cellStyle name="_Deal Approval Template v42 5-3-05 JWK2_Sheet1_II.8. Sep&amp;Discrete" xfId="3314" xr:uid="{00000000-0005-0000-0000-0000F10C0000}"/>
    <cellStyle name="_Deal Approval Template v42 5-3-05 JWK2_Sheet1_II.8. Sep&amp;Discrete_Guidance" xfId="3315" xr:uid="{00000000-0005-0000-0000-0000F20C0000}"/>
    <cellStyle name="_Deal Approval Template v42 5-3-05 JWK2_Sheet1_II.8. Sep&amp;Discrete_Guidance 2" xfId="3316" xr:uid="{00000000-0005-0000-0000-0000F30C0000}"/>
    <cellStyle name="_Deal Approval Template v42 5-3-05 JWK2_Sheet1_II.8. Sep&amp;Discrete_Guidance_BS retrieve" xfId="3317" xr:uid="{00000000-0005-0000-0000-0000F40C0000}"/>
    <cellStyle name="_Deal Approval Template v42 5-3-05 JWK2_Sheet1_II.8. Sep&amp;Discrete_Guidance_Free CF" xfId="3318" xr:uid="{00000000-0005-0000-0000-0000F50C0000}"/>
    <cellStyle name="_Deal Approval Template v42 5-3-05 JWK2_Sheet1_II.8. Sep&amp;Discrete_Guidance_P&amp;L Rec Qtr" xfId="3319" xr:uid="{00000000-0005-0000-0000-0000F60C0000}"/>
    <cellStyle name="_Deal Approval Template v42 5-3-05 JWK2_Sheet1_II.8. Sep&amp;Discrete_Guidance_Sheet1" xfId="3320" xr:uid="{00000000-0005-0000-0000-0000F70C0000}"/>
    <cellStyle name="_Deal Approval Template v42 5-3-05 JWK2_Sheet1_II.8. Sep&amp;Discrete_Guidance_Sheet2" xfId="3321" xr:uid="{00000000-0005-0000-0000-0000F80C0000}"/>
    <cellStyle name="_Deal Approval Template v42 5-3-05 JWK2_Sheet1_II.8. Sep&amp;Discrete_Guidance_Sheet3" xfId="3322" xr:uid="{00000000-0005-0000-0000-0000F90C0000}"/>
    <cellStyle name="_Deal Approval Template v42 5-3-05 JWK2_Sheet1_II.8. Sep&amp;Discrete_Guidance_Sheet4" xfId="3323" xr:uid="{00000000-0005-0000-0000-0000FA0C0000}"/>
    <cellStyle name="_Deal Approval Template v42 5-3-05 JWK2_Sheet1_Restructuring &amp; Separation" xfId="3324" xr:uid="{00000000-0005-0000-0000-0000FB0C0000}"/>
    <cellStyle name="_Deal Approval Template v42 5-3-05 JWK2_Sheet1_Restructuring &amp; Separation_Guidance" xfId="3325" xr:uid="{00000000-0005-0000-0000-0000FC0C0000}"/>
    <cellStyle name="_Deal Approval Template v42 5-3-05 JWK2_Sheet1_Restructuring &amp; Separation_Guidance 2" xfId="3326" xr:uid="{00000000-0005-0000-0000-0000FD0C0000}"/>
    <cellStyle name="_Deal Approval Template v42 5-3-05 JWK2_Sheet1_Restructuring &amp; Separation_Guidance_BS retrieve" xfId="3327" xr:uid="{00000000-0005-0000-0000-0000FE0C0000}"/>
    <cellStyle name="_Deal Approval Template v42 5-3-05 JWK2_Sheet1_Restructuring &amp; Separation_Guidance_Free CF" xfId="3328" xr:uid="{00000000-0005-0000-0000-0000FF0C0000}"/>
    <cellStyle name="_Deal Approval Template v42 5-3-05 JWK2_Sheet1_Restructuring &amp; Separation_Guidance_P&amp;L Rec Qtr" xfId="3329" xr:uid="{00000000-0005-0000-0000-0000000D0000}"/>
    <cellStyle name="_Deal Approval Template v42 5-3-05 JWK2_Sheet1_Restructuring &amp; Separation_Guidance_Sheet1" xfId="3330" xr:uid="{00000000-0005-0000-0000-0000010D0000}"/>
    <cellStyle name="_Deal Approval Template v42 5-3-05 JWK2_Sheet1_Restructuring &amp; Separation_Guidance_Sheet2" xfId="3331" xr:uid="{00000000-0005-0000-0000-0000020D0000}"/>
    <cellStyle name="_Deal Approval Template v42 5-3-05 JWK2_Sheet1_Restructuring &amp; Separation_Guidance_Sheet3" xfId="3332" xr:uid="{00000000-0005-0000-0000-0000030D0000}"/>
    <cellStyle name="_Deal Approval Template v42 5-3-05 JWK2_Sheet1_Restructuring &amp; Separation_Guidance_Sheet4" xfId="3333" xr:uid="{00000000-0005-0000-0000-0000040D0000}"/>
    <cellStyle name="_Deferred tax JunFC 2010_" xfId="3334" xr:uid="{00000000-0005-0000-0000-0000050D0000}"/>
    <cellStyle name="_DM Draft Correction" xfId="3335" xr:uid="{00000000-0005-0000-0000-0000060D0000}"/>
    <cellStyle name="_DM Draft Correction 2" xfId="3336" xr:uid="{00000000-0005-0000-0000-0000070D0000}"/>
    <cellStyle name="_DM Draft Correction_BS retrieve" xfId="3337" xr:uid="{00000000-0005-0000-0000-0000080D0000}"/>
    <cellStyle name="_DM Draft Correction_Free CF" xfId="3338" xr:uid="{00000000-0005-0000-0000-0000090D0000}"/>
    <cellStyle name="_DM Draft Correction_P&amp;L Rec Qtr" xfId="3339" xr:uid="{00000000-0005-0000-0000-00000A0D0000}"/>
    <cellStyle name="_DM Draft Correction_Sheet1" xfId="3340" xr:uid="{00000000-0005-0000-0000-00000B0D0000}"/>
    <cellStyle name="_DM Draft Correction_Sheet2" xfId="3341" xr:uid="{00000000-0005-0000-0000-00000C0D0000}"/>
    <cellStyle name="_DM Draft Correction_Sheet3" xfId="3342" xr:uid="{00000000-0005-0000-0000-00000D0D0000}"/>
    <cellStyle name="_DM Draft Correction_Sheet4" xfId="3343" xr:uid="{00000000-0005-0000-0000-00000E0D0000}"/>
    <cellStyle name="_ET_STYLE_NoName_00_" xfId="3344" xr:uid="{00000000-0005-0000-0000-00000F0D0000}"/>
    <cellStyle name="_ET_STYLE_NoName_00__青岛海信_1" xfId="3345" xr:uid="{00000000-0005-0000-0000-0000100D0000}"/>
    <cellStyle name="_ET_STYLE_NoName_00__青岛海信_10_4海信发票申请表2008(1).2.4xls" xfId="3346" xr:uid="{00000000-0005-0000-0000-0000110D0000}"/>
    <cellStyle name="_ET_STYLE_NoName_00__青岛海信_10_海信发票申请表1(1).23.1.1xls" xfId="3347" xr:uid="{00000000-0005-0000-0000-0000120D0000}"/>
    <cellStyle name="_ET_STYLE_NoName_00__青岛海信_10_海信发票申请表2008(1).3.5xls" xfId="3348" xr:uid="{00000000-0005-0000-0000-0000130D0000}"/>
    <cellStyle name="_ET_STYLE_NoName_00__青岛海信_10_海信发票申请表4(1).23.1" xfId="3349" xr:uid="{00000000-0005-0000-0000-0000140D0000}"/>
    <cellStyle name="_ET_STYLE_NoName_00__青岛海信_10_海信发票申请表4(1).23.2" xfId="3350" xr:uid="{00000000-0005-0000-0000-0000150D0000}"/>
    <cellStyle name="_ET_STYLE_NoName_00__青岛海信_10_海信发票申请表5(1).20.1" xfId="3351" xr:uid="{00000000-0005-0000-0000-0000160D0000}"/>
    <cellStyle name="_ET_STYLE_NoName_00__青岛海信_10_青岛海信3.24.1xls" xfId="3352" xr:uid="{00000000-0005-0000-0000-0000170D0000}"/>
    <cellStyle name="_ET_STYLE_NoName_00__青岛海信_10_青岛海信3.24。xls" xfId="3353" xr:uid="{00000000-0005-0000-0000-0000180D0000}"/>
    <cellStyle name="_ET_STYLE_NoName_00__青岛海信_11_4海信发票申请表2008(1).2.4xls" xfId="3354" xr:uid="{00000000-0005-0000-0000-0000190D0000}"/>
    <cellStyle name="_ET_STYLE_NoName_00__青岛海信_11_海信发票申请表1(1).23.1.1xls" xfId="3355" xr:uid="{00000000-0005-0000-0000-00001A0D0000}"/>
    <cellStyle name="_ET_STYLE_NoName_00__青岛海信_11_海信发票申请表1(1).23.1xls" xfId="3356" xr:uid="{00000000-0005-0000-0000-00001B0D0000}"/>
    <cellStyle name="_ET_STYLE_NoName_00__青岛海信_11_海信发票申请表4(1).23.1" xfId="3357" xr:uid="{00000000-0005-0000-0000-00001C0D0000}"/>
    <cellStyle name="_ET_STYLE_NoName_00__青岛海信_11_海信发票申请表4(1).23.2" xfId="3358" xr:uid="{00000000-0005-0000-0000-00001D0D0000}"/>
    <cellStyle name="_ET_STYLE_NoName_00__青岛海信_11_青岛海信3.24.1xls" xfId="3359" xr:uid="{00000000-0005-0000-0000-00001E0D0000}"/>
    <cellStyle name="_ET_STYLE_NoName_00__青岛海信_11_青岛海信3.24。xls" xfId="3360" xr:uid="{00000000-0005-0000-0000-00001F0D0000}"/>
    <cellStyle name="_ET_STYLE_NoName_00__青岛海信_12_4海信发票申请表2008(1).2.4xls" xfId="3361" xr:uid="{00000000-0005-0000-0000-0000200D0000}"/>
    <cellStyle name="_ET_STYLE_NoName_00__青岛海信_12_海信发票申请表1(1).23.1.1xls" xfId="3362" xr:uid="{00000000-0005-0000-0000-0000210D0000}"/>
    <cellStyle name="_ET_STYLE_NoName_00__青岛海信_12_海信发票申请表1(1).23.1xls" xfId="3363" xr:uid="{00000000-0005-0000-0000-0000220D0000}"/>
    <cellStyle name="_ET_STYLE_NoName_00__青岛海信_12_海信发票申请表4(1).23.1" xfId="3364" xr:uid="{00000000-0005-0000-0000-0000230D0000}"/>
    <cellStyle name="_ET_STYLE_NoName_00__青岛海信_12_海信发票申请表4(1).23.2" xfId="3365" xr:uid="{00000000-0005-0000-0000-0000240D0000}"/>
    <cellStyle name="_ET_STYLE_NoName_00__青岛海信_12_海信发票申请表5(1).20.1" xfId="3366" xr:uid="{00000000-0005-0000-0000-0000250D0000}"/>
    <cellStyle name="_ET_STYLE_NoName_00__青岛海信_12_青岛海信3.24.1xls" xfId="3367" xr:uid="{00000000-0005-0000-0000-0000260D0000}"/>
    <cellStyle name="_ET_STYLE_NoName_00__青岛海信_12_青岛海信3.24。xls" xfId="3368" xr:uid="{00000000-0005-0000-0000-0000270D0000}"/>
    <cellStyle name="_ET_STYLE_NoName_00__青岛海信_2" xfId="3369" xr:uid="{00000000-0005-0000-0000-0000280D0000}"/>
    <cellStyle name="_ET_STYLE_NoName_00__青岛海信_3" xfId="3370" xr:uid="{00000000-0005-0000-0000-0000290D0000}"/>
    <cellStyle name="_ET_STYLE_NoName_00__青岛海信_3_海信发票申请表1(1).23.1.1xls" xfId="3371" xr:uid="{00000000-0005-0000-0000-00002A0D0000}"/>
    <cellStyle name="_ET_STYLE_NoName_00__青岛海信_3_海信发票申请表1(1).23.1xls" xfId="3372" xr:uid="{00000000-0005-0000-0000-00002B0D0000}"/>
    <cellStyle name="_ET_STYLE_NoName_00__青岛海信_3_海信发票申请表4(1).23.1" xfId="3373" xr:uid="{00000000-0005-0000-0000-00002C0D0000}"/>
    <cellStyle name="_ET_STYLE_NoName_00__青岛海信_3_海信发票申请表4(1).23.2" xfId="3374" xr:uid="{00000000-0005-0000-0000-00002D0D0000}"/>
    <cellStyle name="_ET_STYLE_NoName_00__青岛海信_3_海信发票申请表5(1).20.1" xfId="3375" xr:uid="{00000000-0005-0000-0000-00002E0D0000}"/>
    <cellStyle name="_ET_STYLE_NoName_00__青岛海信_3_青岛海信3.24.1xls" xfId="3376" xr:uid="{00000000-0005-0000-0000-00002F0D0000}"/>
    <cellStyle name="_ET_STYLE_NoName_00__青岛海信_4" xfId="3377" xr:uid="{00000000-0005-0000-0000-0000300D0000}"/>
    <cellStyle name="_ET_STYLE_NoName_00__青岛海信_4_海信发票申请表1(1).23.1.1xls" xfId="3378" xr:uid="{00000000-0005-0000-0000-0000310D0000}"/>
    <cellStyle name="_ET_STYLE_NoName_00__青岛海信_4_海信发票申请表1(1).23.1xls" xfId="3379" xr:uid="{00000000-0005-0000-0000-0000320D0000}"/>
    <cellStyle name="_ET_STYLE_NoName_00__青岛海信_4_海信发票申请表4(1).23.1" xfId="3380" xr:uid="{00000000-0005-0000-0000-0000330D0000}"/>
    <cellStyle name="_ET_STYLE_NoName_00__青岛海信_5" xfId="3381" xr:uid="{00000000-0005-0000-0000-0000340D0000}"/>
    <cellStyle name="_ET_STYLE_NoName_00__青岛海信_5_海信发票申请表1(1).23.1xls" xfId="3382" xr:uid="{00000000-0005-0000-0000-0000350D0000}"/>
    <cellStyle name="_ET_STYLE_NoName_00__青岛海信_5_海信发票申请表4(1).23.2" xfId="3383" xr:uid="{00000000-0005-0000-0000-0000360D0000}"/>
    <cellStyle name="_ET_STYLE_NoName_00__青岛海信_5_海信发票申请表5(1).20.1" xfId="3384" xr:uid="{00000000-0005-0000-0000-0000370D0000}"/>
    <cellStyle name="_ET_STYLE_NoName_00__青岛海信_6_4海信发票申请表2008(1).2.4xls" xfId="3385" xr:uid="{00000000-0005-0000-0000-0000380D0000}"/>
    <cellStyle name="_ET_STYLE_NoName_00__青岛海信_6_海信发票申请表1(1).23.1.1xls" xfId="3386" xr:uid="{00000000-0005-0000-0000-0000390D0000}"/>
    <cellStyle name="_ET_STYLE_NoName_00__青岛海信_6_海信发票申请表1(1).23.1xls" xfId="3387" xr:uid="{00000000-0005-0000-0000-00003A0D0000}"/>
    <cellStyle name="_ET_STYLE_NoName_00__青岛海信_6_海信发票申请表2008(1).3.5xls" xfId="3388" xr:uid="{00000000-0005-0000-0000-00003B0D0000}"/>
    <cellStyle name="_ET_STYLE_NoName_00__青岛海信_6_海信发票申请表4(1).23.1" xfId="3389" xr:uid="{00000000-0005-0000-0000-00003C0D0000}"/>
    <cellStyle name="_ET_STYLE_NoName_00__青岛海信_6_海信发票申请表4(1).23.2" xfId="3390" xr:uid="{00000000-0005-0000-0000-00003D0D0000}"/>
    <cellStyle name="_ET_STYLE_NoName_00__青岛海信_6_海信发票申请表5(1).20.1" xfId="3391" xr:uid="{00000000-0005-0000-0000-00003E0D0000}"/>
    <cellStyle name="_ET_STYLE_NoName_00__青岛海信_6_青岛海信3.24.1xls" xfId="3392" xr:uid="{00000000-0005-0000-0000-00003F0D0000}"/>
    <cellStyle name="_ET_STYLE_NoName_00__青岛海信_6_青岛海信3.24。xls" xfId="3393" xr:uid="{00000000-0005-0000-0000-0000400D0000}"/>
    <cellStyle name="_ET_STYLE_NoName_00__青岛海信_7_4海信发票申请表2008(1).2.4xls" xfId="3394" xr:uid="{00000000-0005-0000-0000-0000410D0000}"/>
    <cellStyle name="_ET_STYLE_NoName_00__青岛海信_7_海信发票申请表1(1).23.1.1xls" xfId="3395" xr:uid="{00000000-0005-0000-0000-0000420D0000}"/>
    <cellStyle name="_ET_STYLE_NoName_00__青岛海信_7_海信发票申请表1(1).23.1xls" xfId="3396" xr:uid="{00000000-0005-0000-0000-0000430D0000}"/>
    <cellStyle name="_ET_STYLE_NoName_00__青岛海信_7_海信发票申请表2008(1).3.5xls" xfId="3397" xr:uid="{00000000-0005-0000-0000-0000440D0000}"/>
    <cellStyle name="_ET_STYLE_NoName_00__青岛海信_7_海信发票申请表4(1).23.2" xfId="3398" xr:uid="{00000000-0005-0000-0000-0000450D0000}"/>
    <cellStyle name="_ET_STYLE_NoName_00__青岛海信_7_青岛海信3.24.1xls" xfId="3399" xr:uid="{00000000-0005-0000-0000-0000460D0000}"/>
    <cellStyle name="_ET_STYLE_NoName_00__青岛海信_7_青岛海信3.24。xls" xfId="3400" xr:uid="{00000000-0005-0000-0000-0000470D0000}"/>
    <cellStyle name="_ET_STYLE_NoName_00__青岛海信_8" xfId="3401" xr:uid="{00000000-0005-0000-0000-0000480D0000}"/>
    <cellStyle name="_ET_STYLE_NoName_00__青岛海信_8_海信发票申请表4(1).23.2" xfId="3402" xr:uid="{00000000-0005-0000-0000-0000490D0000}"/>
    <cellStyle name="_ET_STYLE_NoName_00__青岛海信_8_海信发票申请表5(1).20.1" xfId="3403" xr:uid="{00000000-0005-0000-0000-00004A0D0000}"/>
    <cellStyle name="_ET_STYLE_NoName_00__青岛海信_9" xfId="3404" xr:uid="{00000000-0005-0000-0000-00004B0D0000}"/>
    <cellStyle name="_ET_STYLE_NoName_00__青岛海信_9_海信发票申请表1(1).23.1xls" xfId="3405" xr:uid="{00000000-0005-0000-0000-00004C0D0000}"/>
    <cellStyle name="_ET_STYLE_NoName_00__青岛海信_9_海信发票申请表4(1).23.1" xfId="3406" xr:uid="{00000000-0005-0000-0000-00004D0D0000}"/>
    <cellStyle name="_ET_STYLE_NoName_00__青岛海信_9_海信发票申请表4(1).23.2" xfId="3407" xr:uid="{00000000-0005-0000-0000-00004E0D0000}"/>
    <cellStyle name="_ET_STYLE_NoName_00__青岛海信_9_海信发票申请表5(1).20.1" xfId="3408" xr:uid="{00000000-0005-0000-0000-00004F0D0000}"/>
    <cellStyle name="_ET_STYLE_NoName_00__青岛海信_9_青岛海信3.24.1xls" xfId="3409" xr:uid="{00000000-0005-0000-0000-0000500D0000}"/>
    <cellStyle name="_FTQ Tri Charts April`05 (2) (2)" xfId="3410" xr:uid="{00000000-0005-0000-0000-0000510D0000}"/>
    <cellStyle name="_FTQ Tri Charts April`05 (2) (2)_BS_Separation_TaxResIndem_Q12412 tf" xfId="3411" xr:uid="{00000000-0005-0000-0000-0000520D0000}"/>
    <cellStyle name="_FTQ Tri Charts April`05 (2) (2)_BS_Separation_TaxResIndem_Q12412 tf_Guidance" xfId="3412" xr:uid="{00000000-0005-0000-0000-0000530D0000}"/>
    <cellStyle name="_FTQ Tri Charts April`05 (2) (2)_BS_Separation_TaxResIndem_Q12412 tf_Guidance 2" xfId="3413" xr:uid="{00000000-0005-0000-0000-0000540D0000}"/>
    <cellStyle name="_FTQ Tri Charts April`05 (2) (2)_BS_Separation_TaxResIndem_Q12412 tf_Guidance_BS retrieve" xfId="3414" xr:uid="{00000000-0005-0000-0000-0000550D0000}"/>
    <cellStyle name="_FTQ Tri Charts April`05 (2) (2)_BS_Separation_TaxResIndem_Q12412 tf_Guidance_Free CF" xfId="3415" xr:uid="{00000000-0005-0000-0000-0000560D0000}"/>
    <cellStyle name="_FTQ Tri Charts April`05 (2) (2)_BS_Separation_TaxResIndem_Q12412 tf_Guidance_P&amp;L Rec Qtr" xfId="3416" xr:uid="{00000000-0005-0000-0000-0000570D0000}"/>
    <cellStyle name="_FTQ Tri Charts April`05 (2) (2)_BS_Separation_TaxResIndem_Q12412 tf_Guidance_Sheet1" xfId="3417" xr:uid="{00000000-0005-0000-0000-0000580D0000}"/>
    <cellStyle name="_FTQ Tri Charts April`05 (2) (2)_BS_Separation_TaxResIndem_Q12412 tf_Guidance_Sheet2" xfId="3418" xr:uid="{00000000-0005-0000-0000-0000590D0000}"/>
    <cellStyle name="_FTQ Tri Charts April`05 (2) (2)_BS_Separation_TaxResIndem_Q12412 tf_Guidance_Sheet3" xfId="3419" xr:uid="{00000000-0005-0000-0000-00005A0D0000}"/>
    <cellStyle name="_FTQ Tri Charts April`05 (2) (2)_BS_Separation_TaxResIndem_Q12412 tf_Guidance_Sheet4" xfId="3420" xr:uid="{00000000-0005-0000-0000-00005B0D0000}"/>
    <cellStyle name="_FTQ Tri Charts April`05 (2) (2)_BS_Separation_TaxResIndem_Q12412 tf_Restructuring &amp; Separation" xfId="3421" xr:uid="{00000000-0005-0000-0000-00005C0D0000}"/>
    <cellStyle name="_FTQ Tri Charts April`05 (2) (2)_BS_Separation_TaxResIndem_Q12412 tf_Restructuring &amp; Separation_Guidance" xfId="3422" xr:uid="{00000000-0005-0000-0000-00005D0D0000}"/>
    <cellStyle name="_FTQ Tri Charts April`05 (2) (2)_BS_Separation_TaxResIndem_Q12412 tf_Restructuring &amp; Separation_Guidance 2" xfId="3423" xr:uid="{00000000-0005-0000-0000-00005E0D0000}"/>
    <cellStyle name="_FTQ Tri Charts April`05 (2) (2)_BS_Separation_TaxResIndem_Q12412 tf_Restructuring &amp; Separation_Guidance_BS retrieve" xfId="3424" xr:uid="{00000000-0005-0000-0000-00005F0D0000}"/>
    <cellStyle name="_FTQ Tri Charts April`05 (2) (2)_BS_Separation_TaxResIndem_Q12412 tf_Restructuring &amp; Separation_Guidance_Free CF" xfId="3425" xr:uid="{00000000-0005-0000-0000-0000600D0000}"/>
    <cellStyle name="_FTQ Tri Charts April`05 (2) (2)_BS_Separation_TaxResIndem_Q12412 tf_Restructuring &amp; Separation_Guidance_P&amp;L Rec Qtr" xfId="3426" xr:uid="{00000000-0005-0000-0000-0000610D0000}"/>
    <cellStyle name="_FTQ Tri Charts April`05 (2) (2)_BS_Separation_TaxResIndem_Q12412 tf_Restructuring &amp; Separation_Guidance_Sheet1" xfId="3427" xr:uid="{00000000-0005-0000-0000-0000620D0000}"/>
    <cellStyle name="_FTQ Tri Charts April`05 (2) (2)_BS_Separation_TaxResIndem_Q12412 tf_Restructuring &amp; Separation_Guidance_Sheet2" xfId="3428" xr:uid="{00000000-0005-0000-0000-0000630D0000}"/>
    <cellStyle name="_FTQ Tri Charts April`05 (2) (2)_BS_Separation_TaxResIndem_Q12412 tf_Restructuring &amp; Separation_Guidance_Sheet3" xfId="3429" xr:uid="{00000000-0005-0000-0000-0000640D0000}"/>
    <cellStyle name="_FTQ Tri Charts April`05 (2) (2)_BS_Separation_TaxResIndem_Q12412 tf_Restructuring &amp; Separation_Guidance_Sheet4" xfId="3430" xr:uid="{00000000-0005-0000-0000-0000650D0000}"/>
    <cellStyle name="_FTQ Tri Charts April`05 (2) (2)_By Country Detail 1Q10 041410pm FIN 18 revised per disc w Mary" xfId="3431" xr:uid="{00000000-0005-0000-0000-0000660D0000}"/>
    <cellStyle name="_FTQ Tri Charts April`05 (2) (2)_By Country Detail 1Q10 041410pm FIN 18 revised per disc w Mary_BS_Separation_TaxResIndem_Q12412 tf" xfId="3432" xr:uid="{00000000-0005-0000-0000-0000670D0000}"/>
    <cellStyle name="_FTQ Tri Charts April`05 (2) (2)_By Country Detail 1Q10 041410pm FIN 18 revised per disc w Mary_BS_Separation_TaxResIndem_Q12412 tf_Guidance" xfId="3433" xr:uid="{00000000-0005-0000-0000-0000680D0000}"/>
    <cellStyle name="_FTQ Tri Charts April`05 (2) (2)_By Country Detail 1Q10 041410pm FIN 18 revised per disc w Mary_BS_Separation_TaxResIndem_Q12412 tf_Guidance 2" xfId="3434" xr:uid="{00000000-0005-0000-0000-0000690D0000}"/>
    <cellStyle name="_FTQ Tri Charts April`05 (2) (2)_By Country Detail 1Q10 041410pm FIN 18 revised per disc w Mary_BS_Separation_TaxResIndem_Q12412 tf_Guidance_BS retrieve" xfId="3435" xr:uid="{00000000-0005-0000-0000-00006A0D0000}"/>
    <cellStyle name="_FTQ Tri Charts April`05 (2) (2)_By Country Detail 1Q10 041410pm FIN 18 revised per disc w Mary_BS_Separation_TaxResIndem_Q12412 tf_Guidance_Free CF" xfId="3436" xr:uid="{00000000-0005-0000-0000-00006B0D0000}"/>
    <cellStyle name="_FTQ Tri Charts April`05 (2) (2)_By Country Detail 1Q10 041410pm FIN 18 revised per disc w Mary_BS_Separation_TaxResIndem_Q12412 tf_Guidance_P&amp;L Rec Qtr" xfId="3437" xr:uid="{00000000-0005-0000-0000-00006C0D0000}"/>
    <cellStyle name="_FTQ Tri Charts April`05 (2) (2)_By Country Detail 1Q10 041410pm FIN 18 revised per disc w Mary_BS_Separation_TaxResIndem_Q12412 tf_Guidance_Sheet1" xfId="3438" xr:uid="{00000000-0005-0000-0000-00006D0D0000}"/>
    <cellStyle name="_FTQ Tri Charts April`05 (2) (2)_By Country Detail 1Q10 041410pm FIN 18 revised per disc w Mary_BS_Separation_TaxResIndem_Q12412 tf_Guidance_Sheet2" xfId="3439" xr:uid="{00000000-0005-0000-0000-00006E0D0000}"/>
    <cellStyle name="_FTQ Tri Charts April`05 (2) (2)_By Country Detail 1Q10 041410pm FIN 18 revised per disc w Mary_BS_Separation_TaxResIndem_Q12412 tf_Guidance_Sheet3" xfId="3440" xr:uid="{00000000-0005-0000-0000-00006F0D0000}"/>
    <cellStyle name="_FTQ Tri Charts April`05 (2) (2)_By Country Detail 1Q10 041410pm FIN 18 revised per disc w Mary_BS_Separation_TaxResIndem_Q12412 tf_Guidance_Sheet4" xfId="3441" xr:uid="{00000000-0005-0000-0000-0000700D0000}"/>
    <cellStyle name="_FTQ Tri Charts April`05 (2) (2)_By Country Detail 1Q10 041410pm FIN 18 revised per disc w Mary_BS_Separation_TaxResIndem_Q12412 tf_Restructuring &amp; Separation" xfId="3442" xr:uid="{00000000-0005-0000-0000-0000710D0000}"/>
    <cellStyle name="_FTQ Tri Charts April`05 (2) (2)_By Country Detail 1Q10 041410pm FIN 18 revised per disc w Mary_BS_Separation_TaxResIndem_Q12412 tf_Restructuring &amp; Separation_Guidance" xfId="3443" xr:uid="{00000000-0005-0000-0000-0000720D0000}"/>
    <cellStyle name="_FTQ Tri Charts April`05 (2) (2)_By Country Detail 1Q10 041410pm FIN 18 revised per disc w Mary_BS_Separation_TaxResIndem_Q12412 tf_Restructuring &amp; Separation_Guidance 2" xfId="3444" xr:uid="{00000000-0005-0000-0000-0000730D0000}"/>
    <cellStyle name="_FTQ Tri Charts April`05 (2) (2)_By Country Detail 1Q10 041410pm FIN 18 revised per disc w Mary_BS_Separation_TaxResIndem_Q12412 tf_Restructuring &amp; Separation_Guidance_BS retrieve" xfId="3445" xr:uid="{00000000-0005-0000-0000-0000740D0000}"/>
    <cellStyle name="_FTQ Tri Charts April`05 (2) (2)_By Country Detail 1Q10 041410pm FIN 18 revised per disc w Mary_BS_Separation_TaxResIndem_Q12412 tf_Restructuring &amp; Separation_Guidance_Free CF" xfId="3446" xr:uid="{00000000-0005-0000-0000-0000750D0000}"/>
    <cellStyle name="_FTQ Tri Charts April`05 (2) (2)_By Country Detail 1Q10 041410pm FIN 18 revised per disc w Mary_BS_Separation_TaxResIndem_Q12412 tf_Restructuring &amp; Separation_Guidance_P&amp;L Rec Qtr" xfId="3447" xr:uid="{00000000-0005-0000-0000-0000760D0000}"/>
    <cellStyle name="_FTQ Tri Charts April`05 (2) (2)_By Country Detail 1Q10 041410pm FIN 18 revised per disc w Mary_BS_Separation_TaxResIndem_Q12412 tf_Restructuring &amp; Separation_Guidance_Sheet1" xfId="3448" xr:uid="{00000000-0005-0000-0000-0000770D0000}"/>
    <cellStyle name="_FTQ Tri Charts April`05 (2) (2)_By Country Detail 1Q10 041410pm FIN 18 revised per disc w Mary_BS_Separation_TaxResIndem_Q12412 tf_Restructuring &amp; Separation_Guidance_Sheet2" xfId="3449" xr:uid="{00000000-0005-0000-0000-0000780D0000}"/>
    <cellStyle name="_FTQ Tri Charts April`05 (2) (2)_By Country Detail 1Q10 041410pm FIN 18 revised per disc w Mary_BS_Separation_TaxResIndem_Q12412 tf_Restructuring &amp; Separation_Guidance_Sheet3" xfId="3450" xr:uid="{00000000-0005-0000-0000-0000790D0000}"/>
    <cellStyle name="_FTQ Tri Charts April`05 (2) (2)_By Country Detail 1Q10 041410pm FIN 18 revised per disc w Mary_BS_Separation_TaxResIndem_Q12412 tf_Restructuring &amp; Separation_Guidance_Sheet4" xfId="3451" xr:uid="{00000000-0005-0000-0000-00007A0D0000}"/>
    <cellStyle name="_FTQ Tri Charts April`05 (2) (2)_By Country Detail 1Q10 041410pm FIN 18 revised per disc w Mary_Guidance" xfId="3452" xr:uid="{00000000-0005-0000-0000-00007B0D0000}"/>
    <cellStyle name="_FTQ Tri Charts April`05 (2) (2)_By Country Detail 1Q10 041410pm FIN 18 revised per disc w Mary_Guidance 2" xfId="3453" xr:uid="{00000000-0005-0000-0000-00007C0D0000}"/>
    <cellStyle name="_FTQ Tri Charts April`05 (2) (2)_By Country Detail 1Q10 041410pm FIN 18 revised per disc w Mary_Guidance_BS retrieve" xfId="3454" xr:uid="{00000000-0005-0000-0000-00007D0D0000}"/>
    <cellStyle name="_FTQ Tri Charts April`05 (2) (2)_By Country Detail 1Q10 041410pm FIN 18 revised per disc w Mary_Guidance_Free CF" xfId="3455" xr:uid="{00000000-0005-0000-0000-00007E0D0000}"/>
    <cellStyle name="_FTQ Tri Charts April`05 (2) (2)_By Country Detail 1Q10 041410pm FIN 18 revised per disc w Mary_Guidance_P&amp;L Rec Qtr" xfId="3456" xr:uid="{00000000-0005-0000-0000-00007F0D0000}"/>
    <cellStyle name="_FTQ Tri Charts April`05 (2) (2)_By Country Detail 1Q10 041410pm FIN 18 revised per disc w Mary_Guidance_Sheet1" xfId="3457" xr:uid="{00000000-0005-0000-0000-0000800D0000}"/>
    <cellStyle name="_FTQ Tri Charts April`05 (2) (2)_By Country Detail 1Q10 041410pm FIN 18 revised per disc w Mary_Guidance_Sheet2" xfId="3458" xr:uid="{00000000-0005-0000-0000-0000810D0000}"/>
    <cellStyle name="_FTQ Tri Charts April`05 (2) (2)_By Country Detail 1Q10 041410pm FIN 18 revised per disc w Mary_Guidance_Sheet3" xfId="3459" xr:uid="{00000000-0005-0000-0000-0000820D0000}"/>
    <cellStyle name="_FTQ Tri Charts April`05 (2) (2)_By Country Detail 1Q10 041410pm FIN 18 revised per disc w Mary_Guidance_Sheet4" xfId="3460" xr:uid="{00000000-0005-0000-0000-0000830D0000}"/>
    <cellStyle name="_FTQ Tri Charts April`05 (2) (2)_By Country Detail 1Q10 041410pm FIN 18 revised per disc w Mary_II.8. Sep&amp;Discrete" xfId="3461" xr:uid="{00000000-0005-0000-0000-0000840D0000}"/>
    <cellStyle name="_FTQ Tri Charts April`05 (2) (2)_By Country Detail 1Q10 041410pm FIN 18 revised per disc w Mary_II.8. Sep&amp;Discrete_Guidance" xfId="3462" xr:uid="{00000000-0005-0000-0000-0000850D0000}"/>
    <cellStyle name="_FTQ Tri Charts April`05 (2) (2)_By Country Detail 1Q10 041410pm FIN 18 revised per disc w Mary_II.8. Sep&amp;Discrete_Guidance 2" xfId="3463" xr:uid="{00000000-0005-0000-0000-0000860D0000}"/>
    <cellStyle name="_FTQ Tri Charts April`05 (2) (2)_By Country Detail 1Q10 041410pm FIN 18 revised per disc w Mary_II.8. Sep&amp;Discrete_Guidance_BS retrieve" xfId="3464" xr:uid="{00000000-0005-0000-0000-0000870D0000}"/>
    <cellStyle name="_FTQ Tri Charts April`05 (2) (2)_By Country Detail 1Q10 041410pm FIN 18 revised per disc w Mary_II.8. Sep&amp;Discrete_Guidance_Free CF" xfId="3465" xr:uid="{00000000-0005-0000-0000-0000880D0000}"/>
    <cellStyle name="_FTQ Tri Charts April`05 (2) (2)_By Country Detail 1Q10 041410pm FIN 18 revised per disc w Mary_II.8. Sep&amp;Discrete_Guidance_P&amp;L Rec Qtr" xfId="3466" xr:uid="{00000000-0005-0000-0000-0000890D0000}"/>
    <cellStyle name="_FTQ Tri Charts April`05 (2) (2)_By Country Detail 1Q10 041410pm FIN 18 revised per disc w Mary_II.8. Sep&amp;Discrete_Guidance_Sheet1" xfId="3467" xr:uid="{00000000-0005-0000-0000-00008A0D0000}"/>
    <cellStyle name="_FTQ Tri Charts April`05 (2) (2)_By Country Detail 1Q10 041410pm FIN 18 revised per disc w Mary_II.8. Sep&amp;Discrete_Guidance_Sheet2" xfId="3468" xr:uid="{00000000-0005-0000-0000-00008B0D0000}"/>
    <cellStyle name="_FTQ Tri Charts April`05 (2) (2)_By Country Detail 1Q10 041410pm FIN 18 revised per disc w Mary_II.8. Sep&amp;Discrete_Guidance_Sheet3" xfId="3469" xr:uid="{00000000-0005-0000-0000-00008C0D0000}"/>
    <cellStyle name="_FTQ Tri Charts April`05 (2) (2)_By Country Detail 1Q10 041410pm FIN 18 revised per disc w Mary_II.8. Sep&amp;Discrete_Guidance_Sheet4" xfId="3470" xr:uid="{00000000-0005-0000-0000-00008D0D0000}"/>
    <cellStyle name="_FTQ Tri Charts April`05 (2) (2)_By Country Detail 1Q10 041410pm FIN 18 revised per disc w Mary_Restructuring &amp; Separation" xfId="3471" xr:uid="{00000000-0005-0000-0000-00008E0D0000}"/>
    <cellStyle name="_FTQ Tri Charts April`05 (2) (2)_By Country Detail 1Q10 041410pm FIN 18 revised per disc w Mary_Restructuring &amp; Separation_Guidance" xfId="3472" xr:uid="{00000000-0005-0000-0000-00008F0D0000}"/>
    <cellStyle name="_FTQ Tri Charts April`05 (2) (2)_By Country Detail 1Q10 041410pm FIN 18 revised per disc w Mary_Restructuring &amp; Separation_Guidance 2" xfId="3473" xr:uid="{00000000-0005-0000-0000-0000900D0000}"/>
    <cellStyle name="_FTQ Tri Charts April`05 (2) (2)_By Country Detail 1Q10 041410pm FIN 18 revised per disc w Mary_Restructuring &amp; Separation_Guidance_BS retrieve" xfId="3474" xr:uid="{00000000-0005-0000-0000-0000910D0000}"/>
    <cellStyle name="_FTQ Tri Charts April`05 (2) (2)_By Country Detail 1Q10 041410pm FIN 18 revised per disc w Mary_Restructuring &amp; Separation_Guidance_Free CF" xfId="3475" xr:uid="{00000000-0005-0000-0000-0000920D0000}"/>
    <cellStyle name="_FTQ Tri Charts April`05 (2) (2)_By Country Detail 1Q10 041410pm FIN 18 revised per disc w Mary_Restructuring &amp; Separation_Guidance_P&amp;L Rec Qtr" xfId="3476" xr:uid="{00000000-0005-0000-0000-0000930D0000}"/>
    <cellStyle name="_FTQ Tri Charts April`05 (2) (2)_By Country Detail 1Q10 041410pm FIN 18 revised per disc w Mary_Restructuring &amp; Separation_Guidance_Sheet1" xfId="3477" xr:uid="{00000000-0005-0000-0000-0000940D0000}"/>
    <cellStyle name="_FTQ Tri Charts April`05 (2) (2)_By Country Detail 1Q10 041410pm FIN 18 revised per disc w Mary_Restructuring &amp; Separation_Guidance_Sheet2" xfId="3478" xr:uid="{00000000-0005-0000-0000-0000950D0000}"/>
    <cellStyle name="_FTQ Tri Charts April`05 (2) (2)_By Country Detail 1Q10 041410pm FIN 18 revised per disc w Mary_Restructuring &amp; Separation_Guidance_Sheet3" xfId="3479" xr:uid="{00000000-0005-0000-0000-0000960D0000}"/>
    <cellStyle name="_FTQ Tri Charts April`05 (2) (2)_By Country Detail 1Q10 041410pm FIN 18 revised per disc w Mary_Restructuring &amp; Separation_Guidance_Sheet4" xfId="3480" xr:uid="{00000000-0005-0000-0000-0000970D0000}"/>
    <cellStyle name="_FTQ Tri Charts April`05 (2) (2)_Guidance" xfId="3481" xr:uid="{00000000-0005-0000-0000-0000980D0000}"/>
    <cellStyle name="_FTQ Tri Charts April`05 (2) (2)_Guidance 2" xfId="3482" xr:uid="{00000000-0005-0000-0000-0000990D0000}"/>
    <cellStyle name="_FTQ Tri Charts April`05 (2) (2)_Guidance_BS retrieve" xfId="3483" xr:uid="{00000000-0005-0000-0000-00009A0D0000}"/>
    <cellStyle name="_FTQ Tri Charts April`05 (2) (2)_Guidance_Free CF" xfId="3484" xr:uid="{00000000-0005-0000-0000-00009B0D0000}"/>
    <cellStyle name="_FTQ Tri Charts April`05 (2) (2)_Guidance_P&amp;L Rec Qtr" xfId="3485" xr:uid="{00000000-0005-0000-0000-00009C0D0000}"/>
    <cellStyle name="_FTQ Tri Charts April`05 (2) (2)_Guidance_Sheet1" xfId="3486" xr:uid="{00000000-0005-0000-0000-00009D0D0000}"/>
    <cellStyle name="_FTQ Tri Charts April`05 (2) (2)_Guidance_Sheet2" xfId="3487" xr:uid="{00000000-0005-0000-0000-00009E0D0000}"/>
    <cellStyle name="_FTQ Tri Charts April`05 (2) (2)_Guidance_Sheet3" xfId="3488" xr:uid="{00000000-0005-0000-0000-00009F0D0000}"/>
    <cellStyle name="_FTQ Tri Charts April`05 (2) (2)_Guidance_Sheet4" xfId="3489" xr:uid="{00000000-0005-0000-0000-0000A00D0000}"/>
    <cellStyle name="_FTQ Tri Charts April`05 (2) (2)_II.4. RawMaterials" xfId="3490" xr:uid="{00000000-0005-0000-0000-0000A10D0000}"/>
    <cellStyle name="_FTQ Tri Charts April`05 (2) (2)_II.4. RawMaterials 2" xfId="3491" xr:uid="{00000000-0005-0000-0000-0000A20D0000}"/>
    <cellStyle name="_FTQ Tri Charts April`05 (2) (2)_II.4. RawMaterials_BS retrieve" xfId="3492" xr:uid="{00000000-0005-0000-0000-0000A30D0000}"/>
    <cellStyle name="_FTQ Tri Charts April`05 (2) (2)_II.4. RawMaterials_Free CF" xfId="3493" xr:uid="{00000000-0005-0000-0000-0000A40D0000}"/>
    <cellStyle name="_FTQ Tri Charts April`05 (2) (2)_II.4. RawMaterials_P&amp;L Rec Qtr" xfId="3494" xr:uid="{00000000-0005-0000-0000-0000A50D0000}"/>
    <cellStyle name="_FTQ Tri Charts April`05 (2) (2)_II.4. RawMaterials_Sheet1" xfId="3495" xr:uid="{00000000-0005-0000-0000-0000A60D0000}"/>
    <cellStyle name="_FTQ Tri Charts April`05 (2) (2)_II.4. RawMaterials_Sheet2" xfId="3496" xr:uid="{00000000-0005-0000-0000-0000A70D0000}"/>
    <cellStyle name="_FTQ Tri Charts April`05 (2) (2)_II.4. RawMaterials_Sheet3" xfId="3497" xr:uid="{00000000-0005-0000-0000-0000A80D0000}"/>
    <cellStyle name="_FTQ Tri Charts April`05 (2) (2)_II.4. RawMaterials_Sheet4" xfId="3498" xr:uid="{00000000-0005-0000-0000-0000A90D0000}"/>
    <cellStyle name="_FTQ Tri Charts April`05 (2) (2)_II.5. RawMaterials" xfId="3499" xr:uid="{00000000-0005-0000-0000-0000AA0D0000}"/>
    <cellStyle name="_FTQ Tri Charts April`05 (2) (2)_II.5. RawMaterials 2" xfId="3500" xr:uid="{00000000-0005-0000-0000-0000AB0D0000}"/>
    <cellStyle name="_FTQ Tri Charts April`05 (2) (2)_II.5. RawMaterials_BS retrieve" xfId="3501" xr:uid="{00000000-0005-0000-0000-0000AC0D0000}"/>
    <cellStyle name="_FTQ Tri Charts April`05 (2) (2)_II.5. RawMaterials_Free CF" xfId="3502" xr:uid="{00000000-0005-0000-0000-0000AD0D0000}"/>
    <cellStyle name="_FTQ Tri Charts April`05 (2) (2)_II.5. RawMaterials_Guidance" xfId="3503" xr:uid="{00000000-0005-0000-0000-0000AE0D0000}"/>
    <cellStyle name="_FTQ Tri Charts April`05 (2) (2)_II.5. RawMaterials_Guidance 2" xfId="3504" xr:uid="{00000000-0005-0000-0000-0000AF0D0000}"/>
    <cellStyle name="_FTQ Tri Charts April`05 (2) (2)_II.5. RawMaterials_Guidance_BS retrieve" xfId="3505" xr:uid="{00000000-0005-0000-0000-0000B00D0000}"/>
    <cellStyle name="_FTQ Tri Charts April`05 (2) (2)_II.5. RawMaterials_Guidance_Free CF" xfId="3506" xr:uid="{00000000-0005-0000-0000-0000B10D0000}"/>
    <cellStyle name="_FTQ Tri Charts April`05 (2) (2)_II.5. RawMaterials_Guidance_P&amp;L Rec Qtr" xfId="3507" xr:uid="{00000000-0005-0000-0000-0000B20D0000}"/>
    <cellStyle name="_FTQ Tri Charts April`05 (2) (2)_II.5. RawMaterials_Guidance_Sheet1" xfId="3508" xr:uid="{00000000-0005-0000-0000-0000B30D0000}"/>
    <cellStyle name="_FTQ Tri Charts April`05 (2) (2)_II.5. RawMaterials_Guidance_Sheet2" xfId="3509" xr:uid="{00000000-0005-0000-0000-0000B40D0000}"/>
    <cellStyle name="_FTQ Tri Charts April`05 (2) (2)_II.5. RawMaterials_Guidance_Sheet3" xfId="3510" xr:uid="{00000000-0005-0000-0000-0000B50D0000}"/>
    <cellStyle name="_FTQ Tri Charts April`05 (2) (2)_II.5. RawMaterials_Guidance_Sheet4" xfId="3511" xr:uid="{00000000-0005-0000-0000-0000B60D0000}"/>
    <cellStyle name="_FTQ Tri Charts April`05 (2) (2)_II.5. RawMaterials_P&amp;L Rec Qtr" xfId="3512" xr:uid="{00000000-0005-0000-0000-0000B70D0000}"/>
    <cellStyle name="_FTQ Tri Charts April`05 (2) (2)_II.5. RawMaterials_Sheet1" xfId="3513" xr:uid="{00000000-0005-0000-0000-0000B80D0000}"/>
    <cellStyle name="_FTQ Tri Charts April`05 (2) (2)_II.5. RawMaterials_Sheet2" xfId="3514" xr:uid="{00000000-0005-0000-0000-0000B90D0000}"/>
    <cellStyle name="_FTQ Tri Charts April`05 (2) (2)_II.5. RawMaterials_Sheet3" xfId="3515" xr:uid="{00000000-0005-0000-0000-0000BA0D0000}"/>
    <cellStyle name="_FTQ Tri Charts April`05 (2) (2)_II.5. RawMaterials_Sheet4" xfId="3516" xr:uid="{00000000-0005-0000-0000-0000BB0D0000}"/>
    <cellStyle name="_FTQ Tri Charts April`05 (2) (2)_II.5. RM Volume Sensitivities" xfId="3517" xr:uid="{00000000-0005-0000-0000-0000BC0D0000}"/>
    <cellStyle name="_FTQ Tri Charts April`05 (2) (2)_II.5. RM Volume Sensitivities 2" xfId="3518" xr:uid="{00000000-0005-0000-0000-0000BD0D0000}"/>
    <cellStyle name="_FTQ Tri Charts April`05 (2) (2)_II.5. RM Volume Sensitivities_BS retrieve" xfId="3519" xr:uid="{00000000-0005-0000-0000-0000BE0D0000}"/>
    <cellStyle name="_FTQ Tri Charts April`05 (2) (2)_II.5. RM Volume Sensitivities_Free CF" xfId="3520" xr:uid="{00000000-0005-0000-0000-0000BF0D0000}"/>
    <cellStyle name="_FTQ Tri Charts April`05 (2) (2)_II.5. RM Volume Sensitivities_P&amp;L Rec Qtr" xfId="3521" xr:uid="{00000000-0005-0000-0000-0000C00D0000}"/>
    <cellStyle name="_FTQ Tri Charts April`05 (2) (2)_II.5. RM Volume Sensitivities_Sheet1" xfId="3522" xr:uid="{00000000-0005-0000-0000-0000C10D0000}"/>
    <cellStyle name="_FTQ Tri Charts April`05 (2) (2)_II.5. RM Volume Sensitivities_Sheet2" xfId="3523" xr:uid="{00000000-0005-0000-0000-0000C20D0000}"/>
    <cellStyle name="_FTQ Tri Charts April`05 (2) (2)_II.5. RM Volume Sensitivities_Sheet3" xfId="3524" xr:uid="{00000000-0005-0000-0000-0000C30D0000}"/>
    <cellStyle name="_FTQ Tri Charts April`05 (2) (2)_II.5. RM Volume Sensitivities_Sheet4" xfId="3525" xr:uid="{00000000-0005-0000-0000-0000C40D0000}"/>
    <cellStyle name="_FTQ Tri Charts April`05 (2) (2)_II.8. Sep&amp;Discrete" xfId="3526" xr:uid="{00000000-0005-0000-0000-0000C50D0000}"/>
    <cellStyle name="_FTQ Tri Charts April`05 (2) (2)_II.8. Sep&amp;Discrete_Guidance" xfId="3527" xr:uid="{00000000-0005-0000-0000-0000C60D0000}"/>
    <cellStyle name="_FTQ Tri Charts April`05 (2) (2)_II.8. Sep&amp;Discrete_Guidance 2" xfId="3528" xr:uid="{00000000-0005-0000-0000-0000C70D0000}"/>
    <cellStyle name="_FTQ Tri Charts April`05 (2) (2)_II.8. Sep&amp;Discrete_Guidance_BS retrieve" xfId="3529" xr:uid="{00000000-0005-0000-0000-0000C80D0000}"/>
    <cellStyle name="_FTQ Tri Charts April`05 (2) (2)_II.8. Sep&amp;Discrete_Guidance_Free CF" xfId="3530" xr:uid="{00000000-0005-0000-0000-0000C90D0000}"/>
    <cellStyle name="_FTQ Tri Charts April`05 (2) (2)_II.8. Sep&amp;Discrete_Guidance_P&amp;L Rec Qtr" xfId="3531" xr:uid="{00000000-0005-0000-0000-0000CA0D0000}"/>
    <cellStyle name="_FTQ Tri Charts April`05 (2) (2)_II.8. Sep&amp;Discrete_Guidance_Sheet1" xfId="3532" xr:uid="{00000000-0005-0000-0000-0000CB0D0000}"/>
    <cellStyle name="_FTQ Tri Charts April`05 (2) (2)_II.8. Sep&amp;Discrete_Guidance_Sheet2" xfId="3533" xr:uid="{00000000-0005-0000-0000-0000CC0D0000}"/>
    <cellStyle name="_FTQ Tri Charts April`05 (2) (2)_II.8. Sep&amp;Discrete_Guidance_Sheet3" xfId="3534" xr:uid="{00000000-0005-0000-0000-0000CD0D0000}"/>
    <cellStyle name="_FTQ Tri Charts April`05 (2) (2)_II.8. Sep&amp;Discrete_Guidance_Sheet4" xfId="3535" xr:uid="{00000000-0005-0000-0000-0000CE0D0000}"/>
    <cellStyle name="_FTQ Tri Charts April`05 (2) (2)_Restructuring &amp; Separation" xfId="3536" xr:uid="{00000000-0005-0000-0000-0000CF0D0000}"/>
    <cellStyle name="_FTQ Tri Charts April`05 (2) (2)_Restructuring &amp; Separation_Guidance" xfId="3537" xr:uid="{00000000-0005-0000-0000-0000D00D0000}"/>
    <cellStyle name="_FTQ Tri Charts April`05 (2) (2)_Restructuring &amp; Separation_Guidance 2" xfId="3538" xr:uid="{00000000-0005-0000-0000-0000D10D0000}"/>
    <cellStyle name="_FTQ Tri Charts April`05 (2) (2)_Restructuring &amp; Separation_Guidance_BS retrieve" xfId="3539" xr:uid="{00000000-0005-0000-0000-0000D20D0000}"/>
    <cellStyle name="_FTQ Tri Charts April`05 (2) (2)_Restructuring &amp; Separation_Guidance_Free CF" xfId="3540" xr:uid="{00000000-0005-0000-0000-0000D30D0000}"/>
    <cellStyle name="_FTQ Tri Charts April`05 (2) (2)_Restructuring &amp; Separation_Guidance_P&amp;L Rec Qtr" xfId="3541" xr:uid="{00000000-0005-0000-0000-0000D40D0000}"/>
    <cellStyle name="_FTQ Tri Charts April`05 (2) (2)_Restructuring &amp; Separation_Guidance_Sheet1" xfId="3542" xr:uid="{00000000-0005-0000-0000-0000D50D0000}"/>
    <cellStyle name="_FTQ Tri Charts April`05 (2) (2)_Restructuring &amp; Separation_Guidance_Sheet2" xfId="3543" xr:uid="{00000000-0005-0000-0000-0000D60D0000}"/>
    <cellStyle name="_FTQ Tri Charts April`05 (2) (2)_Restructuring &amp; Separation_Guidance_Sheet3" xfId="3544" xr:uid="{00000000-0005-0000-0000-0000D70D0000}"/>
    <cellStyle name="_FTQ Tri Charts April`05 (2) (2)_Restructuring &amp; Separation_Guidance_Sheet4" xfId="3545" xr:uid="{00000000-0005-0000-0000-0000D80D0000}"/>
    <cellStyle name="_FTQ Tri Charts April`05 (2) (2)_Restructuring_Separation_TAX_JuneFC2010 tf" xfId="3546" xr:uid="{00000000-0005-0000-0000-0000D90D0000}"/>
    <cellStyle name="_FTQ Tri Charts April`05 (2) (2)_Restructuring_Separation_TAX_JuneFC2010 tf_BS_Separation_TaxResIndem_Q12412 tf" xfId="3547" xr:uid="{00000000-0005-0000-0000-0000DA0D0000}"/>
    <cellStyle name="_FTQ Tri Charts April`05 (2) (2)_Restructuring_Separation_TAX_JuneFC2010 tf_BS_Separation_TaxResIndem_Q12412 tf_Guidance" xfId="3548" xr:uid="{00000000-0005-0000-0000-0000DB0D0000}"/>
    <cellStyle name="_FTQ Tri Charts April`05 (2) (2)_Restructuring_Separation_TAX_JuneFC2010 tf_BS_Separation_TaxResIndem_Q12412 tf_Guidance 2" xfId="3549" xr:uid="{00000000-0005-0000-0000-0000DC0D0000}"/>
    <cellStyle name="_FTQ Tri Charts April`05 (2) (2)_Restructuring_Separation_TAX_JuneFC2010 tf_BS_Separation_TaxResIndem_Q12412 tf_Guidance_BS retrieve" xfId="3550" xr:uid="{00000000-0005-0000-0000-0000DD0D0000}"/>
    <cellStyle name="_FTQ Tri Charts April`05 (2) (2)_Restructuring_Separation_TAX_JuneFC2010 tf_BS_Separation_TaxResIndem_Q12412 tf_Guidance_Free CF" xfId="3551" xr:uid="{00000000-0005-0000-0000-0000DE0D0000}"/>
    <cellStyle name="_FTQ Tri Charts April`05 (2) (2)_Restructuring_Separation_TAX_JuneFC2010 tf_BS_Separation_TaxResIndem_Q12412 tf_Guidance_P&amp;L Rec Qtr" xfId="3552" xr:uid="{00000000-0005-0000-0000-0000DF0D0000}"/>
    <cellStyle name="_FTQ Tri Charts April`05 (2) (2)_Restructuring_Separation_TAX_JuneFC2010 tf_BS_Separation_TaxResIndem_Q12412 tf_Guidance_Sheet1" xfId="3553" xr:uid="{00000000-0005-0000-0000-0000E00D0000}"/>
    <cellStyle name="_FTQ Tri Charts April`05 (2) (2)_Restructuring_Separation_TAX_JuneFC2010 tf_BS_Separation_TaxResIndem_Q12412 tf_Guidance_Sheet2" xfId="3554" xr:uid="{00000000-0005-0000-0000-0000E10D0000}"/>
    <cellStyle name="_FTQ Tri Charts April`05 (2) (2)_Restructuring_Separation_TAX_JuneFC2010 tf_BS_Separation_TaxResIndem_Q12412 tf_Guidance_Sheet3" xfId="3555" xr:uid="{00000000-0005-0000-0000-0000E20D0000}"/>
    <cellStyle name="_FTQ Tri Charts April`05 (2) (2)_Restructuring_Separation_TAX_JuneFC2010 tf_BS_Separation_TaxResIndem_Q12412 tf_Guidance_Sheet4" xfId="3556" xr:uid="{00000000-0005-0000-0000-0000E30D0000}"/>
    <cellStyle name="_FTQ Tri Charts April`05 (2) (2)_Restructuring_Separation_TAX_JuneFC2010 tf_BS_Separation_TaxResIndem_Q12412 tf_Restructuring &amp; Separation" xfId="3557" xr:uid="{00000000-0005-0000-0000-0000E40D0000}"/>
    <cellStyle name="_FTQ Tri Charts April`05 (2) (2)_Restructuring_Separation_TAX_JuneFC2010 tf_BS_Separation_TaxResIndem_Q12412 tf_Restructuring &amp; Separation_Guidance" xfId="3558" xr:uid="{00000000-0005-0000-0000-0000E50D0000}"/>
    <cellStyle name="_FTQ Tri Charts April`05 (2) (2)_Restructuring_Separation_TAX_JuneFC2010 tf_BS_Separation_TaxResIndem_Q12412 tf_Restructuring &amp; Separation_Guidance 2" xfId="3559" xr:uid="{00000000-0005-0000-0000-0000E60D0000}"/>
    <cellStyle name="_FTQ Tri Charts April`05 (2) (2)_Restructuring_Separation_TAX_JuneFC2010 tf_BS_Separation_TaxResIndem_Q12412 tf_Restructuring &amp; Separation_Guidance_BS retrieve" xfId="3560" xr:uid="{00000000-0005-0000-0000-0000E70D0000}"/>
    <cellStyle name="_FTQ Tri Charts April`05 (2) (2)_Restructuring_Separation_TAX_JuneFC2010 tf_BS_Separation_TaxResIndem_Q12412 tf_Restructuring &amp; Separation_Guidance_Free CF" xfId="3561" xr:uid="{00000000-0005-0000-0000-0000E80D0000}"/>
    <cellStyle name="_FTQ Tri Charts April`05 (2) (2)_Restructuring_Separation_TAX_JuneFC2010 tf_BS_Separation_TaxResIndem_Q12412 tf_Restructuring &amp; Separation_Guidance_P&amp;L Rec Qtr" xfId="3562" xr:uid="{00000000-0005-0000-0000-0000E90D0000}"/>
    <cellStyle name="_FTQ Tri Charts April`05 (2) (2)_Restructuring_Separation_TAX_JuneFC2010 tf_BS_Separation_TaxResIndem_Q12412 tf_Restructuring &amp; Separation_Guidance_Sheet1" xfId="3563" xr:uid="{00000000-0005-0000-0000-0000EA0D0000}"/>
    <cellStyle name="_FTQ Tri Charts April`05 (2) (2)_Restructuring_Separation_TAX_JuneFC2010 tf_BS_Separation_TaxResIndem_Q12412 tf_Restructuring &amp; Separation_Guidance_Sheet2" xfId="3564" xr:uid="{00000000-0005-0000-0000-0000EB0D0000}"/>
    <cellStyle name="_FTQ Tri Charts April`05 (2) (2)_Restructuring_Separation_TAX_JuneFC2010 tf_BS_Separation_TaxResIndem_Q12412 tf_Restructuring &amp; Separation_Guidance_Sheet3" xfId="3565" xr:uid="{00000000-0005-0000-0000-0000EC0D0000}"/>
    <cellStyle name="_FTQ Tri Charts April`05 (2) (2)_Restructuring_Separation_TAX_JuneFC2010 tf_BS_Separation_TaxResIndem_Q12412 tf_Restructuring &amp; Separation_Guidance_Sheet4" xfId="3566" xr:uid="{00000000-0005-0000-0000-0000ED0D0000}"/>
    <cellStyle name="_FTQ Tri Charts April`05 (2) (2)_Restructuring_Separation_TAX_JuneFC2010 tf_Guidance" xfId="3567" xr:uid="{00000000-0005-0000-0000-0000EE0D0000}"/>
    <cellStyle name="_FTQ Tri Charts April`05 (2) (2)_Restructuring_Separation_TAX_JuneFC2010 tf_Guidance 2" xfId="3568" xr:uid="{00000000-0005-0000-0000-0000EF0D0000}"/>
    <cellStyle name="_FTQ Tri Charts April`05 (2) (2)_Restructuring_Separation_TAX_JuneFC2010 tf_Guidance_BS retrieve" xfId="3569" xr:uid="{00000000-0005-0000-0000-0000F00D0000}"/>
    <cellStyle name="_FTQ Tri Charts April`05 (2) (2)_Restructuring_Separation_TAX_JuneFC2010 tf_Guidance_Free CF" xfId="3570" xr:uid="{00000000-0005-0000-0000-0000F10D0000}"/>
    <cellStyle name="_FTQ Tri Charts April`05 (2) (2)_Restructuring_Separation_TAX_JuneFC2010 tf_Guidance_P&amp;L Rec Qtr" xfId="3571" xr:uid="{00000000-0005-0000-0000-0000F20D0000}"/>
    <cellStyle name="_FTQ Tri Charts April`05 (2) (2)_Restructuring_Separation_TAX_JuneFC2010 tf_Guidance_Sheet1" xfId="3572" xr:uid="{00000000-0005-0000-0000-0000F30D0000}"/>
    <cellStyle name="_FTQ Tri Charts April`05 (2) (2)_Restructuring_Separation_TAX_JuneFC2010 tf_Guidance_Sheet2" xfId="3573" xr:uid="{00000000-0005-0000-0000-0000F40D0000}"/>
    <cellStyle name="_FTQ Tri Charts April`05 (2) (2)_Restructuring_Separation_TAX_JuneFC2010 tf_Guidance_Sheet3" xfId="3574" xr:uid="{00000000-0005-0000-0000-0000F50D0000}"/>
    <cellStyle name="_FTQ Tri Charts April`05 (2) (2)_Restructuring_Separation_TAX_JuneFC2010 tf_Guidance_Sheet4" xfId="3575" xr:uid="{00000000-0005-0000-0000-0000F60D0000}"/>
    <cellStyle name="_FTQ Tri Charts April`05 (2) (2)_Restructuring_Separation_TAX_JuneFC2010 tf_II.8. Sep&amp;Discrete" xfId="3576" xr:uid="{00000000-0005-0000-0000-0000F70D0000}"/>
    <cellStyle name="_FTQ Tri Charts April`05 (2) (2)_Restructuring_Separation_TAX_JuneFC2010 tf_II.8. Sep&amp;Discrete_Guidance" xfId="3577" xr:uid="{00000000-0005-0000-0000-0000F80D0000}"/>
    <cellStyle name="_FTQ Tri Charts April`05 (2) (2)_Restructuring_Separation_TAX_JuneFC2010 tf_II.8. Sep&amp;Discrete_Guidance 2" xfId="3578" xr:uid="{00000000-0005-0000-0000-0000F90D0000}"/>
    <cellStyle name="_FTQ Tri Charts April`05 (2) (2)_Restructuring_Separation_TAX_JuneFC2010 tf_II.8. Sep&amp;Discrete_Guidance_BS retrieve" xfId="3579" xr:uid="{00000000-0005-0000-0000-0000FA0D0000}"/>
    <cellStyle name="_FTQ Tri Charts April`05 (2) (2)_Restructuring_Separation_TAX_JuneFC2010 tf_II.8. Sep&amp;Discrete_Guidance_Free CF" xfId="3580" xr:uid="{00000000-0005-0000-0000-0000FB0D0000}"/>
    <cellStyle name="_FTQ Tri Charts April`05 (2) (2)_Restructuring_Separation_TAX_JuneFC2010 tf_II.8. Sep&amp;Discrete_Guidance_P&amp;L Rec Qtr" xfId="3581" xr:uid="{00000000-0005-0000-0000-0000FC0D0000}"/>
    <cellStyle name="_FTQ Tri Charts April`05 (2) (2)_Restructuring_Separation_TAX_JuneFC2010 tf_II.8. Sep&amp;Discrete_Guidance_Sheet1" xfId="3582" xr:uid="{00000000-0005-0000-0000-0000FD0D0000}"/>
    <cellStyle name="_FTQ Tri Charts April`05 (2) (2)_Restructuring_Separation_TAX_JuneFC2010 tf_II.8. Sep&amp;Discrete_Guidance_Sheet2" xfId="3583" xr:uid="{00000000-0005-0000-0000-0000FE0D0000}"/>
    <cellStyle name="_FTQ Tri Charts April`05 (2) (2)_Restructuring_Separation_TAX_JuneFC2010 tf_II.8. Sep&amp;Discrete_Guidance_Sheet3" xfId="3584" xr:uid="{00000000-0005-0000-0000-0000FF0D0000}"/>
    <cellStyle name="_FTQ Tri Charts April`05 (2) (2)_Restructuring_Separation_TAX_JuneFC2010 tf_II.8. Sep&amp;Discrete_Guidance_Sheet4" xfId="3585" xr:uid="{00000000-0005-0000-0000-0000000E0000}"/>
    <cellStyle name="_FTQ Tri Charts April`05 (2) (2)_Restructuring_Separation_TAX_JuneFC2010 tf_Restructuring &amp; Separation" xfId="3586" xr:uid="{00000000-0005-0000-0000-0000010E0000}"/>
    <cellStyle name="_FTQ Tri Charts April`05 (2) (2)_Restructuring_Separation_TAX_JuneFC2010 tf_Restructuring &amp; Separation_Guidance" xfId="3587" xr:uid="{00000000-0005-0000-0000-0000020E0000}"/>
    <cellStyle name="_FTQ Tri Charts April`05 (2) (2)_Restructuring_Separation_TAX_JuneFC2010 tf_Restructuring &amp; Separation_Guidance 2" xfId="3588" xr:uid="{00000000-0005-0000-0000-0000030E0000}"/>
    <cellStyle name="_FTQ Tri Charts April`05 (2) (2)_Restructuring_Separation_TAX_JuneFC2010 tf_Restructuring &amp; Separation_Guidance_BS retrieve" xfId="3589" xr:uid="{00000000-0005-0000-0000-0000040E0000}"/>
    <cellStyle name="_FTQ Tri Charts April`05 (2) (2)_Restructuring_Separation_TAX_JuneFC2010 tf_Restructuring &amp; Separation_Guidance_Free CF" xfId="3590" xr:uid="{00000000-0005-0000-0000-0000050E0000}"/>
    <cellStyle name="_FTQ Tri Charts April`05 (2) (2)_Restructuring_Separation_TAX_JuneFC2010 tf_Restructuring &amp; Separation_Guidance_P&amp;L Rec Qtr" xfId="3591" xr:uid="{00000000-0005-0000-0000-0000060E0000}"/>
    <cellStyle name="_FTQ Tri Charts April`05 (2) (2)_Restructuring_Separation_TAX_JuneFC2010 tf_Restructuring &amp; Separation_Guidance_Sheet1" xfId="3592" xr:uid="{00000000-0005-0000-0000-0000070E0000}"/>
    <cellStyle name="_FTQ Tri Charts April`05 (2) (2)_Restructuring_Separation_TAX_JuneFC2010 tf_Restructuring &amp; Separation_Guidance_Sheet2" xfId="3593" xr:uid="{00000000-0005-0000-0000-0000080E0000}"/>
    <cellStyle name="_FTQ Tri Charts April`05 (2) (2)_Restructuring_Separation_TAX_JuneFC2010 tf_Restructuring &amp; Separation_Guidance_Sheet3" xfId="3594" xr:uid="{00000000-0005-0000-0000-0000090E0000}"/>
    <cellStyle name="_FTQ Tri Charts April`05 (2) (2)_Restructuring_Separation_TAX_JuneFC2010 tf_Restructuring &amp; Separation_Guidance_Sheet4" xfId="3595" xr:uid="{00000000-0005-0000-0000-00000A0E0000}"/>
    <cellStyle name="_FTQ Tri Charts Feb'05" xfId="3596" xr:uid="{00000000-0005-0000-0000-00000B0E0000}"/>
    <cellStyle name="_FTQ Tri Charts Feb'05_BS_Separation_TaxResIndem_Q12412 tf" xfId="3597" xr:uid="{00000000-0005-0000-0000-00000C0E0000}"/>
    <cellStyle name="_FTQ Tri Charts Feb'05_BS_Separation_TaxResIndem_Q12412 tf_Guidance" xfId="3598" xr:uid="{00000000-0005-0000-0000-00000D0E0000}"/>
    <cellStyle name="_FTQ Tri Charts Feb'05_BS_Separation_TaxResIndem_Q12412 tf_Guidance 2" xfId="3599" xr:uid="{00000000-0005-0000-0000-00000E0E0000}"/>
    <cellStyle name="_FTQ Tri Charts Feb'05_BS_Separation_TaxResIndem_Q12412 tf_Guidance_BS retrieve" xfId="3600" xr:uid="{00000000-0005-0000-0000-00000F0E0000}"/>
    <cellStyle name="_FTQ Tri Charts Feb'05_BS_Separation_TaxResIndem_Q12412 tf_Guidance_Free CF" xfId="3601" xr:uid="{00000000-0005-0000-0000-0000100E0000}"/>
    <cellStyle name="_FTQ Tri Charts Feb'05_BS_Separation_TaxResIndem_Q12412 tf_Guidance_P&amp;L Rec Qtr" xfId="3602" xr:uid="{00000000-0005-0000-0000-0000110E0000}"/>
    <cellStyle name="_FTQ Tri Charts Feb'05_BS_Separation_TaxResIndem_Q12412 tf_Guidance_Sheet1" xfId="3603" xr:uid="{00000000-0005-0000-0000-0000120E0000}"/>
    <cellStyle name="_FTQ Tri Charts Feb'05_BS_Separation_TaxResIndem_Q12412 tf_Guidance_Sheet2" xfId="3604" xr:uid="{00000000-0005-0000-0000-0000130E0000}"/>
    <cellStyle name="_FTQ Tri Charts Feb'05_BS_Separation_TaxResIndem_Q12412 tf_Guidance_Sheet3" xfId="3605" xr:uid="{00000000-0005-0000-0000-0000140E0000}"/>
    <cellStyle name="_FTQ Tri Charts Feb'05_BS_Separation_TaxResIndem_Q12412 tf_Guidance_Sheet4" xfId="3606" xr:uid="{00000000-0005-0000-0000-0000150E0000}"/>
    <cellStyle name="_FTQ Tri Charts Feb'05_BS_Separation_TaxResIndem_Q12412 tf_Restructuring &amp; Separation" xfId="3607" xr:uid="{00000000-0005-0000-0000-0000160E0000}"/>
    <cellStyle name="_FTQ Tri Charts Feb'05_BS_Separation_TaxResIndem_Q12412 tf_Restructuring &amp; Separation_Guidance" xfId="3608" xr:uid="{00000000-0005-0000-0000-0000170E0000}"/>
    <cellStyle name="_FTQ Tri Charts Feb'05_BS_Separation_TaxResIndem_Q12412 tf_Restructuring &amp; Separation_Guidance 2" xfId="3609" xr:uid="{00000000-0005-0000-0000-0000180E0000}"/>
    <cellStyle name="_FTQ Tri Charts Feb'05_BS_Separation_TaxResIndem_Q12412 tf_Restructuring &amp; Separation_Guidance_BS retrieve" xfId="3610" xr:uid="{00000000-0005-0000-0000-0000190E0000}"/>
    <cellStyle name="_FTQ Tri Charts Feb'05_BS_Separation_TaxResIndem_Q12412 tf_Restructuring &amp; Separation_Guidance_Free CF" xfId="3611" xr:uid="{00000000-0005-0000-0000-00001A0E0000}"/>
    <cellStyle name="_FTQ Tri Charts Feb'05_BS_Separation_TaxResIndem_Q12412 tf_Restructuring &amp; Separation_Guidance_P&amp;L Rec Qtr" xfId="3612" xr:uid="{00000000-0005-0000-0000-00001B0E0000}"/>
    <cellStyle name="_FTQ Tri Charts Feb'05_BS_Separation_TaxResIndem_Q12412 tf_Restructuring &amp; Separation_Guidance_Sheet1" xfId="3613" xr:uid="{00000000-0005-0000-0000-00001C0E0000}"/>
    <cellStyle name="_FTQ Tri Charts Feb'05_BS_Separation_TaxResIndem_Q12412 tf_Restructuring &amp; Separation_Guidance_Sheet2" xfId="3614" xr:uid="{00000000-0005-0000-0000-00001D0E0000}"/>
    <cellStyle name="_FTQ Tri Charts Feb'05_BS_Separation_TaxResIndem_Q12412 tf_Restructuring &amp; Separation_Guidance_Sheet3" xfId="3615" xr:uid="{00000000-0005-0000-0000-00001E0E0000}"/>
    <cellStyle name="_FTQ Tri Charts Feb'05_BS_Separation_TaxResIndem_Q12412 tf_Restructuring &amp; Separation_Guidance_Sheet4" xfId="3616" xr:uid="{00000000-0005-0000-0000-00001F0E0000}"/>
    <cellStyle name="_FTQ Tri Charts Feb'05_By Country Detail 1Q10 041410pm FIN 18 revised per disc w Mary" xfId="3617" xr:uid="{00000000-0005-0000-0000-0000200E0000}"/>
    <cellStyle name="_FTQ Tri Charts Feb'05_By Country Detail 1Q10 041410pm FIN 18 revised per disc w Mary_BS_Separation_TaxResIndem_Q12412 tf" xfId="3618" xr:uid="{00000000-0005-0000-0000-0000210E0000}"/>
    <cellStyle name="_FTQ Tri Charts Feb'05_By Country Detail 1Q10 041410pm FIN 18 revised per disc w Mary_BS_Separation_TaxResIndem_Q12412 tf_Guidance" xfId="3619" xr:uid="{00000000-0005-0000-0000-0000220E0000}"/>
    <cellStyle name="_FTQ Tri Charts Feb'05_By Country Detail 1Q10 041410pm FIN 18 revised per disc w Mary_BS_Separation_TaxResIndem_Q12412 tf_Guidance 2" xfId="3620" xr:uid="{00000000-0005-0000-0000-0000230E0000}"/>
    <cellStyle name="_FTQ Tri Charts Feb'05_By Country Detail 1Q10 041410pm FIN 18 revised per disc w Mary_BS_Separation_TaxResIndem_Q12412 tf_Guidance_BS retrieve" xfId="3621" xr:uid="{00000000-0005-0000-0000-0000240E0000}"/>
    <cellStyle name="_FTQ Tri Charts Feb'05_By Country Detail 1Q10 041410pm FIN 18 revised per disc w Mary_BS_Separation_TaxResIndem_Q12412 tf_Guidance_Free CF" xfId="3622" xr:uid="{00000000-0005-0000-0000-0000250E0000}"/>
    <cellStyle name="_FTQ Tri Charts Feb'05_By Country Detail 1Q10 041410pm FIN 18 revised per disc w Mary_BS_Separation_TaxResIndem_Q12412 tf_Guidance_P&amp;L Rec Qtr" xfId="3623" xr:uid="{00000000-0005-0000-0000-0000260E0000}"/>
    <cellStyle name="_FTQ Tri Charts Feb'05_By Country Detail 1Q10 041410pm FIN 18 revised per disc w Mary_BS_Separation_TaxResIndem_Q12412 tf_Guidance_Sheet1" xfId="3624" xr:uid="{00000000-0005-0000-0000-0000270E0000}"/>
    <cellStyle name="_FTQ Tri Charts Feb'05_By Country Detail 1Q10 041410pm FIN 18 revised per disc w Mary_BS_Separation_TaxResIndem_Q12412 tf_Guidance_Sheet2" xfId="3625" xr:uid="{00000000-0005-0000-0000-0000280E0000}"/>
    <cellStyle name="_FTQ Tri Charts Feb'05_By Country Detail 1Q10 041410pm FIN 18 revised per disc w Mary_BS_Separation_TaxResIndem_Q12412 tf_Guidance_Sheet3" xfId="3626" xr:uid="{00000000-0005-0000-0000-0000290E0000}"/>
    <cellStyle name="_FTQ Tri Charts Feb'05_By Country Detail 1Q10 041410pm FIN 18 revised per disc w Mary_BS_Separation_TaxResIndem_Q12412 tf_Guidance_Sheet4" xfId="3627" xr:uid="{00000000-0005-0000-0000-00002A0E0000}"/>
    <cellStyle name="_FTQ Tri Charts Feb'05_By Country Detail 1Q10 041410pm FIN 18 revised per disc w Mary_BS_Separation_TaxResIndem_Q12412 tf_Restructuring &amp; Separation" xfId="3628" xr:uid="{00000000-0005-0000-0000-00002B0E0000}"/>
    <cellStyle name="_FTQ Tri Charts Feb'05_By Country Detail 1Q10 041410pm FIN 18 revised per disc w Mary_BS_Separation_TaxResIndem_Q12412 tf_Restructuring &amp; Separation_Guidance" xfId="3629" xr:uid="{00000000-0005-0000-0000-00002C0E0000}"/>
    <cellStyle name="_FTQ Tri Charts Feb'05_By Country Detail 1Q10 041410pm FIN 18 revised per disc w Mary_BS_Separation_TaxResIndem_Q12412 tf_Restructuring &amp; Separation_Guidance 2" xfId="3630" xr:uid="{00000000-0005-0000-0000-00002D0E0000}"/>
    <cellStyle name="_FTQ Tri Charts Feb'05_By Country Detail 1Q10 041410pm FIN 18 revised per disc w Mary_BS_Separation_TaxResIndem_Q12412 tf_Restructuring &amp; Separation_Guidance_BS retrieve" xfId="3631" xr:uid="{00000000-0005-0000-0000-00002E0E0000}"/>
    <cellStyle name="_FTQ Tri Charts Feb'05_By Country Detail 1Q10 041410pm FIN 18 revised per disc w Mary_BS_Separation_TaxResIndem_Q12412 tf_Restructuring &amp; Separation_Guidance_Free CF" xfId="3632" xr:uid="{00000000-0005-0000-0000-00002F0E0000}"/>
    <cellStyle name="_FTQ Tri Charts Feb'05_By Country Detail 1Q10 041410pm FIN 18 revised per disc w Mary_BS_Separation_TaxResIndem_Q12412 tf_Restructuring &amp; Separation_Guidance_P&amp;L Rec Qtr" xfId="3633" xr:uid="{00000000-0005-0000-0000-0000300E0000}"/>
    <cellStyle name="_FTQ Tri Charts Feb'05_By Country Detail 1Q10 041410pm FIN 18 revised per disc w Mary_BS_Separation_TaxResIndem_Q12412 tf_Restructuring &amp; Separation_Guidance_Sheet1" xfId="3634" xr:uid="{00000000-0005-0000-0000-0000310E0000}"/>
    <cellStyle name="_FTQ Tri Charts Feb'05_By Country Detail 1Q10 041410pm FIN 18 revised per disc w Mary_BS_Separation_TaxResIndem_Q12412 tf_Restructuring &amp; Separation_Guidance_Sheet2" xfId="3635" xr:uid="{00000000-0005-0000-0000-0000320E0000}"/>
    <cellStyle name="_FTQ Tri Charts Feb'05_By Country Detail 1Q10 041410pm FIN 18 revised per disc w Mary_BS_Separation_TaxResIndem_Q12412 tf_Restructuring &amp; Separation_Guidance_Sheet3" xfId="3636" xr:uid="{00000000-0005-0000-0000-0000330E0000}"/>
    <cellStyle name="_FTQ Tri Charts Feb'05_By Country Detail 1Q10 041410pm FIN 18 revised per disc w Mary_BS_Separation_TaxResIndem_Q12412 tf_Restructuring &amp; Separation_Guidance_Sheet4" xfId="3637" xr:uid="{00000000-0005-0000-0000-0000340E0000}"/>
    <cellStyle name="_FTQ Tri Charts Feb'05_By Country Detail 1Q10 041410pm FIN 18 revised per disc w Mary_Guidance" xfId="3638" xr:uid="{00000000-0005-0000-0000-0000350E0000}"/>
    <cellStyle name="_FTQ Tri Charts Feb'05_By Country Detail 1Q10 041410pm FIN 18 revised per disc w Mary_Guidance 2" xfId="3639" xr:uid="{00000000-0005-0000-0000-0000360E0000}"/>
    <cellStyle name="_FTQ Tri Charts Feb'05_By Country Detail 1Q10 041410pm FIN 18 revised per disc w Mary_Guidance_BS retrieve" xfId="3640" xr:uid="{00000000-0005-0000-0000-0000370E0000}"/>
    <cellStyle name="_FTQ Tri Charts Feb'05_By Country Detail 1Q10 041410pm FIN 18 revised per disc w Mary_Guidance_Free CF" xfId="3641" xr:uid="{00000000-0005-0000-0000-0000380E0000}"/>
    <cellStyle name="_FTQ Tri Charts Feb'05_By Country Detail 1Q10 041410pm FIN 18 revised per disc w Mary_Guidance_P&amp;L Rec Qtr" xfId="3642" xr:uid="{00000000-0005-0000-0000-0000390E0000}"/>
    <cellStyle name="_FTQ Tri Charts Feb'05_By Country Detail 1Q10 041410pm FIN 18 revised per disc w Mary_Guidance_Sheet1" xfId="3643" xr:uid="{00000000-0005-0000-0000-00003A0E0000}"/>
    <cellStyle name="_FTQ Tri Charts Feb'05_By Country Detail 1Q10 041410pm FIN 18 revised per disc w Mary_Guidance_Sheet2" xfId="3644" xr:uid="{00000000-0005-0000-0000-00003B0E0000}"/>
    <cellStyle name="_FTQ Tri Charts Feb'05_By Country Detail 1Q10 041410pm FIN 18 revised per disc w Mary_Guidance_Sheet3" xfId="3645" xr:uid="{00000000-0005-0000-0000-00003C0E0000}"/>
    <cellStyle name="_FTQ Tri Charts Feb'05_By Country Detail 1Q10 041410pm FIN 18 revised per disc w Mary_Guidance_Sheet4" xfId="3646" xr:uid="{00000000-0005-0000-0000-00003D0E0000}"/>
    <cellStyle name="_FTQ Tri Charts Feb'05_By Country Detail 1Q10 041410pm FIN 18 revised per disc w Mary_II.8. Sep&amp;Discrete" xfId="3647" xr:uid="{00000000-0005-0000-0000-00003E0E0000}"/>
    <cellStyle name="_FTQ Tri Charts Feb'05_By Country Detail 1Q10 041410pm FIN 18 revised per disc w Mary_II.8. Sep&amp;Discrete_Guidance" xfId="3648" xr:uid="{00000000-0005-0000-0000-00003F0E0000}"/>
    <cellStyle name="_FTQ Tri Charts Feb'05_By Country Detail 1Q10 041410pm FIN 18 revised per disc w Mary_II.8. Sep&amp;Discrete_Guidance 2" xfId="3649" xr:uid="{00000000-0005-0000-0000-0000400E0000}"/>
    <cellStyle name="_FTQ Tri Charts Feb'05_By Country Detail 1Q10 041410pm FIN 18 revised per disc w Mary_II.8. Sep&amp;Discrete_Guidance_BS retrieve" xfId="3650" xr:uid="{00000000-0005-0000-0000-0000410E0000}"/>
    <cellStyle name="_FTQ Tri Charts Feb'05_By Country Detail 1Q10 041410pm FIN 18 revised per disc w Mary_II.8. Sep&amp;Discrete_Guidance_Free CF" xfId="3651" xr:uid="{00000000-0005-0000-0000-0000420E0000}"/>
    <cellStyle name="_FTQ Tri Charts Feb'05_By Country Detail 1Q10 041410pm FIN 18 revised per disc w Mary_II.8. Sep&amp;Discrete_Guidance_P&amp;L Rec Qtr" xfId="3652" xr:uid="{00000000-0005-0000-0000-0000430E0000}"/>
    <cellStyle name="_FTQ Tri Charts Feb'05_By Country Detail 1Q10 041410pm FIN 18 revised per disc w Mary_II.8. Sep&amp;Discrete_Guidance_Sheet1" xfId="3653" xr:uid="{00000000-0005-0000-0000-0000440E0000}"/>
    <cellStyle name="_FTQ Tri Charts Feb'05_By Country Detail 1Q10 041410pm FIN 18 revised per disc w Mary_II.8. Sep&amp;Discrete_Guidance_Sheet2" xfId="3654" xr:uid="{00000000-0005-0000-0000-0000450E0000}"/>
    <cellStyle name="_FTQ Tri Charts Feb'05_By Country Detail 1Q10 041410pm FIN 18 revised per disc w Mary_II.8. Sep&amp;Discrete_Guidance_Sheet3" xfId="3655" xr:uid="{00000000-0005-0000-0000-0000460E0000}"/>
    <cellStyle name="_FTQ Tri Charts Feb'05_By Country Detail 1Q10 041410pm FIN 18 revised per disc w Mary_II.8. Sep&amp;Discrete_Guidance_Sheet4" xfId="3656" xr:uid="{00000000-0005-0000-0000-0000470E0000}"/>
    <cellStyle name="_FTQ Tri Charts Feb'05_By Country Detail 1Q10 041410pm FIN 18 revised per disc w Mary_Restructuring &amp; Separation" xfId="3657" xr:uid="{00000000-0005-0000-0000-0000480E0000}"/>
    <cellStyle name="_FTQ Tri Charts Feb'05_By Country Detail 1Q10 041410pm FIN 18 revised per disc w Mary_Restructuring &amp; Separation_Guidance" xfId="3658" xr:uid="{00000000-0005-0000-0000-0000490E0000}"/>
    <cellStyle name="_FTQ Tri Charts Feb'05_By Country Detail 1Q10 041410pm FIN 18 revised per disc w Mary_Restructuring &amp; Separation_Guidance 2" xfId="3659" xr:uid="{00000000-0005-0000-0000-00004A0E0000}"/>
    <cellStyle name="_FTQ Tri Charts Feb'05_By Country Detail 1Q10 041410pm FIN 18 revised per disc w Mary_Restructuring &amp; Separation_Guidance_BS retrieve" xfId="3660" xr:uid="{00000000-0005-0000-0000-00004B0E0000}"/>
    <cellStyle name="_FTQ Tri Charts Feb'05_By Country Detail 1Q10 041410pm FIN 18 revised per disc w Mary_Restructuring &amp; Separation_Guidance_Free CF" xfId="3661" xr:uid="{00000000-0005-0000-0000-00004C0E0000}"/>
    <cellStyle name="_FTQ Tri Charts Feb'05_By Country Detail 1Q10 041410pm FIN 18 revised per disc w Mary_Restructuring &amp; Separation_Guidance_P&amp;L Rec Qtr" xfId="3662" xr:uid="{00000000-0005-0000-0000-00004D0E0000}"/>
    <cellStyle name="_FTQ Tri Charts Feb'05_By Country Detail 1Q10 041410pm FIN 18 revised per disc w Mary_Restructuring &amp; Separation_Guidance_Sheet1" xfId="3663" xr:uid="{00000000-0005-0000-0000-00004E0E0000}"/>
    <cellStyle name="_FTQ Tri Charts Feb'05_By Country Detail 1Q10 041410pm FIN 18 revised per disc w Mary_Restructuring &amp; Separation_Guidance_Sheet2" xfId="3664" xr:uid="{00000000-0005-0000-0000-00004F0E0000}"/>
    <cellStyle name="_FTQ Tri Charts Feb'05_By Country Detail 1Q10 041410pm FIN 18 revised per disc w Mary_Restructuring &amp; Separation_Guidance_Sheet3" xfId="3665" xr:uid="{00000000-0005-0000-0000-0000500E0000}"/>
    <cellStyle name="_FTQ Tri Charts Feb'05_By Country Detail 1Q10 041410pm FIN 18 revised per disc w Mary_Restructuring &amp; Separation_Guidance_Sheet4" xfId="3666" xr:uid="{00000000-0005-0000-0000-0000510E0000}"/>
    <cellStyle name="_FTQ Tri Charts Feb'05_Guidance" xfId="3667" xr:uid="{00000000-0005-0000-0000-0000520E0000}"/>
    <cellStyle name="_FTQ Tri Charts Feb'05_Guidance 2" xfId="3668" xr:uid="{00000000-0005-0000-0000-0000530E0000}"/>
    <cellStyle name="_FTQ Tri Charts Feb'05_Guidance_BS retrieve" xfId="3669" xr:uid="{00000000-0005-0000-0000-0000540E0000}"/>
    <cellStyle name="_FTQ Tri Charts Feb'05_Guidance_Free CF" xfId="3670" xr:uid="{00000000-0005-0000-0000-0000550E0000}"/>
    <cellStyle name="_FTQ Tri Charts Feb'05_Guidance_P&amp;L Rec Qtr" xfId="3671" xr:uid="{00000000-0005-0000-0000-0000560E0000}"/>
    <cellStyle name="_FTQ Tri Charts Feb'05_Guidance_Sheet1" xfId="3672" xr:uid="{00000000-0005-0000-0000-0000570E0000}"/>
    <cellStyle name="_FTQ Tri Charts Feb'05_Guidance_Sheet2" xfId="3673" xr:uid="{00000000-0005-0000-0000-0000580E0000}"/>
    <cellStyle name="_FTQ Tri Charts Feb'05_Guidance_Sheet3" xfId="3674" xr:uid="{00000000-0005-0000-0000-0000590E0000}"/>
    <cellStyle name="_FTQ Tri Charts Feb'05_Guidance_Sheet4" xfId="3675" xr:uid="{00000000-0005-0000-0000-00005A0E0000}"/>
    <cellStyle name="_FTQ Tri Charts Feb'05_II.4. RawMaterials" xfId="3676" xr:uid="{00000000-0005-0000-0000-00005B0E0000}"/>
    <cellStyle name="_FTQ Tri Charts Feb'05_II.4. RawMaterials 2" xfId="3677" xr:uid="{00000000-0005-0000-0000-00005C0E0000}"/>
    <cellStyle name="_FTQ Tri Charts Feb'05_II.4. RawMaterials_BS retrieve" xfId="3678" xr:uid="{00000000-0005-0000-0000-00005D0E0000}"/>
    <cellStyle name="_FTQ Tri Charts Feb'05_II.4. RawMaterials_Free CF" xfId="3679" xr:uid="{00000000-0005-0000-0000-00005E0E0000}"/>
    <cellStyle name="_FTQ Tri Charts Feb'05_II.4. RawMaterials_P&amp;L Rec Qtr" xfId="3680" xr:uid="{00000000-0005-0000-0000-00005F0E0000}"/>
    <cellStyle name="_FTQ Tri Charts Feb'05_II.4. RawMaterials_Sheet1" xfId="3681" xr:uid="{00000000-0005-0000-0000-0000600E0000}"/>
    <cellStyle name="_FTQ Tri Charts Feb'05_II.4. RawMaterials_Sheet2" xfId="3682" xr:uid="{00000000-0005-0000-0000-0000610E0000}"/>
    <cellStyle name="_FTQ Tri Charts Feb'05_II.4. RawMaterials_Sheet3" xfId="3683" xr:uid="{00000000-0005-0000-0000-0000620E0000}"/>
    <cellStyle name="_FTQ Tri Charts Feb'05_II.4. RawMaterials_Sheet4" xfId="3684" xr:uid="{00000000-0005-0000-0000-0000630E0000}"/>
    <cellStyle name="_FTQ Tri Charts Feb'05_II.5. RawMaterials" xfId="3685" xr:uid="{00000000-0005-0000-0000-0000640E0000}"/>
    <cellStyle name="_FTQ Tri Charts Feb'05_II.5. RawMaterials 2" xfId="3686" xr:uid="{00000000-0005-0000-0000-0000650E0000}"/>
    <cellStyle name="_FTQ Tri Charts Feb'05_II.5. RawMaterials_BS retrieve" xfId="3687" xr:uid="{00000000-0005-0000-0000-0000660E0000}"/>
    <cellStyle name="_FTQ Tri Charts Feb'05_II.5. RawMaterials_Free CF" xfId="3688" xr:uid="{00000000-0005-0000-0000-0000670E0000}"/>
    <cellStyle name="_FTQ Tri Charts Feb'05_II.5. RawMaterials_Guidance" xfId="3689" xr:uid="{00000000-0005-0000-0000-0000680E0000}"/>
    <cellStyle name="_FTQ Tri Charts Feb'05_II.5. RawMaterials_Guidance 2" xfId="3690" xr:uid="{00000000-0005-0000-0000-0000690E0000}"/>
    <cellStyle name="_FTQ Tri Charts Feb'05_II.5. RawMaterials_Guidance_BS retrieve" xfId="3691" xr:uid="{00000000-0005-0000-0000-00006A0E0000}"/>
    <cellStyle name="_FTQ Tri Charts Feb'05_II.5. RawMaterials_Guidance_Free CF" xfId="3692" xr:uid="{00000000-0005-0000-0000-00006B0E0000}"/>
    <cellStyle name="_FTQ Tri Charts Feb'05_II.5. RawMaterials_Guidance_P&amp;L Rec Qtr" xfId="3693" xr:uid="{00000000-0005-0000-0000-00006C0E0000}"/>
    <cellStyle name="_FTQ Tri Charts Feb'05_II.5. RawMaterials_Guidance_Sheet1" xfId="3694" xr:uid="{00000000-0005-0000-0000-00006D0E0000}"/>
    <cellStyle name="_FTQ Tri Charts Feb'05_II.5. RawMaterials_Guidance_Sheet2" xfId="3695" xr:uid="{00000000-0005-0000-0000-00006E0E0000}"/>
    <cellStyle name="_FTQ Tri Charts Feb'05_II.5. RawMaterials_Guidance_Sheet3" xfId="3696" xr:uid="{00000000-0005-0000-0000-00006F0E0000}"/>
    <cellStyle name="_FTQ Tri Charts Feb'05_II.5. RawMaterials_Guidance_Sheet4" xfId="3697" xr:uid="{00000000-0005-0000-0000-0000700E0000}"/>
    <cellStyle name="_FTQ Tri Charts Feb'05_II.5. RawMaterials_P&amp;L Rec Qtr" xfId="3698" xr:uid="{00000000-0005-0000-0000-0000710E0000}"/>
    <cellStyle name="_FTQ Tri Charts Feb'05_II.5. RawMaterials_Sheet1" xfId="3699" xr:uid="{00000000-0005-0000-0000-0000720E0000}"/>
    <cellStyle name="_FTQ Tri Charts Feb'05_II.5. RawMaterials_Sheet2" xfId="3700" xr:uid="{00000000-0005-0000-0000-0000730E0000}"/>
    <cellStyle name="_FTQ Tri Charts Feb'05_II.5. RawMaterials_Sheet3" xfId="3701" xr:uid="{00000000-0005-0000-0000-0000740E0000}"/>
    <cellStyle name="_FTQ Tri Charts Feb'05_II.5. RawMaterials_Sheet4" xfId="3702" xr:uid="{00000000-0005-0000-0000-0000750E0000}"/>
    <cellStyle name="_FTQ Tri Charts Feb'05_II.5. RM Volume Sensitivities" xfId="3703" xr:uid="{00000000-0005-0000-0000-0000760E0000}"/>
    <cellStyle name="_FTQ Tri Charts Feb'05_II.5. RM Volume Sensitivities 2" xfId="3704" xr:uid="{00000000-0005-0000-0000-0000770E0000}"/>
    <cellStyle name="_FTQ Tri Charts Feb'05_II.5. RM Volume Sensitivities_BS retrieve" xfId="3705" xr:uid="{00000000-0005-0000-0000-0000780E0000}"/>
    <cellStyle name="_FTQ Tri Charts Feb'05_II.5. RM Volume Sensitivities_Free CF" xfId="3706" xr:uid="{00000000-0005-0000-0000-0000790E0000}"/>
    <cellStyle name="_FTQ Tri Charts Feb'05_II.5. RM Volume Sensitivities_P&amp;L Rec Qtr" xfId="3707" xr:uid="{00000000-0005-0000-0000-00007A0E0000}"/>
    <cellStyle name="_FTQ Tri Charts Feb'05_II.5. RM Volume Sensitivities_Sheet1" xfId="3708" xr:uid="{00000000-0005-0000-0000-00007B0E0000}"/>
    <cellStyle name="_FTQ Tri Charts Feb'05_II.5. RM Volume Sensitivities_Sheet2" xfId="3709" xr:uid="{00000000-0005-0000-0000-00007C0E0000}"/>
    <cellStyle name="_FTQ Tri Charts Feb'05_II.5. RM Volume Sensitivities_Sheet3" xfId="3710" xr:uid="{00000000-0005-0000-0000-00007D0E0000}"/>
    <cellStyle name="_FTQ Tri Charts Feb'05_II.5. RM Volume Sensitivities_Sheet4" xfId="3711" xr:uid="{00000000-0005-0000-0000-00007E0E0000}"/>
    <cellStyle name="_FTQ Tri Charts Feb'05_II.8. Sep&amp;Discrete" xfId="3712" xr:uid="{00000000-0005-0000-0000-00007F0E0000}"/>
    <cellStyle name="_FTQ Tri Charts Feb'05_II.8. Sep&amp;Discrete_Guidance" xfId="3713" xr:uid="{00000000-0005-0000-0000-0000800E0000}"/>
    <cellStyle name="_FTQ Tri Charts Feb'05_II.8. Sep&amp;Discrete_Guidance 2" xfId="3714" xr:uid="{00000000-0005-0000-0000-0000810E0000}"/>
    <cellStyle name="_FTQ Tri Charts Feb'05_II.8. Sep&amp;Discrete_Guidance_BS retrieve" xfId="3715" xr:uid="{00000000-0005-0000-0000-0000820E0000}"/>
    <cellStyle name="_FTQ Tri Charts Feb'05_II.8. Sep&amp;Discrete_Guidance_Free CF" xfId="3716" xr:uid="{00000000-0005-0000-0000-0000830E0000}"/>
    <cellStyle name="_FTQ Tri Charts Feb'05_II.8. Sep&amp;Discrete_Guidance_P&amp;L Rec Qtr" xfId="3717" xr:uid="{00000000-0005-0000-0000-0000840E0000}"/>
    <cellStyle name="_FTQ Tri Charts Feb'05_II.8. Sep&amp;Discrete_Guidance_Sheet1" xfId="3718" xr:uid="{00000000-0005-0000-0000-0000850E0000}"/>
    <cellStyle name="_FTQ Tri Charts Feb'05_II.8. Sep&amp;Discrete_Guidance_Sheet2" xfId="3719" xr:uid="{00000000-0005-0000-0000-0000860E0000}"/>
    <cellStyle name="_FTQ Tri Charts Feb'05_II.8. Sep&amp;Discrete_Guidance_Sheet3" xfId="3720" xr:uid="{00000000-0005-0000-0000-0000870E0000}"/>
    <cellStyle name="_FTQ Tri Charts Feb'05_II.8. Sep&amp;Discrete_Guidance_Sheet4" xfId="3721" xr:uid="{00000000-0005-0000-0000-0000880E0000}"/>
    <cellStyle name="_FTQ Tri Charts Feb'05_Restructuring &amp; Separation" xfId="3722" xr:uid="{00000000-0005-0000-0000-0000890E0000}"/>
    <cellStyle name="_FTQ Tri Charts Feb'05_Restructuring &amp; Separation_Guidance" xfId="3723" xr:uid="{00000000-0005-0000-0000-00008A0E0000}"/>
    <cellStyle name="_FTQ Tri Charts Feb'05_Restructuring &amp; Separation_Guidance 2" xfId="3724" xr:uid="{00000000-0005-0000-0000-00008B0E0000}"/>
    <cellStyle name="_FTQ Tri Charts Feb'05_Restructuring &amp; Separation_Guidance_BS retrieve" xfId="3725" xr:uid="{00000000-0005-0000-0000-00008C0E0000}"/>
    <cellStyle name="_FTQ Tri Charts Feb'05_Restructuring &amp; Separation_Guidance_Free CF" xfId="3726" xr:uid="{00000000-0005-0000-0000-00008D0E0000}"/>
    <cellStyle name="_FTQ Tri Charts Feb'05_Restructuring &amp; Separation_Guidance_P&amp;L Rec Qtr" xfId="3727" xr:uid="{00000000-0005-0000-0000-00008E0E0000}"/>
    <cellStyle name="_FTQ Tri Charts Feb'05_Restructuring &amp; Separation_Guidance_Sheet1" xfId="3728" xr:uid="{00000000-0005-0000-0000-00008F0E0000}"/>
    <cellStyle name="_FTQ Tri Charts Feb'05_Restructuring &amp; Separation_Guidance_Sheet2" xfId="3729" xr:uid="{00000000-0005-0000-0000-0000900E0000}"/>
    <cellStyle name="_FTQ Tri Charts Feb'05_Restructuring &amp; Separation_Guidance_Sheet3" xfId="3730" xr:uid="{00000000-0005-0000-0000-0000910E0000}"/>
    <cellStyle name="_FTQ Tri Charts Feb'05_Restructuring &amp; Separation_Guidance_Sheet4" xfId="3731" xr:uid="{00000000-0005-0000-0000-0000920E0000}"/>
    <cellStyle name="_FTQ Tri Charts Feb'05_Restructuring_Separation_TAX_JuneFC2010 tf" xfId="3732" xr:uid="{00000000-0005-0000-0000-0000930E0000}"/>
    <cellStyle name="_FTQ Tri Charts Feb'05_Restructuring_Separation_TAX_JuneFC2010 tf_BS_Separation_TaxResIndem_Q12412 tf" xfId="3733" xr:uid="{00000000-0005-0000-0000-0000940E0000}"/>
    <cellStyle name="_FTQ Tri Charts Feb'05_Restructuring_Separation_TAX_JuneFC2010 tf_BS_Separation_TaxResIndem_Q12412 tf_Guidance" xfId="3734" xr:uid="{00000000-0005-0000-0000-0000950E0000}"/>
    <cellStyle name="_FTQ Tri Charts Feb'05_Restructuring_Separation_TAX_JuneFC2010 tf_BS_Separation_TaxResIndem_Q12412 tf_Guidance 2" xfId="3735" xr:uid="{00000000-0005-0000-0000-0000960E0000}"/>
    <cellStyle name="_FTQ Tri Charts Feb'05_Restructuring_Separation_TAX_JuneFC2010 tf_BS_Separation_TaxResIndem_Q12412 tf_Guidance_BS retrieve" xfId="3736" xr:uid="{00000000-0005-0000-0000-0000970E0000}"/>
    <cellStyle name="_FTQ Tri Charts Feb'05_Restructuring_Separation_TAX_JuneFC2010 tf_BS_Separation_TaxResIndem_Q12412 tf_Guidance_Free CF" xfId="3737" xr:uid="{00000000-0005-0000-0000-0000980E0000}"/>
    <cellStyle name="_FTQ Tri Charts Feb'05_Restructuring_Separation_TAX_JuneFC2010 tf_BS_Separation_TaxResIndem_Q12412 tf_Guidance_P&amp;L Rec Qtr" xfId="3738" xr:uid="{00000000-0005-0000-0000-0000990E0000}"/>
    <cellStyle name="_FTQ Tri Charts Feb'05_Restructuring_Separation_TAX_JuneFC2010 tf_BS_Separation_TaxResIndem_Q12412 tf_Guidance_Sheet1" xfId="3739" xr:uid="{00000000-0005-0000-0000-00009A0E0000}"/>
    <cellStyle name="_FTQ Tri Charts Feb'05_Restructuring_Separation_TAX_JuneFC2010 tf_BS_Separation_TaxResIndem_Q12412 tf_Guidance_Sheet2" xfId="3740" xr:uid="{00000000-0005-0000-0000-00009B0E0000}"/>
    <cellStyle name="_FTQ Tri Charts Feb'05_Restructuring_Separation_TAX_JuneFC2010 tf_BS_Separation_TaxResIndem_Q12412 tf_Guidance_Sheet3" xfId="3741" xr:uid="{00000000-0005-0000-0000-00009C0E0000}"/>
    <cellStyle name="_FTQ Tri Charts Feb'05_Restructuring_Separation_TAX_JuneFC2010 tf_BS_Separation_TaxResIndem_Q12412 tf_Guidance_Sheet4" xfId="3742" xr:uid="{00000000-0005-0000-0000-00009D0E0000}"/>
    <cellStyle name="_FTQ Tri Charts Feb'05_Restructuring_Separation_TAX_JuneFC2010 tf_BS_Separation_TaxResIndem_Q12412 tf_Restructuring &amp; Separation" xfId="3743" xr:uid="{00000000-0005-0000-0000-00009E0E0000}"/>
    <cellStyle name="_FTQ Tri Charts Feb'05_Restructuring_Separation_TAX_JuneFC2010 tf_BS_Separation_TaxResIndem_Q12412 tf_Restructuring &amp; Separation_Guidance" xfId="3744" xr:uid="{00000000-0005-0000-0000-00009F0E0000}"/>
    <cellStyle name="_FTQ Tri Charts Feb'05_Restructuring_Separation_TAX_JuneFC2010 tf_BS_Separation_TaxResIndem_Q12412 tf_Restructuring &amp; Separation_Guidance 2" xfId="3745" xr:uid="{00000000-0005-0000-0000-0000A00E0000}"/>
    <cellStyle name="_FTQ Tri Charts Feb'05_Restructuring_Separation_TAX_JuneFC2010 tf_BS_Separation_TaxResIndem_Q12412 tf_Restructuring &amp; Separation_Guidance_BS retrieve" xfId="3746" xr:uid="{00000000-0005-0000-0000-0000A10E0000}"/>
    <cellStyle name="_FTQ Tri Charts Feb'05_Restructuring_Separation_TAX_JuneFC2010 tf_BS_Separation_TaxResIndem_Q12412 tf_Restructuring &amp; Separation_Guidance_Free CF" xfId="3747" xr:uid="{00000000-0005-0000-0000-0000A20E0000}"/>
    <cellStyle name="_FTQ Tri Charts Feb'05_Restructuring_Separation_TAX_JuneFC2010 tf_BS_Separation_TaxResIndem_Q12412 tf_Restructuring &amp; Separation_Guidance_P&amp;L Rec Qtr" xfId="3748" xr:uid="{00000000-0005-0000-0000-0000A30E0000}"/>
    <cellStyle name="_FTQ Tri Charts Feb'05_Restructuring_Separation_TAX_JuneFC2010 tf_BS_Separation_TaxResIndem_Q12412 tf_Restructuring &amp; Separation_Guidance_Sheet1" xfId="3749" xr:uid="{00000000-0005-0000-0000-0000A40E0000}"/>
    <cellStyle name="_FTQ Tri Charts Feb'05_Restructuring_Separation_TAX_JuneFC2010 tf_BS_Separation_TaxResIndem_Q12412 tf_Restructuring &amp; Separation_Guidance_Sheet2" xfId="3750" xr:uid="{00000000-0005-0000-0000-0000A50E0000}"/>
    <cellStyle name="_FTQ Tri Charts Feb'05_Restructuring_Separation_TAX_JuneFC2010 tf_BS_Separation_TaxResIndem_Q12412 tf_Restructuring &amp; Separation_Guidance_Sheet3" xfId="3751" xr:uid="{00000000-0005-0000-0000-0000A60E0000}"/>
    <cellStyle name="_FTQ Tri Charts Feb'05_Restructuring_Separation_TAX_JuneFC2010 tf_BS_Separation_TaxResIndem_Q12412 tf_Restructuring &amp; Separation_Guidance_Sheet4" xfId="3752" xr:uid="{00000000-0005-0000-0000-0000A70E0000}"/>
    <cellStyle name="_FTQ Tri Charts Feb'05_Restructuring_Separation_TAX_JuneFC2010 tf_Guidance" xfId="3753" xr:uid="{00000000-0005-0000-0000-0000A80E0000}"/>
    <cellStyle name="_FTQ Tri Charts Feb'05_Restructuring_Separation_TAX_JuneFC2010 tf_Guidance 2" xfId="3754" xr:uid="{00000000-0005-0000-0000-0000A90E0000}"/>
    <cellStyle name="_FTQ Tri Charts Feb'05_Restructuring_Separation_TAX_JuneFC2010 tf_Guidance_BS retrieve" xfId="3755" xr:uid="{00000000-0005-0000-0000-0000AA0E0000}"/>
    <cellStyle name="_FTQ Tri Charts Feb'05_Restructuring_Separation_TAX_JuneFC2010 tf_Guidance_Free CF" xfId="3756" xr:uid="{00000000-0005-0000-0000-0000AB0E0000}"/>
    <cellStyle name="_FTQ Tri Charts Feb'05_Restructuring_Separation_TAX_JuneFC2010 tf_Guidance_P&amp;L Rec Qtr" xfId="3757" xr:uid="{00000000-0005-0000-0000-0000AC0E0000}"/>
    <cellStyle name="_FTQ Tri Charts Feb'05_Restructuring_Separation_TAX_JuneFC2010 tf_Guidance_Sheet1" xfId="3758" xr:uid="{00000000-0005-0000-0000-0000AD0E0000}"/>
    <cellStyle name="_FTQ Tri Charts Feb'05_Restructuring_Separation_TAX_JuneFC2010 tf_Guidance_Sheet2" xfId="3759" xr:uid="{00000000-0005-0000-0000-0000AE0E0000}"/>
    <cellStyle name="_FTQ Tri Charts Feb'05_Restructuring_Separation_TAX_JuneFC2010 tf_Guidance_Sheet3" xfId="3760" xr:uid="{00000000-0005-0000-0000-0000AF0E0000}"/>
    <cellStyle name="_FTQ Tri Charts Feb'05_Restructuring_Separation_TAX_JuneFC2010 tf_Guidance_Sheet4" xfId="3761" xr:uid="{00000000-0005-0000-0000-0000B00E0000}"/>
    <cellStyle name="_FTQ Tri Charts Feb'05_Restructuring_Separation_TAX_JuneFC2010 tf_II.8. Sep&amp;Discrete" xfId="3762" xr:uid="{00000000-0005-0000-0000-0000B10E0000}"/>
    <cellStyle name="_FTQ Tri Charts Feb'05_Restructuring_Separation_TAX_JuneFC2010 tf_II.8. Sep&amp;Discrete_Guidance" xfId="3763" xr:uid="{00000000-0005-0000-0000-0000B20E0000}"/>
    <cellStyle name="_FTQ Tri Charts Feb'05_Restructuring_Separation_TAX_JuneFC2010 tf_II.8. Sep&amp;Discrete_Guidance 2" xfId="3764" xr:uid="{00000000-0005-0000-0000-0000B30E0000}"/>
    <cellStyle name="_FTQ Tri Charts Feb'05_Restructuring_Separation_TAX_JuneFC2010 tf_II.8. Sep&amp;Discrete_Guidance_BS retrieve" xfId="3765" xr:uid="{00000000-0005-0000-0000-0000B40E0000}"/>
    <cellStyle name="_FTQ Tri Charts Feb'05_Restructuring_Separation_TAX_JuneFC2010 tf_II.8. Sep&amp;Discrete_Guidance_Free CF" xfId="3766" xr:uid="{00000000-0005-0000-0000-0000B50E0000}"/>
    <cellStyle name="_FTQ Tri Charts Feb'05_Restructuring_Separation_TAX_JuneFC2010 tf_II.8. Sep&amp;Discrete_Guidance_P&amp;L Rec Qtr" xfId="3767" xr:uid="{00000000-0005-0000-0000-0000B60E0000}"/>
    <cellStyle name="_FTQ Tri Charts Feb'05_Restructuring_Separation_TAX_JuneFC2010 tf_II.8. Sep&amp;Discrete_Guidance_Sheet1" xfId="3768" xr:uid="{00000000-0005-0000-0000-0000B70E0000}"/>
    <cellStyle name="_FTQ Tri Charts Feb'05_Restructuring_Separation_TAX_JuneFC2010 tf_II.8. Sep&amp;Discrete_Guidance_Sheet2" xfId="3769" xr:uid="{00000000-0005-0000-0000-0000B80E0000}"/>
    <cellStyle name="_FTQ Tri Charts Feb'05_Restructuring_Separation_TAX_JuneFC2010 tf_II.8. Sep&amp;Discrete_Guidance_Sheet3" xfId="3770" xr:uid="{00000000-0005-0000-0000-0000B90E0000}"/>
    <cellStyle name="_FTQ Tri Charts Feb'05_Restructuring_Separation_TAX_JuneFC2010 tf_II.8. Sep&amp;Discrete_Guidance_Sheet4" xfId="3771" xr:uid="{00000000-0005-0000-0000-0000BA0E0000}"/>
    <cellStyle name="_FTQ Tri Charts Feb'05_Restructuring_Separation_TAX_JuneFC2010 tf_Restructuring &amp; Separation" xfId="3772" xr:uid="{00000000-0005-0000-0000-0000BB0E0000}"/>
    <cellStyle name="_FTQ Tri Charts Feb'05_Restructuring_Separation_TAX_JuneFC2010 tf_Restructuring &amp; Separation_Guidance" xfId="3773" xr:uid="{00000000-0005-0000-0000-0000BC0E0000}"/>
    <cellStyle name="_FTQ Tri Charts Feb'05_Restructuring_Separation_TAX_JuneFC2010 tf_Restructuring &amp; Separation_Guidance 2" xfId="3774" xr:uid="{00000000-0005-0000-0000-0000BD0E0000}"/>
    <cellStyle name="_FTQ Tri Charts Feb'05_Restructuring_Separation_TAX_JuneFC2010 tf_Restructuring &amp; Separation_Guidance_BS retrieve" xfId="3775" xr:uid="{00000000-0005-0000-0000-0000BE0E0000}"/>
    <cellStyle name="_FTQ Tri Charts Feb'05_Restructuring_Separation_TAX_JuneFC2010 tf_Restructuring &amp; Separation_Guidance_Free CF" xfId="3776" xr:uid="{00000000-0005-0000-0000-0000BF0E0000}"/>
    <cellStyle name="_FTQ Tri Charts Feb'05_Restructuring_Separation_TAX_JuneFC2010 tf_Restructuring &amp; Separation_Guidance_P&amp;L Rec Qtr" xfId="3777" xr:uid="{00000000-0005-0000-0000-0000C00E0000}"/>
    <cellStyle name="_FTQ Tri Charts Feb'05_Restructuring_Separation_TAX_JuneFC2010 tf_Restructuring &amp; Separation_Guidance_Sheet1" xfId="3778" xr:uid="{00000000-0005-0000-0000-0000C10E0000}"/>
    <cellStyle name="_FTQ Tri Charts Feb'05_Restructuring_Separation_TAX_JuneFC2010 tf_Restructuring &amp; Separation_Guidance_Sheet2" xfId="3779" xr:uid="{00000000-0005-0000-0000-0000C20E0000}"/>
    <cellStyle name="_FTQ Tri Charts Feb'05_Restructuring_Separation_TAX_JuneFC2010 tf_Restructuring &amp; Separation_Guidance_Sheet3" xfId="3780" xr:uid="{00000000-0005-0000-0000-0000C30E0000}"/>
    <cellStyle name="_FTQ Tri Charts Feb'05_Restructuring_Separation_TAX_JuneFC2010 tf_Restructuring &amp; Separation_Guidance_Sheet4" xfId="3781" xr:uid="{00000000-0005-0000-0000-0000C40E0000}"/>
    <cellStyle name="_FTQ Tri Charts Jan'05" xfId="3782" xr:uid="{00000000-0005-0000-0000-0000C50E0000}"/>
    <cellStyle name="_FTQ Tri Charts Jan'05_BS_Separation_TaxResIndem_Q12412 tf" xfId="3783" xr:uid="{00000000-0005-0000-0000-0000C60E0000}"/>
    <cellStyle name="_FTQ Tri Charts Jan'05_BS_Separation_TaxResIndem_Q12412 tf_Guidance" xfId="3784" xr:uid="{00000000-0005-0000-0000-0000C70E0000}"/>
    <cellStyle name="_FTQ Tri Charts Jan'05_BS_Separation_TaxResIndem_Q12412 tf_Guidance 2" xfId="3785" xr:uid="{00000000-0005-0000-0000-0000C80E0000}"/>
    <cellStyle name="_FTQ Tri Charts Jan'05_BS_Separation_TaxResIndem_Q12412 tf_Guidance_BS retrieve" xfId="3786" xr:uid="{00000000-0005-0000-0000-0000C90E0000}"/>
    <cellStyle name="_FTQ Tri Charts Jan'05_BS_Separation_TaxResIndem_Q12412 tf_Guidance_Free CF" xfId="3787" xr:uid="{00000000-0005-0000-0000-0000CA0E0000}"/>
    <cellStyle name="_FTQ Tri Charts Jan'05_BS_Separation_TaxResIndem_Q12412 tf_Guidance_P&amp;L Rec Qtr" xfId="3788" xr:uid="{00000000-0005-0000-0000-0000CB0E0000}"/>
    <cellStyle name="_FTQ Tri Charts Jan'05_BS_Separation_TaxResIndem_Q12412 tf_Guidance_Sheet1" xfId="3789" xr:uid="{00000000-0005-0000-0000-0000CC0E0000}"/>
    <cellStyle name="_FTQ Tri Charts Jan'05_BS_Separation_TaxResIndem_Q12412 tf_Guidance_Sheet2" xfId="3790" xr:uid="{00000000-0005-0000-0000-0000CD0E0000}"/>
    <cellStyle name="_FTQ Tri Charts Jan'05_BS_Separation_TaxResIndem_Q12412 tf_Guidance_Sheet3" xfId="3791" xr:uid="{00000000-0005-0000-0000-0000CE0E0000}"/>
    <cellStyle name="_FTQ Tri Charts Jan'05_BS_Separation_TaxResIndem_Q12412 tf_Guidance_Sheet4" xfId="3792" xr:uid="{00000000-0005-0000-0000-0000CF0E0000}"/>
    <cellStyle name="_FTQ Tri Charts Jan'05_BS_Separation_TaxResIndem_Q12412 tf_Restructuring &amp; Separation" xfId="3793" xr:uid="{00000000-0005-0000-0000-0000D00E0000}"/>
    <cellStyle name="_FTQ Tri Charts Jan'05_BS_Separation_TaxResIndem_Q12412 tf_Restructuring &amp; Separation_Guidance" xfId="3794" xr:uid="{00000000-0005-0000-0000-0000D10E0000}"/>
    <cellStyle name="_FTQ Tri Charts Jan'05_BS_Separation_TaxResIndem_Q12412 tf_Restructuring &amp; Separation_Guidance 2" xfId="3795" xr:uid="{00000000-0005-0000-0000-0000D20E0000}"/>
    <cellStyle name="_FTQ Tri Charts Jan'05_BS_Separation_TaxResIndem_Q12412 tf_Restructuring &amp; Separation_Guidance_BS retrieve" xfId="3796" xr:uid="{00000000-0005-0000-0000-0000D30E0000}"/>
    <cellStyle name="_FTQ Tri Charts Jan'05_BS_Separation_TaxResIndem_Q12412 tf_Restructuring &amp; Separation_Guidance_Free CF" xfId="3797" xr:uid="{00000000-0005-0000-0000-0000D40E0000}"/>
    <cellStyle name="_FTQ Tri Charts Jan'05_BS_Separation_TaxResIndem_Q12412 tf_Restructuring &amp; Separation_Guidance_P&amp;L Rec Qtr" xfId="3798" xr:uid="{00000000-0005-0000-0000-0000D50E0000}"/>
    <cellStyle name="_FTQ Tri Charts Jan'05_BS_Separation_TaxResIndem_Q12412 tf_Restructuring &amp; Separation_Guidance_Sheet1" xfId="3799" xr:uid="{00000000-0005-0000-0000-0000D60E0000}"/>
    <cellStyle name="_FTQ Tri Charts Jan'05_BS_Separation_TaxResIndem_Q12412 tf_Restructuring &amp; Separation_Guidance_Sheet2" xfId="3800" xr:uid="{00000000-0005-0000-0000-0000D70E0000}"/>
    <cellStyle name="_FTQ Tri Charts Jan'05_BS_Separation_TaxResIndem_Q12412 tf_Restructuring &amp; Separation_Guidance_Sheet3" xfId="3801" xr:uid="{00000000-0005-0000-0000-0000D80E0000}"/>
    <cellStyle name="_FTQ Tri Charts Jan'05_BS_Separation_TaxResIndem_Q12412 tf_Restructuring &amp; Separation_Guidance_Sheet4" xfId="3802" xr:uid="{00000000-0005-0000-0000-0000D90E0000}"/>
    <cellStyle name="_FTQ Tri Charts Jan'05_By Country Detail 1Q10 041410pm FIN 18 revised per disc w Mary" xfId="3803" xr:uid="{00000000-0005-0000-0000-0000DA0E0000}"/>
    <cellStyle name="_FTQ Tri Charts Jan'05_By Country Detail 1Q10 041410pm FIN 18 revised per disc w Mary_BS_Separation_TaxResIndem_Q12412 tf" xfId="3804" xr:uid="{00000000-0005-0000-0000-0000DB0E0000}"/>
    <cellStyle name="_FTQ Tri Charts Jan'05_By Country Detail 1Q10 041410pm FIN 18 revised per disc w Mary_BS_Separation_TaxResIndem_Q12412 tf_Guidance" xfId="3805" xr:uid="{00000000-0005-0000-0000-0000DC0E0000}"/>
    <cellStyle name="_FTQ Tri Charts Jan'05_By Country Detail 1Q10 041410pm FIN 18 revised per disc w Mary_BS_Separation_TaxResIndem_Q12412 tf_Guidance 2" xfId="3806" xr:uid="{00000000-0005-0000-0000-0000DD0E0000}"/>
    <cellStyle name="_FTQ Tri Charts Jan'05_By Country Detail 1Q10 041410pm FIN 18 revised per disc w Mary_BS_Separation_TaxResIndem_Q12412 tf_Guidance_BS retrieve" xfId="3807" xr:uid="{00000000-0005-0000-0000-0000DE0E0000}"/>
    <cellStyle name="_FTQ Tri Charts Jan'05_By Country Detail 1Q10 041410pm FIN 18 revised per disc w Mary_BS_Separation_TaxResIndem_Q12412 tf_Guidance_Free CF" xfId="3808" xr:uid="{00000000-0005-0000-0000-0000DF0E0000}"/>
    <cellStyle name="_FTQ Tri Charts Jan'05_By Country Detail 1Q10 041410pm FIN 18 revised per disc w Mary_BS_Separation_TaxResIndem_Q12412 tf_Guidance_P&amp;L Rec Qtr" xfId="3809" xr:uid="{00000000-0005-0000-0000-0000E00E0000}"/>
    <cellStyle name="_FTQ Tri Charts Jan'05_By Country Detail 1Q10 041410pm FIN 18 revised per disc w Mary_BS_Separation_TaxResIndem_Q12412 tf_Guidance_Sheet1" xfId="3810" xr:uid="{00000000-0005-0000-0000-0000E10E0000}"/>
    <cellStyle name="_FTQ Tri Charts Jan'05_By Country Detail 1Q10 041410pm FIN 18 revised per disc w Mary_BS_Separation_TaxResIndem_Q12412 tf_Guidance_Sheet2" xfId="3811" xr:uid="{00000000-0005-0000-0000-0000E20E0000}"/>
    <cellStyle name="_FTQ Tri Charts Jan'05_By Country Detail 1Q10 041410pm FIN 18 revised per disc w Mary_BS_Separation_TaxResIndem_Q12412 tf_Guidance_Sheet3" xfId="3812" xr:uid="{00000000-0005-0000-0000-0000E30E0000}"/>
    <cellStyle name="_FTQ Tri Charts Jan'05_By Country Detail 1Q10 041410pm FIN 18 revised per disc w Mary_BS_Separation_TaxResIndem_Q12412 tf_Guidance_Sheet4" xfId="3813" xr:uid="{00000000-0005-0000-0000-0000E40E0000}"/>
    <cellStyle name="_FTQ Tri Charts Jan'05_By Country Detail 1Q10 041410pm FIN 18 revised per disc w Mary_BS_Separation_TaxResIndem_Q12412 tf_Restructuring &amp; Separation" xfId="3814" xr:uid="{00000000-0005-0000-0000-0000E50E0000}"/>
    <cellStyle name="_FTQ Tri Charts Jan'05_By Country Detail 1Q10 041410pm FIN 18 revised per disc w Mary_BS_Separation_TaxResIndem_Q12412 tf_Restructuring &amp; Separation_Guidance" xfId="3815" xr:uid="{00000000-0005-0000-0000-0000E60E0000}"/>
    <cellStyle name="_FTQ Tri Charts Jan'05_By Country Detail 1Q10 041410pm FIN 18 revised per disc w Mary_BS_Separation_TaxResIndem_Q12412 tf_Restructuring &amp; Separation_Guidance 2" xfId="3816" xr:uid="{00000000-0005-0000-0000-0000E70E0000}"/>
    <cellStyle name="_FTQ Tri Charts Jan'05_By Country Detail 1Q10 041410pm FIN 18 revised per disc w Mary_BS_Separation_TaxResIndem_Q12412 tf_Restructuring &amp; Separation_Guidance_BS retrieve" xfId="3817" xr:uid="{00000000-0005-0000-0000-0000E80E0000}"/>
    <cellStyle name="_FTQ Tri Charts Jan'05_By Country Detail 1Q10 041410pm FIN 18 revised per disc w Mary_BS_Separation_TaxResIndem_Q12412 tf_Restructuring &amp; Separation_Guidance_Free CF" xfId="3818" xr:uid="{00000000-0005-0000-0000-0000E90E0000}"/>
    <cellStyle name="_FTQ Tri Charts Jan'05_By Country Detail 1Q10 041410pm FIN 18 revised per disc w Mary_BS_Separation_TaxResIndem_Q12412 tf_Restructuring &amp; Separation_Guidance_P&amp;L Rec Qtr" xfId="3819" xr:uid="{00000000-0005-0000-0000-0000EA0E0000}"/>
    <cellStyle name="_FTQ Tri Charts Jan'05_By Country Detail 1Q10 041410pm FIN 18 revised per disc w Mary_BS_Separation_TaxResIndem_Q12412 tf_Restructuring &amp; Separation_Guidance_Sheet1" xfId="3820" xr:uid="{00000000-0005-0000-0000-0000EB0E0000}"/>
    <cellStyle name="_FTQ Tri Charts Jan'05_By Country Detail 1Q10 041410pm FIN 18 revised per disc w Mary_BS_Separation_TaxResIndem_Q12412 tf_Restructuring &amp; Separation_Guidance_Sheet2" xfId="3821" xr:uid="{00000000-0005-0000-0000-0000EC0E0000}"/>
    <cellStyle name="_FTQ Tri Charts Jan'05_By Country Detail 1Q10 041410pm FIN 18 revised per disc w Mary_BS_Separation_TaxResIndem_Q12412 tf_Restructuring &amp; Separation_Guidance_Sheet3" xfId="3822" xr:uid="{00000000-0005-0000-0000-0000ED0E0000}"/>
    <cellStyle name="_FTQ Tri Charts Jan'05_By Country Detail 1Q10 041410pm FIN 18 revised per disc w Mary_BS_Separation_TaxResIndem_Q12412 tf_Restructuring &amp; Separation_Guidance_Sheet4" xfId="3823" xr:uid="{00000000-0005-0000-0000-0000EE0E0000}"/>
    <cellStyle name="_FTQ Tri Charts Jan'05_By Country Detail 1Q10 041410pm FIN 18 revised per disc w Mary_Guidance" xfId="3824" xr:uid="{00000000-0005-0000-0000-0000EF0E0000}"/>
    <cellStyle name="_FTQ Tri Charts Jan'05_By Country Detail 1Q10 041410pm FIN 18 revised per disc w Mary_Guidance 2" xfId="3825" xr:uid="{00000000-0005-0000-0000-0000F00E0000}"/>
    <cellStyle name="_FTQ Tri Charts Jan'05_By Country Detail 1Q10 041410pm FIN 18 revised per disc w Mary_Guidance_BS retrieve" xfId="3826" xr:uid="{00000000-0005-0000-0000-0000F10E0000}"/>
    <cellStyle name="_FTQ Tri Charts Jan'05_By Country Detail 1Q10 041410pm FIN 18 revised per disc w Mary_Guidance_Free CF" xfId="3827" xr:uid="{00000000-0005-0000-0000-0000F20E0000}"/>
    <cellStyle name="_FTQ Tri Charts Jan'05_By Country Detail 1Q10 041410pm FIN 18 revised per disc w Mary_Guidance_P&amp;L Rec Qtr" xfId="3828" xr:uid="{00000000-0005-0000-0000-0000F30E0000}"/>
    <cellStyle name="_FTQ Tri Charts Jan'05_By Country Detail 1Q10 041410pm FIN 18 revised per disc w Mary_Guidance_Sheet1" xfId="3829" xr:uid="{00000000-0005-0000-0000-0000F40E0000}"/>
    <cellStyle name="_FTQ Tri Charts Jan'05_By Country Detail 1Q10 041410pm FIN 18 revised per disc w Mary_Guidance_Sheet2" xfId="3830" xr:uid="{00000000-0005-0000-0000-0000F50E0000}"/>
    <cellStyle name="_FTQ Tri Charts Jan'05_By Country Detail 1Q10 041410pm FIN 18 revised per disc w Mary_Guidance_Sheet3" xfId="3831" xr:uid="{00000000-0005-0000-0000-0000F60E0000}"/>
    <cellStyle name="_FTQ Tri Charts Jan'05_By Country Detail 1Q10 041410pm FIN 18 revised per disc w Mary_Guidance_Sheet4" xfId="3832" xr:uid="{00000000-0005-0000-0000-0000F70E0000}"/>
    <cellStyle name="_FTQ Tri Charts Jan'05_By Country Detail 1Q10 041410pm FIN 18 revised per disc w Mary_II.8. Sep&amp;Discrete" xfId="3833" xr:uid="{00000000-0005-0000-0000-0000F80E0000}"/>
    <cellStyle name="_FTQ Tri Charts Jan'05_By Country Detail 1Q10 041410pm FIN 18 revised per disc w Mary_II.8. Sep&amp;Discrete_Guidance" xfId="3834" xr:uid="{00000000-0005-0000-0000-0000F90E0000}"/>
    <cellStyle name="_FTQ Tri Charts Jan'05_By Country Detail 1Q10 041410pm FIN 18 revised per disc w Mary_II.8. Sep&amp;Discrete_Guidance 2" xfId="3835" xr:uid="{00000000-0005-0000-0000-0000FA0E0000}"/>
    <cellStyle name="_FTQ Tri Charts Jan'05_By Country Detail 1Q10 041410pm FIN 18 revised per disc w Mary_II.8. Sep&amp;Discrete_Guidance_BS retrieve" xfId="3836" xr:uid="{00000000-0005-0000-0000-0000FB0E0000}"/>
    <cellStyle name="_FTQ Tri Charts Jan'05_By Country Detail 1Q10 041410pm FIN 18 revised per disc w Mary_II.8. Sep&amp;Discrete_Guidance_Free CF" xfId="3837" xr:uid="{00000000-0005-0000-0000-0000FC0E0000}"/>
    <cellStyle name="_FTQ Tri Charts Jan'05_By Country Detail 1Q10 041410pm FIN 18 revised per disc w Mary_II.8. Sep&amp;Discrete_Guidance_P&amp;L Rec Qtr" xfId="3838" xr:uid="{00000000-0005-0000-0000-0000FD0E0000}"/>
    <cellStyle name="_FTQ Tri Charts Jan'05_By Country Detail 1Q10 041410pm FIN 18 revised per disc w Mary_II.8. Sep&amp;Discrete_Guidance_Sheet1" xfId="3839" xr:uid="{00000000-0005-0000-0000-0000FE0E0000}"/>
    <cellStyle name="_FTQ Tri Charts Jan'05_By Country Detail 1Q10 041410pm FIN 18 revised per disc w Mary_II.8. Sep&amp;Discrete_Guidance_Sheet2" xfId="3840" xr:uid="{00000000-0005-0000-0000-0000FF0E0000}"/>
    <cellStyle name="_FTQ Tri Charts Jan'05_By Country Detail 1Q10 041410pm FIN 18 revised per disc w Mary_II.8. Sep&amp;Discrete_Guidance_Sheet3" xfId="3841" xr:uid="{00000000-0005-0000-0000-0000000F0000}"/>
    <cellStyle name="_FTQ Tri Charts Jan'05_By Country Detail 1Q10 041410pm FIN 18 revised per disc w Mary_II.8. Sep&amp;Discrete_Guidance_Sheet4" xfId="3842" xr:uid="{00000000-0005-0000-0000-0000010F0000}"/>
    <cellStyle name="_FTQ Tri Charts Jan'05_By Country Detail 1Q10 041410pm FIN 18 revised per disc w Mary_Restructuring &amp; Separation" xfId="3843" xr:uid="{00000000-0005-0000-0000-0000020F0000}"/>
    <cellStyle name="_FTQ Tri Charts Jan'05_By Country Detail 1Q10 041410pm FIN 18 revised per disc w Mary_Restructuring &amp; Separation_Guidance" xfId="3844" xr:uid="{00000000-0005-0000-0000-0000030F0000}"/>
    <cellStyle name="_FTQ Tri Charts Jan'05_By Country Detail 1Q10 041410pm FIN 18 revised per disc w Mary_Restructuring &amp; Separation_Guidance 2" xfId="3845" xr:uid="{00000000-0005-0000-0000-0000040F0000}"/>
    <cellStyle name="_FTQ Tri Charts Jan'05_By Country Detail 1Q10 041410pm FIN 18 revised per disc w Mary_Restructuring &amp; Separation_Guidance_BS retrieve" xfId="3846" xr:uid="{00000000-0005-0000-0000-0000050F0000}"/>
    <cellStyle name="_FTQ Tri Charts Jan'05_By Country Detail 1Q10 041410pm FIN 18 revised per disc w Mary_Restructuring &amp; Separation_Guidance_Free CF" xfId="3847" xr:uid="{00000000-0005-0000-0000-0000060F0000}"/>
    <cellStyle name="_FTQ Tri Charts Jan'05_By Country Detail 1Q10 041410pm FIN 18 revised per disc w Mary_Restructuring &amp; Separation_Guidance_P&amp;L Rec Qtr" xfId="3848" xr:uid="{00000000-0005-0000-0000-0000070F0000}"/>
    <cellStyle name="_FTQ Tri Charts Jan'05_By Country Detail 1Q10 041410pm FIN 18 revised per disc w Mary_Restructuring &amp; Separation_Guidance_Sheet1" xfId="3849" xr:uid="{00000000-0005-0000-0000-0000080F0000}"/>
    <cellStyle name="_FTQ Tri Charts Jan'05_By Country Detail 1Q10 041410pm FIN 18 revised per disc w Mary_Restructuring &amp; Separation_Guidance_Sheet2" xfId="3850" xr:uid="{00000000-0005-0000-0000-0000090F0000}"/>
    <cellStyle name="_FTQ Tri Charts Jan'05_By Country Detail 1Q10 041410pm FIN 18 revised per disc w Mary_Restructuring &amp; Separation_Guidance_Sheet3" xfId="3851" xr:uid="{00000000-0005-0000-0000-00000A0F0000}"/>
    <cellStyle name="_FTQ Tri Charts Jan'05_By Country Detail 1Q10 041410pm FIN 18 revised per disc w Mary_Restructuring &amp; Separation_Guidance_Sheet4" xfId="3852" xr:uid="{00000000-0005-0000-0000-00000B0F0000}"/>
    <cellStyle name="_FTQ Tri Charts Jan'05_Guidance" xfId="3853" xr:uid="{00000000-0005-0000-0000-00000C0F0000}"/>
    <cellStyle name="_FTQ Tri Charts Jan'05_Guidance 2" xfId="3854" xr:uid="{00000000-0005-0000-0000-00000D0F0000}"/>
    <cellStyle name="_FTQ Tri Charts Jan'05_Guidance_BS retrieve" xfId="3855" xr:uid="{00000000-0005-0000-0000-00000E0F0000}"/>
    <cellStyle name="_FTQ Tri Charts Jan'05_Guidance_Free CF" xfId="3856" xr:uid="{00000000-0005-0000-0000-00000F0F0000}"/>
    <cellStyle name="_FTQ Tri Charts Jan'05_Guidance_P&amp;L Rec Qtr" xfId="3857" xr:uid="{00000000-0005-0000-0000-0000100F0000}"/>
    <cellStyle name="_FTQ Tri Charts Jan'05_Guidance_Sheet1" xfId="3858" xr:uid="{00000000-0005-0000-0000-0000110F0000}"/>
    <cellStyle name="_FTQ Tri Charts Jan'05_Guidance_Sheet2" xfId="3859" xr:uid="{00000000-0005-0000-0000-0000120F0000}"/>
    <cellStyle name="_FTQ Tri Charts Jan'05_Guidance_Sheet3" xfId="3860" xr:uid="{00000000-0005-0000-0000-0000130F0000}"/>
    <cellStyle name="_FTQ Tri Charts Jan'05_Guidance_Sheet4" xfId="3861" xr:uid="{00000000-0005-0000-0000-0000140F0000}"/>
    <cellStyle name="_FTQ Tri Charts Jan'05_II.4. RawMaterials" xfId="3862" xr:uid="{00000000-0005-0000-0000-0000150F0000}"/>
    <cellStyle name="_FTQ Tri Charts Jan'05_II.4. RawMaterials 2" xfId="3863" xr:uid="{00000000-0005-0000-0000-0000160F0000}"/>
    <cellStyle name="_FTQ Tri Charts Jan'05_II.4. RawMaterials_BS retrieve" xfId="3864" xr:uid="{00000000-0005-0000-0000-0000170F0000}"/>
    <cellStyle name="_FTQ Tri Charts Jan'05_II.4. RawMaterials_Free CF" xfId="3865" xr:uid="{00000000-0005-0000-0000-0000180F0000}"/>
    <cellStyle name="_FTQ Tri Charts Jan'05_II.4. RawMaterials_P&amp;L Rec Qtr" xfId="3866" xr:uid="{00000000-0005-0000-0000-0000190F0000}"/>
    <cellStyle name="_FTQ Tri Charts Jan'05_II.4. RawMaterials_Sheet1" xfId="3867" xr:uid="{00000000-0005-0000-0000-00001A0F0000}"/>
    <cellStyle name="_FTQ Tri Charts Jan'05_II.4. RawMaterials_Sheet2" xfId="3868" xr:uid="{00000000-0005-0000-0000-00001B0F0000}"/>
    <cellStyle name="_FTQ Tri Charts Jan'05_II.4. RawMaterials_Sheet3" xfId="3869" xr:uid="{00000000-0005-0000-0000-00001C0F0000}"/>
    <cellStyle name="_FTQ Tri Charts Jan'05_II.4. RawMaterials_Sheet4" xfId="3870" xr:uid="{00000000-0005-0000-0000-00001D0F0000}"/>
    <cellStyle name="_FTQ Tri Charts Jan'05_II.5. RawMaterials" xfId="3871" xr:uid="{00000000-0005-0000-0000-00001E0F0000}"/>
    <cellStyle name="_FTQ Tri Charts Jan'05_II.5. RawMaterials 2" xfId="3872" xr:uid="{00000000-0005-0000-0000-00001F0F0000}"/>
    <cellStyle name="_FTQ Tri Charts Jan'05_II.5. RawMaterials_BS retrieve" xfId="3873" xr:uid="{00000000-0005-0000-0000-0000200F0000}"/>
    <cellStyle name="_FTQ Tri Charts Jan'05_II.5. RawMaterials_Free CF" xfId="3874" xr:uid="{00000000-0005-0000-0000-0000210F0000}"/>
    <cellStyle name="_FTQ Tri Charts Jan'05_II.5. RawMaterials_Guidance" xfId="3875" xr:uid="{00000000-0005-0000-0000-0000220F0000}"/>
    <cellStyle name="_FTQ Tri Charts Jan'05_II.5. RawMaterials_Guidance 2" xfId="3876" xr:uid="{00000000-0005-0000-0000-0000230F0000}"/>
    <cellStyle name="_FTQ Tri Charts Jan'05_II.5. RawMaterials_Guidance_BS retrieve" xfId="3877" xr:uid="{00000000-0005-0000-0000-0000240F0000}"/>
    <cellStyle name="_FTQ Tri Charts Jan'05_II.5. RawMaterials_Guidance_Free CF" xfId="3878" xr:uid="{00000000-0005-0000-0000-0000250F0000}"/>
    <cellStyle name="_FTQ Tri Charts Jan'05_II.5. RawMaterials_Guidance_P&amp;L Rec Qtr" xfId="3879" xr:uid="{00000000-0005-0000-0000-0000260F0000}"/>
    <cellStyle name="_FTQ Tri Charts Jan'05_II.5. RawMaterials_Guidance_Sheet1" xfId="3880" xr:uid="{00000000-0005-0000-0000-0000270F0000}"/>
    <cellStyle name="_FTQ Tri Charts Jan'05_II.5. RawMaterials_Guidance_Sheet2" xfId="3881" xr:uid="{00000000-0005-0000-0000-0000280F0000}"/>
    <cellStyle name="_FTQ Tri Charts Jan'05_II.5. RawMaterials_Guidance_Sheet3" xfId="3882" xr:uid="{00000000-0005-0000-0000-0000290F0000}"/>
    <cellStyle name="_FTQ Tri Charts Jan'05_II.5. RawMaterials_Guidance_Sheet4" xfId="3883" xr:uid="{00000000-0005-0000-0000-00002A0F0000}"/>
    <cellStyle name="_FTQ Tri Charts Jan'05_II.5. RawMaterials_P&amp;L Rec Qtr" xfId="3884" xr:uid="{00000000-0005-0000-0000-00002B0F0000}"/>
    <cellStyle name="_FTQ Tri Charts Jan'05_II.5. RawMaterials_Sheet1" xfId="3885" xr:uid="{00000000-0005-0000-0000-00002C0F0000}"/>
    <cellStyle name="_FTQ Tri Charts Jan'05_II.5. RawMaterials_Sheet2" xfId="3886" xr:uid="{00000000-0005-0000-0000-00002D0F0000}"/>
    <cellStyle name="_FTQ Tri Charts Jan'05_II.5. RawMaterials_Sheet3" xfId="3887" xr:uid="{00000000-0005-0000-0000-00002E0F0000}"/>
    <cellStyle name="_FTQ Tri Charts Jan'05_II.5. RawMaterials_Sheet4" xfId="3888" xr:uid="{00000000-0005-0000-0000-00002F0F0000}"/>
    <cellStyle name="_FTQ Tri Charts Jan'05_II.5. RM Volume Sensitivities" xfId="3889" xr:uid="{00000000-0005-0000-0000-0000300F0000}"/>
    <cellStyle name="_FTQ Tri Charts Jan'05_II.5. RM Volume Sensitivities 2" xfId="3890" xr:uid="{00000000-0005-0000-0000-0000310F0000}"/>
    <cellStyle name="_FTQ Tri Charts Jan'05_II.5. RM Volume Sensitivities_BS retrieve" xfId="3891" xr:uid="{00000000-0005-0000-0000-0000320F0000}"/>
    <cellStyle name="_FTQ Tri Charts Jan'05_II.5. RM Volume Sensitivities_Free CF" xfId="3892" xr:uid="{00000000-0005-0000-0000-0000330F0000}"/>
    <cellStyle name="_FTQ Tri Charts Jan'05_II.5. RM Volume Sensitivities_P&amp;L Rec Qtr" xfId="3893" xr:uid="{00000000-0005-0000-0000-0000340F0000}"/>
    <cellStyle name="_FTQ Tri Charts Jan'05_II.5. RM Volume Sensitivities_Sheet1" xfId="3894" xr:uid="{00000000-0005-0000-0000-0000350F0000}"/>
    <cellStyle name="_FTQ Tri Charts Jan'05_II.5. RM Volume Sensitivities_Sheet2" xfId="3895" xr:uid="{00000000-0005-0000-0000-0000360F0000}"/>
    <cellStyle name="_FTQ Tri Charts Jan'05_II.5. RM Volume Sensitivities_Sheet3" xfId="3896" xr:uid="{00000000-0005-0000-0000-0000370F0000}"/>
    <cellStyle name="_FTQ Tri Charts Jan'05_II.5. RM Volume Sensitivities_Sheet4" xfId="3897" xr:uid="{00000000-0005-0000-0000-0000380F0000}"/>
    <cellStyle name="_FTQ Tri Charts Jan'05_II.8. Sep&amp;Discrete" xfId="3898" xr:uid="{00000000-0005-0000-0000-0000390F0000}"/>
    <cellStyle name="_FTQ Tri Charts Jan'05_II.8. Sep&amp;Discrete_Guidance" xfId="3899" xr:uid="{00000000-0005-0000-0000-00003A0F0000}"/>
    <cellStyle name="_FTQ Tri Charts Jan'05_II.8. Sep&amp;Discrete_Guidance 2" xfId="3900" xr:uid="{00000000-0005-0000-0000-00003B0F0000}"/>
    <cellStyle name="_FTQ Tri Charts Jan'05_II.8. Sep&amp;Discrete_Guidance_BS retrieve" xfId="3901" xr:uid="{00000000-0005-0000-0000-00003C0F0000}"/>
    <cellStyle name="_FTQ Tri Charts Jan'05_II.8. Sep&amp;Discrete_Guidance_Free CF" xfId="3902" xr:uid="{00000000-0005-0000-0000-00003D0F0000}"/>
    <cellStyle name="_FTQ Tri Charts Jan'05_II.8. Sep&amp;Discrete_Guidance_P&amp;L Rec Qtr" xfId="3903" xr:uid="{00000000-0005-0000-0000-00003E0F0000}"/>
    <cellStyle name="_FTQ Tri Charts Jan'05_II.8. Sep&amp;Discrete_Guidance_Sheet1" xfId="3904" xr:uid="{00000000-0005-0000-0000-00003F0F0000}"/>
    <cellStyle name="_FTQ Tri Charts Jan'05_II.8. Sep&amp;Discrete_Guidance_Sheet2" xfId="3905" xr:uid="{00000000-0005-0000-0000-0000400F0000}"/>
    <cellStyle name="_FTQ Tri Charts Jan'05_II.8. Sep&amp;Discrete_Guidance_Sheet3" xfId="3906" xr:uid="{00000000-0005-0000-0000-0000410F0000}"/>
    <cellStyle name="_FTQ Tri Charts Jan'05_II.8. Sep&amp;Discrete_Guidance_Sheet4" xfId="3907" xr:uid="{00000000-0005-0000-0000-0000420F0000}"/>
    <cellStyle name="_FTQ Tri Charts Jan'05_Restructuring &amp; Separation" xfId="3908" xr:uid="{00000000-0005-0000-0000-0000430F0000}"/>
    <cellStyle name="_FTQ Tri Charts Jan'05_Restructuring &amp; Separation_Guidance" xfId="3909" xr:uid="{00000000-0005-0000-0000-0000440F0000}"/>
    <cellStyle name="_FTQ Tri Charts Jan'05_Restructuring &amp; Separation_Guidance 2" xfId="3910" xr:uid="{00000000-0005-0000-0000-0000450F0000}"/>
    <cellStyle name="_FTQ Tri Charts Jan'05_Restructuring &amp; Separation_Guidance_BS retrieve" xfId="3911" xr:uid="{00000000-0005-0000-0000-0000460F0000}"/>
    <cellStyle name="_FTQ Tri Charts Jan'05_Restructuring &amp; Separation_Guidance_Free CF" xfId="3912" xr:uid="{00000000-0005-0000-0000-0000470F0000}"/>
    <cellStyle name="_FTQ Tri Charts Jan'05_Restructuring &amp; Separation_Guidance_P&amp;L Rec Qtr" xfId="3913" xr:uid="{00000000-0005-0000-0000-0000480F0000}"/>
    <cellStyle name="_FTQ Tri Charts Jan'05_Restructuring &amp; Separation_Guidance_Sheet1" xfId="3914" xr:uid="{00000000-0005-0000-0000-0000490F0000}"/>
    <cellStyle name="_FTQ Tri Charts Jan'05_Restructuring &amp; Separation_Guidance_Sheet2" xfId="3915" xr:uid="{00000000-0005-0000-0000-00004A0F0000}"/>
    <cellStyle name="_FTQ Tri Charts Jan'05_Restructuring &amp; Separation_Guidance_Sheet3" xfId="3916" xr:uid="{00000000-0005-0000-0000-00004B0F0000}"/>
    <cellStyle name="_FTQ Tri Charts Jan'05_Restructuring &amp; Separation_Guidance_Sheet4" xfId="3917" xr:uid="{00000000-0005-0000-0000-00004C0F0000}"/>
    <cellStyle name="_FTQ Tri Charts Jan'05_Restructuring_Separation_TAX_JuneFC2010 tf" xfId="3918" xr:uid="{00000000-0005-0000-0000-00004D0F0000}"/>
    <cellStyle name="_FTQ Tri Charts Jan'05_Restructuring_Separation_TAX_JuneFC2010 tf_BS_Separation_TaxResIndem_Q12412 tf" xfId="3919" xr:uid="{00000000-0005-0000-0000-00004E0F0000}"/>
    <cellStyle name="_FTQ Tri Charts Jan'05_Restructuring_Separation_TAX_JuneFC2010 tf_BS_Separation_TaxResIndem_Q12412 tf_Guidance" xfId="3920" xr:uid="{00000000-0005-0000-0000-00004F0F0000}"/>
    <cellStyle name="_FTQ Tri Charts Jan'05_Restructuring_Separation_TAX_JuneFC2010 tf_BS_Separation_TaxResIndem_Q12412 tf_Guidance 2" xfId="3921" xr:uid="{00000000-0005-0000-0000-0000500F0000}"/>
    <cellStyle name="_FTQ Tri Charts Jan'05_Restructuring_Separation_TAX_JuneFC2010 tf_BS_Separation_TaxResIndem_Q12412 tf_Guidance_BS retrieve" xfId="3922" xr:uid="{00000000-0005-0000-0000-0000510F0000}"/>
    <cellStyle name="_FTQ Tri Charts Jan'05_Restructuring_Separation_TAX_JuneFC2010 tf_BS_Separation_TaxResIndem_Q12412 tf_Guidance_Free CF" xfId="3923" xr:uid="{00000000-0005-0000-0000-0000520F0000}"/>
    <cellStyle name="_FTQ Tri Charts Jan'05_Restructuring_Separation_TAX_JuneFC2010 tf_BS_Separation_TaxResIndem_Q12412 tf_Guidance_P&amp;L Rec Qtr" xfId="3924" xr:uid="{00000000-0005-0000-0000-0000530F0000}"/>
    <cellStyle name="_FTQ Tri Charts Jan'05_Restructuring_Separation_TAX_JuneFC2010 tf_BS_Separation_TaxResIndem_Q12412 tf_Guidance_Sheet1" xfId="3925" xr:uid="{00000000-0005-0000-0000-0000540F0000}"/>
    <cellStyle name="_FTQ Tri Charts Jan'05_Restructuring_Separation_TAX_JuneFC2010 tf_BS_Separation_TaxResIndem_Q12412 tf_Guidance_Sheet2" xfId="3926" xr:uid="{00000000-0005-0000-0000-0000550F0000}"/>
    <cellStyle name="_FTQ Tri Charts Jan'05_Restructuring_Separation_TAX_JuneFC2010 tf_BS_Separation_TaxResIndem_Q12412 tf_Guidance_Sheet3" xfId="3927" xr:uid="{00000000-0005-0000-0000-0000560F0000}"/>
    <cellStyle name="_FTQ Tri Charts Jan'05_Restructuring_Separation_TAX_JuneFC2010 tf_BS_Separation_TaxResIndem_Q12412 tf_Guidance_Sheet4" xfId="3928" xr:uid="{00000000-0005-0000-0000-0000570F0000}"/>
    <cellStyle name="_FTQ Tri Charts Jan'05_Restructuring_Separation_TAX_JuneFC2010 tf_BS_Separation_TaxResIndem_Q12412 tf_Restructuring &amp; Separation" xfId="3929" xr:uid="{00000000-0005-0000-0000-0000580F0000}"/>
    <cellStyle name="_FTQ Tri Charts Jan'05_Restructuring_Separation_TAX_JuneFC2010 tf_BS_Separation_TaxResIndem_Q12412 tf_Restructuring &amp; Separation_Guidance" xfId="3930" xr:uid="{00000000-0005-0000-0000-0000590F0000}"/>
    <cellStyle name="_FTQ Tri Charts Jan'05_Restructuring_Separation_TAX_JuneFC2010 tf_BS_Separation_TaxResIndem_Q12412 tf_Restructuring &amp; Separation_Guidance 2" xfId="3931" xr:uid="{00000000-0005-0000-0000-00005A0F0000}"/>
    <cellStyle name="_FTQ Tri Charts Jan'05_Restructuring_Separation_TAX_JuneFC2010 tf_BS_Separation_TaxResIndem_Q12412 tf_Restructuring &amp; Separation_Guidance_BS retrieve" xfId="3932" xr:uid="{00000000-0005-0000-0000-00005B0F0000}"/>
    <cellStyle name="_FTQ Tri Charts Jan'05_Restructuring_Separation_TAX_JuneFC2010 tf_BS_Separation_TaxResIndem_Q12412 tf_Restructuring &amp; Separation_Guidance_Free CF" xfId="3933" xr:uid="{00000000-0005-0000-0000-00005C0F0000}"/>
    <cellStyle name="_FTQ Tri Charts Jan'05_Restructuring_Separation_TAX_JuneFC2010 tf_BS_Separation_TaxResIndem_Q12412 tf_Restructuring &amp; Separation_Guidance_P&amp;L Rec Qtr" xfId="3934" xr:uid="{00000000-0005-0000-0000-00005D0F0000}"/>
    <cellStyle name="_FTQ Tri Charts Jan'05_Restructuring_Separation_TAX_JuneFC2010 tf_BS_Separation_TaxResIndem_Q12412 tf_Restructuring &amp; Separation_Guidance_Sheet1" xfId="3935" xr:uid="{00000000-0005-0000-0000-00005E0F0000}"/>
    <cellStyle name="_FTQ Tri Charts Jan'05_Restructuring_Separation_TAX_JuneFC2010 tf_BS_Separation_TaxResIndem_Q12412 tf_Restructuring &amp; Separation_Guidance_Sheet2" xfId="3936" xr:uid="{00000000-0005-0000-0000-00005F0F0000}"/>
    <cellStyle name="_FTQ Tri Charts Jan'05_Restructuring_Separation_TAX_JuneFC2010 tf_BS_Separation_TaxResIndem_Q12412 tf_Restructuring &amp; Separation_Guidance_Sheet3" xfId="3937" xr:uid="{00000000-0005-0000-0000-0000600F0000}"/>
    <cellStyle name="_FTQ Tri Charts Jan'05_Restructuring_Separation_TAX_JuneFC2010 tf_BS_Separation_TaxResIndem_Q12412 tf_Restructuring &amp; Separation_Guidance_Sheet4" xfId="3938" xr:uid="{00000000-0005-0000-0000-0000610F0000}"/>
    <cellStyle name="_FTQ Tri Charts Jan'05_Restructuring_Separation_TAX_JuneFC2010 tf_Guidance" xfId="3939" xr:uid="{00000000-0005-0000-0000-0000620F0000}"/>
    <cellStyle name="_FTQ Tri Charts Jan'05_Restructuring_Separation_TAX_JuneFC2010 tf_Guidance 2" xfId="3940" xr:uid="{00000000-0005-0000-0000-0000630F0000}"/>
    <cellStyle name="_FTQ Tri Charts Jan'05_Restructuring_Separation_TAX_JuneFC2010 tf_Guidance_BS retrieve" xfId="3941" xr:uid="{00000000-0005-0000-0000-0000640F0000}"/>
    <cellStyle name="_FTQ Tri Charts Jan'05_Restructuring_Separation_TAX_JuneFC2010 tf_Guidance_Free CF" xfId="3942" xr:uid="{00000000-0005-0000-0000-0000650F0000}"/>
    <cellStyle name="_FTQ Tri Charts Jan'05_Restructuring_Separation_TAX_JuneFC2010 tf_Guidance_P&amp;L Rec Qtr" xfId="3943" xr:uid="{00000000-0005-0000-0000-0000660F0000}"/>
    <cellStyle name="_FTQ Tri Charts Jan'05_Restructuring_Separation_TAX_JuneFC2010 tf_Guidance_Sheet1" xfId="3944" xr:uid="{00000000-0005-0000-0000-0000670F0000}"/>
    <cellStyle name="_FTQ Tri Charts Jan'05_Restructuring_Separation_TAX_JuneFC2010 tf_Guidance_Sheet2" xfId="3945" xr:uid="{00000000-0005-0000-0000-0000680F0000}"/>
    <cellStyle name="_FTQ Tri Charts Jan'05_Restructuring_Separation_TAX_JuneFC2010 tf_Guidance_Sheet3" xfId="3946" xr:uid="{00000000-0005-0000-0000-0000690F0000}"/>
    <cellStyle name="_FTQ Tri Charts Jan'05_Restructuring_Separation_TAX_JuneFC2010 tf_Guidance_Sheet4" xfId="3947" xr:uid="{00000000-0005-0000-0000-00006A0F0000}"/>
    <cellStyle name="_FTQ Tri Charts Jan'05_Restructuring_Separation_TAX_JuneFC2010 tf_II.8. Sep&amp;Discrete" xfId="3948" xr:uid="{00000000-0005-0000-0000-00006B0F0000}"/>
    <cellStyle name="_FTQ Tri Charts Jan'05_Restructuring_Separation_TAX_JuneFC2010 tf_II.8. Sep&amp;Discrete_Guidance" xfId="3949" xr:uid="{00000000-0005-0000-0000-00006C0F0000}"/>
    <cellStyle name="_FTQ Tri Charts Jan'05_Restructuring_Separation_TAX_JuneFC2010 tf_II.8. Sep&amp;Discrete_Guidance 2" xfId="3950" xr:uid="{00000000-0005-0000-0000-00006D0F0000}"/>
    <cellStyle name="_FTQ Tri Charts Jan'05_Restructuring_Separation_TAX_JuneFC2010 tf_II.8. Sep&amp;Discrete_Guidance_BS retrieve" xfId="3951" xr:uid="{00000000-0005-0000-0000-00006E0F0000}"/>
    <cellStyle name="_FTQ Tri Charts Jan'05_Restructuring_Separation_TAX_JuneFC2010 tf_II.8. Sep&amp;Discrete_Guidance_Free CF" xfId="3952" xr:uid="{00000000-0005-0000-0000-00006F0F0000}"/>
    <cellStyle name="_FTQ Tri Charts Jan'05_Restructuring_Separation_TAX_JuneFC2010 tf_II.8. Sep&amp;Discrete_Guidance_P&amp;L Rec Qtr" xfId="3953" xr:uid="{00000000-0005-0000-0000-0000700F0000}"/>
    <cellStyle name="_FTQ Tri Charts Jan'05_Restructuring_Separation_TAX_JuneFC2010 tf_II.8. Sep&amp;Discrete_Guidance_Sheet1" xfId="3954" xr:uid="{00000000-0005-0000-0000-0000710F0000}"/>
    <cellStyle name="_FTQ Tri Charts Jan'05_Restructuring_Separation_TAX_JuneFC2010 tf_II.8. Sep&amp;Discrete_Guidance_Sheet2" xfId="3955" xr:uid="{00000000-0005-0000-0000-0000720F0000}"/>
    <cellStyle name="_FTQ Tri Charts Jan'05_Restructuring_Separation_TAX_JuneFC2010 tf_II.8. Sep&amp;Discrete_Guidance_Sheet3" xfId="3956" xr:uid="{00000000-0005-0000-0000-0000730F0000}"/>
    <cellStyle name="_FTQ Tri Charts Jan'05_Restructuring_Separation_TAX_JuneFC2010 tf_II.8. Sep&amp;Discrete_Guidance_Sheet4" xfId="3957" xr:uid="{00000000-0005-0000-0000-0000740F0000}"/>
    <cellStyle name="_FTQ Tri Charts Jan'05_Restructuring_Separation_TAX_JuneFC2010 tf_Restructuring &amp; Separation" xfId="3958" xr:uid="{00000000-0005-0000-0000-0000750F0000}"/>
    <cellStyle name="_FTQ Tri Charts Jan'05_Restructuring_Separation_TAX_JuneFC2010 tf_Restructuring &amp; Separation_Guidance" xfId="3959" xr:uid="{00000000-0005-0000-0000-0000760F0000}"/>
    <cellStyle name="_FTQ Tri Charts Jan'05_Restructuring_Separation_TAX_JuneFC2010 tf_Restructuring &amp; Separation_Guidance 2" xfId="3960" xr:uid="{00000000-0005-0000-0000-0000770F0000}"/>
    <cellStyle name="_FTQ Tri Charts Jan'05_Restructuring_Separation_TAX_JuneFC2010 tf_Restructuring &amp; Separation_Guidance_BS retrieve" xfId="3961" xr:uid="{00000000-0005-0000-0000-0000780F0000}"/>
    <cellStyle name="_FTQ Tri Charts Jan'05_Restructuring_Separation_TAX_JuneFC2010 tf_Restructuring &amp; Separation_Guidance_Free CF" xfId="3962" xr:uid="{00000000-0005-0000-0000-0000790F0000}"/>
    <cellStyle name="_FTQ Tri Charts Jan'05_Restructuring_Separation_TAX_JuneFC2010 tf_Restructuring &amp; Separation_Guidance_P&amp;L Rec Qtr" xfId="3963" xr:uid="{00000000-0005-0000-0000-00007A0F0000}"/>
    <cellStyle name="_FTQ Tri Charts Jan'05_Restructuring_Separation_TAX_JuneFC2010 tf_Restructuring &amp; Separation_Guidance_Sheet1" xfId="3964" xr:uid="{00000000-0005-0000-0000-00007B0F0000}"/>
    <cellStyle name="_FTQ Tri Charts Jan'05_Restructuring_Separation_TAX_JuneFC2010 tf_Restructuring &amp; Separation_Guidance_Sheet2" xfId="3965" xr:uid="{00000000-0005-0000-0000-00007C0F0000}"/>
    <cellStyle name="_FTQ Tri Charts Jan'05_Restructuring_Separation_TAX_JuneFC2010 tf_Restructuring &amp; Separation_Guidance_Sheet3" xfId="3966" xr:uid="{00000000-0005-0000-0000-00007D0F0000}"/>
    <cellStyle name="_FTQ Tri Charts Jan'05_Restructuring_Separation_TAX_JuneFC2010 tf_Restructuring &amp; Separation_Guidance_Sheet4" xfId="3967" xr:uid="{00000000-0005-0000-0000-00007E0F0000}"/>
    <cellStyle name="_FTQ Tri Charts March`05" xfId="3968" xr:uid="{00000000-0005-0000-0000-00007F0F0000}"/>
    <cellStyle name="_FTQ Tri Charts March`05_BS_Separation_TaxResIndem_Q12412 tf" xfId="3969" xr:uid="{00000000-0005-0000-0000-0000800F0000}"/>
    <cellStyle name="_FTQ Tri Charts March`05_BS_Separation_TaxResIndem_Q12412 tf_Guidance" xfId="3970" xr:uid="{00000000-0005-0000-0000-0000810F0000}"/>
    <cellStyle name="_FTQ Tri Charts March`05_BS_Separation_TaxResIndem_Q12412 tf_Guidance 2" xfId="3971" xr:uid="{00000000-0005-0000-0000-0000820F0000}"/>
    <cellStyle name="_FTQ Tri Charts March`05_BS_Separation_TaxResIndem_Q12412 tf_Guidance_BS retrieve" xfId="3972" xr:uid="{00000000-0005-0000-0000-0000830F0000}"/>
    <cellStyle name="_FTQ Tri Charts March`05_BS_Separation_TaxResIndem_Q12412 tf_Guidance_Free CF" xfId="3973" xr:uid="{00000000-0005-0000-0000-0000840F0000}"/>
    <cellStyle name="_FTQ Tri Charts March`05_BS_Separation_TaxResIndem_Q12412 tf_Guidance_P&amp;L Rec Qtr" xfId="3974" xr:uid="{00000000-0005-0000-0000-0000850F0000}"/>
    <cellStyle name="_FTQ Tri Charts March`05_BS_Separation_TaxResIndem_Q12412 tf_Guidance_Sheet1" xfId="3975" xr:uid="{00000000-0005-0000-0000-0000860F0000}"/>
    <cellStyle name="_FTQ Tri Charts March`05_BS_Separation_TaxResIndem_Q12412 tf_Guidance_Sheet2" xfId="3976" xr:uid="{00000000-0005-0000-0000-0000870F0000}"/>
    <cellStyle name="_FTQ Tri Charts March`05_BS_Separation_TaxResIndem_Q12412 tf_Guidance_Sheet3" xfId="3977" xr:uid="{00000000-0005-0000-0000-0000880F0000}"/>
    <cellStyle name="_FTQ Tri Charts March`05_BS_Separation_TaxResIndem_Q12412 tf_Guidance_Sheet4" xfId="3978" xr:uid="{00000000-0005-0000-0000-0000890F0000}"/>
    <cellStyle name="_FTQ Tri Charts March`05_BS_Separation_TaxResIndem_Q12412 tf_Restructuring &amp; Separation" xfId="3979" xr:uid="{00000000-0005-0000-0000-00008A0F0000}"/>
    <cellStyle name="_FTQ Tri Charts March`05_BS_Separation_TaxResIndem_Q12412 tf_Restructuring &amp; Separation_Guidance" xfId="3980" xr:uid="{00000000-0005-0000-0000-00008B0F0000}"/>
    <cellStyle name="_FTQ Tri Charts March`05_BS_Separation_TaxResIndem_Q12412 tf_Restructuring &amp; Separation_Guidance 2" xfId="3981" xr:uid="{00000000-0005-0000-0000-00008C0F0000}"/>
    <cellStyle name="_FTQ Tri Charts March`05_BS_Separation_TaxResIndem_Q12412 tf_Restructuring &amp; Separation_Guidance_BS retrieve" xfId="3982" xr:uid="{00000000-0005-0000-0000-00008D0F0000}"/>
    <cellStyle name="_FTQ Tri Charts March`05_BS_Separation_TaxResIndem_Q12412 tf_Restructuring &amp; Separation_Guidance_Free CF" xfId="3983" xr:uid="{00000000-0005-0000-0000-00008E0F0000}"/>
    <cellStyle name="_FTQ Tri Charts March`05_BS_Separation_TaxResIndem_Q12412 tf_Restructuring &amp; Separation_Guidance_P&amp;L Rec Qtr" xfId="3984" xr:uid="{00000000-0005-0000-0000-00008F0F0000}"/>
    <cellStyle name="_FTQ Tri Charts March`05_BS_Separation_TaxResIndem_Q12412 tf_Restructuring &amp; Separation_Guidance_Sheet1" xfId="3985" xr:uid="{00000000-0005-0000-0000-0000900F0000}"/>
    <cellStyle name="_FTQ Tri Charts March`05_BS_Separation_TaxResIndem_Q12412 tf_Restructuring &amp; Separation_Guidance_Sheet2" xfId="3986" xr:uid="{00000000-0005-0000-0000-0000910F0000}"/>
    <cellStyle name="_FTQ Tri Charts March`05_BS_Separation_TaxResIndem_Q12412 tf_Restructuring &amp; Separation_Guidance_Sheet3" xfId="3987" xr:uid="{00000000-0005-0000-0000-0000920F0000}"/>
    <cellStyle name="_FTQ Tri Charts March`05_BS_Separation_TaxResIndem_Q12412 tf_Restructuring &amp; Separation_Guidance_Sheet4" xfId="3988" xr:uid="{00000000-0005-0000-0000-0000930F0000}"/>
    <cellStyle name="_FTQ Tri Charts March`05_By Country Detail 1Q10 041410pm FIN 18 revised per disc w Mary" xfId="3989" xr:uid="{00000000-0005-0000-0000-0000940F0000}"/>
    <cellStyle name="_FTQ Tri Charts March`05_By Country Detail 1Q10 041410pm FIN 18 revised per disc w Mary_BS_Separation_TaxResIndem_Q12412 tf" xfId="3990" xr:uid="{00000000-0005-0000-0000-0000950F0000}"/>
    <cellStyle name="_FTQ Tri Charts March`05_By Country Detail 1Q10 041410pm FIN 18 revised per disc w Mary_BS_Separation_TaxResIndem_Q12412 tf_Guidance" xfId="3991" xr:uid="{00000000-0005-0000-0000-0000960F0000}"/>
    <cellStyle name="_FTQ Tri Charts March`05_By Country Detail 1Q10 041410pm FIN 18 revised per disc w Mary_BS_Separation_TaxResIndem_Q12412 tf_Guidance 2" xfId="3992" xr:uid="{00000000-0005-0000-0000-0000970F0000}"/>
    <cellStyle name="_FTQ Tri Charts March`05_By Country Detail 1Q10 041410pm FIN 18 revised per disc w Mary_BS_Separation_TaxResIndem_Q12412 tf_Guidance_BS retrieve" xfId="3993" xr:uid="{00000000-0005-0000-0000-0000980F0000}"/>
    <cellStyle name="_FTQ Tri Charts March`05_By Country Detail 1Q10 041410pm FIN 18 revised per disc w Mary_BS_Separation_TaxResIndem_Q12412 tf_Guidance_Free CF" xfId="3994" xr:uid="{00000000-0005-0000-0000-0000990F0000}"/>
    <cellStyle name="_FTQ Tri Charts March`05_By Country Detail 1Q10 041410pm FIN 18 revised per disc w Mary_BS_Separation_TaxResIndem_Q12412 tf_Guidance_P&amp;L Rec Qtr" xfId="3995" xr:uid="{00000000-0005-0000-0000-00009A0F0000}"/>
    <cellStyle name="_FTQ Tri Charts March`05_By Country Detail 1Q10 041410pm FIN 18 revised per disc w Mary_BS_Separation_TaxResIndem_Q12412 tf_Guidance_Sheet1" xfId="3996" xr:uid="{00000000-0005-0000-0000-00009B0F0000}"/>
    <cellStyle name="_FTQ Tri Charts March`05_By Country Detail 1Q10 041410pm FIN 18 revised per disc w Mary_BS_Separation_TaxResIndem_Q12412 tf_Guidance_Sheet2" xfId="3997" xr:uid="{00000000-0005-0000-0000-00009C0F0000}"/>
    <cellStyle name="_FTQ Tri Charts March`05_By Country Detail 1Q10 041410pm FIN 18 revised per disc w Mary_BS_Separation_TaxResIndem_Q12412 tf_Guidance_Sheet3" xfId="3998" xr:uid="{00000000-0005-0000-0000-00009D0F0000}"/>
    <cellStyle name="_FTQ Tri Charts March`05_By Country Detail 1Q10 041410pm FIN 18 revised per disc w Mary_BS_Separation_TaxResIndem_Q12412 tf_Guidance_Sheet4" xfId="3999" xr:uid="{00000000-0005-0000-0000-00009E0F0000}"/>
    <cellStyle name="_FTQ Tri Charts March`05_By Country Detail 1Q10 041410pm FIN 18 revised per disc w Mary_BS_Separation_TaxResIndem_Q12412 tf_Restructuring &amp; Separation" xfId="4000" xr:uid="{00000000-0005-0000-0000-00009F0F0000}"/>
    <cellStyle name="_FTQ Tri Charts March`05_By Country Detail 1Q10 041410pm FIN 18 revised per disc w Mary_BS_Separation_TaxResIndem_Q12412 tf_Restructuring &amp; Separation_Guidance" xfId="4001" xr:uid="{00000000-0005-0000-0000-0000A00F0000}"/>
    <cellStyle name="_FTQ Tri Charts March`05_By Country Detail 1Q10 041410pm FIN 18 revised per disc w Mary_BS_Separation_TaxResIndem_Q12412 tf_Restructuring &amp; Separation_Guidance 2" xfId="4002" xr:uid="{00000000-0005-0000-0000-0000A10F0000}"/>
    <cellStyle name="_FTQ Tri Charts March`05_By Country Detail 1Q10 041410pm FIN 18 revised per disc w Mary_BS_Separation_TaxResIndem_Q12412 tf_Restructuring &amp; Separation_Guidance_BS retrieve" xfId="4003" xr:uid="{00000000-0005-0000-0000-0000A20F0000}"/>
    <cellStyle name="_FTQ Tri Charts March`05_By Country Detail 1Q10 041410pm FIN 18 revised per disc w Mary_BS_Separation_TaxResIndem_Q12412 tf_Restructuring &amp; Separation_Guidance_Free CF" xfId="4004" xr:uid="{00000000-0005-0000-0000-0000A30F0000}"/>
    <cellStyle name="_FTQ Tri Charts March`05_By Country Detail 1Q10 041410pm FIN 18 revised per disc w Mary_BS_Separation_TaxResIndem_Q12412 tf_Restructuring &amp; Separation_Guidance_P&amp;L Rec Qtr" xfId="4005" xr:uid="{00000000-0005-0000-0000-0000A40F0000}"/>
    <cellStyle name="_FTQ Tri Charts March`05_By Country Detail 1Q10 041410pm FIN 18 revised per disc w Mary_BS_Separation_TaxResIndem_Q12412 tf_Restructuring &amp; Separation_Guidance_Sheet1" xfId="4006" xr:uid="{00000000-0005-0000-0000-0000A50F0000}"/>
    <cellStyle name="_FTQ Tri Charts March`05_By Country Detail 1Q10 041410pm FIN 18 revised per disc w Mary_BS_Separation_TaxResIndem_Q12412 tf_Restructuring &amp; Separation_Guidance_Sheet2" xfId="4007" xr:uid="{00000000-0005-0000-0000-0000A60F0000}"/>
    <cellStyle name="_FTQ Tri Charts March`05_By Country Detail 1Q10 041410pm FIN 18 revised per disc w Mary_BS_Separation_TaxResIndem_Q12412 tf_Restructuring &amp; Separation_Guidance_Sheet3" xfId="4008" xr:uid="{00000000-0005-0000-0000-0000A70F0000}"/>
    <cellStyle name="_FTQ Tri Charts March`05_By Country Detail 1Q10 041410pm FIN 18 revised per disc w Mary_BS_Separation_TaxResIndem_Q12412 tf_Restructuring &amp; Separation_Guidance_Sheet4" xfId="4009" xr:uid="{00000000-0005-0000-0000-0000A80F0000}"/>
    <cellStyle name="_FTQ Tri Charts March`05_By Country Detail 1Q10 041410pm FIN 18 revised per disc w Mary_Guidance" xfId="4010" xr:uid="{00000000-0005-0000-0000-0000A90F0000}"/>
    <cellStyle name="_FTQ Tri Charts March`05_By Country Detail 1Q10 041410pm FIN 18 revised per disc w Mary_Guidance 2" xfId="4011" xr:uid="{00000000-0005-0000-0000-0000AA0F0000}"/>
    <cellStyle name="_FTQ Tri Charts March`05_By Country Detail 1Q10 041410pm FIN 18 revised per disc w Mary_Guidance_BS retrieve" xfId="4012" xr:uid="{00000000-0005-0000-0000-0000AB0F0000}"/>
    <cellStyle name="_FTQ Tri Charts March`05_By Country Detail 1Q10 041410pm FIN 18 revised per disc w Mary_Guidance_Free CF" xfId="4013" xr:uid="{00000000-0005-0000-0000-0000AC0F0000}"/>
    <cellStyle name="_FTQ Tri Charts March`05_By Country Detail 1Q10 041410pm FIN 18 revised per disc w Mary_Guidance_P&amp;L Rec Qtr" xfId="4014" xr:uid="{00000000-0005-0000-0000-0000AD0F0000}"/>
    <cellStyle name="_FTQ Tri Charts March`05_By Country Detail 1Q10 041410pm FIN 18 revised per disc w Mary_Guidance_Sheet1" xfId="4015" xr:uid="{00000000-0005-0000-0000-0000AE0F0000}"/>
    <cellStyle name="_FTQ Tri Charts March`05_By Country Detail 1Q10 041410pm FIN 18 revised per disc w Mary_Guidance_Sheet2" xfId="4016" xr:uid="{00000000-0005-0000-0000-0000AF0F0000}"/>
    <cellStyle name="_FTQ Tri Charts March`05_By Country Detail 1Q10 041410pm FIN 18 revised per disc w Mary_Guidance_Sheet3" xfId="4017" xr:uid="{00000000-0005-0000-0000-0000B00F0000}"/>
    <cellStyle name="_FTQ Tri Charts March`05_By Country Detail 1Q10 041410pm FIN 18 revised per disc w Mary_Guidance_Sheet4" xfId="4018" xr:uid="{00000000-0005-0000-0000-0000B10F0000}"/>
    <cellStyle name="_FTQ Tri Charts March`05_By Country Detail 1Q10 041410pm FIN 18 revised per disc w Mary_II.8. Sep&amp;Discrete" xfId="4019" xr:uid="{00000000-0005-0000-0000-0000B20F0000}"/>
    <cellStyle name="_FTQ Tri Charts March`05_By Country Detail 1Q10 041410pm FIN 18 revised per disc w Mary_II.8. Sep&amp;Discrete_Guidance" xfId="4020" xr:uid="{00000000-0005-0000-0000-0000B30F0000}"/>
    <cellStyle name="_FTQ Tri Charts March`05_By Country Detail 1Q10 041410pm FIN 18 revised per disc w Mary_II.8. Sep&amp;Discrete_Guidance 2" xfId="4021" xr:uid="{00000000-0005-0000-0000-0000B40F0000}"/>
    <cellStyle name="_FTQ Tri Charts March`05_By Country Detail 1Q10 041410pm FIN 18 revised per disc w Mary_II.8. Sep&amp;Discrete_Guidance_BS retrieve" xfId="4022" xr:uid="{00000000-0005-0000-0000-0000B50F0000}"/>
    <cellStyle name="_FTQ Tri Charts March`05_By Country Detail 1Q10 041410pm FIN 18 revised per disc w Mary_II.8. Sep&amp;Discrete_Guidance_Free CF" xfId="4023" xr:uid="{00000000-0005-0000-0000-0000B60F0000}"/>
    <cellStyle name="_FTQ Tri Charts March`05_By Country Detail 1Q10 041410pm FIN 18 revised per disc w Mary_II.8. Sep&amp;Discrete_Guidance_P&amp;L Rec Qtr" xfId="4024" xr:uid="{00000000-0005-0000-0000-0000B70F0000}"/>
    <cellStyle name="_FTQ Tri Charts March`05_By Country Detail 1Q10 041410pm FIN 18 revised per disc w Mary_II.8. Sep&amp;Discrete_Guidance_Sheet1" xfId="4025" xr:uid="{00000000-0005-0000-0000-0000B80F0000}"/>
    <cellStyle name="_FTQ Tri Charts March`05_By Country Detail 1Q10 041410pm FIN 18 revised per disc w Mary_II.8. Sep&amp;Discrete_Guidance_Sheet2" xfId="4026" xr:uid="{00000000-0005-0000-0000-0000B90F0000}"/>
    <cellStyle name="_FTQ Tri Charts March`05_By Country Detail 1Q10 041410pm FIN 18 revised per disc w Mary_II.8. Sep&amp;Discrete_Guidance_Sheet3" xfId="4027" xr:uid="{00000000-0005-0000-0000-0000BA0F0000}"/>
    <cellStyle name="_FTQ Tri Charts March`05_By Country Detail 1Q10 041410pm FIN 18 revised per disc w Mary_II.8. Sep&amp;Discrete_Guidance_Sheet4" xfId="4028" xr:uid="{00000000-0005-0000-0000-0000BB0F0000}"/>
    <cellStyle name="_FTQ Tri Charts March`05_By Country Detail 1Q10 041410pm FIN 18 revised per disc w Mary_Restructuring &amp; Separation" xfId="4029" xr:uid="{00000000-0005-0000-0000-0000BC0F0000}"/>
    <cellStyle name="_FTQ Tri Charts March`05_By Country Detail 1Q10 041410pm FIN 18 revised per disc w Mary_Restructuring &amp; Separation_Guidance" xfId="4030" xr:uid="{00000000-0005-0000-0000-0000BD0F0000}"/>
    <cellStyle name="_FTQ Tri Charts March`05_By Country Detail 1Q10 041410pm FIN 18 revised per disc w Mary_Restructuring &amp; Separation_Guidance 2" xfId="4031" xr:uid="{00000000-0005-0000-0000-0000BE0F0000}"/>
    <cellStyle name="_FTQ Tri Charts March`05_By Country Detail 1Q10 041410pm FIN 18 revised per disc w Mary_Restructuring &amp; Separation_Guidance_BS retrieve" xfId="4032" xr:uid="{00000000-0005-0000-0000-0000BF0F0000}"/>
    <cellStyle name="_FTQ Tri Charts March`05_By Country Detail 1Q10 041410pm FIN 18 revised per disc w Mary_Restructuring &amp; Separation_Guidance_Free CF" xfId="4033" xr:uid="{00000000-0005-0000-0000-0000C00F0000}"/>
    <cellStyle name="_FTQ Tri Charts March`05_By Country Detail 1Q10 041410pm FIN 18 revised per disc w Mary_Restructuring &amp; Separation_Guidance_P&amp;L Rec Qtr" xfId="4034" xr:uid="{00000000-0005-0000-0000-0000C10F0000}"/>
    <cellStyle name="_FTQ Tri Charts March`05_By Country Detail 1Q10 041410pm FIN 18 revised per disc w Mary_Restructuring &amp; Separation_Guidance_Sheet1" xfId="4035" xr:uid="{00000000-0005-0000-0000-0000C20F0000}"/>
    <cellStyle name="_FTQ Tri Charts March`05_By Country Detail 1Q10 041410pm FIN 18 revised per disc w Mary_Restructuring &amp; Separation_Guidance_Sheet2" xfId="4036" xr:uid="{00000000-0005-0000-0000-0000C30F0000}"/>
    <cellStyle name="_FTQ Tri Charts March`05_By Country Detail 1Q10 041410pm FIN 18 revised per disc w Mary_Restructuring &amp; Separation_Guidance_Sheet3" xfId="4037" xr:uid="{00000000-0005-0000-0000-0000C40F0000}"/>
    <cellStyle name="_FTQ Tri Charts March`05_By Country Detail 1Q10 041410pm FIN 18 revised per disc w Mary_Restructuring &amp; Separation_Guidance_Sheet4" xfId="4038" xr:uid="{00000000-0005-0000-0000-0000C50F0000}"/>
    <cellStyle name="_FTQ Tri Charts March`05_Guidance" xfId="4039" xr:uid="{00000000-0005-0000-0000-0000C60F0000}"/>
    <cellStyle name="_FTQ Tri Charts March`05_Guidance 2" xfId="4040" xr:uid="{00000000-0005-0000-0000-0000C70F0000}"/>
    <cellStyle name="_FTQ Tri Charts March`05_Guidance_BS retrieve" xfId="4041" xr:uid="{00000000-0005-0000-0000-0000C80F0000}"/>
    <cellStyle name="_FTQ Tri Charts March`05_Guidance_Free CF" xfId="4042" xr:uid="{00000000-0005-0000-0000-0000C90F0000}"/>
    <cellStyle name="_FTQ Tri Charts March`05_Guidance_P&amp;L Rec Qtr" xfId="4043" xr:uid="{00000000-0005-0000-0000-0000CA0F0000}"/>
    <cellStyle name="_FTQ Tri Charts March`05_Guidance_Sheet1" xfId="4044" xr:uid="{00000000-0005-0000-0000-0000CB0F0000}"/>
    <cellStyle name="_FTQ Tri Charts March`05_Guidance_Sheet2" xfId="4045" xr:uid="{00000000-0005-0000-0000-0000CC0F0000}"/>
    <cellStyle name="_FTQ Tri Charts March`05_Guidance_Sheet3" xfId="4046" xr:uid="{00000000-0005-0000-0000-0000CD0F0000}"/>
    <cellStyle name="_FTQ Tri Charts March`05_Guidance_Sheet4" xfId="4047" xr:uid="{00000000-0005-0000-0000-0000CE0F0000}"/>
    <cellStyle name="_FTQ Tri Charts March`05_II.4. RawMaterials" xfId="4048" xr:uid="{00000000-0005-0000-0000-0000CF0F0000}"/>
    <cellStyle name="_FTQ Tri Charts March`05_II.4. RawMaterials 2" xfId="4049" xr:uid="{00000000-0005-0000-0000-0000D00F0000}"/>
    <cellStyle name="_FTQ Tri Charts March`05_II.4. RawMaterials_BS retrieve" xfId="4050" xr:uid="{00000000-0005-0000-0000-0000D10F0000}"/>
    <cellStyle name="_FTQ Tri Charts March`05_II.4. RawMaterials_Free CF" xfId="4051" xr:uid="{00000000-0005-0000-0000-0000D20F0000}"/>
    <cellStyle name="_FTQ Tri Charts March`05_II.4. RawMaterials_P&amp;L Rec Qtr" xfId="4052" xr:uid="{00000000-0005-0000-0000-0000D30F0000}"/>
    <cellStyle name="_FTQ Tri Charts March`05_II.4. RawMaterials_Sheet1" xfId="4053" xr:uid="{00000000-0005-0000-0000-0000D40F0000}"/>
    <cellStyle name="_FTQ Tri Charts March`05_II.4. RawMaterials_Sheet2" xfId="4054" xr:uid="{00000000-0005-0000-0000-0000D50F0000}"/>
    <cellStyle name="_FTQ Tri Charts March`05_II.4. RawMaterials_Sheet3" xfId="4055" xr:uid="{00000000-0005-0000-0000-0000D60F0000}"/>
    <cellStyle name="_FTQ Tri Charts March`05_II.4. RawMaterials_Sheet4" xfId="4056" xr:uid="{00000000-0005-0000-0000-0000D70F0000}"/>
    <cellStyle name="_FTQ Tri Charts March`05_II.5. RawMaterials" xfId="4057" xr:uid="{00000000-0005-0000-0000-0000D80F0000}"/>
    <cellStyle name="_FTQ Tri Charts March`05_II.5. RawMaterials 2" xfId="4058" xr:uid="{00000000-0005-0000-0000-0000D90F0000}"/>
    <cellStyle name="_FTQ Tri Charts March`05_II.5. RawMaterials_BS retrieve" xfId="4059" xr:uid="{00000000-0005-0000-0000-0000DA0F0000}"/>
    <cellStyle name="_FTQ Tri Charts March`05_II.5. RawMaterials_Free CF" xfId="4060" xr:uid="{00000000-0005-0000-0000-0000DB0F0000}"/>
    <cellStyle name="_FTQ Tri Charts March`05_II.5. RawMaterials_Guidance" xfId="4061" xr:uid="{00000000-0005-0000-0000-0000DC0F0000}"/>
    <cellStyle name="_FTQ Tri Charts March`05_II.5. RawMaterials_Guidance 2" xfId="4062" xr:uid="{00000000-0005-0000-0000-0000DD0F0000}"/>
    <cellStyle name="_FTQ Tri Charts March`05_II.5. RawMaterials_Guidance_BS retrieve" xfId="4063" xr:uid="{00000000-0005-0000-0000-0000DE0F0000}"/>
    <cellStyle name="_FTQ Tri Charts March`05_II.5. RawMaterials_Guidance_Free CF" xfId="4064" xr:uid="{00000000-0005-0000-0000-0000DF0F0000}"/>
    <cellStyle name="_FTQ Tri Charts March`05_II.5. RawMaterials_Guidance_P&amp;L Rec Qtr" xfId="4065" xr:uid="{00000000-0005-0000-0000-0000E00F0000}"/>
    <cellStyle name="_FTQ Tri Charts March`05_II.5. RawMaterials_Guidance_Sheet1" xfId="4066" xr:uid="{00000000-0005-0000-0000-0000E10F0000}"/>
    <cellStyle name="_FTQ Tri Charts March`05_II.5. RawMaterials_Guidance_Sheet2" xfId="4067" xr:uid="{00000000-0005-0000-0000-0000E20F0000}"/>
    <cellStyle name="_FTQ Tri Charts March`05_II.5. RawMaterials_Guidance_Sheet3" xfId="4068" xr:uid="{00000000-0005-0000-0000-0000E30F0000}"/>
    <cellStyle name="_FTQ Tri Charts March`05_II.5. RawMaterials_Guidance_Sheet4" xfId="4069" xr:uid="{00000000-0005-0000-0000-0000E40F0000}"/>
    <cellStyle name="_FTQ Tri Charts March`05_II.5. RawMaterials_P&amp;L Rec Qtr" xfId="4070" xr:uid="{00000000-0005-0000-0000-0000E50F0000}"/>
    <cellStyle name="_FTQ Tri Charts March`05_II.5. RawMaterials_Sheet1" xfId="4071" xr:uid="{00000000-0005-0000-0000-0000E60F0000}"/>
    <cellStyle name="_FTQ Tri Charts March`05_II.5. RawMaterials_Sheet2" xfId="4072" xr:uid="{00000000-0005-0000-0000-0000E70F0000}"/>
    <cellStyle name="_FTQ Tri Charts March`05_II.5. RawMaterials_Sheet3" xfId="4073" xr:uid="{00000000-0005-0000-0000-0000E80F0000}"/>
    <cellStyle name="_FTQ Tri Charts March`05_II.5. RawMaterials_Sheet4" xfId="4074" xr:uid="{00000000-0005-0000-0000-0000E90F0000}"/>
    <cellStyle name="_FTQ Tri Charts March`05_II.5. RM Volume Sensitivities" xfId="4075" xr:uid="{00000000-0005-0000-0000-0000EA0F0000}"/>
    <cellStyle name="_FTQ Tri Charts March`05_II.5. RM Volume Sensitivities 2" xfId="4076" xr:uid="{00000000-0005-0000-0000-0000EB0F0000}"/>
    <cellStyle name="_FTQ Tri Charts March`05_II.5. RM Volume Sensitivities_BS retrieve" xfId="4077" xr:uid="{00000000-0005-0000-0000-0000EC0F0000}"/>
    <cellStyle name="_FTQ Tri Charts March`05_II.5. RM Volume Sensitivities_Free CF" xfId="4078" xr:uid="{00000000-0005-0000-0000-0000ED0F0000}"/>
    <cellStyle name="_FTQ Tri Charts March`05_II.5. RM Volume Sensitivities_P&amp;L Rec Qtr" xfId="4079" xr:uid="{00000000-0005-0000-0000-0000EE0F0000}"/>
    <cellStyle name="_FTQ Tri Charts March`05_II.5. RM Volume Sensitivities_Sheet1" xfId="4080" xr:uid="{00000000-0005-0000-0000-0000EF0F0000}"/>
    <cellStyle name="_FTQ Tri Charts March`05_II.5. RM Volume Sensitivities_Sheet2" xfId="4081" xr:uid="{00000000-0005-0000-0000-0000F00F0000}"/>
    <cellStyle name="_FTQ Tri Charts March`05_II.5. RM Volume Sensitivities_Sheet3" xfId="4082" xr:uid="{00000000-0005-0000-0000-0000F10F0000}"/>
    <cellStyle name="_FTQ Tri Charts March`05_II.5. RM Volume Sensitivities_Sheet4" xfId="4083" xr:uid="{00000000-0005-0000-0000-0000F20F0000}"/>
    <cellStyle name="_FTQ Tri Charts March`05_II.8. Sep&amp;Discrete" xfId="4084" xr:uid="{00000000-0005-0000-0000-0000F30F0000}"/>
    <cellStyle name="_FTQ Tri Charts March`05_II.8. Sep&amp;Discrete_Guidance" xfId="4085" xr:uid="{00000000-0005-0000-0000-0000F40F0000}"/>
    <cellStyle name="_FTQ Tri Charts March`05_II.8. Sep&amp;Discrete_Guidance 2" xfId="4086" xr:uid="{00000000-0005-0000-0000-0000F50F0000}"/>
    <cellStyle name="_FTQ Tri Charts March`05_II.8. Sep&amp;Discrete_Guidance_BS retrieve" xfId="4087" xr:uid="{00000000-0005-0000-0000-0000F60F0000}"/>
    <cellStyle name="_FTQ Tri Charts March`05_II.8. Sep&amp;Discrete_Guidance_Free CF" xfId="4088" xr:uid="{00000000-0005-0000-0000-0000F70F0000}"/>
    <cellStyle name="_FTQ Tri Charts March`05_II.8. Sep&amp;Discrete_Guidance_P&amp;L Rec Qtr" xfId="4089" xr:uid="{00000000-0005-0000-0000-0000F80F0000}"/>
    <cellStyle name="_FTQ Tri Charts March`05_II.8. Sep&amp;Discrete_Guidance_Sheet1" xfId="4090" xr:uid="{00000000-0005-0000-0000-0000F90F0000}"/>
    <cellStyle name="_FTQ Tri Charts March`05_II.8. Sep&amp;Discrete_Guidance_Sheet2" xfId="4091" xr:uid="{00000000-0005-0000-0000-0000FA0F0000}"/>
    <cellStyle name="_FTQ Tri Charts March`05_II.8. Sep&amp;Discrete_Guidance_Sheet3" xfId="4092" xr:uid="{00000000-0005-0000-0000-0000FB0F0000}"/>
    <cellStyle name="_FTQ Tri Charts March`05_II.8. Sep&amp;Discrete_Guidance_Sheet4" xfId="4093" xr:uid="{00000000-0005-0000-0000-0000FC0F0000}"/>
    <cellStyle name="_FTQ Tri Charts March`05_Restructuring &amp; Separation" xfId="4094" xr:uid="{00000000-0005-0000-0000-0000FD0F0000}"/>
    <cellStyle name="_FTQ Tri Charts March`05_Restructuring &amp; Separation_Guidance" xfId="4095" xr:uid="{00000000-0005-0000-0000-0000FE0F0000}"/>
    <cellStyle name="_FTQ Tri Charts March`05_Restructuring &amp; Separation_Guidance 2" xfId="4096" xr:uid="{00000000-0005-0000-0000-0000FF0F0000}"/>
    <cellStyle name="_FTQ Tri Charts March`05_Restructuring &amp; Separation_Guidance_BS retrieve" xfId="4097" xr:uid="{00000000-0005-0000-0000-000000100000}"/>
    <cellStyle name="_FTQ Tri Charts March`05_Restructuring &amp; Separation_Guidance_Free CF" xfId="4098" xr:uid="{00000000-0005-0000-0000-000001100000}"/>
    <cellStyle name="_FTQ Tri Charts March`05_Restructuring &amp; Separation_Guidance_P&amp;L Rec Qtr" xfId="4099" xr:uid="{00000000-0005-0000-0000-000002100000}"/>
    <cellStyle name="_FTQ Tri Charts March`05_Restructuring &amp; Separation_Guidance_Sheet1" xfId="4100" xr:uid="{00000000-0005-0000-0000-000003100000}"/>
    <cellStyle name="_FTQ Tri Charts March`05_Restructuring &amp; Separation_Guidance_Sheet2" xfId="4101" xr:uid="{00000000-0005-0000-0000-000004100000}"/>
    <cellStyle name="_FTQ Tri Charts March`05_Restructuring &amp; Separation_Guidance_Sheet3" xfId="4102" xr:uid="{00000000-0005-0000-0000-000005100000}"/>
    <cellStyle name="_FTQ Tri Charts March`05_Restructuring &amp; Separation_Guidance_Sheet4" xfId="4103" xr:uid="{00000000-0005-0000-0000-000006100000}"/>
    <cellStyle name="_FTQ Tri Charts March`05_Restructuring_Separation_TAX_JuneFC2010 tf" xfId="4104" xr:uid="{00000000-0005-0000-0000-000007100000}"/>
    <cellStyle name="_FTQ Tri Charts March`05_Restructuring_Separation_TAX_JuneFC2010 tf_BS_Separation_TaxResIndem_Q12412 tf" xfId="4105" xr:uid="{00000000-0005-0000-0000-000008100000}"/>
    <cellStyle name="_FTQ Tri Charts March`05_Restructuring_Separation_TAX_JuneFC2010 tf_BS_Separation_TaxResIndem_Q12412 tf_Guidance" xfId="4106" xr:uid="{00000000-0005-0000-0000-000009100000}"/>
    <cellStyle name="_FTQ Tri Charts March`05_Restructuring_Separation_TAX_JuneFC2010 tf_BS_Separation_TaxResIndem_Q12412 tf_Guidance 2" xfId="4107" xr:uid="{00000000-0005-0000-0000-00000A100000}"/>
    <cellStyle name="_FTQ Tri Charts March`05_Restructuring_Separation_TAX_JuneFC2010 tf_BS_Separation_TaxResIndem_Q12412 tf_Guidance_BS retrieve" xfId="4108" xr:uid="{00000000-0005-0000-0000-00000B100000}"/>
    <cellStyle name="_FTQ Tri Charts March`05_Restructuring_Separation_TAX_JuneFC2010 tf_BS_Separation_TaxResIndem_Q12412 tf_Guidance_Free CF" xfId="4109" xr:uid="{00000000-0005-0000-0000-00000C100000}"/>
    <cellStyle name="_FTQ Tri Charts March`05_Restructuring_Separation_TAX_JuneFC2010 tf_BS_Separation_TaxResIndem_Q12412 tf_Guidance_P&amp;L Rec Qtr" xfId="4110" xr:uid="{00000000-0005-0000-0000-00000D100000}"/>
    <cellStyle name="_FTQ Tri Charts March`05_Restructuring_Separation_TAX_JuneFC2010 tf_BS_Separation_TaxResIndem_Q12412 tf_Guidance_Sheet1" xfId="4111" xr:uid="{00000000-0005-0000-0000-00000E100000}"/>
    <cellStyle name="_FTQ Tri Charts March`05_Restructuring_Separation_TAX_JuneFC2010 tf_BS_Separation_TaxResIndem_Q12412 tf_Guidance_Sheet2" xfId="4112" xr:uid="{00000000-0005-0000-0000-00000F100000}"/>
    <cellStyle name="_FTQ Tri Charts March`05_Restructuring_Separation_TAX_JuneFC2010 tf_BS_Separation_TaxResIndem_Q12412 tf_Guidance_Sheet3" xfId="4113" xr:uid="{00000000-0005-0000-0000-000010100000}"/>
    <cellStyle name="_FTQ Tri Charts March`05_Restructuring_Separation_TAX_JuneFC2010 tf_BS_Separation_TaxResIndem_Q12412 tf_Guidance_Sheet4" xfId="4114" xr:uid="{00000000-0005-0000-0000-000011100000}"/>
    <cellStyle name="_FTQ Tri Charts March`05_Restructuring_Separation_TAX_JuneFC2010 tf_BS_Separation_TaxResIndem_Q12412 tf_Restructuring &amp; Separation" xfId="4115" xr:uid="{00000000-0005-0000-0000-000012100000}"/>
    <cellStyle name="_FTQ Tri Charts March`05_Restructuring_Separation_TAX_JuneFC2010 tf_BS_Separation_TaxResIndem_Q12412 tf_Restructuring &amp; Separation_Guidance" xfId="4116" xr:uid="{00000000-0005-0000-0000-000013100000}"/>
    <cellStyle name="_FTQ Tri Charts March`05_Restructuring_Separation_TAX_JuneFC2010 tf_BS_Separation_TaxResIndem_Q12412 tf_Restructuring &amp; Separation_Guidance 2" xfId="4117" xr:uid="{00000000-0005-0000-0000-000014100000}"/>
    <cellStyle name="_FTQ Tri Charts March`05_Restructuring_Separation_TAX_JuneFC2010 tf_BS_Separation_TaxResIndem_Q12412 tf_Restructuring &amp; Separation_Guidance_BS retrieve" xfId="4118" xr:uid="{00000000-0005-0000-0000-000015100000}"/>
    <cellStyle name="_FTQ Tri Charts March`05_Restructuring_Separation_TAX_JuneFC2010 tf_BS_Separation_TaxResIndem_Q12412 tf_Restructuring &amp; Separation_Guidance_Free CF" xfId="4119" xr:uid="{00000000-0005-0000-0000-000016100000}"/>
    <cellStyle name="_FTQ Tri Charts March`05_Restructuring_Separation_TAX_JuneFC2010 tf_BS_Separation_TaxResIndem_Q12412 tf_Restructuring &amp; Separation_Guidance_P&amp;L Rec Qtr" xfId="4120" xr:uid="{00000000-0005-0000-0000-000017100000}"/>
    <cellStyle name="_FTQ Tri Charts March`05_Restructuring_Separation_TAX_JuneFC2010 tf_BS_Separation_TaxResIndem_Q12412 tf_Restructuring &amp; Separation_Guidance_Sheet1" xfId="4121" xr:uid="{00000000-0005-0000-0000-000018100000}"/>
    <cellStyle name="_FTQ Tri Charts March`05_Restructuring_Separation_TAX_JuneFC2010 tf_BS_Separation_TaxResIndem_Q12412 tf_Restructuring &amp; Separation_Guidance_Sheet2" xfId="4122" xr:uid="{00000000-0005-0000-0000-000019100000}"/>
    <cellStyle name="_FTQ Tri Charts March`05_Restructuring_Separation_TAX_JuneFC2010 tf_BS_Separation_TaxResIndem_Q12412 tf_Restructuring &amp; Separation_Guidance_Sheet3" xfId="4123" xr:uid="{00000000-0005-0000-0000-00001A100000}"/>
    <cellStyle name="_FTQ Tri Charts March`05_Restructuring_Separation_TAX_JuneFC2010 tf_BS_Separation_TaxResIndem_Q12412 tf_Restructuring &amp; Separation_Guidance_Sheet4" xfId="4124" xr:uid="{00000000-0005-0000-0000-00001B100000}"/>
    <cellStyle name="_FTQ Tri Charts March`05_Restructuring_Separation_TAX_JuneFC2010 tf_Guidance" xfId="4125" xr:uid="{00000000-0005-0000-0000-00001C100000}"/>
    <cellStyle name="_FTQ Tri Charts March`05_Restructuring_Separation_TAX_JuneFC2010 tf_Guidance 2" xfId="4126" xr:uid="{00000000-0005-0000-0000-00001D100000}"/>
    <cellStyle name="_FTQ Tri Charts March`05_Restructuring_Separation_TAX_JuneFC2010 tf_Guidance_BS retrieve" xfId="4127" xr:uid="{00000000-0005-0000-0000-00001E100000}"/>
    <cellStyle name="_FTQ Tri Charts March`05_Restructuring_Separation_TAX_JuneFC2010 tf_Guidance_Free CF" xfId="4128" xr:uid="{00000000-0005-0000-0000-00001F100000}"/>
    <cellStyle name="_FTQ Tri Charts March`05_Restructuring_Separation_TAX_JuneFC2010 tf_Guidance_P&amp;L Rec Qtr" xfId="4129" xr:uid="{00000000-0005-0000-0000-000020100000}"/>
    <cellStyle name="_FTQ Tri Charts March`05_Restructuring_Separation_TAX_JuneFC2010 tf_Guidance_Sheet1" xfId="4130" xr:uid="{00000000-0005-0000-0000-000021100000}"/>
    <cellStyle name="_FTQ Tri Charts March`05_Restructuring_Separation_TAX_JuneFC2010 tf_Guidance_Sheet2" xfId="4131" xr:uid="{00000000-0005-0000-0000-000022100000}"/>
    <cellStyle name="_FTQ Tri Charts March`05_Restructuring_Separation_TAX_JuneFC2010 tf_Guidance_Sheet3" xfId="4132" xr:uid="{00000000-0005-0000-0000-000023100000}"/>
    <cellStyle name="_FTQ Tri Charts March`05_Restructuring_Separation_TAX_JuneFC2010 tf_Guidance_Sheet4" xfId="4133" xr:uid="{00000000-0005-0000-0000-000024100000}"/>
    <cellStyle name="_FTQ Tri Charts March`05_Restructuring_Separation_TAX_JuneFC2010 tf_II.8. Sep&amp;Discrete" xfId="4134" xr:uid="{00000000-0005-0000-0000-000025100000}"/>
    <cellStyle name="_FTQ Tri Charts March`05_Restructuring_Separation_TAX_JuneFC2010 tf_II.8. Sep&amp;Discrete_Guidance" xfId="4135" xr:uid="{00000000-0005-0000-0000-000026100000}"/>
    <cellStyle name="_FTQ Tri Charts March`05_Restructuring_Separation_TAX_JuneFC2010 tf_II.8. Sep&amp;Discrete_Guidance 2" xfId="4136" xr:uid="{00000000-0005-0000-0000-000027100000}"/>
    <cellStyle name="_FTQ Tri Charts March`05_Restructuring_Separation_TAX_JuneFC2010 tf_II.8. Sep&amp;Discrete_Guidance_BS retrieve" xfId="4137" xr:uid="{00000000-0005-0000-0000-000028100000}"/>
    <cellStyle name="_FTQ Tri Charts March`05_Restructuring_Separation_TAX_JuneFC2010 tf_II.8. Sep&amp;Discrete_Guidance_Free CF" xfId="4138" xr:uid="{00000000-0005-0000-0000-000029100000}"/>
    <cellStyle name="_FTQ Tri Charts March`05_Restructuring_Separation_TAX_JuneFC2010 tf_II.8. Sep&amp;Discrete_Guidance_P&amp;L Rec Qtr" xfId="4139" xr:uid="{00000000-0005-0000-0000-00002A100000}"/>
    <cellStyle name="_FTQ Tri Charts March`05_Restructuring_Separation_TAX_JuneFC2010 tf_II.8. Sep&amp;Discrete_Guidance_Sheet1" xfId="4140" xr:uid="{00000000-0005-0000-0000-00002B100000}"/>
    <cellStyle name="_FTQ Tri Charts March`05_Restructuring_Separation_TAX_JuneFC2010 tf_II.8. Sep&amp;Discrete_Guidance_Sheet2" xfId="4141" xr:uid="{00000000-0005-0000-0000-00002C100000}"/>
    <cellStyle name="_FTQ Tri Charts March`05_Restructuring_Separation_TAX_JuneFC2010 tf_II.8. Sep&amp;Discrete_Guidance_Sheet3" xfId="4142" xr:uid="{00000000-0005-0000-0000-00002D100000}"/>
    <cellStyle name="_FTQ Tri Charts March`05_Restructuring_Separation_TAX_JuneFC2010 tf_II.8. Sep&amp;Discrete_Guidance_Sheet4" xfId="4143" xr:uid="{00000000-0005-0000-0000-00002E100000}"/>
    <cellStyle name="_FTQ Tri Charts March`05_Restructuring_Separation_TAX_JuneFC2010 tf_Restructuring &amp; Separation" xfId="4144" xr:uid="{00000000-0005-0000-0000-00002F100000}"/>
    <cellStyle name="_FTQ Tri Charts March`05_Restructuring_Separation_TAX_JuneFC2010 tf_Restructuring &amp; Separation_Guidance" xfId="4145" xr:uid="{00000000-0005-0000-0000-000030100000}"/>
    <cellStyle name="_FTQ Tri Charts March`05_Restructuring_Separation_TAX_JuneFC2010 tf_Restructuring &amp; Separation_Guidance 2" xfId="4146" xr:uid="{00000000-0005-0000-0000-000031100000}"/>
    <cellStyle name="_FTQ Tri Charts March`05_Restructuring_Separation_TAX_JuneFC2010 tf_Restructuring &amp; Separation_Guidance_BS retrieve" xfId="4147" xr:uid="{00000000-0005-0000-0000-000032100000}"/>
    <cellStyle name="_FTQ Tri Charts March`05_Restructuring_Separation_TAX_JuneFC2010 tf_Restructuring &amp; Separation_Guidance_Free CF" xfId="4148" xr:uid="{00000000-0005-0000-0000-000033100000}"/>
    <cellStyle name="_FTQ Tri Charts March`05_Restructuring_Separation_TAX_JuneFC2010 tf_Restructuring &amp; Separation_Guidance_P&amp;L Rec Qtr" xfId="4149" xr:uid="{00000000-0005-0000-0000-000034100000}"/>
    <cellStyle name="_FTQ Tri Charts March`05_Restructuring_Separation_TAX_JuneFC2010 tf_Restructuring &amp; Separation_Guidance_Sheet1" xfId="4150" xr:uid="{00000000-0005-0000-0000-000035100000}"/>
    <cellStyle name="_FTQ Tri Charts March`05_Restructuring_Separation_TAX_JuneFC2010 tf_Restructuring &amp; Separation_Guidance_Sheet2" xfId="4151" xr:uid="{00000000-0005-0000-0000-000036100000}"/>
    <cellStyle name="_FTQ Tri Charts March`05_Restructuring_Separation_TAX_JuneFC2010 tf_Restructuring &amp; Separation_Guidance_Sheet3" xfId="4152" xr:uid="{00000000-0005-0000-0000-000037100000}"/>
    <cellStyle name="_FTQ Tri Charts March`05_Restructuring_Separation_TAX_JuneFC2010 tf_Restructuring &amp; Separation_Guidance_Sheet4" xfId="4153" xr:uid="{00000000-0005-0000-0000-000038100000}"/>
    <cellStyle name="_II.2. Qtly Fin-Bridge" xfId="4154" xr:uid="{00000000-0005-0000-0000-000039100000}"/>
    <cellStyle name="_II.2. Qtly Fin-Bridge 2" xfId="4155" xr:uid="{00000000-0005-0000-0000-00003A100000}"/>
    <cellStyle name="_II.2. Qtly Fin-Bridge_BS retrieve" xfId="4156" xr:uid="{00000000-0005-0000-0000-00003B100000}"/>
    <cellStyle name="_II.2. Qtly Fin-Bridge_Free CF" xfId="4157" xr:uid="{00000000-0005-0000-0000-00003C100000}"/>
    <cellStyle name="_II.2. Qtly Fin-Bridge_II.8. Sep&amp;Discrete" xfId="4158" xr:uid="{00000000-0005-0000-0000-00003D100000}"/>
    <cellStyle name="_II.2. Qtly Fin-Bridge_II.8. Sep&amp;Discrete_Guidance" xfId="4159" xr:uid="{00000000-0005-0000-0000-00003E100000}"/>
    <cellStyle name="_II.2. Qtly Fin-Bridge_II.8. Sep&amp;Discrete_Guidance 2" xfId="4160" xr:uid="{00000000-0005-0000-0000-00003F100000}"/>
    <cellStyle name="_II.2. Qtly Fin-Bridge_II.8. Sep&amp;Discrete_Guidance_BS retrieve" xfId="4161" xr:uid="{00000000-0005-0000-0000-000040100000}"/>
    <cellStyle name="_II.2. Qtly Fin-Bridge_II.8. Sep&amp;Discrete_Guidance_Free CF" xfId="4162" xr:uid="{00000000-0005-0000-0000-000041100000}"/>
    <cellStyle name="_II.2. Qtly Fin-Bridge_II.8. Sep&amp;Discrete_Guidance_P&amp;L Rec Qtr" xfId="4163" xr:uid="{00000000-0005-0000-0000-000042100000}"/>
    <cellStyle name="_II.2. Qtly Fin-Bridge_II.8. Sep&amp;Discrete_Guidance_Sheet1" xfId="4164" xr:uid="{00000000-0005-0000-0000-000043100000}"/>
    <cellStyle name="_II.2. Qtly Fin-Bridge_II.8. Sep&amp;Discrete_Guidance_Sheet2" xfId="4165" xr:uid="{00000000-0005-0000-0000-000044100000}"/>
    <cellStyle name="_II.2. Qtly Fin-Bridge_II.8. Sep&amp;Discrete_Guidance_Sheet3" xfId="4166" xr:uid="{00000000-0005-0000-0000-000045100000}"/>
    <cellStyle name="_II.2. Qtly Fin-Bridge_II.8. Sep&amp;Discrete_Guidance_Sheet4" xfId="4167" xr:uid="{00000000-0005-0000-0000-000046100000}"/>
    <cellStyle name="_II.2. Qtly Fin-Bridge_P&amp;L Rec Qtr" xfId="4168" xr:uid="{00000000-0005-0000-0000-000047100000}"/>
    <cellStyle name="_II.2. Qtly Fin-Bridge_Restructuring &amp; Separation" xfId="4169" xr:uid="{00000000-0005-0000-0000-000048100000}"/>
    <cellStyle name="_II.2. Qtly Fin-Bridge_Restructuring &amp; Separation_Guidance" xfId="4170" xr:uid="{00000000-0005-0000-0000-000049100000}"/>
    <cellStyle name="_II.2. Qtly Fin-Bridge_Restructuring &amp; Separation_Guidance 2" xfId="4171" xr:uid="{00000000-0005-0000-0000-00004A100000}"/>
    <cellStyle name="_II.2. Qtly Fin-Bridge_Restructuring &amp; Separation_Guidance_BS retrieve" xfId="4172" xr:uid="{00000000-0005-0000-0000-00004B100000}"/>
    <cellStyle name="_II.2. Qtly Fin-Bridge_Restructuring &amp; Separation_Guidance_Free CF" xfId="4173" xr:uid="{00000000-0005-0000-0000-00004C100000}"/>
    <cellStyle name="_II.2. Qtly Fin-Bridge_Restructuring &amp; Separation_Guidance_P&amp;L Rec Qtr" xfId="4174" xr:uid="{00000000-0005-0000-0000-00004D100000}"/>
    <cellStyle name="_II.2. Qtly Fin-Bridge_Restructuring &amp; Separation_Guidance_Sheet1" xfId="4175" xr:uid="{00000000-0005-0000-0000-00004E100000}"/>
    <cellStyle name="_II.2. Qtly Fin-Bridge_Restructuring &amp; Separation_Guidance_Sheet2" xfId="4176" xr:uid="{00000000-0005-0000-0000-00004F100000}"/>
    <cellStyle name="_II.2. Qtly Fin-Bridge_Restructuring &amp; Separation_Guidance_Sheet3" xfId="4177" xr:uid="{00000000-0005-0000-0000-000050100000}"/>
    <cellStyle name="_II.2. Qtly Fin-Bridge_Restructuring &amp; Separation_Guidance_Sheet4" xfId="4178" xr:uid="{00000000-0005-0000-0000-000051100000}"/>
    <cellStyle name="_II.2. Qtly Fin-Bridge_Sheet1" xfId="4179" xr:uid="{00000000-0005-0000-0000-000052100000}"/>
    <cellStyle name="_II.2. Qtly Fin-Bridge_Sheet2" xfId="4180" xr:uid="{00000000-0005-0000-0000-000053100000}"/>
    <cellStyle name="_II.2. Qtly Fin-Bridge_Sheet3" xfId="4181" xr:uid="{00000000-0005-0000-0000-000054100000}"/>
    <cellStyle name="_II.2. Qtly Fin-Bridge_Sheet4" xfId="4182" xr:uid="{00000000-0005-0000-0000-000055100000}"/>
    <cellStyle name="_II.5. RawMaterials" xfId="4183" xr:uid="{00000000-0005-0000-0000-000056100000}"/>
    <cellStyle name="_II.5. RawMaterials 2" xfId="4184" xr:uid="{00000000-0005-0000-0000-000057100000}"/>
    <cellStyle name="_II.5. RawMaterials_BS retrieve" xfId="4185" xr:uid="{00000000-0005-0000-0000-000058100000}"/>
    <cellStyle name="_II.5. RawMaterials_Free CF" xfId="4186" xr:uid="{00000000-0005-0000-0000-000059100000}"/>
    <cellStyle name="_II.5. RawMaterials_P&amp;L Rec Qtr" xfId="4187" xr:uid="{00000000-0005-0000-0000-00005A100000}"/>
    <cellStyle name="_II.5. RawMaterials_Sheet1" xfId="4188" xr:uid="{00000000-0005-0000-0000-00005B100000}"/>
    <cellStyle name="_II.5. RawMaterials_Sheet2" xfId="4189" xr:uid="{00000000-0005-0000-0000-00005C100000}"/>
    <cellStyle name="_II.5. RawMaterials_Sheet3" xfId="4190" xr:uid="{00000000-0005-0000-0000-00005D100000}"/>
    <cellStyle name="_II.5. RawMaterials_Sheet4" xfId="4191" xr:uid="{00000000-0005-0000-0000-00005E100000}"/>
    <cellStyle name="_II.6. RawMaterials" xfId="4192" xr:uid="{00000000-0005-0000-0000-00005F100000}"/>
    <cellStyle name="_II.6. RawMaterials 2" xfId="4193" xr:uid="{00000000-0005-0000-0000-000060100000}"/>
    <cellStyle name="_II.6. RawMaterials_BS retrieve" xfId="4194" xr:uid="{00000000-0005-0000-0000-000061100000}"/>
    <cellStyle name="_II.6. RawMaterials_Free CF" xfId="4195" xr:uid="{00000000-0005-0000-0000-000062100000}"/>
    <cellStyle name="_II.6. RawMaterials_P&amp;L Rec Qtr" xfId="4196" xr:uid="{00000000-0005-0000-0000-000063100000}"/>
    <cellStyle name="_II.6. RawMaterials_Sheet1" xfId="4197" xr:uid="{00000000-0005-0000-0000-000064100000}"/>
    <cellStyle name="_II.6. RawMaterials_Sheet2" xfId="4198" xr:uid="{00000000-0005-0000-0000-000065100000}"/>
    <cellStyle name="_II.6. RawMaterials_Sheet3" xfId="4199" xr:uid="{00000000-0005-0000-0000-000066100000}"/>
    <cellStyle name="_II.6. RawMaterials_Sheet4" xfId="4200" xr:uid="{00000000-0005-0000-0000-000067100000}"/>
    <cellStyle name="_II.7. RM Volume Sensitivities" xfId="4201" xr:uid="{00000000-0005-0000-0000-000068100000}"/>
    <cellStyle name="_II.7. RM Volume Sensitivities 2" xfId="4202" xr:uid="{00000000-0005-0000-0000-000069100000}"/>
    <cellStyle name="_II.7. RM Volume Sensitivities_BS retrieve" xfId="4203" xr:uid="{00000000-0005-0000-0000-00006A100000}"/>
    <cellStyle name="_II.7. RM Volume Sensitivities_Free CF" xfId="4204" xr:uid="{00000000-0005-0000-0000-00006B100000}"/>
    <cellStyle name="_II.7. RM Volume Sensitivities_P&amp;L Rec Qtr" xfId="4205" xr:uid="{00000000-0005-0000-0000-00006C100000}"/>
    <cellStyle name="_II.7. RM Volume Sensitivities_Sheet1" xfId="4206" xr:uid="{00000000-0005-0000-0000-00006D100000}"/>
    <cellStyle name="_II.7. RM Volume Sensitivities_Sheet2" xfId="4207" xr:uid="{00000000-0005-0000-0000-00006E100000}"/>
    <cellStyle name="_II.7. RM Volume Sensitivities_Sheet3" xfId="4208" xr:uid="{00000000-0005-0000-0000-00006F100000}"/>
    <cellStyle name="_II.7. RM Volume Sensitivities_Sheet4" xfId="4209" xr:uid="{00000000-0005-0000-0000-000070100000}"/>
    <cellStyle name="_IncStatement (monthly)" xfId="4210" xr:uid="{00000000-0005-0000-0000-000071100000}"/>
    <cellStyle name="_Labor" xfId="4211" xr:uid="{00000000-0005-0000-0000-000072100000}"/>
    <cellStyle name="_Labor_BS_Separation_TaxResIndem_Q12412 tf" xfId="4212" xr:uid="{00000000-0005-0000-0000-000073100000}"/>
    <cellStyle name="_Labor_BS_Separation_TaxResIndem_Q12412 tf_Guidance" xfId="4213" xr:uid="{00000000-0005-0000-0000-000074100000}"/>
    <cellStyle name="_Labor_BS_Separation_TaxResIndem_Q12412 tf_Guidance 2" xfId="4214" xr:uid="{00000000-0005-0000-0000-000075100000}"/>
    <cellStyle name="_Labor_BS_Separation_TaxResIndem_Q12412 tf_Guidance_BS retrieve" xfId="4215" xr:uid="{00000000-0005-0000-0000-000076100000}"/>
    <cellStyle name="_Labor_BS_Separation_TaxResIndem_Q12412 tf_Guidance_Free CF" xfId="4216" xr:uid="{00000000-0005-0000-0000-000077100000}"/>
    <cellStyle name="_Labor_BS_Separation_TaxResIndem_Q12412 tf_Guidance_P&amp;L Rec Qtr" xfId="4217" xr:uid="{00000000-0005-0000-0000-000078100000}"/>
    <cellStyle name="_Labor_BS_Separation_TaxResIndem_Q12412 tf_Guidance_Sheet1" xfId="4218" xr:uid="{00000000-0005-0000-0000-000079100000}"/>
    <cellStyle name="_Labor_BS_Separation_TaxResIndem_Q12412 tf_Guidance_Sheet2" xfId="4219" xr:uid="{00000000-0005-0000-0000-00007A100000}"/>
    <cellStyle name="_Labor_BS_Separation_TaxResIndem_Q12412 tf_Guidance_Sheet3" xfId="4220" xr:uid="{00000000-0005-0000-0000-00007B100000}"/>
    <cellStyle name="_Labor_BS_Separation_TaxResIndem_Q12412 tf_Guidance_Sheet4" xfId="4221" xr:uid="{00000000-0005-0000-0000-00007C100000}"/>
    <cellStyle name="_Labor_BS_Separation_TaxResIndem_Q12412 tf_Restructuring &amp; Separation" xfId="4222" xr:uid="{00000000-0005-0000-0000-00007D100000}"/>
    <cellStyle name="_Labor_BS_Separation_TaxResIndem_Q12412 tf_Restructuring &amp; Separation_Guidance" xfId="4223" xr:uid="{00000000-0005-0000-0000-00007E100000}"/>
    <cellStyle name="_Labor_BS_Separation_TaxResIndem_Q12412 tf_Restructuring &amp; Separation_Guidance 2" xfId="4224" xr:uid="{00000000-0005-0000-0000-00007F100000}"/>
    <cellStyle name="_Labor_BS_Separation_TaxResIndem_Q12412 tf_Restructuring &amp; Separation_Guidance_BS retrieve" xfId="4225" xr:uid="{00000000-0005-0000-0000-000080100000}"/>
    <cellStyle name="_Labor_BS_Separation_TaxResIndem_Q12412 tf_Restructuring &amp; Separation_Guidance_Free CF" xfId="4226" xr:uid="{00000000-0005-0000-0000-000081100000}"/>
    <cellStyle name="_Labor_BS_Separation_TaxResIndem_Q12412 tf_Restructuring &amp; Separation_Guidance_P&amp;L Rec Qtr" xfId="4227" xr:uid="{00000000-0005-0000-0000-000082100000}"/>
    <cellStyle name="_Labor_BS_Separation_TaxResIndem_Q12412 tf_Restructuring &amp; Separation_Guidance_Sheet1" xfId="4228" xr:uid="{00000000-0005-0000-0000-000083100000}"/>
    <cellStyle name="_Labor_BS_Separation_TaxResIndem_Q12412 tf_Restructuring &amp; Separation_Guidance_Sheet2" xfId="4229" xr:uid="{00000000-0005-0000-0000-000084100000}"/>
    <cellStyle name="_Labor_BS_Separation_TaxResIndem_Q12412 tf_Restructuring &amp; Separation_Guidance_Sheet3" xfId="4230" xr:uid="{00000000-0005-0000-0000-000085100000}"/>
    <cellStyle name="_Labor_BS_Separation_TaxResIndem_Q12412 tf_Restructuring &amp; Separation_Guidance_Sheet4" xfId="4231" xr:uid="{00000000-0005-0000-0000-000086100000}"/>
    <cellStyle name="_Labor_Guidance" xfId="4232" xr:uid="{00000000-0005-0000-0000-000087100000}"/>
    <cellStyle name="_Labor_Guidance 2" xfId="4233" xr:uid="{00000000-0005-0000-0000-000088100000}"/>
    <cellStyle name="_Labor_Guidance_BS retrieve" xfId="4234" xr:uid="{00000000-0005-0000-0000-000089100000}"/>
    <cellStyle name="_Labor_Guidance_Free CF" xfId="4235" xr:uid="{00000000-0005-0000-0000-00008A100000}"/>
    <cellStyle name="_Labor_Guidance_P&amp;L Rec Qtr" xfId="4236" xr:uid="{00000000-0005-0000-0000-00008B100000}"/>
    <cellStyle name="_Labor_Guidance_Sheet1" xfId="4237" xr:uid="{00000000-0005-0000-0000-00008C100000}"/>
    <cellStyle name="_Labor_Guidance_Sheet2" xfId="4238" xr:uid="{00000000-0005-0000-0000-00008D100000}"/>
    <cellStyle name="_Labor_Guidance_Sheet3" xfId="4239" xr:uid="{00000000-0005-0000-0000-00008E100000}"/>
    <cellStyle name="_Labor_Guidance_Sheet4" xfId="4240" xr:uid="{00000000-0005-0000-0000-00008F100000}"/>
    <cellStyle name="_Labor_II.8. Sep&amp;Discrete" xfId="4241" xr:uid="{00000000-0005-0000-0000-000090100000}"/>
    <cellStyle name="_Labor_II.8. Sep&amp;Discrete_Guidance" xfId="4242" xr:uid="{00000000-0005-0000-0000-000091100000}"/>
    <cellStyle name="_Labor_II.8. Sep&amp;Discrete_Guidance 2" xfId="4243" xr:uid="{00000000-0005-0000-0000-000092100000}"/>
    <cellStyle name="_Labor_II.8. Sep&amp;Discrete_Guidance_BS retrieve" xfId="4244" xr:uid="{00000000-0005-0000-0000-000093100000}"/>
    <cellStyle name="_Labor_II.8. Sep&amp;Discrete_Guidance_Free CF" xfId="4245" xr:uid="{00000000-0005-0000-0000-000094100000}"/>
    <cellStyle name="_Labor_II.8. Sep&amp;Discrete_Guidance_P&amp;L Rec Qtr" xfId="4246" xr:uid="{00000000-0005-0000-0000-000095100000}"/>
    <cellStyle name="_Labor_II.8. Sep&amp;Discrete_Guidance_Sheet1" xfId="4247" xr:uid="{00000000-0005-0000-0000-000096100000}"/>
    <cellStyle name="_Labor_II.8. Sep&amp;Discrete_Guidance_Sheet2" xfId="4248" xr:uid="{00000000-0005-0000-0000-000097100000}"/>
    <cellStyle name="_Labor_II.8. Sep&amp;Discrete_Guidance_Sheet3" xfId="4249" xr:uid="{00000000-0005-0000-0000-000098100000}"/>
    <cellStyle name="_Labor_II.8. Sep&amp;Discrete_Guidance_Sheet4" xfId="4250" xr:uid="{00000000-0005-0000-0000-000099100000}"/>
    <cellStyle name="_Labor_Restructuring &amp; Separation" xfId="4251" xr:uid="{00000000-0005-0000-0000-00009A100000}"/>
    <cellStyle name="_Labor_Restructuring &amp; Separation_Guidance" xfId="4252" xr:uid="{00000000-0005-0000-0000-00009B100000}"/>
    <cellStyle name="_Labor_Restructuring &amp; Separation_Guidance 2" xfId="4253" xr:uid="{00000000-0005-0000-0000-00009C100000}"/>
    <cellStyle name="_Labor_Restructuring &amp; Separation_Guidance_BS retrieve" xfId="4254" xr:uid="{00000000-0005-0000-0000-00009D100000}"/>
    <cellStyle name="_Labor_Restructuring &amp; Separation_Guidance_Free CF" xfId="4255" xr:uid="{00000000-0005-0000-0000-00009E100000}"/>
    <cellStyle name="_Labor_Restructuring &amp; Separation_Guidance_P&amp;L Rec Qtr" xfId="4256" xr:uid="{00000000-0005-0000-0000-00009F100000}"/>
    <cellStyle name="_Labor_Restructuring &amp; Separation_Guidance_Sheet1" xfId="4257" xr:uid="{00000000-0005-0000-0000-0000A0100000}"/>
    <cellStyle name="_Labor_Restructuring &amp; Separation_Guidance_Sheet2" xfId="4258" xr:uid="{00000000-0005-0000-0000-0000A1100000}"/>
    <cellStyle name="_Labor_Restructuring &amp; Separation_Guidance_Sheet3" xfId="4259" xr:uid="{00000000-0005-0000-0000-0000A2100000}"/>
    <cellStyle name="_Labor_Restructuring &amp; Separation_Guidance_Sheet4" xfId="4260" xr:uid="{00000000-0005-0000-0000-0000A3100000}"/>
    <cellStyle name="_Labor_Sheet1" xfId="4261" xr:uid="{00000000-0005-0000-0000-0000A4100000}"/>
    <cellStyle name="_Labor_Sheet1_1" xfId="4262" xr:uid="{00000000-0005-0000-0000-0000A5100000}"/>
    <cellStyle name="_Labor_Sheet1_1_Guidance" xfId="4263" xr:uid="{00000000-0005-0000-0000-0000A6100000}"/>
    <cellStyle name="_Labor_Sheet1_1_Guidance 2" xfId="4264" xr:uid="{00000000-0005-0000-0000-0000A7100000}"/>
    <cellStyle name="_Labor_Sheet1_1_Guidance_BS retrieve" xfId="4265" xr:uid="{00000000-0005-0000-0000-0000A8100000}"/>
    <cellStyle name="_Labor_Sheet1_1_Guidance_Free CF" xfId="4266" xr:uid="{00000000-0005-0000-0000-0000A9100000}"/>
    <cellStyle name="_Labor_Sheet1_1_Guidance_P&amp;L Rec Qtr" xfId="4267" xr:uid="{00000000-0005-0000-0000-0000AA100000}"/>
    <cellStyle name="_Labor_Sheet1_1_Guidance_Sheet1" xfId="4268" xr:uid="{00000000-0005-0000-0000-0000AB100000}"/>
    <cellStyle name="_Labor_Sheet1_1_Guidance_Sheet2" xfId="4269" xr:uid="{00000000-0005-0000-0000-0000AC100000}"/>
    <cellStyle name="_Labor_Sheet1_1_Guidance_Sheet3" xfId="4270" xr:uid="{00000000-0005-0000-0000-0000AD100000}"/>
    <cellStyle name="_Labor_Sheet1_1_Guidance_Sheet4" xfId="4271" xr:uid="{00000000-0005-0000-0000-0000AE100000}"/>
    <cellStyle name="_Labor_Sheet1_1_Restructuring &amp; Separation" xfId="4272" xr:uid="{00000000-0005-0000-0000-0000AF100000}"/>
    <cellStyle name="_Labor_Sheet1_1_Restructuring &amp; Separation_Guidance" xfId="4273" xr:uid="{00000000-0005-0000-0000-0000B0100000}"/>
    <cellStyle name="_Labor_Sheet1_1_Restructuring &amp; Separation_Guidance 2" xfId="4274" xr:uid="{00000000-0005-0000-0000-0000B1100000}"/>
    <cellStyle name="_Labor_Sheet1_1_Restructuring &amp; Separation_Guidance_BS retrieve" xfId="4275" xr:uid="{00000000-0005-0000-0000-0000B2100000}"/>
    <cellStyle name="_Labor_Sheet1_1_Restructuring &amp; Separation_Guidance_Free CF" xfId="4276" xr:uid="{00000000-0005-0000-0000-0000B3100000}"/>
    <cellStyle name="_Labor_Sheet1_1_Restructuring &amp; Separation_Guidance_P&amp;L Rec Qtr" xfId="4277" xr:uid="{00000000-0005-0000-0000-0000B4100000}"/>
    <cellStyle name="_Labor_Sheet1_1_Restructuring &amp; Separation_Guidance_Sheet1" xfId="4278" xr:uid="{00000000-0005-0000-0000-0000B5100000}"/>
    <cellStyle name="_Labor_Sheet1_1_Restructuring &amp; Separation_Guidance_Sheet2" xfId="4279" xr:uid="{00000000-0005-0000-0000-0000B6100000}"/>
    <cellStyle name="_Labor_Sheet1_1_Restructuring &amp; Separation_Guidance_Sheet3" xfId="4280" xr:uid="{00000000-0005-0000-0000-0000B7100000}"/>
    <cellStyle name="_Labor_Sheet1_1_Restructuring &amp; Separation_Guidance_Sheet4" xfId="4281" xr:uid="{00000000-0005-0000-0000-0000B8100000}"/>
    <cellStyle name="_Labor_Sheet1_BS_Separation_TaxResIndem_Q12412 tf" xfId="4282" xr:uid="{00000000-0005-0000-0000-0000B9100000}"/>
    <cellStyle name="_Labor_Sheet1_BS_Separation_TaxResIndem_Q12412 tf_Guidance" xfId="4283" xr:uid="{00000000-0005-0000-0000-0000BA100000}"/>
    <cellStyle name="_Labor_Sheet1_BS_Separation_TaxResIndem_Q12412 tf_Guidance 2" xfId="4284" xr:uid="{00000000-0005-0000-0000-0000BB100000}"/>
    <cellStyle name="_Labor_Sheet1_BS_Separation_TaxResIndem_Q12412 tf_Guidance_BS retrieve" xfId="4285" xr:uid="{00000000-0005-0000-0000-0000BC100000}"/>
    <cellStyle name="_Labor_Sheet1_BS_Separation_TaxResIndem_Q12412 tf_Guidance_Free CF" xfId="4286" xr:uid="{00000000-0005-0000-0000-0000BD100000}"/>
    <cellStyle name="_Labor_Sheet1_BS_Separation_TaxResIndem_Q12412 tf_Guidance_P&amp;L Rec Qtr" xfId="4287" xr:uid="{00000000-0005-0000-0000-0000BE100000}"/>
    <cellStyle name="_Labor_Sheet1_BS_Separation_TaxResIndem_Q12412 tf_Guidance_Sheet1" xfId="4288" xr:uid="{00000000-0005-0000-0000-0000BF100000}"/>
    <cellStyle name="_Labor_Sheet1_BS_Separation_TaxResIndem_Q12412 tf_Guidance_Sheet2" xfId="4289" xr:uid="{00000000-0005-0000-0000-0000C0100000}"/>
    <cellStyle name="_Labor_Sheet1_BS_Separation_TaxResIndem_Q12412 tf_Guidance_Sheet3" xfId="4290" xr:uid="{00000000-0005-0000-0000-0000C1100000}"/>
    <cellStyle name="_Labor_Sheet1_BS_Separation_TaxResIndem_Q12412 tf_Guidance_Sheet4" xfId="4291" xr:uid="{00000000-0005-0000-0000-0000C2100000}"/>
    <cellStyle name="_Labor_Sheet1_BS_Separation_TaxResIndem_Q12412 tf_Restructuring &amp; Separation" xfId="4292" xr:uid="{00000000-0005-0000-0000-0000C3100000}"/>
    <cellStyle name="_Labor_Sheet1_BS_Separation_TaxResIndem_Q12412 tf_Restructuring &amp; Separation_Guidance" xfId="4293" xr:uid="{00000000-0005-0000-0000-0000C4100000}"/>
    <cellStyle name="_Labor_Sheet1_BS_Separation_TaxResIndem_Q12412 tf_Restructuring &amp; Separation_Guidance 2" xfId="4294" xr:uid="{00000000-0005-0000-0000-0000C5100000}"/>
    <cellStyle name="_Labor_Sheet1_BS_Separation_TaxResIndem_Q12412 tf_Restructuring &amp; Separation_Guidance_BS retrieve" xfId="4295" xr:uid="{00000000-0005-0000-0000-0000C6100000}"/>
    <cellStyle name="_Labor_Sheet1_BS_Separation_TaxResIndem_Q12412 tf_Restructuring &amp; Separation_Guidance_Free CF" xfId="4296" xr:uid="{00000000-0005-0000-0000-0000C7100000}"/>
    <cellStyle name="_Labor_Sheet1_BS_Separation_TaxResIndem_Q12412 tf_Restructuring &amp; Separation_Guidance_P&amp;L Rec Qtr" xfId="4297" xr:uid="{00000000-0005-0000-0000-0000C8100000}"/>
    <cellStyle name="_Labor_Sheet1_BS_Separation_TaxResIndem_Q12412 tf_Restructuring &amp; Separation_Guidance_Sheet1" xfId="4298" xr:uid="{00000000-0005-0000-0000-0000C9100000}"/>
    <cellStyle name="_Labor_Sheet1_BS_Separation_TaxResIndem_Q12412 tf_Restructuring &amp; Separation_Guidance_Sheet2" xfId="4299" xr:uid="{00000000-0005-0000-0000-0000CA100000}"/>
    <cellStyle name="_Labor_Sheet1_BS_Separation_TaxResIndem_Q12412 tf_Restructuring &amp; Separation_Guidance_Sheet3" xfId="4300" xr:uid="{00000000-0005-0000-0000-0000CB100000}"/>
    <cellStyle name="_Labor_Sheet1_BS_Separation_TaxResIndem_Q12412 tf_Restructuring &amp; Separation_Guidance_Sheet4" xfId="4301" xr:uid="{00000000-0005-0000-0000-0000CC100000}"/>
    <cellStyle name="_Labor_Sheet1_Guidance" xfId="4302" xr:uid="{00000000-0005-0000-0000-0000CD100000}"/>
    <cellStyle name="_Labor_Sheet1_Guidance 2" xfId="4303" xr:uid="{00000000-0005-0000-0000-0000CE100000}"/>
    <cellStyle name="_Labor_Sheet1_Guidance_BS retrieve" xfId="4304" xr:uid="{00000000-0005-0000-0000-0000CF100000}"/>
    <cellStyle name="_Labor_Sheet1_Guidance_Free CF" xfId="4305" xr:uid="{00000000-0005-0000-0000-0000D0100000}"/>
    <cellStyle name="_Labor_Sheet1_Guidance_P&amp;L Rec Qtr" xfId="4306" xr:uid="{00000000-0005-0000-0000-0000D1100000}"/>
    <cellStyle name="_Labor_Sheet1_Guidance_Sheet1" xfId="4307" xr:uid="{00000000-0005-0000-0000-0000D2100000}"/>
    <cellStyle name="_Labor_Sheet1_Guidance_Sheet2" xfId="4308" xr:uid="{00000000-0005-0000-0000-0000D3100000}"/>
    <cellStyle name="_Labor_Sheet1_Guidance_Sheet3" xfId="4309" xr:uid="{00000000-0005-0000-0000-0000D4100000}"/>
    <cellStyle name="_Labor_Sheet1_Guidance_Sheet4" xfId="4310" xr:uid="{00000000-0005-0000-0000-0000D5100000}"/>
    <cellStyle name="_Labor_Sheet1_II.8. Sep&amp;Discrete" xfId="4311" xr:uid="{00000000-0005-0000-0000-0000D6100000}"/>
    <cellStyle name="_Labor_Sheet1_II.8. Sep&amp;Discrete_Guidance" xfId="4312" xr:uid="{00000000-0005-0000-0000-0000D7100000}"/>
    <cellStyle name="_Labor_Sheet1_II.8. Sep&amp;Discrete_Guidance 2" xfId="4313" xr:uid="{00000000-0005-0000-0000-0000D8100000}"/>
    <cellStyle name="_Labor_Sheet1_II.8. Sep&amp;Discrete_Guidance_BS retrieve" xfId="4314" xr:uid="{00000000-0005-0000-0000-0000D9100000}"/>
    <cellStyle name="_Labor_Sheet1_II.8. Sep&amp;Discrete_Guidance_Free CF" xfId="4315" xr:uid="{00000000-0005-0000-0000-0000DA100000}"/>
    <cellStyle name="_Labor_Sheet1_II.8. Sep&amp;Discrete_Guidance_P&amp;L Rec Qtr" xfId="4316" xr:uid="{00000000-0005-0000-0000-0000DB100000}"/>
    <cellStyle name="_Labor_Sheet1_II.8. Sep&amp;Discrete_Guidance_Sheet1" xfId="4317" xr:uid="{00000000-0005-0000-0000-0000DC100000}"/>
    <cellStyle name="_Labor_Sheet1_II.8. Sep&amp;Discrete_Guidance_Sheet2" xfId="4318" xr:uid="{00000000-0005-0000-0000-0000DD100000}"/>
    <cellStyle name="_Labor_Sheet1_II.8. Sep&amp;Discrete_Guidance_Sheet3" xfId="4319" xr:uid="{00000000-0005-0000-0000-0000DE100000}"/>
    <cellStyle name="_Labor_Sheet1_II.8. Sep&amp;Discrete_Guidance_Sheet4" xfId="4320" xr:uid="{00000000-0005-0000-0000-0000DF100000}"/>
    <cellStyle name="_Labor_Sheet1_Restructuring &amp; Separation" xfId="4321" xr:uid="{00000000-0005-0000-0000-0000E0100000}"/>
    <cellStyle name="_Labor_Sheet1_Restructuring &amp; Separation_Guidance" xfId="4322" xr:uid="{00000000-0005-0000-0000-0000E1100000}"/>
    <cellStyle name="_Labor_Sheet1_Restructuring &amp; Separation_Guidance 2" xfId="4323" xr:uid="{00000000-0005-0000-0000-0000E2100000}"/>
    <cellStyle name="_Labor_Sheet1_Restructuring &amp; Separation_Guidance_BS retrieve" xfId="4324" xr:uid="{00000000-0005-0000-0000-0000E3100000}"/>
    <cellStyle name="_Labor_Sheet1_Restructuring &amp; Separation_Guidance_Free CF" xfId="4325" xr:uid="{00000000-0005-0000-0000-0000E4100000}"/>
    <cellStyle name="_Labor_Sheet1_Restructuring &amp; Separation_Guidance_P&amp;L Rec Qtr" xfId="4326" xr:uid="{00000000-0005-0000-0000-0000E5100000}"/>
    <cellStyle name="_Labor_Sheet1_Restructuring &amp; Separation_Guidance_Sheet1" xfId="4327" xr:uid="{00000000-0005-0000-0000-0000E6100000}"/>
    <cellStyle name="_Labor_Sheet1_Restructuring &amp; Separation_Guidance_Sheet2" xfId="4328" xr:uid="{00000000-0005-0000-0000-0000E7100000}"/>
    <cellStyle name="_Labor_Sheet1_Restructuring &amp; Separation_Guidance_Sheet3" xfId="4329" xr:uid="{00000000-0005-0000-0000-0000E8100000}"/>
    <cellStyle name="_Labor_Sheet1_Restructuring &amp; Separation_Guidance_Sheet4" xfId="4330" xr:uid="{00000000-0005-0000-0000-0000E9100000}"/>
    <cellStyle name="_MOR - Australia -  EC - 1+11" xfId="4331" xr:uid="{00000000-0005-0000-0000-0000EA100000}"/>
    <cellStyle name="_MOR - Australia -  EC - 1+11_BS_Separation_TaxResIndem_Q12412 tf" xfId="4332" xr:uid="{00000000-0005-0000-0000-0000EB100000}"/>
    <cellStyle name="_MOR - Australia -  EC - 1+11_BS_Separation_TaxResIndem_Q12412 tf_Guidance" xfId="4333" xr:uid="{00000000-0005-0000-0000-0000EC100000}"/>
    <cellStyle name="_MOR - Australia -  EC - 1+11_BS_Separation_TaxResIndem_Q12412 tf_Guidance 2" xfId="4334" xr:uid="{00000000-0005-0000-0000-0000ED100000}"/>
    <cellStyle name="_MOR - Australia -  EC - 1+11_BS_Separation_TaxResIndem_Q12412 tf_Guidance_BS retrieve" xfId="4335" xr:uid="{00000000-0005-0000-0000-0000EE100000}"/>
    <cellStyle name="_MOR - Australia -  EC - 1+11_BS_Separation_TaxResIndem_Q12412 tf_Guidance_Free CF" xfId="4336" xr:uid="{00000000-0005-0000-0000-0000EF100000}"/>
    <cellStyle name="_MOR - Australia -  EC - 1+11_BS_Separation_TaxResIndem_Q12412 tf_Guidance_P&amp;L Rec Qtr" xfId="4337" xr:uid="{00000000-0005-0000-0000-0000F0100000}"/>
    <cellStyle name="_MOR - Australia -  EC - 1+11_BS_Separation_TaxResIndem_Q12412 tf_Guidance_Sheet1" xfId="4338" xr:uid="{00000000-0005-0000-0000-0000F1100000}"/>
    <cellStyle name="_MOR - Australia -  EC - 1+11_BS_Separation_TaxResIndem_Q12412 tf_Guidance_Sheet2" xfId="4339" xr:uid="{00000000-0005-0000-0000-0000F2100000}"/>
    <cellStyle name="_MOR - Australia -  EC - 1+11_BS_Separation_TaxResIndem_Q12412 tf_Guidance_Sheet3" xfId="4340" xr:uid="{00000000-0005-0000-0000-0000F3100000}"/>
    <cellStyle name="_MOR - Australia -  EC - 1+11_BS_Separation_TaxResIndem_Q12412 tf_Guidance_Sheet4" xfId="4341" xr:uid="{00000000-0005-0000-0000-0000F4100000}"/>
    <cellStyle name="_MOR - Australia -  EC - 1+11_BS_Separation_TaxResIndem_Q12412 tf_Restructuring &amp; Separation" xfId="4342" xr:uid="{00000000-0005-0000-0000-0000F5100000}"/>
    <cellStyle name="_MOR - Australia -  EC - 1+11_BS_Separation_TaxResIndem_Q12412 tf_Restructuring &amp; Separation_Guidance" xfId="4343" xr:uid="{00000000-0005-0000-0000-0000F6100000}"/>
    <cellStyle name="_MOR - Australia -  EC - 1+11_BS_Separation_TaxResIndem_Q12412 tf_Restructuring &amp; Separation_Guidance 2" xfId="4344" xr:uid="{00000000-0005-0000-0000-0000F7100000}"/>
    <cellStyle name="_MOR - Australia -  EC - 1+11_BS_Separation_TaxResIndem_Q12412 tf_Restructuring &amp; Separation_Guidance_BS retrieve" xfId="4345" xr:uid="{00000000-0005-0000-0000-0000F8100000}"/>
    <cellStyle name="_MOR - Australia -  EC - 1+11_BS_Separation_TaxResIndem_Q12412 tf_Restructuring &amp; Separation_Guidance_Free CF" xfId="4346" xr:uid="{00000000-0005-0000-0000-0000F9100000}"/>
    <cellStyle name="_MOR - Australia -  EC - 1+11_BS_Separation_TaxResIndem_Q12412 tf_Restructuring &amp; Separation_Guidance_P&amp;L Rec Qtr" xfId="4347" xr:uid="{00000000-0005-0000-0000-0000FA100000}"/>
    <cellStyle name="_MOR - Australia -  EC - 1+11_BS_Separation_TaxResIndem_Q12412 tf_Restructuring &amp; Separation_Guidance_Sheet1" xfId="4348" xr:uid="{00000000-0005-0000-0000-0000FB100000}"/>
    <cellStyle name="_MOR - Australia -  EC - 1+11_BS_Separation_TaxResIndem_Q12412 tf_Restructuring &amp; Separation_Guidance_Sheet2" xfId="4349" xr:uid="{00000000-0005-0000-0000-0000FC100000}"/>
    <cellStyle name="_MOR - Australia -  EC - 1+11_BS_Separation_TaxResIndem_Q12412 tf_Restructuring &amp; Separation_Guidance_Sheet3" xfId="4350" xr:uid="{00000000-0005-0000-0000-0000FD100000}"/>
    <cellStyle name="_MOR - Australia -  EC - 1+11_BS_Separation_TaxResIndem_Q12412 tf_Restructuring &amp; Separation_Guidance_Sheet4" xfId="4351" xr:uid="{00000000-0005-0000-0000-0000FE100000}"/>
    <cellStyle name="_MOR - Australia -  EC - 1+11_By Country Detail 1Q10 041410pm FIN 18 revised per disc w Mary" xfId="4352" xr:uid="{00000000-0005-0000-0000-0000FF100000}"/>
    <cellStyle name="_MOR - Australia -  EC - 1+11_By Country Detail 1Q10 041410pm FIN 18 revised per disc w Mary_BS_Separation_TaxResIndem_Q12412 tf" xfId="4353" xr:uid="{00000000-0005-0000-0000-000000110000}"/>
    <cellStyle name="_MOR - Australia -  EC - 1+11_By Country Detail 1Q10 041410pm FIN 18 revised per disc w Mary_BS_Separation_TaxResIndem_Q12412 tf_Guidance" xfId="4354" xr:uid="{00000000-0005-0000-0000-000001110000}"/>
    <cellStyle name="_MOR - Australia -  EC - 1+11_By Country Detail 1Q10 041410pm FIN 18 revised per disc w Mary_BS_Separation_TaxResIndem_Q12412 tf_Guidance 2" xfId="4355" xr:uid="{00000000-0005-0000-0000-000002110000}"/>
    <cellStyle name="_MOR - Australia -  EC - 1+11_By Country Detail 1Q10 041410pm FIN 18 revised per disc w Mary_BS_Separation_TaxResIndem_Q12412 tf_Guidance_BS retrieve" xfId="4356" xr:uid="{00000000-0005-0000-0000-000003110000}"/>
    <cellStyle name="_MOR - Australia -  EC - 1+11_By Country Detail 1Q10 041410pm FIN 18 revised per disc w Mary_BS_Separation_TaxResIndem_Q12412 tf_Guidance_Free CF" xfId="4357" xr:uid="{00000000-0005-0000-0000-000004110000}"/>
    <cellStyle name="_MOR - Australia -  EC - 1+11_By Country Detail 1Q10 041410pm FIN 18 revised per disc w Mary_BS_Separation_TaxResIndem_Q12412 tf_Guidance_P&amp;L Rec Qtr" xfId="4358" xr:uid="{00000000-0005-0000-0000-000005110000}"/>
    <cellStyle name="_MOR - Australia -  EC - 1+11_By Country Detail 1Q10 041410pm FIN 18 revised per disc w Mary_BS_Separation_TaxResIndem_Q12412 tf_Guidance_Sheet1" xfId="4359" xr:uid="{00000000-0005-0000-0000-000006110000}"/>
    <cellStyle name="_MOR - Australia -  EC - 1+11_By Country Detail 1Q10 041410pm FIN 18 revised per disc w Mary_BS_Separation_TaxResIndem_Q12412 tf_Guidance_Sheet2" xfId="4360" xr:uid="{00000000-0005-0000-0000-000007110000}"/>
    <cellStyle name="_MOR - Australia -  EC - 1+11_By Country Detail 1Q10 041410pm FIN 18 revised per disc w Mary_BS_Separation_TaxResIndem_Q12412 tf_Guidance_Sheet3" xfId="4361" xr:uid="{00000000-0005-0000-0000-000008110000}"/>
    <cellStyle name="_MOR - Australia -  EC - 1+11_By Country Detail 1Q10 041410pm FIN 18 revised per disc w Mary_BS_Separation_TaxResIndem_Q12412 tf_Guidance_Sheet4" xfId="4362" xr:uid="{00000000-0005-0000-0000-000009110000}"/>
    <cellStyle name="_MOR - Australia -  EC - 1+11_By Country Detail 1Q10 041410pm FIN 18 revised per disc w Mary_BS_Separation_TaxResIndem_Q12412 tf_Restructuring &amp; Separation" xfId="4363" xr:uid="{00000000-0005-0000-0000-00000A110000}"/>
    <cellStyle name="_MOR - Australia -  EC - 1+11_By Country Detail 1Q10 041410pm FIN 18 revised per disc w Mary_BS_Separation_TaxResIndem_Q12412 tf_Restructuring &amp; Separation_Guidance" xfId="4364" xr:uid="{00000000-0005-0000-0000-00000B110000}"/>
    <cellStyle name="_MOR - Australia -  EC - 1+11_By Country Detail 1Q10 041410pm FIN 18 revised per disc w Mary_BS_Separation_TaxResIndem_Q12412 tf_Restructuring &amp; Separation_Guidance 2" xfId="4365" xr:uid="{00000000-0005-0000-0000-00000C110000}"/>
    <cellStyle name="_MOR - Australia -  EC - 1+11_By Country Detail 1Q10 041410pm FIN 18 revised per disc w Mary_BS_Separation_TaxResIndem_Q12412 tf_Restructuring &amp; Separation_Guidance_BS retrieve" xfId="4366" xr:uid="{00000000-0005-0000-0000-00000D110000}"/>
    <cellStyle name="_MOR - Australia -  EC - 1+11_By Country Detail 1Q10 041410pm FIN 18 revised per disc w Mary_BS_Separation_TaxResIndem_Q12412 tf_Restructuring &amp; Separation_Guidance_Free CF" xfId="4367" xr:uid="{00000000-0005-0000-0000-00000E110000}"/>
    <cellStyle name="_MOR - Australia -  EC - 1+11_By Country Detail 1Q10 041410pm FIN 18 revised per disc w Mary_BS_Separation_TaxResIndem_Q12412 tf_Restructuring &amp; Separation_Guidance_P&amp;L Rec Qtr" xfId="4368" xr:uid="{00000000-0005-0000-0000-00000F110000}"/>
    <cellStyle name="_MOR - Australia -  EC - 1+11_By Country Detail 1Q10 041410pm FIN 18 revised per disc w Mary_BS_Separation_TaxResIndem_Q12412 tf_Restructuring &amp; Separation_Guidance_Sheet1" xfId="4369" xr:uid="{00000000-0005-0000-0000-000010110000}"/>
    <cellStyle name="_MOR - Australia -  EC - 1+11_By Country Detail 1Q10 041410pm FIN 18 revised per disc w Mary_BS_Separation_TaxResIndem_Q12412 tf_Restructuring &amp; Separation_Guidance_Sheet2" xfId="4370" xr:uid="{00000000-0005-0000-0000-000011110000}"/>
    <cellStyle name="_MOR - Australia -  EC - 1+11_By Country Detail 1Q10 041410pm FIN 18 revised per disc w Mary_BS_Separation_TaxResIndem_Q12412 tf_Restructuring &amp; Separation_Guidance_Sheet3" xfId="4371" xr:uid="{00000000-0005-0000-0000-000012110000}"/>
    <cellStyle name="_MOR - Australia -  EC - 1+11_By Country Detail 1Q10 041410pm FIN 18 revised per disc w Mary_BS_Separation_TaxResIndem_Q12412 tf_Restructuring &amp; Separation_Guidance_Sheet4" xfId="4372" xr:uid="{00000000-0005-0000-0000-000013110000}"/>
    <cellStyle name="_MOR - Australia -  EC - 1+11_By Country Detail 1Q10 041410pm FIN 18 revised per disc w Mary_Guidance" xfId="4373" xr:uid="{00000000-0005-0000-0000-000014110000}"/>
    <cellStyle name="_MOR - Australia -  EC - 1+11_By Country Detail 1Q10 041410pm FIN 18 revised per disc w Mary_Guidance 2" xfId="4374" xr:uid="{00000000-0005-0000-0000-000015110000}"/>
    <cellStyle name="_MOR - Australia -  EC - 1+11_By Country Detail 1Q10 041410pm FIN 18 revised per disc w Mary_Guidance_BS retrieve" xfId="4375" xr:uid="{00000000-0005-0000-0000-000016110000}"/>
    <cellStyle name="_MOR - Australia -  EC - 1+11_By Country Detail 1Q10 041410pm FIN 18 revised per disc w Mary_Guidance_Free CF" xfId="4376" xr:uid="{00000000-0005-0000-0000-000017110000}"/>
    <cellStyle name="_MOR - Australia -  EC - 1+11_By Country Detail 1Q10 041410pm FIN 18 revised per disc w Mary_Guidance_P&amp;L Rec Qtr" xfId="4377" xr:uid="{00000000-0005-0000-0000-000018110000}"/>
    <cellStyle name="_MOR - Australia -  EC - 1+11_By Country Detail 1Q10 041410pm FIN 18 revised per disc w Mary_Guidance_Sheet1" xfId="4378" xr:uid="{00000000-0005-0000-0000-000019110000}"/>
    <cellStyle name="_MOR - Australia -  EC - 1+11_By Country Detail 1Q10 041410pm FIN 18 revised per disc w Mary_Guidance_Sheet2" xfId="4379" xr:uid="{00000000-0005-0000-0000-00001A110000}"/>
    <cellStyle name="_MOR - Australia -  EC - 1+11_By Country Detail 1Q10 041410pm FIN 18 revised per disc w Mary_Guidance_Sheet3" xfId="4380" xr:uid="{00000000-0005-0000-0000-00001B110000}"/>
    <cellStyle name="_MOR - Australia -  EC - 1+11_By Country Detail 1Q10 041410pm FIN 18 revised per disc w Mary_Guidance_Sheet4" xfId="4381" xr:uid="{00000000-0005-0000-0000-00001C110000}"/>
    <cellStyle name="_MOR - Australia -  EC - 1+11_By Country Detail 1Q10 041410pm FIN 18 revised per disc w Mary_II.8. Sep&amp;Discrete" xfId="4382" xr:uid="{00000000-0005-0000-0000-00001D110000}"/>
    <cellStyle name="_MOR - Australia -  EC - 1+11_By Country Detail 1Q10 041410pm FIN 18 revised per disc w Mary_II.8. Sep&amp;Discrete_Guidance" xfId="4383" xr:uid="{00000000-0005-0000-0000-00001E110000}"/>
    <cellStyle name="_MOR - Australia -  EC - 1+11_By Country Detail 1Q10 041410pm FIN 18 revised per disc w Mary_II.8. Sep&amp;Discrete_Guidance 2" xfId="4384" xr:uid="{00000000-0005-0000-0000-00001F110000}"/>
    <cellStyle name="_MOR - Australia -  EC - 1+11_By Country Detail 1Q10 041410pm FIN 18 revised per disc w Mary_II.8. Sep&amp;Discrete_Guidance_BS retrieve" xfId="4385" xr:uid="{00000000-0005-0000-0000-000020110000}"/>
    <cellStyle name="_MOR - Australia -  EC - 1+11_By Country Detail 1Q10 041410pm FIN 18 revised per disc w Mary_II.8. Sep&amp;Discrete_Guidance_Free CF" xfId="4386" xr:uid="{00000000-0005-0000-0000-000021110000}"/>
    <cellStyle name="_MOR - Australia -  EC - 1+11_By Country Detail 1Q10 041410pm FIN 18 revised per disc w Mary_II.8. Sep&amp;Discrete_Guidance_P&amp;L Rec Qtr" xfId="4387" xr:uid="{00000000-0005-0000-0000-000022110000}"/>
    <cellStyle name="_MOR - Australia -  EC - 1+11_By Country Detail 1Q10 041410pm FIN 18 revised per disc w Mary_II.8. Sep&amp;Discrete_Guidance_Sheet1" xfId="4388" xr:uid="{00000000-0005-0000-0000-000023110000}"/>
    <cellStyle name="_MOR - Australia -  EC - 1+11_By Country Detail 1Q10 041410pm FIN 18 revised per disc w Mary_II.8. Sep&amp;Discrete_Guidance_Sheet2" xfId="4389" xr:uid="{00000000-0005-0000-0000-000024110000}"/>
    <cellStyle name="_MOR - Australia -  EC - 1+11_By Country Detail 1Q10 041410pm FIN 18 revised per disc w Mary_II.8. Sep&amp;Discrete_Guidance_Sheet3" xfId="4390" xr:uid="{00000000-0005-0000-0000-000025110000}"/>
    <cellStyle name="_MOR - Australia -  EC - 1+11_By Country Detail 1Q10 041410pm FIN 18 revised per disc w Mary_II.8. Sep&amp;Discrete_Guidance_Sheet4" xfId="4391" xr:uid="{00000000-0005-0000-0000-000026110000}"/>
    <cellStyle name="_MOR - Australia -  EC - 1+11_By Country Detail 1Q10 041410pm FIN 18 revised per disc w Mary_Restructuring &amp; Separation" xfId="4392" xr:uid="{00000000-0005-0000-0000-000027110000}"/>
    <cellStyle name="_MOR - Australia -  EC - 1+11_By Country Detail 1Q10 041410pm FIN 18 revised per disc w Mary_Restructuring &amp; Separation_Guidance" xfId="4393" xr:uid="{00000000-0005-0000-0000-000028110000}"/>
    <cellStyle name="_MOR - Australia -  EC - 1+11_By Country Detail 1Q10 041410pm FIN 18 revised per disc w Mary_Restructuring &amp; Separation_Guidance 2" xfId="4394" xr:uid="{00000000-0005-0000-0000-000029110000}"/>
    <cellStyle name="_MOR - Australia -  EC - 1+11_By Country Detail 1Q10 041410pm FIN 18 revised per disc w Mary_Restructuring &amp; Separation_Guidance_BS retrieve" xfId="4395" xr:uid="{00000000-0005-0000-0000-00002A110000}"/>
    <cellStyle name="_MOR - Australia -  EC - 1+11_By Country Detail 1Q10 041410pm FIN 18 revised per disc w Mary_Restructuring &amp; Separation_Guidance_Free CF" xfId="4396" xr:uid="{00000000-0005-0000-0000-00002B110000}"/>
    <cellStyle name="_MOR - Australia -  EC - 1+11_By Country Detail 1Q10 041410pm FIN 18 revised per disc w Mary_Restructuring &amp; Separation_Guidance_P&amp;L Rec Qtr" xfId="4397" xr:uid="{00000000-0005-0000-0000-00002C110000}"/>
    <cellStyle name="_MOR - Australia -  EC - 1+11_By Country Detail 1Q10 041410pm FIN 18 revised per disc w Mary_Restructuring &amp; Separation_Guidance_Sheet1" xfId="4398" xr:uid="{00000000-0005-0000-0000-00002D110000}"/>
    <cellStyle name="_MOR - Australia -  EC - 1+11_By Country Detail 1Q10 041410pm FIN 18 revised per disc w Mary_Restructuring &amp; Separation_Guidance_Sheet2" xfId="4399" xr:uid="{00000000-0005-0000-0000-00002E110000}"/>
    <cellStyle name="_MOR - Australia -  EC - 1+11_By Country Detail 1Q10 041410pm FIN 18 revised per disc w Mary_Restructuring &amp; Separation_Guidance_Sheet3" xfId="4400" xr:uid="{00000000-0005-0000-0000-00002F110000}"/>
    <cellStyle name="_MOR - Australia -  EC - 1+11_By Country Detail 1Q10 041410pm FIN 18 revised per disc w Mary_Restructuring &amp; Separation_Guidance_Sheet4" xfId="4401" xr:uid="{00000000-0005-0000-0000-000030110000}"/>
    <cellStyle name="_MOR - Australia -  EC - 1+11_Guidance" xfId="4402" xr:uid="{00000000-0005-0000-0000-000031110000}"/>
    <cellStyle name="_MOR - Australia -  EC - 1+11_Guidance 2" xfId="4403" xr:uid="{00000000-0005-0000-0000-000032110000}"/>
    <cellStyle name="_MOR - Australia -  EC - 1+11_Guidance_BS retrieve" xfId="4404" xr:uid="{00000000-0005-0000-0000-000033110000}"/>
    <cellStyle name="_MOR - Australia -  EC - 1+11_Guidance_Free CF" xfId="4405" xr:uid="{00000000-0005-0000-0000-000034110000}"/>
    <cellStyle name="_MOR - Australia -  EC - 1+11_Guidance_P&amp;L Rec Qtr" xfId="4406" xr:uid="{00000000-0005-0000-0000-000035110000}"/>
    <cellStyle name="_MOR - Australia -  EC - 1+11_Guidance_Sheet1" xfId="4407" xr:uid="{00000000-0005-0000-0000-000036110000}"/>
    <cellStyle name="_MOR - Australia -  EC - 1+11_Guidance_Sheet2" xfId="4408" xr:uid="{00000000-0005-0000-0000-000037110000}"/>
    <cellStyle name="_MOR - Australia -  EC - 1+11_Guidance_Sheet3" xfId="4409" xr:uid="{00000000-0005-0000-0000-000038110000}"/>
    <cellStyle name="_MOR - Australia -  EC - 1+11_Guidance_Sheet4" xfId="4410" xr:uid="{00000000-0005-0000-0000-000039110000}"/>
    <cellStyle name="_MOR - Australia -  EC - 1+11_II.4. RawMaterials" xfId="4411" xr:uid="{00000000-0005-0000-0000-00003A110000}"/>
    <cellStyle name="_MOR - Australia -  EC - 1+11_II.4. RawMaterials 2" xfId="4412" xr:uid="{00000000-0005-0000-0000-00003B110000}"/>
    <cellStyle name="_MOR - Australia -  EC - 1+11_II.4. RawMaterials_BS retrieve" xfId="4413" xr:uid="{00000000-0005-0000-0000-00003C110000}"/>
    <cellStyle name="_MOR - Australia -  EC - 1+11_II.4. RawMaterials_Free CF" xfId="4414" xr:uid="{00000000-0005-0000-0000-00003D110000}"/>
    <cellStyle name="_MOR - Australia -  EC - 1+11_II.4. RawMaterials_P&amp;L Rec Qtr" xfId="4415" xr:uid="{00000000-0005-0000-0000-00003E110000}"/>
    <cellStyle name="_MOR - Australia -  EC - 1+11_II.4. RawMaterials_Sheet1" xfId="4416" xr:uid="{00000000-0005-0000-0000-00003F110000}"/>
    <cellStyle name="_MOR - Australia -  EC - 1+11_II.4. RawMaterials_Sheet2" xfId="4417" xr:uid="{00000000-0005-0000-0000-000040110000}"/>
    <cellStyle name="_MOR - Australia -  EC - 1+11_II.4. RawMaterials_Sheet3" xfId="4418" xr:uid="{00000000-0005-0000-0000-000041110000}"/>
    <cellStyle name="_MOR - Australia -  EC - 1+11_II.4. RawMaterials_Sheet4" xfId="4419" xr:uid="{00000000-0005-0000-0000-000042110000}"/>
    <cellStyle name="_MOR - Australia -  EC - 1+11_II.5. RawMaterials" xfId="4420" xr:uid="{00000000-0005-0000-0000-000043110000}"/>
    <cellStyle name="_MOR - Australia -  EC - 1+11_II.5. RawMaterials 2" xfId="4421" xr:uid="{00000000-0005-0000-0000-000044110000}"/>
    <cellStyle name="_MOR - Australia -  EC - 1+11_II.5. RawMaterials_BS retrieve" xfId="4422" xr:uid="{00000000-0005-0000-0000-000045110000}"/>
    <cellStyle name="_MOR - Australia -  EC - 1+11_II.5. RawMaterials_Free CF" xfId="4423" xr:uid="{00000000-0005-0000-0000-000046110000}"/>
    <cellStyle name="_MOR - Australia -  EC - 1+11_II.5. RawMaterials_Guidance" xfId="4424" xr:uid="{00000000-0005-0000-0000-000047110000}"/>
    <cellStyle name="_MOR - Australia -  EC - 1+11_II.5. RawMaterials_Guidance 2" xfId="4425" xr:uid="{00000000-0005-0000-0000-000048110000}"/>
    <cellStyle name="_MOR - Australia -  EC - 1+11_II.5. RawMaterials_Guidance_BS retrieve" xfId="4426" xr:uid="{00000000-0005-0000-0000-000049110000}"/>
    <cellStyle name="_MOR - Australia -  EC - 1+11_II.5. RawMaterials_Guidance_Free CF" xfId="4427" xr:uid="{00000000-0005-0000-0000-00004A110000}"/>
    <cellStyle name="_MOR - Australia -  EC - 1+11_II.5. RawMaterials_Guidance_P&amp;L Rec Qtr" xfId="4428" xr:uid="{00000000-0005-0000-0000-00004B110000}"/>
    <cellStyle name="_MOR - Australia -  EC - 1+11_II.5. RawMaterials_Guidance_Sheet1" xfId="4429" xr:uid="{00000000-0005-0000-0000-00004C110000}"/>
    <cellStyle name="_MOR - Australia -  EC - 1+11_II.5. RawMaterials_Guidance_Sheet2" xfId="4430" xr:uid="{00000000-0005-0000-0000-00004D110000}"/>
    <cellStyle name="_MOR - Australia -  EC - 1+11_II.5. RawMaterials_Guidance_Sheet3" xfId="4431" xr:uid="{00000000-0005-0000-0000-00004E110000}"/>
    <cellStyle name="_MOR - Australia -  EC - 1+11_II.5. RawMaterials_Guidance_Sheet4" xfId="4432" xr:uid="{00000000-0005-0000-0000-00004F110000}"/>
    <cellStyle name="_MOR - Australia -  EC - 1+11_II.5. RawMaterials_P&amp;L Rec Qtr" xfId="4433" xr:uid="{00000000-0005-0000-0000-000050110000}"/>
    <cellStyle name="_MOR - Australia -  EC - 1+11_II.5. RawMaterials_Sheet1" xfId="4434" xr:uid="{00000000-0005-0000-0000-000051110000}"/>
    <cellStyle name="_MOR - Australia -  EC - 1+11_II.5. RawMaterials_Sheet2" xfId="4435" xr:uid="{00000000-0005-0000-0000-000052110000}"/>
    <cellStyle name="_MOR - Australia -  EC - 1+11_II.5. RawMaterials_Sheet3" xfId="4436" xr:uid="{00000000-0005-0000-0000-000053110000}"/>
    <cellStyle name="_MOR - Australia -  EC - 1+11_II.5. RawMaterials_Sheet4" xfId="4437" xr:uid="{00000000-0005-0000-0000-000054110000}"/>
    <cellStyle name="_MOR - Australia -  EC - 1+11_II.5. RM Volume Sensitivities" xfId="4438" xr:uid="{00000000-0005-0000-0000-000055110000}"/>
    <cellStyle name="_MOR - Australia -  EC - 1+11_II.5. RM Volume Sensitivities 2" xfId="4439" xr:uid="{00000000-0005-0000-0000-000056110000}"/>
    <cellStyle name="_MOR - Australia -  EC - 1+11_II.5. RM Volume Sensitivities_BS retrieve" xfId="4440" xr:uid="{00000000-0005-0000-0000-000057110000}"/>
    <cellStyle name="_MOR - Australia -  EC - 1+11_II.5. RM Volume Sensitivities_Free CF" xfId="4441" xr:uid="{00000000-0005-0000-0000-000058110000}"/>
    <cellStyle name="_MOR - Australia -  EC - 1+11_II.5. RM Volume Sensitivities_P&amp;L Rec Qtr" xfId="4442" xr:uid="{00000000-0005-0000-0000-000059110000}"/>
    <cellStyle name="_MOR - Australia -  EC - 1+11_II.5. RM Volume Sensitivities_Sheet1" xfId="4443" xr:uid="{00000000-0005-0000-0000-00005A110000}"/>
    <cellStyle name="_MOR - Australia -  EC - 1+11_II.5. RM Volume Sensitivities_Sheet2" xfId="4444" xr:uid="{00000000-0005-0000-0000-00005B110000}"/>
    <cellStyle name="_MOR - Australia -  EC - 1+11_II.5. RM Volume Sensitivities_Sheet3" xfId="4445" xr:uid="{00000000-0005-0000-0000-00005C110000}"/>
    <cellStyle name="_MOR - Australia -  EC - 1+11_II.5. RM Volume Sensitivities_Sheet4" xfId="4446" xr:uid="{00000000-0005-0000-0000-00005D110000}"/>
    <cellStyle name="_MOR - Australia -  EC - 1+11_II.8. Sep&amp;Discrete" xfId="4447" xr:uid="{00000000-0005-0000-0000-00005E110000}"/>
    <cellStyle name="_MOR - Australia -  EC - 1+11_II.8. Sep&amp;Discrete_Guidance" xfId="4448" xr:uid="{00000000-0005-0000-0000-00005F110000}"/>
    <cellStyle name="_MOR - Australia -  EC - 1+11_II.8. Sep&amp;Discrete_Guidance 2" xfId="4449" xr:uid="{00000000-0005-0000-0000-000060110000}"/>
    <cellStyle name="_MOR - Australia -  EC - 1+11_II.8. Sep&amp;Discrete_Guidance_BS retrieve" xfId="4450" xr:uid="{00000000-0005-0000-0000-000061110000}"/>
    <cellStyle name="_MOR - Australia -  EC - 1+11_II.8. Sep&amp;Discrete_Guidance_Free CF" xfId="4451" xr:uid="{00000000-0005-0000-0000-000062110000}"/>
    <cellStyle name="_MOR - Australia -  EC - 1+11_II.8. Sep&amp;Discrete_Guidance_P&amp;L Rec Qtr" xfId="4452" xr:uid="{00000000-0005-0000-0000-000063110000}"/>
    <cellStyle name="_MOR - Australia -  EC - 1+11_II.8. Sep&amp;Discrete_Guidance_Sheet1" xfId="4453" xr:uid="{00000000-0005-0000-0000-000064110000}"/>
    <cellStyle name="_MOR - Australia -  EC - 1+11_II.8. Sep&amp;Discrete_Guidance_Sheet2" xfId="4454" xr:uid="{00000000-0005-0000-0000-000065110000}"/>
    <cellStyle name="_MOR - Australia -  EC - 1+11_II.8. Sep&amp;Discrete_Guidance_Sheet3" xfId="4455" xr:uid="{00000000-0005-0000-0000-000066110000}"/>
    <cellStyle name="_MOR - Australia -  EC - 1+11_II.8. Sep&amp;Discrete_Guidance_Sheet4" xfId="4456" xr:uid="{00000000-0005-0000-0000-000067110000}"/>
    <cellStyle name="_MOR - Australia -  EC - 1+11_Restructuring &amp; Separation" xfId="4457" xr:uid="{00000000-0005-0000-0000-000068110000}"/>
    <cellStyle name="_MOR - Australia -  EC - 1+11_Restructuring &amp; Separation_Guidance" xfId="4458" xr:uid="{00000000-0005-0000-0000-000069110000}"/>
    <cellStyle name="_MOR - Australia -  EC - 1+11_Restructuring &amp; Separation_Guidance 2" xfId="4459" xr:uid="{00000000-0005-0000-0000-00006A110000}"/>
    <cellStyle name="_MOR - Australia -  EC - 1+11_Restructuring &amp; Separation_Guidance_BS retrieve" xfId="4460" xr:uid="{00000000-0005-0000-0000-00006B110000}"/>
    <cellStyle name="_MOR - Australia -  EC - 1+11_Restructuring &amp; Separation_Guidance_Free CF" xfId="4461" xr:uid="{00000000-0005-0000-0000-00006C110000}"/>
    <cellStyle name="_MOR - Australia -  EC - 1+11_Restructuring &amp; Separation_Guidance_P&amp;L Rec Qtr" xfId="4462" xr:uid="{00000000-0005-0000-0000-00006D110000}"/>
    <cellStyle name="_MOR - Australia -  EC - 1+11_Restructuring &amp; Separation_Guidance_Sheet1" xfId="4463" xr:uid="{00000000-0005-0000-0000-00006E110000}"/>
    <cellStyle name="_MOR - Australia -  EC - 1+11_Restructuring &amp; Separation_Guidance_Sheet2" xfId="4464" xr:uid="{00000000-0005-0000-0000-00006F110000}"/>
    <cellStyle name="_MOR - Australia -  EC - 1+11_Restructuring &amp; Separation_Guidance_Sheet3" xfId="4465" xr:uid="{00000000-0005-0000-0000-000070110000}"/>
    <cellStyle name="_MOR - Australia -  EC - 1+11_Restructuring &amp; Separation_Guidance_Sheet4" xfId="4466" xr:uid="{00000000-0005-0000-0000-000071110000}"/>
    <cellStyle name="_MOR - Australia -  EC - 1+11_Restructuring_Separation_TAX_JuneFC2010 tf" xfId="4467" xr:uid="{00000000-0005-0000-0000-000072110000}"/>
    <cellStyle name="_MOR - Australia -  EC - 1+11_Restructuring_Separation_TAX_JuneFC2010 tf_BS_Separation_TaxResIndem_Q12412 tf" xfId="4468" xr:uid="{00000000-0005-0000-0000-000073110000}"/>
    <cellStyle name="_MOR - Australia -  EC - 1+11_Restructuring_Separation_TAX_JuneFC2010 tf_BS_Separation_TaxResIndem_Q12412 tf_Guidance" xfId="4469" xr:uid="{00000000-0005-0000-0000-000074110000}"/>
    <cellStyle name="_MOR - Australia -  EC - 1+11_Restructuring_Separation_TAX_JuneFC2010 tf_BS_Separation_TaxResIndem_Q12412 tf_Guidance 2" xfId="4470" xr:uid="{00000000-0005-0000-0000-000075110000}"/>
    <cellStyle name="_MOR - Australia -  EC - 1+11_Restructuring_Separation_TAX_JuneFC2010 tf_BS_Separation_TaxResIndem_Q12412 tf_Guidance_BS retrieve" xfId="4471" xr:uid="{00000000-0005-0000-0000-000076110000}"/>
    <cellStyle name="_MOR - Australia -  EC - 1+11_Restructuring_Separation_TAX_JuneFC2010 tf_BS_Separation_TaxResIndem_Q12412 tf_Guidance_Free CF" xfId="4472" xr:uid="{00000000-0005-0000-0000-000077110000}"/>
    <cellStyle name="_MOR - Australia -  EC - 1+11_Restructuring_Separation_TAX_JuneFC2010 tf_BS_Separation_TaxResIndem_Q12412 tf_Guidance_P&amp;L Rec Qtr" xfId="4473" xr:uid="{00000000-0005-0000-0000-000078110000}"/>
    <cellStyle name="_MOR - Australia -  EC - 1+11_Restructuring_Separation_TAX_JuneFC2010 tf_BS_Separation_TaxResIndem_Q12412 tf_Guidance_Sheet1" xfId="4474" xr:uid="{00000000-0005-0000-0000-000079110000}"/>
    <cellStyle name="_MOR - Australia -  EC - 1+11_Restructuring_Separation_TAX_JuneFC2010 tf_BS_Separation_TaxResIndem_Q12412 tf_Guidance_Sheet2" xfId="4475" xr:uid="{00000000-0005-0000-0000-00007A110000}"/>
    <cellStyle name="_MOR - Australia -  EC - 1+11_Restructuring_Separation_TAX_JuneFC2010 tf_BS_Separation_TaxResIndem_Q12412 tf_Guidance_Sheet3" xfId="4476" xr:uid="{00000000-0005-0000-0000-00007B110000}"/>
    <cellStyle name="_MOR - Australia -  EC - 1+11_Restructuring_Separation_TAX_JuneFC2010 tf_BS_Separation_TaxResIndem_Q12412 tf_Guidance_Sheet4" xfId="4477" xr:uid="{00000000-0005-0000-0000-00007C110000}"/>
    <cellStyle name="_MOR - Australia -  EC - 1+11_Restructuring_Separation_TAX_JuneFC2010 tf_BS_Separation_TaxResIndem_Q12412 tf_Restructuring &amp; Separation" xfId="4478" xr:uid="{00000000-0005-0000-0000-00007D110000}"/>
    <cellStyle name="_MOR - Australia -  EC - 1+11_Restructuring_Separation_TAX_JuneFC2010 tf_BS_Separation_TaxResIndem_Q12412 tf_Restructuring &amp; Separation_Guidance" xfId="4479" xr:uid="{00000000-0005-0000-0000-00007E110000}"/>
    <cellStyle name="_MOR - Australia -  EC - 1+11_Restructuring_Separation_TAX_JuneFC2010 tf_BS_Separation_TaxResIndem_Q12412 tf_Restructuring &amp; Separation_Guidance 2" xfId="4480" xr:uid="{00000000-0005-0000-0000-00007F110000}"/>
    <cellStyle name="_MOR - Australia -  EC - 1+11_Restructuring_Separation_TAX_JuneFC2010 tf_BS_Separation_TaxResIndem_Q12412 tf_Restructuring &amp; Separation_Guidance_BS retrieve" xfId="4481" xr:uid="{00000000-0005-0000-0000-000080110000}"/>
    <cellStyle name="_MOR - Australia -  EC - 1+11_Restructuring_Separation_TAX_JuneFC2010 tf_BS_Separation_TaxResIndem_Q12412 tf_Restructuring &amp; Separation_Guidance_Free CF" xfId="4482" xr:uid="{00000000-0005-0000-0000-000081110000}"/>
    <cellStyle name="_MOR - Australia -  EC - 1+11_Restructuring_Separation_TAX_JuneFC2010 tf_BS_Separation_TaxResIndem_Q12412 tf_Restructuring &amp; Separation_Guidance_P&amp;L Rec Qtr" xfId="4483" xr:uid="{00000000-0005-0000-0000-000082110000}"/>
    <cellStyle name="_MOR - Australia -  EC - 1+11_Restructuring_Separation_TAX_JuneFC2010 tf_BS_Separation_TaxResIndem_Q12412 tf_Restructuring &amp; Separation_Guidance_Sheet1" xfId="4484" xr:uid="{00000000-0005-0000-0000-000083110000}"/>
    <cellStyle name="_MOR - Australia -  EC - 1+11_Restructuring_Separation_TAX_JuneFC2010 tf_BS_Separation_TaxResIndem_Q12412 tf_Restructuring &amp; Separation_Guidance_Sheet2" xfId="4485" xr:uid="{00000000-0005-0000-0000-000084110000}"/>
    <cellStyle name="_MOR - Australia -  EC - 1+11_Restructuring_Separation_TAX_JuneFC2010 tf_BS_Separation_TaxResIndem_Q12412 tf_Restructuring &amp; Separation_Guidance_Sheet3" xfId="4486" xr:uid="{00000000-0005-0000-0000-000085110000}"/>
    <cellStyle name="_MOR - Australia -  EC - 1+11_Restructuring_Separation_TAX_JuneFC2010 tf_BS_Separation_TaxResIndem_Q12412 tf_Restructuring &amp; Separation_Guidance_Sheet4" xfId="4487" xr:uid="{00000000-0005-0000-0000-000086110000}"/>
    <cellStyle name="_MOR - Australia -  EC - 1+11_Restructuring_Separation_TAX_JuneFC2010 tf_Guidance" xfId="4488" xr:uid="{00000000-0005-0000-0000-000087110000}"/>
    <cellStyle name="_MOR - Australia -  EC - 1+11_Restructuring_Separation_TAX_JuneFC2010 tf_Guidance 2" xfId="4489" xr:uid="{00000000-0005-0000-0000-000088110000}"/>
    <cellStyle name="_MOR - Australia -  EC - 1+11_Restructuring_Separation_TAX_JuneFC2010 tf_Guidance_BS retrieve" xfId="4490" xr:uid="{00000000-0005-0000-0000-000089110000}"/>
    <cellStyle name="_MOR - Australia -  EC - 1+11_Restructuring_Separation_TAX_JuneFC2010 tf_Guidance_Free CF" xfId="4491" xr:uid="{00000000-0005-0000-0000-00008A110000}"/>
    <cellStyle name="_MOR - Australia -  EC - 1+11_Restructuring_Separation_TAX_JuneFC2010 tf_Guidance_P&amp;L Rec Qtr" xfId="4492" xr:uid="{00000000-0005-0000-0000-00008B110000}"/>
    <cellStyle name="_MOR - Australia -  EC - 1+11_Restructuring_Separation_TAX_JuneFC2010 tf_Guidance_Sheet1" xfId="4493" xr:uid="{00000000-0005-0000-0000-00008C110000}"/>
    <cellStyle name="_MOR - Australia -  EC - 1+11_Restructuring_Separation_TAX_JuneFC2010 tf_Guidance_Sheet2" xfId="4494" xr:uid="{00000000-0005-0000-0000-00008D110000}"/>
    <cellStyle name="_MOR - Australia -  EC - 1+11_Restructuring_Separation_TAX_JuneFC2010 tf_Guidance_Sheet3" xfId="4495" xr:uid="{00000000-0005-0000-0000-00008E110000}"/>
    <cellStyle name="_MOR - Australia -  EC - 1+11_Restructuring_Separation_TAX_JuneFC2010 tf_Guidance_Sheet4" xfId="4496" xr:uid="{00000000-0005-0000-0000-00008F110000}"/>
    <cellStyle name="_MOR - Australia -  EC - 1+11_Restructuring_Separation_TAX_JuneFC2010 tf_II.8. Sep&amp;Discrete" xfId="4497" xr:uid="{00000000-0005-0000-0000-000090110000}"/>
    <cellStyle name="_MOR - Australia -  EC - 1+11_Restructuring_Separation_TAX_JuneFC2010 tf_II.8. Sep&amp;Discrete_Guidance" xfId="4498" xr:uid="{00000000-0005-0000-0000-000091110000}"/>
    <cellStyle name="_MOR - Australia -  EC - 1+11_Restructuring_Separation_TAX_JuneFC2010 tf_II.8. Sep&amp;Discrete_Guidance 2" xfId="4499" xr:uid="{00000000-0005-0000-0000-000092110000}"/>
    <cellStyle name="_MOR - Australia -  EC - 1+11_Restructuring_Separation_TAX_JuneFC2010 tf_II.8. Sep&amp;Discrete_Guidance_BS retrieve" xfId="4500" xr:uid="{00000000-0005-0000-0000-000093110000}"/>
    <cellStyle name="_MOR - Australia -  EC - 1+11_Restructuring_Separation_TAX_JuneFC2010 tf_II.8. Sep&amp;Discrete_Guidance_Free CF" xfId="4501" xr:uid="{00000000-0005-0000-0000-000094110000}"/>
    <cellStyle name="_MOR - Australia -  EC - 1+11_Restructuring_Separation_TAX_JuneFC2010 tf_II.8. Sep&amp;Discrete_Guidance_P&amp;L Rec Qtr" xfId="4502" xr:uid="{00000000-0005-0000-0000-000095110000}"/>
    <cellStyle name="_MOR - Australia -  EC - 1+11_Restructuring_Separation_TAX_JuneFC2010 tf_II.8. Sep&amp;Discrete_Guidance_Sheet1" xfId="4503" xr:uid="{00000000-0005-0000-0000-000096110000}"/>
    <cellStyle name="_MOR - Australia -  EC - 1+11_Restructuring_Separation_TAX_JuneFC2010 tf_II.8. Sep&amp;Discrete_Guidance_Sheet2" xfId="4504" xr:uid="{00000000-0005-0000-0000-000097110000}"/>
    <cellStyle name="_MOR - Australia -  EC - 1+11_Restructuring_Separation_TAX_JuneFC2010 tf_II.8. Sep&amp;Discrete_Guidance_Sheet3" xfId="4505" xr:uid="{00000000-0005-0000-0000-000098110000}"/>
    <cellStyle name="_MOR - Australia -  EC - 1+11_Restructuring_Separation_TAX_JuneFC2010 tf_II.8. Sep&amp;Discrete_Guidance_Sheet4" xfId="4506" xr:uid="{00000000-0005-0000-0000-000099110000}"/>
    <cellStyle name="_MOR - Australia -  EC - 1+11_Restructuring_Separation_TAX_JuneFC2010 tf_Restructuring &amp; Separation" xfId="4507" xr:uid="{00000000-0005-0000-0000-00009A110000}"/>
    <cellStyle name="_MOR - Australia -  EC - 1+11_Restructuring_Separation_TAX_JuneFC2010 tf_Restructuring &amp; Separation_Guidance" xfId="4508" xr:uid="{00000000-0005-0000-0000-00009B110000}"/>
    <cellStyle name="_MOR - Australia -  EC - 1+11_Restructuring_Separation_TAX_JuneFC2010 tf_Restructuring &amp; Separation_Guidance 2" xfId="4509" xr:uid="{00000000-0005-0000-0000-00009C110000}"/>
    <cellStyle name="_MOR - Australia -  EC - 1+11_Restructuring_Separation_TAX_JuneFC2010 tf_Restructuring &amp; Separation_Guidance_BS retrieve" xfId="4510" xr:uid="{00000000-0005-0000-0000-00009D110000}"/>
    <cellStyle name="_MOR - Australia -  EC - 1+11_Restructuring_Separation_TAX_JuneFC2010 tf_Restructuring &amp; Separation_Guidance_Free CF" xfId="4511" xr:uid="{00000000-0005-0000-0000-00009E110000}"/>
    <cellStyle name="_MOR - Australia -  EC - 1+11_Restructuring_Separation_TAX_JuneFC2010 tf_Restructuring &amp; Separation_Guidance_P&amp;L Rec Qtr" xfId="4512" xr:uid="{00000000-0005-0000-0000-00009F110000}"/>
    <cellStyle name="_MOR - Australia -  EC - 1+11_Restructuring_Separation_TAX_JuneFC2010 tf_Restructuring &amp; Separation_Guidance_Sheet1" xfId="4513" xr:uid="{00000000-0005-0000-0000-0000A0110000}"/>
    <cellStyle name="_MOR - Australia -  EC - 1+11_Restructuring_Separation_TAX_JuneFC2010 tf_Restructuring &amp; Separation_Guidance_Sheet2" xfId="4514" xr:uid="{00000000-0005-0000-0000-0000A1110000}"/>
    <cellStyle name="_MOR - Australia -  EC - 1+11_Restructuring_Separation_TAX_JuneFC2010 tf_Restructuring &amp; Separation_Guidance_Sheet3" xfId="4515" xr:uid="{00000000-0005-0000-0000-0000A2110000}"/>
    <cellStyle name="_MOR - Australia -  EC - 1+11_Restructuring_Separation_TAX_JuneFC2010 tf_Restructuring &amp; Separation_Guidance_Sheet4" xfId="4516" xr:uid="{00000000-0005-0000-0000-0000A3110000}"/>
    <cellStyle name="_MOR - Australia -  EC - 2+10" xfId="4517" xr:uid="{00000000-0005-0000-0000-0000A4110000}"/>
    <cellStyle name="_MOR - Australia -  EC - 2+10_BS_Separation_TaxResIndem_Q12412 tf" xfId="4518" xr:uid="{00000000-0005-0000-0000-0000A5110000}"/>
    <cellStyle name="_MOR - Australia -  EC - 2+10_BS_Separation_TaxResIndem_Q12412 tf_Guidance" xfId="4519" xr:uid="{00000000-0005-0000-0000-0000A6110000}"/>
    <cellStyle name="_MOR - Australia -  EC - 2+10_BS_Separation_TaxResIndem_Q12412 tf_Guidance 2" xfId="4520" xr:uid="{00000000-0005-0000-0000-0000A7110000}"/>
    <cellStyle name="_MOR - Australia -  EC - 2+10_BS_Separation_TaxResIndem_Q12412 tf_Guidance_BS retrieve" xfId="4521" xr:uid="{00000000-0005-0000-0000-0000A8110000}"/>
    <cellStyle name="_MOR - Australia -  EC - 2+10_BS_Separation_TaxResIndem_Q12412 tf_Guidance_Free CF" xfId="4522" xr:uid="{00000000-0005-0000-0000-0000A9110000}"/>
    <cellStyle name="_MOR - Australia -  EC - 2+10_BS_Separation_TaxResIndem_Q12412 tf_Guidance_P&amp;L Rec Qtr" xfId="4523" xr:uid="{00000000-0005-0000-0000-0000AA110000}"/>
    <cellStyle name="_MOR - Australia -  EC - 2+10_BS_Separation_TaxResIndem_Q12412 tf_Guidance_Sheet1" xfId="4524" xr:uid="{00000000-0005-0000-0000-0000AB110000}"/>
    <cellStyle name="_MOR - Australia -  EC - 2+10_BS_Separation_TaxResIndem_Q12412 tf_Guidance_Sheet2" xfId="4525" xr:uid="{00000000-0005-0000-0000-0000AC110000}"/>
    <cellStyle name="_MOR - Australia -  EC - 2+10_BS_Separation_TaxResIndem_Q12412 tf_Guidance_Sheet3" xfId="4526" xr:uid="{00000000-0005-0000-0000-0000AD110000}"/>
    <cellStyle name="_MOR - Australia -  EC - 2+10_BS_Separation_TaxResIndem_Q12412 tf_Guidance_Sheet4" xfId="4527" xr:uid="{00000000-0005-0000-0000-0000AE110000}"/>
    <cellStyle name="_MOR - Australia -  EC - 2+10_BS_Separation_TaxResIndem_Q12412 tf_Restructuring &amp; Separation" xfId="4528" xr:uid="{00000000-0005-0000-0000-0000AF110000}"/>
    <cellStyle name="_MOR - Australia -  EC - 2+10_BS_Separation_TaxResIndem_Q12412 tf_Restructuring &amp; Separation_Guidance" xfId="4529" xr:uid="{00000000-0005-0000-0000-0000B0110000}"/>
    <cellStyle name="_MOR - Australia -  EC - 2+10_BS_Separation_TaxResIndem_Q12412 tf_Restructuring &amp; Separation_Guidance 2" xfId="4530" xr:uid="{00000000-0005-0000-0000-0000B1110000}"/>
    <cellStyle name="_MOR - Australia -  EC - 2+10_BS_Separation_TaxResIndem_Q12412 tf_Restructuring &amp; Separation_Guidance_BS retrieve" xfId="4531" xr:uid="{00000000-0005-0000-0000-0000B2110000}"/>
    <cellStyle name="_MOR - Australia -  EC - 2+10_BS_Separation_TaxResIndem_Q12412 tf_Restructuring &amp; Separation_Guidance_Free CF" xfId="4532" xr:uid="{00000000-0005-0000-0000-0000B3110000}"/>
    <cellStyle name="_MOR - Australia -  EC - 2+10_BS_Separation_TaxResIndem_Q12412 tf_Restructuring &amp; Separation_Guidance_P&amp;L Rec Qtr" xfId="4533" xr:uid="{00000000-0005-0000-0000-0000B4110000}"/>
    <cellStyle name="_MOR - Australia -  EC - 2+10_BS_Separation_TaxResIndem_Q12412 tf_Restructuring &amp; Separation_Guidance_Sheet1" xfId="4534" xr:uid="{00000000-0005-0000-0000-0000B5110000}"/>
    <cellStyle name="_MOR - Australia -  EC - 2+10_BS_Separation_TaxResIndem_Q12412 tf_Restructuring &amp; Separation_Guidance_Sheet2" xfId="4535" xr:uid="{00000000-0005-0000-0000-0000B6110000}"/>
    <cellStyle name="_MOR - Australia -  EC - 2+10_BS_Separation_TaxResIndem_Q12412 tf_Restructuring &amp; Separation_Guidance_Sheet3" xfId="4536" xr:uid="{00000000-0005-0000-0000-0000B7110000}"/>
    <cellStyle name="_MOR - Australia -  EC - 2+10_BS_Separation_TaxResIndem_Q12412 tf_Restructuring &amp; Separation_Guidance_Sheet4" xfId="4537" xr:uid="{00000000-0005-0000-0000-0000B8110000}"/>
    <cellStyle name="_MOR - Australia -  EC - 2+10_By Country Detail 1Q10 041410pm FIN 18 revised per disc w Mary" xfId="4538" xr:uid="{00000000-0005-0000-0000-0000B9110000}"/>
    <cellStyle name="_MOR - Australia -  EC - 2+10_By Country Detail 1Q10 041410pm FIN 18 revised per disc w Mary_BS_Separation_TaxResIndem_Q12412 tf" xfId="4539" xr:uid="{00000000-0005-0000-0000-0000BA110000}"/>
    <cellStyle name="_MOR - Australia -  EC - 2+10_By Country Detail 1Q10 041410pm FIN 18 revised per disc w Mary_BS_Separation_TaxResIndem_Q12412 tf_Guidance" xfId="4540" xr:uid="{00000000-0005-0000-0000-0000BB110000}"/>
    <cellStyle name="_MOR - Australia -  EC - 2+10_By Country Detail 1Q10 041410pm FIN 18 revised per disc w Mary_BS_Separation_TaxResIndem_Q12412 tf_Guidance 2" xfId="4541" xr:uid="{00000000-0005-0000-0000-0000BC110000}"/>
    <cellStyle name="_MOR - Australia -  EC - 2+10_By Country Detail 1Q10 041410pm FIN 18 revised per disc w Mary_BS_Separation_TaxResIndem_Q12412 tf_Guidance_BS retrieve" xfId="4542" xr:uid="{00000000-0005-0000-0000-0000BD110000}"/>
    <cellStyle name="_MOR - Australia -  EC - 2+10_By Country Detail 1Q10 041410pm FIN 18 revised per disc w Mary_BS_Separation_TaxResIndem_Q12412 tf_Guidance_Free CF" xfId="4543" xr:uid="{00000000-0005-0000-0000-0000BE110000}"/>
    <cellStyle name="_MOR - Australia -  EC - 2+10_By Country Detail 1Q10 041410pm FIN 18 revised per disc w Mary_BS_Separation_TaxResIndem_Q12412 tf_Guidance_P&amp;L Rec Qtr" xfId="4544" xr:uid="{00000000-0005-0000-0000-0000BF110000}"/>
    <cellStyle name="_MOR - Australia -  EC - 2+10_By Country Detail 1Q10 041410pm FIN 18 revised per disc w Mary_BS_Separation_TaxResIndem_Q12412 tf_Guidance_Sheet1" xfId="4545" xr:uid="{00000000-0005-0000-0000-0000C0110000}"/>
    <cellStyle name="_MOR - Australia -  EC - 2+10_By Country Detail 1Q10 041410pm FIN 18 revised per disc w Mary_BS_Separation_TaxResIndem_Q12412 tf_Guidance_Sheet2" xfId="4546" xr:uid="{00000000-0005-0000-0000-0000C1110000}"/>
    <cellStyle name="_MOR - Australia -  EC - 2+10_By Country Detail 1Q10 041410pm FIN 18 revised per disc w Mary_BS_Separation_TaxResIndem_Q12412 tf_Guidance_Sheet3" xfId="4547" xr:uid="{00000000-0005-0000-0000-0000C2110000}"/>
    <cellStyle name="_MOR - Australia -  EC - 2+10_By Country Detail 1Q10 041410pm FIN 18 revised per disc w Mary_BS_Separation_TaxResIndem_Q12412 tf_Guidance_Sheet4" xfId="4548" xr:uid="{00000000-0005-0000-0000-0000C3110000}"/>
    <cellStyle name="_MOR - Australia -  EC - 2+10_By Country Detail 1Q10 041410pm FIN 18 revised per disc w Mary_BS_Separation_TaxResIndem_Q12412 tf_Restructuring &amp; Separation" xfId="4549" xr:uid="{00000000-0005-0000-0000-0000C4110000}"/>
    <cellStyle name="_MOR - Australia -  EC - 2+10_By Country Detail 1Q10 041410pm FIN 18 revised per disc w Mary_BS_Separation_TaxResIndem_Q12412 tf_Restructuring &amp; Separation_Guidance" xfId="4550" xr:uid="{00000000-0005-0000-0000-0000C5110000}"/>
    <cellStyle name="_MOR - Australia -  EC - 2+10_By Country Detail 1Q10 041410pm FIN 18 revised per disc w Mary_BS_Separation_TaxResIndem_Q12412 tf_Restructuring &amp; Separation_Guidance 2" xfId="4551" xr:uid="{00000000-0005-0000-0000-0000C6110000}"/>
    <cellStyle name="_MOR - Australia -  EC - 2+10_By Country Detail 1Q10 041410pm FIN 18 revised per disc w Mary_BS_Separation_TaxResIndem_Q12412 tf_Restructuring &amp; Separation_Guidance_BS retrieve" xfId="4552" xr:uid="{00000000-0005-0000-0000-0000C7110000}"/>
    <cellStyle name="_MOR - Australia -  EC - 2+10_By Country Detail 1Q10 041410pm FIN 18 revised per disc w Mary_BS_Separation_TaxResIndem_Q12412 tf_Restructuring &amp; Separation_Guidance_Free CF" xfId="4553" xr:uid="{00000000-0005-0000-0000-0000C8110000}"/>
    <cellStyle name="_MOR - Australia -  EC - 2+10_By Country Detail 1Q10 041410pm FIN 18 revised per disc w Mary_BS_Separation_TaxResIndem_Q12412 tf_Restructuring &amp; Separation_Guidance_P&amp;L Rec Qtr" xfId="4554" xr:uid="{00000000-0005-0000-0000-0000C9110000}"/>
    <cellStyle name="_MOR - Australia -  EC - 2+10_By Country Detail 1Q10 041410pm FIN 18 revised per disc w Mary_BS_Separation_TaxResIndem_Q12412 tf_Restructuring &amp; Separation_Guidance_Sheet1" xfId="4555" xr:uid="{00000000-0005-0000-0000-0000CA110000}"/>
    <cellStyle name="_MOR - Australia -  EC - 2+10_By Country Detail 1Q10 041410pm FIN 18 revised per disc w Mary_BS_Separation_TaxResIndem_Q12412 tf_Restructuring &amp; Separation_Guidance_Sheet2" xfId="4556" xr:uid="{00000000-0005-0000-0000-0000CB110000}"/>
    <cellStyle name="_MOR - Australia -  EC - 2+10_By Country Detail 1Q10 041410pm FIN 18 revised per disc w Mary_BS_Separation_TaxResIndem_Q12412 tf_Restructuring &amp; Separation_Guidance_Sheet3" xfId="4557" xr:uid="{00000000-0005-0000-0000-0000CC110000}"/>
    <cellStyle name="_MOR - Australia -  EC - 2+10_By Country Detail 1Q10 041410pm FIN 18 revised per disc w Mary_BS_Separation_TaxResIndem_Q12412 tf_Restructuring &amp; Separation_Guidance_Sheet4" xfId="4558" xr:uid="{00000000-0005-0000-0000-0000CD110000}"/>
    <cellStyle name="_MOR - Australia -  EC - 2+10_By Country Detail 1Q10 041410pm FIN 18 revised per disc w Mary_Guidance" xfId="4559" xr:uid="{00000000-0005-0000-0000-0000CE110000}"/>
    <cellStyle name="_MOR - Australia -  EC - 2+10_By Country Detail 1Q10 041410pm FIN 18 revised per disc w Mary_Guidance 2" xfId="4560" xr:uid="{00000000-0005-0000-0000-0000CF110000}"/>
    <cellStyle name="_MOR - Australia -  EC - 2+10_By Country Detail 1Q10 041410pm FIN 18 revised per disc w Mary_Guidance_BS retrieve" xfId="4561" xr:uid="{00000000-0005-0000-0000-0000D0110000}"/>
    <cellStyle name="_MOR - Australia -  EC - 2+10_By Country Detail 1Q10 041410pm FIN 18 revised per disc w Mary_Guidance_Free CF" xfId="4562" xr:uid="{00000000-0005-0000-0000-0000D1110000}"/>
    <cellStyle name="_MOR - Australia -  EC - 2+10_By Country Detail 1Q10 041410pm FIN 18 revised per disc w Mary_Guidance_P&amp;L Rec Qtr" xfId="4563" xr:uid="{00000000-0005-0000-0000-0000D2110000}"/>
    <cellStyle name="_MOR - Australia -  EC - 2+10_By Country Detail 1Q10 041410pm FIN 18 revised per disc w Mary_Guidance_Sheet1" xfId="4564" xr:uid="{00000000-0005-0000-0000-0000D3110000}"/>
    <cellStyle name="_MOR - Australia -  EC - 2+10_By Country Detail 1Q10 041410pm FIN 18 revised per disc w Mary_Guidance_Sheet2" xfId="4565" xr:uid="{00000000-0005-0000-0000-0000D4110000}"/>
    <cellStyle name="_MOR - Australia -  EC - 2+10_By Country Detail 1Q10 041410pm FIN 18 revised per disc w Mary_Guidance_Sheet3" xfId="4566" xr:uid="{00000000-0005-0000-0000-0000D5110000}"/>
    <cellStyle name="_MOR - Australia -  EC - 2+10_By Country Detail 1Q10 041410pm FIN 18 revised per disc w Mary_Guidance_Sheet4" xfId="4567" xr:uid="{00000000-0005-0000-0000-0000D6110000}"/>
    <cellStyle name="_MOR - Australia -  EC - 2+10_By Country Detail 1Q10 041410pm FIN 18 revised per disc w Mary_II.8. Sep&amp;Discrete" xfId="4568" xr:uid="{00000000-0005-0000-0000-0000D7110000}"/>
    <cellStyle name="_MOR - Australia -  EC - 2+10_By Country Detail 1Q10 041410pm FIN 18 revised per disc w Mary_II.8. Sep&amp;Discrete_Guidance" xfId="4569" xr:uid="{00000000-0005-0000-0000-0000D8110000}"/>
    <cellStyle name="_MOR - Australia -  EC - 2+10_By Country Detail 1Q10 041410pm FIN 18 revised per disc w Mary_II.8. Sep&amp;Discrete_Guidance 2" xfId="4570" xr:uid="{00000000-0005-0000-0000-0000D9110000}"/>
    <cellStyle name="_MOR - Australia -  EC - 2+10_By Country Detail 1Q10 041410pm FIN 18 revised per disc w Mary_II.8. Sep&amp;Discrete_Guidance_BS retrieve" xfId="4571" xr:uid="{00000000-0005-0000-0000-0000DA110000}"/>
    <cellStyle name="_MOR - Australia -  EC - 2+10_By Country Detail 1Q10 041410pm FIN 18 revised per disc w Mary_II.8. Sep&amp;Discrete_Guidance_Free CF" xfId="4572" xr:uid="{00000000-0005-0000-0000-0000DB110000}"/>
    <cellStyle name="_MOR - Australia -  EC - 2+10_By Country Detail 1Q10 041410pm FIN 18 revised per disc w Mary_II.8. Sep&amp;Discrete_Guidance_P&amp;L Rec Qtr" xfId="4573" xr:uid="{00000000-0005-0000-0000-0000DC110000}"/>
    <cellStyle name="_MOR - Australia -  EC - 2+10_By Country Detail 1Q10 041410pm FIN 18 revised per disc w Mary_II.8. Sep&amp;Discrete_Guidance_Sheet1" xfId="4574" xr:uid="{00000000-0005-0000-0000-0000DD110000}"/>
    <cellStyle name="_MOR - Australia -  EC - 2+10_By Country Detail 1Q10 041410pm FIN 18 revised per disc w Mary_II.8. Sep&amp;Discrete_Guidance_Sheet2" xfId="4575" xr:uid="{00000000-0005-0000-0000-0000DE110000}"/>
    <cellStyle name="_MOR - Australia -  EC - 2+10_By Country Detail 1Q10 041410pm FIN 18 revised per disc w Mary_II.8. Sep&amp;Discrete_Guidance_Sheet3" xfId="4576" xr:uid="{00000000-0005-0000-0000-0000DF110000}"/>
    <cellStyle name="_MOR - Australia -  EC - 2+10_By Country Detail 1Q10 041410pm FIN 18 revised per disc w Mary_II.8. Sep&amp;Discrete_Guidance_Sheet4" xfId="4577" xr:uid="{00000000-0005-0000-0000-0000E0110000}"/>
    <cellStyle name="_MOR - Australia -  EC - 2+10_By Country Detail 1Q10 041410pm FIN 18 revised per disc w Mary_Restructuring &amp; Separation" xfId="4578" xr:uid="{00000000-0005-0000-0000-0000E1110000}"/>
    <cellStyle name="_MOR - Australia -  EC - 2+10_By Country Detail 1Q10 041410pm FIN 18 revised per disc w Mary_Restructuring &amp; Separation_Guidance" xfId="4579" xr:uid="{00000000-0005-0000-0000-0000E2110000}"/>
    <cellStyle name="_MOR - Australia -  EC - 2+10_By Country Detail 1Q10 041410pm FIN 18 revised per disc w Mary_Restructuring &amp; Separation_Guidance 2" xfId="4580" xr:uid="{00000000-0005-0000-0000-0000E3110000}"/>
    <cellStyle name="_MOR - Australia -  EC - 2+10_By Country Detail 1Q10 041410pm FIN 18 revised per disc w Mary_Restructuring &amp; Separation_Guidance_BS retrieve" xfId="4581" xr:uid="{00000000-0005-0000-0000-0000E4110000}"/>
    <cellStyle name="_MOR - Australia -  EC - 2+10_By Country Detail 1Q10 041410pm FIN 18 revised per disc w Mary_Restructuring &amp; Separation_Guidance_Free CF" xfId="4582" xr:uid="{00000000-0005-0000-0000-0000E5110000}"/>
    <cellStyle name="_MOR - Australia -  EC - 2+10_By Country Detail 1Q10 041410pm FIN 18 revised per disc w Mary_Restructuring &amp; Separation_Guidance_P&amp;L Rec Qtr" xfId="4583" xr:uid="{00000000-0005-0000-0000-0000E6110000}"/>
    <cellStyle name="_MOR - Australia -  EC - 2+10_By Country Detail 1Q10 041410pm FIN 18 revised per disc w Mary_Restructuring &amp; Separation_Guidance_Sheet1" xfId="4584" xr:uid="{00000000-0005-0000-0000-0000E7110000}"/>
    <cellStyle name="_MOR - Australia -  EC - 2+10_By Country Detail 1Q10 041410pm FIN 18 revised per disc w Mary_Restructuring &amp; Separation_Guidance_Sheet2" xfId="4585" xr:uid="{00000000-0005-0000-0000-0000E8110000}"/>
    <cellStyle name="_MOR - Australia -  EC - 2+10_By Country Detail 1Q10 041410pm FIN 18 revised per disc w Mary_Restructuring &amp; Separation_Guidance_Sheet3" xfId="4586" xr:uid="{00000000-0005-0000-0000-0000E9110000}"/>
    <cellStyle name="_MOR - Australia -  EC - 2+10_By Country Detail 1Q10 041410pm FIN 18 revised per disc w Mary_Restructuring &amp; Separation_Guidance_Sheet4" xfId="4587" xr:uid="{00000000-0005-0000-0000-0000EA110000}"/>
    <cellStyle name="_MOR - Australia -  EC - 2+10_Guidance" xfId="4588" xr:uid="{00000000-0005-0000-0000-0000EB110000}"/>
    <cellStyle name="_MOR - Australia -  EC - 2+10_Guidance 2" xfId="4589" xr:uid="{00000000-0005-0000-0000-0000EC110000}"/>
    <cellStyle name="_MOR - Australia -  EC - 2+10_Guidance_BS retrieve" xfId="4590" xr:uid="{00000000-0005-0000-0000-0000ED110000}"/>
    <cellStyle name="_MOR - Australia -  EC - 2+10_Guidance_Free CF" xfId="4591" xr:uid="{00000000-0005-0000-0000-0000EE110000}"/>
    <cellStyle name="_MOR - Australia -  EC - 2+10_Guidance_P&amp;L Rec Qtr" xfId="4592" xr:uid="{00000000-0005-0000-0000-0000EF110000}"/>
    <cellStyle name="_MOR - Australia -  EC - 2+10_Guidance_Sheet1" xfId="4593" xr:uid="{00000000-0005-0000-0000-0000F0110000}"/>
    <cellStyle name="_MOR - Australia -  EC - 2+10_Guidance_Sheet2" xfId="4594" xr:uid="{00000000-0005-0000-0000-0000F1110000}"/>
    <cellStyle name="_MOR - Australia -  EC - 2+10_Guidance_Sheet3" xfId="4595" xr:uid="{00000000-0005-0000-0000-0000F2110000}"/>
    <cellStyle name="_MOR - Australia -  EC - 2+10_Guidance_Sheet4" xfId="4596" xr:uid="{00000000-0005-0000-0000-0000F3110000}"/>
    <cellStyle name="_MOR - Australia -  EC - 2+10_II.4. RawMaterials" xfId="4597" xr:uid="{00000000-0005-0000-0000-0000F4110000}"/>
    <cellStyle name="_MOR - Australia -  EC - 2+10_II.4. RawMaterials 2" xfId="4598" xr:uid="{00000000-0005-0000-0000-0000F5110000}"/>
    <cellStyle name="_MOR - Australia -  EC - 2+10_II.4. RawMaterials_BS retrieve" xfId="4599" xr:uid="{00000000-0005-0000-0000-0000F6110000}"/>
    <cellStyle name="_MOR - Australia -  EC - 2+10_II.4. RawMaterials_Free CF" xfId="4600" xr:uid="{00000000-0005-0000-0000-0000F7110000}"/>
    <cellStyle name="_MOR - Australia -  EC - 2+10_II.4. RawMaterials_P&amp;L Rec Qtr" xfId="4601" xr:uid="{00000000-0005-0000-0000-0000F8110000}"/>
    <cellStyle name="_MOR - Australia -  EC - 2+10_II.4. RawMaterials_Sheet1" xfId="4602" xr:uid="{00000000-0005-0000-0000-0000F9110000}"/>
    <cellStyle name="_MOR - Australia -  EC - 2+10_II.4. RawMaterials_Sheet2" xfId="4603" xr:uid="{00000000-0005-0000-0000-0000FA110000}"/>
    <cellStyle name="_MOR - Australia -  EC - 2+10_II.4. RawMaterials_Sheet3" xfId="4604" xr:uid="{00000000-0005-0000-0000-0000FB110000}"/>
    <cellStyle name="_MOR - Australia -  EC - 2+10_II.4. RawMaterials_Sheet4" xfId="4605" xr:uid="{00000000-0005-0000-0000-0000FC110000}"/>
    <cellStyle name="_MOR - Australia -  EC - 2+10_II.5. RawMaterials" xfId="4606" xr:uid="{00000000-0005-0000-0000-0000FD110000}"/>
    <cellStyle name="_MOR - Australia -  EC - 2+10_II.5. RawMaterials 2" xfId="4607" xr:uid="{00000000-0005-0000-0000-0000FE110000}"/>
    <cellStyle name="_MOR - Australia -  EC - 2+10_II.5. RawMaterials_BS retrieve" xfId="4608" xr:uid="{00000000-0005-0000-0000-0000FF110000}"/>
    <cellStyle name="_MOR - Australia -  EC - 2+10_II.5. RawMaterials_Free CF" xfId="4609" xr:uid="{00000000-0005-0000-0000-000000120000}"/>
    <cellStyle name="_MOR - Australia -  EC - 2+10_II.5. RawMaterials_Guidance" xfId="4610" xr:uid="{00000000-0005-0000-0000-000001120000}"/>
    <cellStyle name="_MOR - Australia -  EC - 2+10_II.5. RawMaterials_Guidance 2" xfId="4611" xr:uid="{00000000-0005-0000-0000-000002120000}"/>
    <cellStyle name="_MOR - Australia -  EC - 2+10_II.5. RawMaterials_Guidance_BS retrieve" xfId="4612" xr:uid="{00000000-0005-0000-0000-000003120000}"/>
    <cellStyle name="_MOR - Australia -  EC - 2+10_II.5. RawMaterials_Guidance_Free CF" xfId="4613" xr:uid="{00000000-0005-0000-0000-000004120000}"/>
    <cellStyle name="_MOR - Australia -  EC - 2+10_II.5. RawMaterials_Guidance_P&amp;L Rec Qtr" xfId="4614" xr:uid="{00000000-0005-0000-0000-000005120000}"/>
    <cellStyle name="_MOR - Australia -  EC - 2+10_II.5. RawMaterials_Guidance_Sheet1" xfId="4615" xr:uid="{00000000-0005-0000-0000-000006120000}"/>
    <cellStyle name="_MOR - Australia -  EC - 2+10_II.5. RawMaterials_Guidance_Sheet2" xfId="4616" xr:uid="{00000000-0005-0000-0000-000007120000}"/>
    <cellStyle name="_MOR - Australia -  EC - 2+10_II.5. RawMaterials_Guidance_Sheet3" xfId="4617" xr:uid="{00000000-0005-0000-0000-000008120000}"/>
    <cellStyle name="_MOR - Australia -  EC - 2+10_II.5. RawMaterials_Guidance_Sheet4" xfId="4618" xr:uid="{00000000-0005-0000-0000-000009120000}"/>
    <cellStyle name="_MOR - Australia -  EC - 2+10_II.5. RawMaterials_P&amp;L Rec Qtr" xfId="4619" xr:uid="{00000000-0005-0000-0000-00000A120000}"/>
    <cellStyle name="_MOR - Australia -  EC - 2+10_II.5. RawMaterials_Sheet1" xfId="4620" xr:uid="{00000000-0005-0000-0000-00000B120000}"/>
    <cellStyle name="_MOR - Australia -  EC - 2+10_II.5. RawMaterials_Sheet2" xfId="4621" xr:uid="{00000000-0005-0000-0000-00000C120000}"/>
    <cellStyle name="_MOR - Australia -  EC - 2+10_II.5. RawMaterials_Sheet3" xfId="4622" xr:uid="{00000000-0005-0000-0000-00000D120000}"/>
    <cellStyle name="_MOR - Australia -  EC - 2+10_II.5. RawMaterials_Sheet4" xfId="4623" xr:uid="{00000000-0005-0000-0000-00000E120000}"/>
    <cellStyle name="_MOR - Australia -  EC - 2+10_II.5. RM Volume Sensitivities" xfId="4624" xr:uid="{00000000-0005-0000-0000-00000F120000}"/>
    <cellStyle name="_MOR - Australia -  EC - 2+10_II.5. RM Volume Sensitivities 2" xfId="4625" xr:uid="{00000000-0005-0000-0000-000010120000}"/>
    <cellStyle name="_MOR - Australia -  EC - 2+10_II.5. RM Volume Sensitivities_BS retrieve" xfId="4626" xr:uid="{00000000-0005-0000-0000-000011120000}"/>
    <cellStyle name="_MOR - Australia -  EC - 2+10_II.5. RM Volume Sensitivities_Free CF" xfId="4627" xr:uid="{00000000-0005-0000-0000-000012120000}"/>
    <cellStyle name="_MOR - Australia -  EC - 2+10_II.5. RM Volume Sensitivities_P&amp;L Rec Qtr" xfId="4628" xr:uid="{00000000-0005-0000-0000-000013120000}"/>
    <cellStyle name="_MOR - Australia -  EC - 2+10_II.5. RM Volume Sensitivities_Sheet1" xfId="4629" xr:uid="{00000000-0005-0000-0000-000014120000}"/>
    <cellStyle name="_MOR - Australia -  EC - 2+10_II.5. RM Volume Sensitivities_Sheet2" xfId="4630" xr:uid="{00000000-0005-0000-0000-000015120000}"/>
    <cellStyle name="_MOR - Australia -  EC - 2+10_II.5. RM Volume Sensitivities_Sheet3" xfId="4631" xr:uid="{00000000-0005-0000-0000-000016120000}"/>
    <cellStyle name="_MOR - Australia -  EC - 2+10_II.5. RM Volume Sensitivities_Sheet4" xfId="4632" xr:uid="{00000000-0005-0000-0000-000017120000}"/>
    <cellStyle name="_MOR - Australia -  EC - 2+10_II.8. Sep&amp;Discrete" xfId="4633" xr:uid="{00000000-0005-0000-0000-000018120000}"/>
    <cellStyle name="_MOR - Australia -  EC - 2+10_II.8. Sep&amp;Discrete_Guidance" xfId="4634" xr:uid="{00000000-0005-0000-0000-000019120000}"/>
    <cellStyle name="_MOR - Australia -  EC - 2+10_II.8. Sep&amp;Discrete_Guidance 2" xfId="4635" xr:uid="{00000000-0005-0000-0000-00001A120000}"/>
    <cellStyle name="_MOR - Australia -  EC - 2+10_II.8. Sep&amp;Discrete_Guidance_BS retrieve" xfId="4636" xr:uid="{00000000-0005-0000-0000-00001B120000}"/>
    <cellStyle name="_MOR - Australia -  EC - 2+10_II.8. Sep&amp;Discrete_Guidance_Free CF" xfId="4637" xr:uid="{00000000-0005-0000-0000-00001C120000}"/>
    <cellStyle name="_MOR - Australia -  EC - 2+10_II.8. Sep&amp;Discrete_Guidance_P&amp;L Rec Qtr" xfId="4638" xr:uid="{00000000-0005-0000-0000-00001D120000}"/>
    <cellStyle name="_MOR - Australia -  EC - 2+10_II.8. Sep&amp;Discrete_Guidance_Sheet1" xfId="4639" xr:uid="{00000000-0005-0000-0000-00001E120000}"/>
    <cellStyle name="_MOR - Australia -  EC - 2+10_II.8. Sep&amp;Discrete_Guidance_Sheet2" xfId="4640" xr:uid="{00000000-0005-0000-0000-00001F120000}"/>
    <cellStyle name="_MOR - Australia -  EC - 2+10_II.8. Sep&amp;Discrete_Guidance_Sheet3" xfId="4641" xr:uid="{00000000-0005-0000-0000-000020120000}"/>
    <cellStyle name="_MOR - Australia -  EC - 2+10_II.8. Sep&amp;Discrete_Guidance_Sheet4" xfId="4642" xr:uid="{00000000-0005-0000-0000-000021120000}"/>
    <cellStyle name="_MOR - Australia -  EC - 2+10_Restructuring &amp; Separation" xfId="4643" xr:uid="{00000000-0005-0000-0000-000022120000}"/>
    <cellStyle name="_MOR - Australia -  EC - 2+10_Restructuring &amp; Separation_Guidance" xfId="4644" xr:uid="{00000000-0005-0000-0000-000023120000}"/>
    <cellStyle name="_MOR - Australia -  EC - 2+10_Restructuring &amp; Separation_Guidance 2" xfId="4645" xr:uid="{00000000-0005-0000-0000-000024120000}"/>
    <cellStyle name="_MOR - Australia -  EC - 2+10_Restructuring &amp; Separation_Guidance_BS retrieve" xfId="4646" xr:uid="{00000000-0005-0000-0000-000025120000}"/>
    <cellStyle name="_MOR - Australia -  EC - 2+10_Restructuring &amp; Separation_Guidance_Free CF" xfId="4647" xr:uid="{00000000-0005-0000-0000-000026120000}"/>
    <cellStyle name="_MOR - Australia -  EC - 2+10_Restructuring &amp; Separation_Guidance_P&amp;L Rec Qtr" xfId="4648" xr:uid="{00000000-0005-0000-0000-000027120000}"/>
    <cellStyle name="_MOR - Australia -  EC - 2+10_Restructuring &amp; Separation_Guidance_Sheet1" xfId="4649" xr:uid="{00000000-0005-0000-0000-000028120000}"/>
    <cellStyle name="_MOR - Australia -  EC - 2+10_Restructuring &amp; Separation_Guidance_Sheet2" xfId="4650" xr:uid="{00000000-0005-0000-0000-000029120000}"/>
    <cellStyle name="_MOR - Australia -  EC - 2+10_Restructuring &amp; Separation_Guidance_Sheet3" xfId="4651" xr:uid="{00000000-0005-0000-0000-00002A120000}"/>
    <cellStyle name="_MOR - Australia -  EC - 2+10_Restructuring &amp; Separation_Guidance_Sheet4" xfId="4652" xr:uid="{00000000-0005-0000-0000-00002B120000}"/>
    <cellStyle name="_MOR - Australia -  EC - 2+10_Restructuring_Separation_TAX_JuneFC2010 tf" xfId="4653" xr:uid="{00000000-0005-0000-0000-00002C120000}"/>
    <cellStyle name="_MOR - Australia -  EC - 2+10_Restructuring_Separation_TAX_JuneFC2010 tf_BS_Separation_TaxResIndem_Q12412 tf" xfId="4654" xr:uid="{00000000-0005-0000-0000-00002D120000}"/>
    <cellStyle name="_MOR - Australia -  EC - 2+10_Restructuring_Separation_TAX_JuneFC2010 tf_BS_Separation_TaxResIndem_Q12412 tf_Guidance" xfId="4655" xr:uid="{00000000-0005-0000-0000-00002E120000}"/>
    <cellStyle name="_MOR - Australia -  EC - 2+10_Restructuring_Separation_TAX_JuneFC2010 tf_BS_Separation_TaxResIndem_Q12412 tf_Guidance 2" xfId="4656" xr:uid="{00000000-0005-0000-0000-00002F120000}"/>
    <cellStyle name="_MOR - Australia -  EC - 2+10_Restructuring_Separation_TAX_JuneFC2010 tf_BS_Separation_TaxResIndem_Q12412 tf_Guidance_BS retrieve" xfId="4657" xr:uid="{00000000-0005-0000-0000-000030120000}"/>
    <cellStyle name="_MOR - Australia -  EC - 2+10_Restructuring_Separation_TAX_JuneFC2010 tf_BS_Separation_TaxResIndem_Q12412 tf_Guidance_Free CF" xfId="4658" xr:uid="{00000000-0005-0000-0000-000031120000}"/>
    <cellStyle name="_MOR - Australia -  EC - 2+10_Restructuring_Separation_TAX_JuneFC2010 tf_BS_Separation_TaxResIndem_Q12412 tf_Guidance_P&amp;L Rec Qtr" xfId="4659" xr:uid="{00000000-0005-0000-0000-000032120000}"/>
    <cellStyle name="_MOR - Australia -  EC - 2+10_Restructuring_Separation_TAX_JuneFC2010 tf_BS_Separation_TaxResIndem_Q12412 tf_Guidance_Sheet1" xfId="4660" xr:uid="{00000000-0005-0000-0000-000033120000}"/>
    <cellStyle name="_MOR - Australia -  EC - 2+10_Restructuring_Separation_TAX_JuneFC2010 tf_BS_Separation_TaxResIndem_Q12412 tf_Guidance_Sheet2" xfId="4661" xr:uid="{00000000-0005-0000-0000-000034120000}"/>
    <cellStyle name="_MOR - Australia -  EC - 2+10_Restructuring_Separation_TAX_JuneFC2010 tf_BS_Separation_TaxResIndem_Q12412 tf_Guidance_Sheet3" xfId="4662" xr:uid="{00000000-0005-0000-0000-000035120000}"/>
    <cellStyle name="_MOR - Australia -  EC - 2+10_Restructuring_Separation_TAX_JuneFC2010 tf_BS_Separation_TaxResIndem_Q12412 tf_Guidance_Sheet4" xfId="4663" xr:uid="{00000000-0005-0000-0000-000036120000}"/>
    <cellStyle name="_MOR - Australia -  EC - 2+10_Restructuring_Separation_TAX_JuneFC2010 tf_BS_Separation_TaxResIndem_Q12412 tf_Restructuring &amp; Separation" xfId="4664" xr:uid="{00000000-0005-0000-0000-000037120000}"/>
    <cellStyle name="_MOR - Australia -  EC - 2+10_Restructuring_Separation_TAX_JuneFC2010 tf_BS_Separation_TaxResIndem_Q12412 tf_Restructuring &amp; Separation_Guidance" xfId="4665" xr:uid="{00000000-0005-0000-0000-000038120000}"/>
    <cellStyle name="_MOR - Australia -  EC - 2+10_Restructuring_Separation_TAX_JuneFC2010 tf_BS_Separation_TaxResIndem_Q12412 tf_Restructuring &amp; Separation_Guidance 2" xfId="4666" xr:uid="{00000000-0005-0000-0000-000039120000}"/>
    <cellStyle name="_MOR - Australia -  EC - 2+10_Restructuring_Separation_TAX_JuneFC2010 tf_BS_Separation_TaxResIndem_Q12412 tf_Restructuring &amp; Separation_Guidance_BS retrieve" xfId="4667" xr:uid="{00000000-0005-0000-0000-00003A120000}"/>
    <cellStyle name="_MOR - Australia -  EC - 2+10_Restructuring_Separation_TAX_JuneFC2010 tf_BS_Separation_TaxResIndem_Q12412 tf_Restructuring &amp; Separation_Guidance_Free CF" xfId="4668" xr:uid="{00000000-0005-0000-0000-00003B120000}"/>
    <cellStyle name="_MOR - Australia -  EC - 2+10_Restructuring_Separation_TAX_JuneFC2010 tf_BS_Separation_TaxResIndem_Q12412 tf_Restructuring &amp; Separation_Guidance_P&amp;L Rec Qtr" xfId="4669" xr:uid="{00000000-0005-0000-0000-00003C120000}"/>
    <cellStyle name="_MOR - Australia -  EC - 2+10_Restructuring_Separation_TAX_JuneFC2010 tf_BS_Separation_TaxResIndem_Q12412 tf_Restructuring &amp; Separation_Guidance_Sheet1" xfId="4670" xr:uid="{00000000-0005-0000-0000-00003D120000}"/>
    <cellStyle name="_MOR - Australia -  EC - 2+10_Restructuring_Separation_TAX_JuneFC2010 tf_BS_Separation_TaxResIndem_Q12412 tf_Restructuring &amp; Separation_Guidance_Sheet2" xfId="4671" xr:uid="{00000000-0005-0000-0000-00003E120000}"/>
    <cellStyle name="_MOR - Australia -  EC - 2+10_Restructuring_Separation_TAX_JuneFC2010 tf_BS_Separation_TaxResIndem_Q12412 tf_Restructuring &amp; Separation_Guidance_Sheet3" xfId="4672" xr:uid="{00000000-0005-0000-0000-00003F120000}"/>
    <cellStyle name="_MOR - Australia -  EC - 2+10_Restructuring_Separation_TAX_JuneFC2010 tf_BS_Separation_TaxResIndem_Q12412 tf_Restructuring &amp; Separation_Guidance_Sheet4" xfId="4673" xr:uid="{00000000-0005-0000-0000-000040120000}"/>
    <cellStyle name="_MOR - Australia -  EC - 2+10_Restructuring_Separation_TAX_JuneFC2010 tf_Guidance" xfId="4674" xr:uid="{00000000-0005-0000-0000-000041120000}"/>
    <cellStyle name="_MOR - Australia -  EC - 2+10_Restructuring_Separation_TAX_JuneFC2010 tf_Guidance 2" xfId="4675" xr:uid="{00000000-0005-0000-0000-000042120000}"/>
    <cellStyle name="_MOR - Australia -  EC - 2+10_Restructuring_Separation_TAX_JuneFC2010 tf_Guidance_BS retrieve" xfId="4676" xr:uid="{00000000-0005-0000-0000-000043120000}"/>
    <cellStyle name="_MOR - Australia -  EC - 2+10_Restructuring_Separation_TAX_JuneFC2010 tf_Guidance_Free CF" xfId="4677" xr:uid="{00000000-0005-0000-0000-000044120000}"/>
    <cellStyle name="_MOR - Australia -  EC - 2+10_Restructuring_Separation_TAX_JuneFC2010 tf_Guidance_P&amp;L Rec Qtr" xfId="4678" xr:uid="{00000000-0005-0000-0000-000045120000}"/>
    <cellStyle name="_MOR - Australia -  EC - 2+10_Restructuring_Separation_TAX_JuneFC2010 tf_Guidance_Sheet1" xfId="4679" xr:uid="{00000000-0005-0000-0000-000046120000}"/>
    <cellStyle name="_MOR - Australia -  EC - 2+10_Restructuring_Separation_TAX_JuneFC2010 tf_Guidance_Sheet2" xfId="4680" xr:uid="{00000000-0005-0000-0000-000047120000}"/>
    <cellStyle name="_MOR - Australia -  EC - 2+10_Restructuring_Separation_TAX_JuneFC2010 tf_Guidance_Sheet3" xfId="4681" xr:uid="{00000000-0005-0000-0000-000048120000}"/>
    <cellStyle name="_MOR - Australia -  EC - 2+10_Restructuring_Separation_TAX_JuneFC2010 tf_Guidance_Sheet4" xfId="4682" xr:uid="{00000000-0005-0000-0000-000049120000}"/>
    <cellStyle name="_MOR - Australia -  EC - 2+10_Restructuring_Separation_TAX_JuneFC2010 tf_II.8. Sep&amp;Discrete" xfId="4683" xr:uid="{00000000-0005-0000-0000-00004A120000}"/>
    <cellStyle name="_MOR - Australia -  EC - 2+10_Restructuring_Separation_TAX_JuneFC2010 tf_II.8. Sep&amp;Discrete_Guidance" xfId="4684" xr:uid="{00000000-0005-0000-0000-00004B120000}"/>
    <cellStyle name="_MOR - Australia -  EC - 2+10_Restructuring_Separation_TAX_JuneFC2010 tf_II.8. Sep&amp;Discrete_Guidance 2" xfId="4685" xr:uid="{00000000-0005-0000-0000-00004C120000}"/>
    <cellStyle name="_MOR - Australia -  EC - 2+10_Restructuring_Separation_TAX_JuneFC2010 tf_II.8. Sep&amp;Discrete_Guidance_BS retrieve" xfId="4686" xr:uid="{00000000-0005-0000-0000-00004D120000}"/>
    <cellStyle name="_MOR - Australia -  EC - 2+10_Restructuring_Separation_TAX_JuneFC2010 tf_II.8. Sep&amp;Discrete_Guidance_Free CF" xfId="4687" xr:uid="{00000000-0005-0000-0000-00004E120000}"/>
    <cellStyle name="_MOR - Australia -  EC - 2+10_Restructuring_Separation_TAX_JuneFC2010 tf_II.8. Sep&amp;Discrete_Guidance_P&amp;L Rec Qtr" xfId="4688" xr:uid="{00000000-0005-0000-0000-00004F120000}"/>
    <cellStyle name="_MOR - Australia -  EC - 2+10_Restructuring_Separation_TAX_JuneFC2010 tf_II.8. Sep&amp;Discrete_Guidance_Sheet1" xfId="4689" xr:uid="{00000000-0005-0000-0000-000050120000}"/>
    <cellStyle name="_MOR - Australia -  EC - 2+10_Restructuring_Separation_TAX_JuneFC2010 tf_II.8. Sep&amp;Discrete_Guidance_Sheet2" xfId="4690" xr:uid="{00000000-0005-0000-0000-000051120000}"/>
    <cellStyle name="_MOR - Australia -  EC - 2+10_Restructuring_Separation_TAX_JuneFC2010 tf_II.8. Sep&amp;Discrete_Guidance_Sheet3" xfId="4691" xr:uid="{00000000-0005-0000-0000-000052120000}"/>
    <cellStyle name="_MOR - Australia -  EC - 2+10_Restructuring_Separation_TAX_JuneFC2010 tf_II.8. Sep&amp;Discrete_Guidance_Sheet4" xfId="4692" xr:uid="{00000000-0005-0000-0000-000053120000}"/>
    <cellStyle name="_MOR - Australia -  EC - 2+10_Restructuring_Separation_TAX_JuneFC2010 tf_Restructuring &amp; Separation" xfId="4693" xr:uid="{00000000-0005-0000-0000-000054120000}"/>
    <cellStyle name="_MOR - Australia -  EC - 2+10_Restructuring_Separation_TAX_JuneFC2010 tf_Restructuring &amp; Separation_Guidance" xfId="4694" xr:uid="{00000000-0005-0000-0000-000055120000}"/>
    <cellStyle name="_MOR - Australia -  EC - 2+10_Restructuring_Separation_TAX_JuneFC2010 tf_Restructuring &amp; Separation_Guidance 2" xfId="4695" xr:uid="{00000000-0005-0000-0000-000056120000}"/>
    <cellStyle name="_MOR - Australia -  EC - 2+10_Restructuring_Separation_TAX_JuneFC2010 tf_Restructuring &amp; Separation_Guidance_BS retrieve" xfId="4696" xr:uid="{00000000-0005-0000-0000-000057120000}"/>
    <cellStyle name="_MOR - Australia -  EC - 2+10_Restructuring_Separation_TAX_JuneFC2010 tf_Restructuring &amp; Separation_Guidance_Free CF" xfId="4697" xr:uid="{00000000-0005-0000-0000-000058120000}"/>
    <cellStyle name="_MOR - Australia -  EC - 2+10_Restructuring_Separation_TAX_JuneFC2010 tf_Restructuring &amp; Separation_Guidance_P&amp;L Rec Qtr" xfId="4698" xr:uid="{00000000-0005-0000-0000-000059120000}"/>
    <cellStyle name="_MOR - Australia -  EC - 2+10_Restructuring_Separation_TAX_JuneFC2010 tf_Restructuring &amp; Separation_Guidance_Sheet1" xfId="4699" xr:uid="{00000000-0005-0000-0000-00005A120000}"/>
    <cellStyle name="_MOR - Australia -  EC - 2+10_Restructuring_Separation_TAX_JuneFC2010 tf_Restructuring &amp; Separation_Guidance_Sheet2" xfId="4700" xr:uid="{00000000-0005-0000-0000-00005B120000}"/>
    <cellStyle name="_MOR - Australia -  EC - 2+10_Restructuring_Separation_TAX_JuneFC2010 tf_Restructuring &amp; Separation_Guidance_Sheet3" xfId="4701" xr:uid="{00000000-0005-0000-0000-00005C120000}"/>
    <cellStyle name="_MOR - Australia -  EC - 2+10_Restructuring_Separation_TAX_JuneFC2010 tf_Restructuring &amp; Separation_Guidance_Sheet4" xfId="4702" xr:uid="{00000000-0005-0000-0000-00005D120000}"/>
    <cellStyle name="_MOR - Australia -  EC - 3+9" xfId="4703" xr:uid="{00000000-0005-0000-0000-00005E120000}"/>
    <cellStyle name="_MOR - Australia -  EC - 3+9_BS_Separation_TaxResIndem_Q12412 tf" xfId="4704" xr:uid="{00000000-0005-0000-0000-00005F120000}"/>
    <cellStyle name="_MOR - Australia -  EC - 3+9_BS_Separation_TaxResIndem_Q12412 tf_Guidance" xfId="4705" xr:uid="{00000000-0005-0000-0000-000060120000}"/>
    <cellStyle name="_MOR - Australia -  EC - 3+9_BS_Separation_TaxResIndem_Q12412 tf_Guidance 2" xfId="4706" xr:uid="{00000000-0005-0000-0000-000061120000}"/>
    <cellStyle name="_MOR - Australia -  EC - 3+9_BS_Separation_TaxResIndem_Q12412 tf_Guidance_BS retrieve" xfId="4707" xr:uid="{00000000-0005-0000-0000-000062120000}"/>
    <cellStyle name="_MOR - Australia -  EC - 3+9_BS_Separation_TaxResIndem_Q12412 tf_Guidance_Free CF" xfId="4708" xr:uid="{00000000-0005-0000-0000-000063120000}"/>
    <cellStyle name="_MOR - Australia -  EC - 3+9_BS_Separation_TaxResIndem_Q12412 tf_Guidance_P&amp;L Rec Qtr" xfId="4709" xr:uid="{00000000-0005-0000-0000-000064120000}"/>
    <cellStyle name="_MOR - Australia -  EC - 3+9_BS_Separation_TaxResIndem_Q12412 tf_Guidance_Sheet1" xfId="4710" xr:uid="{00000000-0005-0000-0000-000065120000}"/>
    <cellStyle name="_MOR - Australia -  EC - 3+9_BS_Separation_TaxResIndem_Q12412 tf_Guidance_Sheet2" xfId="4711" xr:uid="{00000000-0005-0000-0000-000066120000}"/>
    <cellStyle name="_MOR - Australia -  EC - 3+9_BS_Separation_TaxResIndem_Q12412 tf_Guidance_Sheet3" xfId="4712" xr:uid="{00000000-0005-0000-0000-000067120000}"/>
    <cellStyle name="_MOR - Australia -  EC - 3+9_BS_Separation_TaxResIndem_Q12412 tf_Guidance_Sheet4" xfId="4713" xr:uid="{00000000-0005-0000-0000-000068120000}"/>
    <cellStyle name="_MOR - Australia -  EC - 3+9_BS_Separation_TaxResIndem_Q12412 tf_Restructuring &amp; Separation" xfId="4714" xr:uid="{00000000-0005-0000-0000-000069120000}"/>
    <cellStyle name="_MOR - Australia -  EC - 3+9_BS_Separation_TaxResIndem_Q12412 tf_Restructuring &amp; Separation_Guidance" xfId="4715" xr:uid="{00000000-0005-0000-0000-00006A120000}"/>
    <cellStyle name="_MOR - Australia -  EC - 3+9_BS_Separation_TaxResIndem_Q12412 tf_Restructuring &amp; Separation_Guidance 2" xfId="4716" xr:uid="{00000000-0005-0000-0000-00006B120000}"/>
    <cellStyle name="_MOR - Australia -  EC - 3+9_BS_Separation_TaxResIndem_Q12412 tf_Restructuring &amp; Separation_Guidance_BS retrieve" xfId="4717" xr:uid="{00000000-0005-0000-0000-00006C120000}"/>
    <cellStyle name="_MOR - Australia -  EC - 3+9_BS_Separation_TaxResIndem_Q12412 tf_Restructuring &amp; Separation_Guidance_Free CF" xfId="4718" xr:uid="{00000000-0005-0000-0000-00006D120000}"/>
    <cellStyle name="_MOR - Australia -  EC - 3+9_BS_Separation_TaxResIndem_Q12412 tf_Restructuring &amp; Separation_Guidance_P&amp;L Rec Qtr" xfId="4719" xr:uid="{00000000-0005-0000-0000-00006E120000}"/>
    <cellStyle name="_MOR - Australia -  EC - 3+9_BS_Separation_TaxResIndem_Q12412 tf_Restructuring &amp; Separation_Guidance_Sheet1" xfId="4720" xr:uid="{00000000-0005-0000-0000-00006F120000}"/>
    <cellStyle name="_MOR - Australia -  EC - 3+9_BS_Separation_TaxResIndem_Q12412 tf_Restructuring &amp; Separation_Guidance_Sheet2" xfId="4721" xr:uid="{00000000-0005-0000-0000-000070120000}"/>
    <cellStyle name="_MOR - Australia -  EC - 3+9_BS_Separation_TaxResIndem_Q12412 tf_Restructuring &amp; Separation_Guidance_Sheet3" xfId="4722" xr:uid="{00000000-0005-0000-0000-000071120000}"/>
    <cellStyle name="_MOR - Australia -  EC - 3+9_BS_Separation_TaxResIndem_Q12412 tf_Restructuring &amp; Separation_Guidance_Sheet4" xfId="4723" xr:uid="{00000000-0005-0000-0000-000072120000}"/>
    <cellStyle name="_MOR - Australia -  EC - 3+9_By Country Detail 1Q10 041410pm FIN 18 revised per disc w Mary" xfId="4724" xr:uid="{00000000-0005-0000-0000-000073120000}"/>
    <cellStyle name="_MOR - Australia -  EC - 3+9_By Country Detail 1Q10 041410pm FIN 18 revised per disc w Mary_BS_Separation_TaxResIndem_Q12412 tf" xfId="4725" xr:uid="{00000000-0005-0000-0000-000074120000}"/>
    <cellStyle name="_MOR - Australia -  EC - 3+9_By Country Detail 1Q10 041410pm FIN 18 revised per disc w Mary_BS_Separation_TaxResIndem_Q12412 tf_Guidance" xfId="4726" xr:uid="{00000000-0005-0000-0000-000075120000}"/>
    <cellStyle name="_MOR - Australia -  EC - 3+9_By Country Detail 1Q10 041410pm FIN 18 revised per disc w Mary_BS_Separation_TaxResIndem_Q12412 tf_Guidance 2" xfId="4727" xr:uid="{00000000-0005-0000-0000-000076120000}"/>
    <cellStyle name="_MOR - Australia -  EC - 3+9_By Country Detail 1Q10 041410pm FIN 18 revised per disc w Mary_BS_Separation_TaxResIndem_Q12412 tf_Guidance_BS retrieve" xfId="4728" xr:uid="{00000000-0005-0000-0000-000077120000}"/>
    <cellStyle name="_MOR - Australia -  EC - 3+9_By Country Detail 1Q10 041410pm FIN 18 revised per disc w Mary_BS_Separation_TaxResIndem_Q12412 tf_Guidance_Free CF" xfId="4729" xr:uid="{00000000-0005-0000-0000-000078120000}"/>
    <cellStyle name="_MOR - Australia -  EC - 3+9_By Country Detail 1Q10 041410pm FIN 18 revised per disc w Mary_BS_Separation_TaxResIndem_Q12412 tf_Guidance_P&amp;L Rec Qtr" xfId="4730" xr:uid="{00000000-0005-0000-0000-000079120000}"/>
    <cellStyle name="_MOR - Australia -  EC - 3+9_By Country Detail 1Q10 041410pm FIN 18 revised per disc w Mary_BS_Separation_TaxResIndem_Q12412 tf_Guidance_Sheet1" xfId="4731" xr:uid="{00000000-0005-0000-0000-00007A120000}"/>
    <cellStyle name="_MOR - Australia -  EC - 3+9_By Country Detail 1Q10 041410pm FIN 18 revised per disc w Mary_BS_Separation_TaxResIndem_Q12412 tf_Guidance_Sheet2" xfId="4732" xr:uid="{00000000-0005-0000-0000-00007B120000}"/>
    <cellStyle name="_MOR - Australia -  EC - 3+9_By Country Detail 1Q10 041410pm FIN 18 revised per disc w Mary_BS_Separation_TaxResIndem_Q12412 tf_Guidance_Sheet3" xfId="4733" xr:uid="{00000000-0005-0000-0000-00007C120000}"/>
    <cellStyle name="_MOR - Australia -  EC - 3+9_By Country Detail 1Q10 041410pm FIN 18 revised per disc w Mary_BS_Separation_TaxResIndem_Q12412 tf_Guidance_Sheet4" xfId="4734" xr:uid="{00000000-0005-0000-0000-00007D120000}"/>
    <cellStyle name="_MOR - Australia -  EC - 3+9_By Country Detail 1Q10 041410pm FIN 18 revised per disc w Mary_BS_Separation_TaxResIndem_Q12412 tf_Restructuring &amp; Separation" xfId="4735" xr:uid="{00000000-0005-0000-0000-00007E120000}"/>
    <cellStyle name="_MOR - Australia -  EC - 3+9_By Country Detail 1Q10 041410pm FIN 18 revised per disc w Mary_BS_Separation_TaxResIndem_Q12412 tf_Restructuring &amp; Separation_Guidance" xfId="4736" xr:uid="{00000000-0005-0000-0000-00007F120000}"/>
    <cellStyle name="_MOR - Australia -  EC - 3+9_By Country Detail 1Q10 041410pm FIN 18 revised per disc w Mary_BS_Separation_TaxResIndem_Q12412 tf_Restructuring &amp; Separation_Guidance 2" xfId="4737" xr:uid="{00000000-0005-0000-0000-000080120000}"/>
    <cellStyle name="_MOR - Australia -  EC - 3+9_By Country Detail 1Q10 041410pm FIN 18 revised per disc w Mary_BS_Separation_TaxResIndem_Q12412 tf_Restructuring &amp; Separation_Guidance_BS retrieve" xfId="4738" xr:uid="{00000000-0005-0000-0000-000081120000}"/>
    <cellStyle name="_MOR - Australia -  EC - 3+9_By Country Detail 1Q10 041410pm FIN 18 revised per disc w Mary_BS_Separation_TaxResIndem_Q12412 tf_Restructuring &amp; Separation_Guidance_Free CF" xfId="4739" xr:uid="{00000000-0005-0000-0000-000082120000}"/>
    <cellStyle name="_MOR - Australia -  EC - 3+9_By Country Detail 1Q10 041410pm FIN 18 revised per disc w Mary_BS_Separation_TaxResIndem_Q12412 tf_Restructuring &amp; Separation_Guidance_P&amp;L Rec Qtr" xfId="4740" xr:uid="{00000000-0005-0000-0000-000083120000}"/>
    <cellStyle name="_MOR - Australia -  EC - 3+9_By Country Detail 1Q10 041410pm FIN 18 revised per disc w Mary_BS_Separation_TaxResIndem_Q12412 tf_Restructuring &amp; Separation_Guidance_Sheet1" xfId="4741" xr:uid="{00000000-0005-0000-0000-000084120000}"/>
    <cellStyle name="_MOR - Australia -  EC - 3+9_By Country Detail 1Q10 041410pm FIN 18 revised per disc w Mary_BS_Separation_TaxResIndem_Q12412 tf_Restructuring &amp; Separation_Guidance_Sheet2" xfId="4742" xr:uid="{00000000-0005-0000-0000-000085120000}"/>
    <cellStyle name="_MOR - Australia -  EC - 3+9_By Country Detail 1Q10 041410pm FIN 18 revised per disc w Mary_BS_Separation_TaxResIndem_Q12412 tf_Restructuring &amp; Separation_Guidance_Sheet3" xfId="4743" xr:uid="{00000000-0005-0000-0000-000086120000}"/>
    <cellStyle name="_MOR - Australia -  EC - 3+9_By Country Detail 1Q10 041410pm FIN 18 revised per disc w Mary_BS_Separation_TaxResIndem_Q12412 tf_Restructuring &amp; Separation_Guidance_Sheet4" xfId="4744" xr:uid="{00000000-0005-0000-0000-000087120000}"/>
    <cellStyle name="_MOR - Australia -  EC - 3+9_By Country Detail 1Q10 041410pm FIN 18 revised per disc w Mary_Guidance" xfId="4745" xr:uid="{00000000-0005-0000-0000-000088120000}"/>
    <cellStyle name="_MOR - Australia -  EC - 3+9_By Country Detail 1Q10 041410pm FIN 18 revised per disc w Mary_Guidance 2" xfId="4746" xr:uid="{00000000-0005-0000-0000-000089120000}"/>
    <cellStyle name="_MOR - Australia -  EC - 3+9_By Country Detail 1Q10 041410pm FIN 18 revised per disc w Mary_Guidance_BS retrieve" xfId="4747" xr:uid="{00000000-0005-0000-0000-00008A120000}"/>
    <cellStyle name="_MOR - Australia -  EC - 3+9_By Country Detail 1Q10 041410pm FIN 18 revised per disc w Mary_Guidance_Free CF" xfId="4748" xr:uid="{00000000-0005-0000-0000-00008B120000}"/>
    <cellStyle name="_MOR - Australia -  EC - 3+9_By Country Detail 1Q10 041410pm FIN 18 revised per disc w Mary_Guidance_P&amp;L Rec Qtr" xfId="4749" xr:uid="{00000000-0005-0000-0000-00008C120000}"/>
    <cellStyle name="_MOR - Australia -  EC - 3+9_By Country Detail 1Q10 041410pm FIN 18 revised per disc w Mary_Guidance_Sheet1" xfId="4750" xr:uid="{00000000-0005-0000-0000-00008D120000}"/>
    <cellStyle name="_MOR - Australia -  EC - 3+9_By Country Detail 1Q10 041410pm FIN 18 revised per disc w Mary_Guidance_Sheet2" xfId="4751" xr:uid="{00000000-0005-0000-0000-00008E120000}"/>
    <cellStyle name="_MOR - Australia -  EC - 3+9_By Country Detail 1Q10 041410pm FIN 18 revised per disc w Mary_Guidance_Sheet3" xfId="4752" xr:uid="{00000000-0005-0000-0000-00008F120000}"/>
    <cellStyle name="_MOR - Australia -  EC - 3+9_By Country Detail 1Q10 041410pm FIN 18 revised per disc w Mary_Guidance_Sheet4" xfId="4753" xr:uid="{00000000-0005-0000-0000-000090120000}"/>
    <cellStyle name="_MOR - Australia -  EC - 3+9_By Country Detail 1Q10 041410pm FIN 18 revised per disc w Mary_II.8. Sep&amp;Discrete" xfId="4754" xr:uid="{00000000-0005-0000-0000-000091120000}"/>
    <cellStyle name="_MOR - Australia -  EC - 3+9_By Country Detail 1Q10 041410pm FIN 18 revised per disc w Mary_II.8. Sep&amp;Discrete_Guidance" xfId="4755" xr:uid="{00000000-0005-0000-0000-000092120000}"/>
    <cellStyle name="_MOR - Australia -  EC - 3+9_By Country Detail 1Q10 041410pm FIN 18 revised per disc w Mary_II.8. Sep&amp;Discrete_Guidance 2" xfId="4756" xr:uid="{00000000-0005-0000-0000-000093120000}"/>
    <cellStyle name="_MOR - Australia -  EC - 3+9_By Country Detail 1Q10 041410pm FIN 18 revised per disc w Mary_II.8. Sep&amp;Discrete_Guidance_BS retrieve" xfId="4757" xr:uid="{00000000-0005-0000-0000-000094120000}"/>
    <cellStyle name="_MOR - Australia -  EC - 3+9_By Country Detail 1Q10 041410pm FIN 18 revised per disc w Mary_II.8. Sep&amp;Discrete_Guidance_Free CF" xfId="4758" xr:uid="{00000000-0005-0000-0000-000095120000}"/>
    <cellStyle name="_MOR - Australia -  EC - 3+9_By Country Detail 1Q10 041410pm FIN 18 revised per disc w Mary_II.8. Sep&amp;Discrete_Guidance_P&amp;L Rec Qtr" xfId="4759" xr:uid="{00000000-0005-0000-0000-000096120000}"/>
    <cellStyle name="_MOR - Australia -  EC - 3+9_By Country Detail 1Q10 041410pm FIN 18 revised per disc w Mary_II.8. Sep&amp;Discrete_Guidance_Sheet1" xfId="4760" xr:uid="{00000000-0005-0000-0000-000097120000}"/>
    <cellStyle name="_MOR - Australia -  EC - 3+9_By Country Detail 1Q10 041410pm FIN 18 revised per disc w Mary_II.8. Sep&amp;Discrete_Guidance_Sheet2" xfId="4761" xr:uid="{00000000-0005-0000-0000-000098120000}"/>
    <cellStyle name="_MOR - Australia -  EC - 3+9_By Country Detail 1Q10 041410pm FIN 18 revised per disc w Mary_II.8. Sep&amp;Discrete_Guidance_Sheet3" xfId="4762" xr:uid="{00000000-0005-0000-0000-000099120000}"/>
    <cellStyle name="_MOR - Australia -  EC - 3+9_By Country Detail 1Q10 041410pm FIN 18 revised per disc w Mary_II.8. Sep&amp;Discrete_Guidance_Sheet4" xfId="4763" xr:uid="{00000000-0005-0000-0000-00009A120000}"/>
    <cellStyle name="_MOR - Australia -  EC - 3+9_By Country Detail 1Q10 041410pm FIN 18 revised per disc w Mary_Restructuring &amp; Separation" xfId="4764" xr:uid="{00000000-0005-0000-0000-00009B120000}"/>
    <cellStyle name="_MOR - Australia -  EC - 3+9_By Country Detail 1Q10 041410pm FIN 18 revised per disc w Mary_Restructuring &amp; Separation_Guidance" xfId="4765" xr:uid="{00000000-0005-0000-0000-00009C120000}"/>
    <cellStyle name="_MOR - Australia -  EC - 3+9_By Country Detail 1Q10 041410pm FIN 18 revised per disc w Mary_Restructuring &amp; Separation_Guidance 2" xfId="4766" xr:uid="{00000000-0005-0000-0000-00009D120000}"/>
    <cellStyle name="_MOR - Australia -  EC - 3+9_By Country Detail 1Q10 041410pm FIN 18 revised per disc w Mary_Restructuring &amp; Separation_Guidance_BS retrieve" xfId="4767" xr:uid="{00000000-0005-0000-0000-00009E120000}"/>
    <cellStyle name="_MOR - Australia -  EC - 3+9_By Country Detail 1Q10 041410pm FIN 18 revised per disc w Mary_Restructuring &amp; Separation_Guidance_Free CF" xfId="4768" xr:uid="{00000000-0005-0000-0000-00009F120000}"/>
    <cellStyle name="_MOR - Australia -  EC - 3+9_By Country Detail 1Q10 041410pm FIN 18 revised per disc w Mary_Restructuring &amp; Separation_Guidance_P&amp;L Rec Qtr" xfId="4769" xr:uid="{00000000-0005-0000-0000-0000A0120000}"/>
    <cellStyle name="_MOR - Australia -  EC - 3+9_By Country Detail 1Q10 041410pm FIN 18 revised per disc w Mary_Restructuring &amp; Separation_Guidance_Sheet1" xfId="4770" xr:uid="{00000000-0005-0000-0000-0000A1120000}"/>
    <cellStyle name="_MOR - Australia -  EC - 3+9_By Country Detail 1Q10 041410pm FIN 18 revised per disc w Mary_Restructuring &amp; Separation_Guidance_Sheet2" xfId="4771" xr:uid="{00000000-0005-0000-0000-0000A2120000}"/>
    <cellStyle name="_MOR - Australia -  EC - 3+9_By Country Detail 1Q10 041410pm FIN 18 revised per disc w Mary_Restructuring &amp; Separation_Guidance_Sheet3" xfId="4772" xr:uid="{00000000-0005-0000-0000-0000A3120000}"/>
    <cellStyle name="_MOR - Australia -  EC - 3+9_By Country Detail 1Q10 041410pm FIN 18 revised per disc w Mary_Restructuring &amp; Separation_Guidance_Sheet4" xfId="4773" xr:uid="{00000000-0005-0000-0000-0000A4120000}"/>
    <cellStyle name="_MOR - Australia -  EC - 3+9_Guidance" xfId="4774" xr:uid="{00000000-0005-0000-0000-0000A5120000}"/>
    <cellStyle name="_MOR - Australia -  EC - 3+9_Guidance 2" xfId="4775" xr:uid="{00000000-0005-0000-0000-0000A6120000}"/>
    <cellStyle name="_MOR - Australia -  EC - 3+9_Guidance_BS retrieve" xfId="4776" xr:uid="{00000000-0005-0000-0000-0000A7120000}"/>
    <cellStyle name="_MOR - Australia -  EC - 3+9_Guidance_Free CF" xfId="4777" xr:uid="{00000000-0005-0000-0000-0000A8120000}"/>
    <cellStyle name="_MOR - Australia -  EC - 3+9_Guidance_P&amp;L Rec Qtr" xfId="4778" xr:uid="{00000000-0005-0000-0000-0000A9120000}"/>
    <cellStyle name="_MOR - Australia -  EC - 3+9_Guidance_Sheet1" xfId="4779" xr:uid="{00000000-0005-0000-0000-0000AA120000}"/>
    <cellStyle name="_MOR - Australia -  EC - 3+9_Guidance_Sheet2" xfId="4780" xr:uid="{00000000-0005-0000-0000-0000AB120000}"/>
    <cellStyle name="_MOR - Australia -  EC - 3+9_Guidance_Sheet3" xfId="4781" xr:uid="{00000000-0005-0000-0000-0000AC120000}"/>
    <cellStyle name="_MOR - Australia -  EC - 3+9_Guidance_Sheet4" xfId="4782" xr:uid="{00000000-0005-0000-0000-0000AD120000}"/>
    <cellStyle name="_MOR - Australia -  EC - 3+9_II.4. RawMaterials" xfId="4783" xr:uid="{00000000-0005-0000-0000-0000AE120000}"/>
    <cellStyle name="_MOR - Australia -  EC - 3+9_II.4. RawMaterials 2" xfId="4784" xr:uid="{00000000-0005-0000-0000-0000AF120000}"/>
    <cellStyle name="_MOR - Australia -  EC - 3+9_II.4. RawMaterials_BS retrieve" xfId="4785" xr:uid="{00000000-0005-0000-0000-0000B0120000}"/>
    <cellStyle name="_MOR - Australia -  EC - 3+9_II.4. RawMaterials_Free CF" xfId="4786" xr:uid="{00000000-0005-0000-0000-0000B1120000}"/>
    <cellStyle name="_MOR - Australia -  EC - 3+9_II.4. RawMaterials_P&amp;L Rec Qtr" xfId="4787" xr:uid="{00000000-0005-0000-0000-0000B2120000}"/>
    <cellStyle name="_MOR - Australia -  EC - 3+9_II.4. RawMaterials_Sheet1" xfId="4788" xr:uid="{00000000-0005-0000-0000-0000B3120000}"/>
    <cellStyle name="_MOR - Australia -  EC - 3+9_II.4. RawMaterials_Sheet2" xfId="4789" xr:uid="{00000000-0005-0000-0000-0000B4120000}"/>
    <cellStyle name="_MOR - Australia -  EC - 3+9_II.4. RawMaterials_Sheet3" xfId="4790" xr:uid="{00000000-0005-0000-0000-0000B5120000}"/>
    <cellStyle name="_MOR - Australia -  EC - 3+9_II.4. RawMaterials_Sheet4" xfId="4791" xr:uid="{00000000-0005-0000-0000-0000B6120000}"/>
    <cellStyle name="_MOR - Australia -  EC - 3+9_II.5. RawMaterials" xfId="4792" xr:uid="{00000000-0005-0000-0000-0000B7120000}"/>
    <cellStyle name="_MOR - Australia -  EC - 3+9_II.5. RawMaterials 2" xfId="4793" xr:uid="{00000000-0005-0000-0000-0000B8120000}"/>
    <cellStyle name="_MOR - Australia -  EC - 3+9_II.5. RawMaterials_BS retrieve" xfId="4794" xr:uid="{00000000-0005-0000-0000-0000B9120000}"/>
    <cellStyle name="_MOR - Australia -  EC - 3+9_II.5. RawMaterials_Free CF" xfId="4795" xr:uid="{00000000-0005-0000-0000-0000BA120000}"/>
    <cellStyle name="_MOR - Australia -  EC - 3+9_II.5. RawMaterials_Guidance" xfId="4796" xr:uid="{00000000-0005-0000-0000-0000BB120000}"/>
    <cellStyle name="_MOR - Australia -  EC - 3+9_II.5. RawMaterials_Guidance 2" xfId="4797" xr:uid="{00000000-0005-0000-0000-0000BC120000}"/>
    <cellStyle name="_MOR - Australia -  EC - 3+9_II.5. RawMaterials_Guidance_BS retrieve" xfId="4798" xr:uid="{00000000-0005-0000-0000-0000BD120000}"/>
    <cellStyle name="_MOR - Australia -  EC - 3+9_II.5. RawMaterials_Guidance_Free CF" xfId="4799" xr:uid="{00000000-0005-0000-0000-0000BE120000}"/>
    <cellStyle name="_MOR - Australia -  EC - 3+9_II.5. RawMaterials_Guidance_P&amp;L Rec Qtr" xfId="4800" xr:uid="{00000000-0005-0000-0000-0000BF120000}"/>
    <cellStyle name="_MOR - Australia -  EC - 3+9_II.5. RawMaterials_Guidance_Sheet1" xfId="4801" xr:uid="{00000000-0005-0000-0000-0000C0120000}"/>
    <cellStyle name="_MOR - Australia -  EC - 3+9_II.5. RawMaterials_Guidance_Sheet2" xfId="4802" xr:uid="{00000000-0005-0000-0000-0000C1120000}"/>
    <cellStyle name="_MOR - Australia -  EC - 3+9_II.5. RawMaterials_Guidance_Sheet3" xfId="4803" xr:uid="{00000000-0005-0000-0000-0000C2120000}"/>
    <cellStyle name="_MOR - Australia -  EC - 3+9_II.5. RawMaterials_Guidance_Sheet4" xfId="4804" xr:uid="{00000000-0005-0000-0000-0000C3120000}"/>
    <cellStyle name="_MOR - Australia -  EC - 3+9_II.5. RawMaterials_P&amp;L Rec Qtr" xfId="4805" xr:uid="{00000000-0005-0000-0000-0000C4120000}"/>
    <cellStyle name="_MOR - Australia -  EC - 3+9_II.5. RawMaterials_Sheet1" xfId="4806" xr:uid="{00000000-0005-0000-0000-0000C5120000}"/>
    <cellStyle name="_MOR - Australia -  EC - 3+9_II.5. RawMaterials_Sheet2" xfId="4807" xr:uid="{00000000-0005-0000-0000-0000C6120000}"/>
    <cellStyle name="_MOR - Australia -  EC - 3+9_II.5. RawMaterials_Sheet3" xfId="4808" xr:uid="{00000000-0005-0000-0000-0000C7120000}"/>
    <cellStyle name="_MOR - Australia -  EC - 3+9_II.5. RawMaterials_Sheet4" xfId="4809" xr:uid="{00000000-0005-0000-0000-0000C8120000}"/>
    <cellStyle name="_MOR - Australia -  EC - 3+9_II.5. RM Volume Sensitivities" xfId="4810" xr:uid="{00000000-0005-0000-0000-0000C9120000}"/>
    <cellStyle name="_MOR - Australia -  EC - 3+9_II.5. RM Volume Sensitivities 2" xfId="4811" xr:uid="{00000000-0005-0000-0000-0000CA120000}"/>
    <cellStyle name="_MOR - Australia -  EC - 3+9_II.5. RM Volume Sensitivities_BS retrieve" xfId="4812" xr:uid="{00000000-0005-0000-0000-0000CB120000}"/>
    <cellStyle name="_MOR - Australia -  EC - 3+9_II.5. RM Volume Sensitivities_Free CF" xfId="4813" xr:uid="{00000000-0005-0000-0000-0000CC120000}"/>
    <cellStyle name="_MOR - Australia -  EC - 3+9_II.5. RM Volume Sensitivities_P&amp;L Rec Qtr" xfId="4814" xr:uid="{00000000-0005-0000-0000-0000CD120000}"/>
    <cellStyle name="_MOR - Australia -  EC - 3+9_II.5. RM Volume Sensitivities_Sheet1" xfId="4815" xr:uid="{00000000-0005-0000-0000-0000CE120000}"/>
    <cellStyle name="_MOR - Australia -  EC - 3+9_II.5. RM Volume Sensitivities_Sheet2" xfId="4816" xr:uid="{00000000-0005-0000-0000-0000CF120000}"/>
    <cellStyle name="_MOR - Australia -  EC - 3+9_II.5. RM Volume Sensitivities_Sheet3" xfId="4817" xr:uid="{00000000-0005-0000-0000-0000D0120000}"/>
    <cellStyle name="_MOR - Australia -  EC - 3+9_II.5. RM Volume Sensitivities_Sheet4" xfId="4818" xr:uid="{00000000-0005-0000-0000-0000D1120000}"/>
    <cellStyle name="_MOR - Australia -  EC - 3+9_II.8. Sep&amp;Discrete" xfId="4819" xr:uid="{00000000-0005-0000-0000-0000D2120000}"/>
    <cellStyle name="_MOR - Australia -  EC - 3+9_II.8. Sep&amp;Discrete_Guidance" xfId="4820" xr:uid="{00000000-0005-0000-0000-0000D3120000}"/>
    <cellStyle name="_MOR - Australia -  EC - 3+9_II.8. Sep&amp;Discrete_Guidance 2" xfId="4821" xr:uid="{00000000-0005-0000-0000-0000D4120000}"/>
    <cellStyle name="_MOR - Australia -  EC - 3+9_II.8. Sep&amp;Discrete_Guidance_BS retrieve" xfId="4822" xr:uid="{00000000-0005-0000-0000-0000D5120000}"/>
    <cellStyle name="_MOR - Australia -  EC - 3+9_II.8. Sep&amp;Discrete_Guidance_Free CF" xfId="4823" xr:uid="{00000000-0005-0000-0000-0000D6120000}"/>
    <cellStyle name="_MOR - Australia -  EC - 3+9_II.8. Sep&amp;Discrete_Guidance_P&amp;L Rec Qtr" xfId="4824" xr:uid="{00000000-0005-0000-0000-0000D7120000}"/>
    <cellStyle name="_MOR - Australia -  EC - 3+9_II.8. Sep&amp;Discrete_Guidance_Sheet1" xfId="4825" xr:uid="{00000000-0005-0000-0000-0000D8120000}"/>
    <cellStyle name="_MOR - Australia -  EC - 3+9_II.8. Sep&amp;Discrete_Guidance_Sheet2" xfId="4826" xr:uid="{00000000-0005-0000-0000-0000D9120000}"/>
    <cellStyle name="_MOR - Australia -  EC - 3+9_II.8. Sep&amp;Discrete_Guidance_Sheet3" xfId="4827" xr:uid="{00000000-0005-0000-0000-0000DA120000}"/>
    <cellStyle name="_MOR - Australia -  EC - 3+9_II.8. Sep&amp;Discrete_Guidance_Sheet4" xfId="4828" xr:uid="{00000000-0005-0000-0000-0000DB120000}"/>
    <cellStyle name="_MOR - Australia -  EC - 3+9_Restructuring &amp; Separation" xfId="4829" xr:uid="{00000000-0005-0000-0000-0000DC120000}"/>
    <cellStyle name="_MOR - Australia -  EC - 3+9_Restructuring &amp; Separation_Guidance" xfId="4830" xr:uid="{00000000-0005-0000-0000-0000DD120000}"/>
    <cellStyle name="_MOR - Australia -  EC - 3+9_Restructuring &amp; Separation_Guidance 2" xfId="4831" xr:uid="{00000000-0005-0000-0000-0000DE120000}"/>
    <cellStyle name="_MOR - Australia -  EC - 3+9_Restructuring &amp; Separation_Guidance_BS retrieve" xfId="4832" xr:uid="{00000000-0005-0000-0000-0000DF120000}"/>
    <cellStyle name="_MOR - Australia -  EC - 3+9_Restructuring &amp; Separation_Guidance_Free CF" xfId="4833" xr:uid="{00000000-0005-0000-0000-0000E0120000}"/>
    <cellStyle name="_MOR - Australia -  EC - 3+9_Restructuring &amp; Separation_Guidance_P&amp;L Rec Qtr" xfId="4834" xr:uid="{00000000-0005-0000-0000-0000E1120000}"/>
    <cellStyle name="_MOR - Australia -  EC - 3+9_Restructuring &amp; Separation_Guidance_Sheet1" xfId="4835" xr:uid="{00000000-0005-0000-0000-0000E2120000}"/>
    <cellStyle name="_MOR - Australia -  EC - 3+9_Restructuring &amp; Separation_Guidance_Sheet2" xfId="4836" xr:uid="{00000000-0005-0000-0000-0000E3120000}"/>
    <cellStyle name="_MOR - Australia -  EC - 3+9_Restructuring &amp; Separation_Guidance_Sheet3" xfId="4837" xr:uid="{00000000-0005-0000-0000-0000E4120000}"/>
    <cellStyle name="_MOR - Australia -  EC - 3+9_Restructuring &amp; Separation_Guidance_Sheet4" xfId="4838" xr:uid="{00000000-0005-0000-0000-0000E5120000}"/>
    <cellStyle name="_MOR - Australia -  EC - 3+9_Restructuring_Separation_TAX_JuneFC2010 tf" xfId="4839" xr:uid="{00000000-0005-0000-0000-0000E6120000}"/>
    <cellStyle name="_MOR - Australia -  EC - 3+9_Restructuring_Separation_TAX_JuneFC2010 tf_BS_Separation_TaxResIndem_Q12412 tf" xfId="4840" xr:uid="{00000000-0005-0000-0000-0000E7120000}"/>
    <cellStyle name="_MOR - Australia -  EC - 3+9_Restructuring_Separation_TAX_JuneFC2010 tf_BS_Separation_TaxResIndem_Q12412 tf_Guidance" xfId="4841" xr:uid="{00000000-0005-0000-0000-0000E8120000}"/>
    <cellStyle name="_MOR - Australia -  EC - 3+9_Restructuring_Separation_TAX_JuneFC2010 tf_BS_Separation_TaxResIndem_Q12412 tf_Guidance 2" xfId="4842" xr:uid="{00000000-0005-0000-0000-0000E9120000}"/>
    <cellStyle name="_MOR - Australia -  EC - 3+9_Restructuring_Separation_TAX_JuneFC2010 tf_BS_Separation_TaxResIndem_Q12412 tf_Guidance_BS retrieve" xfId="4843" xr:uid="{00000000-0005-0000-0000-0000EA120000}"/>
    <cellStyle name="_MOR - Australia -  EC - 3+9_Restructuring_Separation_TAX_JuneFC2010 tf_BS_Separation_TaxResIndem_Q12412 tf_Guidance_Free CF" xfId="4844" xr:uid="{00000000-0005-0000-0000-0000EB120000}"/>
    <cellStyle name="_MOR - Australia -  EC - 3+9_Restructuring_Separation_TAX_JuneFC2010 tf_BS_Separation_TaxResIndem_Q12412 tf_Guidance_P&amp;L Rec Qtr" xfId="4845" xr:uid="{00000000-0005-0000-0000-0000EC120000}"/>
    <cellStyle name="_MOR - Australia -  EC - 3+9_Restructuring_Separation_TAX_JuneFC2010 tf_BS_Separation_TaxResIndem_Q12412 tf_Guidance_Sheet1" xfId="4846" xr:uid="{00000000-0005-0000-0000-0000ED120000}"/>
    <cellStyle name="_MOR - Australia -  EC - 3+9_Restructuring_Separation_TAX_JuneFC2010 tf_BS_Separation_TaxResIndem_Q12412 tf_Guidance_Sheet2" xfId="4847" xr:uid="{00000000-0005-0000-0000-0000EE120000}"/>
    <cellStyle name="_MOR - Australia -  EC - 3+9_Restructuring_Separation_TAX_JuneFC2010 tf_BS_Separation_TaxResIndem_Q12412 tf_Guidance_Sheet3" xfId="4848" xr:uid="{00000000-0005-0000-0000-0000EF120000}"/>
    <cellStyle name="_MOR - Australia -  EC - 3+9_Restructuring_Separation_TAX_JuneFC2010 tf_BS_Separation_TaxResIndem_Q12412 tf_Guidance_Sheet4" xfId="4849" xr:uid="{00000000-0005-0000-0000-0000F0120000}"/>
    <cellStyle name="_MOR - Australia -  EC - 3+9_Restructuring_Separation_TAX_JuneFC2010 tf_BS_Separation_TaxResIndem_Q12412 tf_Restructuring &amp; Separation" xfId="4850" xr:uid="{00000000-0005-0000-0000-0000F1120000}"/>
    <cellStyle name="_MOR - Australia -  EC - 3+9_Restructuring_Separation_TAX_JuneFC2010 tf_BS_Separation_TaxResIndem_Q12412 tf_Restructuring &amp; Separation_Guidance" xfId="4851" xr:uid="{00000000-0005-0000-0000-0000F2120000}"/>
    <cellStyle name="_MOR - Australia -  EC - 3+9_Restructuring_Separation_TAX_JuneFC2010 tf_BS_Separation_TaxResIndem_Q12412 tf_Restructuring &amp; Separation_Guidance 2" xfId="4852" xr:uid="{00000000-0005-0000-0000-0000F3120000}"/>
    <cellStyle name="_MOR - Australia -  EC - 3+9_Restructuring_Separation_TAX_JuneFC2010 tf_BS_Separation_TaxResIndem_Q12412 tf_Restructuring &amp; Separation_Guidance_BS retrieve" xfId="4853" xr:uid="{00000000-0005-0000-0000-0000F4120000}"/>
    <cellStyle name="_MOR - Australia -  EC - 3+9_Restructuring_Separation_TAX_JuneFC2010 tf_BS_Separation_TaxResIndem_Q12412 tf_Restructuring &amp; Separation_Guidance_Free CF" xfId="4854" xr:uid="{00000000-0005-0000-0000-0000F5120000}"/>
    <cellStyle name="_MOR - Australia -  EC - 3+9_Restructuring_Separation_TAX_JuneFC2010 tf_BS_Separation_TaxResIndem_Q12412 tf_Restructuring &amp; Separation_Guidance_P&amp;L Rec Qtr" xfId="4855" xr:uid="{00000000-0005-0000-0000-0000F6120000}"/>
    <cellStyle name="_MOR - Australia -  EC - 3+9_Restructuring_Separation_TAX_JuneFC2010 tf_BS_Separation_TaxResIndem_Q12412 tf_Restructuring &amp; Separation_Guidance_Sheet1" xfId="4856" xr:uid="{00000000-0005-0000-0000-0000F7120000}"/>
    <cellStyle name="_MOR - Australia -  EC - 3+9_Restructuring_Separation_TAX_JuneFC2010 tf_BS_Separation_TaxResIndem_Q12412 tf_Restructuring &amp; Separation_Guidance_Sheet2" xfId="4857" xr:uid="{00000000-0005-0000-0000-0000F8120000}"/>
    <cellStyle name="_MOR - Australia -  EC - 3+9_Restructuring_Separation_TAX_JuneFC2010 tf_BS_Separation_TaxResIndem_Q12412 tf_Restructuring &amp; Separation_Guidance_Sheet3" xfId="4858" xr:uid="{00000000-0005-0000-0000-0000F9120000}"/>
    <cellStyle name="_MOR - Australia -  EC - 3+9_Restructuring_Separation_TAX_JuneFC2010 tf_BS_Separation_TaxResIndem_Q12412 tf_Restructuring &amp; Separation_Guidance_Sheet4" xfId="4859" xr:uid="{00000000-0005-0000-0000-0000FA120000}"/>
    <cellStyle name="_MOR - Australia -  EC - 3+9_Restructuring_Separation_TAX_JuneFC2010 tf_Guidance" xfId="4860" xr:uid="{00000000-0005-0000-0000-0000FB120000}"/>
    <cellStyle name="_MOR - Australia -  EC - 3+9_Restructuring_Separation_TAX_JuneFC2010 tf_Guidance 2" xfId="4861" xr:uid="{00000000-0005-0000-0000-0000FC120000}"/>
    <cellStyle name="_MOR - Australia -  EC - 3+9_Restructuring_Separation_TAX_JuneFC2010 tf_Guidance_BS retrieve" xfId="4862" xr:uid="{00000000-0005-0000-0000-0000FD120000}"/>
    <cellStyle name="_MOR - Australia -  EC - 3+9_Restructuring_Separation_TAX_JuneFC2010 tf_Guidance_Free CF" xfId="4863" xr:uid="{00000000-0005-0000-0000-0000FE120000}"/>
    <cellStyle name="_MOR - Australia -  EC - 3+9_Restructuring_Separation_TAX_JuneFC2010 tf_Guidance_P&amp;L Rec Qtr" xfId="4864" xr:uid="{00000000-0005-0000-0000-0000FF120000}"/>
    <cellStyle name="_MOR - Australia -  EC - 3+9_Restructuring_Separation_TAX_JuneFC2010 tf_Guidance_Sheet1" xfId="4865" xr:uid="{00000000-0005-0000-0000-000000130000}"/>
    <cellStyle name="_MOR - Australia -  EC - 3+9_Restructuring_Separation_TAX_JuneFC2010 tf_Guidance_Sheet2" xfId="4866" xr:uid="{00000000-0005-0000-0000-000001130000}"/>
    <cellStyle name="_MOR - Australia -  EC - 3+9_Restructuring_Separation_TAX_JuneFC2010 tf_Guidance_Sheet3" xfId="4867" xr:uid="{00000000-0005-0000-0000-000002130000}"/>
    <cellStyle name="_MOR - Australia -  EC - 3+9_Restructuring_Separation_TAX_JuneFC2010 tf_Guidance_Sheet4" xfId="4868" xr:uid="{00000000-0005-0000-0000-000003130000}"/>
    <cellStyle name="_MOR - Australia -  EC - 3+9_Restructuring_Separation_TAX_JuneFC2010 tf_II.8. Sep&amp;Discrete" xfId="4869" xr:uid="{00000000-0005-0000-0000-000004130000}"/>
    <cellStyle name="_MOR - Australia -  EC - 3+9_Restructuring_Separation_TAX_JuneFC2010 tf_II.8. Sep&amp;Discrete_Guidance" xfId="4870" xr:uid="{00000000-0005-0000-0000-000005130000}"/>
    <cellStyle name="_MOR - Australia -  EC - 3+9_Restructuring_Separation_TAX_JuneFC2010 tf_II.8. Sep&amp;Discrete_Guidance 2" xfId="4871" xr:uid="{00000000-0005-0000-0000-000006130000}"/>
    <cellStyle name="_MOR - Australia -  EC - 3+9_Restructuring_Separation_TAX_JuneFC2010 tf_II.8. Sep&amp;Discrete_Guidance_BS retrieve" xfId="4872" xr:uid="{00000000-0005-0000-0000-000007130000}"/>
    <cellStyle name="_MOR - Australia -  EC - 3+9_Restructuring_Separation_TAX_JuneFC2010 tf_II.8. Sep&amp;Discrete_Guidance_Free CF" xfId="4873" xr:uid="{00000000-0005-0000-0000-000008130000}"/>
    <cellStyle name="_MOR - Australia -  EC - 3+9_Restructuring_Separation_TAX_JuneFC2010 tf_II.8. Sep&amp;Discrete_Guidance_P&amp;L Rec Qtr" xfId="4874" xr:uid="{00000000-0005-0000-0000-000009130000}"/>
    <cellStyle name="_MOR - Australia -  EC - 3+9_Restructuring_Separation_TAX_JuneFC2010 tf_II.8. Sep&amp;Discrete_Guidance_Sheet1" xfId="4875" xr:uid="{00000000-0005-0000-0000-00000A130000}"/>
    <cellStyle name="_MOR - Australia -  EC - 3+9_Restructuring_Separation_TAX_JuneFC2010 tf_II.8. Sep&amp;Discrete_Guidance_Sheet2" xfId="4876" xr:uid="{00000000-0005-0000-0000-00000B130000}"/>
    <cellStyle name="_MOR - Australia -  EC - 3+9_Restructuring_Separation_TAX_JuneFC2010 tf_II.8. Sep&amp;Discrete_Guidance_Sheet3" xfId="4877" xr:uid="{00000000-0005-0000-0000-00000C130000}"/>
    <cellStyle name="_MOR - Australia -  EC - 3+9_Restructuring_Separation_TAX_JuneFC2010 tf_II.8. Sep&amp;Discrete_Guidance_Sheet4" xfId="4878" xr:uid="{00000000-0005-0000-0000-00000D130000}"/>
    <cellStyle name="_MOR - Australia -  EC - 3+9_Restructuring_Separation_TAX_JuneFC2010 tf_Restructuring &amp; Separation" xfId="4879" xr:uid="{00000000-0005-0000-0000-00000E130000}"/>
    <cellStyle name="_MOR - Australia -  EC - 3+9_Restructuring_Separation_TAX_JuneFC2010 tf_Restructuring &amp; Separation_Guidance" xfId="4880" xr:uid="{00000000-0005-0000-0000-00000F130000}"/>
    <cellStyle name="_MOR - Australia -  EC - 3+9_Restructuring_Separation_TAX_JuneFC2010 tf_Restructuring &amp; Separation_Guidance 2" xfId="4881" xr:uid="{00000000-0005-0000-0000-000010130000}"/>
    <cellStyle name="_MOR - Australia -  EC - 3+9_Restructuring_Separation_TAX_JuneFC2010 tf_Restructuring &amp; Separation_Guidance_BS retrieve" xfId="4882" xr:uid="{00000000-0005-0000-0000-000011130000}"/>
    <cellStyle name="_MOR - Australia -  EC - 3+9_Restructuring_Separation_TAX_JuneFC2010 tf_Restructuring &amp; Separation_Guidance_Free CF" xfId="4883" xr:uid="{00000000-0005-0000-0000-000012130000}"/>
    <cellStyle name="_MOR - Australia -  EC - 3+9_Restructuring_Separation_TAX_JuneFC2010 tf_Restructuring &amp; Separation_Guidance_P&amp;L Rec Qtr" xfId="4884" xr:uid="{00000000-0005-0000-0000-000013130000}"/>
    <cellStyle name="_MOR - Australia -  EC - 3+9_Restructuring_Separation_TAX_JuneFC2010 tf_Restructuring &amp; Separation_Guidance_Sheet1" xfId="4885" xr:uid="{00000000-0005-0000-0000-000014130000}"/>
    <cellStyle name="_MOR - Australia -  EC - 3+9_Restructuring_Separation_TAX_JuneFC2010 tf_Restructuring &amp; Separation_Guidance_Sheet2" xfId="4886" xr:uid="{00000000-0005-0000-0000-000015130000}"/>
    <cellStyle name="_MOR - Australia -  EC - 3+9_Restructuring_Separation_TAX_JuneFC2010 tf_Restructuring &amp; Separation_Guidance_Sheet3" xfId="4887" xr:uid="{00000000-0005-0000-0000-000016130000}"/>
    <cellStyle name="_MOR - Australia -  EC - 3+9_Restructuring_Separation_TAX_JuneFC2010 tf_Restructuring &amp; Separation_Guidance_Sheet4" xfId="4888" xr:uid="{00000000-0005-0000-0000-000017130000}"/>
    <cellStyle name="_MOR - Australia -  EC - 4+8" xfId="4889" xr:uid="{00000000-0005-0000-0000-000018130000}"/>
    <cellStyle name="_MOR - Australia -  EC - 4+8_BS_Separation_TaxResIndem_Q12412 tf" xfId="4890" xr:uid="{00000000-0005-0000-0000-000019130000}"/>
    <cellStyle name="_MOR - Australia -  EC - 4+8_BS_Separation_TaxResIndem_Q12412 tf_Guidance" xfId="4891" xr:uid="{00000000-0005-0000-0000-00001A130000}"/>
    <cellStyle name="_MOR - Australia -  EC - 4+8_BS_Separation_TaxResIndem_Q12412 tf_Guidance 2" xfId="4892" xr:uid="{00000000-0005-0000-0000-00001B130000}"/>
    <cellStyle name="_MOR - Australia -  EC - 4+8_BS_Separation_TaxResIndem_Q12412 tf_Guidance_BS retrieve" xfId="4893" xr:uid="{00000000-0005-0000-0000-00001C130000}"/>
    <cellStyle name="_MOR - Australia -  EC - 4+8_BS_Separation_TaxResIndem_Q12412 tf_Guidance_Free CF" xfId="4894" xr:uid="{00000000-0005-0000-0000-00001D130000}"/>
    <cellStyle name="_MOR - Australia -  EC - 4+8_BS_Separation_TaxResIndem_Q12412 tf_Guidance_P&amp;L Rec Qtr" xfId="4895" xr:uid="{00000000-0005-0000-0000-00001E130000}"/>
    <cellStyle name="_MOR - Australia -  EC - 4+8_BS_Separation_TaxResIndem_Q12412 tf_Guidance_Sheet1" xfId="4896" xr:uid="{00000000-0005-0000-0000-00001F130000}"/>
    <cellStyle name="_MOR - Australia -  EC - 4+8_BS_Separation_TaxResIndem_Q12412 tf_Guidance_Sheet2" xfId="4897" xr:uid="{00000000-0005-0000-0000-000020130000}"/>
    <cellStyle name="_MOR - Australia -  EC - 4+8_BS_Separation_TaxResIndem_Q12412 tf_Guidance_Sheet3" xfId="4898" xr:uid="{00000000-0005-0000-0000-000021130000}"/>
    <cellStyle name="_MOR - Australia -  EC - 4+8_BS_Separation_TaxResIndem_Q12412 tf_Guidance_Sheet4" xfId="4899" xr:uid="{00000000-0005-0000-0000-000022130000}"/>
    <cellStyle name="_MOR - Australia -  EC - 4+8_BS_Separation_TaxResIndem_Q12412 tf_Restructuring &amp; Separation" xfId="4900" xr:uid="{00000000-0005-0000-0000-000023130000}"/>
    <cellStyle name="_MOR - Australia -  EC - 4+8_BS_Separation_TaxResIndem_Q12412 tf_Restructuring &amp; Separation_Guidance" xfId="4901" xr:uid="{00000000-0005-0000-0000-000024130000}"/>
    <cellStyle name="_MOR - Australia -  EC - 4+8_BS_Separation_TaxResIndem_Q12412 tf_Restructuring &amp; Separation_Guidance 2" xfId="4902" xr:uid="{00000000-0005-0000-0000-000025130000}"/>
    <cellStyle name="_MOR - Australia -  EC - 4+8_BS_Separation_TaxResIndem_Q12412 tf_Restructuring &amp; Separation_Guidance_BS retrieve" xfId="4903" xr:uid="{00000000-0005-0000-0000-000026130000}"/>
    <cellStyle name="_MOR - Australia -  EC - 4+8_BS_Separation_TaxResIndem_Q12412 tf_Restructuring &amp; Separation_Guidance_Free CF" xfId="4904" xr:uid="{00000000-0005-0000-0000-000027130000}"/>
    <cellStyle name="_MOR - Australia -  EC - 4+8_BS_Separation_TaxResIndem_Q12412 tf_Restructuring &amp; Separation_Guidance_P&amp;L Rec Qtr" xfId="4905" xr:uid="{00000000-0005-0000-0000-000028130000}"/>
    <cellStyle name="_MOR - Australia -  EC - 4+8_BS_Separation_TaxResIndem_Q12412 tf_Restructuring &amp; Separation_Guidance_Sheet1" xfId="4906" xr:uid="{00000000-0005-0000-0000-000029130000}"/>
    <cellStyle name="_MOR - Australia -  EC - 4+8_BS_Separation_TaxResIndem_Q12412 tf_Restructuring &amp; Separation_Guidance_Sheet2" xfId="4907" xr:uid="{00000000-0005-0000-0000-00002A130000}"/>
    <cellStyle name="_MOR - Australia -  EC - 4+8_BS_Separation_TaxResIndem_Q12412 tf_Restructuring &amp; Separation_Guidance_Sheet3" xfId="4908" xr:uid="{00000000-0005-0000-0000-00002B130000}"/>
    <cellStyle name="_MOR - Australia -  EC - 4+8_BS_Separation_TaxResIndem_Q12412 tf_Restructuring &amp; Separation_Guidance_Sheet4" xfId="4909" xr:uid="{00000000-0005-0000-0000-00002C130000}"/>
    <cellStyle name="_MOR - Australia -  EC - 4+8_By Country Detail 1Q10 041410pm FIN 18 revised per disc w Mary" xfId="4910" xr:uid="{00000000-0005-0000-0000-00002D130000}"/>
    <cellStyle name="_MOR - Australia -  EC - 4+8_By Country Detail 1Q10 041410pm FIN 18 revised per disc w Mary_BS_Separation_TaxResIndem_Q12412 tf" xfId="4911" xr:uid="{00000000-0005-0000-0000-00002E130000}"/>
    <cellStyle name="_MOR - Australia -  EC - 4+8_By Country Detail 1Q10 041410pm FIN 18 revised per disc w Mary_BS_Separation_TaxResIndem_Q12412 tf_Guidance" xfId="4912" xr:uid="{00000000-0005-0000-0000-00002F130000}"/>
    <cellStyle name="_MOR - Australia -  EC - 4+8_By Country Detail 1Q10 041410pm FIN 18 revised per disc w Mary_BS_Separation_TaxResIndem_Q12412 tf_Guidance 2" xfId="4913" xr:uid="{00000000-0005-0000-0000-000030130000}"/>
    <cellStyle name="_MOR - Australia -  EC - 4+8_By Country Detail 1Q10 041410pm FIN 18 revised per disc w Mary_BS_Separation_TaxResIndem_Q12412 tf_Guidance_BS retrieve" xfId="4914" xr:uid="{00000000-0005-0000-0000-000031130000}"/>
    <cellStyle name="_MOR - Australia -  EC - 4+8_By Country Detail 1Q10 041410pm FIN 18 revised per disc w Mary_BS_Separation_TaxResIndem_Q12412 tf_Guidance_Free CF" xfId="4915" xr:uid="{00000000-0005-0000-0000-000032130000}"/>
    <cellStyle name="_MOR - Australia -  EC - 4+8_By Country Detail 1Q10 041410pm FIN 18 revised per disc w Mary_BS_Separation_TaxResIndem_Q12412 tf_Guidance_P&amp;L Rec Qtr" xfId="4916" xr:uid="{00000000-0005-0000-0000-000033130000}"/>
    <cellStyle name="_MOR - Australia -  EC - 4+8_By Country Detail 1Q10 041410pm FIN 18 revised per disc w Mary_BS_Separation_TaxResIndem_Q12412 tf_Guidance_Sheet1" xfId="4917" xr:uid="{00000000-0005-0000-0000-000034130000}"/>
    <cellStyle name="_MOR - Australia -  EC - 4+8_By Country Detail 1Q10 041410pm FIN 18 revised per disc w Mary_BS_Separation_TaxResIndem_Q12412 tf_Guidance_Sheet2" xfId="4918" xr:uid="{00000000-0005-0000-0000-000035130000}"/>
    <cellStyle name="_MOR - Australia -  EC - 4+8_By Country Detail 1Q10 041410pm FIN 18 revised per disc w Mary_BS_Separation_TaxResIndem_Q12412 tf_Guidance_Sheet3" xfId="4919" xr:uid="{00000000-0005-0000-0000-000036130000}"/>
    <cellStyle name="_MOR - Australia -  EC - 4+8_By Country Detail 1Q10 041410pm FIN 18 revised per disc w Mary_BS_Separation_TaxResIndem_Q12412 tf_Guidance_Sheet4" xfId="4920" xr:uid="{00000000-0005-0000-0000-000037130000}"/>
    <cellStyle name="_MOR - Australia -  EC - 4+8_By Country Detail 1Q10 041410pm FIN 18 revised per disc w Mary_BS_Separation_TaxResIndem_Q12412 tf_Restructuring &amp; Separation" xfId="4921" xr:uid="{00000000-0005-0000-0000-000038130000}"/>
    <cellStyle name="_MOR - Australia -  EC - 4+8_By Country Detail 1Q10 041410pm FIN 18 revised per disc w Mary_BS_Separation_TaxResIndem_Q12412 tf_Restructuring &amp; Separation_Guidance" xfId="4922" xr:uid="{00000000-0005-0000-0000-000039130000}"/>
    <cellStyle name="_MOR - Australia -  EC - 4+8_By Country Detail 1Q10 041410pm FIN 18 revised per disc w Mary_BS_Separation_TaxResIndem_Q12412 tf_Restructuring &amp; Separation_Guidance 2" xfId="4923" xr:uid="{00000000-0005-0000-0000-00003A130000}"/>
    <cellStyle name="_MOR - Australia -  EC - 4+8_By Country Detail 1Q10 041410pm FIN 18 revised per disc w Mary_BS_Separation_TaxResIndem_Q12412 tf_Restructuring &amp; Separation_Guidance_BS retrieve" xfId="4924" xr:uid="{00000000-0005-0000-0000-00003B130000}"/>
    <cellStyle name="_MOR - Australia -  EC - 4+8_By Country Detail 1Q10 041410pm FIN 18 revised per disc w Mary_BS_Separation_TaxResIndem_Q12412 tf_Restructuring &amp; Separation_Guidance_Free CF" xfId="4925" xr:uid="{00000000-0005-0000-0000-00003C130000}"/>
    <cellStyle name="_MOR - Australia -  EC - 4+8_By Country Detail 1Q10 041410pm FIN 18 revised per disc w Mary_BS_Separation_TaxResIndem_Q12412 tf_Restructuring &amp; Separation_Guidance_P&amp;L Rec Qtr" xfId="4926" xr:uid="{00000000-0005-0000-0000-00003D130000}"/>
    <cellStyle name="_MOR - Australia -  EC - 4+8_By Country Detail 1Q10 041410pm FIN 18 revised per disc w Mary_BS_Separation_TaxResIndem_Q12412 tf_Restructuring &amp; Separation_Guidance_Sheet1" xfId="4927" xr:uid="{00000000-0005-0000-0000-00003E130000}"/>
    <cellStyle name="_MOR - Australia -  EC - 4+8_By Country Detail 1Q10 041410pm FIN 18 revised per disc w Mary_BS_Separation_TaxResIndem_Q12412 tf_Restructuring &amp; Separation_Guidance_Sheet2" xfId="4928" xr:uid="{00000000-0005-0000-0000-00003F130000}"/>
    <cellStyle name="_MOR - Australia -  EC - 4+8_By Country Detail 1Q10 041410pm FIN 18 revised per disc w Mary_BS_Separation_TaxResIndem_Q12412 tf_Restructuring &amp; Separation_Guidance_Sheet3" xfId="4929" xr:uid="{00000000-0005-0000-0000-000040130000}"/>
    <cellStyle name="_MOR - Australia -  EC - 4+8_By Country Detail 1Q10 041410pm FIN 18 revised per disc w Mary_BS_Separation_TaxResIndem_Q12412 tf_Restructuring &amp; Separation_Guidance_Sheet4" xfId="4930" xr:uid="{00000000-0005-0000-0000-000041130000}"/>
    <cellStyle name="_MOR - Australia -  EC - 4+8_By Country Detail 1Q10 041410pm FIN 18 revised per disc w Mary_Guidance" xfId="4931" xr:uid="{00000000-0005-0000-0000-000042130000}"/>
    <cellStyle name="_MOR - Australia -  EC - 4+8_By Country Detail 1Q10 041410pm FIN 18 revised per disc w Mary_Guidance 2" xfId="4932" xr:uid="{00000000-0005-0000-0000-000043130000}"/>
    <cellStyle name="_MOR - Australia -  EC - 4+8_By Country Detail 1Q10 041410pm FIN 18 revised per disc w Mary_Guidance_BS retrieve" xfId="4933" xr:uid="{00000000-0005-0000-0000-000044130000}"/>
    <cellStyle name="_MOR - Australia -  EC - 4+8_By Country Detail 1Q10 041410pm FIN 18 revised per disc w Mary_Guidance_Free CF" xfId="4934" xr:uid="{00000000-0005-0000-0000-000045130000}"/>
    <cellStyle name="_MOR - Australia -  EC - 4+8_By Country Detail 1Q10 041410pm FIN 18 revised per disc w Mary_Guidance_P&amp;L Rec Qtr" xfId="4935" xr:uid="{00000000-0005-0000-0000-000046130000}"/>
    <cellStyle name="_MOR - Australia -  EC - 4+8_By Country Detail 1Q10 041410pm FIN 18 revised per disc w Mary_Guidance_Sheet1" xfId="4936" xr:uid="{00000000-0005-0000-0000-000047130000}"/>
    <cellStyle name="_MOR - Australia -  EC - 4+8_By Country Detail 1Q10 041410pm FIN 18 revised per disc w Mary_Guidance_Sheet2" xfId="4937" xr:uid="{00000000-0005-0000-0000-000048130000}"/>
    <cellStyle name="_MOR - Australia -  EC - 4+8_By Country Detail 1Q10 041410pm FIN 18 revised per disc w Mary_Guidance_Sheet3" xfId="4938" xr:uid="{00000000-0005-0000-0000-000049130000}"/>
    <cellStyle name="_MOR - Australia -  EC - 4+8_By Country Detail 1Q10 041410pm FIN 18 revised per disc w Mary_Guidance_Sheet4" xfId="4939" xr:uid="{00000000-0005-0000-0000-00004A130000}"/>
    <cellStyle name="_MOR - Australia -  EC - 4+8_By Country Detail 1Q10 041410pm FIN 18 revised per disc w Mary_II.8. Sep&amp;Discrete" xfId="4940" xr:uid="{00000000-0005-0000-0000-00004B130000}"/>
    <cellStyle name="_MOR - Australia -  EC - 4+8_By Country Detail 1Q10 041410pm FIN 18 revised per disc w Mary_II.8. Sep&amp;Discrete_Guidance" xfId="4941" xr:uid="{00000000-0005-0000-0000-00004C130000}"/>
    <cellStyle name="_MOR - Australia -  EC - 4+8_By Country Detail 1Q10 041410pm FIN 18 revised per disc w Mary_II.8. Sep&amp;Discrete_Guidance 2" xfId="4942" xr:uid="{00000000-0005-0000-0000-00004D130000}"/>
    <cellStyle name="_MOR - Australia -  EC - 4+8_By Country Detail 1Q10 041410pm FIN 18 revised per disc w Mary_II.8. Sep&amp;Discrete_Guidance_BS retrieve" xfId="4943" xr:uid="{00000000-0005-0000-0000-00004E130000}"/>
    <cellStyle name="_MOR - Australia -  EC - 4+8_By Country Detail 1Q10 041410pm FIN 18 revised per disc w Mary_II.8. Sep&amp;Discrete_Guidance_Free CF" xfId="4944" xr:uid="{00000000-0005-0000-0000-00004F130000}"/>
    <cellStyle name="_MOR - Australia -  EC - 4+8_By Country Detail 1Q10 041410pm FIN 18 revised per disc w Mary_II.8. Sep&amp;Discrete_Guidance_P&amp;L Rec Qtr" xfId="4945" xr:uid="{00000000-0005-0000-0000-000050130000}"/>
    <cellStyle name="_MOR - Australia -  EC - 4+8_By Country Detail 1Q10 041410pm FIN 18 revised per disc w Mary_II.8. Sep&amp;Discrete_Guidance_Sheet1" xfId="4946" xr:uid="{00000000-0005-0000-0000-000051130000}"/>
    <cellStyle name="_MOR - Australia -  EC - 4+8_By Country Detail 1Q10 041410pm FIN 18 revised per disc w Mary_II.8. Sep&amp;Discrete_Guidance_Sheet2" xfId="4947" xr:uid="{00000000-0005-0000-0000-000052130000}"/>
    <cellStyle name="_MOR - Australia -  EC - 4+8_By Country Detail 1Q10 041410pm FIN 18 revised per disc w Mary_II.8. Sep&amp;Discrete_Guidance_Sheet3" xfId="4948" xr:uid="{00000000-0005-0000-0000-000053130000}"/>
    <cellStyle name="_MOR - Australia -  EC - 4+8_By Country Detail 1Q10 041410pm FIN 18 revised per disc w Mary_II.8. Sep&amp;Discrete_Guidance_Sheet4" xfId="4949" xr:uid="{00000000-0005-0000-0000-000054130000}"/>
    <cellStyle name="_MOR - Australia -  EC - 4+8_By Country Detail 1Q10 041410pm FIN 18 revised per disc w Mary_Restructuring &amp; Separation" xfId="4950" xr:uid="{00000000-0005-0000-0000-000055130000}"/>
    <cellStyle name="_MOR - Australia -  EC - 4+8_By Country Detail 1Q10 041410pm FIN 18 revised per disc w Mary_Restructuring &amp; Separation_Guidance" xfId="4951" xr:uid="{00000000-0005-0000-0000-000056130000}"/>
    <cellStyle name="_MOR - Australia -  EC - 4+8_By Country Detail 1Q10 041410pm FIN 18 revised per disc w Mary_Restructuring &amp; Separation_Guidance 2" xfId="4952" xr:uid="{00000000-0005-0000-0000-000057130000}"/>
    <cellStyle name="_MOR - Australia -  EC - 4+8_By Country Detail 1Q10 041410pm FIN 18 revised per disc w Mary_Restructuring &amp; Separation_Guidance_BS retrieve" xfId="4953" xr:uid="{00000000-0005-0000-0000-000058130000}"/>
    <cellStyle name="_MOR - Australia -  EC - 4+8_By Country Detail 1Q10 041410pm FIN 18 revised per disc w Mary_Restructuring &amp; Separation_Guidance_Free CF" xfId="4954" xr:uid="{00000000-0005-0000-0000-000059130000}"/>
    <cellStyle name="_MOR - Australia -  EC - 4+8_By Country Detail 1Q10 041410pm FIN 18 revised per disc w Mary_Restructuring &amp; Separation_Guidance_P&amp;L Rec Qtr" xfId="4955" xr:uid="{00000000-0005-0000-0000-00005A130000}"/>
    <cellStyle name="_MOR - Australia -  EC - 4+8_By Country Detail 1Q10 041410pm FIN 18 revised per disc w Mary_Restructuring &amp; Separation_Guidance_Sheet1" xfId="4956" xr:uid="{00000000-0005-0000-0000-00005B130000}"/>
    <cellStyle name="_MOR - Australia -  EC - 4+8_By Country Detail 1Q10 041410pm FIN 18 revised per disc w Mary_Restructuring &amp; Separation_Guidance_Sheet2" xfId="4957" xr:uid="{00000000-0005-0000-0000-00005C130000}"/>
    <cellStyle name="_MOR - Australia -  EC - 4+8_By Country Detail 1Q10 041410pm FIN 18 revised per disc w Mary_Restructuring &amp; Separation_Guidance_Sheet3" xfId="4958" xr:uid="{00000000-0005-0000-0000-00005D130000}"/>
    <cellStyle name="_MOR - Australia -  EC - 4+8_By Country Detail 1Q10 041410pm FIN 18 revised per disc w Mary_Restructuring &amp; Separation_Guidance_Sheet4" xfId="4959" xr:uid="{00000000-0005-0000-0000-00005E130000}"/>
    <cellStyle name="_MOR - Australia -  EC - 4+8_Guidance" xfId="4960" xr:uid="{00000000-0005-0000-0000-00005F130000}"/>
    <cellStyle name="_MOR - Australia -  EC - 4+8_Guidance 2" xfId="4961" xr:uid="{00000000-0005-0000-0000-000060130000}"/>
    <cellStyle name="_MOR - Australia -  EC - 4+8_Guidance_BS retrieve" xfId="4962" xr:uid="{00000000-0005-0000-0000-000061130000}"/>
    <cellStyle name="_MOR - Australia -  EC - 4+8_Guidance_Free CF" xfId="4963" xr:uid="{00000000-0005-0000-0000-000062130000}"/>
    <cellStyle name="_MOR - Australia -  EC - 4+8_Guidance_P&amp;L Rec Qtr" xfId="4964" xr:uid="{00000000-0005-0000-0000-000063130000}"/>
    <cellStyle name="_MOR - Australia -  EC - 4+8_Guidance_Sheet1" xfId="4965" xr:uid="{00000000-0005-0000-0000-000064130000}"/>
    <cellStyle name="_MOR - Australia -  EC - 4+8_Guidance_Sheet2" xfId="4966" xr:uid="{00000000-0005-0000-0000-000065130000}"/>
    <cellStyle name="_MOR - Australia -  EC - 4+8_Guidance_Sheet3" xfId="4967" xr:uid="{00000000-0005-0000-0000-000066130000}"/>
    <cellStyle name="_MOR - Australia -  EC - 4+8_Guidance_Sheet4" xfId="4968" xr:uid="{00000000-0005-0000-0000-000067130000}"/>
    <cellStyle name="_MOR - Australia -  EC - 4+8_II.4. RawMaterials" xfId="4969" xr:uid="{00000000-0005-0000-0000-000068130000}"/>
    <cellStyle name="_MOR - Australia -  EC - 4+8_II.4. RawMaterials 2" xfId="4970" xr:uid="{00000000-0005-0000-0000-000069130000}"/>
    <cellStyle name="_MOR - Australia -  EC - 4+8_II.4. RawMaterials_BS retrieve" xfId="4971" xr:uid="{00000000-0005-0000-0000-00006A130000}"/>
    <cellStyle name="_MOR - Australia -  EC - 4+8_II.4. RawMaterials_Free CF" xfId="4972" xr:uid="{00000000-0005-0000-0000-00006B130000}"/>
    <cellStyle name="_MOR - Australia -  EC - 4+8_II.4. RawMaterials_P&amp;L Rec Qtr" xfId="4973" xr:uid="{00000000-0005-0000-0000-00006C130000}"/>
    <cellStyle name="_MOR - Australia -  EC - 4+8_II.4. RawMaterials_Sheet1" xfId="4974" xr:uid="{00000000-0005-0000-0000-00006D130000}"/>
    <cellStyle name="_MOR - Australia -  EC - 4+8_II.4. RawMaterials_Sheet2" xfId="4975" xr:uid="{00000000-0005-0000-0000-00006E130000}"/>
    <cellStyle name="_MOR - Australia -  EC - 4+8_II.4. RawMaterials_Sheet3" xfId="4976" xr:uid="{00000000-0005-0000-0000-00006F130000}"/>
    <cellStyle name="_MOR - Australia -  EC - 4+8_II.4. RawMaterials_Sheet4" xfId="4977" xr:uid="{00000000-0005-0000-0000-000070130000}"/>
    <cellStyle name="_MOR - Australia -  EC - 4+8_II.5. RawMaterials" xfId="4978" xr:uid="{00000000-0005-0000-0000-000071130000}"/>
    <cellStyle name="_MOR - Australia -  EC - 4+8_II.5. RawMaterials 2" xfId="4979" xr:uid="{00000000-0005-0000-0000-000072130000}"/>
    <cellStyle name="_MOR - Australia -  EC - 4+8_II.5. RawMaterials_BS retrieve" xfId="4980" xr:uid="{00000000-0005-0000-0000-000073130000}"/>
    <cellStyle name="_MOR - Australia -  EC - 4+8_II.5. RawMaterials_Free CF" xfId="4981" xr:uid="{00000000-0005-0000-0000-000074130000}"/>
    <cellStyle name="_MOR - Australia -  EC - 4+8_II.5. RawMaterials_Guidance" xfId="4982" xr:uid="{00000000-0005-0000-0000-000075130000}"/>
    <cellStyle name="_MOR - Australia -  EC - 4+8_II.5. RawMaterials_Guidance 2" xfId="4983" xr:uid="{00000000-0005-0000-0000-000076130000}"/>
    <cellStyle name="_MOR - Australia -  EC - 4+8_II.5. RawMaterials_Guidance_BS retrieve" xfId="4984" xr:uid="{00000000-0005-0000-0000-000077130000}"/>
    <cellStyle name="_MOR - Australia -  EC - 4+8_II.5. RawMaterials_Guidance_Free CF" xfId="4985" xr:uid="{00000000-0005-0000-0000-000078130000}"/>
    <cellStyle name="_MOR - Australia -  EC - 4+8_II.5. RawMaterials_Guidance_P&amp;L Rec Qtr" xfId="4986" xr:uid="{00000000-0005-0000-0000-000079130000}"/>
    <cellStyle name="_MOR - Australia -  EC - 4+8_II.5. RawMaterials_Guidance_Sheet1" xfId="4987" xr:uid="{00000000-0005-0000-0000-00007A130000}"/>
    <cellStyle name="_MOR - Australia -  EC - 4+8_II.5. RawMaterials_Guidance_Sheet2" xfId="4988" xr:uid="{00000000-0005-0000-0000-00007B130000}"/>
    <cellStyle name="_MOR - Australia -  EC - 4+8_II.5. RawMaterials_Guidance_Sheet3" xfId="4989" xr:uid="{00000000-0005-0000-0000-00007C130000}"/>
    <cellStyle name="_MOR - Australia -  EC - 4+8_II.5. RawMaterials_Guidance_Sheet4" xfId="4990" xr:uid="{00000000-0005-0000-0000-00007D130000}"/>
    <cellStyle name="_MOR - Australia -  EC - 4+8_II.5. RawMaterials_P&amp;L Rec Qtr" xfId="4991" xr:uid="{00000000-0005-0000-0000-00007E130000}"/>
    <cellStyle name="_MOR - Australia -  EC - 4+8_II.5. RawMaterials_Sheet1" xfId="4992" xr:uid="{00000000-0005-0000-0000-00007F130000}"/>
    <cellStyle name="_MOR - Australia -  EC - 4+8_II.5. RawMaterials_Sheet2" xfId="4993" xr:uid="{00000000-0005-0000-0000-000080130000}"/>
    <cellStyle name="_MOR - Australia -  EC - 4+8_II.5. RawMaterials_Sheet3" xfId="4994" xr:uid="{00000000-0005-0000-0000-000081130000}"/>
    <cellStyle name="_MOR - Australia -  EC - 4+8_II.5. RawMaterials_Sheet4" xfId="4995" xr:uid="{00000000-0005-0000-0000-000082130000}"/>
    <cellStyle name="_MOR - Australia -  EC - 4+8_II.5. RM Volume Sensitivities" xfId="4996" xr:uid="{00000000-0005-0000-0000-000083130000}"/>
    <cellStyle name="_MOR - Australia -  EC - 4+8_II.5. RM Volume Sensitivities 2" xfId="4997" xr:uid="{00000000-0005-0000-0000-000084130000}"/>
    <cellStyle name="_MOR - Australia -  EC - 4+8_II.5. RM Volume Sensitivities_BS retrieve" xfId="4998" xr:uid="{00000000-0005-0000-0000-000085130000}"/>
    <cellStyle name="_MOR - Australia -  EC - 4+8_II.5. RM Volume Sensitivities_Free CF" xfId="4999" xr:uid="{00000000-0005-0000-0000-000086130000}"/>
    <cellStyle name="_MOR - Australia -  EC - 4+8_II.5. RM Volume Sensitivities_P&amp;L Rec Qtr" xfId="5000" xr:uid="{00000000-0005-0000-0000-000087130000}"/>
    <cellStyle name="_MOR - Australia -  EC - 4+8_II.5. RM Volume Sensitivities_Sheet1" xfId="5001" xr:uid="{00000000-0005-0000-0000-000088130000}"/>
    <cellStyle name="_MOR - Australia -  EC - 4+8_II.5. RM Volume Sensitivities_Sheet2" xfId="5002" xr:uid="{00000000-0005-0000-0000-000089130000}"/>
    <cellStyle name="_MOR - Australia -  EC - 4+8_II.5. RM Volume Sensitivities_Sheet3" xfId="5003" xr:uid="{00000000-0005-0000-0000-00008A130000}"/>
    <cellStyle name="_MOR - Australia -  EC - 4+8_II.5. RM Volume Sensitivities_Sheet4" xfId="5004" xr:uid="{00000000-0005-0000-0000-00008B130000}"/>
    <cellStyle name="_MOR - Australia -  EC - 4+8_II.8. Sep&amp;Discrete" xfId="5005" xr:uid="{00000000-0005-0000-0000-00008C130000}"/>
    <cellStyle name="_MOR - Australia -  EC - 4+8_II.8. Sep&amp;Discrete_Guidance" xfId="5006" xr:uid="{00000000-0005-0000-0000-00008D130000}"/>
    <cellStyle name="_MOR - Australia -  EC - 4+8_II.8. Sep&amp;Discrete_Guidance 2" xfId="5007" xr:uid="{00000000-0005-0000-0000-00008E130000}"/>
    <cellStyle name="_MOR - Australia -  EC - 4+8_II.8. Sep&amp;Discrete_Guidance_BS retrieve" xfId="5008" xr:uid="{00000000-0005-0000-0000-00008F130000}"/>
    <cellStyle name="_MOR - Australia -  EC - 4+8_II.8. Sep&amp;Discrete_Guidance_Free CF" xfId="5009" xr:uid="{00000000-0005-0000-0000-000090130000}"/>
    <cellStyle name="_MOR - Australia -  EC - 4+8_II.8. Sep&amp;Discrete_Guidance_P&amp;L Rec Qtr" xfId="5010" xr:uid="{00000000-0005-0000-0000-000091130000}"/>
    <cellStyle name="_MOR - Australia -  EC - 4+8_II.8. Sep&amp;Discrete_Guidance_Sheet1" xfId="5011" xr:uid="{00000000-0005-0000-0000-000092130000}"/>
    <cellStyle name="_MOR - Australia -  EC - 4+8_II.8. Sep&amp;Discrete_Guidance_Sheet2" xfId="5012" xr:uid="{00000000-0005-0000-0000-000093130000}"/>
    <cellStyle name="_MOR - Australia -  EC - 4+8_II.8. Sep&amp;Discrete_Guidance_Sheet3" xfId="5013" xr:uid="{00000000-0005-0000-0000-000094130000}"/>
    <cellStyle name="_MOR - Australia -  EC - 4+8_II.8. Sep&amp;Discrete_Guidance_Sheet4" xfId="5014" xr:uid="{00000000-0005-0000-0000-000095130000}"/>
    <cellStyle name="_MOR - Australia -  EC - 4+8_Restructuring &amp; Separation" xfId="5015" xr:uid="{00000000-0005-0000-0000-000096130000}"/>
    <cellStyle name="_MOR - Australia -  EC - 4+8_Restructuring &amp; Separation_Guidance" xfId="5016" xr:uid="{00000000-0005-0000-0000-000097130000}"/>
    <cellStyle name="_MOR - Australia -  EC - 4+8_Restructuring &amp; Separation_Guidance 2" xfId="5017" xr:uid="{00000000-0005-0000-0000-000098130000}"/>
    <cellStyle name="_MOR - Australia -  EC - 4+8_Restructuring &amp; Separation_Guidance_BS retrieve" xfId="5018" xr:uid="{00000000-0005-0000-0000-000099130000}"/>
    <cellStyle name="_MOR - Australia -  EC - 4+8_Restructuring &amp; Separation_Guidance_Free CF" xfId="5019" xr:uid="{00000000-0005-0000-0000-00009A130000}"/>
    <cellStyle name="_MOR - Australia -  EC - 4+8_Restructuring &amp; Separation_Guidance_P&amp;L Rec Qtr" xfId="5020" xr:uid="{00000000-0005-0000-0000-00009B130000}"/>
    <cellStyle name="_MOR - Australia -  EC - 4+8_Restructuring &amp; Separation_Guidance_Sheet1" xfId="5021" xr:uid="{00000000-0005-0000-0000-00009C130000}"/>
    <cellStyle name="_MOR - Australia -  EC - 4+8_Restructuring &amp; Separation_Guidance_Sheet2" xfId="5022" xr:uid="{00000000-0005-0000-0000-00009D130000}"/>
    <cellStyle name="_MOR - Australia -  EC - 4+8_Restructuring &amp; Separation_Guidance_Sheet3" xfId="5023" xr:uid="{00000000-0005-0000-0000-00009E130000}"/>
    <cellStyle name="_MOR - Australia -  EC - 4+8_Restructuring &amp; Separation_Guidance_Sheet4" xfId="5024" xr:uid="{00000000-0005-0000-0000-00009F130000}"/>
    <cellStyle name="_MOR - Australia -  EC - 4+8_Restructuring_Separation_TAX_JuneFC2010 tf" xfId="5025" xr:uid="{00000000-0005-0000-0000-0000A0130000}"/>
    <cellStyle name="_MOR - Australia -  EC - 4+8_Restructuring_Separation_TAX_JuneFC2010 tf_BS_Separation_TaxResIndem_Q12412 tf" xfId="5026" xr:uid="{00000000-0005-0000-0000-0000A1130000}"/>
    <cellStyle name="_MOR - Australia -  EC - 4+8_Restructuring_Separation_TAX_JuneFC2010 tf_BS_Separation_TaxResIndem_Q12412 tf_Guidance" xfId="5027" xr:uid="{00000000-0005-0000-0000-0000A2130000}"/>
    <cellStyle name="_MOR - Australia -  EC - 4+8_Restructuring_Separation_TAX_JuneFC2010 tf_BS_Separation_TaxResIndem_Q12412 tf_Guidance 2" xfId="5028" xr:uid="{00000000-0005-0000-0000-0000A3130000}"/>
    <cellStyle name="_MOR - Australia -  EC - 4+8_Restructuring_Separation_TAX_JuneFC2010 tf_BS_Separation_TaxResIndem_Q12412 tf_Guidance_BS retrieve" xfId="5029" xr:uid="{00000000-0005-0000-0000-0000A4130000}"/>
    <cellStyle name="_MOR - Australia -  EC - 4+8_Restructuring_Separation_TAX_JuneFC2010 tf_BS_Separation_TaxResIndem_Q12412 tf_Guidance_Free CF" xfId="5030" xr:uid="{00000000-0005-0000-0000-0000A5130000}"/>
    <cellStyle name="_MOR - Australia -  EC - 4+8_Restructuring_Separation_TAX_JuneFC2010 tf_BS_Separation_TaxResIndem_Q12412 tf_Guidance_P&amp;L Rec Qtr" xfId="5031" xr:uid="{00000000-0005-0000-0000-0000A6130000}"/>
    <cellStyle name="_MOR - Australia -  EC - 4+8_Restructuring_Separation_TAX_JuneFC2010 tf_BS_Separation_TaxResIndem_Q12412 tf_Guidance_Sheet1" xfId="5032" xr:uid="{00000000-0005-0000-0000-0000A7130000}"/>
    <cellStyle name="_MOR - Australia -  EC - 4+8_Restructuring_Separation_TAX_JuneFC2010 tf_BS_Separation_TaxResIndem_Q12412 tf_Guidance_Sheet2" xfId="5033" xr:uid="{00000000-0005-0000-0000-0000A8130000}"/>
    <cellStyle name="_MOR - Australia -  EC - 4+8_Restructuring_Separation_TAX_JuneFC2010 tf_BS_Separation_TaxResIndem_Q12412 tf_Guidance_Sheet3" xfId="5034" xr:uid="{00000000-0005-0000-0000-0000A9130000}"/>
    <cellStyle name="_MOR - Australia -  EC - 4+8_Restructuring_Separation_TAX_JuneFC2010 tf_BS_Separation_TaxResIndem_Q12412 tf_Guidance_Sheet4" xfId="5035" xr:uid="{00000000-0005-0000-0000-0000AA130000}"/>
    <cellStyle name="_MOR - Australia -  EC - 4+8_Restructuring_Separation_TAX_JuneFC2010 tf_BS_Separation_TaxResIndem_Q12412 tf_Restructuring &amp; Separation" xfId="5036" xr:uid="{00000000-0005-0000-0000-0000AB130000}"/>
    <cellStyle name="_MOR - Australia -  EC - 4+8_Restructuring_Separation_TAX_JuneFC2010 tf_BS_Separation_TaxResIndem_Q12412 tf_Restructuring &amp; Separation_Guidance" xfId="5037" xr:uid="{00000000-0005-0000-0000-0000AC130000}"/>
    <cellStyle name="_MOR - Australia -  EC - 4+8_Restructuring_Separation_TAX_JuneFC2010 tf_BS_Separation_TaxResIndem_Q12412 tf_Restructuring &amp; Separation_Guidance 2" xfId="5038" xr:uid="{00000000-0005-0000-0000-0000AD130000}"/>
    <cellStyle name="_MOR - Australia -  EC - 4+8_Restructuring_Separation_TAX_JuneFC2010 tf_BS_Separation_TaxResIndem_Q12412 tf_Restructuring &amp; Separation_Guidance_BS retrieve" xfId="5039" xr:uid="{00000000-0005-0000-0000-0000AE130000}"/>
    <cellStyle name="_MOR - Australia -  EC - 4+8_Restructuring_Separation_TAX_JuneFC2010 tf_BS_Separation_TaxResIndem_Q12412 tf_Restructuring &amp; Separation_Guidance_Free CF" xfId="5040" xr:uid="{00000000-0005-0000-0000-0000AF130000}"/>
    <cellStyle name="_MOR - Australia -  EC - 4+8_Restructuring_Separation_TAX_JuneFC2010 tf_BS_Separation_TaxResIndem_Q12412 tf_Restructuring &amp; Separation_Guidance_P&amp;L Rec Qtr" xfId="5041" xr:uid="{00000000-0005-0000-0000-0000B0130000}"/>
    <cellStyle name="_MOR - Australia -  EC - 4+8_Restructuring_Separation_TAX_JuneFC2010 tf_BS_Separation_TaxResIndem_Q12412 tf_Restructuring &amp; Separation_Guidance_Sheet1" xfId="5042" xr:uid="{00000000-0005-0000-0000-0000B1130000}"/>
    <cellStyle name="_MOR - Australia -  EC - 4+8_Restructuring_Separation_TAX_JuneFC2010 tf_BS_Separation_TaxResIndem_Q12412 tf_Restructuring &amp; Separation_Guidance_Sheet2" xfId="5043" xr:uid="{00000000-0005-0000-0000-0000B2130000}"/>
    <cellStyle name="_MOR - Australia -  EC - 4+8_Restructuring_Separation_TAX_JuneFC2010 tf_BS_Separation_TaxResIndem_Q12412 tf_Restructuring &amp; Separation_Guidance_Sheet3" xfId="5044" xr:uid="{00000000-0005-0000-0000-0000B3130000}"/>
    <cellStyle name="_MOR - Australia -  EC - 4+8_Restructuring_Separation_TAX_JuneFC2010 tf_BS_Separation_TaxResIndem_Q12412 tf_Restructuring &amp; Separation_Guidance_Sheet4" xfId="5045" xr:uid="{00000000-0005-0000-0000-0000B4130000}"/>
    <cellStyle name="_MOR - Australia -  EC - 4+8_Restructuring_Separation_TAX_JuneFC2010 tf_Guidance" xfId="5046" xr:uid="{00000000-0005-0000-0000-0000B5130000}"/>
    <cellStyle name="_MOR - Australia -  EC - 4+8_Restructuring_Separation_TAX_JuneFC2010 tf_Guidance 2" xfId="5047" xr:uid="{00000000-0005-0000-0000-0000B6130000}"/>
    <cellStyle name="_MOR - Australia -  EC - 4+8_Restructuring_Separation_TAX_JuneFC2010 tf_Guidance_BS retrieve" xfId="5048" xr:uid="{00000000-0005-0000-0000-0000B7130000}"/>
    <cellStyle name="_MOR - Australia -  EC - 4+8_Restructuring_Separation_TAX_JuneFC2010 tf_Guidance_Free CF" xfId="5049" xr:uid="{00000000-0005-0000-0000-0000B8130000}"/>
    <cellStyle name="_MOR - Australia -  EC - 4+8_Restructuring_Separation_TAX_JuneFC2010 tf_Guidance_P&amp;L Rec Qtr" xfId="5050" xr:uid="{00000000-0005-0000-0000-0000B9130000}"/>
    <cellStyle name="_MOR - Australia -  EC - 4+8_Restructuring_Separation_TAX_JuneFC2010 tf_Guidance_Sheet1" xfId="5051" xr:uid="{00000000-0005-0000-0000-0000BA130000}"/>
    <cellStyle name="_MOR - Australia -  EC - 4+8_Restructuring_Separation_TAX_JuneFC2010 tf_Guidance_Sheet2" xfId="5052" xr:uid="{00000000-0005-0000-0000-0000BB130000}"/>
    <cellStyle name="_MOR - Australia -  EC - 4+8_Restructuring_Separation_TAX_JuneFC2010 tf_Guidance_Sheet3" xfId="5053" xr:uid="{00000000-0005-0000-0000-0000BC130000}"/>
    <cellStyle name="_MOR - Australia -  EC - 4+8_Restructuring_Separation_TAX_JuneFC2010 tf_Guidance_Sheet4" xfId="5054" xr:uid="{00000000-0005-0000-0000-0000BD130000}"/>
    <cellStyle name="_MOR - Australia -  EC - 4+8_Restructuring_Separation_TAX_JuneFC2010 tf_II.8. Sep&amp;Discrete" xfId="5055" xr:uid="{00000000-0005-0000-0000-0000BE130000}"/>
    <cellStyle name="_MOR - Australia -  EC - 4+8_Restructuring_Separation_TAX_JuneFC2010 tf_II.8. Sep&amp;Discrete_Guidance" xfId="5056" xr:uid="{00000000-0005-0000-0000-0000BF130000}"/>
    <cellStyle name="_MOR - Australia -  EC - 4+8_Restructuring_Separation_TAX_JuneFC2010 tf_II.8. Sep&amp;Discrete_Guidance 2" xfId="5057" xr:uid="{00000000-0005-0000-0000-0000C0130000}"/>
    <cellStyle name="_MOR - Australia -  EC - 4+8_Restructuring_Separation_TAX_JuneFC2010 tf_II.8. Sep&amp;Discrete_Guidance_BS retrieve" xfId="5058" xr:uid="{00000000-0005-0000-0000-0000C1130000}"/>
    <cellStyle name="_MOR - Australia -  EC - 4+8_Restructuring_Separation_TAX_JuneFC2010 tf_II.8. Sep&amp;Discrete_Guidance_Free CF" xfId="5059" xr:uid="{00000000-0005-0000-0000-0000C2130000}"/>
    <cellStyle name="_MOR - Australia -  EC - 4+8_Restructuring_Separation_TAX_JuneFC2010 tf_II.8. Sep&amp;Discrete_Guidance_P&amp;L Rec Qtr" xfId="5060" xr:uid="{00000000-0005-0000-0000-0000C3130000}"/>
    <cellStyle name="_MOR - Australia -  EC - 4+8_Restructuring_Separation_TAX_JuneFC2010 tf_II.8. Sep&amp;Discrete_Guidance_Sheet1" xfId="5061" xr:uid="{00000000-0005-0000-0000-0000C4130000}"/>
    <cellStyle name="_MOR - Australia -  EC - 4+8_Restructuring_Separation_TAX_JuneFC2010 tf_II.8. Sep&amp;Discrete_Guidance_Sheet2" xfId="5062" xr:uid="{00000000-0005-0000-0000-0000C5130000}"/>
    <cellStyle name="_MOR - Australia -  EC - 4+8_Restructuring_Separation_TAX_JuneFC2010 tf_II.8. Sep&amp;Discrete_Guidance_Sheet3" xfId="5063" xr:uid="{00000000-0005-0000-0000-0000C6130000}"/>
    <cellStyle name="_MOR - Australia -  EC - 4+8_Restructuring_Separation_TAX_JuneFC2010 tf_II.8. Sep&amp;Discrete_Guidance_Sheet4" xfId="5064" xr:uid="{00000000-0005-0000-0000-0000C7130000}"/>
    <cellStyle name="_MOR - Australia -  EC - 4+8_Restructuring_Separation_TAX_JuneFC2010 tf_Restructuring &amp; Separation" xfId="5065" xr:uid="{00000000-0005-0000-0000-0000C8130000}"/>
    <cellStyle name="_MOR - Australia -  EC - 4+8_Restructuring_Separation_TAX_JuneFC2010 tf_Restructuring &amp; Separation_Guidance" xfId="5066" xr:uid="{00000000-0005-0000-0000-0000C9130000}"/>
    <cellStyle name="_MOR - Australia -  EC - 4+8_Restructuring_Separation_TAX_JuneFC2010 tf_Restructuring &amp; Separation_Guidance 2" xfId="5067" xr:uid="{00000000-0005-0000-0000-0000CA130000}"/>
    <cellStyle name="_MOR - Australia -  EC - 4+8_Restructuring_Separation_TAX_JuneFC2010 tf_Restructuring &amp; Separation_Guidance_BS retrieve" xfId="5068" xr:uid="{00000000-0005-0000-0000-0000CB130000}"/>
    <cellStyle name="_MOR - Australia -  EC - 4+8_Restructuring_Separation_TAX_JuneFC2010 tf_Restructuring &amp; Separation_Guidance_Free CF" xfId="5069" xr:uid="{00000000-0005-0000-0000-0000CC130000}"/>
    <cellStyle name="_MOR - Australia -  EC - 4+8_Restructuring_Separation_TAX_JuneFC2010 tf_Restructuring &amp; Separation_Guidance_P&amp;L Rec Qtr" xfId="5070" xr:uid="{00000000-0005-0000-0000-0000CD130000}"/>
    <cellStyle name="_MOR - Australia -  EC - 4+8_Restructuring_Separation_TAX_JuneFC2010 tf_Restructuring &amp; Separation_Guidance_Sheet1" xfId="5071" xr:uid="{00000000-0005-0000-0000-0000CE130000}"/>
    <cellStyle name="_MOR - Australia -  EC - 4+8_Restructuring_Separation_TAX_JuneFC2010 tf_Restructuring &amp; Separation_Guidance_Sheet2" xfId="5072" xr:uid="{00000000-0005-0000-0000-0000CF130000}"/>
    <cellStyle name="_MOR - Australia -  EC - 4+8_Restructuring_Separation_TAX_JuneFC2010 tf_Restructuring &amp; Separation_Guidance_Sheet3" xfId="5073" xr:uid="{00000000-0005-0000-0000-0000D0130000}"/>
    <cellStyle name="_MOR - Australia -  EC - 4+8_Restructuring_Separation_TAX_JuneFC2010 tf_Restructuring &amp; Separation_Guidance_Sheet4" xfId="5074" xr:uid="{00000000-0005-0000-0000-0000D1130000}"/>
    <cellStyle name="_MOR - Australia - EC - 12+0" xfId="5075" xr:uid="{00000000-0005-0000-0000-0000D2130000}"/>
    <cellStyle name="_MOR - Australia - EC - 12+0_BS_Separation_TaxResIndem_Q12412 tf" xfId="5076" xr:uid="{00000000-0005-0000-0000-0000D3130000}"/>
    <cellStyle name="_MOR - Australia - EC - 12+0_BS_Separation_TaxResIndem_Q12412 tf_Guidance" xfId="5077" xr:uid="{00000000-0005-0000-0000-0000D4130000}"/>
    <cellStyle name="_MOR - Australia - EC - 12+0_BS_Separation_TaxResIndem_Q12412 tf_Guidance 2" xfId="5078" xr:uid="{00000000-0005-0000-0000-0000D5130000}"/>
    <cellStyle name="_MOR - Australia - EC - 12+0_BS_Separation_TaxResIndem_Q12412 tf_Guidance_BS retrieve" xfId="5079" xr:uid="{00000000-0005-0000-0000-0000D6130000}"/>
    <cellStyle name="_MOR - Australia - EC - 12+0_BS_Separation_TaxResIndem_Q12412 tf_Guidance_Free CF" xfId="5080" xr:uid="{00000000-0005-0000-0000-0000D7130000}"/>
    <cellStyle name="_MOR - Australia - EC - 12+0_BS_Separation_TaxResIndem_Q12412 tf_Guidance_P&amp;L Rec Qtr" xfId="5081" xr:uid="{00000000-0005-0000-0000-0000D8130000}"/>
    <cellStyle name="_MOR - Australia - EC - 12+0_BS_Separation_TaxResIndem_Q12412 tf_Guidance_Sheet1" xfId="5082" xr:uid="{00000000-0005-0000-0000-0000D9130000}"/>
    <cellStyle name="_MOR - Australia - EC - 12+0_BS_Separation_TaxResIndem_Q12412 tf_Guidance_Sheet2" xfId="5083" xr:uid="{00000000-0005-0000-0000-0000DA130000}"/>
    <cellStyle name="_MOR - Australia - EC - 12+0_BS_Separation_TaxResIndem_Q12412 tf_Guidance_Sheet3" xfId="5084" xr:uid="{00000000-0005-0000-0000-0000DB130000}"/>
    <cellStyle name="_MOR - Australia - EC - 12+0_BS_Separation_TaxResIndem_Q12412 tf_Guidance_Sheet4" xfId="5085" xr:uid="{00000000-0005-0000-0000-0000DC130000}"/>
    <cellStyle name="_MOR - Australia - EC - 12+0_BS_Separation_TaxResIndem_Q12412 tf_Restructuring &amp; Separation" xfId="5086" xr:uid="{00000000-0005-0000-0000-0000DD130000}"/>
    <cellStyle name="_MOR - Australia - EC - 12+0_BS_Separation_TaxResIndem_Q12412 tf_Restructuring &amp; Separation_Guidance" xfId="5087" xr:uid="{00000000-0005-0000-0000-0000DE130000}"/>
    <cellStyle name="_MOR - Australia - EC - 12+0_BS_Separation_TaxResIndem_Q12412 tf_Restructuring &amp; Separation_Guidance 2" xfId="5088" xr:uid="{00000000-0005-0000-0000-0000DF130000}"/>
    <cellStyle name="_MOR - Australia - EC - 12+0_BS_Separation_TaxResIndem_Q12412 tf_Restructuring &amp; Separation_Guidance_BS retrieve" xfId="5089" xr:uid="{00000000-0005-0000-0000-0000E0130000}"/>
    <cellStyle name="_MOR - Australia - EC - 12+0_BS_Separation_TaxResIndem_Q12412 tf_Restructuring &amp; Separation_Guidance_Free CF" xfId="5090" xr:uid="{00000000-0005-0000-0000-0000E1130000}"/>
    <cellStyle name="_MOR - Australia - EC - 12+0_BS_Separation_TaxResIndem_Q12412 tf_Restructuring &amp; Separation_Guidance_P&amp;L Rec Qtr" xfId="5091" xr:uid="{00000000-0005-0000-0000-0000E2130000}"/>
    <cellStyle name="_MOR - Australia - EC - 12+0_BS_Separation_TaxResIndem_Q12412 tf_Restructuring &amp; Separation_Guidance_Sheet1" xfId="5092" xr:uid="{00000000-0005-0000-0000-0000E3130000}"/>
    <cellStyle name="_MOR - Australia - EC - 12+0_BS_Separation_TaxResIndem_Q12412 tf_Restructuring &amp; Separation_Guidance_Sheet2" xfId="5093" xr:uid="{00000000-0005-0000-0000-0000E4130000}"/>
    <cellStyle name="_MOR - Australia - EC - 12+0_BS_Separation_TaxResIndem_Q12412 tf_Restructuring &amp; Separation_Guidance_Sheet3" xfId="5094" xr:uid="{00000000-0005-0000-0000-0000E5130000}"/>
    <cellStyle name="_MOR - Australia - EC - 12+0_BS_Separation_TaxResIndem_Q12412 tf_Restructuring &amp; Separation_Guidance_Sheet4" xfId="5095" xr:uid="{00000000-0005-0000-0000-0000E6130000}"/>
    <cellStyle name="_MOR - Australia - EC - 12+0_By Country Detail 1Q10 041410pm FIN 18 revised per disc w Mary" xfId="5096" xr:uid="{00000000-0005-0000-0000-0000E7130000}"/>
    <cellStyle name="_MOR - Australia - EC - 12+0_By Country Detail 1Q10 041410pm FIN 18 revised per disc w Mary_BS_Separation_TaxResIndem_Q12412 tf" xfId="5097" xr:uid="{00000000-0005-0000-0000-0000E8130000}"/>
    <cellStyle name="_MOR - Australia - EC - 12+0_By Country Detail 1Q10 041410pm FIN 18 revised per disc w Mary_BS_Separation_TaxResIndem_Q12412 tf_Guidance" xfId="5098" xr:uid="{00000000-0005-0000-0000-0000E9130000}"/>
    <cellStyle name="_MOR - Australia - EC - 12+0_By Country Detail 1Q10 041410pm FIN 18 revised per disc w Mary_BS_Separation_TaxResIndem_Q12412 tf_Guidance 2" xfId="5099" xr:uid="{00000000-0005-0000-0000-0000EA130000}"/>
    <cellStyle name="_MOR - Australia - EC - 12+0_By Country Detail 1Q10 041410pm FIN 18 revised per disc w Mary_BS_Separation_TaxResIndem_Q12412 tf_Guidance_BS retrieve" xfId="5100" xr:uid="{00000000-0005-0000-0000-0000EB130000}"/>
    <cellStyle name="_MOR - Australia - EC - 12+0_By Country Detail 1Q10 041410pm FIN 18 revised per disc w Mary_BS_Separation_TaxResIndem_Q12412 tf_Guidance_Free CF" xfId="5101" xr:uid="{00000000-0005-0000-0000-0000EC130000}"/>
    <cellStyle name="_MOR - Australia - EC - 12+0_By Country Detail 1Q10 041410pm FIN 18 revised per disc w Mary_BS_Separation_TaxResIndem_Q12412 tf_Guidance_P&amp;L Rec Qtr" xfId="5102" xr:uid="{00000000-0005-0000-0000-0000ED130000}"/>
    <cellStyle name="_MOR - Australia - EC - 12+0_By Country Detail 1Q10 041410pm FIN 18 revised per disc w Mary_BS_Separation_TaxResIndem_Q12412 tf_Guidance_Sheet1" xfId="5103" xr:uid="{00000000-0005-0000-0000-0000EE130000}"/>
    <cellStyle name="_MOR - Australia - EC - 12+0_By Country Detail 1Q10 041410pm FIN 18 revised per disc w Mary_BS_Separation_TaxResIndem_Q12412 tf_Guidance_Sheet2" xfId="5104" xr:uid="{00000000-0005-0000-0000-0000EF130000}"/>
    <cellStyle name="_MOR - Australia - EC - 12+0_By Country Detail 1Q10 041410pm FIN 18 revised per disc w Mary_BS_Separation_TaxResIndem_Q12412 tf_Guidance_Sheet3" xfId="5105" xr:uid="{00000000-0005-0000-0000-0000F0130000}"/>
    <cellStyle name="_MOR - Australia - EC - 12+0_By Country Detail 1Q10 041410pm FIN 18 revised per disc w Mary_BS_Separation_TaxResIndem_Q12412 tf_Guidance_Sheet4" xfId="5106" xr:uid="{00000000-0005-0000-0000-0000F1130000}"/>
    <cellStyle name="_MOR - Australia - EC - 12+0_By Country Detail 1Q10 041410pm FIN 18 revised per disc w Mary_BS_Separation_TaxResIndem_Q12412 tf_Restructuring &amp; Separation" xfId="5107" xr:uid="{00000000-0005-0000-0000-0000F2130000}"/>
    <cellStyle name="_MOR - Australia - EC - 12+0_By Country Detail 1Q10 041410pm FIN 18 revised per disc w Mary_BS_Separation_TaxResIndem_Q12412 tf_Restructuring &amp; Separation_Guidance" xfId="5108" xr:uid="{00000000-0005-0000-0000-0000F3130000}"/>
    <cellStyle name="_MOR - Australia - EC - 12+0_By Country Detail 1Q10 041410pm FIN 18 revised per disc w Mary_BS_Separation_TaxResIndem_Q12412 tf_Restructuring &amp; Separation_Guidance 2" xfId="5109" xr:uid="{00000000-0005-0000-0000-0000F4130000}"/>
    <cellStyle name="_MOR - Australia - EC - 12+0_By Country Detail 1Q10 041410pm FIN 18 revised per disc w Mary_BS_Separation_TaxResIndem_Q12412 tf_Restructuring &amp; Separation_Guidance_BS retrieve" xfId="5110" xr:uid="{00000000-0005-0000-0000-0000F5130000}"/>
    <cellStyle name="_MOR - Australia - EC - 12+0_By Country Detail 1Q10 041410pm FIN 18 revised per disc w Mary_BS_Separation_TaxResIndem_Q12412 tf_Restructuring &amp; Separation_Guidance_Free CF" xfId="5111" xr:uid="{00000000-0005-0000-0000-0000F6130000}"/>
    <cellStyle name="_MOR - Australia - EC - 12+0_By Country Detail 1Q10 041410pm FIN 18 revised per disc w Mary_BS_Separation_TaxResIndem_Q12412 tf_Restructuring &amp; Separation_Guidance_P&amp;L Rec Qtr" xfId="5112" xr:uid="{00000000-0005-0000-0000-0000F7130000}"/>
    <cellStyle name="_MOR - Australia - EC - 12+0_By Country Detail 1Q10 041410pm FIN 18 revised per disc w Mary_BS_Separation_TaxResIndem_Q12412 tf_Restructuring &amp; Separation_Guidance_Sheet1" xfId="5113" xr:uid="{00000000-0005-0000-0000-0000F8130000}"/>
    <cellStyle name="_MOR - Australia - EC - 12+0_By Country Detail 1Q10 041410pm FIN 18 revised per disc w Mary_BS_Separation_TaxResIndem_Q12412 tf_Restructuring &amp; Separation_Guidance_Sheet2" xfId="5114" xr:uid="{00000000-0005-0000-0000-0000F9130000}"/>
    <cellStyle name="_MOR - Australia - EC - 12+0_By Country Detail 1Q10 041410pm FIN 18 revised per disc w Mary_BS_Separation_TaxResIndem_Q12412 tf_Restructuring &amp; Separation_Guidance_Sheet3" xfId="5115" xr:uid="{00000000-0005-0000-0000-0000FA130000}"/>
    <cellStyle name="_MOR - Australia - EC - 12+0_By Country Detail 1Q10 041410pm FIN 18 revised per disc w Mary_BS_Separation_TaxResIndem_Q12412 tf_Restructuring &amp; Separation_Guidance_Sheet4" xfId="5116" xr:uid="{00000000-0005-0000-0000-0000FB130000}"/>
    <cellStyle name="_MOR - Australia - EC - 12+0_By Country Detail 1Q10 041410pm FIN 18 revised per disc w Mary_Guidance" xfId="5117" xr:uid="{00000000-0005-0000-0000-0000FC130000}"/>
    <cellStyle name="_MOR - Australia - EC - 12+0_By Country Detail 1Q10 041410pm FIN 18 revised per disc w Mary_Guidance 2" xfId="5118" xr:uid="{00000000-0005-0000-0000-0000FD130000}"/>
    <cellStyle name="_MOR - Australia - EC - 12+0_By Country Detail 1Q10 041410pm FIN 18 revised per disc w Mary_Guidance_BS retrieve" xfId="5119" xr:uid="{00000000-0005-0000-0000-0000FE130000}"/>
    <cellStyle name="_MOR - Australia - EC - 12+0_By Country Detail 1Q10 041410pm FIN 18 revised per disc w Mary_Guidance_Free CF" xfId="5120" xr:uid="{00000000-0005-0000-0000-0000FF130000}"/>
    <cellStyle name="_MOR - Australia - EC - 12+0_By Country Detail 1Q10 041410pm FIN 18 revised per disc w Mary_Guidance_P&amp;L Rec Qtr" xfId="5121" xr:uid="{00000000-0005-0000-0000-000000140000}"/>
    <cellStyle name="_MOR - Australia - EC - 12+0_By Country Detail 1Q10 041410pm FIN 18 revised per disc w Mary_Guidance_Sheet1" xfId="5122" xr:uid="{00000000-0005-0000-0000-000001140000}"/>
    <cellStyle name="_MOR - Australia - EC - 12+0_By Country Detail 1Q10 041410pm FIN 18 revised per disc w Mary_Guidance_Sheet2" xfId="5123" xr:uid="{00000000-0005-0000-0000-000002140000}"/>
    <cellStyle name="_MOR - Australia - EC - 12+0_By Country Detail 1Q10 041410pm FIN 18 revised per disc w Mary_Guidance_Sheet3" xfId="5124" xr:uid="{00000000-0005-0000-0000-000003140000}"/>
    <cellStyle name="_MOR - Australia - EC - 12+0_By Country Detail 1Q10 041410pm FIN 18 revised per disc w Mary_Guidance_Sheet4" xfId="5125" xr:uid="{00000000-0005-0000-0000-000004140000}"/>
    <cellStyle name="_MOR - Australia - EC - 12+0_By Country Detail 1Q10 041410pm FIN 18 revised per disc w Mary_II.8. Sep&amp;Discrete" xfId="5126" xr:uid="{00000000-0005-0000-0000-000005140000}"/>
    <cellStyle name="_MOR - Australia - EC - 12+0_By Country Detail 1Q10 041410pm FIN 18 revised per disc w Mary_II.8. Sep&amp;Discrete_Guidance" xfId="5127" xr:uid="{00000000-0005-0000-0000-000006140000}"/>
    <cellStyle name="_MOR - Australia - EC - 12+0_By Country Detail 1Q10 041410pm FIN 18 revised per disc w Mary_II.8. Sep&amp;Discrete_Guidance 2" xfId="5128" xr:uid="{00000000-0005-0000-0000-000007140000}"/>
    <cellStyle name="_MOR - Australia - EC - 12+0_By Country Detail 1Q10 041410pm FIN 18 revised per disc w Mary_II.8. Sep&amp;Discrete_Guidance_BS retrieve" xfId="5129" xr:uid="{00000000-0005-0000-0000-000008140000}"/>
    <cellStyle name="_MOR - Australia - EC - 12+0_By Country Detail 1Q10 041410pm FIN 18 revised per disc w Mary_II.8. Sep&amp;Discrete_Guidance_Free CF" xfId="5130" xr:uid="{00000000-0005-0000-0000-000009140000}"/>
    <cellStyle name="_MOR - Australia - EC - 12+0_By Country Detail 1Q10 041410pm FIN 18 revised per disc w Mary_II.8. Sep&amp;Discrete_Guidance_P&amp;L Rec Qtr" xfId="5131" xr:uid="{00000000-0005-0000-0000-00000A140000}"/>
    <cellStyle name="_MOR - Australia - EC - 12+0_By Country Detail 1Q10 041410pm FIN 18 revised per disc w Mary_II.8. Sep&amp;Discrete_Guidance_Sheet1" xfId="5132" xr:uid="{00000000-0005-0000-0000-00000B140000}"/>
    <cellStyle name="_MOR - Australia - EC - 12+0_By Country Detail 1Q10 041410pm FIN 18 revised per disc w Mary_II.8. Sep&amp;Discrete_Guidance_Sheet2" xfId="5133" xr:uid="{00000000-0005-0000-0000-00000C140000}"/>
    <cellStyle name="_MOR - Australia - EC - 12+0_By Country Detail 1Q10 041410pm FIN 18 revised per disc w Mary_II.8. Sep&amp;Discrete_Guidance_Sheet3" xfId="5134" xr:uid="{00000000-0005-0000-0000-00000D140000}"/>
    <cellStyle name="_MOR - Australia - EC - 12+0_By Country Detail 1Q10 041410pm FIN 18 revised per disc w Mary_II.8. Sep&amp;Discrete_Guidance_Sheet4" xfId="5135" xr:uid="{00000000-0005-0000-0000-00000E140000}"/>
    <cellStyle name="_MOR - Australia - EC - 12+0_By Country Detail 1Q10 041410pm FIN 18 revised per disc w Mary_Restructuring &amp; Separation" xfId="5136" xr:uid="{00000000-0005-0000-0000-00000F140000}"/>
    <cellStyle name="_MOR - Australia - EC - 12+0_By Country Detail 1Q10 041410pm FIN 18 revised per disc w Mary_Restructuring &amp; Separation_Guidance" xfId="5137" xr:uid="{00000000-0005-0000-0000-000010140000}"/>
    <cellStyle name="_MOR - Australia - EC - 12+0_By Country Detail 1Q10 041410pm FIN 18 revised per disc w Mary_Restructuring &amp; Separation_Guidance 2" xfId="5138" xr:uid="{00000000-0005-0000-0000-000011140000}"/>
    <cellStyle name="_MOR - Australia - EC - 12+0_By Country Detail 1Q10 041410pm FIN 18 revised per disc w Mary_Restructuring &amp; Separation_Guidance_BS retrieve" xfId="5139" xr:uid="{00000000-0005-0000-0000-000012140000}"/>
    <cellStyle name="_MOR - Australia - EC - 12+0_By Country Detail 1Q10 041410pm FIN 18 revised per disc w Mary_Restructuring &amp; Separation_Guidance_Free CF" xfId="5140" xr:uid="{00000000-0005-0000-0000-000013140000}"/>
    <cellStyle name="_MOR - Australia - EC - 12+0_By Country Detail 1Q10 041410pm FIN 18 revised per disc w Mary_Restructuring &amp; Separation_Guidance_P&amp;L Rec Qtr" xfId="5141" xr:uid="{00000000-0005-0000-0000-000014140000}"/>
    <cellStyle name="_MOR - Australia - EC - 12+0_By Country Detail 1Q10 041410pm FIN 18 revised per disc w Mary_Restructuring &amp; Separation_Guidance_Sheet1" xfId="5142" xr:uid="{00000000-0005-0000-0000-000015140000}"/>
    <cellStyle name="_MOR - Australia - EC - 12+0_By Country Detail 1Q10 041410pm FIN 18 revised per disc w Mary_Restructuring &amp; Separation_Guidance_Sheet2" xfId="5143" xr:uid="{00000000-0005-0000-0000-000016140000}"/>
    <cellStyle name="_MOR - Australia - EC - 12+0_By Country Detail 1Q10 041410pm FIN 18 revised per disc w Mary_Restructuring &amp; Separation_Guidance_Sheet3" xfId="5144" xr:uid="{00000000-0005-0000-0000-000017140000}"/>
    <cellStyle name="_MOR - Australia - EC - 12+0_By Country Detail 1Q10 041410pm FIN 18 revised per disc w Mary_Restructuring &amp; Separation_Guidance_Sheet4" xfId="5145" xr:uid="{00000000-0005-0000-0000-000018140000}"/>
    <cellStyle name="_MOR - Australia - EC - 12+0_Guidance" xfId="5146" xr:uid="{00000000-0005-0000-0000-000019140000}"/>
    <cellStyle name="_MOR - Australia - EC - 12+0_Guidance 2" xfId="5147" xr:uid="{00000000-0005-0000-0000-00001A140000}"/>
    <cellStyle name="_MOR - Australia - EC - 12+0_Guidance_BS retrieve" xfId="5148" xr:uid="{00000000-0005-0000-0000-00001B140000}"/>
    <cellStyle name="_MOR - Australia - EC - 12+0_Guidance_Free CF" xfId="5149" xr:uid="{00000000-0005-0000-0000-00001C140000}"/>
    <cellStyle name="_MOR - Australia - EC - 12+0_Guidance_P&amp;L Rec Qtr" xfId="5150" xr:uid="{00000000-0005-0000-0000-00001D140000}"/>
    <cellStyle name="_MOR - Australia - EC - 12+0_Guidance_Sheet1" xfId="5151" xr:uid="{00000000-0005-0000-0000-00001E140000}"/>
    <cellStyle name="_MOR - Australia - EC - 12+0_Guidance_Sheet2" xfId="5152" xr:uid="{00000000-0005-0000-0000-00001F140000}"/>
    <cellStyle name="_MOR - Australia - EC - 12+0_Guidance_Sheet3" xfId="5153" xr:uid="{00000000-0005-0000-0000-000020140000}"/>
    <cellStyle name="_MOR - Australia - EC - 12+0_Guidance_Sheet4" xfId="5154" xr:uid="{00000000-0005-0000-0000-000021140000}"/>
    <cellStyle name="_MOR - Australia - EC - 12+0_II.4. RawMaterials" xfId="5155" xr:uid="{00000000-0005-0000-0000-000022140000}"/>
    <cellStyle name="_MOR - Australia - EC - 12+0_II.4. RawMaterials 2" xfId="5156" xr:uid="{00000000-0005-0000-0000-000023140000}"/>
    <cellStyle name="_MOR - Australia - EC - 12+0_II.4. RawMaterials_BS retrieve" xfId="5157" xr:uid="{00000000-0005-0000-0000-000024140000}"/>
    <cellStyle name="_MOR - Australia - EC - 12+0_II.4. RawMaterials_Free CF" xfId="5158" xr:uid="{00000000-0005-0000-0000-000025140000}"/>
    <cellStyle name="_MOR - Australia - EC - 12+0_II.4. RawMaterials_P&amp;L Rec Qtr" xfId="5159" xr:uid="{00000000-0005-0000-0000-000026140000}"/>
    <cellStyle name="_MOR - Australia - EC - 12+0_II.4. RawMaterials_Sheet1" xfId="5160" xr:uid="{00000000-0005-0000-0000-000027140000}"/>
    <cellStyle name="_MOR - Australia - EC - 12+0_II.4. RawMaterials_Sheet2" xfId="5161" xr:uid="{00000000-0005-0000-0000-000028140000}"/>
    <cellStyle name="_MOR - Australia - EC - 12+0_II.4. RawMaterials_Sheet3" xfId="5162" xr:uid="{00000000-0005-0000-0000-000029140000}"/>
    <cellStyle name="_MOR - Australia - EC - 12+0_II.4. RawMaterials_Sheet4" xfId="5163" xr:uid="{00000000-0005-0000-0000-00002A140000}"/>
    <cellStyle name="_MOR - Australia - EC - 12+0_II.5. RawMaterials" xfId="5164" xr:uid="{00000000-0005-0000-0000-00002B140000}"/>
    <cellStyle name="_MOR - Australia - EC - 12+0_II.5. RawMaterials 2" xfId="5165" xr:uid="{00000000-0005-0000-0000-00002C140000}"/>
    <cellStyle name="_MOR - Australia - EC - 12+0_II.5. RawMaterials_BS retrieve" xfId="5166" xr:uid="{00000000-0005-0000-0000-00002D140000}"/>
    <cellStyle name="_MOR - Australia - EC - 12+0_II.5. RawMaterials_Free CF" xfId="5167" xr:uid="{00000000-0005-0000-0000-00002E140000}"/>
    <cellStyle name="_MOR - Australia - EC - 12+0_II.5. RawMaterials_Guidance" xfId="5168" xr:uid="{00000000-0005-0000-0000-00002F140000}"/>
    <cellStyle name="_MOR - Australia - EC - 12+0_II.5. RawMaterials_Guidance 2" xfId="5169" xr:uid="{00000000-0005-0000-0000-000030140000}"/>
    <cellStyle name="_MOR - Australia - EC - 12+0_II.5. RawMaterials_Guidance_BS retrieve" xfId="5170" xr:uid="{00000000-0005-0000-0000-000031140000}"/>
    <cellStyle name="_MOR - Australia - EC - 12+0_II.5. RawMaterials_Guidance_Free CF" xfId="5171" xr:uid="{00000000-0005-0000-0000-000032140000}"/>
    <cellStyle name="_MOR - Australia - EC - 12+0_II.5. RawMaterials_Guidance_P&amp;L Rec Qtr" xfId="5172" xr:uid="{00000000-0005-0000-0000-000033140000}"/>
    <cellStyle name="_MOR - Australia - EC - 12+0_II.5. RawMaterials_Guidance_Sheet1" xfId="5173" xr:uid="{00000000-0005-0000-0000-000034140000}"/>
    <cellStyle name="_MOR - Australia - EC - 12+0_II.5. RawMaterials_Guidance_Sheet2" xfId="5174" xr:uid="{00000000-0005-0000-0000-000035140000}"/>
    <cellStyle name="_MOR - Australia - EC - 12+0_II.5. RawMaterials_Guidance_Sheet3" xfId="5175" xr:uid="{00000000-0005-0000-0000-000036140000}"/>
    <cellStyle name="_MOR - Australia - EC - 12+0_II.5. RawMaterials_Guidance_Sheet4" xfId="5176" xr:uid="{00000000-0005-0000-0000-000037140000}"/>
    <cellStyle name="_MOR - Australia - EC - 12+0_II.5. RawMaterials_P&amp;L Rec Qtr" xfId="5177" xr:uid="{00000000-0005-0000-0000-000038140000}"/>
    <cellStyle name="_MOR - Australia - EC - 12+0_II.5. RawMaterials_Sheet1" xfId="5178" xr:uid="{00000000-0005-0000-0000-000039140000}"/>
    <cellStyle name="_MOR - Australia - EC - 12+0_II.5. RawMaterials_Sheet2" xfId="5179" xr:uid="{00000000-0005-0000-0000-00003A140000}"/>
    <cellStyle name="_MOR - Australia - EC - 12+0_II.5. RawMaterials_Sheet3" xfId="5180" xr:uid="{00000000-0005-0000-0000-00003B140000}"/>
    <cellStyle name="_MOR - Australia - EC - 12+0_II.5. RawMaterials_Sheet4" xfId="5181" xr:uid="{00000000-0005-0000-0000-00003C140000}"/>
    <cellStyle name="_MOR - Australia - EC - 12+0_II.5. RM Volume Sensitivities" xfId="5182" xr:uid="{00000000-0005-0000-0000-00003D140000}"/>
    <cellStyle name="_MOR - Australia - EC - 12+0_II.5. RM Volume Sensitivities 2" xfId="5183" xr:uid="{00000000-0005-0000-0000-00003E140000}"/>
    <cellStyle name="_MOR - Australia - EC - 12+0_II.5. RM Volume Sensitivities_BS retrieve" xfId="5184" xr:uid="{00000000-0005-0000-0000-00003F140000}"/>
    <cellStyle name="_MOR - Australia - EC - 12+0_II.5. RM Volume Sensitivities_Free CF" xfId="5185" xr:uid="{00000000-0005-0000-0000-000040140000}"/>
    <cellStyle name="_MOR - Australia - EC - 12+0_II.5. RM Volume Sensitivities_P&amp;L Rec Qtr" xfId="5186" xr:uid="{00000000-0005-0000-0000-000041140000}"/>
    <cellStyle name="_MOR - Australia - EC - 12+0_II.5. RM Volume Sensitivities_Sheet1" xfId="5187" xr:uid="{00000000-0005-0000-0000-000042140000}"/>
    <cellStyle name="_MOR - Australia - EC - 12+0_II.5. RM Volume Sensitivities_Sheet2" xfId="5188" xr:uid="{00000000-0005-0000-0000-000043140000}"/>
    <cellStyle name="_MOR - Australia - EC - 12+0_II.5. RM Volume Sensitivities_Sheet3" xfId="5189" xr:uid="{00000000-0005-0000-0000-000044140000}"/>
    <cellStyle name="_MOR - Australia - EC - 12+0_II.5. RM Volume Sensitivities_Sheet4" xfId="5190" xr:uid="{00000000-0005-0000-0000-000045140000}"/>
    <cellStyle name="_MOR - Australia - EC - 12+0_II.8. Sep&amp;Discrete" xfId="5191" xr:uid="{00000000-0005-0000-0000-000046140000}"/>
    <cellStyle name="_MOR - Australia - EC - 12+0_II.8. Sep&amp;Discrete_Guidance" xfId="5192" xr:uid="{00000000-0005-0000-0000-000047140000}"/>
    <cellStyle name="_MOR - Australia - EC - 12+0_II.8. Sep&amp;Discrete_Guidance 2" xfId="5193" xr:uid="{00000000-0005-0000-0000-000048140000}"/>
    <cellStyle name="_MOR - Australia - EC - 12+0_II.8. Sep&amp;Discrete_Guidance_BS retrieve" xfId="5194" xr:uid="{00000000-0005-0000-0000-000049140000}"/>
    <cellStyle name="_MOR - Australia - EC - 12+0_II.8. Sep&amp;Discrete_Guidance_Free CF" xfId="5195" xr:uid="{00000000-0005-0000-0000-00004A140000}"/>
    <cellStyle name="_MOR - Australia - EC - 12+0_II.8. Sep&amp;Discrete_Guidance_P&amp;L Rec Qtr" xfId="5196" xr:uid="{00000000-0005-0000-0000-00004B140000}"/>
    <cellStyle name="_MOR - Australia - EC - 12+0_II.8. Sep&amp;Discrete_Guidance_Sheet1" xfId="5197" xr:uid="{00000000-0005-0000-0000-00004C140000}"/>
    <cellStyle name="_MOR - Australia - EC - 12+0_II.8. Sep&amp;Discrete_Guidance_Sheet2" xfId="5198" xr:uid="{00000000-0005-0000-0000-00004D140000}"/>
    <cellStyle name="_MOR - Australia - EC - 12+0_II.8. Sep&amp;Discrete_Guidance_Sheet3" xfId="5199" xr:uid="{00000000-0005-0000-0000-00004E140000}"/>
    <cellStyle name="_MOR - Australia - EC - 12+0_II.8. Sep&amp;Discrete_Guidance_Sheet4" xfId="5200" xr:uid="{00000000-0005-0000-0000-00004F140000}"/>
    <cellStyle name="_MOR - Australia - EC - 12+0_Restructuring &amp; Separation" xfId="5201" xr:uid="{00000000-0005-0000-0000-000050140000}"/>
    <cellStyle name="_MOR - Australia - EC - 12+0_Restructuring &amp; Separation_Guidance" xfId="5202" xr:uid="{00000000-0005-0000-0000-000051140000}"/>
    <cellStyle name="_MOR - Australia - EC - 12+0_Restructuring &amp; Separation_Guidance 2" xfId="5203" xr:uid="{00000000-0005-0000-0000-000052140000}"/>
    <cellStyle name="_MOR - Australia - EC - 12+0_Restructuring &amp; Separation_Guidance_BS retrieve" xfId="5204" xr:uid="{00000000-0005-0000-0000-000053140000}"/>
    <cellStyle name="_MOR - Australia - EC - 12+0_Restructuring &amp; Separation_Guidance_Free CF" xfId="5205" xr:uid="{00000000-0005-0000-0000-000054140000}"/>
    <cellStyle name="_MOR - Australia - EC - 12+0_Restructuring &amp; Separation_Guidance_P&amp;L Rec Qtr" xfId="5206" xr:uid="{00000000-0005-0000-0000-000055140000}"/>
    <cellStyle name="_MOR - Australia - EC - 12+0_Restructuring &amp; Separation_Guidance_Sheet1" xfId="5207" xr:uid="{00000000-0005-0000-0000-000056140000}"/>
    <cellStyle name="_MOR - Australia - EC - 12+0_Restructuring &amp; Separation_Guidance_Sheet2" xfId="5208" xr:uid="{00000000-0005-0000-0000-000057140000}"/>
    <cellStyle name="_MOR - Australia - EC - 12+0_Restructuring &amp; Separation_Guidance_Sheet3" xfId="5209" xr:uid="{00000000-0005-0000-0000-000058140000}"/>
    <cellStyle name="_MOR - Australia - EC - 12+0_Restructuring &amp; Separation_Guidance_Sheet4" xfId="5210" xr:uid="{00000000-0005-0000-0000-000059140000}"/>
    <cellStyle name="_MOR - Australia - EC - 12+0_Restructuring_Separation_TAX_JuneFC2010 tf" xfId="5211" xr:uid="{00000000-0005-0000-0000-00005A140000}"/>
    <cellStyle name="_MOR - Australia - EC - 12+0_Restructuring_Separation_TAX_JuneFC2010 tf_BS_Separation_TaxResIndem_Q12412 tf" xfId="5212" xr:uid="{00000000-0005-0000-0000-00005B140000}"/>
    <cellStyle name="_MOR - Australia - EC - 12+0_Restructuring_Separation_TAX_JuneFC2010 tf_BS_Separation_TaxResIndem_Q12412 tf_Guidance" xfId="5213" xr:uid="{00000000-0005-0000-0000-00005C140000}"/>
    <cellStyle name="_MOR - Australia - EC - 12+0_Restructuring_Separation_TAX_JuneFC2010 tf_BS_Separation_TaxResIndem_Q12412 tf_Guidance 2" xfId="5214" xr:uid="{00000000-0005-0000-0000-00005D140000}"/>
    <cellStyle name="_MOR - Australia - EC - 12+0_Restructuring_Separation_TAX_JuneFC2010 tf_BS_Separation_TaxResIndem_Q12412 tf_Guidance_BS retrieve" xfId="5215" xr:uid="{00000000-0005-0000-0000-00005E140000}"/>
    <cellStyle name="_MOR - Australia - EC - 12+0_Restructuring_Separation_TAX_JuneFC2010 tf_BS_Separation_TaxResIndem_Q12412 tf_Guidance_Free CF" xfId="5216" xr:uid="{00000000-0005-0000-0000-00005F140000}"/>
    <cellStyle name="_MOR - Australia - EC - 12+0_Restructuring_Separation_TAX_JuneFC2010 tf_BS_Separation_TaxResIndem_Q12412 tf_Guidance_P&amp;L Rec Qtr" xfId="5217" xr:uid="{00000000-0005-0000-0000-000060140000}"/>
    <cellStyle name="_MOR - Australia - EC - 12+0_Restructuring_Separation_TAX_JuneFC2010 tf_BS_Separation_TaxResIndem_Q12412 tf_Guidance_Sheet1" xfId="5218" xr:uid="{00000000-0005-0000-0000-000061140000}"/>
    <cellStyle name="_MOR - Australia - EC - 12+0_Restructuring_Separation_TAX_JuneFC2010 tf_BS_Separation_TaxResIndem_Q12412 tf_Guidance_Sheet2" xfId="5219" xr:uid="{00000000-0005-0000-0000-000062140000}"/>
    <cellStyle name="_MOR - Australia - EC - 12+0_Restructuring_Separation_TAX_JuneFC2010 tf_BS_Separation_TaxResIndem_Q12412 tf_Guidance_Sheet3" xfId="5220" xr:uid="{00000000-0005-0000-0000-000063140000}"/>
    <cellStyle name="_MOR - Australia - EC - 12+0_Restructuring_Separation_TAX_JuneFC2010 tf_BS_Separation_TaxResIndem_Q12412 tf_Guidance_Sheet4" xfId="5221" xr:uid="{00000000-0005-0000-0000-000064140000}"/>
    <cellStyle name="_MOR - Australia - EC - 12+0_Restructuring_Separation_TAX_JuneFC2010 tf_BS_Separation_TaxResIndem_Q12412 tf_Restructuring &amp; Separation" xfId="5222" xr:uid="{00000000-0005-0000-0000-000065140000}"/>
    <cellStyle name="_MOR - Australia - EC - 12+0_Restructuring_Separation_TAX_JuneFC2010 tf_BS_Separation_TaxResIndem_Q12412 tf_Restructuring &amp; Separation_Guidance" xfId="5223" xr:uid="{00000000-0005-0000-0000-000066140000}"/>
    <cellStyle name="_MOR - Australia - EC - 12+0_Restructuring_Separation_TAX_JuneFC2010 tf_BS_Separation_TaxResIndem_Q12412 tf_Restructuring &amp; Separation_Guidance 2" xfId="5224" xr:uid="{00000000-0005-0000-0000-000067140000}"/>
    <cellStyle name="_MOR - Australia - EC - 12+0_Restructuring_Separation_TAX_JuneFC2010 tf_BS_Separation_TaxResIndem_Q12412 tf_Restructuring &amp; Separation_Guidance_BS retrieve" xfId="5225" xr:uid="{00000000-0005-0000-0000-000068140000}"/>
    <cellStyle name="_MOR - Australia - EC - 12+0_Restructuring_Separation_TAX_JuneFC2010 tf_BS_Separation_TaxResIndem_Q12412 tf_Restructuring &amp; Separation_Guidance_Free CF" xfId="5226" xr:uid="{00000000-0005-0000-0000-000069140000}"/>
    <cellStyle name="_MOR - Australia - EC - 12+0_Restructuring_Separation_TAX_JuneFC2010 tf_BS_Separation_TaxResIndem_Q12412 tf_Restructuring &amp; Separation_Guidance_P&amp;L Rec Qtr" xfId="5227" xr:uid="{00000000-0005-0000-0000-00006A140000}"/>
    <cellStyle name="_MOR - Australia - EC - 12+0_Restructuring_Separation_TAX_JuneFC2010 tf_BS_Separation_TaxResIndem_Q12412 tf_Restructuring &amp; Separation_Guidance_Sheet1" xfId="5228" xr:uid="{00000000-0005-0000-0000-00006B140000}"/>
    <cellStyle name="_MOR - Australia - EC - 12+0_Restructuring_Separation_TAX_JuneFC2010 tf_BS_Separation_TaxResIndem_Q12412 tf_Restructuring &amp; Separation_Guidance_Sheet2" xfId="5229" xr:uid="{00000000-0005-0000-0000-00006C140000}"/>
    <cellStyle name="_MOR - Australia - EC - 12+0_Restructuring_Separation_TAX_JuneFC2010 tf_BS_Separation_TaxResIndem_Q12412 tf_Restructuring &amp; Separation_Guidance_Sheet3" xfId="5230" xr:uid="{00000000-0005-0000-0000-00006D140000}"/>
    <cellStyle name="_MOR - Australia - EC - 12+0_Restructuring_Separation_TAX_JuneFC2010 tf_BS_Separation_TaxResIndem_Q12412 tf_Restructuring &amp; Separation_Guidance_Sheet4" xfId="5231" xr:uid="{00000000-0005-0000-0000-00006E140000}"/>
    <cellStyle name="_MOR - Australia - EC - 12+0_Restructuring_Separation_TAX_JuneFC2010 tf_Guidance" xfId="5232" xr:uid="{00000000-0005-0000-0000-00006F140000}"/>
    <cellStyle name="_MOR - Australia - EC - 12+0_Restructuring_Separation_TAX_JuneFC2010 tf_Guidance 2" xfId="5233" xr:uid="{00000000-0005-0000-0000-000070140000}"/>
    <cellStyle name="_MOR - Australia - EC - 12+0_Restructuring_Separation_TAX_JuneFC2010 tf_Guidance_BS retrieve" xfId="5234" xr:uid="{00000000-0005-0000-0000-000071140000}"/>
    <cellStyle name="_MOR - Australia - EC - 12+0_Restructuring_Separation_TAX_JuneFC2010 tf_Guidance_Free CF" xfId="5235" xr:uid="{00000000-0005-0000-0000-000072140000}"/>
    <cellStyle name="_MOR - Australia - EC - 12+0_Restructuring_Separation_TAX_JuneFC2010 tf_Guidance_P&amp;L Rec Qtr" xfId="5236" xr:uid="{00000000-0005-0000-0000-000073140000}"/>
    <cellStyle name="_MOR - Australia - EC - 12+0_Restructuring_Separation_TAX_JuneFC2010 tf_Guidance_Sheet1" xfId="5237" xr:uid="{00000000-0005-0000-0000-000074140000}"/>
    <cellStyle name="_MOR - Australia - EC - 12+0_Restructuring_Separation_TAX_JuneFC2010 tf_Guidance_Sheet2" xfId="5238" xr:uid="{00000000-0005-0000-0000-000075140000}"/>
    <cellStyle name="_MOR - Australia - EC - 12+0_Restructuring_Separation_TAX_JuneFC2010 tf_Guidance_Sheet3" xfId="5239" xr:uid="{00000000-0005-0000-0000-000076140000}"/>
    <cellStyle name="_MOR - Australia - EC - 12+0_Restructuring_Separation_TAX_JuneFC2010 tf_Guidance_Sheet4" xfId="5240" xr:uid="{00000000-0005-0000-0000-000077140000}"/>
    <cellStyle name="_MOR - Australia - EC - 12+0_Restructuring_Separation_TAX_JuneFC2010 tf_II.8. Sep&amp;Discrete" xfId="5241" xr:uid="{00000000-0005-0000-0000-000078140000}"/>
    <cellStyle name="_MOR - Australia - EC - 12+0_Restructuring_Separation_TAX_JuneFC2010 tf_II.8. Sep&amp;Discrete_Guidance" xfId="5242" xr:uid="{00000000-0005-0000-0000-000079140000}"/>
    <cellStyle name="_MOR - Australia - EC - 12+0_Restructuring_Separation_TAX_JuneFC2010 tf_II.8. Sep&amp;Discrete_Guidance 2" xfId="5243" xr:uid="{00000000-0005-0000-0000-00007A140000}"/>
    <cellStyle name="_MOR - Australia - EC - 12+0_Restructuring_Separation_TAX_JuneFC2010 tf_II.8. Sep&amp;Discrete_Guidance_BS retrieve" xfId="5244" xr:uid="{00000000-0005-0000-0000-00007B140000}"/>
    <cellStyle name="_MOR - Australia - EC - 12+0_Restructuring_Separation_TAX_JuneFC2010 tf_II.8. Sep&amp;Discrete_Guidance_Free CF" xfId="5245" xr:uid="{00000000-0005-0000-0000-00007C140000}"/>
    <cellStyle name="_MOR - Australia - EC - 12+0_Restructuring_Separation_TAX_JuneFC2010 tf_II.8. Sep&amp;Discrete_Guidance_P&amp;L Rec Qtr" xfId="5246" xr:uid="{00000000-0005-0000-0000-00007D140000}"/>
    <cellStyle name="_MOR - Australia - EC - 12+0_Restructuring_Separation_TAX_JuneFC2010 tf_II.8. Sep&amp;Discrete_Guidance_Sheet1" xfId="5247" xr:uid="{00000000-0005-0000-0000-00007E140000}"/>
    <cellStyle name="_MOR - Australia - EC - 12+0_Restructuring_Separation_TAX_JuneFC2010 tf_II.8. Sep&amp;Discrete_Guidance_Sheet2" xfId="5248" xr:uid="{00000000-0005-0000-0000-00007F140000}"/>
    <cellStyle name="_MOR - Australia - EC - 12+0_Restructuring_Separation_TAX_JuneFC2010 tf_II.8. Sep&amp;Discrete_Guidance_Sheet3" xfId="5249" xr:uid="{00000000-0005-0000-0000-000080140000}"/>
    <cellStyle name="_MOR - Australia - EC - 12+0_Restructuring_Separation_TAX_JuneFC2010 tf_II.8. Sep&amp;Discrete_Guidance_Sheet4" xfId="5250" xr:uid="{00000000-0005-0000-0000-000081140000}"/>
    <cellStyle name="_MOR - Australia - EC - 12+0_Restructuring_Separation_TAX_JuneFC2010 tf_Restructuring &amp; Separation" xfId="5251" xr:uid="{00000000-0005-0000-0000-000082140000}"/>
    <cellStyle name="_MOR - Australia - EC - 12+0_Restructuring_Separation_TAX_JuneFC2010 tf_Restructuring &amp; Separation_Guidance" xfId="5252" xr:uid="{00000000-0005-0000-0000-000083140000}"/>
    <cellStyle name="_MOR - Australia - EC - 12+0_Restructuring_Separation_TAX_JuneFC2010 tf_Restructuring &amp; Separation_Guidance 2" xfId="5253" xr:uid="{00000000-0005-0000-0000-000084140000}"/>
    <cellStyle name="_MOR - Australia - EC - 12+0_Restructuring_Separation_TAX_JuneFC2010 tf_Restructuring &amp; Separation_Guidance_BS retrieve" xfId="5254" xr:uid="{00000000-0005-0000-0000-000085140000}"/>
    <cellStyle name="_MOR - Australia - EC - 12+0_Restructuring_Separation_TAX_JuneFC2010 tf_Restructuring &amp; Separation_Guidance_Free CF" xfId="5255" xr:uid="{00000000-0005-0000-0000-000086140000}"/>
    <cellStyle name="_MOR - Australia - EC - 12+0_Restructuring_Separation_TAX_JuneFC2010 tf_Restructuring &amp; Separation_Guidance_P&amp;L Rec Qtr" xfId="5256" xr:uid="{00000000-0005-0000-0000-000087140000}"/>
    <cellStyle name="_MOR - Australia - EC - 12+0_Restructuring_Separation_TAX_JuneFC2010 tf_Restructuring &amp; Separation_Guidance_Sheet1" xfId="5257" xr:uid="{00000000-0005-0000-0000-000088140000}"/>
    <cellStyle name="_MOR - Australia - EC - 12+0_Restructuring_Separation_TAX_JuneFC2010 tf_Restructuring &amp; Separation_Guidance_Sheet2" xfId="5258" xr:uid="{00000000-0005-0000-0000-000089140000}"/>
    <cellStyle name="_MOR - Australia - EC - 12+0_Restructuring_Separation_TAX_JuneFC2010 tf_Restructuring &amp; Separation_Guidance_Sheet3" xfId="5259" xr:uid="{00000000-0005-0000-0000-00008A140000}"/>
    <cellStyle name="_MOR - Australia - EC - 12+0_Restructuring_Separation_TAX_JuneFC2010 tf_Restructuring &amp; Separation_Guidance_Sheet4" xfId="5260" xr:uid="{00000000-0005-0000-0000-00008B140000}"/>
    <cellStyle name="_MOR - BDWY - 1+11" xfId="5261" xr:uid="{00000000-0005-0000-0000-00008C140000}"/>
    <cellStyle name="_MOR - BDWY - 1+11_~0039877" xfId="5262" xr:uid="{00000000-0005-0000-0000-00008D140000}"/>
    <cellStyle name="_MOR - BDWY - 1+11_~0039877_BS_Separation_TaxResIndem_Q12412 tf" xfId="5263" xr:uid="{00000000-0005-0000-0000-00008E140000}"/>
    <cellStyle name="_MOR - BDWY - 1+11_~0039877_BS_Separation_TaxResIndem_Q12412 tf_Guidance" xfId="5264" xr:uid="{00000000-0005-0000-0000-00008F140000}"/>
    <cellStyle name="_MOR - BDWY - 1+11_~0039877_BS_Separation_TaxResIndem_Q12412 tf_Guidance 2" xfId="5265" xr:uid="{00000000-0005-0000-0000-000090140000}"/>
    <cellStyle name="_MOR - BDWY - 1+11_~0039877_BS_Separation_TaxResIndem_Q12412 tf_Guidance_BS retrieve" xfId="5266" xr:uid="{00000000-0005-0000-0000-000091140000}"/>
    <cellStyle name="_MOR - BDWY - 1+11_~0039877_BS_Separation_TaxResIndem_Q12412 tf_Guidance_Free CF" xfId="5267" xr:uid="{00000000-0005-0000-0000-000092140000}"/>
    <cellStyle name="_MOR - BDWY - 1+11_~0039877_BS_Separation_TaxResIndem_Q12412 tf_Guidance_P&amp;L Rec Qtr" xfId="5268" xr:uid="{00000000-0005-0000-0000-000093140000}"/>
    <cellStyle name="_MOR - BDWY - 1+11_~0039877_BS_Separation_TaxResIndem_Q12412 tf_Guidance_Sheet1" xfId="5269" xr:uid="{00000000-0005-0000-0000-000094140000}"/>
    <cellStyle name="_MOR - BDWY - 1+11_~0039877_BS_Separation_TaxResIndem_Q12412 tf_Guidance_Sheet2" xfId="5270" xr:uid="{00000000-0005-0000-0000-000095140000}"/>
    <cellStyle name="_MOR - BDWY - 1+11_~0039877_BS_Separation_TaxResIndem_Q12412 tf_Guidance_Sheet3" xfId="5271" xr:uid="{00000000-0005-0000-0000-000096140000}"/>
    <cellStyle name="_MOR - BDWY - 1+11_~0039877_BS_Separation_TaxResIndem_Q12412 tf_Guidance_Sheet4" xfId="5272" xr:uid="{00000000-0005-0000-0000-000097140000}"/>
    <cellStyle name="_MOR - BDWY - 1+11_~0039877_BS_Separation_TaxResIndem_Q12412 tf_Restructuring &amp; Separation" xfId="5273" xr:uid="{00000000-0005-0000-0000-000098140000}"/>
    <cellStyle name="_MOR - BDWY - 1+11_~0039877_BS_Separation_TaxResIndem_Q12412 tf_Restructuring &amp; Separation_Guidance" xfId="5274" xr:uid="{00000000-0005-0000-0000-000099140000}"/>
    <cellStyle name="_MOR - BDWY - 1+11_~0039877_BS_Separation_TaxResIndem_Q12412 tf_Restructuring &amp; Separation_Guidance 2" xfId="5275" xr:uid="{00000000-0005-0000-0000-00009A140000}"/>
    <cellStyle name="_MOR - BDWY - 1+11_~0039877_BS_Separation_TaxResIndem_Q12412 tf_Restructuring &amp; Separation_Guidance_BS retrieve" xfId="5276" xr:uid="{00000000-0005-0000-0000-00009B140000}"/>
    <cellStyle name="_MOR - BDWY - 1+11_~0039877_BS_Separation_TaxResIndem_Q12412 tf_Restructuring &amp; Separation_Guidance_Free CF" xfId="5277" xr:uid="{00000000-0005-0000-0000-00009C140000}"/>
    <cellStyle name="_MOR - BDWY - 1+11_~0039877_BS_Separation_TaxResIndem_Q12412 tf_Restructuring &amp; Separation_Guidance_P&amp;L Rec Qtr" xfId="5278" xr:uid="{00000000-0005-0000-0000-00009D140000}"/>
    <cellStyle name="_MOR - BDWY - 1+11_~0039877_BS_Separation_TaxResIndem_Q12412 tf_Restructuring &amp; Separation_Guidance_Sheet1" xfId="5279" xr:uid="{00000000-0005-0000-0000-00009E140000}"/>
    <cellStyle name="_MOR - BDWY - 1+11_~0039877_BS_Separation_TaxResIndem_Q12412 tf_Restructuring &amp; Separation_Guidance_Sheet2" xfId="5280" xr:uid="{00000000-0005-0000-0000-00009F140000}"/>
    <cellStyle name="_MOR - BDWY - 1+11_~0039877_BS_Separation_TaxResIndem_Q12412 tf_Restructuring &amp; Separation_Guidance_Sheet3" xfId="5281" xr:uid="{00000000-0005-0000-0000-0000A0140000}"/>
    <cellStyle name="_MOR - BDWY - 1+11_~0039877_BS_Separation_TaxResIndem_Q12412 tf_Restructuring &amp; Separation_Guidance_Sheet4" xfId="5282" xr:uid="{00000000-0005-0000-0000-0000A1140000}"/>
    <cellStyle name="_MOR - BDWY - 1+11_~0039877_By Country Detail 1Q10 041410pm FIN 18 revised per disc w Mary" xfId="5283" xr:uid="{00000000-0005-0000-0000-0000A2140000}"/>
    <cellStyle name="_MOR - BDWY - 1+11_~0039877_By Country Detail 1Q10 041410pm FIN 18 revised per disc w Mary_BS_Separation_TaxResIndem_Q12412 tf" xfId="5284" xr:uid="{00000000-0005-0000-0000-0000A3140000}"/>
    <cellStyle name="_MOR - BDWY - 1+11_~0039877_By Country Detail 1Q10 041410pm FIN 18 revised per disc w Mary_BS_Separation_TaxResIndem_Q12412 tf_Guidance" xfId="5285" xr:uid="{00000000-0005-0000-0000-0000A4140000}"/>
    <cellStyle name="_MOR - BDWY - 1+11_~0039877_By Country Detail 1Q10 041410pm FIN 18 revised per disc w Mary_BS_Separation_TaxResIndem_Q12412 tf_Guidance 2" xfId="5286" xr:uid="{00000000-0005-0000-0000-0000A5140000}"/>
    <cellStyle name="_MOR - BDWY - 1+11_~0039877_By Country Detail 1Q10 041410pm FIN 18 revised per disc w Mary_BS_Separation_TaxResIndem_Q12412 tf_Guidance_BS retrieve" xfId="5287" xr:uid="{00000000-0005-0000-0000-0000A6140000}"/>
    <cellStyle name="_MOR - BDWY - 1+11_~0039877_By Country Detail 1Q10 041410pm FIN 18 revised per disc w Mary_BS_Separation_TaxResIndem_Q12412 tf_Guidance_Free CF" xfId="5288" xr:uid="{00000000-0005-0000-0000-0000A7140000}"/>
    <cellStyle name="_MOR - BDWY - 1+11_~0039877_By Country Detail 1Q10 041410pm FIN 18 revised per disc w Mary_BS_Separation_TaxResIndem_Q12412 tf_Guidance_P&amp;L Rec Qtr" xfId="5289" xr:uid="{00000000-0005-0000-0000-0000A8140000}"/>
    <cellStyle name="_MOR - BDWY - 1+11_~0039877_By Country Detail 1Q10 041410pm FIN 18 revised per disc w Mary_BS_Separation_TaxResIndem_Q12412 tf_Guidance_Sheet1" xfId="5290" xr:uid="{00000000-0005-0000-0000-0000A9140000}"/>
    <cellStyle name="_MOR - BDWY - 1+11_~0039877_By Country Detail 1Q10 041410pm FIN 18 revised per disc w Mary_BS_Separation_TaxResIndem_Q12412 tf_Guidance_Sheet2" xfId="5291" xr:uid="{00000000-0005-0000-0000-0000AA140000}"/>
    <cellStyle name="_MOR - BDWY - 1+11_~0039877_By Country Detail 1Q10 041410pm FIN 18 revised per disc w Mary_BS_Separation_TaxResIndem_Q12412 tf_Guidance_Sheet3" xfId="5292" xr:uid="{00000000-0005-0000-0000-0000AB140000}"/>
    <cellStyle name="_MOR - BDWY - 1+11_~0039877_By Country Detail 1Q10 041410pm FIN 18 revised per disc w Mary_BS_Separation_TaxResIndem_Q12412 tf_Guidance_Sheet4" xfId="5293" xr:uid="{00000000-0005-0000-0000-0000AC140000}"/>
    <cellStyle name="_MOR - BDWY - 1+11_~0039877_By Country Detail 1Q10 041410pm FIN 18 revised per disc w Mary_BS_Separation_TaxResIndem_Q12412 tf_Restructuring &amp; Separation" xfId="5294" xr:uid="{00000000-0005-0000-0000-0000AD140000}"/>
    <cellStyle name="_MOR - BDWY - 1+11_~0039877_By Country Detail 1Q10 041410pm FIN 18 revised per disc w Mary_BS_Separation_TaxResIndem_Q12412 tf_Restructuring &amp; Separation_Guidance" xfId="5295" xr:uid="{00000000-0005-0000-0000-0000AE140000}"/>
    <cellStyle name="_MOR - BDWY - 1+11_~0039877_By Country Detail 1Q10 041410pm FIN 18 revised per disc w Mary_BS_Separation_TaxResIndem_Q12412 tf_Restructuring &amp; Separation_Guidance 2" xfId="5296" xr:uid="{00000000-0005-0000-0000-0000AF140000}"/>
    <cellStyle name="_MOR - BDWY - 1+11_~0039877_By Country Detail 1Q10 041410pm FIN 18 revised per disc w Mary_BS_Separation_TaxResIndem_Q12412 tf_Restructuring &amp; Separation_Guidance_BS retrieve" xfId="5297" xr:uid="{00000000-0005-0000-0000-0000B0140000}"/>
    <cellStyle name="_MOR - BDWY - 1+11_~0039877_By Country Detail 1Q10 041410pm FIN 18 revised per disc w Mary_BS_Separation_TaxResIndem_Q12412 tf_Restructuring &amp; Separation_Guidance_Free CF" xfId="5298" xr:uid="{00000000-0005-0000-0000-0000B1140000}"/>
    <cellStyle name="_MOR - BDWY - 1+11_~0039877_By Country Detail 1Q10 041410pm FIN 18 revised per disc w Mary_BS_Separation_TaxResIndem_Q12412 tf_Restructuring &amp; Separation_Guidance_P&amp;L Rec Qtr" xfId="5299" xr:uid="{00000000-0005-0000-0000-0000B2140000}"/>
    <cellStyle name="_MOR - BDWY - 1+11_~0039877_By Country Detail 1Q10 041410pm FIN 18 revised per disc w Mary_BS_Separation_TaxResIndem_Q12412 tf_Restructuring &amp; Separation_Guidance_Sheet1" xfId="5300" xr:uid="{00000000-0005-0000-0000-0000B3140000}"/>
    <cellStyle name="_MOR - BDWY - 1+11_~0039877_By Country Detail 1Q10 041410pm FIN 18 revised per disc w Mary_BS_Separation_TaxResIndem_Q12412 tf_Restructuring &amp; Separation_Guidance_Sheet2" xfId="5301" xr:uid="{00000000-0005-0000-0000-0000B4140000}"/>
    <cellStyle name="_MOR - BDWY - 1+11_~0039877_By Country Detail 1Q10 041410pm FIN 18 revised per disc w Mary_BS_Separation_TaxResIndem_Q12412 tf_Restructuring &amp; Separation_Guidance_Sheet3" xfId="5302" xr:uid="{00000000-0005-0000-0000-0000B5140000}"/>
    <cellStyle name="_MOR - BDWY - 1+11_~0039877_By Country Detail 1Q10 041410pm FIN 18 revised per disc w Mary_BS_Separation_TaxResIndem_Q12412 tf_Restructuring &amp; Separation_Guidance_Sheet4" xfId="5303" xr:uid="{00000000-0005-0000-0000-0000B6140000}"/>
    <cellStyle name="_MOR - BDWY - 1+11_~0039877_By Country Detail 1Q10 041410pm FIN 18 revised per disc w Mary_Guidance" xfId="5304" xr:uid="{00000000-0005-0000-0000-0000B7140000}"/>
    <cellStyle name="_MOR - BDWY - 1+11_~0039877_By Country Detail 1Q10 041410pm FIN 18 revised per disc w Mary_Guidance 2" xfId="5305" xr:uid="{00000000-0005-0000-0000-0000B8140000}"/>
    <cellStyle name="_MOR - BDWY - 1+11_~0039877_By Country Detail 1Q10 041410pm FIN 18 revised per disc w Mary_Guidance_BS retrieve" xfId="5306" xr:uid="{00000000-0005-0000-0000-0000B9140000}"/>
    <cellStyle name="_MOR - BDWY - 1+11_~0039877_By Country Detail 1Q10 041410pm FIN 18 revised per disc w Mary_Guidance_Free CF" xfId="5307" xr:uid="{00000000-0005-0000-0000-0000BA140000}"/>
    <cellStyle name="_MOR - BDWY - 1+11_~0039877_By Country Detail 1Q10 041410pm FIN 18 revised per disc w Mary_Guidance_P&amp;L Rec Qtr" xfId="5308" xr:uid="{00000000-0005-0000-0000-0000BB140000}"/>
    <cellStyle name="_MOR - BDWY - 1+11_~0039877_By Country Detail 1Q10 041410pm FIN 18 revised per disc w Mary_Guidance_Sheet1" xfId="5309" xr:uid="{00000000-0005-0000-0000-0000BC140000}"/>
    <cellStyle name="_MOR - BDWY - 1+11_~0039877_By Country Detail 1Q10 041410pm FIN 18 revised per disc w Mary_Guidance_Sheet2" xfId="5310" xr:uid="{00000000-0005-0000-0000-0000BD140000}"/>
    <cellStyle name="_MOR - BDWY - 1+11_~0039877_By Country Detail 1Q10 041410pm FIN 18 revised per disc w Mary_Guidance_Sheet3" xfId="5311" xr:uid="{00000000-0005-0000-0000-0000BE140000}"/>
    <cellStyle name="_MOR - BDWY - 1+11_~0039877_By Country Detail 1Q10 041410pm FIN 18 revised per disc w Mary_Guidance_Sheet4" xfId="5312" xr:uid="{00000000-0005-0000-0000-0000BF140000}"/>
    <cellStyle name="_MOR - BDWY - 1+11_~0039877_By Country Detail 1Q10 041410pm FIN 18 revised per disc w Mary_II.8. Sep&amp;Discrete" xfId="5313" xr:uid="{00000000-0005-0000-0000-0000C0140000}"/>
    <cellStyle name="_MOR - BDWY - 1+11_~0039877_By Country Detail 1Q10 041410pm FIN 18 revised per disc w Mary_II.8. Sep&amp;Discrete_Guidance" xfId="5314" xr:uid="{00000000-0005-0000-0000-0000C1140000}"/>
    <cellStyle name="_MOR - BDWY - 1+11_~0039877_By Country Detail 1Q10 041410pm FIN 18 revised per disc w Mary_II.8. Sep&amp;Discrete_Guidance 2" xfId="5315" xr:uid="{00000000-0005-0000-0000-0000C2140000}"/>
    <cellStyle name="_MOR - BDWY - 1+11_~0039877_By Country Detail 1Q10 041410pm FIN 18 revised per disc w Mary_II.8. Sep&amp;Discrete_Guidance_BS retrieve" xfId="5316" xr:uid="{00000000-0005-0000-0000-0000C3140000}"/>
    <cellStyle name="_MOR - BDWY - 1+11_~0039877_By Country Detail 1Q10 041410pm FIN 18 revised per disc w Mary_II.8. Sep&amp;Discrete_Guidance_Free CF" xfId="5317" xr:uid="{00000000-0005-0000-0000-0000C4140000}"/>
    <cellStyle name="_MOR - BDWY - 1+11_~0039877_By Country Detail 1Q10 041410pm FIN 18 revised per disc w Mary_II.8. Sep&amp;Discrete_Guidance_P&amp;L Rec Qtr" xfId="5318" xr:uid="{00000000-0005-0000-0000-0000C5140000}"/>
    <cellStyle name="_MOR - BDWY - 1+11_~0039877_By Country Detail 1Q10 041410pm FIN 18 revised per disc w Mary_II.8. Sep&amp;Discrete_Guidance_Sheet1" xfId="5319" xr:uid="{00000000-0005-0000-0000-0000C6140000}"/>
    <cellStyle name="_MOR - BDWY - 1+11_~0039877_By Country Detail 1Q10 041410pm FIN 18 revised per disc w Mary_II.8. Sep&amp;Discrete_Guidance_Sheet2" xfId="5320" xr:uid="{00000000-0005-0000-0000-0000C7140000}"/>
    <cellStyle name="_MOR - BDWY - 1+11_~0039877_By Country Detail 1Q10 041410pm FIN 18 revised per disc w Mary_II.8. Sep&amp;Discrete_Guidance_Sheet3" xfId="5321" xr:uid="{00000000-0005-0000-0000-0000C8140000}"/>
    <cellStyle name="_MOR - BDWY - 1+11_~0039877_By Country Detail 1Q10 041410pm FIN 18 revised per disc w Mary_II.8. Sep&amp;Discrete_Guidance_Sheet4" xfId="5322" xr:uid="{00000000-0005-0000-0000-0000C9140000}"/>
    <cellStyle name="_MOR - BDWY - 1+11_~0039877_By Country Detail 1Q10 041410pm FIN 18 revised per disc w Mary_Restructuring &amp; Separation" xfId="5323" xr:uid="{00000000-0005-0000-0000-0000CA140000}"/>
    <cellStyle name="_MOR - BDWY - 1+11_~0039877_By Country Detail 1Q10 041410pm FIN 18 revised per disc w Mary_Restructuring &amp; Separation_Guidance" xfId="5324" xr:uid="{00000000-0005-0000-0000-0000CB140000}"/>
    <cellStyle name="_MOR - BDWY - 1+11_~0039877_By Country Detail 1Q10 041410pm FIN 18 revised per disc w Mary_Restructuring &amp; Separation_Guidance 2" xfId="5325" xr:uid="{00000000-0005-0000-0000-0000CC140000}"/>
    <cellStyle name="_MOR - BDWY - 1+11_~0039877_By Country Detail 1Q10 041410pm FIN 18 revised per disc w Mary_Restructuring &amp; Separation_Guidance_BS retrieve" xfId="5326" xr:uid="{00000000-0005-0000-0000-0000CD140000}"/>
    <cellStyle name="_MOR - BDWY - 1+11_~0039877_By Country Detail 1Q10 041410pm FIN 18 revised per disc w Mary_Restructuring &amp; Separation_Guidance_Free CF" xfId="5327" xr:uid="{00000000-0005-0000-0000-0000CE140000}"/>
    <cellStyle name="_MOR - BDWY - 1+11_~0039877_By Country Detail 1Q10 041410pm FIN 18 revised per disc w Mary_Restructuring &amp; Separation_Guidance_P&amp;L Rec Qtr" xfId="5328" xr:uid="{00000000-0005-0000-0000-0000CF140000}"/>
    <cellStyle name="_MOR - BDWY - 1+11_~0039877_By Country Detail 1Q10 041410pm FIN 18 revised per disc w Mary_Restructuring &amp; Separation_Guidance_Sheet1" xfId="5329" xr:uid="{00000000-0005-0000-0000-0000D0140000}"/>
    <cellStyle name="_MOR - BDWY - 1+11_~0039877_By Country Detail 1Q10 041410pm FIN 18 revised per disc w Mary_Restructuring &amp; Separation_Guidance_Sheet2" xfId="5330" xr:uid="{00000000-0005-0000-0000-0000D1140000}"/>
    <cellStyle name="_MOR - BDWY - 1+11_~0039877_By Country Detail 1Q10 041410pm FIN 18 revised per disc w Mary_Restructuring &amp; Separation_Guidance_Sheet3" xfId="5331" xr:uid="{00000000-0005-0000-0000-0000D2140000}"/>
    <cellStyle name="_MOR - BDWY - 1+11_~0039877_By Country Detail 1Q10 041410pm FIN 18 revised per disc w Mary_Restructuring &amp; Separation_Guidance_Sheet4" xfId="5332" xr:uid="{00000000-0005-0000-0000-0000D3140000}"/>
    <cellStyle name="_MOR - BDWY - 1+11_~0039877_Guidance" xfId="5333" xr:uid="{00000000-0005-0000-0000-0000D4140000}"/>
    <cellStyle name="_MOR - BDWY - 1+11_~0039877_Guidance 2" xfId="5334" xr:uid="{00000000-0005-0000-0000-0000D5140000}"/>
    <cellStyle name="_MOR - BDWY - 1+11_~0039877_Guidance_BS retrieve" xfId="5335" xr:uid="{00000000-0005-0000-0000-0000D6140000}"/>
    <cellStyle name="_MOR - BDWY - 1+11_~0039877_Guidance_Free CF" xfId="5336" xr:uid="{00000000-0005-0000-0000-0000D7140000}"/>
    <cellStyle name="_MOR - BDWY - 1+11_~0039877_Guidance_P&amp;L Rec Qtr" xfId="5337" xr:uid="{00000000-0005-0000-0000-0000D8140000}"/>
    <cellStyle name="_MOR - BDWY - 1+11_~0039877_Guidance_Sheet1" xfId="5338" xr:uid="{00000000-0005-0000-0000-0000D9140000}"/>
    <cellStyle name="_MOR - BDWY - 1+11_~0039877_Guidance_Sheet2" xfId="5339" xr:uid="{00000000-0005-0000-0000-0000DA140000}"/>
    <cellStyle name="_MOR - BDWY - 1+11_~0039877_Guidance_Sheet3" xfId="5340" xr:uid="{00000000-0005-0000-0000-0000DB140000}"/>
    <cellStyle name="_MOR - BDWY - 1+11_~0039877_Guidance_Sheet4" xfId="5341" xr:uid="{00000000-0005-0000-0000-0000DC140000}"/>
    <cellStyle name="_MOR - BDWY - 1+11_~0039877_II.4. RawMaterials" xfId="5342" xr:uid="{00000000-0005-0000-0000-0000DD140000}"/>
    <cellStyle name="_MOR - BDWY - 1+11_~0039877_II.4. RawMaterials 2" xfId="5343" xr:uid="{00000000-0005-0000-0000-0000DE140000}"/>
    <cellStyle name="_MOR - BDWY - 1+11_~0039877_II.4. RawMaterials_BS retrieve" xfId="5344" xr:uid="{00000000-0005-0000-0000-0000DF140000}"/>
    <cellStyle name="_MOR - BDWY - 1+11_~0039877_II.4. RawMaterials_Free CF" xfId="5345" xr:uid="{00000000-0005-0000-0000-0000E0140000}"/>
    <cellStyle name="_MOR - BDWY - 1+11_~0039877_II.4. RawMaterials_P&amp;L Rec Qtr" xfId="5346" xr:uid="{00000000-0005-0000-0000-0000E1140000}"/>
    <cellStyle name="_MOR - BDWY - 1+11_~0039877_II.4. RawMaterials_Sheet1" xfId="5347" xr:uid="{00000000-0005-0000-0000-0000E2140000}"/>
    <cellStyle name="_MOR - BDWY - 1+11_~0039877_II.4. RawMaterials_Sheet2" xfId="5348" xr:uid="{00000000-0005-0000-0000-0000E3140000}"/>
    <cellStyle name="_MOR - BDWY - 1+11_~0039877_II.4. RawMaterials_Sheet3" xfId="5349" xr:uid="{00000000-0005-0000-0000-0000E4140000}"/>
    <cellStyle name="_MOR - BDWY - 1+11_~0039877_II.4. RawMaterials_Sheet4" xfId="5350" xr:uid="{00000000-0005-0000-0000-0000E5140000}"/>
    <cellStyle name="_MOR - BDWY - 1+11_~0039877_II.5. RawMaterials" xfId="5351" xr:uid="{00000000-0005-0000-0000-0000E6140000}"/>
    <cellStyle name="_MOR - BDWY - 1+11_~0039877_II.5. RawMaterials 2" xfId="5352" xr:uid="{00000000-0005-0000-0000-0000E7140000}"/>
    <cellStyle name="_MOR - BDWY - 1+11_~0039877_II.5. RawMaterials_BS retrieve" xfId="5353" xr:uid="{00000000-0005-0000-0000-0000E8140000}"/>
    <cellStyle name="_MOR - BDWY - 1+11_~0039877_II.5. RawMaterials_Free CF" xfId="5354" xr:uid="{00000000-0005-0000-0000-0000E9140000}"/>
    <cellStyle name="_MOR - BDWY - 1+11_~0039877_II.5. RawMaterials_Guidance" xfId="5355" xr:uid="{00000000-0005-0000-0000-0000EA140000}"/>
    <cellStyle name="_MOR - BDWY - 1+11_~0039877_II.5. RawMaterials_Guidance 2" xfId="5356" xr:uid="{00000000-0005-0000-0000-0000EB140000}"/>
    <cellStyle name="_MOR - BDWY - 1+11_~0039877_II.5. RawMaterials_Guidance_BS retrieve" xfId="5357" xr:uid="{00000000-0005-0000-0000-0000EC140000}"/>
    <cellStyle name="_MOR - BDWY - 1+11_~0039877_II.5. RawMaterials_Guidance_Free CF" xfId="5358" xr:uid="{00000000-0005-0000-0000-0000ED140000}"/>
    <cellStyle name="_MOR - BDWY - 1+11_~0039877_II.5. RawMaterials_Guidance_P&amp;L Rec Qtr" xfId="5359" xr:uid="{00000000-0005-0000-0000-0000EE140000}"/>
    <cellStyle name="_MOR - BDWY - 1+11_~0039877_II.5. RawMaterials_Guidance_Sheet1" xfId="5360" xr:uid="{00000000-0005-0000-0000-0000EF140000}"/>
    <cellStyle name="_MOR - BDWY - 1+11_~0039877_II.5. RawMaterials_Guidance_Sheet2" xfId="5361" xr:uid="{00000000-0005-0000-0000-0000F0140000}"/>
    <cellStyle name="_MOR - BDWY - 1+11_~0039877_II.5. RawMaterials_Guidance_Sheet3" xfId="5362" xr:uid="{00000000-0005-0000-0000-0000F1140000}"/>
    <cellStyle name="_MOR - BDWY - 1+11_~0039877_II.5. RawMaterials_Guidance_Sheet4" xfId="5363" xr:uid="{00000000-0005-0000-0000-0000F2140000}"/>
    <cellStyle name="_MOR - BDWY - 1+11_~0039877_II.5. RawMaterials_P&amp;L Rec Qtr" xfId="5364" xr:uid="{00000000-0005-0000-0000-0000F3140000}"/>
    <cellStyle name="_MOR - BDWY - 1+11_~0039877_II.5. RawMaterials_Sheet1" xfId="5365" xr:uid="{00000000-0005-0000-0000-0000F4140000}"/>
    <cellStyle name="_MOR - BDWY - 1+11_~0039877_II.5. RawMaterials_Sheet2" xfId="5366" xr:uid="{00000000-0005-0000-0000-0000F5140000}"/>
    <cellStyle name="_MOR - BDWY - 1+11_~0039877_II.5. RawMaterials_Sheet3" xfId="5367" xr:uid="{00000000-0005-0000-0000-0000F6140000}"/>
    <cellStyle name="_MOR - BDWY - 1+11_~0039877_II.5. RawMaterials_Sheet4" xfId="5368" xr:uid="{00000000-0005-0000-0000-0000F7140000}"/>
    <cellStyle name="_MOR - BDWY - 1+11_~0039877_II.5. RM Volume Sensitivities" xfId="5369" xr:uid="{00000000-0005-0000-0000-0000F8140000}"/>
    <cellStyle name="_MOR - BDWY - 1+11_~0039877_II.5. RM Volume Sensitivities 2" xfId="5370" xr:uid="{00000000-0005-0000-0000-0000F9140000}"/>
    <cellStyle name="_MOR - BDWY - 1+11_~0039877_II.5. RM Volume Sensitivities_BS retrieve" xfId="5371" xr:uid="{00000000-0005-0000-0000-0000FA140000}"/>
    <cellStyle name="_MOR - BDWY - 1+11_~0039877_II.5. RM Volume Sensitivities_Free CF" xfId="5372" xr:uid="{00000000-0005-0000-0000-0000FB140000}"/>
    <cellStyle name="_MOR - BDWY - 1+11_~0039877_II.5. RM Volume Sensitivities_P&amp;L Rec Qtr" xfId="5373" xr:uid="{00000000-0005-0000-0000-0000FC140000}"/>
    <cellStyle name="_MOR - BDWY - 1+11_~0039877_II.5. RM Volume Sensitivities_Sheet1" xfId="5374" xr:uid="{00000000-0005-0000-0000-0000FD140000}"/>
    <cellStyle name="_MOR - BDWY - 1+11_~0039877_II.5. RM Volume Sensitivities_Sheet2" xfId="5375" xr:uid="{00000000-0005-0000-0000-0000FE140000}"/>
    <cellStyle name="_MOR - BDWY - 1+11_~0039877_II.5. RM Volume Sensitivities_Sheet3" xfId="5376" xr:uid="{00000000-0005-0000-0000-0000FF140000}"/>
    <cellStyle name="_MOR - BDWY - 1+11_~0039877_II.5. RM Volume Sensitivities_Sheet4" xfId="5377" xr:uid="{00000000-0005-0000-0000-000000150000}"/>
    <cellStyle name="_MOR - BDWY - 1+11_~0039877_II.8. Sep&amp;Discrete" xfId="5378" xr:uid="{00000000-0005-0000-0000-000001150000}"/>
    <cellStyle name="_MOR - BDWY - 1+11_~0039877_II.8. Sep&amp;Discrete_Guidance" xfId="5379" xr:uid="{00000000-0005-0000-0000-000002150000}"/>
    <cellStyle name="_MOR - BDWY - 1+11_~0039877_II.8. Sep&amp;Discrete_Guidance 2" xfId="5380" xr:uid="{00000000-0005-0000-0000-000003150000}"/>
    <cellStyle name="_MOR - BDWY - 1+11_~0039877_II.8. Sep&amp;Discrete_Guidance_BS retrieve" xfId="5381" xr:uid="{00000000-0005-0000-0000-000004150000}"/>
    <cellStyle name="_MOR - BDWY - 1+11_~0039877_II.8. Sep&amp;Discrete_Guidance_Free CF" xfId="5382" xr:uid="{00000000-0005-0000-0000-000005150000}"/>
    <cellStyle name="_MOR - BDWY - 1+11_~0039877_II.8. Sep&amp;Discrete_Guidance_P&amp;L Rec Qtr" xfId="5383" xr:uid="{00000000-0005-0000-0000-000006150000}"/>
    <cellStyle name="_MOR - BDWY - 1+11_~0039877_II.8. Sep&amp;Discrete_Guidance_Sheet1" xfId="5384" xr:uid="{00000000-0005-0000-0000-000007150000}"/>
    <cellStyle name="_MOR - BDWY - 1+11_~0039877_II.8. Sep&amp;Discrete_Guidance_Sheet2" xfId="5385" xr:uid="{00000000-0005-0000-0000-000008150000}"/>
    <cellStyle name="_MOR - BDWY - 1+11_~0039877_II.8. Sep&amp;Discrete_Guidance_Sheet3" xfId="5386" xr:uid="{00000000-0005-0000-0000-000009150000}"/>
    <cellStyle name="_MOR - BDWY - 1+11_~0039877_II.8. Sep&amp;Discrete_Guidance_Sheet4" xfId="5387" xr:uid="{00000000-0005-0000-0000-00000A150000}"/>
    <cellStyle name="_MOR - BDWY - 1+11_~0039877_Restructuring &amp; Separation" xfId="5388" xr:uid="{00000000-0005-0000-0000-00000B150000}"/>
    <cellStyle name="_MOR - BDWY - 1+11_~0039877_Restructuring &amp; Separation_Guidance" xfId="5389" xr:uid="{00000000-0005-0000-0000-00000C150000}"/>
    <cellStyle name="_MOR - BDWY - 1+11_~0039877_Restructuring &amp; Separation_Guidance 2" xfId="5390" xr:uid="{00000000-0005-0000-0000-00000D150000}"/>
    <cellStyle name="_MOR - BDWY - 1+11_~0039877_Restructuring &amp; Separation_Guidance_BS retrieve" xfId="5391" xr:uid="{00000000-0005-0000-0000-00000E150000}"/>
    <cellStyle name="_MOR - BDWY - 1+11_~0039877_Restructuring &amp; Separation_Guidance_Free CF" xfId="5392" xr:uid="{00000000-0005-0000-0000-00000F150000}"/>
    <cellStyle name="_MOR - BDWY - 1+11_~0039877_Restructuring &amp; Separation_Guidance_P&amp;L Rec Qtr" xfId="5393" xr:uid="{00000000-0005-0000-0000-000010150000}"/>
    <cellStyle name="_MOR - BDWY - 1+11_~0039877_Restructuring &amp; Separation_Guidance_Sheet1" xfId="5394" xr:uid="{00000000-0005-0000-0000-000011150000}"/>
    <cellStyle name="_MOR - BDWY - 1+11_~0039877_Restructuring &amp; Separation_Guidance_Sheet2" xfId="5395" xr:uid="{00000000-0005-0000-0000-000012150000}"/>
    <cellStyle name="_MOR - BDWY - 1+11_~0039877_Restructuring &amp; Separation_Guidance_Sheet3" xfId="5396" xr:uid="{00000000-0005-0000-0000-000013150000}"/>
    <cellStyle name="_MOR - BDWY - 1+11_~0039877_Restructuring &amp; Separation_Guidance_Sheet4" xfId="5397" xr:uid="{00000000-0005-0000-0000-000014150000}"/>
    <cellStyle name="_MOR - BDWY - 1+11_~0039877_Restructuring_Separation_TAX_JuneFC2010 tf" xfId="5398" xr:uid="{00000000-0005-0000-0000-000015150000}"/>
    <cellStyle name="_MOR - BDWY - 1+11_~0039877_Restructuring_Separation_TAX_JuneFC2010 tf_BS_Separation_TaxResIndem_Q12412 tf" xfId="5399" xr:uid="{00000000-0005-0000-0000-000016150000}"/>
    <cellStyle name="_MOR - BDWY - 1+11_~0039877_Restructuring_Separation_TAX_JuneFC2010 tf_BS_Separation_TaxResIndem_Q12412 tf_Guidance" xfId="5400" xr:uid="{00000000-0005-0000-0000-000017150000}"/>
    <cellStyle name="_MOR - BDWY - 1+11_~0039877_Restructuring_Separation_TAX_JuneFC2010 tf_BS_Separation_TaxResIndem_Q12412 tf_Guidance 2" xfId="5401" xr:uid="{00000000-0005-0000-0000-000018150000}"/>
    <cellStyle name="_MOR - BDWY - 1+11_~0039877_Restructuring_Separation_TAX_JuneFC2010 tf_BS_Separation_TaxResIndem_Q12412 tf_Guidance_BS retrieve" xfId="5402" xr:uid="{00000000-0005-0000-0000-000019150000}"/>
    <cellStyle name="_MOR - BDWY - 1+11_~0039877_Restructuring_Separation_TAX_JuneFC2010 tf_BS_Separation_TaxResIndem_Q12412 tf_Guidance_Free CF" xfId="5403" xr:uid="{00000000-0005-0000-0000-00001A150000}"/>
    <cellStyle name="_MOR - BDWY - 1+11_~0039877_Restructuring_Separation_TAX_JuneFC2010 tf_BS_Separation_TaxResIndem_Q12412 tf_Guidance_P&amp;L Rec Qtr" xfId="5404" xr:uid="{00000000-0005-0000-0000-00001B150000}"/>
    <cellStyle name="_MOR - BDWY - 1+11_~0039877_Restructuring_Separation_TAX_JuneFC2010 tf_BS_Separation_TaxResIndem_Q12412 tf_Guidance_Sheet1" xfId="5405" xr:uid="{00000000-0005-0000-0000-00001C150000}"/>
    <cellStyle name="_MOR - BDWY - 1+11_~0039877_Restructuring_Separation_TAX_JuneFC2010 tf_BS_Separation_TaxResIndem_Q12412 tf_Guidance_Sheet2" xfId="5406" xr:uid="{00000000-0005-0000-0000-00001D150000}"/>
    <cellStyle name="_MOR - BDWY - 1+11_~0039877_Restructuring_Separation_TAX_JuneFC2010 tf_BS_Separation_TaxResIndem_Q12412 tf_Guidance_Sheet3" xfId="5407" xr:uid="{00000000-0005-0000-0000-00001E150000}"/>
    <cellStyle name="_MOR - BDWY - 1+11_~0039877_Restructuring_Separation_TAX_JuneFC2010 tf_BS_Separation_TaxResIndem_Q12412 tf_Guidance_Sheet4" xfId="5408" xr:uid="{00000000-0005-0000-0000-00001F150000}"/>
    <cellStyle name="_MOR - BDWY - 1+11_~0039877_Restructuring_Separation_TAX_JuneFC2010 tf_BS_Separation_TaxResIndem_Q12412 tf_Restructuring &amp; Separation" xfId="5409" xr:uid="{00000000-0005-0000-0000-000020150000}"/>
    <cellStyle name="_MOR - BDWY - 1+11_~0039877_Restructuring_Separation_TAX_JuneFC2010 tf_BS_Separation_TaxResIndem_Q12412 tf_Restructuring &amp; Separation_Guidance" xfId="5410" xr:uid="{00000000-0005-0000-0000-000021150000}"/>
    <cellStyle name="_MOR - BDWY - 1+11_~0039877_Restructuring_Separation_TAX_JuneFC2010 tf_BS_Separation_TaxResIndem_Q12412 tf_Restructuring &amp; Separation_Guidance 2" xfId="5411" xr:uid="{00000000-0005-0000-0000-000022150000}"/>
    <cellStyle name="_MOR - BDWY - 1+11_~0039877_Restructuring_Separation_TAX_JuneFC2010 tf_BS_Separation_TaxResIndem_Q12412 tf_Restructuring &amp; Separation_Guidance_BS retrieve" xfId="5412" xr:uid="{00000000-0005-0000-0000-000023150000}"/>
    <cellStyle name="_MOR - BDWY - 1+11_~0039877_Restructuring_Separation_TAX_JuneFC2010 tf_BS_Separation_TaxResIndem_Q12412 tf_Restructuring &amp; Separation_Guidance_Free CF" xfId="5413" xr:uid="{00000000-0005-0000-0000-000024150000}"/>
    <cellStyle name="_MOR - BDWY - 1+11_~0039877_Restructuring_Separation_TAX_JuneFC2010 tf_BS_Separation_TaxResIndem_Q12412 tf_Restructuring &amp; Separation_Guidance_P&amp;L Rec Qtr" xfId="5414" xr:uid="{00000000-0005-0000-0000-000025150000}"/>
    <cellStyle name="_MOR - BDWY - 1+11_~0039877_Restructuring_Separation_TAX_JuneFC2010 tf_BS_Separation_TaxResIndem_Q12412 tf_Restructuring &amp; Separation_Guidance_Sheet1" xfId="5415" xr:uid="{00000000-0005-0000-0000-000026150000}"/>
    <cellStyle name="_MOR - BDWY - 1+11_~0039877_Restructuring_Separation_TAX_JuneFC2010 tf_BS_Separation_TaxResIndem_Q12412 tf_Restructuring &amp; Separation_Guidance_Sheet2" xfId="5416" xr:uid="{00000000-0005-0000-0000-000027150000}"/>
    <cellStyle name="_MOR - BDWY - 1+11_~0039877_Restructuring_Separation_TAX_JuneFC2010 tf_BS_Separation_TaxResIndem_Q12412 tf_Restructuring &amp; Separation_Guidance_Sheet3" xfId="5417" xr:uid="{00000000-0005-0000-0000-000028150000}"/>
    <cellStyle name="_MOR - BDWY - 1+11_~0039877_Restructuring_Separation_TAX_JuneFC2010 tf_BS_Separation_TaxResIndem_Q12412 tf_Restructuring &amp; Separation_Guidance_Sheet4" xfId="5418" xr:uid="{00000000-0005-0000-0000-000029150000}"/>
    <cellStyle name="_MOR - BDWY - 1+11_~0039877_Restructuring_Separation_TAX_JuneFC2010 tf_Guidance" xfId="5419" xr:uid="{00000000-0005-0000-0000-00002A150000}"/>
    <cellStyle name="_MOR - BDWY - 1+11_~0039877_Restructuring_Separation_TAX_JuneFC2010 tf_Guidance 2" xfId="5420" xr:uid="{00000000-0005-0000-0000-00002B150000}"/>
    <cellStyle name="_MOR - BDWY - 1+11_~0039877_Restructuring_Separation_TAX_JuneFC2010 tf_Guidance_BS retrieve" xfId="5421" xr:uid="{00000000-0005-0000-0000-00002C150000}"/>
    <cellStyle name="_MOR - BDWY - 1+11_~0039877_Restructuring_Separation_TAX_JuneFC2010 tf_Guidance_Free CF" xfId="5422" xr:uid="{00000000-0005-0000-0000-00002D150000}"/>
    <cellStyle name="_MOR - BDWY - 1+11_~0039877_Restructuring_Separation_TAX_JuneFC2010 tf_Guidance_P&amp;L Rec Qtr" xfId="5423" xr:uid="{00000000-0005-0000-0000-00002E150000}"/>
    <cellStyle name="_MOR - BDWY - 1+11_~0039877_Restructuring_Separation_TAX_JuneFC2010 tf_Guidance_Sheet1" xfId="5424" xr:uid="{00000000-0005-0000-0000-00002F150000}"/>
    <cellStyle name="_MOR - BDWY - 1+11_~0039877_Restructuring_Separation_TAX_JuneFC2010 tf_Guidance_Sheet2" xfId="5425" xr:uid="{00000000-0005-0000-0000-000030150000}"/>
    <cellStyle name="_MOR - BDWY - 1+11_~0039877_Restructuring_Separation_TAX_JuneFC2010 tf_Guidance_Sheet3" xfId="5426" xr:uid="{00000000-0005-0000-0000-000031150000}"/>
    <cellStyle name="_MOR - BDWY - 1+11_~0039877_Restructuring_Separation_TAX_JuneFC2010 tf_Guidance_Sheet4" xfId="5427" xr:uid="{00000000-0005-0000-0000-000032150000}"/>
    <cellStyle name="_MOR - BDWY - 1+11_~0039877_Restructuring_Separation_TAX_JuneFC2010 tf_II.8. Sep&amp;Discrete" xfId="5428" xr:uid="{00000000-0005-0000-0000-000033150000}"/>
    <cellStyle name="_MOR - BDWY - 1+11_~0039877_Restructuring_Separation_TAX_JuneFC2010 tf_II.8. Sep&amp;Discrete_Guidance" xfId="5429" xr:uid="{00000000-0005-0000-0000-000034150000}"/>
    <cellStyle name="_MOR - BDWY - 1+11_~0039877_Restructuring_Separation_TAX_JuneFC2010 tf_II.8. Sep&amp;Discrete_Guidance 2" xfId="5430" xr:uid="{00000000-0005-0000-0000-000035150000}"/>
    <cellStyle name="_MOR - BDWY - 1+11_~0039877_Restructuring_Separation_TAX_JuneFC2010 tf_II.8. Sep&amp;Discrete_Guidance_BS retrieve" xfId="5431" xr:uid="{00000000-0005-0000-0000-000036150000}"/>
    <cellStyle name="_MOR - BDWY - 1+11_~0039877_Restructuring_Separation_TAX_JuneFC2010 tf_II.8. Sep&amp;Discrete_Guidance_Free CF" xfId="5432" xr:uid="{00000000-0005-0000-0000-000037150000}"/>
    <cellStyle name="_MOR - BDWY - 1+11_~0039877_Restructuring_Separation_TAX_JuneFC2010 tf_II.8. Sep&amp;Discrete_Guidance_P&amp;L Rec Qtr" xfId="5433" xr:uid="{00000000-0005-0000-0000-000038150000}"/>
    <cellStyle name="_MOR - BDWY - 1+11_~0039877_Restructuring_Separation_TAX_JuneFC2010 tf_II.8. Sep&amp;Discrete_Guidance_Sheet1" xfId="5434" xr:uid="{00000000-0005-0000-0000-000039150000}"/>
    <cellStyle name="_MOR - BDWY - 1+11_~0039877_Restructuring_Separation_TAX_JuneFC2010 tf_II.8. Sep&amp;Discrete_Guidance_Sheet2" xfId="5435" xr:uid="{00000000-0005-0000-0000-00003A150000}"/>
    <cellStyle name="_MOR - BDWY - 1+11_~0039877_Restructuring_Separation_TAX_JuneFC2010 tf_II.8. Sep&amp;Discrete_Guidance_Sheet3" xfId="5436" xr:uid="{00000000-0005-0000-0000-00003B150000}"/>
    <cellStyle name="_MOR - BDWY - 1+11_~0039877_Restructuring_Separation_TAX_JuneFC2010 tf_II.8. Sep&amp;Discrete_Guidance_Sheet4" xfId="5437" xr:uid="{00000000-0005-0000-0000-00003C150000}"/>
    <cellStyle name="_MOR - BDWY - 1+11_~0039877_Restructuring_Separation_TAX_JuneFC2010 tf_Restructuring &amp; Separation" xfId="5438" xr:uid="{00000000-0005-0000-0000-00003D150000}"/>
    <cellStyle name="_MOR - BDWY - 1+11_~0039877_Restructuring_Separation_TAX_JuneFC2010 tf_Restructuring &amp; Separation_Guidance" xfId="5439" xr:uid="{00000000-0005-0000-0000-00003E150000}"/>
    <cellStyle name="_MOR - BDWY - 1+11_~0039877_Restructuring_Separation_TAX_JuneFC2010 tf_Restructuring &amp; Separation_Guidance 2" xfId="5440" xr:uid="{00000000-0005-0000-0000-00003F150000}"/>
    <cellStyle name="_MOR - BDWY - 1+11_~0039877_Restructuring_Separation_TAX_JuneFC2010 tf_Restructuring &amp; Separation_Guidance_BS retrieve" xfId="5441" xr:uid="{00000000-0005-0000-0000-000040150000}"/>
    <cellStyle name="_MOR - BDWY - 1+11_~0039877_Restructuring_Separation_TAX_JuneFC2010 tf_Restructuring &amp; Separation_Guidance_Free CF" xfId="5442" xr:uid="{00000000-0005-0000-0000-000041150000}"/>
    <cellStyle name="_MOR - BDWY - 1+11_~0039877_Restructuring_Separation_TAX_JuneFC2010 tf_Restructuring &amp; Separation_Guidance_P&amp;L Rec Qtr" xfId="5443" xr:uid="{00000000-0005-0000-0000-000042150000}"/>
    <cellStyle name="_MOR - BDWY - 1+11_~0039877_Restructuring_Separation_TAX_JuneFC2010 tf_Restructuring &amp; Separation_Guidance_Sheet1" xfId="5444" xr:uid="{00000000-0005-0000-0000-000043150000}"/>
    <cellStyle name="_MOR - BDWY - 1+11_~0039877_Restructuring_Separation_TAX_JuneFC2010 tf_Restructuring &amp; Separation_Guidance_Sheet2" xfId="5445" xr:uid="{00000000-0005-0000-0000-000044150000}"/>
    <cellStyle name="_MOR - BDWY - 1+11_~0039877_Restructuring_Separation_TAX_JuneFC2010 tf_Restructuring &amp; Separation_Guidance_Sheet3" xfId="5446" xr:uid="{00000000-0005-0000-0000-000045150000}"/>
    <cellStyle name="_MOR - BDWY - 1+11_~0039877_Restructuring_Separation_TAX_JuneFC2010 tf_Restructuring &amp; Separation_Guidance_Sheet4" xfId="5447" xr:uid="{00000000-0005-0000-0000-000046150000}"/>
    <cellStyle name="_MOR - BDWY - 1+11_BS_Separation_TaxResIndem_Q12412 tf" xfId="5448" xr:uid="{00000000-0005-0000-0000-000047150000}"/>
    <cellStyle name="_MOR - BDWY - 1+11_BS_Separation_TaxResIndem_Q12412 tf_Guidance" xfId="5449" xr:uid="{00000000-0005-0000-0000-000048150000}"/>
    <cellStyle name="_MOR - BDWY - 1+11_BS_Separation_TaxResIndem_Q12412 tf_Guidance 2" xfId="5450" xr:uid="{00000000-0005-0000-0000-000049150000}"/>
    <cellStyle name="_MOR - BDWY - 1+11_BS_Separation_TaxResIndem_Q12412 tf_Guidance_BS retrieve" xfId="5451" xr:uid="{00000000-0005-0000-0000-00004A150000}"/>
    <cellStyle name="_MOR - BDWY - 1+11_BS_Separation_TaxResIndem_Q12412 tf_Guidance_Free CF" xfId="5452" xr:uid="{00000000-0005-0000-0000-00004B150000}"/>
    <cellStyle name="_MOR - BDWY - 1+11_BS_Separation_TaxResIndem_Q12412 tf_Guidance_P&amp;L Rec Qtr" xfId="5453" xr:uid="{00000000-0005-0000-0000-00004C150000}"/>
    <cellStyle name="_MOR - BDWY - 1+11_BS_Separation_TaxResIndem_Q12412 tf_Guidance_Sheet1" xfId="5454" xr:uid="{00000000-0005-0000-0000-00004D150000}"/>
    <cellStyle name="_MOR - BDWY - 1+11_BS_Separation_TaxResIndem_Q12412 tf_Guidance_Sheet2" xfId="5455" xr:uid="{00000000-0005-0000-0000-00004E150000}"/>
    <cellStyle name="_MOR - BDWY - 1+11_BS_Separation_TaxResIndem_Q12412 tf_Guidance_Sheet3" xfId="5456" xr:uid="{00000000-0005-0000-0000-00004F150000}"/>
    <cellStyle name="_MOR - BDWY - 1+11_BS_Separation_TaxResIndem_Q12412 tf_Guidance_Sheet4" xfId="5457" xr:uid="{00000000-0005-0000-0000-000050150000}"/>
    <cellStyle name="_MOR - BDWY - 1+11_BS_Separation_TaxResIndem_Q12412 tf_Restructuring &amp; Separation" xfId="5458" xr:uid="{00000000-0005-0000-0000-000051150000}"/>
    <cellStyle name="_MOR - BDWY - 1+11_BS_Separation_TaxResIndem_Q12412 tf_Restructuring &amp; Separation_Guidance" xfId="5459" xr:uid="{00000000-0005-0000-0000-000052150000}"/>
    <cellStyle name="_MOR - BDWY - 1+11_BS_Separation_TaxResIndem_Q12412 tf_Restructuring &amp; Separation_Guidance 2" xfId="5460" xr:uid="{00000000-0005-0000-0000-000053150000}"/>
    <cellStyle name="_MOR - BDWY - 1+11_BS_Separation_TaxResIndem_Q12412 tf_Restructuring &amp; Separation_Guidance_BS retrieve" xfId="5461" xr:uid="{00000000-0005-0000-0000-000054150000}"/>
    <cellStyle name="_MOR - BDWY - 1+11_BS_Separation_TaxResIndem_Q12412 tf_Restructuring &amp; Separation_Guidance_Free CF" xfId="5462" xr:uid="{00000000-0005-0000-0000-000055150000}"/>
    <cellStyle name="_MOR - BDWY - 1+11_BS_Separation_TaxResIndem_Q12412 tf_Restructuring &amp; Separation_Guidance_P&amp;L Rec Qtr" xfId="5463" xr:uid="{00000000-0005-0000-0000-000056150000}"/>
    <cellStyle name="_MOR - BDWY - 1+11_BS_Separation_TaxResIndem_Q12412 tf_Restructuring &amp; Separation_Guidance_Sheet1" xfId="5464" xr:uid="{00000000-0005-0000-0000-000057150000}"/>
    <cellStyle name="_MOR - BDWY - 1+11_BS_Separation_TaxResIndem_Q12412 tf_Restructuring &amp; Separation_Guidance_Sheet2" xfId="5465" xr:uid="{00000000-0005-0000-0000-000058150000}"/>
    <cellStyle name="_MOR - BDWY - 1+11_BS_Separation_TaxResIndem_Q12412 tf_Restructuring &amp; Separation_Guidance_Sheet3" xfId="5466" xr:uid="{00000000-0005-0000-0000-000059150000}"/>
    <cellStyle name="_MOR - BDWY - 1+11_BS_Separation_TaxResIndem_Q12412 tf_Restructuring &amp; Separation_Guidance_Sheet4" xfId="5467" xr:uid="{00000000-0005-0000-0000-00005A150000}"/>
    <cellStyle name="_MOR - BDWY - 1+11_By Country Detail 1Q10 041410pm FIN 18 revised per disc w Mary" xfId="5468" xr:uid="{00000000-0005-0000-0000-00005B150000}"/>
    <cellStyle name="_MOR - BDWY - 1+11_By Country Detail 1Q10 041410pm FIN 18 revised per disc w Mary_BS_Separation_TaxResIndem_Q12412 tf" xfId="5469" xr:uid="{00000000-0005-0000-0000-00005C150000}"/>
    <cellStyle name="_MOR - BDWY - 1+11_By Country Detail 1Q10 041410pm FIN 18 revised per disc w Mary_BS_Separation_TaxResIndem_Q12412 tf_Guidance" xfId="5470" xr:uid="{00000000-0005-0000-0000-00005D150000}"/>
    <cellStyle name="_MOR - BDWY - 1+11_By Country Detail 1Q10 041410pm FIN 18 revised per disc w Mary_BS_Separation_TaxResIndem_Q12412 tf_Guidance 2" xfId="5471" xr:uid="{00000000-0005-0000-0000-00005E150000}"/>
    <cellStyle name="_MOR - BDWY - 1+11_By Country Detail 1Q10 041410pm FIN 18 revised per disc w Mary_BS_Separation_TaxResIndem_Q12412 tf_Guidance_BS retrieve" xfId="5472" xr:uid="{00000000-0005-0000-0000-00005F150000}"/>
    <cellStyle name="_MOR - BDWY - 1+11_By Country Detail 1Q10 041410pm FIN 18 revised per disc w Mary_BS_Separation_TaxResIndem_Q12412 tf_Guidance_Free CF" xfId="5473" xr:uid="{00000000-0005-0000-0000-000060150000}"/>
    <cellStyle name="_MOR - BDWY - 1+11_By Country Detail 1Q10 041410pm FIN 18 revised per disc w Mary_BS_Separation_TaxResIndem_Q12412 tf_Guidance_P&amp;L Rec Qtr" xfId="5474" xr:uid="{00000000-0005-0000-0000-000061150000}"/>
    <cellStyle name="_MOR - BDWY - 1+11_By Country Detail 1Q10 041410pm FIN 18 revised per disc w Mary_BS_Separation_TaxResIndem_Q12412 tf_Guidance_Sheet1" xfId="5475" xr:uid="{00000000-0005-0000-0000-000062150000}"/>
    <cellStyle name="_MOR - BDWY - 1+11_By Country Detail 1Q10 041410pm FIN 18 revised per disc w Mary_BS_Separation_TaxResIndem_Q12412 tf_Guidance_Sheet2" xfId="5476" xr:uid="{00000000-0005-0000-0000-000063150000}"/>
    <cellStyle name="_MOR - BDWY - 1+11_By Country Detail 1Q10 041410pm FIN 18 revised per disc w Mary_BS_Separation_TaxResIndem_Q12412 tf_Guidance_Sheet3" xfId="5477" xr:uid="{00000000-0005-0000-0000-000064150000}"/>
    <cellStyle name="_MOR - BDWY - 1+11_By Country Detail 1Q10 041410pm FIN 18 revised per disc w Mary_BS_Separation_TaxResIndem_Q12412 tf_Guidance_Sheet4" xfId="5478" xr:uid="{00000000-0005-0000-0000-000065150000}"/>
    <cellStyle name="_MOR - BDWY - 1+11_By Country Detail 1Q10 041410pm FIN 18 revised per disc w Mary_BS_Separation_TaxResIndem_Q12412 tf_Restructuring &amp; Separation" xfId="5479" xr:uid="{00000000-0005-0000-0000-000066150000}"/>
    <cellStyle name="_MOR - BDWY - 1+11_By Country Detail 1Q10 041410pm FIN 18 revised per disc w Mary_BS_Separation_TaxResIndem_Q12412 tf_Restructuring &amp; Separation_Guidance" xfId="5480" xr:uid="{00000000-0005-0000-0000-000067150000}"/>
    <cellStyle name="_MOR - BDWY - 1+11_By Country Detail 1Q10 041410pm FIN 18 revised per disc w Mary_BS_Separation_TaxResIndem_Q12412 tf_Restructuring &amp; Separation_Guidance 2" xfId="5481" xr:uid="{00000000-0005-0000-0000-000068150000}"/>
    <cellStyle name="_MOR - BDWY - 1+11_By Country Detail 1Q10 041410pm FIN 18 revised per disc w Mary_BS_Separation_TaxResIndem_Q12412 tf_Restructuring &amp; Separation_Guidance_BS retrieve" xfId="5482" xr:uid="{00000000-0005-0000-0000-000069150000}"/>
    <cellStyle name="_MOR - BDWY - 1+11_By Country Detail 1Q10 041410pm FIN 18 revised per disc w Mary_BS_Separation_TaxResIndem_Q12412 tf_Restructuring &amp; Separation_Guidance_Free CF" xfId="5483" xr:uid="{00000000-0005-0000-0000-00006A150000}"/>
    <cellStyle name="_MOR - BDWY - 1+11_By Country Detail 1Q10 041410pm FIN 18 revised per disc w Mary_BS_Separation_TaxResIndem_Q12412 tf_Restructuring &amp; Separation_Guidance_P&amp;L Rec Qtr" xfId="5484" xr:uid="{00000000-0005-0000-0000-00006B150000}"/>
    <cellStyle name="_MOR - BDWY - 1+11_By Country Detail 1Q10 041410pm FIN 18 revised per disc w Mary_BS_Separation_TaxResIndem_Q12412 tf_Restructuring &amp; Separation_Guidance_Sheet1" xfId="5485" xr:uid="{00000000-0005-0000-0000-00006C150000}"/>
    <cellStyle name="_MOR - BDWY - 1+11_By Country Detail 1Q10 041410pm FIN 18 revised per disc w Mary_BS_Separation_TaxResIndem_Q12412 tf_Restructuring &amp; Separation_Guidance_Sheet2" xfId="5486" xr:uid="{00000000-0005-0000-0000-00006D150000}"/>
    <cellStyle name="_MOR - BDWY - 1+11_By Country Detail 1Q10 041410pm FIN 18 revised per disc w Mary_BS_Separation_TaxResIndem_Q12412 tf_Restructuring &amp; Separation_Guidance_Sheet3" xfId="5487" xr:uid="{00000000-0005-0000-0000-00006E150000}"/>
    <cellStyle name="_MOR - BDWY - 1+11_By Country Detail 1Q10 041410pm FIN 18 revised per disc w Mary_BS_Separation_TaxResIndem_Q12412 tf_Restructuring &amp; Separation_Guidance_Sheet4" xfId="5488" xr:uid="{00000000-0005-0000-0000-00006F150000}"/>
    <cellStyle name="_MOR - BDWY - 1+11_By Country Detail 1Q10 041410pm FIN 18 revised per disc w Mary_Guidance" xfId="5489" xr:uid="{00000000-0005-0000-0000-000070150000}"/>
    <cellStyle name="_MOR - BDWY - 1+11_By Country Detail 1Q10 041410pm FIN 18 revised per disc w Mary_Guidance 2" xfId="5490" xr:uid="{00000000-0005-0000-0000-000071150000}"/>
    <cellStyle name="_MOR - BDWY - 1+11_By Country Detail 1Q10 041410pm FIN 18 revised per disc w Mary_Guidance_BS retrieve" xfId="5491" xr:uid="{00000000-0005-0000-0000-000072150000}"/>
    <cellStyle name="_MOR - BDWY - 1+11_By Country Detail 1Q10 041410pm FIN 18 revised per disc w Mary_Guidance_Free CF" xfId="5492" xr:uid="{00000000-0005-0000-0000-000073150000}"/>
    <cellStyle name="_MOR - BDWY - 1+11_By Country Detail 1Q10 041410pm FIN 18 revised per disc w Mary_Guidance_P&amp;L Rec Qtr" xfId="5493" xr:uid="{00000000-0005-0000-0000-000074150000}"/>
    <cellStyle name="_MOR - BDWY - 1+11_By Country Detail 1Q10 041410pm FIN 18 revised per disc w Mary_Guidance_Sheet1" xfId="5494" xr:uid="{00000000-0005-0000-0000-000075150000}"/>
    <cellStyle name="_MOR - BDWY - 1+11_By Country Detail 1Q10 041410pm FIN 18 revised per disc w Mary_Guidance_Sheet2" xfId="5495" xr:uid="{00000000-0005-0000-0000-000076150000}"/>
    <cellStyle name="_MOR - BDWY - 1+11_By Country Detail 1Q10 041410pm FIN 18 revised per disc w Mary_Guidance_Sheet3" xfId="5496" xr:uid="{00000000-0005-0000-0000-000077150000}"/>
    <cellStyle name="_MOR - BDWY - 1+11_By Country Detail 1Q10 041410pm FIN 18 revised per disc w Mary_Guidance_Sheet4" xfId="5497" xr:uid="{00000000-0005-0000-0000-000078150000}"/>
    <cellStyle name="_MOR - BDWY - 1+11_By Country Detail 1Q10 041410pm FIN 18 revised per disc w Mary_II.8. Sep&amp;Discrete" xfId="5498" xr:uid="{00000000-0005-0000-0000-000079150000}"/>
    <cellStyle name="_MOR - BDWY - 1+11_By Country Detail 1Q10 041410pm FIN 18 revised per disc w Mary_II.8. Sep&amp;Discrete_Guidance" xfId="5499" xr:uid="{00000000-0005-0000-0000-00007A150000}"/>
    <cellStyle name="_MOR - BDWY - 1+11_By Country Detail 1Q10 041410pm FIN 18 revised per disc w Mary_II.8. Sep&amp;Discrete_Guidance 2" xfId="5500" xr:uid="{00000000-0005-0000-0000-00007B150000}"/>
    <cellStyle name="_MOR - BDWY - 1+11_By Country Detail 1Q10 041410pm FIN 18 revised per disc w Mary_II.8. Sep&amp;Discrete_Guidance_BS retrieve" xfId="5501" xr:uid="{00000000-0005-0000-0000-00007C150000}"/>
    <cellStyle name="_MOR - BDWY - 1+11_By Country Detail 1Q10 041410pm FIN 18 revised per disc w Mary_II.8. Sep&amp;Discrete_Guidance_Free CF" xfId="5502" xr:uid="{00000000-0005-0000-0000-00007D150000}"/>
    <cellStyle name="_MOR - BDWY - 1+11_By Country Detail 1Q10 041410pm FIN 18 revised per disc w Mary_II.8. Sep&amp;Discrete_Guidance_P&amp;L Rec Qtr" xfId="5503" xr:uid="{00000000-0005-0000-0000-00007E150000}"/>
    <cellStyle name="_MOR - BDWY - 1+11_By Country Detail 1Q10 041410pm FIN 18 revised per disc w Mary_II.8. Sep&amp;Discrete_Guidance_Sheet1" xfId="5504" xr:uid="{00000000-0005-0000-0000-00007F150000}"/>
    <cellStyle name="_MOR - BDWY - 1+11_By Country Detail 1Q10 041410pm FIN 18 revised per disc w Mary_II.8. Sep&amp;Discrete_Guidance_Sheet2" xfId="5505" xr:uid="{00000000-0005-0000-0000-000080150000}"/>
    <cellStyle name="_MOR - BDWY - 1+11_By Country Detail 1Q10 041410pm FIN 18 revised per disc w Mary_II.8. Sep&amp;Discrete_Guidance_Sheet3" xfId="5506" xr:uid="{00000000-0005-0000-0000-000081150000}"/>
    <cellStyle name="_MOR - BDWY - 1+11_By Country Detail 1Q10 041410pm FIN 18 revised per disc w Mary_II.8. Sep&amp;Discrete_Guidance_Sheet4" xfId="5507" xr:uid="{00000000-0005-0000-0000-000082150000}"/>
    <cellStyle name="_MOR - BDWY - 1+11_By Country Detail 1Q10 041410pm FIN 18 revised per disc w Mary_Restructuring &amp; Separation" xfId="5508" xr:uid="{00000000-0005-0000-0000-000083150000}"/>
    <cellStyle name="_MOR - BDWY - 1+11_By Country Detail 1Q10 041410pm FIN 18 revised per disc w Mary_Restructuring &amp; Separation_Guidance" xfId="5509" xr:uid="{00000000-0005-0000-0000-000084150000}"/>
    <cellStyle name="_MOR - BDWY - 1+11_By Country Detail 1Q10 041410pm FIN 18 revised per disc w Mary_Restructuring &amp; Separation_Guidance 2" xfId="5510" xr:uid="{00000000-0005-0000-0000-000085150000}"/>
    <cellStyle name="_MOR - BDWY - 1+11_By Country Detail 1Q10 041410pm FIN 18 revised per disc w Mary_Restructuring &amp; Separation_Guidance_BS retrieve" xfId="5511" xr:uid="{00000000-0005-0000-0000-000086150000}"/>
    <cellStyle name="_MOR - BDWY - 1+11_By Country Detail 1Q10 041410pm FIN 18 revised per disc w Mary_Restructuring &amp; Separation_Guidance_Free CF" xfId="5512" xr:uid="{00000000-0005-0000-0000-000087150000}"/>
    <cellStyle name="_MOR - BDWY - 1+11_By Country Detail 1Q10 041410pm FIN 18 revised per disc w Mary_Restructuring &amp; Separation_Guidance_P&amp;L Rec Qtr" xfId="5513" xr:uid="{00000000-0005-0000-0000-000088150000}"/>
    <cellStyle name="_MOR - BDWY - 1+11_By Country Detail 1Q10 041410pm FIN 18 revised per disc w Mary_Restructuring &amp; Separation_Guidance_Sheet1" xfId="5514" xr:uid="{00000000-0005-0000-0000-000089150000}"/>
    <cellStyle name="_MOR - BDWY - 1+11_By Country Detail 1Q10 041410pm FIN 18 revised per disc w Mary_Restructuring &amp; Separation_Guidance_Sheet2" xfId="5515" xr:uid="{00000000-0005-0000-0000-00008A150000}"/>
    <cellStyle name="_MOR - BDWY - 1+11_By Country Detail 1Q10 041410pm FIN 18 revised per disc w Mary_Restructuring &amp; Separation_Guidance_Sheet3" xfId="5516" xr:uid="{00000000-0005-0000-0000-00008B150000}"/>
    <cellStyle name="_MOR - BDWY - 1+11_By Country Detail 1Q10 041410pm FIN 18 revised per disc w Mary_Restructuring &amp; Separation_Guidance_Sheet4" xfId="5517" xr:uid="{00000000-0005-0000-0000-00008C150000}"/>
    <cellStyle name="_MOR - BDWY - 1+11_Guidance" xfId="5518" xr:uid="{00000000-0005-0000-0000-00008D150000}"/>
    <cellStyle name="_MOR - BDWY - 1+11_Guidance 2" xfId="5519" xr:uid="{00000000-0005-0000-0000-00008E150000}"/>
    <cellStyle name="_MOR - BDWY - 1+11_Guidance_BS retrieve" xfId="5520" xr:uid="{00000000-0005-0000-0000-00008F150000}"/>
    <cellStyle name="_MOR - BDWY - 1+11_Guidance_Free CF" xfId="5521" xr:uid="{00000000-0005-0000-0000-000090150000}"/>
    <cellStyle name="_MOR - BDWY - 1+11_Guidance_P&amp;L Rec Qtr" xfId="5522" xr:uid="{00000000-0005-0000-0000-000091150000}"/>
    <cellStyle name="_MOR - BDWY - 1+11_Guidance_Sheet1" xfId="5523" xr:uid="{00000000-0005-0000-0000-000092150000}"/>
    <cellStyle name="_MOR - BDWY - 1+11_Guidance_Sheet2" xfId="5524" xr:uid="{00000000-0005-0000-0000-000093150000}"/>
    <cellStyle name="_MOR - BDWY - 1+11_Guidance_Sheet3" xfId="5525" xr:uid="{00000000-0005-0000-0000-000094150000}"/>
    <cellStyle name="_MOR - BDWY - 1+11_Guidance_Sheet4" xfId="5526" xr:uid="{00000000-0005-0000-0000-000095150000}"/>
    <cellStyle name="_MOR - BDWY - 1+11_II.4. RawMaterials" xfId="5527" xr:uid="{00000000-0005-0000-0000-000096150000}"/>
    <cellStyle name="_MOR - BDWY - 1+11_II.4. RawMaterials 2" xfId="5528" xr:uid="{00000000-0005-0000-0000-000097150000}"/>
    <cellStyle name="_MOR - BDWY - 1+11_II.4. RawMaterials_BS retrieve" xfId="5529" xr:uid="{00000000-0005-0000-0000-000098150000}"/>
    <cellStyle name="_MOR - BDWY - 1+11_II.4. RawMaterials_Free CF" xfId="5530" xr:uid="{00000000-0005-0000-0000-000099150000}"/>
    <cellStyle name="_MOR - BDWY - 1+11_II.4. RawMaterials_P&amp;L Rec Qtr" xfId="5531" xr:uid="{00000000-0005-0000-0000-00009A150000}"/>
    <cellStyle name="_MOR - BDWY - 1+11_II.4. RawMaterials_Sheet1" xfId="5532" xr:uid="{00000000-0005-0000-0000-00009B150000}"/>
    <cellStyle name="_MOR - BDWY - 1+11_II.4. RawMaterials_Sheet2" xfId="5533" xr:uid="{00000000-0005-0000-0000-00009C150000}"/>
    <cellStyle name="_MOR - BDWY - 1+11_II.4. RawMaterials_Sheet3" xfId="5534" xr:uid="{00000000-0005-0000-0000-00009D150000}"/>
    <cellStyle name="_MOR - BDWY - 1+11_II.4. RawMaterials_Sheet4" xfId="5535" xr:uid="{00000000-0005-0000-0000-00009E150000}"/>
    <cellStyle name="_MOR - BDWY - 1+11_II.5. RawMaterials" xfId="5536" xr:uid="{00000000-0005-0000-0000-00009F150000}"/>
    <cellStyle name="_MOR - BDWY - 1+11_II.5. RawMaterials 2" xfId="5537" xr:uid="{00000000-0005-0000-0000-0000A0150000}"/>
    <cellStyle name="_MOR - BDWY - 1+11_II.5. RawMaterials_BS retrieve" xfId="5538" xr:uid="{00000000-0005-0000-0000-0000A1150000}"/>
    <cellStyle name="_MOR - BDWY - 1+11_II.5. RawMaterials_Free CF" xfId="5539" xr:uid="{00000000-0005-0000-0000-0000A2150000}"/>
    <cellStyle name="_MOR - BDWY - 1+11_II.5. RawMaterials_Guidance" xfId="5540" xr:uid="{00000000-0005-0000-0000-0000A3150000}"/>
    <cellStyle name="_MOR - BDWY - 1+11_II.5. RawMaterials_Guidance 2" xfId="5541" xr:uid="{00000000-0005-0000-0000-0000A4150000}"/>
    <cellStyle name="_MOR - BDWY - 1+11_II.5. RawMaterials_Guidance_BS retrieve" xfId="5542" xr:uid="{00000000-0005-0000-0000-0000A5150000}"/>
    <cellStyle name="_MOR - BDWY - 1+11_II.5. RawMaterials_Guidance_Free CF" xfId="5543" xr:uid="{00000000-0005-0000-0000-0000A6150000}"/>
    <cellStyle name="_MOR - BDWY - 1+11_II.5. RawMaterials_Guidance_P&amp;L Rec Qtr" xfId="5544" xr:uid="{00000000-0005-0000-0000-0000A7150000}"/>
    <cellStyle name="_MOR - BDWY - 1+11_II.5. RawMaterials_Guidance_Sheet1" xfId="5545" xr:uid="{00000000-0005-0000-0000-0000A8150000}"/>
    <cellStyle name="_MOR - BDWY - 1+11_II.5. RawMaterials_Guidance_Sheet2" xfId="5546" xr:uid="{00000000-0005-0000-0000-0000A9150000}"/>
    <cellStyle name="_MOR - BDWY - 1+11_II.5. RawMaterials_Guidance_Sheet3" xfId="5547" xr:uid="{00000000-0005-0000-0000-0000AA150000}"/>
    <cellStyle name="_MOR - BDWY - 1+11_II.5. RawMaterials_Guidance_Sheet4" xfId="5548" xr:uid="{00000000-0005-0000-0000-0000AB150000}"/>
    <cellStyle name="_MOR - BDWY - 1+11_II.5. RawMaterials_P&amp;L Rec Qtr" xfId="5549" xr:uid="{00000000-0005-0000-0000-0000AC150000}"/>
    <cellStyle name="_MOR - BDWY - 1+11_II.5. RawMaterials_Sheet1" xfId="5550" xr:uid="{00000000-0005-0000-0000-0000AD150000}"/>
    <cellStyle name="_MOR - BDWY - 1+11_II.5. RawMaterials_Sheet2" xfId="5551" xr:uid="{00000000-0005-0000-0000-0000AE150000}"/>
    <cellStyle name="_MOR - BDWY - 1+11_II.5. RawMaterials_Sheet3" xfId="5552" xr:uid="{00000000-0005-0000-0000-0000AF150000}"/>
    <cellStyle name="_MOR - BDWY - 1+11_II.5. RawMaterials_Sheet4" xfId="5553" xr:uid="{00000000-0005-0000-0000-0000B0150000}"/>
    <cellStyle name="_MOR - BDWY - 1+11_II.5. RM Volume Sensitivities" xfId="5554" xr:uid="{00000000-0005-0000-0000-0000B1150000}"/>
    <cellStyle name="_MOR - BDWY - 1+11_II.5. RM Volume Sensitivities 2" xfId="5555" xr:uid="{00000000-0005-0000-0000-0000B2150000}"/>
    <cellStyle name="_MOR - BDWY - 1+11_II.5. RM Volume Sensitivities_BS retrieve" xfId="5556" xr:uid="{00000000-0005-0000-0000-0000B3150000}"/>
    <cellStyle name="_MOR - BDWY - 1+11_II.5. RM Volume Sensitivities_Free CF" xfId="5557" xr:uid="{00000000-0005-0000-0000-0000B4150000}"/>
    <cellStyle name="_MOR - BDWY - 1+11_II.5. RM Volume Sensitivities_P&amp;L Rec Qtr" xfId="5558" xr:uid="{00000000-0005-0000-0000-0000B5150000}"/>
    <cellStyle name="_MOR - BDWY - 1+11_II.5. RM Volume Sensitivities_Sheet1" xfId="5559" xr:uid="{00000000-0005-0000-0000-0000B6150000}"/>
    <cellStyle name="_MOR - BDWY - 1+11_II.5. RM Volume Sensitivities_Sheet2" xfId="5560" xr:uid="{00000000-0005-0000-0000-0000B7150000}"/>
    <cellStyle name="_MOR - BDWY - 1+11_II.5. RM Volume Sensitivities_Sheet3" xfId="5561" xr:uid="{00000000-0005-0000-0000-0000B8150000}"/>
    <cellStyle name="_MOR - BDWY - 1+11_II.5. RM Volume Sensitivities_Sheet4" xfId="5562" xr:uid="{00000000-0005-0000-0000-0000B9150000}"/>
    <cellStyle name="_MOR - BDWY - 1+11_II.8. Sep&amp;Discrete" xfId="5563" xr:uid="{00000000-0005-0000-0000-0000BA150000}"/>
    <cellStyle name="_MOR - BDWY - 1+11_II.8. Sep&amp;Discrete_Guidance" xfId="5564" xr:uid="{00000000-0005-0000-0000-0000BB150000}"/>
    <cellStyle name="_MOR - BDWY - 1+11_II.8. Sep&amp;Discrete_Guidance 2" xfId="5565" xr:uid="{00000000-0005-0000-0000-0000BC150000}"/>
    <cellStyle name="_MOR - BDWY - 1+11_II.8. Sep&amp;Discrete_Guidance_BS retrieve" xfId="5566" xr:uid="{00000000-0005-0000-0000-0000BD150000}"/>
    <cellStyle name="_MOR - BDWY - 1+11_II.8. Sep&amp;Discrete_Guidance_Free CF" xfId="5567" xr:uid="{00000000-0005-0000-0000-0000BE150000}"/>
    <cellStyle name="_MOR - BDWY - 1+11_II.8. Sep&amp;Discrete_Guidance_P&amp;L Rec Qtr" xfId="5568" xr:uid="{00000000-0005-0000-0000-0000BF150000}"/>
    <cellStyle name="_MOR - BDWY - 1+11_II.8. Sep&amp;Discrete_Guidance_Sheet1" xfId="5569" xr:uid="{00000000-0005-0000-0000-0000C0150000}"/>
    <cellStyle name="_MOR - BDWY - 1+11_II.8. Sep&amp;Discrete_Guidance_Sheet2" xfId="5570" xr:uid="{00000000-0005-0000-0000-0000C1150000}"/>
    <cellStyle name="_MOR - BDWY - 1+11_II.8. Sep&amp;Discrete_Guidance_Sheet3" xfId="5571" xr:uid="{00000000-0005-0000-0000-0000C2150000}"/>
    <cellStyle name="_MOR - BDWY - 1+11_II.8. Sep&amp;Discrete_Guidance_Sheet4" xfId="5572" xr:uid="{00000000-0005-0000-0000-0000C3150000}"/>
    <cellStyle name="_MOR - BDWY - 1+11_MOR - Australia -  EC - 1+11" xfId="5573" xr:uid="{00000000-0005-0000-0000-0000C4150000}"/>
    <cellStyle name="_MOR - BDWY - 1+11_MOR - Australia -  EC - 1+11_BS_Separation_TaxResIndem_Q12412 tf" xfId="5574" xr:uid="{00000000-0005-0000-0000-0000C5150000}"/>
    <cellStyle name="_MOR - BDWY - 1+11_MOR - Australia -  EC - 1+11_BS_Separation_TaxResIndem_Q12412 tf_Guidance" xfId="5575" xr:uid="{00000000-0005-0000-0000-0000C6150000}"/>
    <cellStyle name="_MOR - BDWY - 1+11_MOR - Australia -  EC - 1+11_BS_Separation_TaxResIndem_Q12412 tf_Guidance 2" xfId="5576" xr:uid="{00000000-0005-0000-0000-0000C7150000}"/>
    <cellStyle name="_MOR - BDWY - 1+11_MOR - Australia -  EC - 1+11_BS_Separation_TaxResIndem_Q12412 tf_Guidance_BS retrieve" xfId="5577" xr:uid="{00000000-0005-0000-0000-0000C8150000}"/>
    <cellStyle name="_MOR - BDWY - 1+11_MOR - Australia -  EC - 1+11_BS_Separation_TaxResIndem_Q12412 tf_Guidance_Free CF" xfId="5578" xr:uid="{00000000-0005-0000-0000-0000C9150000}"/>
    <cellStyle name="_MOR - BDWY - 1+11_MOR - Australia -  EC - 1+11_BS_Separation_TaxResIndem_Q12412 tf_Guidance_P&amp;L Rec Qtr" xfId="5579" xr:uid="{00000000-0005-0000-0000-0000CA150000}"/>
    <cellStyle name="_MOR - BDWY - 1+11_MOR - Australia -  EC - 1+11_BS_Separation_TaxResIndem_Q12412 tf_Guidance_Sheet1" xfId="5580" xr:uid="{00000000-0005-0000-0000-0000CB150000}"/>
    <cellStyle name="_MOR - BDWY - 1+11_MOR - Australia -  EC - 1+11_BS_Separation_TaxResIndem_Q12412 tf_Guidance_Sheet2" xfId="5581" xr:uid="{00000000-0005-0000-0000-0000CC150000}"/>
    <cellStyle name="_MOR - BDWY - 1+11_MOR - Australia -  EC - 1+11_BS_Separation_TaxResIndem_Q12412 tf_Guidance_Sheet3" xfId="5582" xr:uid="{00000000-0005-0000-0000-0000CD150000}"/>
    <cellStyle name="_MOR - BDWY - 1+11_MOR - Australia -  EC - 1+11_BS_Separation_TaxResIndem_Q12412 tf_Guidance_Sheet4" xfId="5583" xr:uid="{00000000-0005-0000-0000-0000CE150000}"/>
    <cellStyle name="_MOR - BDWY - 1+11_MOR - Australia -  EC - 1+11_BS_Separation_TaxResIndem_Q12412 tf_Restructuring &amp; Separation" xfId="5584" xr:uid="{00000000-0005-0000-0000-0000CF150000}"/>
    <cellStyle name="_MOR - BDWY - 1+11_MOR - Australia -  EC - 1+11_BS_Separation_TaxResIndem_Q12412 tf_Restructuring &amp; Separation_Guidance" xfId="5585" xr:uid="{00000000-0005-0000-0000-0000D0150000}"/>
    <cellStyle name="_MOR - BDWY - 1+11_MOR - Australia -  EC - 1+11_BS_Separation_TaxResIndem_Q12412 tf_Restructuring &amp; Separation_Guidance 2" xfId="5586" xr:uid="{00000000-0005-0000-0000-0000D1150000}"/>
    <cellStyle name="_MOR - BDWY - 1+11_MOR - Australia -  EC - 1+11_BS_Separation_TaxResIndem_Q12412 tf_Restructuring &amp; Separation_Guidance_BS retrieve" xfId="5587" xr:uid="{00000000-0005-0000-0000-0000D2150000}"/>
    <cellStyle name="_MOR - BDWY - 1+11_MOR - Australia -  EC - 1+11_BS_Separation_TaxResIndem_Q12412 tf_Restructuring &amp; Separation_Guidance_Free CF" xfId="5588" xr:uid="{00000000-0005-0000-0000-0000D3150000}"/>
    <cellStyle name="_MOR - BDWY - 1+11_MOR - Australia -  EC - 1+11_BS_Separation_TaxResIndem_Q12412 tf_Restructuring &amp; Separation_Guidance_P&amp;L Rec Qtr" xfId="5589" xr:uid="{00000000-0005-0000-0000-0000D4150000}"/>
    <cellStyle name="_MOR - BDWY - 1+11_MOR - Australia -  EC - 1+11_BS_Separation_TaxResIndem_Q12412 tf_Restructuring &amp; Separation_Guidance_Sheet1" xfId="5590" xr:uid="{00000000-0005-0000-0000-0000D5150000}"/>
    <cellStyle name="_MOR - BDWY - 1+11_MOR - Australia -  EC - 1+11_BS_Separation_TaxResIndem_Q12412 tf_Restructuring &amp; Separation_Guidance_Sheet2" xfId="5591" xr:uid="{00000000-0005-0000-0000-0000D6150000}"/>
    <cellStyle name="_MOR - BDWY - 1+11_MOR - Australia -  EC - 1+11_BS_Separation_TaxResIndem_Q12412 tf_Restructuring &amp; Separation_Guidance_Sheet3" xfId="5592" xr:uid="{00000000-0005-0000-0000-0000D7150000}"/>
    <cellStyle name="_MOR - BDWY - 1+11_MOR - Australia -  EC - 1+11_BS_Separation_TaxResIndem_Q12412 tf_Restructuring &amp; Separation_Guidance_Sheet4" xfId="5593" xr:uid="{00000000-0005-0000-0000-0000D8150000}"/>
    <cellStyle name="_MOR - BDWY - 1+11_MOR - Australia -  EC - 1+11_By Country Detail 1Q10 041410pm FIN 18 revised per disc w Mary" xfId="5594" xr:uid="{00000000-0005-0000-0000-0000D9150000}"/>
    <cellStyle name="_MOR - BDWY - 1+11_MOR - Australia -  EC - 1+11_By Country Detail 1Q10 041410pm FIN 18 revised per disc w Mary_BS_Separation_TaxResIndem_Q12412 tf" xfId="5595" xr:uid="{00000000-0005-0000-0000-0000DA150000}"/>
    <cellStyle name="_MOR - BDWY - 1+11_MOR - Australia -  EC - 1+11_By Country Detail 1Q10 041410pm FIN 18 revised per disc w Mary_BS_Separation_TaxResIndem_Q12412 tf_Guidance" xfId="5596" xr:uid="{00000000-0005-0000-0000-0000DB150000}"/>
    <cellStyle name="_MOR - BDWY - 1+11_MOR - Australia -  EC - 1+11_By Country Detail 1Q10 041410pm FIN 18 revised per disc w Mary_BS_Separation_TaxResIndem_Q12412 tf_Guidance 2" xfId="5597" xr:uid="{00000000-0005-0000-0000-0000DC150000}"/>
    <cellStyle name="_MOR - BDWY - 1+11_MOR - Australia -  EC - 1+11_By Country Detail 1Q10 041410pm FIN 18 revised per disc w Mary_BS_Separation_TaxResIndem_Q12412 tf_Guidance_BS retrieve" xfId="5598" xr:uid="{00000000-0005-0000-0000-0000DD150000}"/>
    <cellStyle name="_MOR - BDWY - 1+11_MOR - Australia -  EC - 1+11_By Country Detail 1Q10 041410pm FIN 18 revised per disc w Mary_BS_Separation_TaxResIndem_Q12412 tf_Guidance_Free CF" xfId="5599" xr:uid="{00000000-0005-0000-0000-0000DE150000}"/>
    <cellStyle name="_MOR - BDWY - 1+11_MOR - Australia -  EC - 1+11_By Country Detail 1Q10 041410pm FIN 18 revised per disc w Mary_BS_Separation_TaxResIndem_Q12412 tf_Guidance_P&amp;L Rec Qtr" xfId="5600" xr:uid="{00000000-0005-0000-0000-0000DF150000}"/>
    <cellStyle name="_MOR - BDWY - 1+11_MOR - Australia -  EC - 1+11_By Country Detail 1Q10 041410pm FIN 18 revised per disc w Mary_BS_Separation_TaxResIndem_Q12412 tf_Guidance_Sheet1" xfId="5601" xr:uid="{00000000-0005-0000-0000-0000E0150000}"/>
    <cellStyle name="_MOR - BDWY - 1+11_MOR - Australia -  EC - 1+11_By Country Detail 1Q10 041410pm FIN 18 revised per disc w Mary_BS_Separation_TaxResIndem_Q12412 tf_Guidance_Sheet2" xfId="5602" xr:uid="{00000000-0005-0000-0000-0000E1150000}"/>
    <cellStyle name="_MOR - BDWY - 1+11_MOR - Australia -  EC - 1+11_By Country Detail 1Q10 041410pm FIN 18 revised per disc w Mary_BS_Separation_TaxResIndem_Q12412 tf_Guidance_Sheet3" xfId="5603" xr:uid="{00000000-0005-0000-0000-0000E2150000}"/>
    <cellStyle name="_MOR - BDWY - 1+11_MOR - Australia -  EC - 1+11_By Country Detail 1Q10 041410pm FIN 18 revised per disc w Mary_BS_Separation_TaxResIndem_Q12412 tf_Guidance_Sheet4" xfId="5604" xr:uid="{00000000-0005-0000-0000-0000E3150000}"/>
    <cellStyle name="_MOR - BDWY - 1+11_MOR - Australia -  EC - 1+11_By Country Detail 1Q10 041410pm FIN 18 revised per disc w Mary_BS_Separation_TaxResIndem_Q12412 tf_Restructuring &amp; Separation" xfId="5605" xr:uid="{00000000-0005-0000-0000-0000E4150000}"/>
    <cellStyle name="_MOR - BDWY - 1+11_MOR - Australia -  EC - 1+11_By Country Detail 1Q10 041410pm FIN 18 revised per disc w Mary_BS_Separation_TaxResIndem_Q12412 tf_Restructuring &amp; Separation_Guidance" xfId="5606" xr:uid="{00000000-0005-0000-0000-0000E5150000}"/>
    <cellStyle name="_MOR - BDWY - 1+11_MOR - Australia -  EC - 1+11_By Country Detail 1Q10 041410pm FIN 18 revised per disc w Mary_BS_Separation_TaxResIndem_Q12412 tf_Restructuring &amp; Separation_Guidance 2" xfId="5607" xr:uid="{00000000-0005-0000-0000-0000E6150000}"/>
    <cellStyle name="_MOR - BDWY - 1+11_MOR - Australia -  EC - 1+11_By Country Detail 1Q10 041410pm FIN 18 revised per disc w Mary_BS_Separation_TaxResIndem_Q12412 tf_Restructuring &amp; Separation_Guidance_BS retrieve" xfId="5608" xr:uid="{00000000-0005-0000-0000-0000E7150000}"/>
    <cellStyle name="_MOR - BDWY - 1+11_MOR - Australia -  EC - 1+11_By Country Detail 1Q10 041410pm FIN 18 revised per disc w Mary_BS_Separation_TaxResIndem_Q12412 tf_Restructuring &amp; Separation_Guidance_Free CF" xfId="5609" xr:uid="{00000000-0005-0000-0000-0000E8150000}"/>
    <cellStyle name="_MOR - BDWY - 1+11_MOR - Australia -  EC - 1+11_By Country Detail 1Q10 041410pm FIN 18 revised per disc w Mary_BS_Separation_TaxResIndem_Q12412 tf_Restructuring &amp; Separation_Guidance_P&amp;L Rec Qtr" xfId="5610" xr:uid="{00000000-0005-0000-0000-0000E9150000}"/>
    <cellStyle name="_MOR - BDWY - 1+11_MOR - Australia -  EC - 1+11_By Country Detail 1Q10 041410pm FIN 18 revised per disc w Mary_BS_Separation_TaxResIndem_Q12412 tf_Restructuring &amp; Separation_Guidance_Sheet1" xfId="5611" xr:uid="{00000000-0005-0000-0000-0000EA150000}"/>
    <cellStyle name="_MOR - BDWY - 1+11_MOR - Australia -  EC - 1+11_By Country Detail 1Q10 041410pm FIN 18 revised per disc w Mary_BS_Separation_TaxResIndem_Q12412 tf_Restructuring &amp; Separation_Guidance_Sheet2" xfId="5612" xr:uid="{00000000-0005-0000-0000-0000EB150000}"/>
    <cellStyle name="_MOR - BDWY - 1+11_MOR - Australia -  EC - 1+11_By Country Detail 1Q10 041410pm FIN 18 revised per disc w Mary_BS_Separation_TaxResIndem_Q12412 tf_Restructuring &amp; Separation_Guidance_Sheet3" xfId="5613" xr:uid="{00000000-0005-0000-0000-0000EC150000}"/>
    <cellStyle name="_MOR - BDWY - 1+11_MOR - Australia -  EC - 1+11_By Country Detail 1Q10 041410pm FIN 18 revised per disc w Mary_BS_Separation_TaxResIndem_Q12412 tf_Restructuring &amp; Separation_Guidance_Sheet4" xfId="5614" xr:uid="{00000000-0005-0000-0000-0000ED150000}"/>
    <cellStyle name="_MOR - BDWY - 1+11_MOR - Australia -  EC - 1+11_By Country Detail 1Q10 041410pm FIN 18 revised per disc w Mary_Guidance" xfId="5615" xr:uid="{00000000-0005-0000-0000-0000EE150000}"/>
    <cellStyle name="_MOR - BDWY - 1+11_MOR - Australia -  EC - 1+11_By Country Detail 1Q10 041410pm FIN 18 revised per disc w Mary_Guidance 2" xfId="5616" xr:uid="{00000000-0005-0000-0000-0000EF150000}"/>
    <cellStyle name="_MOR - BDWY - 1+11_MOR - Australia -  EC - 1+11_By Country Detail 1Q10 041410pm FIN 18 revised per disc w Mary_Guidance_BS retrieve" xfId="5617" xr:uid="{00000000-0005-0000-0000-0000F0150000}"/>
    <cellStyle name="_MOR - BDWY - 1+11_MOR - Australia -  EC - 1+11_By Country Detail 1Q10 041410pm FIN 18 revised per disc w Mary_Guidance_Free CF" xfId="5618" xr:uid="{00000000-0005-0000-0000-0000F1150000}"/>
    <cellStyle name="_MOR - BDWY - 1+11_MOR - Australia -  EC - 1+11_By Country Detail 1Q10 041410pm FIN 18 revised per disc w Mary_Guidance_P&amp;L Rec Qtr" xfId="5619" xr:uid="{00000000-0005-0000-0000-0000F2150000}"/>
    <cellStyle name="_MOR - BDWY - 1+11_MOR - Australia -  EC - 1+11_By Country Detail 1Q10 041410pm FIN 18 revised per disc w Mary_Guidance_Sheet1" xfId="5620" xr:uid="{00000000-0005-0000-0000-0000F3150000}"/>
    <cellStyle name="_MOR - BDWY - 1+11_MOR - Australia -  EC - 1+11_By Country Detail 1Q10 041410pm FIN 18 revised per disc w Mary_Guidance_Sheet2" xfId="5621" xr:uid="{00000000-0005-0000-0000-0000F4150000}"/>
    <cellStyle name="_MOR - BDWY - 1+11_MOR - Australia -  EC - 1+11_By Country Detail 1Q10 041410pm FIN 18 revised per disc w Mary_Guidance_Sheet3" xfId="5622" xr:uid="{00000000-0005-0000-0000-0000F5150000}"/>
    <cellStyle name="_MOR - BDWY - 1+11_MOR - Australia -  EC - 1+11_By Country Detail 1Q10 041410pm FIN 18 revised per disc w Mary_Guidance_Sheet4" xfId="5623" xr:uid="{00000000-0005-0000-0000-0000F6150000}"/>
    <cellStyle name="_MOR - BDWY - 1+11_MOR - Australia -  EC - 1+11_By Country Detail 1Q10 041410pm FIN 18 revised per disc w Mary_II.8. Sep&amp;Discrete" xfId="5624" xr:uid="{00000000-0005-0000-0000-0000F7150000}"/>
    <cellStyle name="_MOR - BDWY - 1+11_MOR - Australia -  EC - 1+11_By Country Detail 1Q10 041410pm FIN 18 revised per disc w Mary_II.8. Sep&amp;Discrete_Guidance" xfId="5625" xr:uid="{00000000-0005-0000-0000-0000F8150000}"/>
    <cellStyle name="_MOR - BDWY - 1+11_MOR - Australia -  EC - 1+11_By Country Detail 1Q10 041410pm FIN 18 revised per disc w Mary_II.8. Sep&amp;Discrete_Guidance 2" xfId="5626" xr:uid="{00000000-0005-0000-0000-0000F9150000}"/>
    <cellStyle name="_MOR - BDWY - 1+11_MOR - Australia -  EC - 1+11_By Country Detail 1Q10 041410pm FIN 18 revised per disc w Mary_II.8. Sep&amp;Discrete_Guidance_BS retrieve" xfId="5627" xr:uid="{00000000-0005-0000-0000-0000FA150000}"/>
    <cellStyle name="_MOR - BDWY - 1+11_MOR - Australia -  EC - 1+11_By Country Detail 1Q10 041410pm FIN 18 revised per disc w Mary_II.8. Sep&amp;Discrete_Guidance_Free CF" xfId="5628" xr:uid="{00000000-0005-0000-0000-0000FB150000}"/>
    <cellStyle name="_MOR - BDWY - 1+11_MOR - Australia -  EC - 1+11_By Country Detail 1Q10 041410pm FIN 18 revised per disc w Mary_II.8. Sep&amp;Discrete_Guidance_P&amp;L Rec Qtr" xfId="5629" xr:uid="{00000000-0005-0000-0000-0000FC150000}"/>
    <cellStyle name="_MOR - BDWY - 1+11_MOR - Australia -  EC - 1+11_By Country Detail 1Q10 041410pm FIN 18 revised per disc w Mary_II.8. Sep&amp;Discrete_Guidance_Sheet1" xfId="5630" xr:uid="{00000000-0005-0000-0000-0000FD150000}"/>
    <cellStyle name="_MOR - BDWY - 1+11_MOR - Australia -  EC - 1+11_By Country Detail 1Q10 041410pm FIN 18 revised per disc w Mary_II.8. Sep&amp;Discrete_Guidance_Sheet2" xfId="5631" xr:uid="{00000000-0005-0000-0000-0000FE150000}"/>
    <cellStyle name="_MOR - BDWY - 1+11_MOR - Australia -  EC - 1+11_By Country Detail 1Q10 041410pm FIN 18 revised per disc w Mary_II.8. Sep&amp;Discrete_Guidance_Sheet3" xfId="5632" xr:uid="{00000000-0005-0000-0000-0000FF150000}"/>
    <cellStyle name="_MOR - BDWY - 1+11_MOR - Australia -  EC - 1+11_By Country Detail 1Q10 041410pm FIN 18 revised per disc w Mary_II.8. Sep&amp;Discrete_Guidance_Sheet4" xfId="5633" xr:uid="{00000000-0005-0000-0000-000000160000}"/>
    <cellStyle name="_MOR - BDWY - 1+11_MOR - Australia -  EC - 1+11_By Country Detail 1Q10 041410pm FIN 18 revised per disc w Mary_Restructuring &amp; Separation" xfId="5634" xr:uid="{00000000-0005-0000-0000-000001160000}"/>
    <cellStyle name="_MOR - BDWY - 1+11_MOR - Australia -  EC - 1+11_By Country Detail 1Q10 041410pm FIN 18 revised per disc w Mary_Restructuring &amp; Separation_Guidance" xfId="5635" xr:uid="{00000000-0005-0000-0000-000002160000}"/>
    <cellStyle name="_MOR - BDWY - 1+11_MOR - Australia -  EC - 1+11_By Country Detail 1Q10 041410pm FIN 18 revised per disc w Mary_Restructuring &amp; Separation_Guidance 2" xfId="5636" xr:uid="{00000000-0005-0000-0000-000003160000}"/>
    <cellStyle name="_MOR - BDWY - 1+11_MOR - Australia -  EC - 1+11_By Country Detail 1Q10 041410pm FIN 18 revised per disc w Mary_Restructuring &amp; Separation_Guidance_BS retrieve" xfId="5637" xr:uid="{00000000-0005-0000-0000-000004160000}"/>
    <cellStyle name="_MOR - BDWY - 1+11_MOR - Australia -  EC - 1+11_By Country Detail 1Q10 041410pm FIN 18 revised per disc w Mary_Restructuring &amp; Separation_Guidance_Free CF" xfId="5638" xr:uid="{00000000-0005-0000-0000-000005160000}"/>
    <cellStyle name="_MOR - BDWY - 1+11_MOR - Australia -  EC - 1+11_By Country Detail 1Q10 041410pm FIN 18 revised per disc w Mary_Restructuring &amp; Separation_Guidance_P&amp;L Rec Qtr" xfId="5639" xr:uid="{00000000-0005-0000-0000-000006160000}"/>
    <cellStyle name="_MOR - BDWY - 1+11_MOR - Australia -  EC - 1+11_By Country Detail 1Q10 041410pm FIN 18 revised per disc w Mary_Restructuring &amp; Separation_Guidance_Sheet1" xfId="5640" xr:uid="{00000000-0005-0000-0000-000007160000}"/>
    <cellStyle name="_MOR - BDWY - 1+11_MOR - Australia -  EC - 1+11_By Country Detail 1Q10 041410pm FIN 18 revised per disc w Mary_Restructuring &amp; Separation_Guidance_Sheet2" xfId="5641" xr:uid="{00000000-0005-0000-0000-000008160000}"/>
    <cellStyle name="_MOR - BDWY - 1+11_MOR - Australia -  EC - 1+11_By Country Detail 1Q10 041410pm FIN 18 revised per disc w Mary_Restructuring &amp; Separation_Guidance_Sheet3" xfId="5642" xr:uid="{00000000-0005-0000-0000-000009160000}"/>
    <cellStyle name="_MOR - BDWY - 1+11_MOR - Australia -  EC - 1+11_By Country Detail 1Q10 041410pm FIN 18 revised per disc w Mary_Restructuring &amp; Separation_Guidance_Sheet4" xfId="5643" xr:uid="{00000000-0005-0000-0000-00000A160000}"/>
    <cellStyle name="_MOR - BDWY - 1+11_MOR - Australia -  EC - 1+11_Guidance" xfId="5644" xr:uid="{00000000-0005-0000-0000-00000B160000}"/>
    <cellStyle name="_MOR - BDWY - 1+11_MOR - Australia -  EC - 1+11_Guidance 2" xfId="5645" xr:uid="{00000000-0005-0000-0000-00000C160000}"/>
    <cellStyle name="_MOR - BDWY - 1+11_MOR - Australia -  EC - 1+11_Guidance_BS retrieve" xfId="5646" xr:uid="{00000000-0005-0000-0000-00000D160000}"/>
    <cellStyle name="_MOR - BDWY - 1+11_MOR - Australia -  EC - 1+11_Guidance_Free CF" xfId="5647" xr:uid="{00000000-0005-0000-0000-00000E160000}"/>
    <cellStyle name="_MOR - BDWY - 1+11_MOR - Australia -  EC - 1+11_Guidance_P&amp;L Rec Qtr" xfId="5648" xr:uid="{00000000-0005-0000-0000-00000F160000}"/>
    <cellStyle name="_MOR - BDWY - 1+11_MOR - Australia -  EC - 1+11_Guidance_Sheet1" xfId="5649" xr:uid="{00000000-0005-0000-0000-000010160000}"/>
    <cellStyle name="_MOR - BDWY - 1+11_MOR - Australia -  EC - 1+11_Guidance_Sheet2" xfId="5650" xr:uid="{00000000-0005-0000-0000-000011160000}"/>
    <cellStyle name="_MOR - BDWY - 1+11_MOR - Australia -  EC - 1+11_Guidance_Sheet3" xfId="5651" xr:uid="{00000000-0005-0000-0000-000012160000}"/>
    <cellStyle name="_MOR - BDWY - 1+11_MOR - Australia -  EC - 1+11_Guidance_Sheet4" xfId="5652" xr:uid="{00000000-0005-0000-0000-000013160000}"/>
    <cellStyle name="_MOR - BDWY - 1+11_MOR - Australia -  EC - 1+11_II.4. RawMaterials" xfId="5653" xr:uid="{00000000-0005-0000-0000-000014160000}"/>
    <cellStyle name="_MOR - BDWY - 1+11_MOR - Australia -  EC - 1+11_II.4. RawMaterials 2" xfId="5654" xr:uid="{00000000-0005-0000-0000-000015160000}"/>
    <cellStyle name="_MOR - BDWY - 1+11_MOR - Australia -  EC - 1+11_II.4. RawMaterials_BS retrieve" xfId="5655" xr:uid="{00000000-0005-0000-0000-000016160000}"/>
    <cellStyle name="_MOR - BDWY - 1+11_MOR - Australia -  EC - 1+11_II.4. RawMaterials_Free CF" xfId="5656" xr:uid="{00000000-0005-0000-0000-000017160000}"/>
    <cellStyle name="_MOR - BDWY - 1+11_MOR - Australia -  EC - 1+11_II.4. RawMaterials_P&amp;L Rec Qtr" xfId="5657" xr:uid="{00000000-0005-0000-0000-000018160000}"/>
    <cellStyle name="_MOR - BDWY - 1+11_MOR - Australia -  EC - 1+11_II.4. RawMaterials_Sheet1" xfId="5658" xr:uid="{00000000-0005-0000-0000-000019160000}"/>
    <cellStyle name="_MOR - BDWY - 1+11_MOR - Australia -  EC - 1+11_II.4. RawMaterials_Sheet2" xfId="5659" xr:uid="{00000000-0005-0000-0000-00001A160000}"/>
    <cellStyle name="_MOR - BDWY - 1+11_MOR - Australia -  EC - 1+11_II.4. RawMaterials_Sheet3" xfId="5660" xr:uid="{00000000-0005-0000-0000-00001B160000}"/>
    <cellStyle name="_MOR - BDWY - 1+11_MOR - Australia -  EC - 1+11_II.4. RawMaterials_Sheet4" xfId="5661" xr:uid="{00000000-0005-0000-0000-00001C160000}"/>
    <cellStyle name="_MOR - BDWY - 1+11_MOR - Australia -  EC - 1+11_II.5. RawMaterials" xfId="5662" xr:uid="{00000000-0005-0000-0000-00001D160000}"/>
    <cellStyle name="_MOR - BDWY - 1+11_MOR - Australia -  EC - 1+11_II.5. RawMaterials 2" xfId="5663" xr:uid="{00000000-0005-0000-0000-00001E160000}"/>
    <cellStyle name="_MOR - BDWY - 1+11_MOR - Australia -  EC - 1+11_II.5. RawMaterials_BS retrieve" xfId="5664" xr:uid="{00000000-0005-0000-0000-00001F160000}"/>
    <cellStyle name="_MOR - BDWY - 1+11_MOR - Australia -  EC - 1+11_II.5. RawMaterials_Free CF" xfId="5665" xr:uid="{00000000-0005-0000-0000-000020160000}"/>
    <cellStyle name="_MOR - BDWY - 1+11_MOR - Australia -  EC - 1+11_II.5. RawMaterials_Guidance" xfId="5666" xr:uid="{00000000-0005-0000-0000-000021160000}"/>
    <cellStyle name="_MOR - BDWY - 1+11_MOR - Australia -  EC - 1+11_II.5. RawMaterials_Guidance 2" xfId="5667" xr:uid="{00000000-0005-0000-0000-000022160000}"/>
    <cellStyle name="_MOR - BDWY - 1+11_MOR - Australia -  EC - 1+11_II.5. RawMaterials_Guidance_BS retrieve" xfId="5668" xr:uid="{00000000-0005-0000-0000-000023160000}"/>
    <cellStyle name="_MOR - BDWY - 1+11_MOR - Australia -  EC - 1+11_II.5. RawMaterials_Guidance_Free CF" xfId="5669" xr:uid="{00000000-0005-0000-0000-000024160000}"/>
    <cellStyle name="_MOR - BDWY - 1+11_MOR - Australia -  EC - 1+11_II.5. RawMaterials_Guidance_P&amp;L Rec Qtr" xfId="5670" xr:uid="{00000000-0005-0000-0000-000025160000}"/>
    <cellStyle name="_MOR - BDWY - 1+11_MOR - Australia -  EC - 1+11_II.5. RawMaterials_Guidance_Sheet1" xfId="5671" xr:uid="{00000000-0005-0000-0000-000026160000}"/>
    <cellStyle name="_MOR - BDWY - 1+11_MOR - Australia -  EC - 1+11_II.5. RawMaterials_Guidance_Sheet2" xfId="5672" xr:uid="{00000000-0005-0000-0000-000027160000}"/>
    <cellStyle name="_MOR - BDWY - 1+11_MOR - Australia -  EC - 1+11_II.5. RawMaterials_Guidance_Sheet3" xfId="5673" xr:uid="{00000000-0005-0000-0000-000028160000}"/>
    <cellStyle name="_MOR - BDWY - 1+11_MOR - Australia -  EC - 1+11_II.5. RawMaterials_Guidance_Sheet4" xfId="5674" xr:uid="{00000000-0005-0000-0000-000029160000}"/>
    <cellStyle name="_MOR - BDWY - 1+11_MOR - Australia -  EC - 1+11_II.5. RawMaterials_P&amp;L Rec Qtr" xfId="5675" xr:uid="{00000000-0005-0000-0000-00002A160000}"/>
    <cellStyle name="_MOR - BDWY - 1+11_MOR - Australia -  EC - 1+11_II.5. RawMaterials_Sheet1" xfId="5676" xr:uid="{00000000-0005-0000-0000-00002B160000}"/>
    <cellStyle name="_MOR - BDWY - 1+11_MOR - Australia -  EC - 1+11_II.5. RawMaterials_Sheet2" xfId="5677" xr:uid="{00000000-0005-0000-0000-00002C160000}"/>
    <cellStyle name="_MOR - BDWY - 1+11_MOR - Australia -  EC - 1+11_II.5. RawMaterials_Sheet3" xfId="5678" xr:uid="{00000000-0005-0000-0000-00002D160000}"/>
    <cellStyle name="_MOR - BDWY - 1+11_MOR - Australia -  EC - 1+11_II.5. RawMaterials_Sheet4" xfId="5679" xr:uid="{00000000-0005-0000-0000-00002E160000}"/>
    <cellStyle name="_MOR - BDWY - 1+11_MOR - Australia -  EC - 1+11_II.5. RM Volume Sensitivities" xfId="5680" xr:uid="{00000000-0005-0000-0000-00002F160000}"/>
    <cellStyle name="_MOR - BDWY - 1+11_MOR - Australia -  EC - 1+11_II.5. RM Volume Sensitivities 2" xfId="5681" xr:uid="{00000000-0005-0000-0000-000030160000}"/>
    <cellStyle name="_MOR - BDWY - 1+11_MOR - Australia -  EC - 1+11_II.5. RM Volume Sensitivities_BS retrieve" xfId="5682" xr:uid="{00000000-0005-0000-0000-000031160000}"/>
    <cellStyle name="_MOR - BDWY - 1+11_MOR - Australia -  EC - 1+11_II.5. RM Volume Sensitivities_Free CF" xfId="5683" xr:uid="{00000000-0005-0000-0000-000032160000}"/>
    <cellStyle name="_MOR - BDWY - 1+11_MOR - Australia -  EC - 1+11_II.5. RM Volume Sensitivities_P&amp;L Rec Qtr" xfId="5684" xr:uid="{00000000-0005-0000-0000-000033160000}"/>
    <cellStyle name="_MOR - BDWY - 1+11_MOR - Australia -  EC - 1+11_II.5. RM Volume Sensitivities_Sheet1" xfId="5685" xr:uid="{00000000-0005-0000-0000-000034160000}"/>
    <cellStyle name="_MOR - BDWY - 1+11_MOR - Australia -  EC - 1+11_II.5. RM Volume Sensitivities_Sheet2" xfId="5686" xr:uid="{00000000-0005-0000-0000-000035160000}"/>
    <cellStyle name="_MOR - BDWY - 1+11_MOR - Australia -  EC - 1+11_II.5. RM Volume Sensitivities_Sheet3" xfId="5687" xr:uid="{00000000-0005-0000-0000-000036160000}"/>
    <cellStyle name="_MOR - BDWY - 1+11_MOR - Australia -  EC - 1+11_II.5. RM Volume Sensitivities_Sheet4" xfId="5688" xr:uid="{00000000-0005-0000-0000-000037160000}"/>
    <cellStyle name="_MOR - BDWY - 1+11_MOR - Australia -  EC - 1+11_II.8. Sep&amp;Discrete" xfId="5689" xr:uid="{00000000-0005-0000-0000-000038160000}"/>
    <cellStyle name="_MOR - BDWY - 1+11_MOR - Australia -  EC - 1+11_II.8. Sep&amp;Discrete_Guidance" xfId="5690" xr:uid="{00000000-0005-0000-0000-000039160000}"/>
    <cellStyle name="_MOR - BDWY - 1+11_MOR - Australia -  EC - 1+11_II.8. Sep&amp;Discrete_Guidance 2" xfId="5691" xr:uid="{00000000-0005-0000-0000-00003A160000}"/>
    <cellStyle name="_MOR - BDWY - 1+11_MOR - Australia -  EC - 1+11_II.8. Sep&amp;Discrete_Guidance_BS retrieve" xfId="5692" xr:uid="{00000000-0005-0000-0000-00003B160000}"/>
    <cellStyle name="_MOR - BDWY - 1+11_MOR - Australia -  EC - 1+11_II.8. Sep&amp;Discrete_Guidance_Free CF" xfId="5693" xr:uid="{00000000-0005-0000-0000-00003C160000}"/>
    <cellStyle name="_MOR - BDWY - 1+11_MOR - Australia -  EC - 1+11_II.8. Sep&amp;Discrete_Guidance_P&amp;L Rec Qtr" xfId="5694" xr:uid="{00000000-0005-0000-0000-00003D160000}"/>
    <cellStyle name="_MOR - BDWY - 1+11_MOR - Australia -  EC - 1+11_II.8. Sep&amp;Discrete_Guidance_Sheet1" xfId="5695" xr:uid="{00000000-0005-0000-0000-00003E160000}"/>
    <cellStyle name="_MOR - BDWY - 1+11_MOR - Australia -  EC - 1+11_II.8. Sep&amp;Discrete_Guidance_Sheet2" xfId="5696" xr:uid="{00000000-0005-0000-0000-00003F160000}"/>
    <cellStyle name="_MOR - BDWY - 1+11_MOR - Australia -  EC - 1+11_II.8. Sep&amp;Discrete_Guidance_Sheet3" xfId="5697" xr:uid="{00000000-0005-0000-0000-000040160000}"/>
    <cellStyle name="_MOR - BDWY - 1+11_MOR - Australia -  EC - 1+11_II.8. Sep&amp;Discrete_Guidance_Sheet4" xfId="5698" xr:uid="{00000000-0005-0000-0000-000041160000}"/>
    <cellStyle name="_MOR - BDWY - 1+11_MOR - Australia -  EC - 1+11_Restructuring &amp; Separation" xfId="5699" xr:uid="{00000000-0005-0000-0000-000042160000}"/>
    <cellStyle name="_MOR - BDWY - 1+11_MOR - Australia -  EC - 1+11_Restructuring &amp; Separation_Guidance" xfId="5700" xr:uid="{00000000-0005-0000-0000-000043160000}"/>
    <cellStyle name="_MOR - BDWY - 1+11_MOR - Australia -  EC - 1+11_Restructuring &amp; Separation_Guidance 2" xfId="5701" xr:uid="{00000000-0005-0000-0000-000044160000}"/>
    <cellStyle name="_MOR - BDWY - 1+11_MOR - Australia -  EC - 1+11_Restructuring &amp; Separation_Guidance_BS retrieve" xfId="5702" xr:uid="{00000000-0005-0000-0000-000045160000}"/>
    <cellStyle name="_MOR - BDWY - 1+11_MOR - Australia -  EC - 1+11_Restructuring &amp; Separation_Guidance_Free CF" xfId="5703" xr:uid="{00000000-0005-0000-0000-000046160000}"/>
    <cellStyle name="_MOR - BDWY - 1+11_MOR - Australia -  EC - 1+11_Restructuring &amp; Separation_Guidance_P&amp;L Rec Qtr" xfId="5704" xr:uid="{00000000-0005-0000-0000-000047160000}"/>
    <cellStyle name="_MOR - BDWY - 1+11_MOR - Australia -  EC - 1+11_Restructuring &amp; Separation_Guidance_Sheet1" xfId="5705" xr:uid="{00000000-0005-0000-0000-000048160000}"/>
    <cellStyle name="_MOR - BDWY - 1+11_MOR - Australia -  EC - 1+11_Restructuring &amp; Separation_Guidance_Sheet2" xfId="5706" xr:uid="{00000000-0005-0000-0000-000049160000}"/>
    <cellStyle name="_MOR - BDWY - 1+11_MOR - Australia -  EC - 1+11_Restructuring &amp; Separation_Guidance_Sheet3" xfId="5707" xr:uid="{00000000-0005-0000-0000-00004A160000}"/>
    <cellStyle name="_MOR - BDWY - 1+11_MOR - Australia -  EC - 1+11_Restructuring &amp; Separation_Guidance_Sheet4" xfId="5708" xr:uid="{00000000-0005-0000-0000-00004B160000}"/>
    <cellStyle name="_MOR - BDWY - 1+11_MOR - Australia -  EC - 1+11_Restructuring_Separation_TAX_JuneFC2010 tf" xfId="5709" xr:uid="{00000000-0005-0000-0000-00004C160000}"/>
    <cellStyle name="_MOR - BDWY - 1+11_MOR - Australia -  EC - 1+11_Restructuring_Separation_TAX_JuneFC2010 tf_BS_Separation_TaxResIndem_Q12412 tf" xfId="5710" xr:uid="{00000000-0005-0000-0000-00004D160000}"/>
    <cellStyle name="_MOR - BDWY - 1+11_MOR - Australia -  EC - 1+11_Restructuring_Separation_TAX_JuneFC2010 tf_BS_Separation_TaxResIndem_Q12412 tf_Guidance" xfId="5711" xr:uid="{00000000-0005-0000-0000-00004E160000}"/>
    <cellStyle name="_MOR - BDWY - 1+11_MOR - Australia -  EC - 1+11_Restructuring_Separation_TAX_JuneFC2010 tf_BS_Separation_TaxResIndem_Q12412 tf_Guidance 2" xfId="5712" xr:uid="{00000000-0005-0000-0000-00004F160000}"/>
    <cellStyle name="_MOR - BDWY - 1+11_MOR - Australia -  EC - 1+11_Restructuring_Separation_TAX_JuneFC2010 tf_BS_Separation_TaxResIndem_Q12412 tf_Guidance_BS retrieve" xfId="5713" xr:uid="{00000000-0005-0000-0000-000050160000}"/>
    <cellStyle name="_MOR - BDWY - 1+11_MOR - Australia -  EC - 1+11_Restructuring_Separation_TAX_JuneFC2010 tf_BS_Separation_TaxResIndem_Q12412 tf_Guidance_Free CF" xfId="5714" xr:uid="{00000000-0005-0000-0000-000051160000}"/>
    <cellStyle name="_MOR - BDWY - 1+11_MOR - Australia -  EC - 1+11_Restructuring_Separation_TAX_JuneFC2010 tf_BS_Separation_TaxResIndem_Q12412 tf_Guidance_P&amp;L Rec Qtr" xfId="5715" xr:uid="{00000000-0005-0000-0000-000052160000}"/>
    <cellStyle name="_MOR - BDWY - 1+11_MOR - Australia -  EC - 1+11_Restructuring_Separation_TAX_JuneFC2010 tf_BS_Separation_TaxResIndem_Q12412 tf_Guidance_Sheet1" xfId="5716" xr:uid="{00000000-0005-0000-0000-000053160000}"/>
    <cellStyle name="_MOR - BDWY - 1+11_MOR - Australia -  EC - 1+11_Restructuring_Separation_TAX_JuneFC2010 tf_BS_Separation_TaxResIndem_Q12412 tf_Guidance_Sheet2" xfId="5717" xr:uid="{00000000-0005-0000-0000-000054160000}"/>
    <cellStyle name="_MOR - BDWY - 1+11_MOR - Australia -  EC - 1+11_Restructuring_Separation_TAX_JuneFC2010 tf_BS_Separation_TaxResIndem_Q12412 tf_Guidance_Sheet3" xfId="5718" xr:uid="{00000000-0005-0000-0000-000055160000}"/>
    <cellStyle name="_MOR - BDWY - 1+11_MOR - Australia -  EC - 1+11_Restructuring_Separation_TAX_JuneFC2010 tf_BS_Separation_TaxResIndem_Q12412 tf_Guidance_Sheet4" xfId="5719" xr:uid="{00000000-0005-0000-0000-000056160000}"/>
    <cellStyle name="_MOR - BDWY - 1+11_MOR - Australia -  EC - 1+11_Restructuring_Separation_TAX_JuneFC2010 tf_BS_Separation_TaxResIndem_Q12412 tf_Restructuring &amp; Separation" xfId="5720" xr:uid="{00000000-0005-0000-0000-000057160000}"/>
    <cellStyle name="_MOR - BDWY - 1+11_MOR - Australia -  EC - 1+11_Restructuring_Separation_TAX_JuneFC2010 tf_BS_Separation_TaxResIndem_Q12412 tf_Restructuring &amp; Separation_Guidance" xfId="5721" xr:uid="{00000000-0005-0000-0000-000058160000}"/>
    <cellStyle name="_MOR - BDWY - 1+11_MOR - Australia -  EC - 1+11_Restructuring_Separation_TAX_JuneFC2010 tf_BS_Separation_TaxResIndem_Q12412 tf_Restructuring &amp; Separation_Guidance 2" xfId="5722" xr:uid="{00000000-0005-0000-0000-000059160000}"/>
    <cellStyle name="_MOR - BDWY - 1+11_MOR - Australia -  EC - 1+11_Restructuring_Separation_TAX_JuneFC2010 tf_BS_Separation_TaxResIndem_Q12412 tf_Restructuring &amp; Separation_Guidance_BS retrieve" xfId="5723" xr:uid="{00000000-0005-0000-0000-00005A160000}"/>
    <cellStyle name="_MOR - BDWY - 1+11_MOR - Australia -  EC - 1+11_Restructuring_Separation_TAX_JuneFC2010 tf_BS_Separation_TaxResIndem_Q12412 tf_Restructuring &amp; Separation_Guidance_Free CF" xfId="5724" xr:uid="{00000000-0005-0000-0000-00005B160000}"/>
    <cellStyle name="_MOR - BDWY - 1+11_MOR - Australia -  EC - 1+11_Restructuring_Separation_TAX_JuneFC2010 tf_BS_Separation_TaxResIndem_Q12412 tf_Restructuring &amp; Separation_Guidance_P&amp;L Rec Qtr" xfId="5725" xr:uid="{00000000-0005-0000-0000-00005C160000}"/>
    <cellStyle name="_MOR - BDWY - 1+11_MOR - Australia -  EC - 1+11_Restructuring_Separation_TAX_JuneFC2010 tf_BS_Separation_TaxResIndem_Q12412 tf_Restructuring &amp; Separation_Guidance_Sheet1" xfId="5726" xr:uid="{00000000-0005-0000-0000-00005D160000}"/>
    <cellStyle name="_MOR - BDWY - 1+11_MOR - Australia -  EC - 1+11_Restructuring_Separation_TAX_JuneFC2010 tf_BS_Separation_TaxResIndem_Q12412 tf_Restructuring &amp; Separation_Guidance_Sheet2" xfId="5727" xr:uid="{00000000-0005-0000-0000-00005E160000}"/>
    <cellStyle name="_MOR - BDWY - 1+11_MOR - Australia -  EC - 1+11_Restructuring_Separation_TAX_JuneFC2010 tf_BS_Separation_TaxResIndem_Q12412 tf_Restructuring &amp; Separation_Guidance_Sheet3" xfId="5728" xr:uid="{00000000-0005-0000-0000-00005F160000}"/>
    <cellStyle name="_MOR - BDWY - 1+11_MOR - Australia -  EC - 1+11_Restructuring_Separation_TAX_JuneFC2010 tf_BS_Separation_TaxResIndem_Q12412 tf_Restructuring &amp; Separation_Guidance_Sheet4" xfId="5729" xr:uid="{00000000-0005-0000-0000-000060160000}"/>
    <cellStyle name="_MOR - BDWY - 1+11_MOR - Australia -  EC - 1+11_Restructuring_Separation_TAX_JuneFC2010 tf_Guidance" xfId="5730" xr:uid="{00000000-0005-0000-0000-000061160000}"/>
    <cellStyle name="_MOR - BDWY - 1+11_MOR - Australia -  EC - 1+11_Restructuring_Separation_TAX_JuneFC2010 tf_Guidance 2" xfId="5731" xr:uid="{00000000-0005-0000-0000-000062160000}"/>
    <cellStyle name="_MOR - BDWY - 1+11_MOR - Australia -  EC - 1+11_Restructuring_Separation_TAX_JuneFC2010 tf_Guidance_BS retrieve" xfId="5732" xr:uid="{00000000-0005-0000-0000-000063160000}"/>
    <cellStyle name="_MOR - BDWY - 1+11_MOR - Australia -  EC - 1+11_Restructuring_Separation_TAX_JuneFC2010 tf_Guidance_Free CF" xfId="5733" xr:uid="{00000000-0005-0000-0000-000064160000}"/>
    <cellStyle name="_MOR - BDWY - 1+11_MOR - Australia -  EC - 1+11_Restructuring_Separation_TAX_JuneFC2010 tf_Guidance_P&amp;L Rec Qtr" xfId="5734" xr:uid="{00000000-0005-0000-0000-000065160000}"/>
    <cellStyle name="_MOR - BDWY - 1+11_MOR - Australia -  EC - 1+11_Restructuring_Separation_TAX_JuneFC2010 tf_Guidance_Sheet1" xfId="5735" xr:uid="{00000000-0005-0000-0000-000066160000}"/>
    <cellStyle name="_MOR - BDWY - 1+11_MOR - Australia -  EC - 1+11_Restructuring_Separation_TAX_JuneFC2010 tf_Guidance_Sheet2" xfId="5736" xr:uid="{00000000-0005-0000-0000-000067160000}"/>
    <cellStyle name="_MOR - BDWY - 1+11_MOR - Australia -  EC - 1+11_Restructuring_Separation_TAX_JuneFC2010 tf_Guidance_Sheet3" xfId="5737" xr:uid="{00000000-0005-0000-0000-000068160000}"/>
    <cellStyle name="_MOR - BDWY - 1+11_MOR - Australia -  EC - 1+11_Restructuring_Separation_TAX_JuneFC2010 tf_Guidance_Sheet4" xfId="5738" xr:uid="{00000000-0005-0000-0000-000069160000}"/>
    <cellStyle name="_MOR - BDWY - 1+11_MOR - Australia -  EC - 1+11_Restructuring_Separation_TAX_JuneFC2010 tf_II.8. Sep&amp;Discrete" xfId="5739" xr:uid="{00000000-0005-0000-0000-00006A160000}"/>
    <cellStyle name="_MOR - BDWY - 1+11_MOR - Australia -  EC - 1+11_Restructuring_Separation_TAX_JuneFC2010 tf_II.8. Sep&amp;Discrete_Guidance" xfId="5740" xr:uid="{00000000-0005-0000-0000-00006B160000}"/>
    <cellStyle name="_MOR - BDWY - 1+11_MOR - Australia -  EC - 1+11_Restructuring_Separation_TAX_JuneFC2010 tf_II.8. Sep&amp;Discrete_Guidance 2" xfId="5741" xr:uid="{00000000-0005-0000-0000-00006C160000}"/>
    <cellStyle name="_MOR - BDWY - 1+11_MOR - Australia -  EC - 1+11_Restructuring_Separation_TAX_JuneFC2010 tf_II.8. Sep&amp;Discrete_Guidance_BS retrieve" xfId="5742" xr:uid="{00000000-0005-0000-0000-00006D160000}"/>
    <cellStyle name="_MOR - BDWY - 1+11_MOR - Australia -  EC - 1+11_Restructuring_Separation_TAX_JuneFC2010 tf_II.8. Sep&amp;Discrete_Guidance_Free CF" xfId="5743" xr:uid="{00000000-0005-0000-0000-00006E160000}"/>
    <cellStyle name="_MOR - BDWY - 1+11_MOR - Australia -  EC - 1+11_Restructuring_Separation_TAX_JuneFC2010 tf_II.8. Sep&amp;Discrete_Guidance_P&amp;L Rec Qtr" xfId="5744" xr:uid="{00000000-0005-0000-0000-00006F160000}"/>
    <cellStyle name="_MOR - BDWY - 1+11_MOR - Australia -  EC - 1+11_Restructuring_Separation_TAX_JuneFC2010 tf_II.8. Sep&amp;Discrete_Guidance_Sheet1" xfId="5745" xr:uid="{00000000-0005-0000-0000-000070160000}"/>
    <cellStyle name="_MOR - BDWY - 1+11_MOR - Australia -  EC - 1+11_Restructuring_Separation_TAX_JuneFC2010 tf_II.8. Sep&amp;Discrete_Guidance_Sheet2" xfId="5746" xr:uid="{00000000-0005-0000-0000-000071160000}"/>
    <cellStyle name="_MOR - BDWY - 1+11_MOR - Australia -  EC - 1+11_Restructuring_Separation_TAX_JuneFC2010 tf_II.8. Sep&amp;Discrete_Guidance_Sheet3" xfId="5747" xr:uid="{00000000-0005-0000-0000-000072160000}"/>
    <cellStyle name="_MOR - BDWY - 1+11_MOR - Australia -  EC - 1+11_Restructuring_Separation_TAX_JuneFC2010 tf_II.8. Sep&amp;Discrete_Guidance_Sheet4" xfId="5748" xr:uid="{00000000-0005-0000-0000-000073160000}"/>
    <cellStyle name="_MOR - BDWY - 1+11_MOR - Australia -  EC - 1+11_Restructuring_Separation_TAX_JuneFC2010 tf_Restructuring &amp; Separation" xfId="5749" xr:uid="{00000000-0005-0000-0000-000074160000}"/>
    <cellStyle name="_MOR - BDWY - 1+11_MOR - Australia -  EC - 1+11_Restructuring_Separation_TAX_JuneFC2010 tf_Restructuring &amp; Separation_Guidance" xfId="5750" xr:uid="{00000000-0005-0000-0000-000075160000}"/>
    <cellStyle name="_MOR - BDWY - 1+11_MOR - Australia -  EC - 1+11_Restructuring_Separation_TAX_JuneFC2010 tf_Restructuring &amp; Separation_Guidance 2" xfId="5751" xr:uid="{00000000-0005-0000-0000-000076160000}"/>
    <cellStyle name="_MOR - BDWY - 1+11_MOR - Australia -  EC - 1+11_Restructuring_Separation_TAX_JuneFC2010 tf_Restructuring &amp; Separation_Guidance_BS retrieve" xfId="5752" xr:uid="{00000000-0005-0000-0000-000077160000}"/>
    <cellStyle name="_MOR - BDWY - 1+11_MOR - Australia -  EC - 1+11_Restructuring_Separation_TAX_JuneFC2010 tf_Restructuring &amp; Separation_Guidance_Free CF" xfId="5753" xr:uid="{00000000-0005-0000-0000-000078160000}"/>
    <cellStyle name="_MOR - BDWY - 1+11_MOR - Australia -  EC - 1+11_Restructuring_Separation_TAX_JuneFC2010 tf_Restructuring &amp; Separation_Guidance_P&amp;L Rec Qtr" xfId="5754" xr:uid="{00000000-0005-0000-0000-000079160000}"/>
    <cellStyle name="_MOR - BDWY - 1+11_MOR - Australia -  EC - 1+11_Restructuring_Separation_TAX_JuneFC2010 tf_Restructuring &amp; Separation_Guidance_Sheet1" xfId="5755" xr:uid="{00000000-0005-0000-0000-00007A160000}"/>
    <cellStyle name="_MOR - BDWY - 1+11_MOR - Australia -  EC - 1+11_Restructuring_Separation_TAX_JuneFC2010 tf_Restructuring &amp; Separation_Guidance_Sheet2" xfId="5756" xr:uid="{00000000-0005-0000-0000-00007B160000}"/>
    <cellStyle name="_MOR - BDWY - 1+11_MOR - Australia -  EC - 1+11_Restructuring_Separation_TAX_JuneFC2010 tf_Restructuring &amp; Separation_Guidance_Sheet3" xfId="5757" xr:uid="{00000000-0005-0000-0000-00007C160000}"/>
    <cellStyle name="_MOR - BDWY - 1+11_MOR - Australia -  EC - 1+11_Restructuring_Separation_TAX_JuneFC2010 tf_Restructuring &amp; Separation_Guidance_Sheet4" xfId="5758" xr:uid="{00000000-0005-0000-0000-00007D160000}"/>
    <cellStyle name="_MOR - BDWY - 1+11_MOR - Australia -  EC - 2+10" xfId="5759" xr:uid="{00000000-0005-0000-0000-00007E160000}"/>
    <cellStyle name="_MOR - BDWY - 1+11_MOR - Australia -  EC - 2+10_BS_Separation_TaxResIndem_Q12412 tf" xfId="5760" xr:uid="{00000000-0005-0000-0000-00007F160000}"/>
    <cellStyle name="_MOR - BDWY - 1+11_MOR - Australia -  EC - 2+10_BS_Separation_TaxResIndem_Q12412 tf_Guidance" xfId="5761" xr:uid="{00000000-0005-0000-0000-000080160000}"/>
    <cellStyle name="_MOR - BDWY - 1+11_MOR - Australia -  EC - 2+10_BS_Separation_TaxResIndem_Q12412 tf_Guidance 2" xfId="5762" xr:uid="{00000000-0005-0000-0000-000081160000}"/>
    <cellStyle name="_MOR - BDWY - 1+11_MOR - Australia -  EC - 2+10_BS_Separation_TaxResIndem_Q12412 tf_Guidance_BS retrieve" xfId="5763" xr:uid="{00000000-0005-0000-0000-000082160000}"/>
    <cellStyle name="_MOR - BDWY - 1+11_MOR - Australia -  EC - 2+10_BS_Separation_TaxResIndem_Q12412 tf_Guidance_Free CF" xfId="5764" xr:uid="{00000000-0005-0000-0000-000083160000}"/>
    <cellStyle name="_MOR - BDWY - 1+11_MOR - Australia -  EC - 2+10_BS_Separation_TaxResIndem_Q12412 tf_Guidance_P&amp;L Rec Qtr" xfId="5765" xr:uid="{00000000-0005-0000-0000-000084160000}"/>
    <cellStyle name="_MOR - BDWY - 1+11_MOR - Australia -  EC - 2+10_BS_Separation_TaxResIndem_Q12412 tf_Guidance_Sheet1" xfId="5766" xr:uid="{00000000-0005-0000-0000-000085160000}"/>
    <cellStyle name="_MOR - BDWY - 1+11_MOR - Australia -  EC - 2+10_BS_Separation_TaxResIndem_Q12412 tf_Guidance_Sheet2" xfId="5767" xr:uid="{00000000-0005-0000-0000-000086160000}"/>
    <cellStyle name="_MOR - BDWY - 1+11_MOR - Australia -  EC - 2+10_BS_Separation_TaxResIndem_Q12412 tf_Guidance_Sheet3" xfId="5768" xr:uid="{00000000-0005-0000-0000-000087160000}"/>
    <cellStyle name="_MOR - BDWY - 1+11_MOR - Australia -  EC - 2+10_BS_Separation_TaxResIndem_Q12412 tf_Guidance_Sheet4" xfId="5769" xr:uid="{00000000-0005-0000-0000-000088160000}"/>
    <cellStyle name="_MOR - BDWY - 1+11_MOR - Australia -  EC - 2+10_BS_Separation_TaxResIndem_Q12412 tf_Restructuring &amp; Separation" xfId="5770" xr:uid="{00000000-0005-0000-0000-000089160000}"/>
    <cellStyle name="_MOR - BDWY - 1+11_MOR - Australia -  EC - 2+10_BS_Separation_TaxResIndem_Q12412 tf_Restructuring &amp; Separation_Guidance" xfId="5771" xr:uid="{00000000-0005-0000-0000-00008A160000}"/>
    <cellStyle name="_MOR - BDWY - 1+11_MOR - Australia -  EC - 2+10_BS_Separation_TaxResIndem_Q12412 tf_Restructuring &amp; Separation_Guidance 2" xfId="5772" xr:uid="{00000000-0005-0000-0000-00008B160000}"/>
    <cellStyle name="_MOR - BDWY - 1+11_MOR - Australia -  EC - 2+10_BS_Separation_TaxResIndem_Q12412 tf_Restructuring &amp; Separation_Guidance_BS retrieve" xfId="5773" xr:uid="{00000000-0005-0000-0000-00008C160000}"/>
    <cellStyle name="_MOR - BDWY - 1+11_MOR - Australia -  EC - 2+10_BS_Separation_TaxResIndem_Q12412 tf_Restructuring &amp; Separation_Guidance_Free CF" xfId="5774" xr:uid="{00000000-0005-0000-0000-00008D160000}"/>
    <cellStyle name="_MOR - BDWY - 1+11_MOR - Australia -  EC - 2+10_BS_Separation_TaxResIndem_Q12412 tf_Restructuring &amp; Separation_Guidance_P&amp;L Rec Qtr" xfId="5775" xr:uid="{00000000-0005-0000-0000-00008E160000}"/>
    <cellStyle name="_MOR - BDWY - 1+11_MOR - Australia -  EC - 2+10_BS_Separation_TaxResIndem_Q12412 tf_Restructuring &amp; Separation_Guidance_Sheet1" xfId="5776" xr:uid="{00000000-0005-0000-0000-00008F160000}"/>
    <cellStyle name="_MOR - BDWY - 1+11_MOR - Australia -  EC - 2+10_BS_Separation_TaxResIndem_Q12412 tf_Restructuring &amp; Separation_Guidance_Sheet2" xfId="5777" xr:uid="{00000000-0005-0000-0000-000090160000}"/>
    <cellStyle name="_MOR - BDWY - 1+11_MOR - Australia -  EC - 2+10_BS_Separation_TaxResIndem_Q12412 tf_Restructuring &amp; Separation_Guidance_Sheet3" xfId="5778" xr:uid="{00000000-0005-0000-0000-000091160000}"/>
    <cellStyle name="_MOR - BDWY - 1+11_MOR - Australia -  EC - 2+10_BS_Separation_TaxResIndem_Q12412 tf_Restructuring &amp; Separation_Guidance_Sheet4" xfId="5779" xr:uid="{00000000-0005-0000-0000-000092160000}"/>
    <cellStyle name="_MOR - BDWY - 1+11_MOR - Australia -  EC - 2+10_By Country Detail 1Q10 041410pm FIN 18 revised per disc w Mary" xfId="5780" xr:uid="{00000000-0005-0000-0000-000093160000}"/>
    <cellStyle name="_MOR - BDWY - 1+11_MOR - Australia -  EC - 2+10_By Country Detail 1Q10 041410pm FIN 18 revised per disc w Mary_BS_Separation_TaxResIndem_Q12412 tf" xfId="5781" xr:uid="{00000000-0005-0000-0000-000094160000}"/>
    <cellStyle name="_MOR - BDWY - 1+11_MOR - Australia -  EC - 2+10_By Country Detail 1Q10 041410pm FIN 18 revised per disc w Mary_BS_Separation_TaxResIndem_Q12412 tf_Guidance" xfId="5782" xr:uid="{00000000-0005-0000-0000-000095160000}"/>
    <cellStyle name="_MOR - BDWY - 1+11_MOR - Australia -  EC - 2+10_By Country Detail 1Q10 041410pm FIN 18 revised per disc w Mary_BS_Separation_TaxResIndem_Q12412 tf_Guidance 2" xfId="5783" xr:uid="{00000000-0005-0000-0000-000096160000}"/>
    <cellStyle name="_MOR - BDWY - 1+11_MOR - Australia -  EC - 2+10_By Country Detail 1Q10 041410pm FIN 18 revised per disc w Mary_BS_Separation_TaxResIndem_Q12412 tf_Guidance_BS retrieve" xfId="5784" xr:uid="{00000000-0005-0000-0000-000097160000}"/>
    <cellStyle name="_MOR - BDWY - 1+11_MOR - Australia -  EC - 2+10_By Country Detail 1Q10 041410pm FIN 18 revised per disc w Mary_BS_Separation_TaxResIndem_Q12412 tf_Guidance_Free CF" xfId="5785" xr:uid="{00000000-0005-0000-0000-000098160000}"/>
    <cellStyle name="_MOR - BDWY - 1+11_MOR - Australia -  EC - 2+10_By Country Detail 1Q10 041410pm FIN 18 revised per disc w Mary_BS_Separation_TaxResIndem_Q12412 tf_Guidance_P&amp;L Rec Qtr" xfId="5786" xr:uid="{00000000-0005-0000-0000-000099160000}"/>
    <cellStyle name="_MOR - BDWY - 1+11_MOR - Australia -  EC - 2+10_By Country Detail 1Q10 041410pm FIN 18 revised per disc w Mary_BS_Separation_TaxResIndem_Q12412 tf_Guidance_Sheet1" xfId="5787" xr:uid="{00000000-0005-0000-0000-00009A160000}"/>
    <cellStyle name="_MOR - BDWY - 1+11_MOR - Australia -  EC - 2+10_By Country Detail 1Q10 041410pm FIN 18 revised per disc w Mary_BS_Separation_TaxResIndem_Q12412 tf_Guidance_Sheet2" xfId="5788" xr:uid="{00000000-0005-0000-0000-00009B160000}"/>
    <cellStyle name="_MOR - BDWY - 1+11_MOR - Australia -  EC - 2+10_By Country Detail 1Q10 041410pm FIN 18 revised per disc w Mary_BS_Separation_TaxResIndem_Q12412 tf_Guidance_Sheet3" xfId="5789" xr:uid="{00000000-0005-0000-0000-00009C160000}"/>
    <cellStyle name="_MOR - BDWY - 1+11_MOR - Australia -  EC - 2+10_By Country Detail 1Q10 041410pm FIN 18 revised per disc w Mary_BS_Separation_TaxResIndem_Q12412 tf_Guidance_Sheet4" xfId="5790" xr:uid="{00000000-0005-0000-0000-00009D160000}"/>
    <cellStyle name="_MOR - BDWY - 1+11_MOR - Australia -  EC - 2+10_By Country Detail 1Q10 041410pm FIN 18 revised per disc w Mary_BS_Separation_TaxResIndem_Q12412 tf_Restructuring &amp; Separation" xfId="5791" xr:uid="{00000000-0005-0000-0000-00009E160000}"/>
    <cellStyle name="_MOR - BDWY - 1+11_MOR - Australia -  EC - 2+10_By Country Detail 1Q10 041410pm FIN 18 revised per disc w Mary_BS_Separation_TaxResIndem_Q12412 tf_Restructuring &amp; Separation_Guidance" xfId="5792" xr:uid="{00000000-0005-0000-0000-00009F160000}"/>
    <cellStyle name="_MOR - BDWY - 1+11_MOR - Australia -  EC - 2+10_By Country Detail 1Q10 041410pm FIN 18 revised per disc w Mary_BS_Separation_TaxResIndem_Q12412 tf_Restructuring &amp; Separation_Guidance 2" xfId="5793" xr:uid="{00000000-0005-0000-0000-0000A0160000}"/>
    <cellStyle name="_MOR - BDWY - 1+11_MOR - Australia -  EC - 2+10_By Country Detail 1Q10 041410pm FIN 18 revised per disc w Mary_BS_Separation_TaxResIndem_Q12412 tf_Restructuring &amp; Separation_Guidance_BS retrieve" xfId="5794" xr:uid="{00000000-0005-0000-0000-0000A1160000}"/>
    <cellStyle name="_MOR - BDWY - 1+11_MOR - Australia -  EC - 2+10_By Country Detail 1Q10 041410pm FIN 18 revised per disc w Mary_BS_Separation_TaxResIndem_Q12412 tf_Restructuring &amp; Separation_Guidance_Free CF" xfId="5795" xr:uid="{00000000-0005-0000-0000-0000A2160000}"/>
    <cellStyle name="_MOR - BDWY - 1+11_MOR - Australia -  EC - 2+10_By Country Detail 1Q10 041410pm FIN 18 revised per disc w Mary_BS_Separation_TaxResIndem_Q12412 tf_Restructuring &amp; Separation_Guidance_P&amp;L Rec Qtr" xfId="5796" xr:uid="{00000000-0005-0000-0000-0000A3160000}"/>
    <cellStyle name="_MOR - BDWY - 1+11_MOR - Australia -  EC - 2+10_By Country Detail 1Q10 041410pm FIN 18 revised per disc w Mary_BS_Separation_TaxResIndem_Q12412 tf_Restructuring &amp; Separation_Guidance_Sheet1" xfId="5797" xr:uid="{00000000-0005-0000-0000-0000A4160000}"/>
    <cellStyle name="_MOR - BDWY - 1+11_MOR - Australia -  EC - 2+10_By Country Detail 1Q10 041410pm FIN 18 revised per disc w Mary_BS_Separation_TaxResIndem_Q12412 tf_Restructuring &amp; Separation_Guidance_Sheet2" xfId="5798" xr:uid="{00000000-0005-0000-0000-0000A5160000}"/>
    <cellStyle name="_MOR - BDWY - 1+11_MOR - Australia -  EC - 2+10_By Country Detail 1Q10 041410pm FIN 18 revised per disc w Mary_BS_Separation_TaxResIndem_Q12412 tf_Restructuring &amp; Separation_Guidance_Sheet3" xfId="5799" xr:uid="{00000000-0005-0000-0000-0000A6160000}"/>
    <cellStyle name="_MOR - BDWY - 1+11_MOR - Australia -  EC - 2+10_By Country Detail 1Q10 041410pm FIN 18 revised per disc w Mary_BS_Separation_TaxResIndem_Q12412 tf_Restructuring &amp; Separation_Guidance_Sheet4" xfId="5800" xr:uid="{00000000-0005-0000-0000-0000A7160000}"/>
    <cellStyle name="_MOR - BDWY - 1+11_MOR - Australia -  EC - 2+10_By Country Detail 1Q10 041410pm FIN 18 revised per disc w Mary_Guidance" xfId="5801" xr:uid="{00000000-0005-0000-0000-0000A8160000}"/>
    <cellStyle name="_MOR - BDWY - 1+11_MOR - Australia -  EC - 2+10_By Country Detail 1Q10 041410pm FIN 18 revised per disc w Mary_Guidance 2" xfId="5802" xr:uid="{00000000-0005-0000-0000-0000A9160000}"/>
    <cellStyle name="_MOR - BDWY - 1+11_MOR - Australia -  EC - 2+10_By Country Detail 1Q10 041410pm FIN 18 revised per disc w Mary_Guidance_BS retrieve" xfId="5803" xr:uid="{00000000-0005-0000-0000-0000AA160000}"/>
    <cellStyle name="_MOR - BDWY - 1+11_MOR - Australia -  EC - 2+10_By Country Detail 1Q10 041410pm FIN 18 revised per disc w Mary_Guidance_Free CF" xfId="5804" xr:uid="{00000000-0005-0000-0000-0000AB160000}"/>
    <cellStyle name="_MOR - BDWY - 1+11_MOR - Australia -  EC - 2+10_By Country Detail 1Q10 041410pm FIN 18 revised per disc w Mary_Guidance_P&amp;L Rec Qtr" xfId="5805" xr:uid="{00000000-0005-0000-0000-0000AC160000}"/>
    <cellStyle name="_MOR - BDWY - 1+11_MOR - Australia -  EC - 2+10_By Country Detail 1Q10 041410pm FIN 18 revised per disc w Mary_Guidance_Sheet1" xfId="5806" xr:uid="{00000000-0005-0000-0000-0000AD160000}"/>
    <cellStyle name="_MOR - BDWY - 1+11_MOR - Australia -  EC - 2+10_By Country Detail 1Q10 041410pm FIN 18 revised per disc w Mary_Guidance_Sheet2" xfId="5807" xr:uid="{00000000-0005-0000-0000-0000AE160000}"/>
    <cellStyle name="_MOR - BDWY - 1+11_MOR - Australia -  EC - 2+10_By Country Detail 1Q10 041410pm FIN 18 revised per disc w Mary_Guidance_Sheet3" xfId="5808" xr:uid="{00000000-0005-0000-0000-0000AF160000}"/>
    <cellStyle name="_MOR - BDWY - 1+11_MOR - Australia -  EC - 2+10_By Country Detail 1Q10 041410pm FIN 18 revised per disc w Mary_Guidance_Sheet4" xfId="5809" xr:uid="{00000000-0005-0000-0000-0000B0160000}"/>
    <cellStyle name="_MOR - BDWY - 1+11_MOR - Australia -  EC - 2+10_By Country Detail 1Q10 041410pm FIN 18 revised per disc w Mary_II.8. Sep&amp;Discrete" xfId="5810" xr:uid="{00000000-0005-0000-0000-0000B1160000}"/>
    <cellStyle name="_MOR - BDWY - 1+11_MOR - Australia -  EC - 2+10_By Country Detail 1Q10 041410pm FIN 18 revised per disc w Mary_II.8. Sep&amp;Discrete_Guidance" xfId="5811" xr:uid="{00000000-0005-0000-0000-0000B2160000}"/>
    <cellStyle name="_MOR - BDWY - 1+11_MOR - Australia -  EC - 2+10_By Country Detail 1Q10 041410pm FIN 18 revised per disc w Mary_II.8. Sep&amp;Discrete_Guidance 2" xfId="5812" xr:uid="{00000000-0005-0000-0000-0000B3160000}"/>
    <cellStyle name="_MOR - BDWY - 1+11_MOR - Australia -  EC - 2+10_By Country Detail 1Q10 041410pm FIN 18 revised per disc w Mary_II.8. Sep&amp;Discrete_Guidance_BS retrieve" xfId="5813" xr:uid="{00000000-0005-0000-0000-0000B4160000}"/>
    <cellStyle name="_MOR - BDWY - 1+11_MOR - Australia -  EC - 2+10_By Country Detail 1Q10 041410pm FIN 18 revised per disc w Mary_II.8. Sep&amp;Discrete_Guidance_Free CF" xfId="5814" xr:uid="{00000000-0005-0000-0000-0000B5160000}"/>
    <cellStyle name="_MOR - BDWY - 1+11_MOR - Australia -  EC - 2+10_By Country Detail 1Q10 041410pm FIN 18 revised per disc w Mary_II.8. Sep&amp;Discrete_Guidance_P&amp;L Rec Qtr" xfId="5815" xr:uid="{00000000-0005-0000-0000-0000B6160000}"/>
    <cellStyle name="_MOR - BDWY - 1+11_MOR - Australia -  EC - 2+10_By Country Detail 1Q10 041410pm FIN 18 revised per disc w Mary_II.8. Sep&amp;Discrete_Guidance_Sheet1" xfId="5816" xr:uid="{00000000-0005-0000-0000-0000B7160000}"/>
    <cellStyle name="_MOR - BDWY - 1+11_MOR - Australia -  EC - 2+10_By Country Detail 1Q10 041410pm FIN 18 revised per disc w Mary_II.8. Sep&amp;Discrete_Guidance_Sheet2" xfId="5817" xr:uid="{00000000-0005-0000-0000-0000B8160000}"/>
    <cellStyle name="_MOR - BDWY - 1+11_MOR - Australia -  EC - 2+10_By Country Detail 1Q10 041410pm FIN 18 revised per disc w Mary_II.8. Sep&amp;Discrete_Guidance_Sheet3" xfId="5818" xr:uid="{00000000-0005-0000-0000-0000B9160000}"/>
    <cellStyle name="_MOR - BDWY - 1+11_MOR - Australia -  EC - 2+10_By Country Detail 1Q10 041410pm FIN 18 revised per disc w Mary_II.8. Sep&amp;Discrete_Guidance_Sheet4" xfId="5819" xr:uid="{00000000-0005-0000-0000-0000BA160000}"/>
    <cellStyle name="_MOR - BDWY - 1+11_MOR - Australia -  EC - 2+10_By Country Detail 1Q10 041410pm FIN 18 revised per disc w Mary_Restructuring &amp; Separation" xfId="5820" xr:uid="{00000000-0005-0000-0000-0000BB160000}"/>
    <cellStyle name="_MOR - BDWY - 1+11_MOR - Australia -  EC - 2+10_By Country Detail 1Q10 041410pm FIN 18 revised per disc w Mary_Restructuring &amp; Separation_Guidance" xfId="5821" xr:uid="{00000000-0005-0000-0000-0000BC160000}"/>
    <cellStyle name="_MOR - BDWY - 1+11_MOR - Australia -  EC - 2+10_By Country Detail 1Q10 041410pm FIN 18 revised per disc w Mary_Restructuring &amp; Separation_Guidance 2" xfId="5822" xr:uid="{00000000-0005-0000-0000-0000BD160000}"/>
    <cellStyle name="_MOR - BDWY - 1+11_MOR - Australia -  EC - 2+10_By Country Detail 1Q10 041410pm FIN 18 revised per disc w Mary_Restructuring &amp; Separation_Guidance_BS retrieve" xfId="5823" xr:uid="{00000000-0005-0000-0000-0000BE160000}"/>
    <cellStyle name="_MOR - BDWY - 1+11_MOR - Australia -  EC - 2+10_By Country Detail 1Q10 041410pm FIN 18 revised per disc w Mary_Restructuring &amp; Separation_Guidance_Free CF" xfId="5824" xr:uid="{00000000-0005-0000-0000-0000BF160000}"/>
    <cellStyle name="_MOR - BDWY - 1+11_MOR - Australia -  EC - 2+10_By Country Detail 1Q10 041410pm FIN 18 revised per disc w Mary_Restructuring &amp; Separation_Guidance_P&amp;L Rec Qtr" xfId="5825" xr:uid="{00000000-0005-0000-0000-0000C0160000}"/>
    <cellStyle name="_MOR - BDWY - 1+11_MOR - Australia -  EC - 2+10_By Country Detail 1Q10 041410pm FIN 18 revised per disc w Mary_Restructuring &amp; Separation_Guidance_Sheet1" xfId="5826" xr:uid="{00000000-0005-0000-0000-0000C1160000}"/>
    <cellStyle name="_MOR - BDWY - 1+11_MOR - Australia -  EC - 2+10_By Country Detail 1Q10 041410pm FIN 18 revised per disc w Mary_Restructuring &amp; Separation_Guidance_Sheet2" xfId="5827" xr:uid="{00000000-0005-0000-0000-0000C2160000}"/>
    <cellStyle name="_MOR - BDWY - 1+11_MOR - Australia -  EC - 2+10_By Country Detail 1Q10 041410pm FIN 18 revised per disc w Mary_Restructuring &amp; Separation_Guidance_Sheet3" xfId="5828" xr:uid="{00000000-0005-0000-0000-0000C3160000}"/>
    <cellStyle name="_MOR - BDWY - 1+11_MOR - Australia -  EC - 2+10_By Country Detail 1Q10 041410pm FIN 18 revised per disc w Mary_Restructuring &amp; Separation_Guidance_Sheet4" xfId="5829" xr:uid="{00000000-0005-0000-0000-0000C4160000}"/>
    <cellStyle name="_MOR - BDWY - 1+11_MOR - Australia -  EC - 2+10_Guidance" xfId="5830" xr:uid="{00000000-0005-0000-0000-0000C5160000}"/>
    <cellStyle name="_MOR - BDWY - 1+11_MOR - Australia -  EC - 2+10_Guidance 2" xfId="5831" xr:uid="{00000000-0005-0000-0000-0000C6160000}"/>
    <cellStyle name="_MOR - BDWY - 1+11_MOR - Australia -  EC - 2+10_Guidance_BS retrieve" xfId="5832" xr:uid="{00000000-0005-0000-0000-0000C7160000}"/>
    <cellStyle name="_MOR - BDWY - 1+11_MOR - Australia -  EC - 2+10_Guidance_Free CF" xfId="5833" xr:uid="{00000000-0005-0000-0000-0000C8160000}"/>
    <cellStyle name="_MOR - BDWY - 1+11_MOR - Australia -  EC - 2+10_Guidance_P&amp;L Rec Qtr" xfId="5834" xr:uid="{00000000-0005-0000-0000-0000C9160000}"/>
    <cellStyle name="_MOR - BDWY - 1+11_MOR - Australia -  EC - 2+10_Guidance_Sheet1" xfId="5835" xr:uid="{00000000-0005-0000-0000-0000CA160000}"/>
    <cellStyle name="_MOR - BDWY - 1+11_MOR - Australia -  EC - 2+10_Guidance_Sheet2" xfId="5836" xr:uid="{00000000-0005-0000-0000-0000CB160000}"/>
    <cellStyle name="_MOR - BDWY - 1+11_MOR - Australia -  EC - 2+10_Guidance_Sheet3" xfId="5837" xr:uid="{00000000-0005-0000-0000-0000CC160000}"/>
    <cellStyle name="_MOR - BDWY - 1+11_MOR - Australia -  EC - 2+10_Guidance_Sheet4" xfId="5838" xr:uid="{00000000-0005-0000-0000-0000CD160000}"/>
    <cellStyle name="_MOR - BDWY - 1+11_MOR - Australia -  EC - 2+10_II.4. RawMaterials" xfId="5839" xr:uid="{00000000-0005-0000-0000-0000CE160000}"/>
    <cellStyle name="_MOR - BDWY - 1+11_MOR - Australia -  EC - 2+10_II.4. RawMaterials 2" xfId="5840" xr:uid="{00000000-0005-0000-0000-0000CF160000}"/>
    <cellStyle name="_MOR - BDWY - 1+11_MOR - Australia -  EC - 2+10_II.4. RawMaterials_BS retrieve" xfId="5841" xr:uid="{00000000-0005-0000-0000-0000D0160000}"/>
    <cellStyle name="_MOR - BDWY - 1+11_MOR - Australia -  EC - 2+10_II.4. RawMaterials_Free CF" xfId="5842" xr:uid="{00000000-0005-0000-0000-0000D1160000}"/>
    <cellStyle name="_MOR - BDWY - 1+11_MOR - Australia -  EC - 2+10_II.4. RawMaterials_P&amp;L Rec Qtr" xfId="5843" xr:uid="{00000000-0005-0000-0000-0000D2160000}"/>
    <cellStyle name="_MOR - BDWY - 1+11_MOR - Australia -  EC - 2+10_II.4. RawMaterials_Sheet1" xfId="5844" xr:uid="{00000000-0005-0000-0000-0000D3160000}"/>
    <cellStyle name="_MOR - BDWY - 1+11_MOR - Australia -  EC - 2+10_II.4. RawMaterials_Sheet2" xfId="5845" xr:uid="{00000000-0005-0000-0000-0000D4160000}"/>
    <cellStyle name="_MOR - BDWY - 1+11_MOR - Australia -  EC - 2+10_II.4. RawMaterials_Sheet3" xfId="5846" xr:uid="{00000000-0005-0000-0000-0000D5160000}"/>
    <cellStyle name="_MOR - BDWY - 1+11_MOR - Australia -  EC - 2+10_II.4. RawMaterials_Sheet4" xfId="5847" xr:uid="{00000000-0005-0000-0000-0000D6160000}"/>
    <cellStyle name="_MOR - BDWY - 1+11_MOR - Australia -  EC - 2+10_II.5. RawMaterials" xfId="5848" xr:uid="{00000000-0005-0000-0000-0000D7160000}"/>
    <cellStyle name="_MOR - BDWY - 1+11_MOR - Australia -  EC - 2+10_II.5. RawMaterials 2" xfId="5849" xr:uid="{00000000-0005-0000-0000-0000D8160000}"/>
    <cellStyle name="_MOR - BDWY - 1+11_MOR - Australia -  EC - 2+10_II.5. RawMaterials_BS retrieve" xfId="5850" xr:uid="{00000000-0005-0000-0000-0000D9160000}"/>
    <cellStyle name="_MOR - BDWY - 1+11_MOR - Australia -  EC - 2+10_II.5. RawMaterials_Free CF" xfId="5851" xr:uid="{00000000-0005-0000-0000-0000DA160000}"/>
    <cellStyle name="_MOR - BDWY - 1+11_MOR - Australia -  EC - 2+10_II.5. RawMaterials_Guidance" xfId="5852" xr:uid="{00000000-0005-0000-0000-0000DB160000}"/>
    <cellStyle name="_MOR - BDWY - 1+11_MOR - Australia -  EC - 2+10_II.5. RawMaterials_Guidance 2" xfId="5853" xr:uid="{00000000-0005-0000-0000-0000DC160000}"/>
    <cellStyle name="_MOR - BDWY - 1+11_MOR - Australia -  EC - 2+10_II.5. RawMaterials_Guidance_BS retrieve" xfId="5854" xr:uid="{00000000-0005-0000-0000-0000DD160000}"/>
    <cellStyle name="_MOR - BDWY - 1+11_MOR - Australia -  EC - 2+10_II.5. RawMaterials_Guidance_Free CF" xfId="5855" xr:uid="{00000000-0005-0000-0000-0000DE160000}"/>
    <cellStyle name="_MOR - BDWY - 1+11_MOR - Australia -  EC - 2+10_II.5. RawMaterials_Guidance_P&amp;L Rec Qtr" xfId="5856" xr:uid="{00000000-0005-0000-0000-0000DF160000}"/>
    <cellStyle name="_MOR - BDWY - 1+11_MOR - Australia -  EC - 2+10_II.5. RawMaterials_Guidance_Sheet1" xfId="5857" xr:uid="{00000000-0005-0000-0000-0000E0160000}"/>
    <cellStyle name="_MOR - BDWY - 1+11_MOR - Australia -  EC - 2+10_II.5. RawMaterials_Guidance_Sheet2" xfId="5858" xr:uid="{00000000-0005-0000-0000-0000E1160000}"/>
    <cellStyle name="_MOR - BDWY - 1+11_MOR - Australia -  EC - 2+10_II.5. RawMaterials_Guidance_Sheet3" xfId="5859" xr:uid="{00000000-0005-0000-0000-0000E2160000}"/>
    <cellStyle name="_MOR - BDWY - 1+11_MOR - Australia -  EC - 2+10_II.5. RawMaterials_Guidance_Sheet4" xfId="5860" xr:uid="{00000000-0005-0000-0000-0000E3160000}"/>
    <cellStyle name="_MOR - BDWY - 1+11_MOR - Australia -  EC - 2+10_II.5. RawMaterials_P&amp;L Rec Qtr" xfId="5861" xr:uid="{00000000-0005-0000-0000-0000E4160000}"/>
    <cellStyle name="_MOR - BDWY - 1+11_MOR - Australia -  EC - 2+10_II.5. RawMaterials_Sheet1" xfId="5862" xr:uid="{00000000-0005-0000-0000-0000E5160000}"/>
    <cellStyle name="_MOR - BDWY - 1+11_MOR - Australia -  EC - 2+10_II.5. RawMaterials_Sheet2" xfId="5863" xr:uid="{00000000-0005-0000-0000-0000E6160000}"/>
    <cellStyle name="_MOR - BDWY - 1+11_MOR - Australia -  EC - 2+10_II.5. RawMaterials_Sheet3" xfId="5864" xr:uid="{00000000-0005-0000-0000-0000E7160000}"/>
    <cellStyle name="_MOR - BDWY - 1+11_MOR - Australia -  EC - 2+10_II.5. RawMaterials_Sheet4" xfId="5865" xr:uid="{00000000-0005-0000-0000-0000E8160000}"/>
    <cellStyle name="_MOR - BDWY - 1+11_MOR - Australia -  EC - 2+10_II.5. RM Volume Sensitivities" xfId="5866" xr:uid="{00000000-0005-0000-0000-0000E9160000}"/>
    <cellStyle name="_MOR - BDWY - 1+11_MOR - Australia -  EC - 2+10_II.5. RM Volume Sensitivities 2" xfId="5867" xr:uid="{00000000-0005-0000-0000-0000EA160000}"/>
    <cellStyle name="_MOR - BDWY - 1+11_MOR - Australia -  EC - 2+10_II.5. RM Volume Sensitivities_BS retrieve" xfId="5868" xr:uid="{00000000-0005-0000-0000-0000EB160000}"/>
    <cellStyle name="_MOR - BDWY - 1+11_MOR - Australia -  EC - 2+10_II.5. RM Volume Sensitivities_Free CF" xfId="5869" xr:uid="{00000000-0005-0000-0000-0000EC160000}"/>
    <cellStyle name="_MOR - BDWY - 1+11_MOR - Australia -  EC - 2+10_II.5. RM Volume Sensitivities_P&amp;L Rec Qtr" xfId="5870" xr:uid="{00000000-0005-0000-0000-0000ED160000}"/>
    <cellStyle name="_MOR - BDWY - 1+11_MOR - Australia -  EC - 2+10_II.5. RM Volume Sensitivities_Sheet1" xfId="5871" xr:uid="{00000000-0005-0000-0000-0000EE160000}"/>
    <cellStyle name="_MOR - BDWY - 1+11_MOR - Australia -  EC - 2+10_II.5. RM Volume Sensitivities_Sheet2" xfId="5872" xr:uid="{00000000-0005-0000-0000-0000EF160000}"/>
    <cellStyle name="_MOR - BDWY - 1+11_MOR - Australia -  EC - 2+10_II.5. RM Volume Sensitivities_Sheet3" xfId="5873" xr:uid="{00000000-0005-0000-0000-0000F0160000}"/>
    <cellStyle name="_MOR - BDWY - 1+11_MOR - Australia -  EC - 2+10_II.5. RM Volume Sensitivities_Sheet4" xfId="5874" xr:uid="{00000000-0005-0000-0000-0000F1160000}"/>
    <cellStyle name="_MOR - BDWY - 1+11_MOR - Australia -  EC - 2+10_II.8. Sep&amp;Discrete" xfId="5875" xr:uid="{00000000-0005-0000-0000-0000F2160000}"/>
    <cellStyle name="_MOR - BDWY - 1+11_MOR - Australia -  EC - 2+10_II.8. Sep&amp;Discrete_Guidance" xfId="5876" xr:uid="{00000000-0005-0000-0000-0000F3160000}"/>
    <cellStyle name="_MOR - BDWY - 1+11_MOR - Australia -  EC - 2+10_II.8. Sep&amp;Discrete_Guidance 2" xfId="5877" xr:uid="{00000000-0005-0000-0000-0000F4160000}"/>
    <cellStyle name="_MOR - BDWY - 1+11_MOR - Australia -  EC - 2+10_II.8. Sep&amp;Discrete_Guidance_BS retrieve" xfId="5878" xr:uid="{00000000-0005-0000-0000-0000F5160000}"/>
    <cellStyle name="_MOR - BDWY - 1+11_MOR - Australia -  EC - 2+10_II.8. Sep&amp;Discrete_Guidance_Free CF" xfId="5879" xr:uid="{00000000-0005-0000-0000-0000F6160000}"/>
    <cellStyle name="_MOR - BDWY - 1+11_MOR - Australia -  EC - 2+10_II.8. Sep&amp;Discrete_Guidance_P&amp;L Rec Qtr" xfId="5880" xr:uid="{00000000-0005-0000-0000-0000F7160000}"/>
    <cellStyle name="_MOR - BDWY - 1+11_MOR - Australia -  EC - 2+10_II.8. Sep&amp;Discrete_Guidance_Sheet1" xfId="5881" xr:uid="{00000000-0005-0000-0000-0000F8160000}"/>
    <cellStyle name="_MOR - BDWY - 1+11_MOR - Australia -  EC - 2+10_II.8. Sep&amp;Discrete_Guidance_Sheet2" xfId="5882" xr:uid="{00000000-0005-0000-0000-0000F9160000}"/>
    <cellStyle name="_MOR - BDWY - 1+11_MOR - Australia -  EC - 2+10_II.8. Sep&amp;Discrete_Guidance_Sheet3" xfId="5883" xr:uid="{00000000-0005-0000-0000-0000FA160000}"/>
    <cellStyle name="_MOR - BDWY - 1+11_MOR - Australia -  EC - 2+10_II.8. Sep&amp;Discrete_Guidance_Sheet4" xfId="5884" xr:uid="{00000000-0005-0000-0000-0000FB160000}"/>
    <cellStyle name="_MOR - BDWY - 1+11_MOR - Australia -  EC - 2+10_Restructuring &amp; Separation" xfId="5885" xr:uid="{00000000-0005-0000-0000-0000FC160000}"/>
    <cellStyle name="_MOR - BDWY - 1+11_MOR - Australia -  EC - 2+10_Restructuring &amp; Separation_Guidance" xfId="5886" xr:uid="{00000000-0005-0000-0000-0000FD160000}"/>
    <cellStyle name="_MOR - BDWY - 1+11_MOR - Australia -  EC - 2+10_Restructuring &amp; Separation_Guidance 2" xfId="5887" xr:uid="{00000000-0005-0000-0000-0000FE160000}"/>
    <cellStyle name="_MOR - BDWY - 1+11_MOR - Australia -  EC - 2+10_Restructuring &amp; Separation_Guidance_BS retrieve" xfId="5888" xr:uid="{00000000-0005-0000-0000-0000FF160000}"/>
    <cellStyle name="_MOR - BDWY - 1+11_MOR - Australia -  EC - 2+10_Restructuring &amp; Separation_Guidance_Free CF" xfId="5889" xr:uid="{00000000-0005-0000-0000-000000170000}"/>
    <cellStyle name="_MOR - BDWY - 1+11_MOR - Australia -  EC - 2+10_Restructuring &amp; Separation_Guidance_P&amp;L Rec Qtr" xfId="5890" xr:uid="{00000000-0005-0000-0000-000001170000}"/>
    <cellStyle name="_MOR - BDWY - 1+11_MOR - Australia -  EC - 2+10_Restructuring &amp; Separation_Guidance_Sheet1" xfId="5891" xr:uid="{00000000-0005-0000-0000-000002170000}"/>
    <cellStyle name="_MOR - BDWY - 1+11_MOR - Australia -  EC - 2+10_Restructuring &amp; Separation_Guidance_Sheet2" xfId="5892" xr:uid="{00000000-0005-0000-0000-000003170000}"/>
    <cellStyle name="_MOR - BDWY - 1+11_MOR - Australia -  EC - 2+10_Restructuring &amp; Separation_Guidance_Sheet3" xfId="5893" xr:uid="{00000000-0005-0000-0000-000004170000}"/>
    <cellStyle name="_MOR - BDWY - 1+11_MOR - Australia -  EC - 2+10_Restructuring &amp; Separation_Guidance_Sheet4" xfId="5894" xr:uid="{00000000-0005-0000-0000-000005170000}"/>
    <cellStyle name="_MOR - BDWY - 1+11_MOR - Australia -  EC - 2+10_Restructuring_Separation_TAX_JuneFC2010 tf" xfId="5895" xr:uid="{00000000-0005-0000-0000-000006170000}"/>
    <cellStyle name="_MOR - BDWY - 1+11_MOR - Australia -  EC - 2+10_Restructuring_Separation_TAX_JuneFC2010 tf_BS_Separation_TaxResIndem_Q12412 tf" xfId="5896" xr:uid="{00000000-0005-0000-0000-000007170000}"/>
    <cellStyle name="_MOR - BDWY - 1+11_MOR - Australia -  EC - 2+10_Restructuring_Separation_TAX_JuneFC2010 tf_BS_Separation_TaxResIndem_Q12412 tf_Guidance" xfId="5897" xr:uid="{00000000-0005-0000-0000-000008170000}"/>
    <cellStyle name="_MOR - BDWY - 1+11_MOR - Australia -  EC - 2+10_Restructuring_Separation_TAX_JuneFC2010 tf_BS_Separation_TaxResIndem_Q12412 tf_Guidance 2" xfId="5898" xr:uid="{00000000-0005-0000-0000-000009170000}"/>
    <cellStyle name="_MOR - BDWY - 1+11_MOR - Australia -  EC - 2+10_Restructuring_Separation_TAX_JuneFC2010 tf_BS_Separation_TaxResIndem_Q12412 tf_Guidance_BS retrieve" xfId="5899" xr:uid="{00000000-0005-0000-0000-00000A170000}"/>
    <cellStyle name="_MOR - BDWY - 1+11_MOR - Australia -  EC - 2+10_Restructuring_Separation_TAX_JuneFC2010 tf_BS_Separation_TaxResIndem_Q12412 tf_Guidance_Free CF" xfId="5900" xr:uid="{00000000-0005-0000-0000-00000B170000}"/>
    <cellStyle name="_MOR - BDWY - 1+11_MOR - Australia -  EC - 2+10_Restructuring_Separation_TAX_JuneFC2010 tf_BS_Separation_TaxResIndem_Q12412 tf_Guidance_P&amp;L Rec Qtr" xfId="5901" xr:uid="{00000000-0005-0000-0000-00000C170000}"/>
    <cellStyle name="_MOR - BDWY - 1+11_MOR - Australia -  EC - 2+10_Restructuring_Separation_TAX_JuneFC2010 tf_BS_Separation_TaxResIndem_Q12412 tf_Guidance_Sheet1" xfId="5902" xr:uid="{00000000-0005-0000-0000-00000D170000}"/>
    <cellStyle name="_MOR - BDWY - 1+11_MOR - Australia -  EC - 2+10_Restructuring_Separation_TAX_JuneFC2010 tf_BS_Separation_TaxResIndem_Q12412 tf_Guidance_Sheet2" xfId="5903" xr:uid="{00000000-0005-0000-0000-00000E170000}"/>
    <cellStyle name="_MOR - BDWY - 1+11_MOR - Australia -  EC - 2+10_Restructuring_Separation_TAX_JuneFC2010 tf_BS_Separation_TaxResIndem_Q12412 tf_Guidance_Sheet3" xfId="5904" xr:uid="{00000000-0005-0000-0000-00000F170000}"/>
    <cellStyle name="_MOR - BDWY - 1+11_MOR - Australia -  EC - 2+10_Restructuring_Separation_TAX_JuneFC2010 tf_BS_Separation_TaxResIndem_Q12412 tf_Guidance_Sheet4" xfId="5905" xr:uid="{00000000-0005-0000-0000-000010170000}"/>
    <cellStyle name="_MOR - BDWY - 1+11_MOR - Australia -  EC - 2+10_Restructuring_Separation_TAX_JuneFC2010 tf_BS_Separation_TaxResIndem_Q12412 tf_Restructuring &amp; Separation" xfId="5906" xr:uid="{00000000-0005-0000-0000-000011170000}"/>
    <cellStyle name="_MOR - BDWY - 1+11_MOR - Australia -  EC - 2+10_Restructuring_Separation_TAX_JuneFC2010 tf_BS_Separation_TaxResIndem_Q12412 tf_Restructuring &amp; Separation_Guidance" xfId="5907" xr:uid="{00000000-0005-0000-0000-000012170000}"/>
    <cellStyle name="_MOR - BDWY - 1+11_MOR - Australia -  EC - 2+10_Restructuring_Separation_TAX_JuneFC2010 tf_BS_Separation_TaxResIndem_Q12412 tf_Restructuring &amp; Separation_Guidance 2" xfId="5908" xr:uid="{00000000-0005-0000-0000-000013170000}"/>
    <cellStyle name="_MOR - BDWY - 1+11_MOR - Australia -  EC - 2+10_Restructuring_Separation_TAX_JuneFC2010 tf_BS_Separation_TaxResIndem_Q12412 tf_Restructuring &amp; Separation_Guidance_BS retrieve" xfId="5909" xr:uid="{00000000-0005-0000-0000-000014170000}"/>
    <cellStyle name="_MOR - BDWY - 1+11_MOR - Australia -  EC - 2+10_Restructuring_Separation_TAX_JuneFC2010 tf_BS_Separation_TaxResIndem_Q12412 tf_Restructuring &amp; Separation_Guidance_Free CF" xfId="5910" xr:uid="{00000000-0005-0000-0000-000015170000}"/>
    <cellStyle name="_MOR - BDWY - 1+11_MOR - Australia -  EC - 2+10_Restructuring_Separation_TAX_JuneFC2010 tf_BS_Separation_TaxResIndem_Q12412 tf_Restructuring &amp; Separation_Guidance_P&amp;L Rec Qtr" xfId="5911" xr:uid="{00000000-0005-0000-0000-000016170000}"/>
    <cellStyle name="_MOR - BDWY - 1+11_MOR - Australia -  EC - 2+10_Restructuring_Separation_TAX_JuneFC2010 tf_BS_Separation_TaxResIndem_Q12412 tf_Restructuring &amp; Separation_Guidance_Sheet1" xfId="5912" xr:uid="{00000000-0005-0000-0000-000017170000}"/>
    <cellStyle name="_MOR - BDWY - 1+11_MOR - Australia -  EC - 2+10_Restructuring_Separation_TAX_JuneFC2010 tf_BS_Separation_TaxResIndem_Q12412 tf_Restructuring &amp; Separation_Guidance_Sheet2" xfId="5913" xr:uid="{00000000-0005-0000-0000-000018170000}"/>
    <cellStyle name="_MOR - BDWY - 1+11_MOR - Australia -  EC - 2+10_Restructuring_Separation_TAX_JuneFC2010 tf_BS_Separation_TaxResIndem_Q12412 tf_Restructuring &amp; Separation_Guidance_Sheet3" xfId="5914" xr:uid="{00000000-0005-0000-0000-000019170000}"/>
    <cellStyle name="_MOR - BDWY - 1+11_MOR - Australia -  EC - 2+10_Restructuring_Separation_TAX_JuneFC2010 tf_BS_Separation_TaxResIndem_Q12412 tf_Restructuring &amp; Separation_Guidance_Sheet4" xfId="5915" xr:uid="{00000000-0005-0000-0000-00001A170000}"/>
    <cellStyle name="_MOR - BDWY - 1+11_MOR - Australia -  EC - 2+10_Restructuring_Separation_TAX_JuneFC2010 tf_Guidance" xfId="5916" xr:uid="{00000000-0005-0000-0000-00001B170000}"/>
    <cellStyle name="_MOR - BDWY - 1+11_MOR - Australia -  EC - 2+10_Restructuring_Separation_TAX_JuneFC2010 tf_Guidance 2" xfId="5917" xr:uid="{00000000-0005-0000-0000-00001C170000}"/>
    <cellStyle name="_MOR - BDWY - 1+11_MOR - Australia -  EC - 2+10_Restructuring_Separation_TAX_JuneFC2010 tf_Guidance_BS retrieve" xfId="5918" xr:uid="{00000000-0005-0000-0000-00001D170000}"/>
    <cellStyle name="_MOR - BDWY - 1+11_MOR - Australia -  EC - 2+10_Restructuring_Separation_TAX_JuneFC2010 tf_Guidance_Free CF" xfId="5919" xr:uid="{00000000-0005-0000-0000-00001E170000}"/>
    <cellStyle name="_MOR - BDWY - 1+11_MOR - Australia -  EC - 2+10_Restructuring_Separation_TAX_JuneFC2010 tf_Guidance_P&amp;L Rec Qtr" xfId="5920" xr:uid="{00000000-0005-0000-0000-00001F170000}"/>
    <cellStyle name="_MOR - BDWY - 1+11_MOR - Australia -  EC - 2+10_Restructuring_Separation_TAX_JuneFC2010 tf_Guidance_Sheet1" xfId="5921" xr:uid="{00000000-0005-0000-0000-000020170000}"/>
    <cellStyle name="_MOR - BDWY - 1+11_MOR - Australia -  EC - 2+10_Restructuring_Separation_TAX_JuneFC2010 tf_Guidance_Sheet2" xfId="5922" xr:uid="{00000000-0005-0000-0000-000021170000}"/>
    <cellStyle name="_MOR - BDWY - 1+11_MOR - Australia -  EC - 2+10_Restructuring_Separation_TAX_JuneFC2010 tf_Guidance_Sheet3" xfId="5923" xr:uid="{00000000-0005-0000-0000-000022170000}"/>
    <cellStyle name="_MOR - BDWY - 1+11_MOR - Australia -  EC - 2+10_Restructuring_Separation_TAX_JuneFC2010 tf_Guidance_Sheet4" xfId="5924" xr:uid="{00000000-0005-0000-0000-000023170000}"/>
    <cellStyle name="_MOR - BDWY - 1+11_MOR - Australia -  EC - 2+10_Restructuring_Separation_TAX_JuneFC2010 tf_II.8. Sep&amp;Discrete" xfId="5925" xr:uid="{00000000-0005-0000-0000-000024170000}"/>
    <cellStyle name="_MOR - BDWY - 1+11_MOR - Australia -  EC - 2+10_Restructuring_Separation_TAX_JuneFC2010 tf_II.8. Sep&amp;Discrete_Guidance" xfId="5926" xr:uid="{00000000-0005-0000-0000-000025170000}"/>
    <cellStyle name="_MOR - BDWY - 1+11_MOR - Australia -  EC - 2+10_Restructuring_Separation_TAX_JuneFC2010 tf_II.8. Sep&amp;Discrete_Guidance 2" xfId="5927" xr:uid="{00000000-0005-0000-0000-000026170000}"/>
    <cellStyle name="_MOR - BDWY - 1+11_MOR - Australia -  EC - 2+10_Restructuring_Separation_TAX_JuneFC2010 tf_II.8. Sep&amp;Discrete_Guidance_BS retrieve" xfId="5928" xr:uid="{00000000-0005-0000-0000-000027170000}"/>
    <cellStyle name="_MOR - BDWY - 1+11_MOR - Australia -  EC - 2+10_Restructuring_Separation_TAX_JuneFC2010 tf_II.8. Sep&amp;Discrete_Guidance_Free CF" xfId="5929" xr:uid="{00000000-0005-0000-0000-000028170000}"/>
    <cellStyle name="_MOR - BDWY - 1+11_MOR - Australia -  EC - 2+10_Restructuring_Separation_TAX_JuneFC2010 tf_II.8. Sep&amp;Discrete_Guidance_P&amp;L Rec Qtr" xfId="5930" xr:uid="{00000000-0005-0000-0000-000029170000}"/>
    <cellStyle name="_MOR - BDWY - 1+11_MOR - Australia -  EC - 2+10_Restructuring_Separation_TAX_JuneFC2010 tf_II.8. Sep&amp;Discrete_Guidance_Sheet1" xfId="5931" xr:uid="{00000000-0005-0000-0000-00002A170000}"/>
    <cellStyle name="_MOR - BDWY - 1+11_MOR - Australia -  EC - 2+10_Restructuring_Separation_TAX_JuneFC2010 tf_II.8. Sep&amp;Discrete_Guidance_Sheet2" xfId="5932" xr:uid="{00000000-0005-0000-0000-00002B170000}"/>
    <cellStyle name="_MOR - BDWY - 1+11_MOR - Australia -  EC - 2+10_Restructuring_Separation_TAX_JuneFC2010 tf_II.8. Sep&amp;Discrete_Guidance_Sheet3" xfId="5933" xr:uid="{00000000-0005-0000-0000-00002C170000}"/>
    <cellStyle name="_MOR - BDWY - 1+11_MOR - Australia -  EC - 2+10_Restructuring_Separation_TAX_JuneFC2010 tf_II.8. Sep&amp;Discrete_Guidance_Sheet4" xfId="5934" xr:uid="{00000000-0005-0000-0000-00002D170000}"/>
    <cellStyle name="_MOR - BDWY - 1+11_MOR - Australia -  EC - 2+10_Restructuring_Separation_TAX_JuneFC2010 tf_Restructuring &amp; Separation" xfId="5935" xr:uid="{00000000-0005-0000-0000-00002E170000}"/>
    <cellStyle name="_MOR - BDWY - 1+11_MOR - Australia -  EC - 2+10_Restructuring_Separation_TAX_JuneFC2010 tf_Restructuring &amp; Separation_Guidance" xfId="5936" xr:uid="{00000000-0005-0000-0000-00002F170000}"/>
    <cellStyle name="_MOR - BDWY - 1+11_MOR - Australia -  EC - 2+10_Restructuring_Separation_TAX_JuneFC2010 tf_Restructuring &amp; Separation_Guidance 2" xfId="5937" xr:uid="{00000000-0005-0000-0000-000030170000}"/>
    <cellStyle name="_MOR - BDWY - 1+11_MOR - Australia -  EC - 2+10_Restructuring_Separation_TAX_JuneFC2010 tf_Restructuring &amp; Separation_Guidance_BS retrieve" xfId="5938" xr:uid="{00000000-0005-0000-0000-000031170000}"/>
    <cellStyle name="_MOR - BDWY - 1+11_MOR - Australia -  EC - 2+10_Restructuring_Separation_TAX_JuneFC2010 tf_Restructuring &amp; Separation_Guidance_Free CF" xfId="5939" xr:uid="{00000000-0005-0000-0000-000032170000}"/>
    <cellStyle name="_MOR - BDWY - 1+11_MOR - Australia -  EC - 2+10_Restructuring_Separation_TAX_JuneFC2010 tf_Restructuring &amp; Separation_Guidance_P&amp;L Rec Qtr" xfId="5940" xr:uid="{00000000-0005-0000-0000-000033170000}"/>
    <cellStyle name="_MOR - BDWY - 1+11_MOR - Australia -  EC - 2+10_Restructuring_Separation_TAX_JuneFC2010 tf_Restructuring &amp; Separation_Guidance_Sheet1" xfId="5941" xr:uid="{00000000-0005-0000-0000-000034170000}"/>
    <cellStyle name="_MOR - BDWY - 1+11_MOR - Australia -  EC - 2+10_Restructuring_Separation_TAX_JuneFC2010 tf_Restructuring &amp; Separation_Guidance_Sheet2" xfId="5942" xr:uid="{00000000-0005-0000-0000-000035170000}"/>
    <cellStyle name="_MOR - BDWY - 1+11_MOR - Australia -  EC - 2+10_Restructuring_Separation_TAX_JuneFC2010 tf_Restructuring &amp; Separation_Guidance_Sheet3" xfId="5943" xr:uid="{00000000-0005-0000-0000-000036170000}"/>
    <cellStyle name="_MOR - BDWY - 1+11_MOR - Australia -  EC - 2+10_Restructuring_Separation_TAX_JuneFC2010 tf_Restructuring &amp; Separation_Guidance_Sheet4" xfId="5944" xr:uid="{00000000-0005-0000-0000-000037170000}"/>
    <cellStyle name="_MOR - BDWY - 1+11_MOR - Australia -  EC - 3+9" xfId="5945" xr:uid="{00000000-0005-0000-0000-000038170000}"/>
    <cellStyle name="_MOR - BDWY - 1+11_MOR - Australia -  EC - 3+9_BS_Separation_TaxResIndem_Q12412 tf" xfId="5946" xr:uid="{00000000-0005-0000-0000-000039170000}"/>
    <cellStyle name="_MOR - BDWY - 1+11_MOR - Australia -  EC - 3+9_BS_Separation_TaxResIndem_Q12412 tf_Guidance" xfId="5947" xr:uid="{00000000-0005-0000-0000-00003A170000}"/>
    <cellStyle name="_MOR - BDWY - 1+11_MOR - Australia -  EC - 3+9_BS_Separation_TaxResIndem_Q12412 tf_Guidance 2" xfId="5948" xr:uid="{00000000-0005-0000-0000-00003B170000}"/>
    <cellStyle name="_MOR - BDWY - 1+11_MOR - Australia -  EC - 3+9_BS_Separation_TaxResIndem_Q12412 tf_Guidance_BS retrieve" xfId="5949" xr:uid="{00000000-0005-0000-0000-00003C170000}"/>
    <cellStyle name="_MOR - BDWY - 1+11_MOR - Australia -  EC - 3+9_BS_Separation_TaxResIndem_Q12412 tf_Guidance_Free CF" xfId="5950" xr:uid="{00000000-0005-0000-0000-00003D170000}"/>
    <cellStyle name="_MOR - BDWY - 1+11_MOR - Australia -  EC - 3+9_BS_Separation_TaxResIndem_Q12412 tf_Guidance_P&amp;L Rec Qtr" xfId="5951" xr:uid="{00000000-0005-0000-0000-00003E170000}"/>
    <cellStyle name="_MOR - BDWY - 1+11_MOR - Australia -  EC - 3+9_BS_Separation_TaxResIndem_Q12412 tf_Guidance_Sheet1" xfId="5952" xr:uid="{00000000-0005-0000-0000-00003F170000}"/>
    <cellStyle name="_MOR - BDWY - 1+11_MOR - Australia -  EC - 3+9_BS_Separation_TaxResIndem_Q12412 tf_Guidance_Sheet2" xfId="5953" xr:uid="{00000000-0005-0000-0000-000040170000}"/>
    <cellStyle name="_MOR - BDWY - 1+11_MOR - Australia -  EC - 3+9_BS_Separation_TaxResIndem_Q12412 tf_Guidance_Sheet3" xfId="5954" xr:uid="{00000000-0005-0000-0000-000041170000}"/>
    <cellStyle name="_MOR - BDWY - 1+11_MOR - Australia -  EC - 3+9_BS_Separation_TaxResIndem_Q12412 tf_Guidance_Sheet4" xfId="5955" xr:uid="{00000000-0005-0000-0000-000042170000}"/>
    <cellStyle name="_MOR - BDWY - 1+11_MOR - Australia -  EC - 3+9_BS_Separation_TaxResIndem_Q12412 tf_Restructuring &amp; Separation" xfId="5956" xr:uid="{00000000-0005-0000-0000-000043170000}"/>
    <cellStyle name="_MOR - BDWY - 1+11_MOR - Australia -  EC - 3+9_BS_Separation_TaxResIndem_Q12412 tf_Restructuring &amp; Separation_Guidance" xfId="5957" xr:uid="{00000000-0005-0000-0000-000044170000}"/>
    <cellStyle name="_MOR - BDWY - 1+11_MOR - Australia -  EC - 3+9_BS_Separation_TaxResIndem_Q12412 tf_Restructuring &amp; Separation_Guidance 2" xfId="5958" xr:uid="{00000000-0005-0000-0000-000045170000}"/>
    <cellStyle name="_MOR - BDWY - 1+11_MOR - Australia -  EC - 3+9_BS_Separation_TaxResIndem_Q12412 tf_Restructuring &amp; Separation_Guidance_BS retrieve" xfId="5959" xr:uid="{00000000-0005-0000-0000-000046170000}"/>
    <cellStyle name="_MOR - BDWY - 1+11_MOR - Australia -  EC - 3+9_BS_Separation_TaxResIndem_Q12412 tf_Restructuring &amp; Separation_Guidance_Free CF" xfId="5960" xr:uid="{00000000-0005-0000-0000-000047170000}"/>
    <cellStyle name="_MOR - BDWY - 1+11_MOR - Australia -  EC - 3+9_BS_Separation_TaxResIndem_Q12412 tf_Restructuring &amp; Separation_Guidance_P&amp;L Rec Qtr" xfId="5961" xr:uid="{00000000-0005-0000-0000-000048170000}"/>
    <cellStyle name="_MOR - BDWY - 1+11_MOR - Australia -  EC - 3+9_BS_Separation_TaxResIndem_Q12412 tf_Restructuring &amp; Separation_Guidance_Sheet1" xfId="5962" xr:uid="{00000000-0005-0000-0000-000049170000}"/>
    <cellStyle name="_MOR - BDWY - 1+11_MOR - Australia -  EC - 3+9_BS_Separation_TaxResIndem_Q12412 tf_Restructuring &amp; Separation_Guidance_Sheet2" xfId="5963" xr:uid="{00000000-0005-0000-0000-00004A170000}"/>
    <cellStyle name="_MOR - BDWY - 1+11_MOR - Australia -  EC - 3+9_BS_Separation_TaxResIndem_Q12412 tf_Restructuring &amp; Separation_Guidance_Sheet3" xfId="5964" xr:uid="{00000000-0005-0000-0000-00004B170000}"/>
    <cellStyle name="_MOR - BDWY - 1+11_MOR - Australia -  EC - 3+9_BS_Separation_TaxResIndem_Q12412 tf_Restructuring &amp; Separation_Guidance_Sheet4" xfId="5965" xr:uid="{00000000-0005-0000-0000-00004C170000}"/>
    <cellStyle name="_MOR - BDWY - 1+11_MOR - Australia -  EC - 3+9_By Country Detail 1Q10 041410pm FIN 18 revised per disc w Mary" xfId="5966" xr:uid="{00000000-0005-0000-0000-00004D170000}"/>
    <cellStyle name="_MOR - BDWY - 1+11_MOR - Australia -  EC - 3+9_By Country Detail 1Q10 041410pm FIN 18 revised per disc w Mary_BS_Separation_TaxResIndem_Q12412 tf" xfId="5967" xr:uid="{00000000-0005-0000-0000-00004E170000}"/>
    <cellStyle name="_MOR - BDWY - 1+11_MOR - Australia -  EC - 3+9_By Country Detail 1Q10 041410pm FIN 18 revised per disc w Mary_BS_Separation_TaxResIndem_Q12412 tf_Guidance" xfId="5968" xr:uid="{00000000-0005-0000-0000-00004F170000}"/>
    <cellStyle name="_MOR - BDWY - 1+11_MOR - Australia -  EC - 3+9_By Country Detail 1Q10 041410pm FIN 18 revised per disc w Mary_BS_Separation_TaxResIndem_Q12412 tf_Guidance 2" xfId="5969" xr:uid="{00000000-0005-0000-0000-000050170000}"/>
    <cellStyle name="_MOR - BDWY - 1+11_MOR - Australia -  EC - 3+9_By Country Detail 1Q10 041410pm FIN 18 revised per disc w Mary_BS_Separation_TaxResIndem_Q12412 tf_Guidance_BS retrieve" xfId="5970" xr:uid="{00000000-0005-0000-0000-000051170000}"/>
    <cellStyle name="_MOR - BDWY - 1+11_MOR - Australia -  EC - 3+9_By Country Detail 1Q10 041410pm FIN 18 revised per disc w Mary_BS_Separation_TaxResIndem_Q12412 tf_Guidance_Free CF" xfId="5971" xr:uid="{00000000-0005-0000-0000-000052170000}"/>
    <cellStyle name="_MOR - BDWY - 1+11_MOR - Australia -  EC - 3+9_By Country Detail 1Q10 041410pm FIN 18 revised per disc w Mary_BS_Separation_TaxResIndem_Q12412 tf_Guidance_P&amp;L Rec Qtr" xfId="5972" xr:uid="{00000000-0005-0000-0000-000053170000}"/>
    <cellStyle name="_MOR - BDWY - 1+11_MOR - Australia -  EC - 3+9_By Country Detail 1Q10 041410pm FIN 18 revised per disc w Mary_BS_Separation_TaxResIndem_Q12412 tf_Guidance_Sheet1" xfId="5973" xr:uid="{00000000-0005-0000-0000-000054170000}"/>
    <cellStyle name="_MOR - BDWY - 1+11_MOR - Australia -  EC - 3+9_By Country Detail 1Q10 041410pm FIN 18 revised per disc w Mary_BS_Separation_TaxResIndem_Q12412 tf_Guidance_Sheet2" xfId="5974" xr:uid="{00000000-0005-0000-0000-000055170000}"/>
    <cellStyle name="_MOR - BDWY - 1+11_MOR - Australia -  EC - 3+9_By Country Detail 1Q10 041410pm FIN 18 revised per disc w Mary_BS_Separation_TaxResIndem_Q12412 tf_Guidance_Sheet3" xfId="5975" xr:uid="{00000000-0005-0000-0000-000056170000}"/>
    <cellStyle name="_MOR - BDWY - 1+11_MOR - Australia -  EC - 3+9_By Country Detail 1Q10 041410pm FIN 18 revised per disc w Mary_BS_Separation_TaxResIndem_Q12412 tf_Guidance_Sheet4" xfId="5976" xr:uid="{00000000-0005-0000-0000-000057170000}"/>
    <cellStyle name="_MOR - BDWY - 1+11_MOR - Australia -  EC - 3+9_By Country Detail 1Q10 041410pm FIN 18 revised per disc w Mary_BS_Separation_TaxResIndem_Q12412 tf_Restructuring &amp; Separation" xfId="5977" xr:uid="{00000000-0005-0000-0000-000058170000}"/>
    <cellStyle name="_MOR - BDWY - 1+11_MOR - Australia -  EC - 3+9_By Country Detail 1Q10 041410pm FIN 18 revised per disc w Mary_BS_Separation_TaxResIndem_Q12412 tf_Restructuring &amp; Separation_Guidance" xfId="5978" xr:uid="{00000000-0005-0000-0000-000059170000}"/>
    <cellStyle name="_MOR - BDWY - 1+11_MOR - Australia -  EC - 3+9_By Country Detail 1Q10 041410pm FIN 18 revised per disc w Mary_BS_Separation_TaxResIndem_Q12412 tf_Restructuring &amp; Separation_Guidance 2" xfId="5979" xr:uid="{00000000-0005-0000-0000-00005A170000}"/>
    <cellStyle name="_MOR - BDWY - 1+11_MOR - Australia -  EC - 3+9_By Country Detail 1Q10 041410pm FIN 18 revised per disc w Mary_BS_Separation_TaxResIndem_Q12412 tf_Restructuring &amp; Separation_Guidance_BS retrieve" xfId="5980" xr:uid="{00000000-0005-0000-0000-00005B170000}"/>
    <cellStyle name="_MOR - BDWY - 1+11_MOR - Australia -  EC - 3+9_By Country Detail 1Q10 041410pm FIN 18 revised per disc w Mary_BS_Separation_TaxResIndem_Q12412 tf_Restructuring &amp; Separation_Guidance_Free CF" xfId="5981" xr:uid="{00000000-0005-0000-0000-00005C170000}"/>
    <cellStyle name="_MOR - BDWY - 1+11_MOR - Australia -  EC - 3+9_By Country Detail 1Q10 041410pm FIN 18 revised per disc w Mary_BS_Separation_TaxResIndem_Q12412 tf_Restructuring &amp; Separation_Guidance_P&amp;L Rec Qtr" xfId="5982" xr:uid="{00000000-0005-0000-0000-00005D170000}"/>
    <cellStyle name="_MOR - BDWY - 1+11_MOR - Australia -  EC - 3+9_By Country Detail 1Q10 041410pm FIN 18 revised per disc w Mary_BS_Separation_TaxResIndem_Q12412 tf_Restructuring &amp; Separation_Guidance_Sheet1" xfId="5983" xr:uid="{00000000-0005-0000-0000-00005E170000}"/>
    <cellStyle name="_MOR - BDWY - 1+11_MOR - Australia -  EC - 3+9_By Country Detail 1Q10 041410pm FIN 18 revised per disc w Mary_BS_Separation_TaxResIndem_Q12412 tf_Restructuring &amp; Separation_Guidance_Sheet2" xfId="5984" xr:uid="{00000000-0005-0000-0000-00005F170000}"/>
    <cellStyle name="_MOR - BDWY - 1+11_MOR - Australia -  EC - 3+9_By Country Detail 1Q10 041410pm FIN 18 revised per disc w Mary_BS_Separation_TaxResIndem_Q12412 tf_Restructuring &amp; Separation_Guidance_Sheet3" xfId="5985" xr:uid="{00000000-0005-0000-0000-000060170000}"/>
    <cellStyle name="_MOR - BDWY - 1+11_MOR - Australia -  EC - 3+9_By Country Detail 1Q10 041410pm FIN 18 revised per disc w Mary_BS_Separation_TaxResIndem_Q12412 tf_Restructuring &amp; Separation_Guidance_Sheet4" xfId="5986" xr:uid="{00000000-0005-0000-0000-000061170000}"/>
    <cellStyle name="_MOR - BDWY - 1+11_MOR - Australia -  EC - 3+9_By Country Detail 1Q10 041410pm FIN 18 revised per disc w Mary_Guidance" xfId="5987" xr:uid="{00000000-0005-0000-0000-000062170000}"/>
    <cellStyle name="_MOR - BDWY - 1+11_MOR - Australia -  EC - 3+9_By Country Detail 1Q10 041410pm FIN 18 revised per disc w Mary_Guidance 2" xfId="5988" xr:uid="{00000000-0005-0000-0000-000063170000}"/>
    <cellStyle name="_MOR - BDWY - 1+11_MOR - Australia -  EC - 3+9_By Country Detail 1Q10 041410pm FIN 18 revised per disc w Mary_Guidance_BS retrieve" xfId="5989" xr:uid="{00000000-0005-0000-0000-000064170000}"/>
    <cellStyle name="_MOR - BDWY - 1+11_MOR - Australia -  EC - 3+9_By Country Detail 1Q10 041410pm FIN 18 revised per disc w Mary_Guidance_Free CF" xfId="5990" xr:uid="{00000000-0005-0000-0000-000065170000}"/>
    <cellStyle name="_MOR - BDWY - 1+11_MOR - Australia -  EC - 3+9_By Country Detail 1Q10 041410pm FIN 18 revised per disc w Mary_Guidance_P&amp;L Rec Qtr" xfId="5991" xr:uid="{00000000-0005-0000-0000-000066170000}"/>
    <cellStyle name="_MOR - BDWY - 1+11_MOR - Australia -  EC - 3+9_By Country Detail 1Q10 041410pm FIN 18 revised per disc w Mary_Guidance_Sheet1" xfId="5992" xr:uid="{00000000-0005-0000-0000-000067170000}"/>
    <cellStyle name="_MOR - BDWY - 1+11_MOR - Australia -  EC - 3+9_By Country Detail 1Q10 041410pm FIN 18 revised per disc w Mary_Guidance_Sheet2" xfId="5993" xr:uid="{00000000-0005-0000-0000-000068170000}"/>
    <cellStyle name="_MOR - BDWY - 1+11_MOR - Australia -  EC - 3+9_By Country Detail 1Q10 041410pm FIN 18 revised per disc w Mary_Guidance_Sheet3" xfId="5994" xr:uid="{00000000-0005-0000-0000-000069170000}"/>
    <cellStyle name="_MOR - BDWY - 1+11_MOR - Australia -  EC - 3+9_By Country Detail 1Q10 041410pm FIN 18 revised per disc w Mary_Guidance_Sheet4" xfId="5995" xr:uid="{00000000-0005-0000-0000-00006A170000}"/>
    <cellStyle name="_MOR - BDWY - 1+11_MOR - Australia -  EC - 3+9_By Country Detail 1Q10 041410pm FIN 18 revised per disc w Mary_II.8. Sep&amp;Discrete" xfId="5996" xr:uid="{00000000-0005-0000-0000-00006B170000}"/>
    <cellStyle name="_MOR - BDWY - 1+11_MOR - Australia -  EC - 3+9_By Country Detail 1Q10 041410pm FIN 18 revised per disc w Mary_II.8. Sep&amp;Discrete_Guidance" xfId="5997" xr:uid="{00000000-0005-0000-0000-00006C170000}"/>
    <cellStyle name="_MOR - BDWY - 1+11_MOR - Australia -  EC - 3+9_By Country Detail 1Q10 041410pm FIN 18 revised per disc w Mary_II.8. Sep&amp;Discrete_Guidance 2" xfId="5998" xr:uid="{00000000-0005-0000-0000-00006D170000}"/>
    <cellStyle name="_MOR - BDWY - 1+11_MOR - Australia -  EC - 3+9_By Country Detail 1Q10 041410pm FIN 18 revised per disc w Mary_II.8. Sep&amp;Discrete_Guidance_BS retrieve" xfId="5999" xr:uid="{00000000-0005-0000-0000-00006E170000}"/>
    <cellStyle name="_MOR - BDWY - 1+11_MOR - Australia -  EC - 3+9_By Country Detail 1Q10 041410pm FIN 18 revised per disc w Mary_II.8. Sep&amp;Discrete_Guidance_Free CF" xfId="6000" xr:uid="{00000000-0005-0000-0000-00006F170000}"/>
    <cellStyle name="_MOR - BDWY - 1+11_MOR - Australia -  EC - 3+9_By Country Detail 1Q10 041410pm FIN 18 revised per disc w Mary_II.8. Sep&amp;Discrete_Guidance_P&amp;L Rec Qtr" xfId="6001" xr:uid="{00000000-0005-0000-0000-000070170000}"/>
    <cellStyle name="_MOR - BDWY - 1+11_MOR - Australia -  EC - 3+9_By Country Detail 1Q10 041410pm FIN 18 revised per disc w Mary_II.8. Sep&amp;Discrete_Guidance_Sheet1" xfId="6002" xr:uid="{00000000-0005-0000-0000-000071170000}"/>
    <cellStyle name="_MOR - BDWY - 1+11_MOR - Australia -  EC - 3+9_By Country Detail 1Q10 041410pm FIN 18 revised per disc w Mary_II.8. Sep&amp;Discrete_Guidance_Sheet2" xfId="6003" xr:uid="{00000000-0005-0000-0000-000072170000}"/>
    <cellStyle name="_MOR - BDWY - 1+11_MOR - Australia -  EC - 3+9_By Country Detail 1Q10 041410pm FIN 18 revised per disc w Mary_II.8. Sep&amp;Discrete_Guidance_Sheet3" xfId="6004" xr:uid="{00000000-0005-0000-0000-000073170000}"/>
    <cellStyle name="_MOR - BDWY - 1+11_MOR - Australia -  EC - 3+9_By Country Detail 1Q10 041410pm FIN 18 revised per disc w Mary_II.8. Sep&amp;Discrete_Guidance_Sheet4" xfId="6005" xr:uid="{00000000-0005-0000-0000-000074170000}"/>
    <cellStyle name="_MOR - BDWY - 1+11_MOR - Australia -  EC - 3+9_By Country Detail 1Q10 041410pm FIN 18 revised per disc w Mary_Restructuring &amp; Separation" xfId="6006" xr:uid="{00000000-0005-0000-0000-000075170000}"/>
    <cellStyle name="_MOR - BDWY - 1+11_MOR - Australia -  EC - 3+9_By Country Detail 1Q10 041410pm FIN 18 revised per disc w Mary_Restructuring &amp; Separation_Guidance" xfId="6007" xr:uid="{00000000-0005-0000-0000-000076170000}"/>
    <cellStyle name="_MOR - BDWY - 1+11_MOR - Australia -  EC - 3+9_By Country Detail 1Q10 041410pm FIN 18 revised per disc w Mary_Restructuring &amp; Separation_Guidance 2" xfId="6008" xr:uid="{00000000-0005-0000-0000-000077170000}"/>
    <cellStyle name="_MOR - BDWY - 1+11_MOR - Australia -  EC - 3+9_By Country Detail 1Q10 041410pm FIN 18 revised per disc w Mary_Restructuring &amp; Separation_Guidance_BS retrieve" xfId="6009" xr:uid="{00000000-0005-0000-0000-000078170000}"/>
    <cellStyle name="_MOR - BDWY - 1+11_MOR - Australia -  EC - 3+9_By Country Detail 1Q10 041410pm FIN 18 revised per disc w Mary_Restructuring &amp; Separation_Guidance_Free CF" xfId="6010" xr:uid="{00000000-0005-0000-0000-000079170000}"/>
    <cellStyle name="_MOR - BDWY - 1+11_MOR - Australia -  EC - 3+9_By Country Detail 1Q10 041410pm FIN 18 revised per disc w Mary_Restructuring &amp; Separation_Guidance_P&amp;L Rec Qtr" xfId="6011" xr:uid="{00000000-0005-0000-0000-00007A170000}"/>
    <cellStyle name="_MOR - BDWY - 1+11_MOR - Australia -  EC - 3+9_By Country Detail 1Q10 041410pm FIN 18 revised per disc w Mary_Restructuring &amp; Separation_Guidance_Sheet1" xfId="6012" xr:uid="{00000000-0005-0000-0000-00007B170000}"/>
    <cellStyle name="_MOR - BDWY - 1+11_MOR - Australia -  EC - 3+9_By Country Detail 1Q10 041410pm FIN 18 revised per disc w Mary_Restructuring &amp; Separation_Guidance_Sheet2" xfId="6013" xr:uid="{00000000-0005-0000-0000-00007C170000}"/>
    <cellStyle name="_MOR - BDWY - 1+11_MOR - Australia -  EC - 3+9_By Country Detail 1Q10 041410pm FIN 18 revised per disc w Mary_Restructuring &amp; Separation_Guidance_Sheet3" xfId="6014" xr:uid="{00000000-0005-0000-0000-00007D170000}"/>
    <cellStyle name="_MOR - BDWY - 1+11_MOR - Australia -  EC - 3+9_By Country Detail 1Q10 041410pm FIN 18 revised per disc w Mary_Restructuring &amp; Separation_Guidance_Sheet4" xfId="6015" xr:uid="{00000000-0005-0000-0000-00007E170000}"/>
    <cellStyle name="_MOR - BDWY - 1+11_MOR - Australia -  EC - 3+9_Guidance" xfId="6016" xr:uid="{00000000-0005-0000-0000-00007F170000}"/>
    <cellStyle name="_MOR - BDWY - 1+11_MOR - Australia -  EC - 3+9_Guidance 2" xfId="6017" xr:uid="{00000000-0005-0000-0000-000080170000}"/>
    <cellStyle name="_MOR - BDWY - 1+11_MOR - Australia -  EC - 3+9_Guidance_BS retrieve" xfId="6018" xr:uid="{00000000-0005-0000-0000-000081170000}"/>
    <cellStyle name="_MOR - BDWY - 1+11_MOR - Australia -  EC - 3+9_Guidance_Free CF" xfId="6019" xr:uid="{00000000-0005-0000-0000-000082170000}"/>
    <cellStyle name="_MOR - BDWY - 1+11_MOR - Australia -  EC - 3+9_Guidance_P&amp;L Rec Qtr" xfId="6020" xr:uid="{00000000-0005-0000-0000-000083170000}"/>
    <cellStyle name="_MOR - BDWY - 1+11_MOR - Australia -  EC - 3+9_Guidance_Sheet1" xfId="6021" xr:uid="{00000000-0005-0000-0000-000084170000}"/>
    <cellStyle name="_MOR - BDWY - 1+11_MOR - Australia -  EC - 3+9_Guidance_Sheet2" xfId="6022" xr:uid="{00000000-0005-0000-0000-000085170000}"/>
    <cellStyle name="_MOR - BDWY - 1+11_MOR - Australia -  EC - 3+9_Guidance_Sheet3" xfId="6023" xr:uid="{00000000-0005-0000-0000-000086170000}"/>
    <cellStyle name="_MOR - BDWY - 1+11_MOR - Australia -  EC - 3+9_Guidance_Sheet4" xfId="6024" xr:uid="{00000000-0005-0000-0000-000087170000}"/>
    <cellStyle name="_MOR - BDWY - 1+11_MOR - Australia -  EC - 3+9_II.4. RawMaterials" xfId="6025" xr:uid="{00000000-0005-0000-0000-000088170000}"/>
    <cellStyle name="_MOR - BDWY - 1+11_MOR - Australia -  EC - 3+9_II.4. RawMaterials 2" xfId="6026" xr:uid="{00000000-0005-0000-0000-000089170000}"/>
    <cellStyle name="_MOR - BDWY - 1+11_MOR - Australia -  EC - 3+9_II.4. RawMaterials_BS retrieve" xfId="6027" xr:uid="{00000000-0005-0000-0000-00008A170000}"/>
    <cellStyle name="_MOR - BDWY - 1+11_MOR - Australia -  EC - 3+9_II.4. RawMaterials_Free CF" xfId="6028" xr:uid="{00000000-0005-0000-0000-00008B170000}"/>
    <cellStyle name="_MOR - BDWY - 1+11_MOR - Australia -  EC - 3+9_II.4. RawMaterials_P&amp;L Rec Qtr" xfId="6029" xr:uid="{00000000-0005-0000-0000-00008C170000}"/>
    <cellStyle name="_MOR - BDWY - 1+11_MOR - Australia -  EC - 3+9_II.4. RawMaterials_Sheet1" xfId="6030" xr:uid="{00000000-0005-0000-0000-00008D170000}"/>
    <cellStyle name="_MOR - BDWY - 1+11_MOR - Australia -  EC - 3+9_II.4. RawMaterials_Sheet2" xfId="6031" xr:uid="{00000000-0005-0000-0000-00008E170000}"/>
    <cellStyle name="_MOR - BDWY - 1+11_MOR - Australia -  EC - 3+9_II.4. RawMaterials_Sheet3" xfId="6032" xr:uid="{00000000-0005-0000-0000-00008F170000}"/>
    <cellStyle name="_MOR - BDWY - 1+11_MOR - Australia -  EC - 3+9_II.4. RawMaterials_Sheet4" xfId="6033" xr:uid="{00000000-0005-0000-0000-000090170000}"/>
    <cellStyle name="_MOR - BDWY - 1+11_MOR - Australia -  EC - 3+9_II.5. RawMaterials" xfId="6034" xr:uid="{00000000-0005-0000-0000-000091170000}"/>
    <cellStyle name="_MOR - BDWY - 1+11_MOR - Australia -  EC - 3+9_II.5. RawMaterials 2" xfId="6035" xr:uid="{00000000-0005-0000-0000-000092170000}"/>
    <cellStyle name="_MOR - BDWY - 1+11_MOR - Australia -  EC - 3+9_II.5. RawMaterials_BS retrieve" xfId="6036" xr:uid="{00000000-0005-0000-0000-000093170000}"/>
    <cellStyle name="_MOR - BDWY - 1+11_MOR - Australia -  EC - 3+9_II.5. RawMaterials_Free CF" xfId="6037" xr:uid="{00000000-0005-0000-0000-000094170000}"/>
    <cellStyle name="_MOR - BDWY - 1+11_MOR - Australia -  EC - 3+9_II.5. RawMaterials_Guidance" xfId="6038" xr:uid="{00000000-0005-0000-0000-000095170000}"/>
    <cellStyle name="_MOR - BDWY - 1+11_MOR - Australia -  EC - 3+9_II.5. RawMaterials_Guidance 2" xfId="6039" xr:uid="{00000000-0005-0000-0000-000096170000}"/>
    <cellStyle name="_MOR - BDWY - 1+11_MOR - Australia -  EC - 3+9_II.5. RawMaterials_Guidance_BS retrieve" xfId="6040" xr:uid="{00000000-0005-0000-0000-000097170000}"/>
    <cellStyle name="_MOR - BDWY - 1+11_MOR - Australia -  EC - 3+9_II.5. RawMaterials_Guidance_Free CF" xfId="6041" xr:uid="{00000000-0005-0000-0000-000098170000}"/>
    <cellStyle name="_MOR - BDWY - 1+11_MOR - Australia -  EC - 3+9_II.5. RawMaterials_Guidance_P&amp;L Rec Qtr" xfId="6042" xr:uid="{00000000-0005-0000-0000-000099170000}"/>
    <cellStyle name="_MOR - BDWY - 1+11_MOR - Australia -  EC - 3+9_II.5. RawMaterials_Guidance_Sheet1" xfId="6043" xr:uid="{00000000-0005-0000-0000-00009A170000}"/>
    <cellStyle name="_MOR - BDWY - 1+11_MOR - Australia -  EC - 3+9_II.5. RawMaterials_Guidance_Sheet2" xfId="6044" xr:uid="{00000000-0005-0000-0000-00009B170000}"/>
    <cellStyle name="_MOR - BDWY - 1+11_MOR - Australia -  EC - 3+9_II.5. RawMaterials_Guidance_Sheet3" xfId="6045" xr:uid="{00000000-0005-0000-0000-00009C170000}"/>
    <cellStyle name="_MOR - BDWY - 1+11_MOR - Australia -  EC - 3+9_II.5. RawMaterials_Guidance_Sheet4" xfId="6046" xr:uid="{00000000-0005-0000-0000-00009D170000}"/>
    <cellStyle name="_MOR - BDWY - 1+11_MOR - Australia -  EC - 3+9_II.5. RawMaterials_P&amp;L Rec Qtr" xfId="6047" xr:uid="{00000000-0005-0000-0000-00009E170000}"/>
    <cellStyle name="_MOR - BDWY - 1+11_MOR - Australia -  EC - 3+9_II.5. RawMaterials_Sheet1" xfId="6048" xr:uid="{00000000-0005-0000-0000-00009F170000}"/>
    <cellStyle name="_MOR - BDWY - 1+11_MOR - Australia -  EC - 3+9_II.5. RawMaterials_Sheet2" xfId="6049" xr:uid="{00000000-0005-0000-0000-0000A0170000}"/>
    <cellStyle name="_MOR - BDWY - 1+11_MOR - Australia -  EC - 3+9_II.5. RawMaterials_Sheet3" xfId="6050" xr:uid="{00000000-0005-0000-0000-0000A1170000}"/>
    <cellStyle name="_MOR - BDWY - 1+11_MOR - Australia -  EC - 3+9_II.5. RawMaterials_Sheet4" xfId="6051" xr:uid="{00000000-0005-0000-0000-0000A2170000}"/>
    <cellStyle name="_MOR - BDWY - 1+11_MOR - Australia -  EC - 3+9_II.5. RM Volume Sensitivities" xfId="6052" xr:uid="{00000000-0005-0000-0000-0000A3170000}"/>
    <cellStyle name="_MOR - BDWY - 1+11_MOR - Australia -  EC - 3+9_II.5. RM Volume Sensitivities 2" xfId="6053" xr:uid="{00000000-0005-0000-0000-0000A4170000}"/>
    <cellStyle name="_MOR - BDWY - 1+11_MOR - Australia -  EC - 3+9_II.5. RM Volume Sensitivities_BS retrieve" xfId="6054" xr:uid="{00000000-0005-0000-0000-0000A5170000}"/>
    <cellStyle name="_MOR - BDWY - 1+11_MOR - Australia -  EC - 3+9_II.5. RM Volume Sensitivities_Free CF" xfId="6055" xr:uid="{00000000-0005-0000-0000-0000A6170000}"/>
    <cellStyle name="_MOR - BDWY - 1+11_MOR - Australia -  EC - 3+9_II.5. RM Volume Sensitivities_P&amp;L Rec Qtr" xfId="6056" xr:uid="{00000000-0005-0000-0000-0000A7170000}"/>
    <cellStyle name="_MOR - BDWY - 1+11_MOR - Australia -  EC - 3+9_II.5. RM Volume Sensitivities_Sheet1" xfId="6057" xr:uid="{00000000-0005-0000-0000-0000A8170000}"/>
    <cellStyle name="_MOR - BDWY - 1+11_MOR - Australia -  EC - 3+9_II.5. RM Volume Sensitivities_Sheet2" xfId="6058" xr:uid="{00000000-0005-0000-0000-0000A9170000}"/>
    <cellStyle name="_MOR - BDWY - 1+11_MOR - Australia -  EC - 3+9_II.5. RM Volume Sensitivities_Sheet3" xfId="6059" xr:uid="{00000000-0005-0000-0000-0000AA170000}"/>
    <cellStyle name="_MOR - BDWY - 1+11_MOR - Australia -  EC - 3+9_II.5. RM Volume Sensitivities_Sheet4" xfId="6060" xr:uid="{00000000-0005-0000-0000-0000AB170000}"/>
    <cellStyle name="_MOR - BDWY - 1+11_MOR - Australia -  EC - 3+9_II.8. Sep&amp;Discrete" xfId="6061" xr:uid="{00000000-0005-0000-0000-0000AC170000}"/>
    <cellStyle name="_MOR - BDWY - 1+11_MOR - Australia -  EC - 3+9_II.8. Sep&amp;Discrete_Guidance" xfId="6062" xr:uid="{00000000-0005-0000-0000-0000AD170000}"/>
    <cellStyle name="_MOR - BDWY - 1+11_MOR - Australia -  EC - 3+9_II.8. Sep&amp;Discrete_Guidance 2" xfId="6063" xr:uid="{00000000-0005-0000-0000-0000AE170000}"/>
    <cellStyle name="_MOR - BDWY - 1+11_MOR - Australia -  EC - 3+9_II.8. Sep&amp;Discrete_Guidance_BS retrieve" xfId="6064" xr:uid="{00000000-0005-0000-0000-0000AF170000}"/>
    <cellStyle name="_MOR - BDWY - 1+11_MOR - Australia -  EC - 3+9_II.8. Sep&amp;Discrete_Guidance_Free CF" xfId="6065" xr:uid="{00000000-0005-0000-0000-0000B0170000}"/>
    <cellStyle name="_MOR - BDWY - 1+11_MOR - Australia -  EC - 3+9_II.8. Sep&amp;Discrete_Guidance_P&amp;L Rec Qtr" xfId="6066" xr:uid="{00000000-0005-0000-0000-0000B1170000}"/>
    <cellStyle name="_MOR - BDWY - 1+11_MOR - Australia -  EC - 3+9_II.8. Sep&amp;Discrete_Guidance_Sheet1" xfId="6067" xr:uid="{00000000-0005-0000-0000-0000B2170000}"/>
    <cellStyle name="_MOR - BDWY - 1+11_MOR - Australia -  EC - 3+9_II.8. Sep&amp;Discrete_Guidance_Sheet2" xfId="6068" xr:uid="{00000000-0005-0000-0000-0000B3170000}"/>
    <cellStyle name="_MOR - BDWY - 1+11_MOR - Australia -  EC - 3+9_II.8. Sep&amp;Discrete_Guidance_Sheet3" xfId="6069" xr:uid="{00000000-0005-0000-0000-0000B4170000}"/>
    <cellStyle name="_MOR - BDWY - 1+11_MOR - Australia -  EC - 3+9_II.8. Sep&amp;Discrete_Guidance_Sheet4" xfId="6070" xr:uid="{00000000-0005-0000-0000-0000B5170000}"/>
    <cellStyle name="_MOR - BDWY - 1+11_MOR - Australia -  EC - 3+9_Restructuring &amp; Separation" xfId="6071" xr:uid="{00000000-0005-0000-0000-0000B6170000}"/>
    <cellStyle name="_MOR - BDWY - 1+11_MOR - Australia -  EC - 3+9_Restructuring &amp; Separation_Guidance" xfId="6072" xr:uid="{00000000-0005-0000-0000-0000B7170000}"/>
    <cellStyle name="_MOR - BDWY - 1+11_MOR - Australia -  EC - 3+9_Restructuring &amp; Separation_Guidance 2" xfId="6073" xr:uid="{00000000-0005-0000-0000-0000B8170000}"/>
    <cellStyle name="_MOR - BDWY - 1+11_MOR - Australia -  EC - 3+9_Restructuring &amp; Separation_Guidance_BS retrieve" xfId="6074" xr:uid="{00000000-0005-0000-0000-0000B9170000}"/>
    <cellStyle name="_MOR - BDWY - 1+11_MOR - Australia -  EC - 3+9_Restructuring &amp; Separation_Guidance_Free CF" xfId="6075" xr:uid="{00000000-0005-0000-0000-0000BA170000}"/>
    <cellStyle name="_MOR - BDWY - 1+11_MOR - Australia -  EC - 3+9_Restructuring &amp; Separation_Guidance_P&amp;L Rec Qtr" xfId="6076" xr:uid="{00000000-0005-0000-0000-0000BB170000}"/>
    <cellStyle name="_MOR - BDWY - 1+11_MOR - Australia -  EC - 3+9_Restructuring &amp; Separation_Guidance_Sheet1" xfId="6077" xr:uid="{00000000-0005-0000-0000-0000BC170000}"/>
    <cellStyle name="_MOR - BDWY - 1+11_MOR - Australia -  EC - 3+9_Restructuring &amp; Separation_Guidance_Sheet2" xfId="6078" xr:uid="{00000000-0005-0000-0000-0000BD170000}"/>
    <cellStyle name="_MOR - BDWY - 1+11_MOR - Australia -  EC - 3+9_Restructuring &amp; Separation_Guidance_Sheet3" xfId="6079" xr:uid="{00000000-0005-0000-0000-0000BE170000}"/>
    <cellStyle name="_MOR - BDWY - 1+11_MOR - Australia -  EC - 3+9_Restructuring &amp; Separation_Guidance_Sheet4" xfId="6080" xr:uid="{00000000-0005-0000-0000-0000BF170000}"/>
    <cellStyle name="_MOR - BDWY - 1+11_MOR - Australia -  EC - 3+9_Restructuring_Separation_TAX_JuneFC2010 tf" xfId="6081" xr:uid="{00000000-0005-0000-0000-0000C0170000}"/>
    <cellStyle name="_MOR - BDWY - 1+11_MOR - Australia -  EC - 3+9_Restructuring_Separation_TAX_JuneFC2010 tf_BS_Separation_TaxResIndem_Q12412 tf" xfId="6082" xr:uid="{00000000-0005-0000-0000-0000C1170000}"/>
    <cellStyle name="_MOR - BDWY - 1+11_MOR - Australia -  EC - 3+9_Restructuring_Separation_TAX_JuneFC2010 tf_BS_Separation_TaxResIndem_Q12412 tf_Guidance" xfId="6083" xr:uid="{00000000-0005-0000-0000-0000C2170000}"/>
    <cellStyle name="_MOR - BDWY - 1+11_MOR - Australia -  EC - 3+9_Restructuring_Separation_TAX_JuneFC2010 tf_BS_Separation_TaxResIndem_Q12412 tf_Guidance 2" xfId="6084" xr:uid="{00000000-0005-0000-0000-0000C3170000}"/>
    <cellStyle name="_MOR - BDWY - 1+11_MOR - Australia -  EC - 3+9_Restructuring_Separation_TAX_JuneFC2010 tf_BS_Separation_TaxResIndem_Q12412 tf_Guidance_BS retrieve" xfId="6085" xr:uid="{00000000-0005-0000-0000-0000C4170000}"/>
    <cellStyle name="_MOR - BDWY - 1+11_MOR - Australia -  EC - 3+9_Restructuring_Separation_TAX_JuneFC2010 tf_BS_Separation_TaxResIndem_Q12412 tf_Guidance_Free CF" xfId="6086" xr:uid="{00000000-0005-0000-0000-0000C5170000}"/>
    <cellStyle name="_MOR - BDWY - 1+11_MOR - Australia -  EC - 3+9_Restructuring_Separation_TAX_JuneFC2010 tf_BS_Separation_TaxResIndem_Q12412 tf_Guidance_P&amp;L Rec Qtr" xfId="6087" xr:uid="{00000000-0005-0000-0000-0000C6170000}"/>
    <cellStyle name="_MOR - BDWY - 1+11_MOR - Australia -  EC - 3+9_Restructuring_Separation_TAX_JuneFC2010 tf_BS_Separation_TaxResIndem_Q12412 tf_Guidance_Sheet1" xfId="6088" xr:uid="{00000000-0005-0000-0000-0000C7170000}"/>
    <cellStyle name="_MOR - BDWY - 1+11_MOR - Australia -  EC - 3+9_Restructuring_Separation_TAX_JuneFC2010 tf_BS_Separation_TaxResIndem_Q12412 tf_Guidance_Sheet2" xfId="6089" xr:uid="{00000000-0005-0000-0000-0000C8170000}"/>
    <cellStyle name="_MOR - BDWY - 1+11_MOR - Australia -  EC - 3+9_Restructuring_Separation_TAX_JuneFC2010 tf_BS_Separation_TaxResIndem_Q12412 tf_Guidance_Sheet3" xfId="6090" xr:uid="{00000000-0005-0000-0000-0000C9170000}"/>
    <cellStyle name="_MOR - BDWY - 1+11_MOR - Australia -  EC - 3+9_Restructuring_Separation_TAX_JuneFC2010 tf_BS_Separation_TaxResIndem_Q12412 tf_Guidance_Sheet4" xfId="6091" xr:uid="{00000000-0005-0000-0000-0000CA170000}"/>
    <cellStyle name="_MOR - BDWY - 1+11_MOR - Australia -  EC - 3+9_Restructuring_Separation_TAX_JuneFC2010 tf_BS_Separation_TaxResIndem_Q12412 tf_Restructuring &amp; Separation" xfId="6092" xr:uid="{00000000-0005-0000-0000-0000CB170000}"/>
    <cellStyle name="_MOR - BDWY - 1+11_MOR - Australia -  EC - 3+9_Restructuring_Separation_TAX_JuneFC2010 tf_BS_Separation_TaxResIndem_Q12412 tf_Restructuring &amp; Separation_Guidance" xfId="6093" xr:uid="{00000000-0005-0000-0000-0000CC170000}"/>
    <cellStyle name="_MOR - BDWY - 1+11_MOR - Australia -  EC - 3+9_Restructuring_Separation_TAX_JuneFC2010 tf_BS_Separation_TaxResIndem_Q12412 tf_Restructuring &amp; Separation_Guidance 2" xfId="6094" xr:uid="{00000000-0005-0000-0000-0000CD170000}"/>
    <cellStyle name="_MOR - BDWY - 1+11_MOR - Australia -  EC - 3+9_Restructuring_Separation_TAX_JuneFC2010 tf_BS_Separation_TaxResIndem_Q12412 tf_Restructuring &amp; Separation_Guidance_BS retrieve" xfId="6095" xr:uid="{00000000-0005-0000-0000-0000CE170000}"/>
    <cellStyle name="_MOR - BDWY - 1+11_MOR - Australia -  EC - 3+9_Restructuring_Separation_TAX_JuneFC2010 tf_BS_Separation_TaxResIndem_Q12412 tf_Restructuring &amp; Separation_Guidance_Free CF" xfId="6096" xr:uid="{00000000-0005-0000-0000-0000CF170000}"/>
    <cellStyle name="_MOR - BDWY - 1+11_MOR - Australia -  EC - 3+9_Restructuring_Separation_TAX_JuneFC2010 tf_BS_Separation_TaxResIndem_Q12412 tf_Restructuring &amp; Separation_Guidance_P&amp;L Rec Qtr" xfId="6097" xr:uid="{00000000-0005-0000-0000-0000D0170000}"/>
    <cellStyle name="_MOR - BDWY - 1+11_MOR - Australia -  EC - 3+9_Restructuring_Separation_TAX_JuneFC2010 tf_BS_Separation_TaxResIndem_Q12412 tf_Restructuring &amp; Separation_Guidance_Sheet1" xfId="6098" xr:uid="{00000000-0005-0000-0000-0000D1170000}"/>
    <cellStyle name="_MOR - BDWY - 1+11_MOR - Australia -  EC - 3+9_Restructuring_Separation_TAX_JuneFC2010 tf_BS_Separation_TaxResIndem_Q12412 tf_Restructuring &amp; Separation_Guidance_Sheet2" xfId="6099" xr:uid="{00000000-0005-0000-0000-0000D2170000}"/>
    <cellStyle name="_MOR - BDWY - 1+11_MOR - Australia -  EC - 3+9_Restructuring_Separation_TAX_JuneFC2010 tf_BS_Separation_TaxResIndem_Q12412 tf_Restructuring &amp; Separation_Guidance_Sheet3" xfId="6100" xr:uid="{00000000-0005-0000-0000-0000D3170000}"/>
    <cellStyle name="_MOR - BDWY - 1+11_MOR - Australia -  EC - 3+9_Restructuring_Separation_TAX_JuneFC2010 tf_BS_Separation_TaxResIndem_Q12412 tf_Restructuring &amp; Separation_Guidance_Sheet4" xfId="6101" xr:uid="{00000000-0005-0000-0000-0000D4170000}"/>
    <cellStyle name="_MOR - BDWY - 1+11_MOR - Australia -  EC - 3+9_Restructuring_Separation_TAX_JuneFC2010 tf_Guidance" xfId="6102" xr:uid="{00000000-0005-0000-0000-0000D5170000}"/>
    <cellStyle name="_MOR - BDWY - 1+11_MOR - Australia -  EC - 3+9_Restructuring_Separation_TAX_JuneFC2010 tf_Guidance 2" xfId="6103" xr:uid="{00000000-0005-0000-0000-0000D6170000}"/>
    <cellStyle name="_MOR - BDWY - 1+11_MOR - Australia -  EC - 3+9_Restructuring_Separation_TAX_JuneFC2010 tf_Guidance_BS retrieve" xfId="6104" xr:uid="{00000000-0005-0000-0000-0000D7170000}"/>
    <cellStyle name="_MOR - BDWY - 1+11_MOR - Australia -  EC - 3+9_Restructuring_Separation_TAX_JuneFC2010 tf_Guidance_Free CF" xfId="6105" xr:uid="{00000000-0005-0000-0000-0000D8170000}"/>
    <cellStyle name="_MOR - BDWY - 1+11_MOR - Australia -  EC - 3+9_Restructuring_Separation_TAX_JuneFC2010 tf_Guidance_P&amp;L Rec Qtr" xfId="6106" xr:uid="{00000000-0005-0000-0000-0000D9170000}"/>
    <cellStyle name="_MOR - BDWY - 1+11_MOR - Australia -  EC - 3+9_Restructuring_Separation_TAX_JuneFC2010 tf_Guidance_Sheet1" xfId="6107" xr:uid="{00000000-0005-0000-0000-0000DA170000}"/>
    <cellStyle name="_MOR - BDWY - 1+11_MOR - Australia -  EC - 3+9_Restructuring_Separation_TAX_JuneFC2010 tf_Guidance_Sheet2" xfId="6108" xr:uid="{00000000-0005-0000-0000-0000DB170000}"/>
    <cellStyle name="_MOR - BDWY - 1+11_MOR - Australia -  EC - 3+9_Restructuring_Separation_TAX_JuneFC2010 tf_Guidance_Sheet3" xfId="6109" xr:uid="{00000000-0005-0000-0000-0000DC170000}"/>
    <cellStyle name="_MOR - BDWY - 1+11_MOR - Australia -  EC - 3+9_Restructuring_Separation_TAX_JuneFC2010 tf_Guidance_Sheet4" xfId="6110" xr:uid="{00000000-0005-0000-0000-0000DD170000}"/>
    <cellStyle name="_MOR - BDWY - 1+11_MOR - Australia -  EC - 3+9_Restructuring_Separation_TAX_JuneFC2010 tf_II.8. Sep&amp;Discrete" xfId="6111" xr:uid="{00000000-0005-0000-0000-0000DE170000}"/>
    <cellStyle name="_MOR - BDWY - 1+11_MOR - Australia -  EC - 3+9_Restructuring_Separation_TAX_JuneFC2010 tf_II.8. Sep&amp;Discrete_Guidance" xfId="6112" xr:uid="{00000000-0005-0000-0000-0000DF170000}"/>
    <cellStyle name="_MOR - BDWY - 1+11_MOR - Australia -  EC - 3+9_Restructuring_Separation_TAX_JuneFC2010 tf_II.8. Sep&amp;Discrete_Guidance 2" xfId="6113" xr:uid="{00000000-0005-0000-0000-0000E0170000}"/>
    <cellStyle name="_MOR - BDWY - 1+11_MOR - Australia -  EC - 3+9_Restructuring_Separation_TAX_JuneFC2010 tf_II.8. Sep&amp;Discrete_Guidance_BS retrieve" xfId="6114" xr:uid="{00000000-0005-0000-0000-0000E1170000}"/>
    <cellStyle name="_MOR - BDWY - 1+11_MOR - Australia -  EC - 3+9_Restructuring_Separation_TAX_JuneFC2010 tf_II.8. Sep&amp;Discrete_Guidance_Free CF" xfId="6115" xr:uid="{00000000-0005-0000-0000-0000E2170000}"/>
    <cellStyle name="_MOR - BDWY - 1+11_MOR - Australia -  EC - 3+9_Restructuring_Separation_TAX_JuneFC2010 tf_II.8. Sep&amp;Discrete_Guidance_P&amp;L Rec Qtr" xfId="6116" xr:uid="{00000000-0005-0000-0000-0000E3170000}"/>
    <cellStyle name="_MOR - BDWY - 1+11_MOR - Australia -  EC - 3+9_Restructuring_Separation_TAX_JuneFC2010 tf_II.8. Sep&amp;Discrete_Guidance_Sheet1" xfId="6117" xr:uid="{00000000-0005-0000-0000-0000E4170000}"/>
    <cellStyle name="_MOR - BDWY - 1+11_MOR - Australia -  EC - 3+9_Restructuring_Separation_TAX_JuneFC2010 tf_II.8. Sep&amp;Discrete_Guidance_Sheet2" xfId="6118" xr:uid="{00000000-0005-0000-0000-0000E5170000}"/>
    <cellStyle name="_MOR - BDWY - 1+11_MOR - Australia -  EC - 3+9_Restructuring_Separation_TAX_JuneFC2010 tf_II.8. Sep&amp;Discrete_Guidance_Sheet3" xfId="6119" xr:uid="{00000000-0005-0000-0000-0000E6170000}"/>
    <cellStyle name="_MOR - BDWY - 1+11_MOR - Australia -  EC - 3+9_Restructuring_Separation_TAX_JuneFC2010 tf_II.8. Sep&amp;Discrete_Guidance_Sheet4" xfId="6120" xr:uid="{00000000-0005-0000-0000-0000E7170000}"/>
    <cellStyle name="_MOR - BDWY - 1+11_MOR - Australia -  EC - 3+9_Restructuring_Separation_TAX_JuneFC2010 tf_Restructuring &amp; Separation" xfId="6121" xr:uid="{00000000-0005-0000-0000-0000E8170000}"/>
    <cellStyle name="_MOR - BDWY - 1+11_MOR - Australia -  EC - 3+9_Restructuring_Separation_TAX_JuneFC2010 tf_Restructuring &amp; Separation_Guidance" xfId="6122" xr:uid="{00000000-0005-0000-0000-0000E9170000}"/>
    <cellStyle name="_MOR - BDWY - 1+11_MOR - Australia -  EC - 3+9_Restructuring_Separation_TAX_JuneFC2010 tf_Restructuring &amp; Separation_Guidance 2" xfId="6123" xr:uid="{00000000-0005-0000-0000-0000EA170000}"/>
    <cellStyle name="_MOR - BDWY - 1+11_MOR - Australia -  EC - 3+9_Restructuring_Separation_TAX_JuneFC2010 tf_Restructuring &amp; Separation_Guidance_BS retrieve" xfId="6124" xr:uid="{00000000-0005-0000-0000-0000EB170000}"/>
    <cellStyle name="_MOR - BDWY - 1+11_MOR - Australia -  EC - 3+9_Restructuring_Separation_TAX_JuneFC2010 tf_Restructuring &amp; Separation_Guidance_Free CF" xfId="6125" xr:uid="{00000000-0005-0000-0000-0000EC170000}"/>
    <cellStyle name="_MOR - BDWY - 1+11_MOR - Australia -  EC - 3+9_Restructuring_Separation_TAX_JuneFC2010 tf_Restructuring &amp; Separation_Guidance_P&amp;L Rec Qtr" xfId="6126" xr:uid="{00000000-0005-0000-0000-0000ED170000}"/>
    <cellStyle name="_MOR - BDWY - 1+11_MOR - Australia -  EC - 3+9_Restructuring_Separation_TAX_JuneFC2010 tf_Restructuring &amp; Separation_Guidance_Sheet1" xfId="6127" xr:uid="{00000000-0005-0000-0000-0000EE170000}"/>
    <cellStyle name="_MOR - BDWY - 1+11_MOR - Australia -  EC - 3+9_Restructuring_Separation_TAX_JuneFC2010 tf_Restructuring &amp; Separation_Guidance_Sheet2" xfId="6128" xr:uid="{00000000-0005-0000-0000-0000EF170000}"/>
    <cellStyle name="_MOR - BDWY - 1+11_MOR - Australia -  EC - 3+9_Restructuring_Separation_TAX_JuneFC2010 tf_Restructuring &amp; Separation_Guidance_Sheet3" xfId="6129" xr:uid="{00000000-0005-0000-0000-0000F0170000}"/>
    <cellStyle name="_MOR - BDWY - 1+11_MOR - Australia -  EC - 3+9_Restructuring_Separation_TAX_JuneFC2010 tf_Restructuring &amp; Separation_Guidance_Sheet4" xfId="6130" xr:uid="{00000000-0005-0000-0000-0000F1170000}"/>
    <cellStyle name="_MOR - BDWY - 1+11_MOR - Australia -  EC - 4+8" xfId="6131" xr:uid="{00000000-0005-0000-0000-0000F2170000}"/>
    <cellStyle name="_MOR - BDWY - 1+11_MOR - Australia -  EC - 4+8_BS_Separation_TaxResIndem_Q12412 tf" xfId="6132" xr:uid="{00000000-0005-0000-0000-0000F3170000}"/>
    <cellStyle name="_MOR - BDWY - 1+11_MOR - Australia -  EC - 4+8_BS_Separation_TaxResIndem_Q12412 tf_Guidance" xfId="6133" xr:uid="{00000000-0005-0000-0000-0000F4170000}"/>
    <cellStyle name="_MOR - BDWY - 1+11_MOR - Australia -  EC - 4+8_BS_Separation_TaxResIndem_Q12412 tf_Guidance 2" xfId="6134" xr:uid="{00000000-0005-0000-0000-0000F5170000}"/>
    <cellStyle name="_MOR - BDWY - 1+11_MOR - Australia -  EC - 4+8_BS_Separation_TaxResIndem_Q12412 tf_Guidance_BS retrieve" xfId="6135" xr:uid="{00000000-0005-0000-0000-0000F6170000}"/>
    <cellStyle name="_MOR - BDWY - 1+11_MOR - Australia -  EC - 4+8_BS_Separation_TaxResIndem_Q12412 tf_Guidance_Free CF" xfId="6136" xr:uid="{00000000-0005-0000-0000-0000F7170000}"/>
    <cellStyle name="_MOR - BDWY - 1+11_MOR - Australia -  EC - 4+8_BS_Separation_TaxResIndem_Q12412 tf_Guidance_P&amp;L Rec Qtr" xfId="6137" xr:uid="{00000000-0005-0000-0000-0000F8170000}"/>
    <cellStyle name="_MOR - BDWY - 1+11_MOR - Australia -  EC - 4+8_BS_Separation_TaxResIndem_Q12412 tf_Guidance_Sheet1" xfId="6138" xr:uid="{00000000-0005-0000-0000-0000F9170000}"/>
    <cellStyle name="_MOR - BDWY - 1+11_MOR - Australia -  EC - 4+8_BS_Separation_TaxResIndem_Q12412 tf_Guidance_Sheet2" xfId="6139" xr:uid="{00000000-0005-0000-0000-0000FA170000}"/>
    <cellStyle name="_MOR - BDWY - 1+11_MOR - Australia -  EC - 4+8_BS_Separation_TaxResIndem_Q12412 tf_Guidance_Sheet3" xfId="6140" xr:uid="{00000000-0005-0000-0000-0000FB170000}"/>
    <cellStyle name="_MOR - BDWY - 1+11_MOR - Australia -  EC - 4+8_BS_Separation_TaxResIndem_Q12412 tf_Guidance_Sheet4" xfId="6141" xr:uid="{00000000-0005-0000-0000-0000FC170000}"/>
    <cellStyle name="_MOR - BDWY - 1+11_MOR - Australia -  EC - 4+8_BS_Separation_TaxResIndem_Q12412 tf_Restructuring &amp; Separation" xfId="6142" xr:uid="{00000000-0005-0000-0000-0000FD170000}"/>
    <cellStyle name="_MOR - BDWY - 1+11_MOR - Australia -  EC - 4+8_BS_Separation_TaxResIndem_Q12412 tf_Restructuring &amp; Separation_Guidance" xfId="6143" xr:uid="{00000000-0005-0000-0000-0000FE170000}"/>
    <cellStyle name="_MOR - BDWY - 1+11_MOR - Australia -  EC - 4+8_BS_Separation_TaxResIndem_Q12412 tf_Restructuring &amp; Separation_Guidance 2" xfId="6144" xr:uid="{00000000-0005-0000-0000-0000FF170000}"/>
    <cellStyle name="_MOR - BDWY - 1+11_MOR - Australia -  EC - 4+8_BS_Separation_TaxResIndem_Q12412 tf_Restructuring &amp; Separation_Guidance_BS retrieve" xfId="6145" xr:uid="{00000000-0005-0000-0000-000000180000}"/>
    <cellStyle name="_MOR - BDWY - 1+11_MOR - Australia -  EC - 4+8_BS_Separation_TaxResIndem_Q12412 tf_Restructuring &amp; Separation_Guidance_Free CF" xfId="6146" xr:uid="{00000000-0005-0000-0000-000001180000}"/>
    <cellStyle name="_MOR - BDWY - 1+11_MOR - Australia -  EC - 4+8_BS_Separation_TaxResIndem_Q12412 tf_Restructuring &amp; Separation_Guidance_P&amp;L Rec Qtr" xfId="6147" xr:uid="{00000000-0005-0000-0000-000002180000}"/>
    <cellStyle name="_MOR - BDWY - 1+11_MOR - Australia -  EC - 4+8_BS_Separation_TaxResIndem_Q12412 tf_Restructuring &amp; Separation_Guidance_Sheet1" xfId="6148" xr:uid="{00000000-0005-0000-0000-000003180000}"/>
    <cellStyle name="_MOR - BDWY - 1+11_MOR - Australia -  EC - 4+8_BS_Separation_TaxResIndem_Q12412 tf_Restructuring &amp; Separation_Guidance_Sheet2" xfId="6149" xr:uid="{00000000-0005-0000-0000-000004180000}"/>
    <cellStyle name="_MOR - BDWY - 1+11_MOR - Australia -  EC - 4+8_BS_Separation_TaxResIndem_Q12412 tf_Restructuring &amp; Separation_Guidance_Sheet3" xfId="6150" xr:uid="{00000000-0005-0000-0000-000005180000}"/>
    <cellStyle name="_MOR - BDWY - 1+11_MOR - Australia -  EC - 4+8_BS_Separation_TaxResIndem_Q12412 tf_Restructuring &amp; Separation_Guidance_Sheet4" xfId="6151" xr:uid="{00000000-0005-0000-0000-000006180000}"/>
    <cellStyle name="_MOR - BDWY - 1+11_MOR - Australia -  EC - 4+8_By Country Detail 1Q10 041410pm FIN 18 revised per disc w Mary" xfId="6152" xr:uid="{00000000-0005-0000-0000-000007180000}"/>
    <cellStyle name="_MOR - BDWY - 1+11_MOR - Australia -  EC - 4+8_By Country Detail 1Q10 041410pm FIN 18 revised per disc w Mary_BS_Separation_TaxResIndem_Q12412 tf" xfId="6153" xr:uid="{00000000-0005-0000-0000-000008180000}"/>
    <cellStyle name="_MOR - BDWY - 1+11_MOR - Australia -  EC - 4+8_By Country Detail 1Q10 041410pm FIN 18 revised per disc w Mary_BS_Separation_TaxResIndem_Q12412 tf_Guidance" xfId="6154" xr:uid="{00000000-0005-0000-0000-000009180000}"/>
    <cellStyle name="_MOR - BDWY - 1+11_MOR - Australia -  EC - 4+8_By Country Detail 1Q10 041410pm FIN 18 revised per disc w Mary_BS_Separation_TaxResIndem_Q12412 tf_Guidance 2" xfId="6155" xr:uid="{00000000-0005-0000-0000-00000A180000}"/>
    <cellStyle name="_MOR - BDWY - 1+11_MOR - Australia -  EC - 4+8_By Country Detail 1Q10 041410pm FIN 18 revised per disc w Mary_BS_Separation_TaxResIndem_Q12412 tf_Guidance_BS retrieve" xfId="6156" xr:uid="{00000000-0005-0000-0000-00000B180000}"/>
    <cellStyle name="_MOR - BDWY - 1+11_MOR - Australia -  EC - 4+8_By Country Detail 1Q10 041410pm FIN 18 revised per disc w Mary_BS_Separation_TaxResIndem_Q12412 tf_Guidance_Free CF" xfId="6157" xr:uid="{00000000-0005-0000-0000-00000C180000}"/>
    <cellStyle name="_MOR - BDWY - 1+11_MOR - Australia -  EC - 4+8_By Country Detail 1Q10 041410pm FIN 18 revised per disc w Mary_BS_Separation_TaxResIndem_Q12412 tf_Guidance_P&amp;L Rec Qtr" xfId="6158" xr:uid="{00000000-0005-0000-0000-00000D180000}"/>
    <cellStyle name="_MOR - BDWY - 1+11_MOR - Australia -  EC - 4+8_By Country Detail 1Q10 041410pm FIN 18 revised per disc w Mary_BS_Separation_TaxResIndem_Q12412 tf_Guidance_Sheet1" xfId="6159" xr:uid="{00000000-0005-0000-0000-00000E180000}"/>
    <cellStyle name="_MOR - BDWY - 1+11_MOR - Australia -  EC - 4+8_By Country Detail 1Q10 041410pm FIN 18 revised per disc w Mary_BS_Separation_TaxResIndem_Q12412 tf_Guidance_Sheet2" xfId="6160" xr:uid="{00000000-0005-0000-0000-00000F180000}"/>
    <cellStyle name="_MOR - BDWY - 1+11_MOR - Australia -  EC - 4+8_By Country Detail 1Q10 041410pm FIN 18 revised per disc w Mary_BS_Separation_TaxResIndem_Q12412 tf_Guidance_Sheet3" xfId="6161" xr:uid="{00000000-0005-0000-0000-000010180000}"/>
    <cellStyle name="_MOR - BDWY - 1+11_MOR - Australia -  EC - 4+8_By Country Detail 1Q10 041410pm FIN 18 revised per disc w Mary_BS_Separation_TaxResIndem_Q12412 tf_Guidance_Sheet4" xfId="6162" xr:uid="{00000000-0005-0000-0000-000011180000}"/>
    <cellStyle name="_MOR - BDWY - 1+11_MOR - Australia -  EC - 4+8_By Country Detail 1Q10 041410pm FIN 18 revised per disc w Mary_BS_Separation_TaxResIndem_Q12412 tf_Restructuring &amp; Separation" xfId="6163" xr:uid="{00000000-0005-0000-0000-000012180000}"/>
    <cellStyle name="_MOR - BDWY - 1+11_MOR - Australia -  EC - 4+8_By Country Detail 1Q10 041410pm FIN 18 revised per disc w Mary_BS_Separation_TaxResIndem_Q12412 tf_Restructuring &amp; Separation_Guidance" xfId="6164" xr:uid="{00000000-0005-0000-0000-000013180000}"/>
    <cellStyle name="_MOR - BDWY - 1+11_MOR - Australia -  EC - 4+8_By Country Detail 1Q10 041410pm FIN 18 revised per disc w Mary_BS_Separation_TaxResIndem_Q12412 tf_Restructuring &amp; Separation_Guidance 2" xfId="6165" xr:uid="{00000000-0005-0000-0000-000014180000}"/>
    <cellStyle name="_MOR - BDWY - 1+11_MOR - Australia -  EC - 4+8_By Country Detail 1Q10 041410pm FIN 18 revised per disc w Mary_BS_Separation_TaxResIndem_Q12412 tf_Restructuring &amp; Separation_Guidance_BS retrieve" xfId="6166" xr:uid="{00000000-0005-0000-0000-000015180000}"/>
    <cellStyle name="_MOR - BDWY - 1+11_MOR - Australia -  EC - 4+8_By Country Detail 1Q10 041410pm FIN 18 revised per disc w Mary_BS_Separation_TaxResIndem_Q12412 tf_Restructuring &amp; Separation_Guidance_Free CF" xfId="6167" xr:uid="{00000000-0005-0000-0000-000016180000}"/>
    <cellStyle name="_MOR - BDWY - 1+11_MOR - Australia -  EC - 4+8_By Country Detail 1Q10 041410pm FIN 18 revised per disc w Mary_BS_Separation_TaxResIndem_Q12412 tf_Restructuring &amp; Separation_Guidance_P&amp;L Rec Qtr" xfId="6168" xr:uid="{00000000-0005-0000-0000-000017180000}"/>
    <cellStyle name="_MOR - BDWY - 1+11_MOR - Australia -  EC - 4+8_By Country Detail 1Q10 041410pm FIN 18 revised per disc w Mary_BS_Separation_TaxResIndem_Q12412 tf_Restructuring &amp; Separation_Guidance_Sheet1" xfId="6169" xr:uid="{00000000-0005-0000-0000-000018180000}"/>
    <cellStyle name="_MOR - BDWY - 1+11_MOR - Australia -  EC - 4+8_By Country Detail 1Q10 041410pm FIN 18 revised per disc w Mary_BS_Separation_TaxResIndem_Q12412 tf_Restructuring &amp; Separation_Guidance_Sheet2" xfId="6170" xr:uid="{00000000-0005-0000-0000-000019180000}"/>
    <cellStyle name="_MOR - BDWY - 1+11_MOR - Australia -  EC - 4+8_By Country Detail 1Q10 041410pm FIN 18 revised per disc w Mary_BS_Separation_TaxResIndem_Q12412 tf_Restructuring &amp; Separation_Guidance_Sheet3" xfId="6171" xr:uid="{00000000-0005-0000-0000-00001A180000}"/>
    <cellStyle name="_MOR - BDWY - 1+11_MOR - Australia -  EC - 4+8_By Country Detail 1Q10 041410pm FIN 18 revised per disc w Mary_BS_Separation_TaxResIndem_Q12412 tf_Restructuring &amp; Separation_Guidance_Sheet4" xfId="6172" xr:uid="{00000000-0005-0000-0000-00001B180000}"/>
    <cellStyle name="_MOR - BDWY - 1+11_MOR - Australia -  EC - 4+8_By Country Detail 1Q10 041410pm FIN 18 revised per disc w Mary_Guidance" xfId="6173" xr:uid="{00000000-0005-0000-0000-00001C180000}"/>
    <cellStyle name="_MOR - BDWY - 1+11_MOR - Australia -  EC - 4+8_By Country Detail 1Q10 041410pm FIN 18 revised per disc w Mary_Guidance 2" xfId="6174" xr:uid="{00000000-0005-0000-0000-00001D180000}"/>
    <cellStyle name="_MOR - BDWY - 1+11_MOR - Australia -  EC - 4+8_By Country Detail 1Q10 041410pm FIN 18 revised per disc w Mary_Guidance_BS retrieve" xfId="6175" xr:uid="{00000000-0005-0000-0000-00001E180000}"/>
    <cellStyle name="_MOR - BDWY - 1+11_MOR - Australia -  EC - 4+8_By Country Detail 1Q10 041410pm FIN 18 revised per disc w Mary_Guidance_Free CF" xfId="6176" xr:uid="{00000000-0005-0000-0000-00001F180000}"/>
    <cellStyle name="_MOR - BDWY - 1+11_MOR - Australia -  EC - 4+8_By Country Detail 1Q10 041410pm FIN 18 revised per disc w Mary_Guidance_P&amp;L Rec Qtr" xfId="6177" xr:uid="{00000000-0005-0000-0000-000020180000}"/>
    <cellStyle name="_MOR - BDWY - 1+11_MOR - Australia -  EC - 4+8_By Country Detail 1Q10 041410pm FIN 18 revised per disc w Mary_Guidance_Sheet1" xfId="6178" xr:uid="{00000000-0005-0000-0000-000021180000}"/>
    <cellStyle name="_MOR - BDWY - 1+11_MOR - Australia -  EC - 4+8_By Country Detail 1Q10 041410pm FIN 18 revised per disc w Mary_Guidance_Sheet2" xfId="6179" xr:uid="{00000000-0005-0000-0000-000022180000}"/>
    <cellStyle name="_MOR - BDWY - 1+11_MOR - Australia -  EC - 4+8_By Country Detail 1Q10 041410pm FIN 18 revised per disc w Mary_Guidance_Sheet3" xfId="6180" xr:uid="{00000000-0005-0000-0000-000023180000}"/>
    <cellStyle name="_MOR - BDWY - 1+11_MOR - Australia -  EC - 4+8_By Country Detail 1Q10 041410pm FIN 18 revised per disc w Mary_Guidance_Sheet4" xfId="6181" xr:uid="{00000000-0005-0000-0000-000024180000}"/>
    <cellStyle name="_MOR - BDWY - 1+11_MOR - Australia -  EC - 4+8_By Country Detail 1Q10 041410pm FIN 18 revised per disc w Mary_II.8. Sep&amp;Discrete" xfId="6182" xr:uid="{00000000-0005-0000-0000-000025180000}"/>
    <cellStyle name="_MOR - BDWY - 1+11_MOR - Australia -  EC - 4+8_By Country Detail 1Q10 041410pm FIN 18 revised per disc w Mary_II.8. Sep&amp;Discrete_Guidance" xfId="6183" xr:uid="{00000000-0005-0000-0000-000026180000}"/>
    <cellStyle name="_MOR - BDWY - 1+11_MOR - Australia -  EC - 4+8_By Country Detail 1Q10 041410pm FIN 18 revised per disc w Mary_II.8. Sep&amp;Discrete_Guidance 2" xfId="6184" xr:uid="{00000000-0005-0000-0000-000027180000}"/>
    <cellStyle name="_MOR - BDWY - 1+11_MOR - Australia -  EC - 4+8_By Country Detail 1Q10 041410pm FIN 18 revised per disc w Mary_II.8. Sep&amp;Discrete_Guidance_BS retrieve" xfId="6185" xr:uid="{00000000-0005-0000-0000-000028180000}"/>
    <cellStyle name="_MOR - BDWY - 1+11_MOR - Australia -  EC - 4+8_By Country Detail 1Q10 041410pm FIN 18 revised per disc w Mary_II.8. Sep&amp;Discrete_Guidance_Free CF" xfId="6186" xr:uid="{00000000-0005-0000-0000-000029180000}"/>
    <cellStyle name="_MOR - BDWY - 1+11_MOR - Australia -  EC - 4+8_By Country Detail 1Q10 041410pm FIN 18 revised per disc w Mary_II.8. Sep&amp;Discrete_Guidance_P&amp;L Rec Qtr" xfId="6187" xr:uid="{00000000-0005-0000-0000-00002A180000}"/>
    <cellStyle name="_MOR - BDWY - 1+11_MOR - Australia -  EC - 4+8_By Country Detail 1Q10 041410pm FIN 18 revised per disc w Mary_II.8. Sep&amp;Discrete_Guidance_Sheet1" xfId="6188" xr:uid="{00000000-0005-0000-0000-00002B180000}"/>
    <cellStyle name="_MOR - BDWY - 1+11_MOR - Australia -  EC - 4+8_By Country Detail 1Q10 041410pm FIN 18 revised per disc w Mary_II.8. Sep&amp;Discrete_Guidance_Sheet2" xfId="6189" xr:uid="{00000000-0005-0000-0000-00002C180000}"/>
    <cellStyle name="_MOR - BDWY - 1+11_MOR - Australia -  EC - 4+8_By Country Detail 1Q10 041410pm FIN 18 revised per disc w Mary_II.8. Sep&amp;Discrete_Guidance_Sheet3" xfId="6190" xr:uid="{00000000-0005-0000-0000-00002D180000}"/>
    <cellStyle name="_MOR - BDWY - 1+11_MOR - Australia -  EC - 4+8_By Country Detail 1Q10 041410pm FIN 18 revised per disc w Mary_II.8. Sep&amp;Discrete_Guidance_Sheet4" xfId="6191" xr:uid="{00000000-0005-0000-0000-00002E180000}"/>
    <cellStyle name="_MOR - BDWY - 1+11_MOR - Australia -  EC - 4+8_By Country Detail 1Q10 041410pm FIN 18 revised per disc w Mary_Restructuring &amp; Separation" xfId="6192" xr:uid="{00000000-0005-0000-0000-00002F180000}"/>
    <cellStyle name="_MOR - BDWY - 1+11_MOR - Australia -  EC - 4+8_By Country Detail 1Q10 041410pm FIN 18 revised per disc w Mary_Restructuring &amp; Separation_Guidance" xfId="6193" xr:uid="{00000000-0005-0000-0000-000030180000}"/>
    <cellStyle name="_MOR - BDWY - 1+11_MOR - Australia -  EC - 4+8_By Country Detail 1Q10 041410pm FIN 18 revised per disc w Mary_Restructuring &amp; Separation_Guidance 2" xfId="6194" xr:uid="{00000000-0005-0000-0000-000031180000}"/>
    <cellStyle name="_MOR - BDWY - 1+11_MOR - Australia -  EC - 4+8_By Country Detail 1Q10 041410pm FIN 18 revised per disc w Mary_Restructuring &amp; Separation_Guidance_BS retrieve" xfId="6195" xr:uid="{00000000-0005-0000-0000-000032180000}"/>
    <cellStyle name="_MOR - BDWY - 1+11_MOR - Australia -  EC - 4+8_By Country Detail 1Q10 041410pm FIN 18 revised per disc w Mary_Restructuring &amp; Separation_Guidance_Free CF" xfId="6196" xr:uid="{00000000-0005-0000-0000-000033180000}"/>
    <cellStyle name="_MOR - BDWY - 1+11_MOR - Australia -  EC - 4+8_By Country Detail 1Q10 041410pm FIN 18 revised per disc w Mary_Restructuring &amp; Separation_Guidance_P&amp;L Rec Qtr" xfId="6197" xr:uid="{00000000-0005-0000-0000-000034180000}"/>
    <cellStyle name="_MOR - BDWY - 1+11_MOR - Australia -  EC - 4+8_By Country Detail 1Q10 041410pm FIN 18 revised per disc w Mary_Restructuring &amp; Separation_Guidance_Sheet1" xfId="6198" xr:uid="{00000000-0005-0000-0000-000035180000}"/>
    <cellStyle name="_MOR - BDWY - 1+11_MOR - Australia -  EC - 4+8_By Country Detail 1Q10 041410pm FIN 18 revised per disc w Mary_Restructuring &amp; Separation_Guidance_Sheet2" xfId="6199" xr:uid="{00000000-0005-0000-0000-000036180000}"/>
    <cellStyle name="_MOR - BDWY - 1+11_MOR - Australia -  EC - 4+8_By Country Detail 1Q10 041410pm FIN 18 revised per disc w Mary_Restructuring &amp; Separation_Guidance_Sheet3" xfId="6200" xr:uid="{00000000-0005-0000-0000-000037180000}"/>
    <cellStyle name="_MOR - BDWY - 1+11_MOR - Australia -  EC - 4+8_By Country Detail 1Q10 041410pm FIN 18 revised per disc w Mary_Restructuring &amp; Separation_Guidance_Sheet4" xfId="6201" xr:uid="{00000000-0005-0000-0000-000038180000}"/>
    <cellStyle name="_MOR - BDWY - 1+11_MOR - Australia -  EC - 4+8_Guidance" xfId="6202" xr:uid="{00000000-0005-0000-0000-000039180000}"/>
    <cellStyle name="_MOR - BDWY - 1+11_MOR - Australia -  EC - 4+8_Guidance 2" xfId="6203" xr:uid="{00000000-0005-0000-0000-00003A180000}"/>
    <cellStyle name="_MOR - BDWY - 1+11_MOR - Australia -  EC - 4+8_Guidance_BS retrieve" xfId="6204" xr:uid="{00000000-0005-0000-0000-00003B180000}"/>
    <cellStyle name="_MOR - BDWY - 1+11_MOR - Australia -  EC - 4+8_Guidance_Free CF" xfId="6205" xr:uid="{00000000-0005-0000-0000-00003C180000}"/>
    <cellStyle name="_MOR - BDWY - 1+11_MOR - Australia -  EC - 4+8_Guidance_P&amp;L Rec Qtr" xfId="6206" xr:uid="{00000000-0005-0000-0000-00003D180000}"/>
    <cellStyle name="_MOR - BDWY - 1+11_MOR - Australia -  EC - 4+8_Guidance_Sheet1" xfId="6207" xr:uid="{00000000-0005-0000-0000-00003E180000}"/>
    <cellStyle name="_MOR - BDWY - 1+11_MOR - Australia -  EC - 4+8_Guidance_Sheet2" xfId="6208" xr:uid="{00000000-0005-0000-0000-00003F180000}"/>
    <cellStyle name="_MOR - BDWY - 1+11_MOR - Australia -  EC - 4+8_Guidance_Sheet3" xfId="6209" xr:uid="{00000000-0005-0000-0000-000040180000}"/>
    <cellStyle name="_MOR - BDWY - 1+11_MOR - Australia -  EC - 4+8_Guidance_Sheet4" xfId="6210" xr:uid="{00000000-0005-0000-0000-000041180000}"/>
    <cellStyle name="_MOR - BDWY - 1+11_MOR - Australia -  EC - 4+8_II.4. RawMaterials" xfId="6211" xr:uid="{00000000-0005-0000-0000-000042180000}"/>
    <cellStyle name="_MOR - BDWY - 1+11_MOR - Australia -  EC - 4+8_II.4. RawMaterials 2" xfId="6212" xr:uid="{00000000-0005-0000-0000-000043180000}"/>
    <cellStyle name="_MOR - BDWY - 1+11_MOR - Australia -  EC - 4+8_II.4. RawMaterials_BS retrieve" xfId="6213" xr:uid="{00000000-0005-0000-0000-000044180000}"/>
    <cellStyle name="_MOR - BDWY - 1+11_MOR - Australia -  EC - 4+8_II.4. RawMaterials_Free CF" xfId="6214" xr:uid="{00000000-0005-0000-0000-000045180000}"/>
    <cellStyle name="_MOR - BDWY - 1+11_MOR - Australia -  EC - 4+8_II.4. RawMaterials_P&amp;L Rec Qtr" xfId="6215" xr:uid="{00000000-0005-0000-0000-000046180000}"/>
    <cellStyle name="_MOR - BDWY - 1+11_MOR - Australia -  EC - 4+8_II.4. RawMaterials_Sheet1" xfId="6216" xr:uid="{00000000-0005-0000-0000-000047180000}"/>
    <cellStyle name="_MOR - BDWY - 1+11_MOR - Australia -  EC - 4+8_II.4. RawMaterials_Sheet2" xfId="6217" xr:uid="{00000000-0005-0000-0000-000048180000}"/>
    <cellStyle name="_MOR - BDWY - 1+11_MOR - Australia -  EC - 4+8_II.4. RawMaterials_Sheet3" xfId="6218" xr:uid="{00000000-0005-0000-0000-000049180000}"/>
    <cellStyle name="_MOR - BDWY - 1+11_MOR - Australia -  EC - 4+8_II.4. RawMaterials_Sheet4" xfId="6219" xr:uid="{00000000-0005-0000-0000-00004A180000}"/>
    <cellStyle name="_MOR - BDWY - 1+11_MOR - Australia -  EC - 4+8_II.5. RawMaterials" xfId="6220" xr:uid="{00000000-0005-0000-0000-00004B180000}"/>
    <cellStyle name="_MOR - BDWY - 1+11_MOR - Australia -  EC - 4+8_II.5. RawMaterials 2" xfId="6221" xr:uid="{00000000-0005-0000-0000-00004C180000}"/>
    <cellStyle name="_MOR - BDWY - 1+11_MOR - Australia -  EC - 4+8_II.5. RawMaterials_BS retrieve" xfId="6222" xr:uid="{00000000-0005-0000-0000-00004D180000}"/>
    <cellStyle name="_MOR - BDWY - 1+11_MOR - Australia -  EC - 4+8_II.5. RawMaterials_Free CF" xfId="6223" xr:uid="{00000000-0005-0000-0000-00004E180000}"/>
    <cellStyle name="_MOR - BDWY - 1+11_MOR - Australia -  EC - 4+8_II.5. RawMaterials_Guidance" xfId="6224" xr:uid="{00000000-0005-0000-0000-00004F180000}"/>
    <cellStyle name="_MOR - BDWY - 1+11_MOR - Australia -  EC - 4+8_II.5. RawMaterials_Guidance 2" xfId="6225" xr:uid="{00000000-0005-0000-0000-000050180000}"/>
    <cellStyle name="_MOR - BDWY - 1+11_MOR - Australia -  EC - 4+8_II.5. RawMaterials_Guidance_BS retrieve" xfId="6226" xr:uid="{00000000-0005-0000-0000-000051180000}"/>
    <cellStyle name="_MOR - BDWY - 1+11_MOR - Australia -  EC - 4+8_II.5. RawMaterials_Guidance_Free CF" xfId="6227" xr:uid="{00000000-0005-0000-0000-000052180000}"/>
    <cellStyle name="_MOR - BDWY - 1+11_MOR - Australia -  EC - 4+8_II.5. RawMaterials_Guidance_P&amp;L Rec Qtr" xfId="6228" xr:uid="{00000000-0005-0000-0000-000053180000}"/>
    <cellStyle name="_MOR - BDWY - 1+11_MOR - Australia -  EC - 4+8_II.5. RawMaterials_Guidance_Sheet1" xfId="6229" xr:uid="{00000000-0005-0000-0000-000054180000}"/>
    <cellStyle name="_MOR - BDWY - 1+11_MOR - Australia -  EC - 4+8_II.5. RawMaterials_Guidance_Sheet2" xfId="6230" xr:uid="{00000000-0005-0000-0000-000055180000}"/>
    <cellStyle name="_MOR - BDWY - 1+11_MOR - Australia -  EC - 4+8_II.5. RawMaterials_Guidance_Sheet3" xfId="6231" xr:uid="{00000000-0005-0000-0000-000056180000}"/>
    <cellStyle name="_MOR - BDWY - 1+11_MOR - Australia -  EC - 4+8_II.5. RawMaterials_Guidance_Sheet4" xfId="6232" xr:uid="{00000000-0005-0000-0000-000057180000}"/>
    <cellStyle name="_MOR - BDWY - 1+11_MOR - Australia -  EC - 4+8_II.5. RawMaterials_P&amp;L Rec Qtr" xfId="6233" xr:uid="{00000000-0005-0000-0000-000058180000}"/>
    <cellStyle name="_MOR - BDWY - 1+11_MOR - Australia -  EC - 4+8_II.5. RawMaterials_Sheet1" xfId="6234" xr:uid="{00000000-0005-0000-0000-000059180000}"/>
    <cellStyle name="_MOR - BDWY - 1+11_MOR - Australia -  EC - 4+8_II.5. RawMaterials_Sheet2" xfId="6235" xr:uid="{00000000-0005-0000-0000-00005A180000}"/>
    <cellStyle name="_MOR - BDWY - 1+11_MOR - Australia -  EC - 4+8_II.5. RawMaterials_Sheet3" xfId="6236" xr:uid="{00000000-0005-0000-0000-00005B180000}"/>
    <cellStyle name="_MOR - BDWY - 1+11_MOR - Australia -  EC - 4+8_II.5. RawMaterials_Sheet4" xfId="6237" xr:uid="{00000000-0005-0000-0000-00005C180000}"/>
    <cellStyle name="_MOR - BDWY - 1+11_MOR - Australia -  EC - 4+8_II.5. RM Volume Sensitivities" xfId="6238" xr:uid="{00000000-0005-0000-0000-00005D180000}"/>
    <cellStyle name="_MOR - BDWY - 1+11_MOR - Australia -  EC - 4+8_II.5. RM Volume Sensitivities 2" xfId="6239" xr:uid="{00000000-0005-0000-0000-00005E180000}"/>
    <cellStyle name="_MOR - BDWY - 1+11_MOR - Australia -  EC - 4+8_II.5. RM Volume Sensitivities_BS retrieve" xfId="6240" xr:uid="{00000000-0005-0000-0000-00005F180000}"/>
    <cellStyle name="_MOR - BDWY - 1+11_MOR - Australia -  EC - 4+8_II.5. RM Volume Sensitivities_Free CF" xfId="6241" xr:uid="{00000000-0005-0000-0000-000060180000}"/>
    <cellStyle name="_MOR - BDWY - 1+11_MOR - Australia -  EC - 4+8_II.5. RM Volume Sensitivities_P&amp;L Rec Qtr" xfId="6242" xr:uid="{00000000-0005-0000-0000-000061180000}"/>
    <cellStyle name="_MOR - BDWY - 1+11_MOR - Australia -  EC - 4+8_II.5. RM Volume Sensitivities_Sheet1" xfId="6243" xr:uid="{00000000-0005-0000-0000-000062180000}"/>
    <cellStyle name="_MOR - BDWY - 1+11_MOR - Australia -  EC - 4+8_II.5. RM Volume Sensitivities_Sheet2" xfId="6244" xr:uid="{00000000-0005-0000-0000-000063180000}"/>
    <cellStyle name="_MOR - BDWY - 1+11_MOR - Australia -  EC - 4+8_II.5. RM Volume Sensitivities_Sheet3" xfId="6245" xr:uid="{00000000-0005-0000-0000-000064180000}"/>
    <cellStyle name="_MOR - BDWY - 1+11_MOR - Australia -  EC - 4+8_II.5. RM Volume Sensitivities_Sheet4" xfId="6246" xr:uid="{00000000-0005-0000-0000-000065180000}"/>
    <cellStyle name="_MOR - BDWY - 1+11_MOR - Australia -  EC - 4+8_II.8. Sep&amp;Discrete" xfId="6247" xr:uid="{00000000-0005-0000-0000-000066180000}"/>
    <cellStyle name="_MOR - BDWY - 1+11_MOR - Australia -  EC - 4+8_II.8. Sep&amp;Discrete_Guidance" xfId="6248" xr:uid="{00000000-0005-0000-0000-000067180000}"/>
    <cellStyle name="_MOR - BDWY - 1+11_MOR - Australia -  EC - 4+8_II.8. Sep&amp;Discrete_Guidance 2" xfId="6249" xr:uid="{00000000-0005-0000-0000-000068180000}"/>
    <cellStyle name="_MOR - BDWY - 1+11_MOR - Australia -  EC - 4+8_II.8. Sep&amp;Discrete_Guidance_BS retrieve" xfId="6250" xr:uid="{00000000-0005-0000-0000-000069180000}"/>
    <cellStyle name="_MOR - BDWY - 1+11_MOR - Australia -  EC - 4+8_II.8. Sep&amp;Discrete_Guidance_Free CF" xfId="6251" xr:uid="{00000000-0005-0000-0000-00006A180000}"/>
    <cellStyle name="_MOR - BDWY - 1+11_MOR - Australia -  EC - 4+8_II.8. Sep&amp;Discrete_Guidance_P&amp;L Rec Qtr" xfId="6252" xr:uid="{00000000-0005-0000-0000-00006B180000}"/>
    <cellStyle name="_MOR - BDWY - 1+11_MOR - Australia -  EC - 4+8_II.8. Sep&amp;Discrete_Guidance_Sheet1" xfId="6253" xr:uid="{00000000-0005-0000-0000-00006C180000}"/>
    <cellStyle name="_MOR - BDWY - 1+11_MOR - Australia -  EC - 4+8_II.8. Sep&amp;Discrete_Guidance_Sheet2" xfId="6254" xr:uid="{00000000-0005-0000-0000-00006D180000}"/>
    <cellStyle name="_MOR - BDWY - 1+11_MOR - Australia -  EC - 4+8_II.8. Sep&amp;Discrete_Guidance_Sheet3" xfId="6255" xr:uid="{00000000-0005-0000-0000-00006E180000}"/>
    <cellStyle name="_MOR - BDWY - 1+11_MOR - Australia -  EC - 4+8_II.8. Sep&amp;Discrete_Guidance_Sheet4" xfId="6256" xr:uid="{00000000-0005-0000-0000-00006F180000}"/>
    <cellStyle name="_MOR - BDWY - 1+11_MOR - Australia -  EC - 4+8_Restructuring &amp; Separation" xfId="6257" xr:uid="{00000000-0005-0000-0000-000070180000}"/>
    <cellStyle name="_MOR - BDWY - 1+11_MOR - Australia -  EC - 4+8_Restructuring &amp; Separation_Guidance" xfId="6258" xr:uid="{00000000-0005-0000-0000-000071180000}"/>
    <cellStyle name="_MOR - BDWY - 1+11_MOR - Australia -  EC - 4+8_Restructuring &amp; Separation_Guidance 2" xfId="6259" xr:uid="{00000000-0005-0000-0000-000072180000}"/>
    <cellStyle name="_MOR - BDWY - 1+11_MOR - Australia -  EC - 4+8_Restructuring &amp; Separation_Guidance_BS retrieve" xfId="6260" xr:uid="{00000000-0005-0000-0000-000073180000}"/>
    <cellStyle name="_MOR - BDWY - 1+11_MOR - Australia -  EC - 4+8_Restructuring &amp; Separation_Guidance_Free CF" xfId="6261" xr:uid="{00000000-0005-0000-0000-000074180000}"/>
    <cellStyle name="_MOR - BDWY - 1+11_MOR - Australia -  EC - 4+8_Restructuring &amp; Separation_Guidance_P&amp;L Rec Qtr" xfId="6262" xr:uid="{00000000-0005-0000-0000-000075180000}"/>
    <cellStyle name="_MOR - BDWY - 1+11_MOR - Australia -  EC - 4+8_Restructuring &amp; Separation_Guidance_Sheet1" xfId="6263" xr:uid="{00000000-0005-0000-0000-000076180000}"/>
    <cellStyle name="_MOR - BDWY - 1+11_MOR - Australia -  EC - 4+8_Restructuring &amp; Separation_Guidance_Sheet2" xfId="6264" xr:uid="{00000000-0005-0000-0000-000077180000}"/>
    <cellStyle name="_MOR - BDWY - 1+11_MOR - Australia -  EC - 4+8_Restructuring &amp; Separation_Guidance_Sheet3" xfId="6265" xr:uid="{00000000-0005-0000-0000-000078180000}"/>
    <cellStyle name="_MOR - BDWY - 1+11_MOR - Australia -  EC - 4+8_Restructuring &amp; Separation_Guidance_Sheet4" xfId="6266" xr:uid="{00000000-0005-0000-0000-000079180000}"/>
    <cellStyle name="_MOR - BDWY - 1+11_MOR - Australia -  EC - 4+8_Restructuring_Separation_TAX_JuneFC2010 tf" xfId="6267" xr:uid="{00000000-0005-0000-0000-00007A180000}"/>
    <cellStyle name="_MOR - BDWY - 1+11_MOR - Australia -  EC - 4+8_Restructuring_Separation_TAX_JuneFC2010 tf_BS_Separation_TaxResIndem_Q12412 tf" xfId="6268" xr:uid="{00000000-0005-0000-0000-00007B180000}"/>
    <cellStyle name="_MOR - BDWY - 1+11_MOR - Australia -  EC - 4+8_Restructuring_Separation_TAX_JuneFC2010 tf_BS_Separation_TaxResIndem_Q12412 tf_Guidance" xfId="6269" xr:uid="{00000000-0005-0000-0000-00007C180000}"/>
    <cellStyle name="_MOR - BDWY - 1+11_MOR - Australia -  EC - 4+8_Restructuring_Separation_TAX_JuneFC2010 tf_BS_Separation_TaxResIndem_Q12412 tf_Guidance 2" xfId="6270" xr:uid="{00000000-0005-0000-0000-00007D180000}"/>
    <cellStyle name="_MOR - BDWY - 1+11_MOR - Australia -  EC - 4+8_Restructuring_Separation_TAX_JuneFC2010 tf_BS_Separation_TaxResIndem_Q12412 tf_Guidance_BS retrieve" xfId="6271" xr:uid="{00000000-0005-0000-0000-00007E180000}"/>
    <cellStyle name="_MOR - BDWY - 1+11_MOR - Australia -  EC - 4+8_Restructuring_Separation_TAX_JuneFC2010 tf_BS_Separation_TaxResIndem_Q12412 tf_Guidance_Free CF" xfId="6272" xr:uid="{00000000-0005-0000-0000-00007F180000}"/>
    <cellStyle name="_MOR - BDWY - 1+11_MOR - Australia -  EC - 4+8_Restructuring_Separation_TAX_JuneFC2010 tf_BS_Separation_TaxResIndem_Q12412 tf_Guidance_P&amp;L Rec Qtr" xfId="6273" xr:uid="{00000000-0005-0000-0000-000080180000}"/>
    <cellStyle name="_MOR - BDWY - 1+11_MOR - Australia -  EC - 4+8_Restructuring_Separation_TAX_JuneFC2010 tf_BS_Separation_TaxResIndem_Q12412 tf_Guidance_Sheet1" xfId="6274" xr:uid="{00000000-0005-0000-0000-000081180000}"/>
    <cellStyle name="_MOR - BDWY - 1+11_MOR - Australia -  EC - 4+8_Restructuring_Separation_TAX_JuneFC2010 tf_BS_Separation_TaxResIndem_Q12412 tf_Guidance_Sheet2" xfId="6275" xr:uid="{00000000-0005-0000-0000-000082180000}"/>
    <cellStyle name="_MOR - BDWY - 1+11_MOR - Australia -  EC - 4+8_Restructuring_Separation_TAX_JuneFC2010 tf_BS_Separation_TaxResIndem_Q12412 tf_Guidance_Sheet3" xfId="6276" xr:uid="{00000000-0005-0000-0000-000083180000}"/>
    <cellStyle name="_MOR - BDWY - 1+11_MOR - Australia -  EC - 4+8_Restructuring_Separation_TAX_JuneFC2010 tf_BS_Separation_TaxResIndem_Q12412 tf_Guidance_Sheet4" xfId="6277" xr:uid="{00000000-0005-0000-0000-000084180000}"/>
    <cellStyle name="_MOR - BDWY - 1+11_MOR - Australia -  EC - 4+8_Restructuring_Separation_TAX_JuneFC2010 tf_BS_Separation_TaxResIndem_Q12412 tf_Restructuring &amp; Separation" xfId="6278" xr:uid="{00000000-0005-0000-0000-000085180000}"/>
    <cellStyle name="_MOR - BDWY - 1+11_MOR - Australia -  EC - 4+8_Restructuring_Separation_TAX_JuneFC2010 tf_BS_Separation_TaxResIndem_Q12412 tf_Restructuring &amp; Separation_Guidance" xfId="6279" xr:uid="{00000000-0005-0000-0000-000086180000}"/>
    <cellStyle name="_MOR - BDWY - 1+11_MOR - Australia -  EC - 4+8_Restructuring_Separation_TAX_JuneFC2010 tf_BS_Separation_TaxResIndem_Q12412 tf_Restructuring &amp; Separation_Guidance 2" xfId="6280" xr:uid="{00000000-0005-0000-0000-000087180000}"/>
    <cellStyle name="_MOR - BDWY - 1+11_MOR - Australia -  EC - 4+8_Restructuring_Separation_TAX_JuneFC2010 tf_BS_Separation_TaxResIndem_Q12412 tf_Restructuring &amp; Separation_Guidance_BS retrieve" xfId="6281" xr:uid="{00000000-0005-0000-0000-000088180000}"/>
    <cellStyle name="_MOR - BDWY - 1+11_MOR - Australia -  EC - 4+8_Restructuring_Separation_TAX_JuneFC2010 tf_BS_Separation_TaxResIndem_Q12412 tf_Restructuring &amp; Separation_Guidance_Free CF" xfId="6282" xr:uid="{00000000-0005-0000-0000-000089180000}"/>
    <cellStyle name="_MOR - BDWY - 1+11_MOR - Australia -  EC - 4+8_Restructuring_Separation_TAX_JuneFC2010 tf_BS_Separation_TaxResIndem_Q12412 tf_Restructuring &amp; Separation_Guidance_P&amp;L Rec Qtr" xfId="6283" xr:uid="{00000000-0005-0000-0000-00008A180000}"/>
    <cellStyle name="_MOR - BDWY - 1+11_MOR - Australia -  EC - 4+8_Restructuring_Separation_TAX_JuneFC2010 tf_BS_Separation_TaxResIndem_Q12412 tf_Restructuring &amp; Separation_Guidance_Sheet1" xfId="6284" xr:uid="{00000000-0005-0000-0000-00008B180000}"/>
    <cellStyle name="_MOR - BDWY - 1+11_MOR - Australia -  EC - 4+8_Restructuring_Separation_TAX_JuneFC2010 tf_BS_Separation_TaxResIndem_Q12412 tf_Restructuring &amp; Separation_Guidance_Sheet2" xfId="6285" xr:uid="{00000000-0005-0000-0000-00008C180000}"/>
    <cellStyle name="_MOR - BDWY - 1+11_MOR - Australia -  EC - 4+8_Restructuring_Separation_TAX_JuneFC2010 tf_BS_Separation_TaxResIndem_Q12412 tf_Restructuring &amp; Separation_Guidance_Sheet3" xfId="6286" xr:uid="{00000000-0005-0000-0000-00008D180000}"/>
    <cellStyle name="_MOR - BDWY - 1+11_MOR - Australia -  EC - 4+8_Restructuring_Separation_TAX_JuneFC2010 tf_BS_Separation_TaxResIndem_Q12412 tf_Restructuring &amp; Separation_Guidance_Sheet4" xfId="6287" xr:uid="{00000000-0005-0000-0000-00008E180000}"/>
    <cellStyle name="_MOR - BDWY - 1+11_MOR - Australia -  EC - 4+8_Restructuring_Separation_TAX_JuneFC2010 tf_Guidance" xfId="6288" xr:uid="{00000000-0005-0000-0000-00008F180000}"/>
    <cellStyle name="_MOR - BDWY - 1+11_MOR - Australia -  EC - 4+8_Restructuring_Separation_TAX_JuneFC2010 tf_Guidance 2" xfId="6289" xr:uid="{00000000-0005-0000-0000-000090180000}"/>
    <cellStyle name="_MOR - BDWY - 1+11_MOR - Australia -  EC - 4+8_Restructuring_Separation_TAX_JuneFC2010 tf_Guidance_BS retrieve" xfId="6290" xr:uid="{00000000-0005-0000-0000-000091180000}"/>
    <cellStyle name="_MOR - BDWY - 1+11_MOR - Australia -  EC - 4+8_Restructuring_Separation_TAX_JuneFC2010 tf_Guidance_Free CF" xfId="6291" xr:uid="{00000000-0005-0000-0000-000092180000}"/>
    <cellStyle name="_MOR - BDWY - 1+11_MOR - Australia -  EC - 4+8_Restructuring_Separation_TAX_JuneFC2010 tf_Guidance_P&amp;L Rec Qtr" xfId="6292" xr:uid="{00000000-0005-0000-0000-000093180000}"/>
    <cellStyle name="_MOR - BDWY - 1+11_MOR - Australia -  EC - 4+8_Restructuring_Separation_TAX_JuneFC2010 tf_Guidance_Sheet1" xfId="6293" xr:uid="{00000000-0005-0000-0000-000094180000}"/>
    <cellStyle name="_MOR - BDWY - 1+11_MOR - Australia -  EC - 4+8_Restructuring_Separation_TAX_JuneFC2010 tf_Guidance_Sheet2" xfId="6294" xr:uid="{00000000-0005-0000-0000-000095180000}"/>
    <cellStyle name="_MOR - BDWY - 1+11_MOR - Australia -  EC - 4+8_Restructuring_Separation_TAX_JuneFC2010 tf_Guidance_Sheet3" xfId="6295" xr:uid="{00000000-0005-0000-0000-000096180000}"/>
    <cellStyle name="_MOR - BDWY - 1+11_MOR - Australia -  EC - 4+8_Restructuring_Separation_TAX_JuneFC2010 tf_Guidance_Sheet4" xfId="6296" xr:uid="{00000000-0005-0000-0000-000097180000}"/>
    <cellStyle name="_MOR - BDWY - 1+11_MOR - Australia -  EC - 4+8_Restructuring_Separation_TAX_JuneFC2010 tf_II.8. Sep&amp;Discrete" xfId="6297" xr:uid="{00000000-0005-0000-0000-000098180000}"/>
    <cellStyle name="_MOR - BDWY - 1+11_MOR - Australia -  EC - 4+8_Restructuring_Separation_TAX_JuneFC2010 tf_II.8. Sep&amp;Discrete_Guidance" xfId="6298" xr:uid="{00000000-0005-0000-0000-000099180000}"/>
    <cellStyle name="_MOR - BDWY - 1+11_MOR - Australia -  EC - 4+8_Restructuring_Separation_TAX_JuneFC2010 tf_II.8. Sep&amp;Discrete_Guidance 2" xfId="6299" xr:uid="{00000000-0005-0000-0000-00009A180000}"/>
    <cellStyle name="_MOR - BDWY - 1+11_MOR - Australia -  EC - 4+8_Restructuring_Separation_TAX_JuneFC2010 tf_II.8. Sep&amp;Discrete_Guidance_BS retrieve" xfId="6300" xr:uid="{00000000-0005-0000-0000-00009B180000}"/>
    <cellStyle name="_MOR - BDWY - 1+11_MOR - Australia -  EC - 4+8_Restructuring_Separation_TAX_JuneFC2010 tf_II.8. Sep&amp;Discrete_Guidance_Free CF" xfId="6301" xr:uid="{00000000-0005-0000-0000-00009C180000}"/>
    <cellStyle name="_MOR - BDWY - 1+11_MOR - Australia -  EC - 4+8_Restructuring_Separation_TAX_JuneFC2010 tf_II.8. Sep&amp;Discrete_Guidance_P&amp;L Rec Qtr" xfId="6302" xr:uid="{00000000-0005-0000-0000-00009D180000}"/>
    <cellStyle name="_MOR - BDWY - 1+11_MOR - Australia -  EC - 4+8_Restructuring_Separation_TAX_JuneFC2010 tf_II.8. Sep&amp;Discrete_Guidance_Sheet1" xfId="6303" xr:uid="{00000000-0005-0000-0000-00009E180000}"/>
    <cellStyle name="_MOR - BDWY - 1+11_MOR - Australia -  EC - 4+8_Restructuring_Separation_TAX_JuneFC2010 tf_II.8. Sep&amp;Discrete_Guidance_Sheet2" xfId="6304" xr:uid="{00000000-0005-0000-0000-00009F180000}"/>
    <cellStyle name="_MOR - BDWY - 1+11_MOR - Australia -  EC - 4+8_Restructuring_Separation_TAX_JuneFC2010 tf_II.8. Sep&amp;Discrete_Guidance_Sheet3" xfId="6305" xr:uid="{00000000-0005-0000-0000-0000A0180000}"/>
    <cellStyle name="_MOR - BDWY - 1+11_MOR - Australia -  EC - 4+8_Restructuring_Separation_TAX_JuneFC2010 tf_II.8. Sep&amp;Discrete_Guidance_Sheet4" xfId="6306" xr:uid="{00000000-0005-0000-0000-0000A1180000}"/>
    <cellStyle name="_MOR - BDWY - 1+11_MOR - Australia -  EC - 4+8_Restructuring_Separation_TAX_JuneFC2010 tf_Restructuring &amp; Separation" xfId="6307" xr:uid="{00000000-0005-0000-0000-0000A2180000}"/>
    <cellStyle name="_MOR - BDWY - 1+11_MOR - Australia -  EC - 4+8_Restructuring_Separation_TAX_JuneFC2010 tf_Restructuring &amp; Separation_Guidance" xfId="6308" xr:uid="{00000000-0005-0000-0000-0000A3180000}"/>
    <cellStyle name="_MOR - BDWY - 1+11_MOR - Australia -  EC - 4+8_Restructuring_Separation_TAX_JuneFC2010 tf_Restructuring &amp; Separation_Guidance 2" xfId="6309" xr:uid="{00000000-0005-0000-0000-0000A4180000}"/>
    <cellStyle name="_MOR - BDWY - 1+11_MOR - Australia -  EC - 4+8_Restructuring_Separation_TAX_JuneFC2010 tf_Restructuring &amp; Separation_Guidance_BS retrieve" xfId="6310" xr:uid="{00000000-0005-0000-0000-0000A5180000}"/>
    <cellStyle name="_MOR - BDWY - 1+11_MOR - Australia -  EC - 4+8_Restructuring_Separation_TAX_JuneFC2010 tf_Restructuring &amp; Separation_Guidance_Free CF" xfId="6311" xr:uid="{00000000-0005-0000-0000-0000A6180000}"/>
    <cellStyle name="_MOR - BDWY - 1+11_MOR - Australia -  EC - 4+8_Restructuring_Separation_TAX_JuneFC2010 tf_Restructuring &amp; Separation_Guidance_P&amp;L Rec Qtr" xfId="6312" xr:uid="{00000000-0005-0000-0000-0000A7180000}"/>
    <cellStyle name="_MOR - BDWY - 1+11_MOR - Australia -  EC - 4+8_Restructuring_Separation_TAX_JuneFC2010 tf_Restructuring &amp; Separation_Guidance_Sheet1" xfId="6313" xr:uid="{00000000-0005-0000-0000-0000A8180000}"/>
    <cellStyle name="_MOR - BDWY - 1+11_MOR - Australia -  EC - 4+8_Restructuring_Separation_TAX_JuneFC2010 tf_Restructuring &amp; Separation_Guidance_Sheet2" xfId="6314" xr:uid="{00000000-0005-0000-0000-0000A9180000}"/>
    <cellStyle name="_MOR - BDWY - 1+11_MOR - Australia -  EC - 4+8_Restructuring_Separation_TAX_JuneFC2010 tf_Restructuring &amp; Separation_Guidance_Sheet3" xfId="6315" xr:uid="{00000000-0005-0000-0000-0000AA180000}"/>
    <cellStyle name="_MOR - BDWY - 1+11_MOR - Australia -  EC - 4+8_Restructuring_Separation_TAX_JuneFC2010 tf_Restructuring &amp; Separation_Guidance_Sheet4" xfId="6316" xr:uid="{00000000-0005-0000-0000-0000AB180000}"/>
    <cellStyle name="_MOR - BDWY - 1+11_MOR - Gurgaon - 3+9(R)" xfId="6317" xr:uid="{00000000-0005-0000-0000-0000AC180000}"/>
    <cellStyle name="_MOR - BDWY - 1+11_MOR - Gurgaon - 3+9(R)_BS_Separation_TaxResIndem_Q12412 tf" xfId="6318" xr:uid="{00000000-0005-0000-0000-0000AD180000}"/>
    <cellStyle name="_MOR - BDWY - 1+11_MOR - Gurgaon - 3+9(R)_BS_Separation_TaxResIndem_Q12412 tf_Guidance" xfId="6319" xr:uid="{00000000-0005-0000-0000-0000AE180000}"/>
    <cellStyle name="_MOR - BDWY - 1+11_MOR - Gurgaon - 3+9(R)_BS_Separation_TaxResIndem_Q12412 tf_Guidance 2" xfId="6320" xr:uid="{00000000-0005-0000-0000-0000AF180000}"/>
    <cellStyle name="_MOR - BDWY - 1+11_MOR - Gurgaon - 3+9(R)_BS_Separation_TaxResIndem_Q12412 tf_Guidance_BS retrieve" xfId="6321" xr:uid="{00000000-0005-0000-0000-0000B0180000}"/>
    <cellStyle name="_MOR - BDWY - 1+11_MOR - Gurgaon - 3+9(R)_BS_Separation_TaxResIndem_Q12412 tf_Guidance_Free CF" xfId="6322" xr:uid="{00000000-0005-0000-0000-0000B1180000}"/>
    <cellStyle name="_MOR - BDWY - 1+11_MOR - Gurgaon - 3+9(R)_BS_Separation_TaxResIndem_Q12412 tf_Guidance_P&amp;L Rec Qtr" xfId="6323" xr:uid="{00000000-0005-0000-0000-0000B2180000}"/>
    <cellStyle name="_MOR - BDWY - 1+11_MOR - Gurgaon - 3+9(R)_BS_Separation_TaxResIndem_Q12412 tf_Guidance_Sheet1" xfId="6324" xr:uid="{00000000-0005-0000-0000-0000B3180000}"/>
    <cellStyle name="_MOR - BDWY - 1+11_MOR - Gurgaon - 3+9(R)_BS_Separation_TaxResIndem_Q12412 tf_Guidance_Sheet2" xfId="6325" xr:uid="{00000000-0005-0000-0000-0000B4180000}"/>
    <cellStyle name="_MOR - BDWY - 1+11_MOR - Gurgaon - 3+9(R)_BS_Separation_TaxResIndem_Q12412 tf_Guidance_Sheet3" xfId="6326" xr:uid="{00000000-0005-0000-0000-0000B5180000}"/>
    <cellStyle name="_MOR - BDWY - 1+11_MOR - Gurgaon - 3+9(R)_BS_Separation_TaxResIndem_Q12412 tf_Guidance_Sheet4" xfId="6327" xr:uid="{00000000-0005-0000-0000-0000B6180000}"/>
    <cellStyle name="_MOR - BDWY - 1+11_MOR - Gurgaon - 3+9(R)_BS_Separation_TaxResIndem_Q12412 tf_Restructuring &amp; Separation" xfId="6328" xr:uid="{00000000-0005-0000-0000-0000B7180000}"/>
    <cellStyle name="_MOR - BDWY - 1+11_MOR - Gurgaon - 3+9(R)_BS_Separation_TaxResIndem_Q12412 tf_Restructuring &amp; Separation_Guidance" xfId="6329" xr:uid="{00000000-0005-0000-0000-0000B8180000}"/>
    <cellStyle name="_MOR - BDWY - 1+11_MOR - Gurgaon - 3+9(R)_BS_Separation_TaxResIndem_Q12412 tf_Restructuring &amp; Separation_Guidance 2" xfId="6330" xr:uid="{00000000-0005-0000-0000-0000B9180000}"/>
    <cellStyle name="_MOR - BDWY - 1+11_MOR - Gurgaon - 3+9(R)_BS_Separation_TaxResIndem_Q12412 tf_Restructuring &amp; Separation_Guidance_BS retrieve" xfId="6331" xr:uid="{00000000-0005-0000-0000-0000BA180000}"/>
    <cellStyle name="_MOR - BDWY - 1+11_MOR - Gurgaon - 3+9(R)_BS_Separation_TaxResIndem_Q12412 tf_Restructuring &amp; Separation_Guidance_Free CF" xfId="6332" xr:uid="{00000000-0005-0000-0000-0000BB180000}"/>
    <cellStyle name="_MOR - BDWY - 1+11_MOR - Gurgaon - 3+9(R)_BS_Separation_TaxResIndem_Q12412 tf_Restructuring &amp; Separation_Guidance_P&amp;L Rec Qtr" xfId="6333" xr:uid="{00000000-0005-0000-0000-0000BC180000}"/>
    <cellStyle name="_MOR - BDWY - 1+11_MOR - Gurgaon - 3+9(R)_BS_Separation_TaxResIndem_Q12412 tf_Restructuring &amp; Separation_Guidance_Sheet1" xfId="6334" xr:uid="{00000000-0005-0000-0000-0000BD180000}"/>
    <cellStyle name="_MOR - BDWY - 1+11_MOR - Gurgaon - 3+9(R)_BS_Separation_TaxResIndem_Q12412 tf_Restructuring &amp; Separation_Guidance_Sheet2" xfId="6335" xr:uid="{00000000-0005-0000-0000-0000BE180000}"/>
    <cellStyle name="_MOR - BDWY - 1+11_MOR - Gurgaon - 3+9(R)_BS_Separation_TaxResIndem_Q12412 tf_Restructuring &amp; Separation_Guidance_Sheet3" xfId="6336" xr:uid="{00000000-0005-0000-0000-0000BF180000}"/>
    <cellStyle name="_MOR - BDWY - 1+11_MOR - Gurgaon - 3+9(R)_BS_Separation_TaxResIndem_Q12412 tf_Restructuring &amp; Separation_Guidance_Sheet4" xfId="6337" xr:uid="{00000000-0005-0000-0000-0000C0180000}"/>
    <cellStyle name="_MOR - BDWY - 1+11_MOR - Gurgaon - 3+9(R)_By Country Detail 1Q10 041410pm FIN 18 revised per disc w Mary" xfId="6338" xr:uid="{00000000-0005-0000-0000-0000C1180000}"/>
    <cellStyle name="_MOR - BDWY - 1+11_MOR - Gurgaon - 3+9(R)_By Country Detail 1Q10 041410pm FIN 18 revised per disc w Mary_BS_Separation_TaxResIndem_Q12412 tf" xfId="6339" xr:uid="{00000000-0005-0000-0000-0000C2180000}"/>
    <cellStyle name="_MOR - BDWY - 1+11_MOR - Gurgaon - 3+9(R)_By Country Detail 1Q10 041410pm FIN 18 revised per disc w Mary_BS_Separation_TaxResIndem_Q12412 tf_Guidance" xfId="6340" xr:uid="{00000000-0005-0000-0000-0000C3180000}"/>
    <cellStyle name="_MOR - BDWY - 1+11_MOR - Gurgaon - 3+9(R)_By Country Detail 1Q10 041410pm FIN 18 revised per disc w Mary_BS_Separation_TaxResIndem_Q12412 tf_Guidance 2" xfId="6341" xr:uid="{00000000-0005-0000-0000-0000C4180000}"/>
    <cellStyle name="_MOR - BDWY - 1+11_MOR - Gurgaon - 3+9(R)_By Country Detail 1Q10 041410pm FIN 18 revised per disc w Mary_BS_Separation_TaxResIndem_Q12412 tf_Guidance_BS retrieve" xfId="6342" xr:uid="{00000000-0005-0000-0000-0000C5180000}"/>
    <cellStyle name="_MOR - BDWY - 1+11_MOR - Gurgaon - 3+9(R)_By Country Detail 1Q10 041410pm FIN 18 revised per disc w Mary_BS_Separation_TaxResIndem_Q12412 tf_Guidance_Free CF" xfId="6343" xr:uid="{00000000-0005-0000-0000-0000C6180000}"/>
    <cellStyle name="_MOR - BDWY - 1+11_MOR - Gurgaon - 3+9(R)_By Country Detail 1Q10 041410pm FIN 18 revised per disc w Mary_BS_Separation_TaxResIndem_Q12412 tf_Guidance_P&amp;L Rec Qtr" xfId="6344" xr:uid="{00000000-0005-0000-0000-0000C7180000}"/>
    <cellStyle name="_MOR - BDWY - 1+11_MOR - Gurgaon - 3+9(R)_By Country Detail 1Q10 041410pm FIN 18 revised per disc w Mary_BS_Separation_TaxResIndem_Q12412 tf_Guidance_Sheet1" xfId="6345" xr:uid="{00000000-0005-0000-0000-0000C8180000}"/>
    <cellStyle name="_MOR - BDWY - 1+11_MOR - Gurgaon - 3+9(R)_By Country Detail 1Q10 041410pm FIN 18 revised per disc w Mary_BS_Separation_TaxResIndem_Q12412 tf_Guidance_Sheet2" xfId="6346" xr:uid="{00000000-0005-0000-0000-0000C9180000}"/>
    <cellStyle name="_MOR - BDWY - 1+11_MOR - Gurgaon - 3+9(R)_By Country Detail 1Q10 041410pm FIN 18 revised per disc w Mary_BS_Separation_TaxResIndem_Q12412 tf_Guidance_Sheet3" xfId="6347" xr:uid="{00000000-0005-0000-0000-0000CA180000}"/>
    <cellStyle name="_MOR - BDWY - 1+11_MOR - Gurgaon - 3+9(R)_By Country Detail 1Q10 041410pm FIN 18 revised per disc w Mary_BS_Separation_TaxResIndem_Q12412 tf_Guidance_Sheet4" xfId="6348" xr:uid="{00000000-0005-0000-0000-0000CB180000}"/>
    <cellStyle name="_MOR - BDWY - 1+11_MOR - Gurgaon - 3+9(R)_By Country Detail 1Q10 041410pm FIN 18 revised per disc w Mary_BS_Separation_TaxResIndem_Q12412 tf_Restructuring &amp; Separation" xfId="6349" xr:uid="{00000000-0005-0000-0000-0000CC180000}"/>
    <cellStyle name="_MOR - BDWY - 1+11_MOR - Gurgaon - 3+9(R)_By Country Detail 1Q10 041410pm FIN 18 revised per disc w Mary_BS_Separation_TaxResIndem_Q12412 tf_Restructuring &amp; Separation_Guidance" xfId="6350" xr:uid="{00000000-0005-0000-0000-0000CD180000}"/>
    <cellStyle name="_MOR - BDWY - 1+11_MOR - Gurgaon - 3+9(R)_By Country Detail 1Q10 041410pm FIN 18 revised per disc w Mary_BS_Separation_TaxResIndem_Q12412 tf_Restructuring &amp; Separation_Guidance 2" xfId="6351" xr:uid="{00000000-0005-0000-0000-0000CE180000}"/>
    <cellStyle name="_MOR - BDWY - 1+11_MOR - Gurgaon - 3+9(R)_By Country Detail 1Q10 041410pm FIN 18 revised per disc w Mary_BS_Separation_TaxResIndem_Q12412 tf_Restructuring &amp; Separation_Guidance_BS retrieve" xfId="6352" xr:uid="{00000000-0005-0000-0000-0000CF180000}"/>
    <cellStyle name="_MOR - BDWY - 1+11_MOR - Gurgaon - 3+9(R)_By Country Detail 1Q10 041410pm FIN 18 revised per disc w Mary_BS_Separation_TaxResIndem_Q12412 tf_Restructuring &amp; Separation_Guidance_Free CF" xfId="6353" xr:uid="{00000000-0005-0000-0000-0000D0180000}"/>
    <cellStyle name="_MOR - BDWY - 1+11_MOR - Gurgaon - 3+9(R)_By Country Detail 1Q10 041410pm FIN 18 revised per disc w Mary_BS_Separation_TaxResIndem_Q12412 tf_Restructuring &amp; Separation_Guidance_P&amp;L Rec Qtr" xfId="6354" xr:uid="{00000000-0005-0000-0000-0000D1180000}"/>
    <cellStyle name="_MOR - BDWY - 1+11_MOR - Gurgaon - 3+9(R)_By Country Detail 1Q10 041410pm FIN 18 revised per disc w Mary_BS_Separation_TaxResIndem_Q12412 tf_Restructuring &amp; Separation_Guidance_Sheet1" xfId="6355" xr:uid="{00000000-0005-0000-0000-0000D2180000}"/>
    <cellStyle name="_MOR - BDWY - 1+11_MOR - Gurgaon - 3+9(R)_By Country Detail 1Q10 041410pm FIN 18 revised per disc w Mary_BS_Separation_TaxResIndem_Q12412 tf_Restructuring &amp; Separation_Guidance_Sheet2" xfId="6356" xr:uid="{00000000-0005-0000-0000-0000D3180000}"/>
    <cellStyle name="_MOR - BDWY - 1+11_MOR - Gurgaon - 3+9(R)_By Country Detail 1Q10 041410pm FIN 18 revised per disc w Mary_BS_Separation_TaxResIndem_Q12412 tf_Restructuring &amp; Separation_Guidance_Sheet3" xfId="6357" xr:uid="{00000000-0005-0000-0000-0000D4180000}"/>
    <cellStyle name="_MOR - BDWY - 1+11_MOR - Gurgaon - 3+9(R)_By Country Detail 1Q10 041410pm FIN 18 revised per disc w Mary_BS_Separation_TaxResIndem_Q12412 tf_Restructuring &amp; Separation_Guidance_Sheet4" xfId="6358" xr:uid="{00000000-0005-0000-0000-0000D5180000}"/>
    <cellStyle name="_MOR - BDWY - 1+11_MOR - Gurgaon - 3+9(R)_By Country Detail 1Q10 041410pm FIN 18 revised per disc w Mary_Guidance" xfId="6359" xr:uid="{00000000-0005-0000-0000-0000D6180000}"/>
    <cellStyle name="_MOR - BDWY - 1+11_MOR - Gurgaon - 3+9(R)_By Country Detail 1Q10 041410pm FIN 18 revised per disc w Mary_Guidance 2" xfId="6360" xr:uid="{00000000-0005-0000-0000-0000D7180000}"/>
    <cellStyle name="_MOR - BDWY - 1+11_MOR - Gurgaon - 3+9(R)_By Country Detail 1Q10 041410pm FIN 18 revised per disc w Mary_Guidance_BS retrieve" xfId="6361" xr:uid="{00000000-0005-0000-0000-0000D8180000}"/>
    <cellStyle name="_MOR - BDWY - 1+11_MOR - Gurgaon - 3+9(R)_By Country Detail 1Q10 041410pm FIN 18 revised per disc w Mary_Guidance_Free CF" xfId="6362" xr:uid="{00000000-0005-0000-0000-0000D9180000}"/>
    <cellStyle name="_MOR - BDWY - 1+11_MOR - Gurgaon - 3+9(R)_By Country Detail 1Q10 041410pm FIN 18 revised per disc w Mary_Guidance_P&amp;L Rec Qtr" xfId="6363" xr:uid="{00000000-0005-0000-0000-0000DA180000}"/>
    <cellStyle name="_MOR - BDWY - 1+11_MOR - Gurgaon - 3+9(R)_By Country Detail 1Q10 041410pm FIN 18 revised per disc w Mary_Guidance_Sheet1" xfId="6364" xr:uid="{00000000-0005-0000-0000-0000DB180000}"/>
    <cellStyle name="_MOR - BDWY - 1+11_MOR - Gurgaon - 3+9(R)_By Country Detail 1Q10 041410pm FIN 18 revised per disc w Mary_Guidance_Sheet2" xfId="6365" xr:uid="{00000000-0005-0000-0000-0000DC180000}"/>
    <cellStyle name="_MOR - BDWY - 1+11_MOR - Gurgaon - 3+9(R)_By Country Detail 1Q10 041410pm FIN 18 revised per disc w Mary_Guidance_Sheet3" xfId="6366" xr:uid="{00000000-0005-0000-0000-0000DD180000}"/>
    <cellStyle name="_MOR - BDWY - 1+11_MOR - Gurgaon - 3+9(R)_By Country Detail 1Q10 041410pm FIN 18 revised per disc w Mary_Guidance_Sheet4" xfId="6367" xr:uid="{00000000-0005-0000-0000-0000DE180000}"/>
    <cellStyle name="_MOR - BDWY - 1+11_MOR - Gurgaon - 3+9(R)_By Country Detail 1Q10 041410pm FIN 18 revised per disc w Mary_II.8. Sep&amp;Discrete" xfId="6368" xr:uid="{00000000-0005-0000-0000-0000DF180000}"/>
    <cellStyle name="_MOR - BDWY - 1+11_MOR - Gurgaon - 3+9(R)_By Country Detail 1Q10 041410pm FIN 18 revised per disc w Mary_II.8. Sep&amp;Discrete_Guidance" xfId="6369" xr:uid="{00000000-0005-0000-0000-0000E0180000}"/>
    <cellStyle name="_MOR - BDWY - 1+11_MOR - Gurgaon - 3+9(R)_By Country Detail 1Q10 041410pm FIN 18 revised per disc w Mary_II.8. Sep&amp;Discrete_Guidance 2" xfId="6370" xr:uid="{00000000-0005-0000-0000-0000E1180000}"/>
    <cellStyle name="_MOR - BDWY - 1+11_MOR - Gurgaon - 3+9(R)_By Country Detail 1Q10 041410pm FIN 18 revised per disc w Mary_II.8. Sep&amp;Discrete_Guidance_BS retrieve" xfId="6371" xr:uid="{00000000-0005-0000-0000-0000E2180000}"/>
    <cellStyle name="_MOR - BDWY - 1+11_MOR - Gurgaon - 3+9(R)_By Country Detail 1Q10 041410pm FIN 18 revised per disc w Mary_II.8. Sep&amp;Discrete_Guidance_Free CF" xfId="6372" xr:uid="{00000000-0005-0000-0000-0000E3180000}"/>
    <cellStyle name="_MOR - BDWY - 1+11_MOR - Gurgaon - 3+9(R)_By Country Detail 1Q10 041410pm FIN 18 revised per disc w Mary_II.8. Sep&amp;Discrete_Guidance_P&amp;L Rec Qtr" xfId="6373" xr:uid="{00000000-0005-0000-0000-0000E4180000}"/>
    <cellStyle name="_MOR - BDWY - 1+11_MOR - Gurgaon - 3+9(R)_By Country Detail 1Q10 041410pm FIN 18 revised per disc w Mary_II.8. Sep&amp;Discrete_Guidance_Sheet1" xfId="6374" xr:uid="{00000000-0005-0000-0000-0000E5180000}"/>
    <cellStyle name="_MOR - BDWY - 1+11_MOR - Gurgaon - 3+9(R)_By Country Detail 1Q10 041410pm FIN 18 revised per disc w Mary_II.8. Sep&amp;Discrete_Guidance_Sheet2" xfId="6375" xr:uid="{00000000-0005-0000-0000-0000E6180000}"/>
    <cellStyle name="_MOR - BDWY - 1+11_MOR - Gurgaon - 3+9(R)_By Country Detail 1Q10 041410pm FIN 18 revised per disc w Mary_II.8. Sep&amp;Discrete_Guidance_Sheet3" xfId="6376" xr:uid="{00000000-0005-0000-0000-0000E7180000}"/>
    <cellStyle name="_MOR - BDWY - 1+11_MOR - Gurgaon - 3+9(R)_By Country Detail 1Q10 041410pm FIN 18 revised per disc w Mary_II.8. Sep&amp;Discrete_Guidance_Sheet4" xfId="6377" xr:uid="{00000000-0005-0000-0000-0000E8180000}"/>
    <cellStyle name="_MOR - BDWY - 1+11_MOR - Gurgaon - 3+9(R)_By Country Detail 1Q10 041410pm FIN 18 revised per disc w Mary_Restructuring &amp; Separation" xfId="6378" xr:uid="{00000000-0005-0000-0000-0000E9180000}"/>
    <cellStyle name="_MOR - BDWY - 1+11_MOR - Gurgaon - 3+9(R)_By Country Detail 1Q10 041410pm FIN 18 revised per disc w Mary_Restructuring &amp; Separation_Guidance" xfId="6379" xr:uid="{00000000-0005-0000-0000-0000EA180000}"/>
    <cellStyle name="_MOR - BDWY - 1+11_MOR - Gurgaon - 3+9(R)_By Country Detail 1Q10 041410pm FIN 18 revised per disc w Mary_Restructuring &amp; Separation_Guidance 2" xfId="6380" xr:uid="{00000000-0005-0000-0000-0000EB180000}"/>
    <cellStyle name="_MOR - BDWY - 1+11_MOR - Gurgaon - 3+9(R)_By Country Detail 1Q10 041410pm FIN 18 revised per disc w Mary_Restructuring &amp; Separation_Guidance_BS retrieve" xfId="6381" xr:uid="{00000000-0005-0000-0000-0000EC180000}"/>
    <cellStyle name="_MOR - BDWY - 1+11_MOR - Gurgaon - 3+9(R)_By Country Detail 1Q10 041410pm FIN 18 revised per disc w Mary_Restructuring &amp; Separation_Guidance_Free CF" xfId="6382" xr:uid="{00000000-0005-0000-0000-0000ED180000}"/>
    <cellStyle name="_MOR - BDWY - 1+11_MOR - Gurgaon - 3+9(R)_By Country Detail 1Q10 041410pm FIN 18 revised per disc w Mary_Restructuring &amp; Separation_Guidance_P&amp;L Rec Qtr" xfId="6383" xr:uid="{00000000-0005-0000-0000-0000EE180000}"/>
    <cellStyle name="_MOR - BDWY - 1+11_MOR - Gurgaon - 3+9(R)_By Country Detail 1Q10 041410pm FIN 18 revised per disc w Mary_Restructuring &amp; Separation_Guidance_Sheet1" xfId="6384" xr:uid="{00000000-0005-0000-0000-0000EF180000}"/>
    <cellStyle name="_MOR - BDWY - 1+11_MOR - Gurgaon - 3+9(R)_By Country Detail 1Q10 041410pm FIN 18 revised per disc w Mary_Restructuring &amp; Separation_Guidance_Sheet2" xfId="6385" xr:uid="{00000000-0005-0000-0000-0000F0180000}"/>
    <cellStyle name="_MOR - BDWY - 1+11_MOR - Gurgaon - 3+9(R)_By Country Detail 1Q10 041410pm FIN 18 revised per disc w Mary_Restructuring &amp; Separation_Guidance_Sheet3" xfId="6386" xr:uid="{00000000-0005-0000-0000-0000F1180000}"/>
    <cellStyle name="_MOR - BDWY - 1+11_MOR - Gurgaon - 3+9(R)_By Country Detail 1Q10 041410pm FIN 18 revised per disc w Mary_Restructuring &amp; Separation_Guidance_Sheet4" xfId="6387" xr:uid="{00000000-0005-0000-0000-0000F2180000}"/>
    <cellStyle name="_MOR - BDWY - 1+11_MOR - Gurgaon - 3+9(R)_Guidance" xfId="6388" xr:uid="{00000000-0005-0000-0000-0000F3180000}"/>
    <cellStyle name="_MOR - BDWY - 1+11_MOR - Gurgaon - 3+9(R)_Guidance 2" xfId="6389" xr:uid="{00000000-0005-0000-0000-0000F4180000}"/>
    <cellStyle name="_MOR - BDWY - 1+11_MOR - Gurgaon - 3+9(R)_Guidance_BS retrieve" xfId="6390" xr:uid="{00000000-0005-0000-0000-0000F5180000}"/>
    <cellStyle name="_MOR - BDWY - 1+11_MOR - Gurgaon - 3+9(R)_Guidance_Free CF" xfId="6391" xr:uid="{00000000-0005-0000-0000-0000F6180000}"/>
    <cellStyle name="_MOR - BDWY - 1+11_MOR - Gurgaon - 3+9(R)_Guidance_P&amp;L Rec Qtr" xfId="6392" xr:uid="{00000000-0005-0000-0000-0000F7180000}"/>
    <cellStyle name="_MOR - BDWY - 1+11_MOR - Gurgaon - 3+9(R)_Guidance_Sheet1" xfId="6393" xr:uid="{00000000-0005-0000-0000-0000F8180000}"/>
    <cellStyle name="_MOR - BDWY - 1+11_MOR - Gurgaon - 3+9(R)_Guidance_Sheet2" xfId="6394" xr:uid="{00000000-0005-0000-0000-0000F9180000}"/>
    <cellStyle name="_MOR - BDWY - 1+11_MOR - Gurgaon - 3+9(R)_Guidance_Sheet3" xfId="6395" xr:uid="{00000000-0005-0000-0000-0000FA180000}"/>
    <cellStyle name="_MOR - BDWY - 1+11_MOR - Gurgaon - 3+9(R)_Guidance_Sheet4" xfId="6396" xr:uid="{00000000-0005-0000-0000-0000FB180000}"/>
    <cellStyle name="_MOR - BDWY - 1+11_MOR - Gurgaon - 3+9(R)_II.4. RawMaterials" xfId="6397" xr:uid="{00000000-0005-0000-0000-0000FC180000}"/>
    <cellStyle name="_MOR - BDWY - 1+11_MOR - Gurgaon - 3+9(R)_II.4. RawMaterials 2" xfId="6398" xr:uid="{00000000-0005-0000-0000-0000FD180000}"/>
    <cellStyle name="_MOR - BDWY - 1+11_MOR - Gurgaon - 3+9(R)_II.4. RawMaterials_BS retrieve" xfId="6399" xr:uid="{00000000-0005-0000-0000-0000FE180000}"/>
    <cellStyle name="_MOR - BDWY - 1+11_MOR - Gurgaon - 3+9(R)_II.4. RawMaterials_Free CF" xfId="6400" xr:uid="{00000000-0005-0000-0000-0000FF180000}"/>
    <cellStyle name="_MOR - BDWY - 1+11_MOR - Gurgaon - 3+9(R)_II.4. RawMaterials_P&amp;L Rec Qtr" xfId="6401" xr:uid="{00000000-0005-0000-0000-000000190000}"/>
    <cellStyle name="_MOR - BDWY - 1+11_MOR - Gurgaon - 3+9(R)_II.4. RawMaterials_Sheet1" xfId="6402" xr:uid="{00000000-0005-0000-0000-000001190000}"/>
    <cellStyle name="_MOR - BDWY - 1+11_MOR - Gurgaon - 3+9(R)_II.4. RawMaterials_Sheet2" xfId="6403" xr:uid="{00000000-0005-0000-0000-000002190000}"/>
    <cellStyle name="_MOR - BDWY - 1+11_MOR - Gurgaon - 3+9(R)_II.4. RawMaterials_Sheet3" xfId="6404" xr:uid="{00000000-0005-0000-0000-000003190000}"/>
    <cellStyle name="_MOR - BDWY - 1+11_MOR - Gurgaon - 3+9(R)_II.4. RawMaterials_Sheet4" xfId="6405" xr:uid="{00000000-0005-0000-0000-000004190000}"/>
    <cellStyle name="_MOR - BDWY - 1+11_MOR - Gurgaon - 3+9(R)_II.5. RawMaterials" xfId="6406" xr:uid="{00000000-0005-0000-0000-000005190000}"/>
    <cellStyle name="_MOR - BDWY - 1+11_MOR - Gurgaon - 3+9(R)_II.5. RawMaterials 2" xfId="6407" xr:uid="{00000000-0005-0000-0000-000006190000}"/>
    <cellStyle name="_MOR - BDWY - 1+11_MOR - Gurgaon - 3+9(R)_II.5. RawMaterials_BS retrieve" xfId="6408" xr:uid="{00000000-0005-0000-0000-000007190000}"/>
    <cellStyle name="_MOR - BDWY - 1+11_MOR - Gurgaon - 3+9(R)_II.5. RawMaterials_Free CF" xfId="6409" xr:uid="{00000000-0005-0000-0000-000008190000}"/>
    <cellStyle name="_MOR - BDWY - 1+11_MOR - Gurgaon - 3+9(R)_II.5. RawMaterials_Guidance" xfId="6410" xr:uid="{00000000-0005-0000-0000-000009190000}"/>
    <cellStyle name="_MOR - BDWY - 1+11_MOR - Gurgaon - 3+9(R)_II.5. RawMaterials_Guidance 2" xfId="6411" xr:uid="{00000000-0005-0000-0000-00000A190000}"/>
    <cellStyle name="_MOR - BDWY - 1+11_MOR - Gurgaon - 3+9(R)_II.5. RawMaterials_Guidance_BS retrieve" xfId="6412" xr:uid="{00000000-0005-0000-0000-00000B190000}"/>
    <cellStyle name="_MOR - BDWY - 1+11_MOR - Gurgaon - 3+9(R)_II.5. RawMaterials_Guidance_Free CF" xfId="6413" xr:uid="{00000000-0005-0000-0000-00000C190000}"/>
    <cellStyle name="_MOR - BDWY - 1+11_MOR - Gurgaon - 3+9(R)_II.5. RawMaterials_Guidance_P&amp;L Rec Qtr" xfId="6414" xr:uid="{00000000-0005-0000-0000-00000D190000}"/>
    <cellStyle name="_MOR - BDWY - 1+11_MOR - Gurgaon - 3+9(R)_II.5. RawMaterials_Guidance_Sheet1" xfId="6415" xr:uid="{00000000-0005-0000-0000-00000E190000}"/>
    <cellStyle name="_MOR - BDWY - 1+11_MOR - Gurgaon - 3+9(R)_II.5. RawMaterials_Guidance_Sheet2" xfId="6416" xr:uid="{00000000-0005-0000-0000-00000F190000}"/>
    <cellStyle name="_MOR - BDWY - 1+11_MOR - Gurgaon - 3+9(R)_II.5. RawMaterials_Guidance_Sheet3" xfId="6417" xr:uid="{00000000-0005-0000-0000-000010190000}"/>
    <cellStyle name="_MOR - BDWY - 1+11_MOR - Gurgaon - 3+9(R)_II.5. RawMaterials_Guidance_Sheet4" xfId="6418" xr:uid="{00000000-0005-0000-0000-000011190000}"/>
    <cellStyle name="_MOR - BDWY - 1+11_MOR - Gurgaon - 3+9(R)_II.5. RawMaterials_P&amp;L Rec Qtr" xfId="6419" xr:uid="{00000000-0005-0000-0000-000012190000}"/>
    <cellStyle name="_MOR - BDWY - 1+11_MOR - Gurgaon - 3+9(R)_II.5. RawMaterials_Sheet1" xfId="6420" xr:uid="{00000000-0005-0000-0000-000013190000}"/>
    <cellStyle name="_MOR - BDWY - 1+11_MOR - Gurgaon - 3+9(R)_II.5. RawMaterials_Sheet2" xfId="6421" xr:uid="{00000000-0005-0000-0000-000014190000}"/>
    <cellStyle name="_MOR - BDWY - 1+11_MOR - Gurgaon - 3+9(R)_II.5. RawMaterials_Sheet3" xfId="6422" xr:uid="{00000000-0005-0000-0000-000015190000}"/>
    <cellStyle name="_MOR - BDWY - 1+11_MOR - Gurgaon - 3+9(R)_II.5. RawMaterials_Sheet4" xfId="6423" xr:uid="{00000000-0005-0000-0000-000016190000}"/>
    <cellStyle name="_MOR - BDWY - 1+11_MOR - Gurgaon - 3+9(R)_II.5. RM Volume Sensitivities" xfId="6424" xr:uid="{00000000-0005-0000-0000-000017190000}"/>
    <cellStyle name="_MOR - BDWY - 1+11_MOR - Gurgaon - 3+9(R)_II.5. RM Volume Sensitivities 2" xfId="6425" xr:uid="{00000000-0005-0000-0000-000018190000}"/>
    <cellStyle name="_MOR - BDWY - 1+11_MOR - Gurgaon - 3+9(R)_II.5. RM Volume Sensitivities_BS retrieve" xfId="6426" xr:uid="{00000000-0005-0000-0000-000019190000}"/>
    <cellStyle name="_MOR - BDWY - 1+11_MOR - Gurgaon - 3+9(R)_II.5. RM Volume Sensitivities_Free CF" xfId="6427" xr:uid="{00000000-0005-0000-0000-00001A190000}"/>
    <cellStyle name="_MOR - BDWY - 1+11_MOR - Gurgaon - 3+9(R)_II.5. RM Volume Sensitivities_P&amp;L Rec Qtr" xfId="6428" xr:uid="{00000000-0005-0000-0000-00001B190000}"/>
    <cellStyle name="_MOR - BDWY - 1+11_MOR - Gurgaon - 3+9(R)_II.5. RM Volume Sensitivities_Sheet1" xfId="6429" xr:uid="{00000000-0005-0000-0000-00001C190000}"/>
    <cellStyle name="_MOR - BDWY - 1+11_MOR - Gurgaon - 3+9(R)_II.5. RM Volume Sensitivities_Sheet2" xfId="6430" xr:uid="{00000000-0005-0000-0000-00001D190000}"/>
    <cellStyle name="_MOR - BDWY - 1+11_MOR - Gurgaon - 3+9(R)_II.5. RM Volume Sensitivities_Sheet3" xfId="6431" xr:uid="{00000000-0005-0000-0000-00001E190000}"/>
    <cellStyle name="_MOR - BDWY - 1+11_MOR - Gurgaon - 3+9(R)_II.5. RM Volume Sensitivities_Sheet4" xfId="6432" xr:uid="{00000000-0005-0000-0000-00001F190000}"/>
    <cellStyle name="_MOR - BDWY - 1+11_MOR - Gurgaon - 3+9(R)_II.8. Sep&amp;Discrete" xfId="6433" xr:uid="{00000000-0005-0000-0000-000020190000}"/>
    <cellStyle name="_MOR - BDWY - 1+11_MOR - Gurgaon - 3+9(R)_II.8. Sep&amp;Discrete_Guidance" xfId="6434" xr:uid="{00000000-0005-0000-0000-000021190000}"/>
    <cellStyle name="_MOR - BDWY - 1+11_MOR - Gurgaon - 3+9(R)_II.8. Sep&amp;Discrete_Guidance 2" xfId="6435" xr:uid="{00000000-0005-0000-0000-000022190000}"/>
    <cellStyle name="_MOR - BDWY - 1+11_MOR - Gurgaon - 3+9(R)_II.8. Sep&amp;Discrete_Guidance_BS retrieve" xfId="6436" xr:uid="{00000000-0005-0000-0000-000023190000}"/>
    <cellStyle name="_MOR - BDWY - 1+11_MOR - Gurgaon - 3+9(R)_II.8. Sep&amp;Discrete_Guidance_Free CF" xfId="6437" xr:uid="{00000000-0005-0000-0000-000024190000}"/>
    <cellStyle name="_MOR - BDWY - 1+11_MOR - Gurgaon - 3+9(R)_II.8. Sep&amp;Discrete_Guidance_P&amp;L Rec Qtr" xfId="6438" xr:uid="{00000000-0005-0000-0000-000025190000}"/>
    <cellStyle name="_MOR - BDWY - 1+11_MOR - Gurgaon - 3+9(R)_II.8. Sep&amp;Discrete_Guidance_Sheet1" xfId="6439" xr:uid="{00000000-0005-0000-0000-000026190000}"/>
    <cellStyle name="_MOR - BDWY - 1+11_MOR - Gurgaon - 3+9(R)_II.8. Sep&amp;Discrete_Guidance_Sheet2" xfId="6440" xr:uid="{00000000-0005-0000-0000-000027190000}"/>
    <cellStyle name="_MOR - BDWY - 1+11_MOR - Gurgaon - 3+9(R)_II.8. Sep&amp;Discrete_Guidance_Sheet3" xfId="6441" xr:uid="{00000000-0005-0000-0000-000028190000}"/>
    <cellStyle name="_MOR - BDWY - 1+11_MOR - Gurgaon - 3+9(R)_II.8. Sep&amp;Discrete_Guidance_Sheet4" xfId="6442" xr:uid="{00000000-0005-0000-0000-000029190000}"/>
    <cellStyle name="_MOR - BDWY - 1+11_MOR - Gurgaon - 3+9(R)_MOR - Revised Package" xfId="6443" xr:uid="{00000000-0005-0000-0000-00002A190000}"/>
    <cellStyle name="_MOR - BDWY - 1+11_MOR - Gurgaon - 3+9(R)_MOR - Revised Package_~0039877" xfId="6444" xr:uid="{00000000-0005-0000-0000-00002B190000}"/>
    <cellStyle name="_MOR - BDWY - 1+11_MOR - Gurgaon - 3+9(R)_MOR - Revised Package_~0039877_BS_Separation_TaxResIndem_Q12412 tf" xfId="6445" xr:uid="{00000000-0005-0000-0000-00002C190000}"/>
    <cellStyle name="_MOR - BDWY - 1+11_MOR - Gurgaon - 3+9(R)_MOR - Revised Package_~0039877_BS_Separation_TaxResIndem_Q12412 tf_Guidance" xfId="6446" xr:uid="{00000000-0005-0000-0000-00002D190000}"/>
    <cellStyle name="_MOR - BDWY - 1+11_MOR - Gurgaon - 3+9(R)_MOR - Revised Package_~0039877_BS_Separation_TaxResIndem_Q12412 tf_Guidance 2" xfId="6447" xr:uid="{00000000-0005-0000-0000-00002E190000}"/>
    <cellStyle name="_MOR - BDWY - 1+11_MOR - Gurgaon - 3+9(R)_MOR - Revised Package_~0039877_BS_Separation_TaxResIndem_Q12412 tf_Guidance_BS retrieve" xfId="6448" xr:uid="{00000000-0005-0000-0000-00002F190000}"/>
    <cellStyle name="_MOR - BDWY - 1+11_MOR - Gurgaon - 3+9(R)_MOR - Revised Package_~0039877_BS_Separation_TaxResIndem_Q12412 tf_Guidance_Free CF" xfId="6449" xr:uid="{00000000-0005-0000-0000-000030190000}"/>
    <cellStyle name="_MOR - BDWY - 1+11_MOR - Gurgaon - 3+9(R)_MOR - Revised Package_~0039877_BS_Separation_TaxResIndem_Q12412 tf_Guidance_P&amp;L Rec Qtr" xfId="6450" xr:uid="{00000000-0005-0000-0000-000031190000}"/>
    <cellStyle name="_MOR - BDWY - 1+11_MOR - Gurgaon - 3+9(R)_MOR - Revised Package_~0039877_BS_Separation_TaxResIndem_Q12412 tf_Guidance_Sheet1" xfId="6451" xr:uid="{00000000-0005-0000-0000-000032190000}"/>
    <cellStyle name="_MOR - BDWY - 1+11_MOR - Gurgaon - 3+9(R)_MOR - Revised Package_~0039877_BS_Separation_TaxResIndem_Q12412 tf_Guidance_Sheet2" xfId="6452" xr:uid="{00000000-0005-0000-0000-000033190000}"/>
    <cellStyle name="_MOR - BDWY - 1+11_MOR - Gurgaon - 3+9(R)_MOR - Revised Package_~0039877_BS_Separation_TaxResIndem_Q12412 tf_Guidance_Sheet3" xfId="6453" xr:uid="{00000000-0005-0000-0000-000034190000}"/>
    <cellStyle name="_MOR - BDWY - 1+11_MOR - Gurgaon - 3+9(R)_MOR - Revised Package_~0039877_BS_Separation_TaxResIndem_Q12412 tf_Guidance_Sheet4" xfId="6454" xr:uid="{00000000-0005-0000-0000-000035190000}"/>
    <cellStyle name="_MOR - BDWY - 1+11_MOR - Gurgaon - 3+9(R)_MOR - Revised Package_~0039877_BS_Separation_TaxResIndem_Q12412 tf_Restructuring &amp; Separation" xfId="6455" xr:uid="{00000000-0005-0000-0000-000036190000}"/>
    <cellStyle name="_MOR - BDWY - 1+11_MOR - Gurgaon - 3+9(R)_MOR - Revised Package_~0039877_BS_Separation_TaxResIndem_Q12412 tf_Restructuring &amp; Separation_Guidance" xfId="6456" xr:uid="{00000000-0005-0000-0000-000037190000}"/>
    <cellStyle name="_MOR - BDWY - 1+11_MOR - Gurgaon - 3+9(R)_MOR - Revised Package_~0039877_BS_Separation_TaxResIndem_Q12412 tf_Restructuring &amp; Separation_Guidance 2" xfId="6457" xr:uid="{00000000-0005-0000-0000-000038190000}"/>
    <cellStyle name="_MOR - BDWY - 1+11_MOR - Gurgaon - 3+9(R)_MOR - Revised Package_~0039877_BS_Separation_TaxResIndem_Q12412 tf_Restructuring &amp; Separation_Guidance_BS retrieve" xfId="6458" xr:uid="{00000000-0005-0000-0000-000039190000}"/>
    <cellStyle name="_MOR - BDWY - 1+11_MOR - Gurgaon - 3+9(R)_MOR - Revised Package_~0039877_BS_Separation_TaxResIndem_Q12412 tf_Restructuring &amp; Separation_Guidance_Free CF" xfId="6459" xr:uid="{00000000-0005-0000-0000-00003A190000}"/>
    <cellStyle name="_MOR - BDWY - 1+11_MOR - Gurgaon - 3+9(R)_MOR - Revised Package_~0039877_BS_Separation_TaxResIndem_Q12412 tf_Restructuring &amp; Separation_Guidance_P&amp;L Rec Qtr" xfId="6460" xr:uid="{00000000-0005-0000-0000-00003B190000}"/>
    <cellStyle name="_MOR - BDWY - 1+11_MOR - Gurgaon - 3+9(R)_MOR - Revised Package_~0039877_BS_Separation_TaxResIndem_Q12412 tf_Restructuring &amp; Separation_Guidance_Sheet1" xfId="6461" xr:uid="{00000000-0005-0000-0000-00003C190000}"/>
    <cellStyle name="_MOR - BDWY - 1+11_MOR - Gurgaon - 3+9(R)_MOR - Revised Package_~0039877_BS_Separation_TaxResIndem_Q12412 tf_Restructuring &amp; Separation_Guidance_Sheet2" xfId="6462" xr:uid="{00000000-0005-0000-0000-00003D190000}"/>
    <cellStyle name="_MOR - BDWY - 1+11_MOR - Gurgaon - 3+9(R)_MOR - Revised Package_~0039877_BS_Separation_TaxResIndem_Q12412 tf_Restructuring &amp; Separation_Guidance_Sheet3" xfId="6463" xr:uid="{00000000-0005-0000-0000-00003E190000}"/>
    <cellStyle name="_MOR - BDWY - 1+11_MOR - Gurgaon - 3+9(R)_MOR - Revised Package_~0039877_BS_Separation_TaxResIndem_Q12412 tf_Restructuring &amp; Separation_Guidance_Sheet4" xfId="6464" xr:uid="{00000000-0005-0000-0000-00003F190000}"/>
    <cellStyle name="_MOR - BDWY - 1+11_MOR - Gurgaon - 3+9(R)_MOR - Revised Package_~0039877_By Country Detail 1Q10 041410pm FIN 18 revised per disc w Mary" xfId="6465" xr:uid="{00000000-0005-0000-0000-000040190000}"/>
    <cellStyle name="_MOR - BDWY - 1+11_MOR - Gurgaon - 3+9(R)_MOR - Revised Package_~0039877_By Country Detail 1Q10 041410pm FIN 18 revised per disc w Mary_BS_Separation_TaxResIndem_Q12412 tf" xfId="6466" xr:uid="{00000000-0005-0000-0000-000041190000}"/>
    <cellStyle name="_MOR - BDWY - 1+11_MOR - Gurgaon - 3+9(R)_MOR - Revised Package_~0039877_By Country Detail 1Q10 041410pm FIN 18 revised per disc w Mary_BS_Separation_TaxResIndem_Q12412 tf_Guidance" xfId="6467" xr:uid="{00000000-0005-0000-0000-000042190000}"/>
    <cellStyle name="_MOR - BDWY - 1+11_MOR - Gurgaon - 3+9(R)_MOR - Revised Package_~0039877_By Country Detail 1Q10 041410pm FIN 18 revised per disc w Mary_BS_Separation_TaxResIndem_Q12412 tf_Guidance 2" xfId="6468" xr:uid="{00000000-0005-0000-0000-000043190000}"/>
    <cellStyle name="_MOR - BDWY - 1+11_MOR - Gurgaon - 3+9(R)_MOR - Revised Package_~0039877_By Country Detail 1Q10 041410pm FIN 18 revised per disc w Mary_BS_Separation_TaxResIndem_Q12412 tf_Guidance_BS retrieve" xfId="6469" xr:uid="{00000000-0005-0000-0000-000044190000}"/>
    <cellStyle name="_MOR - BDWY - 1+11_MOR - Gurgaon - 3+9(R)_MOR - Revised Package_~0039877_By Country Detail 1Q10 041410pm FIN 18 revised per disc w Mary_BS_Separation_TaxResIndem_Q12412 tf_Guidance_Free CF" xfId="6470" xr:uid="{00000000-0005-0000-0000-000045190000}"/>
    <cellStyle name="_MOR - BDWY - 1+11_MOR - Gurgaon - 3+9(R)_MOR - Revised Package_~0039877_By Country Detail 1Q10 041410pm FIN 18 revised per disc w Mary_BS_Separation_TaxResIndem_Q12412 tf_Guidance_P&amp;L Rec Qtr" xfId="6471" xr:uid="{00000000-0005-0000-0000-000046190000}"/>
    <cellStyle name="_MOR - BDWY - 1+11_MOR - Gurgaon - 3+9(R)_MOR - Revised Package_~0039877_By Country Detail 1Q10 041410pm FIN 18 revised per disc w Mary_BS_Separation_TaxResIndem_Q12412 tf_Guidance_Sheet1" xfId="6472" xr:uid="{00000000-0005-0000-0000-000047190000}"/>
    <cellStyle name="_MOR - BDWY - 1+11_MOR - Gurgaon - 3+9(R)_MOR - Revised Package_~0039877_By Country Detail 1Q10 041410pm FIN 18 revised per disc w Mary_BS_Separation_TaxResIndem_Q12412 tf_Guidance_Sheet2" xfId="6473" xr:uid="{00000000-0005-0000-0000-000048190000}"/>
    <cellStyle name="_MOR - BDWY - 1+11_MOR - Gurgaon - 3+9(R)_MOR - Revised Package_~0039877_By Country Detail 1Q10 041410pm FIN 18 revised per disc w Mary_BS_Separation_TaxResIndem_Q12412 tf_Guidance_Sheet3" xfId="6474" xr:uid="{00000000-0005-0000-0000-000049190000}"/>
    <cellStyle name="_MOR - BDWY - 1+11_MOR - Gurgaon - 3+9(R)_MOR - Revised Package_~0039877_By Country Detail 1Q10 041410pm FIN 18 revised per disc w Mary_BS_Separation_TaxResIndem_Q12412 tf_Guidance_Sheet4" xfId="6475" xr:uid="{00000000-0005-0000-0000-00004A190000}"/>
    <cellStyle name="_MOR - BDWY - 1+11_MOR - Gurgaon - 3+9(R)_MOR - Revised Package_~0039877_By Country Detail 1Q10 041410pm FIN 18 revised per disc w Mary_BS_Separation_TaxResIndem_Q12412 tf_Restructuring &amp; Separation" xfId="6476" xr:uid="{00000000-0005-0000-0000-00004B190000}"/>
    <cellStyle name="_MOR - BDWY - 1+11_MOR - Gurgaon - 3+9(R)_MOR - Revised Package_~0039877_By Country Detail 1Q10 041410pm FIN 18 revised per disc w Mary_BS_Separation_TaxResIndem_Q12412 tf_Restructuring &amp; Separation_Guidance" xfId="6477" xr:uid="{00000000-0005-0000-0000-00004C190000}"/>
    <cellStyle name="_MOR - BDWY - 1+11_MOR - Gurgaon - 3+9(R)_MOR - Revised Package_~0039877_By Country Detail 1Q10 041410pm FIN 18 revised per disc w Mary_BS_Separation_TaxResIndem_Q12412 tf_Restructuring &amp; Separation_Guidance 2" xfId="6478" xr:uid="{00000000-0005-0000-0000-00004D190000}"/>
    <cellStyle name="_MOR - BDWY - 1+11_MOR - Gurgaon - 3+9(R)_MOR - Revised Package_~0039877_By Country Detail 1Q10 041410pm FIN 18 revised per disc w Mary_BS_Separation_TaxResIndem_Q12412 tf_Restructuring &amp; Separation_Guidance_BS retrieve" xfId="6479" xr:uid="{00000000-0005-0000-0000-00004E190000}"/>
    <cellStyle name="_MOR - BDWY - 1+11_MOR - Gurgaon - 3+9(R)_MOR - Revised Package_~0039877_By Country Detail 1Q10 041410pm FIN 18 revised per disc w Mary_BS_Separation_TaxResIndem_Q12412 tf_Restructuring &amp; Separation_Guidance_Free CF" xfId="6480" xr:uid="{00000000-0005-0000-0000-00004F190000}"/>
    <cellStyle name="_MOR - BDWY - 1+11_MOR - Gurgaon - 3+9(R)_MOR - Revised Package_~0039877_By Country Detail 1Q10 041410pm FIN 18 revised per disc w Mary_BS_Separation_TaxResIndem_Q12412 tf_Restructuring &amp; Separation_Guidance_P&amp;L Rec Qtr" xfId="6481" xr:uid="{00000000-0005-0000-0000-000050190000}"/>
    <cellStyle name="_MOR - BDWY - 1+11_MOR - Gurgaon - 3+9(R)_MOR - Revised Package_~0039877_By Country Detail 1Q10 041410pm FIN 18 revised per disc w Mary_BS_Separation_TaxResIndem_Q12412 tf_Restructuring &amp; Separation_Guidance_Sheet1" xfId="6482" xr:uid="{00000000-0005-0000-0000-000051190000}"/>
    <cellStyle name="_MOR - BDWY - 1+11_MOR - Gurgaon - 3+9(R)_MOR - Revised Package_~0039877_By Country Detail 1Q10 041410pm FIN 18 revised per disc w Mary_BS_Separation_TaxResIndem_Q12412 tf_Restructuring &amp; Separation_Guidance_Sheet2" xfId="6483" xr:uid="{00000000-0005-0000-0000-000052190000}"/>
    <cellStyle name="_MOR - BDWY - 1+11_MOR - Gurgaon - 3+9(R)_MOR - Revised Package_~0039877_By Country Detail 1Q10 041410pm FIN 18 revised per disc w Mary_BS_Separation_TaxResIndem_Q12412 tf_Restructuring &amp; Separation_Guidance_Sheet3" xfId="6484" xr:uid="{00000000-0005-0000-0000-000053190000}"/>
    <cellStyle name="_MOR - BDWY - 1+11_MOR - Gurgaon - 3+9(R)_MOR - Revised Package_~0039877_By Country Detail 1Q10 041410pm FIN 18 revised per disc w Mary_BS_Separation_TaxResIndem_Q12412 tf_Restructuring &amp; Separation_Guidance_Sheet4" xfId="6485" xr:uid="{00000000-0005-0000-0000-000054190000}"/>
    <cellStyle name="_MOR - BDWY - 1+11_MOR - Gurgaon - 3+9(R)_MOR - Revised Package_~0039877_By Country Detail 1Q10 041410pm FIN 18 revised per disc w Mary_Guidance" xfId="6486" xr:uid="{00000000-0005-0000-0000-000055190000}"/>
    <cellStyle name="_MOR - BDWY - 1+11_MOR - Gurgaon - 3+9(R)_MOR - Revised Package_~0039877_By Country Detail 1Q10 041410pm FIN 18 revised per disc w Mary_Guidance 2" xfId="6487" xr:uid="{00000000-0005-0000-0000-000056190000}"/>
    <cellStyle name="_MOR - BDWY - 1+11_MOR - Gurgaon - 3+9(R)_MOR - Revised Package_~0039877_By Country Detail 1Q10 041410pm FIN 18 revised per disc w Mary_Guidance_BS retrieve" xfId="6488" xr:uid="{00000000-0005-0000-0000-000057190000}"/>
    <cellStyle name="_MOR - BDWY - 1+11_MOR - Gurgaon - 3+9(R)_MOR - Revised Package_~0039877_By Country Detail 1Q10 041410pm FIN 18 revised per disc w Mary_Guidance_Free CF" xfId="6489" xr:uid="{00000000-0005-0000-0000-000058190000}"/>
    <cellStyle name="_MOR - BDWY - 1+11_MOR - Gurgaon - 3+9(R)_MOR - Revised Package_~0039877_By Country Detail 1Q10 041410pm FIN 18 revised per disc w Mary_Guidance_P&amp;L Rec Qtr" xfId="6490" xr:uid="{00000000-0005-0000-0000-000059190000}"/>
    <cellStyle name="_MOR - BDWY - 1+11_MOR - Gurgaon - 3+9(R)_MOR - Revised Package_~0039877_By Country Detail 1Q10 041410pm FIN 18 revised per disc w Mary_Guidance_Sheet1" xfId="6491" xr:uid="{00000000-0005-0000-0000-00005A190000}"/>
    <cellStyle name="_MOR - BDWY - 1+11_MOR - Gurgaon - 3+9(R)_MOR - Revised Package_~0039877_By Country Detail 1Q10 041410pm FIN 18 revised per disc w Mary_Guidance_Sheet2" xfId="6492" xr:uid="{00000000-0005-0000-0000-00005B190000}"/>
    <cellStyle name="_MOR - BDWY - 1+11_MOR - Gurgaon - 3+9(R)_MOR - Revised Package_~0039877_By Country Detail 1Q10 041410pm FIN 18 revised per disc w Mary_Guidance_Sheet3" xfId="6493" xr:uid="{00000000-0005-0000-0000-00005C190000}"/>
    <cellStyle name="_MOR - BDWY - 1+11_MOR - Gurgaon - 3+9(R)_MOR - Revised Package_~0039877_By Country Detail 1Q10 041410pm FIN 18 revised per disc w Mary_Guidance_Sheet4" xfId="6494" xr:uid="{00000000-0005-0000-0000-00005D190000}"/>
    <cellStyle name="_MOR - BDWY - 1+11_MOR - Gurgaon - 3+9(R)_MOR - Revised Package_~0039877_By Country Detail 1Q10 041410pm FIN 18 revised per disc w Mary_II.8. Sep&amp;Discrete" xfId="6495" xr:uid="{00000000-0005-0000-0000-00005E190000}"/>
    <cellStyle name="_MOR - BDWY - 1+11_MOR - Gurgaon - 3+9(R)_MOR - Revised Package_~0039877_By Country Detail 1Q10 041410pm FIN 18 revised per disc w Mary_II.8. Sep&amp;Discrete_Guidance" xfId="6496" xr:uid="{00000000-0005-0000-0000-00005F190000}"/>
    <cellStyle name="_MOR - BDWY - 1+11_MOR - Gurgaon - 3+9(R)_MOR - Revised Package_~0039877_By Country Detail 1Q10 041410pm FIN 18 revised per disc w Mary_II.8. Sep&amp;Discrete_Guidance 2" xfId="6497" xr:uid="{00000000-0005-0000-0000-000060190000}"/>
    <cellStyle name="_MOR - BDWY - 1+11_MOR - Gurgaon - 3+9(R)_MOR - Revised Package_~0039877_By Country Detail 1Q10 041410pm FIN 18 revised per disc w Mary_II.8. Sep&amp;Discrete_Guidance_BS retrieve" xfId="6498" xr:uid="{00000000-0005-0000-0000-000061190000}"/>
    <cellStyle name="_MOR - BDWY - 1+11_MOR - Gurgaon - 3+9(R)_MOR - Revised Package_~0039877_By Country Detail 1Q10 041410pm FIN 18 revised per disc w Mary_II.8. Sep&amp;Discrete_Guidance_Free CF" xfId="6499" xr:uid="{00000000-0005-0000-0000-000062190000}"/>
    <cellStyle name="_MOR - BDWY - 1+11_MOR - Gurgaon - 3+9(R)_MOR - Revised Package_~0039877_By Country Detail 1Q10 041410pm FIN 18 revised per disc w Mary_II.8. Sep&amp;Discrete_Guidance_P&amp;L Rec Qtr" xfId="6500" xr:uid="{00000000-0005-0000-0000-000063190000}"/>
    <cellStyle name="_MOR - BDWY - 1+11_MOR - Gurgaon - 3+9(R)_MOR - Revised Package_~0039877_By Country Detail 1Q10 041410pm FIN 18 revised per disc w Mary_II.8. Sep&amp;Discrete_Guidance_Sheet1" xfId="6501" xr:uid="{00000000-0005-0000-0000-000064190000}"/>
    <cellStyle name="_MOR - BDWY - 1+11_MOR - Gurgaon - 3+9(R)_MOR - Revised Package_~0039877_By Country Detail 1Q10 041410pm FIN 18 revised per disc w Mary_II.8. Sep&amp;Discrete_Guidance_Sheet2" xfId="6502" xr:uid="{00000000-0005-0000-0000-000065190000}"/>
    <cellStyle name="_MOR - BDWY - 1+11_MOR - Gurgaon - 3+9(R)_MOR - Revised Package_~0039877_By Country Detail 1Q10 041410pm FIN 18 revised per disc w Mary_II.8. Sep&amp;Discrete_Guidance_Sheet3" xfId="6503" xr:uid="{00000000-0005-0000-0000-000066190000}"/>
    <cellStyle name="_MOR - BDWY - 1+11_MOR - Gurgaon - 3+9(R)_MOR - Revised Package_~0039877_By Country Detail 1Q10 041410pm FIN 18 revised per disc w Mary_II.8. Sep&amp;Discrete_Guidance_Sheet4" xfId="6504" xr:uid="{00000000-0005-0000-0000-000067190000}"/>
    <cellStyle name="_MOR - BDWY - 1+11_MOR - Gurgaon - 3+9(R)_MOR - Revised Package_~0039877_By Country Detail 1Q10 041410pm FIN 18 revised per disc w Mary_Restructuring &amp; Separation" xfId="6505" xr:uid="{00000000-0005-0000-0000-000068190000}"/>
    <cellStyle name="_MOR - BDWY - 1+11_MOR - Gurgaon - 3+9(R)_MOR - Revised Package_~0039877_By Country Detail 1Q10 041410pm FIN 18 revised per disc w Mary_Restructuring &amp; Separation_Guidance" xfId="6506" xr:uid="{00000000-0005-0000-0000-000069190000}"/>
    <cellStyle name="_MOR - BDWY - 1+11_MOR - Gurgaon - 3+9(R)_MOR - Revised Package_~0039877_By Country Detail 1Q10 041410pm FIN 18 revised per disc w Mary_Restructuring &amp; Separation_Guidance 2" xfId="6507" xr:uid="{00000000-0005-0000-0000-00006A190000}"/>
    <cellStyle name="_MOR - BDWY - 1+11_MOR - Gurgaon - 3+9(R)_MOR - Revised Package_~0039877_By Country Detail 1Q10 041410pm FIN 18 revised per disc w Mary_Restructuring &amp; Separation_Guidance_BS retrieve" xfId="6508" xr:uid="{00000000-0005-0000-0000-00006B190000}"/>
    <cellStyle name="_MOR - BDWY - 1+11_MOR - Gurgaon - 3+9(R)_MOR - Revised Package_~0039877_By Country Detail 1Q10 041410pm FIN 18 revised per disc w Mary_Restructuring &amp; Separation_Guidance_Free CF" xfId="6509" xr:uid="{00000000-0005-0000-0000-00006C190000}"/>
    <cellStyle name="_MOR - BDWY - 1+11_MOR - Gurgaon - 3+9(R)_MOR - Revised Package_~0039877_By Country Detail 1Q10 041410pm FIN 18 revised per disc w Mary_Restructuring &amp; Separation_Guidance_P&amp;L Rec Qtr" xfId="6510" xr:uid="{00000000-0005-0000-0000-00006D190000}"/>
    <cellStyle name="_MOR - BDWY - 1+11_MOR - Gurgaon - 3+9(R)_MOR - Revised Package_~0039877_By Country Detail 1Q10 041410pm FIN 18 revised per disc w Mary_Restructuring &amp; Separation_Guidance_Sheet1" xfId="6511" xr:uid="{00000000-0005-0000-0000-00006E190000}"/>
    <cellStyle name="_MOR - BDWY - 1+11_MOR - Gurgaon - 3+9(R)_MOR - Revised Package_~0039877_By Country Detail 1Q10 041410pm FIN 18 revised per disc w Mary_Restructuring &amp; Separation_Guidance_Sheet2" xfId="6512" xr:uid="{00000000-0005-0000-0000-00006F190000}"/>
    <cellStyle name="_MOR - BDWY - 1+11_MOR - Gurgaon - 3+9(R)_MOR - Revised Package_~0039877_By Country Detail 1Q10 041410pm FIN 18 revised per disc w Mary_Restructuring &amp; Separation_Guidance_Sheet3" xfId="6513" xr:uid="{00000000-0005-0000-0000-000070190000}"/>
    <cellStyle name="_MOR - BDWY - 1+11_MOR - Gurgaon - 3+9(R)_MOR - Revised Package_~0039877_By Country Detail 1Q10 041410pm FIN 18 revised per disc w Mary_Restructuring &amp; Separation_Guidance_Sheet4" xfId="6514" xr:uid="{00000000-0005-0000-0000-000071190000}"/>
    <cellStyle name="_MOR - BDWY - 1+11_MOR - Gurgaon - 3+9(R)_MOR - Revised Package_~0039877_Guidance" xfId="6515" xr:uid="{00000000-0005-0000-0000-000072190000}"/>
    <cellStyle name="_MOR - BDWY - 1+11_MOR - Gurgaon - 3+9(R)_MOR - Revised Package_~0039877_Guidance 2" xfId="6516" xr:uid="{00000000-0005-0000-0000-000073190000}"/>
    <cellStyle name="_MOR - BDWY - 1+11_MOR - Gurgaon - 3+9(R)_MOR - Revised Package_~0039877_Guidance_BS retrieve" xfId="6517" xr:uid="{00000000-0005-0000-0000-000074190000}"/>
    <cellStyle name="_MOR - BDWY - 1+11_MOR - Gurgaon - 3+9(R)_MOR - Revised Package_~0039877_Guidance_Free CF" xfId="6518" xr:uid="{00000000-0005-0000-0000-000075190000}"/>
    <cellStyle name="_MOR - BDWY - 1+11_MOR - Gurgaon - 3+9(R)_MOR - Revised Package_~0039877_Guidance_P&amp;L Rec Qtr" xfId="6519" xr:uid="{00000000-0005-0000-0000-000076190000}"/>
    <cellStyle name="_MOR - BDWY - 1+11_MOR - Gurgaon - 3+9(R)_MOR - Revised Package_~0039877_Guidance_Sheet1" xfId="6520" xr:uid="{00000000-0005-0000-0000-000077190000}"/>
    <cellStyle name="_MOR - BDWY - 1+11_MOR - Gurgaon - 3+9(R)_MOR - Revised Package_~0039877_Guidance_Sheet2" xfId="6521" xr:uid="{00000000-0005-0000-0000-000078190000}"/>
    <cellStyle name="_MOR - BDWY - 1+11_MOR - Gurgaon - 3+9(R)_MOR - Revised Package_~0039877_Guidance_Sheet3" xfId="6522" xr:uid="{00000000-0005-0000-0000-000079190000}"/>
    <cellStyle name="_MOR - BDWY - 1+11_MOR - Gurgaon - 3+9(R)_MOR - Revised Package_~0039877_Guidance_Sheet4" xfId="6523" xr:uid="{00000000-0005-0000-0000-00007A190000}"/>
    <cellStyle name="_MOR - BDWY - 1+11_MOR - Gurgaon - 3+9(R)_MOR - Revised Package_~0039877_II.4. RawMaterials" xfId="6524" xr:uid="{00000000-0005-0000-0000-00007B190000}"/>
    <cellStyle name="_MOR - BDWY - 1+11_MOR - Gurgaon - 3+9(R)_MOR - Revised Package_~0039877_II.4. RawMaterials 2" xfId="6525" xr:uid="{00000000-0005-0000-0000-00007C190000}"/>
    <cellStyle name="_MOR - BDWY - 1+11_MOR - Gurgaon - 3+9(R)_MOR - Revised Package_~0039877_II.4. RawMaterials_BS retrieve" xfId="6526" xr:uid="{00000000-0005-0000-0000-00007D190000}"/>
    <cellStyle name="_MOR - BDWY - 1+11_MOR - Gurgaon - 3+9(R)_MOR - Revised Package_~0039877_II.4. RawMaterials_Free CF" xfId="6527" xr:uid="{00000000-0005-0000-0000-00007E190000}"/>
    <cellStyle name="_MOR - BDWY - 1+11_MOR - Gurgaon - 3+9(R)_MOR - Revised Package_~0039877_II.4. RawMaterials_P&amp;L Rec Qtr" xfId="6528" xr:uid="{00000000-0005-0000-0000-00007F190000}"/>
    <cellStyle name="_MOR - BDWY - 1+11_MOR - Gurgaon - 3+9(R)_MOR - Revised Package_~0039877_II.4. RawMaterials_Sheet1" xfId="6529" xr:uid="{00000000-0005-0000-0000-000080190000}"/>
    <cellStyle name="_MOR - BDWY - 1+11_MOR - Gurgaon - 3+9(R)_MOR - Revised Package_~0039877_II.4. RawMaterials_Sheet2" xfId="6530" xr:uid="{00000000-0005-0000-0000-000081190000}"/>
    <cellStyle name="_MOR - BDWY - 1+11_MOR - Gurgaon - 3+9(R)_MOR - Revised Package_~0039877_II.4. RawMaterials_Sheet3" xfId="6531" xr:uid="{00000000-0005-0000-0000-000082190000}"/>
    <cellStyle name="_MOR - BDWY - 1+11_MOR - Gurgaon - 3+9(R)_MOR - Revised Package_~0039877_II.4. RawMaterials_Sheet4" xfId="6532" xr:uid="{00000000-0005-0000-0000-000083190000}"/>
    <cellStyle name="_MOR - BDWY - 1+11_MOR - Gurgaon - 3+9(R)_MOR - Revised Package_~0039877_II.5. RawMaterials" xfId="6533" xr:uid="{00000000-0005-0000-0000-000084190000}"/>
    <cellStyle name="_MOR - BDWY - 1+11_MOR - Gurgaon - 3+9(R)_MOR - Revised Package_~0039877_II.5. RawMaterials 2" xfId="6534" xr:uid="{00000000-0005-0000-0000-000085190000}"/>
    <cellStyle name="_MOR - BDWY - 1+11_MOR - Gurgaon - 3+9(R)_MOR - Revised Package_~0039877_II.5. RawMaterials_BS retrieve" xfId="6535" xr:uid="{00000000-0005-0000-0000-000086190000}"/>
    <cellStyle name="_MOR - BDWY - 1+11_MOR - Gurgaon - 3+9(R)_MOR - Revised Package_~0039877_II.5. RawMaterials_Free CF" xfId="6536" xr:uid="{00000000-0005-0000-0000-000087190000}"/>
    <cellStyle name="_MOR - BDWY - 1+11_MOR - Gurgaon - 3+9(R)_MOR - Revised Package_~0039877_II.5. RawMaterials_Guidance" xfId="6537" xr:uid="{00000000-0005-0000-0000-000088190000}"/>
    <cellStyle name="_MOR - BDWY - 1+11_MOR - Gurgaon - 3+9(R)_MOR - Revised Package_~0039877_II.5. RawMaterials_Guidance 2" xfId="6538" xr:uid="{00000000-0005-0000-0000-000089190000}"/>
    <cellStyle name="_MOR - BDWY - 1+11_MOR - Gurgaon - 3+9(R)_MOR - Revised Package_~0039877_II.5. RawMaterials_Guidance_BS retrieve" xfId="6539" xr:uid="{00000000-0005-0000-0000-00008A190000}"/>
    <cellStyle name="_MOR - BDWY - 1+11_MOR - Gurgaon - 3+9(R)_MOR - Revised Package_~0039877_II.5. RawMaterials_Guidance_Free CF" xfId="6540" xr:uid="{00000000-0005-0000-0000-00008B190000}"/>
    <cellStyle name="_MOR - BDWY - 1+11_MOR - Gurgaon - 3+9(R)_MOR - Revised Package_~0039877_II.5. RawMaterials_Guidance_P&amp;L Rec Qtr" xfId="6541" xr:uid="{00000000-0005-0000-0000-00008C190000}"/>
    <cellStyle name="_MOR - BDWY - 1+11_MOR - Gurgaon - 3+9(R)_MOR - Revised Package_~0039877_II.5. RawMaterials_Guidance_Sheet1" xfId="6542" xr:uid="{00000000-0005-0000-0000-00008D190000}"/>
    <cellStyle name="_MOR - BDWY - 1+11_MOR - Gurgaon - 3+9(R)_MOR - Revised Package_~0039877_II.5. RawMaterials_Guidance_Sheet2" xfId="6543" xr:uid="{00000000-0005-0000-0000-00008E190000}"/>
    <cellStyle name="_MOR - BDWY - 1+11_MOR - Gurgaon - 3+9(R)_MOR - Revised Package_~0039877_II.5. RawMaterials_Guidance_Sheet3" xfId="6544" xr:uid="{00000000-0005-0000-0000-00008F190000}"/>
    <cellStyle name="_MOR - BDWY - 1+11_MOR - Gurgaon - 3+9(R)_MOR - Revised Package_~0039877_II.5. RawMaterials_Guidance_Sheet4" xfId="6545" xr:uid="{00000000-0005-0000-0000-000090190000}"/>
    <cellStyle name="_MOR - BDWY - 1+11_MOR - Gurgaon - 3+9(R)_MOR - Revised Package_~0039877_II.5. RawMaterials_P&amp;L Rec Qtr" xfId="6546" xr:uid="{00000000-0005-0000-0000-000091190000}"/>
    <cellStyle name="_MOR - BDWY - 1+11_MOR - Gurgaon - 3+9(R)_MOR - Revised Package_~0039877_II.5. RawMaterials_Sheet1" xfId="6547" xr:uid="{00000000-0005-0000-0000-000092190000}"/>
    <cellStyle name="_MOR - BDWY - 1+11_MOR - Gurgaon - 3+9(R)_MOR - Revised Package_~0039877_II.5. RawMaterials_Sheet2" xfId="6548" xr:uid="{00000000-0005-0000-0000-000093190000}"/>
    <cellStyle name="_MOR - BDWY - 1+11_MOR - Gurgaon - 3+9(R)_MOR - Revised Package_~0039877_II.5. RawMaterials_Sheet3" xfId="6549" xr:uid="{00000000-0005-0000-0000-000094190000}"/>
    <cellStyle name="_MOR - BDWY - 1+11_MOR - Gurgaon - 3+9(R)_MOR - Revised Package_~0039877_II.5. RawMaterials_Sheet4" xfId="6550" xr:uid="{00000000-0005-0000-0000-000095190000}"/>
    <cellStyle name="_MOR - BDWY - 1+11_MOR - Gurgaon - 3+9(R)_MOR - Revised Package_~0039877_II.5. RM Volume Sensitivities" xfId="6551" xr:uid="{00000000-0005-0000-0000-000096190000}"/>
    <cellStyle name="_MOR - BDWY - 1+11_MOR - Gurgaon - 3+9(R)_MOR - Revised Package_~0039877_II.5. RM Volume Sensitivities 2" xfId="6552" xr:uid="{00000000-0005-0000-0000-000097190000}"/>
    <cellStyle name="_MOR - BDWY - 1+11_MOR - Gurgaon - 3+9(R)_MOR - Revised Package_~0039877_II.5. RM Volume Sensitivities_BS retrieve" xfId="6553" xr:uid="{00000000-0005-0000-0000-000098190000}"/>
    <cellStyle name="_MOR - BDWY - 1+11_MOR - Gurgaon - 3+9(R)_MOR - Revised Package_~0039877_II.5. RM Volume Sensitivities_Free CF" xfId="6554" xr:uid="{00000000-0005-0000-0000-000099190000}"/>
    <cellStyle name="_MOR - BDWY - 1+11_MOR - Gurgaon - 3+9(R)_MOR - Revised Package_~0039877_II.5. RM Volume Sensitivities_P&amp;L Rec Qtr" xfId="6555" xr:uid="{00000000-0005-0000-0000-00009A190000}"/>
    <cellStyle name="_MOR - BDWY - 1+11_MOR - Gurgaon - 3+9(R)_MOR - Revised Package_~0039877_II.5. RM Volume Sensitivities_Sheet1" xfId="6556" xr:uid="{00000000-0005-0000-0000-00009B190000}"/>
    <cellStyle name="_MOR - BDWY - 1+11_MOR - Gurgaon - 3+9(R)_MOR - Revised Package_~0039877_II.5. RM Volume Sensitivities_Sheet2" xfId="6557" xr:uid="{00000000-0005-0000-0000-00009C190000}"/>
    <cellStyle name="_MOR - BDWY - 1+11_MOR - Gurgaon - 3+9(R)_MOR - Revised Package_~0039877_II.5. RM Volume Sensitivities_Sheet3" xfId="6558" xr:uid="{00000000-0005-0000-0000-00009D190000}"/>
    <cellStyle name="_MOR - BDWY - 1+11_MOR - Gurgaon - 3+9(R)_MOR - Revised Package_~0039877_II.5. RM Volume Sensitivities_Sheet4" xfId="6559" xr:uid="{00000000-0005-0000-0000-00009E190000}"/>
    <cellStyle name="_MOR - BDWY - 1+11_MOR - Gurgaon - 3+9(R)_MOR - Revised Package_~0039877_II.8. Sep&amp;Discrete" xfId="6560" xr:uid="{00000000-0005-0000-0000-00009F190000}"/>
    <cellStyle name="_MOR - BDWY - 1+11_MOR - Gurgaon - 3+9(R)_MOR - Revised Package_~0039877_II.8. Sep&amp;Discrete_Guidance" xfId="6561" xr:uid="{00000000-0005-0000-0000-0000A0190000}"/>
    <cellStyle name="_MOR - BDWY - 1+11_MOR - Gurgaon - 3+9(R)_MOR - Revised Package_~0039877_II.8. Sep&amp;Discrete_Guidance 2" xfId="6562" xr:uid="{00000000-0005-0000-0000-0000A1190000}"/>
    <cellStyle name="_MOR - BDWY - 1+11_MOR - Gurgaon - 3+9(R)_MOR - Revised Package_~0039877_II.8. Sep&amp;Discrete_Guidance_BS retrieve" xfId="6563" xr:uid="{00000000-0005-0000-0000-0000A2190000}"/>
    <cellStyle name="_MOR - BDWY - 1+11_MOR - Gurgaon - 3+9(R)_MOR - Revised Package_~0039877_II.8. Sep&amp;Discrete_Guidance_Free CF" xfId="6564" xr:uid="{00000000-0005-0000-0000-0000A3190000}"/>
    <cellStyle name="_MOR - BDWY - 1+11_MOR - Gurgaon - 3+9(R)_MOR - Revised Package_~0039877_II.8. Sep&amp;Discrete_Guidance_P&amp;L Rec Qtr" xfId="6565" xr:uid="{00000000-0005-0000-0000-0000A4190000}"/>
    <cellStyle name="_MOR - BDWY - 1+11_MOR - Gurgaon - 3+9(R)_MOR - Revised Package_~0039877_II.8. Sep&amp;Discrete_Guidance_Sheet1" xfId="6566" xr:uid="{00000000-0005-0000-0000-0000A5190000}"/>
    <cellStyle name="_MOR - BDWY - 1+11_MOR - Gurgaon - 3+9(R)_MOR - Revised Package_~0039877_II.8. Sep&amp;Discrete_Guidance_Sheet2" xfId="6567" xr:uid="{00000000-0005-0000-0000-0000A6190000}"/>
    <cellStyle name="_MOR - BDWY - 1+11_MOR - Gurgaon - 3+9(R)_MOR - Revised Package_~0039877_II.8. Sep&amp;Discrete_Guidance_Sheet3" xfId="6568" xr:uid="{00000000-0005-0000-0000-0000A7190000}"/>
    <cellStyle name="_MOR - BDWY - 1+11_MOR - Gurgaon - 3+9(R)_MOR - Revised Package_~0039877_II.8. Sep&amp;Discrete_Guidance_Sheet4" xfId="6569" xr:uid="{00000000-0005-0000-0000-0000A8190000}"/>
    <cellStyle name="_MOR - BDWY - 1+11_MOR - Gurgaon - 3+9(R)_MOR - Revised Package_~0039877_Restructuring &amp; Separation" xfId="6570" xr:uid="{00000000-0005-0000-0000-0000A9190000}"/>
    <cellStyle name="_MOR - BDWY - 1+11_MOR - Gurgaon - 3+9(R)_MOR - Revised Package_~0039877_Restructuring &amp; Separation_Guidance" xfId="6571" xr:uid="{00000000-0005-0000-0000-0000AA190000}"/>
    <cellStyle name="_MOR - BDWY - 1+11_MOR - Gurgaon - 3+9(R)_MOR - Revised Package_~0039877_Restructuring &amp; Separation_Guidance 2" xfId="6572" xr:uid="{00000000-0005-0000-0000-0000AB190000}"/>
    <cellStyle name="_MOR - BDWY - 1+11_MOR - Gurgaon - 3+9(R)_MOR - Revised Package_~0039877_Restructuring &amp; Separation_Guidance_BS retrieve" xfId="6573" xr:uid="{00000000-0005-0000-0000-0000AC190000}"/>
    <cellStyle name="_MOR - BDWY - 1+11_MOR - Gurgaon - 3+9(R)_MOR - Revised Package_~0039877_Restructuring &amp; Separation_Guidance_Free CF" xfId="6574" xr:uid="{00000000-0005-0000-0000-0000AD190000}"/>
    <cellStyle name="_MOR - BDWY - 1+11_MOR - Gurgaon - 3+9(R)_MOR - Revised Package_~0039877_Restructuring &amp; Separation_Guidance_P&amp;L Rec Qtr" xfId="6575" xr:uid="{00000000-0005-0000-0000-0000AE190000}"/>
    <cellStyle name="_MOR - BDWY - 1+11_MOR - Gurgaon - 3+9(R)_MOR - Revised Package_~0039877_Restructuring &amp; Separation_Guidance_Sheet1" xfId="6576" xr:uid="{00000000-0005-0000-0000-0000AF190000}"/>
    <cellStyle name="_MOR - BDWY - 1+11_MOR - Gurgaon - 3+9(R)_MOR - Revised Package_~0039877_Restructuring &amp; Separation_Guidance_Sheet2" xfId="6577" xr:uid="{00000000-0005-0000-0000-0000B0190000}"/>
    <cellStyle name="_MOR - BDWY - 1+11_MOR - Gurgaon - 3+9(R)_MOR - Revised Package_~0039877_Restructuring &amp; Separation_Guidance_Sheet3" xfId="6578" xr:uid="{00000000-0005-0000-0000-0000B1190000}"/>
    <cellStyle name="_MOR - BDWY - 1+11_MOR - Gurgaon - 3+9(R)_MOR - Revised Package_~0039877_Restructuring &amp; Separation_Guidance_Sheet4" xfId="6579" xr:uid="{00000000-0005-0000-0000-0000B2190000}"/>
    <cellStyle name="_MOR - BDWY - 1+11_MOR - Gurgaon - 3+9(R)_MOR - Revised Package_~0039877_Restructuring_Separation_TAX_JuneFC2010 tf" xfId="6580" xr:uid="{00000000-0005-0000-0000-0000B3190000}"/>
    <cellStyle name="_MOR - BDWY - 1+11_MOR - Gurgaon - 3+9(R)_MOR - Revised Package_~0039877_Restructuring_Separation_TAX_JuneFC2010 tf_BS_Separation_TaxResIndem_Q12412 tf" xfId="6581" xr:uid="{00000000-0005-0000-0000-0000B4190000}"/>
    <cellStyle name="_MOR - BDWY - 1+11_MOR - Gurgaon - 3+9(R)_MOR - Revised Package_~0039877_Restructuring_Separation_TAX_JuneFC2010 tf_BS_Separation_TaxResIndem_Q12412 tf_Guidance" xfId="6582" xr:uid="{00000000-0005-0000-0000-0000B5190000}"/>
    <cellStyle name="_MOR - BDWY - 1+11_MOR - Gurgaon - 3+9(R)_MOR - Revised Package_~0039877_Restructuring_Separation_TAX_JuneFC2010 tf_BS_Separation_TaxResIndem_Q12412 tf_Guidance 2" xfId="6583" xr:uid="{00000000-0005-0000-0000-0000B6190000}"/>
    <cellStyle name="_MOR - BDWY - 1+11_MOR - Gurgaon - 3+9(R)_MOR - Revised Package_~0039877_Restructuring_Separation_TAX_JuneFC2010 tf_BS_Separation_TaxResIndem_Q12412 tf_Guidance_BS retrieve" xfId="6584" xr:uid="{00000000-0005-0000-0000-0000B7190000}"/>
    <cellStyle name="_MOR - BDWY - 1+11_MOR - Gurgaon - 3+9(R)_MOR - Revised Package_~0039877_Restructuring_Separation_TAX_JuneFC2010 tf_BS_Separation_TaxResIndem_Q12412 tf_Guidance_Free CF" xfId="6585" xr:uid="{00000000-0005-0000-0000-0000B8190000}"/>
    <cellStyle name="_MOR - BDWY - 1+11_MOR - Gurgaon - 3+9(R)_MOR - Revised Package_~0039877_Restructuring_Separation_TAX_JuneFC2010 tf_BS_Separation_TaxResIndem_Q12412 tf_Guidance_P&amp;L Rec Qtr" xfId="6586" xr:uid="{00000000-0005-0000-0000-0000B9190000}"/>
    <cellStyle name="_MOR - BDWY - 1+11_MOR - Gurgaon - 3+9(R)_MOR - Revised Package_~0039877_Restructuring_Separation_TAX_JuneFC2010 tf_BS_Separation_TaxResIndem_Q12412 tf_Guidance_Sheet1" xfId="6587" xr:uid="{00000000-0005-0000-0000-0000BA190000}"/>
    <cellStyle name="_MOR - BDWY - 1+11_MOR - Gurgaon - 3+9(R)_MOR - Revised Package_~0039877_Restructuring_Separation_TAX_JuneFC2010 tf_BS_Separation_TaxResIndem_Q12412 tf_Guidance_Sheet2" xfId="6588" xr:uid="{00000000-0005-0000-0000-0000BB190000}"/>
    <cellStyle name="_MOR - BDWY - 1+11_MOR - Gurgaon - 3+9(R)_MOR - Revised Package_~0039877_Restructuring_Separation_TAX_JuneFC2010 tf_BS_Separation_TaxResIndem_Q12412 tf_Guidance_Sheet3" xfId="6589" xr:uid="{00000000-0005-0000-0000-0000BC190000}"/>
    <cellStyle name="_MOR - BDWY - 1+11_MOR - Gurgaon - 3+9(R)_MOR - Revised Package_~0039877_Restructuring_Separation_TAX_JuneFC2010 tf_BS_Separation_TaxResIndem_Q12412 tf_Guidance_Sheet4" xfId="6590" xr:uid="{00000000-0005-0000-0000-0000BD190000}"/>
    <cellStyle name="_MOR - BDWY - 1+11_MOR - Gurgaon - 3+9(R)_MOR - Revised Package_~0039877_Restructuring_Separation_TAX_JuneFC2010 tf_BS_Separation_TaxResIndem_Q12412 tf_Restructuring &amp; Separation" xfId="6591" xr:uid="{00000000-0005-0000-0000-0000BE190000}"/>
    <cellStyle name="_MOR - BDWY - 1+11_MOR - Gurgaon - 3+9(R)_MOR - Revised Package_~0039877_Restructuring_Separation_TAX_JuneFC2010 tf_BS_Separation_TaxResIndem_Q12412 tf_Restructuring &amp; Separation_Guidance" xfId="6592" xr:uid="{00000000-0005-0000-0000-0000BF190000}"/>
    <cellStyle name="_MOR - BDWY - 1+11_MOR - Gurgaon - 3+9(R)_MOR - Revised Package_~0039877_Restructuring_Separation_TAX_JuneFC2010 tf_BS_Separation_TaxResIndem_Q12412 tf_Restructuring &amp; Separation_Guidance 2" xfId="6593" xr:uid="{00000000-0005-0000-0000-0000C0190000}"/>
    <cellStyle name="_MOR - BDWY - 1+11_MOR - Gurgaon - 3+9(R)_MOR - Revised Package_~0039877_Restructuring_Separation_TAX_JuneFC2010 tf_BS_Separation_TaxResIndem_Q12412 tf_Restructuring &amp; Separation_Guidance_BS retrieve" xfId="6594" xr:uid="{00000000-0005-0000-0000-0000C1190000}"/>
    <cellStyle name="_MOR - BDWY - 1+11_MOR - Gurgaon - 3+9(R)_MOR - Revised Package_~0039877_Restructuring_Separation_TAX_JuneFC2010 tf_BS_Separation_TaxResIndem_Q12412 tf_Restructuring &amp; Separation_Guidance_Free CF" xfId="6595" xr:uid="{00000000-0005-0000-0000-0000C2190000}"/>
    <cellStyle name="_MOR - BDWY - 1+11_MOR - Gurgaon - 3+9(R)_MOR - Revised Package_~0039877_Restructuring_Separation_TAX_JuneFC2010 tf_BS_Separation_TaxResIndem_Q12412 tf_Restructuring &amp; Separation_Guidance_P&amp;L Rec Qtr" xfId="6596" xr:uid="{00000000-0005-0000-0000-0000C3190000}"/>
    <cellStyle name="_MOR - BDWY - 1+11_MOR - Gurgaon - 3+9(R)_MOR - Revised Package_~0039877_Restructuring_Separation_TAX_JuneFC2010 tf_BS_Separation_TaxResIndem_Q12412 tf_Restructuring &amp; Separation_Guidance_Sheet1" xfId="6597" xr:uid="{00000000-0005-0000-0000-0000C4190000}"/>
    <cellStyle name="_MOR - BDWY - 1+11_MOR - Gurgaon - 3+9(R)_MOR - Revised Package_~0039877_Restructuring_Separation_TAX_JuneFC2010 tf_BS_Separation_TaxResIndem_Q12412 tf_Restructuring &amp; Separation_Guidance_Sheet2" xfId="6598" xr:uid="{00000000-0005-0000-0000-0000C5190000}"/>
    <cellStyle name="_MOR - BDWY - 1+11_MOR - Gurgaon - 3+9(R)_MOR - Revised Package_~0039877_Restructuring_Separation_TAX_JuneFC2010 tf_BS_Separation_TaxResIndem_Q12412 tf_Restructuring &amp; Separation_Guidance_Sheet3" xfId="6599" xr:uid="{00000000-0005-0000-0000-0000C6190000}"/>
    <cellStyle name="_MOR - BDWY - 1+11_MOR - Gurgaon - 3+9(R)_MOR - Revised Package_~0039877_Restructuring_Separation_TAX_JuneFC2010 tf_BS_Separation_TaxResIndem_Q12412 tf_Restructuring &amp; Separation_Guidance_Sheet4" xfId="6600" xr:uid="{00000000-0005-0000-0000-0000C7190000}"/>
    <cellStyle name="_MOR - BDWY - 1+11_MOR - Gurgaon - 3+9(R)_MOR - Revised Package_~0039877_Restructuring_Separation_TAX_JuneFC2010 tf_Guidance" xfId="6601" xr:uid="{00000000-0005-0000-0000-0000C8190000}"/>
    <cellStyle name="_MOR - BDWY - 1+11_MOR - Gurgaon - 3+9(R)_MOR - Revised Package_~0039877_Restructuring_Separation_TAX_JuneFC2010 tf_Guidance 2" xfId="6602" xr:uid="{00000000-0005-0000-0000-0000C9190000}"/>
    <cellStyle name="_MOR - BDWY - 1+11_MOR - Gurgaon - 3+9(R)_MOR - Revised Package_~0039877_Restructuring_Separation_TAX_JuneFC2010 tf_Guidance_BS retrieve" xfId="6603" xr:uid="{00000000-0005-0000-0000-0000CA190000}"/>
    <cellStyle name="_MOR - BDWY - 1+11_MOR - Gurgaon - 3+9(R)_MOR - Revised Package_~0039877_Restructuring_Separation_TAX_JuneFC2010 tf_Guidance_Free CF" xfId="6604" xr:uid="{00000000-0005-0000-0000-0000CB190000}"/>
    <cellStyle name="_MOR - BDWY - 1+11_MOR - Gurgaon - 3+9(R)_MOR - Revised Package_~0039877_Restructuring_Separation_TAX_JuneFC2010 tf_Guidance_P&amp;L Rec Qtr" xfId="6605" xr:uid="{00000000-0005-0000-0000-0000CC190000}"/>
    <cellStyle name="_MOR - BDWY - 1+11_MOR - Gurgaon - 3+9(R)_MOR - Revised Package_~0039877_Restructuring_Separation_TAX_JuneFC2010 tf_Guidance_Sheet1" xfId="6606" xr:uid="{00000000-0005-0000-0000-0000CD190000}"/>
    <cellStyle name="_MOR - BDWY - 1+11_MOR - Gurgaon - 3+9(R)_MOR - Revised Package_~0039877_Restructuring_Separation_TAX_JuneFC2010 tf_Guidance_Sheet2" xfId="6607" xr:uid="{00000000-0005-0000-0000-0000CE190000}"/>
    <cellStyle name="_MOR - BDWY - 1+11_MOR - Gurgaon - 3+9(R)_MOR - Revised Package_~0039877_Restructuring_Separation_TAX_JuneFC2010 tf_Guidance_Sheet3" xfId="6608" xr:uid="{00000000-0005-0000-0000-0000CF190000}"/>
    <cellStyle name="_MOR - BDWY - 1+11_MOR - Gurgaon - 3+9(R)_MOR - Revised Package_~0039877_Restructuring_Separation_TAX_JuneFC2010 tf_Guidance_Sheet4" xfId="6609" xr:uid="{00000000-0005-0000-0000-0000D0190000}"/>
    <cellStyle name="_MOR - BDWY - 1+11_MOR - Gurgaon - 3+9(R)_MOR - Revised Package_~0039877_Restructuring_Separation_TAX_JuneFC2010 tf_II.8. Sep&amp;Discrete" xfId="6610" xr:uid="{00000000-0005-0000-0000-0000D1190000}"/>
    <cellStyle name="_MOR - BDWY - 1+11_MOR - Gurgaon - 3+9(R)_MOR - Revised Package_~0039877_Restructuring_Separation_TAX_JuneFC2010 tf_II.8. Sep&amp;Discrete_Guidance" xfId="6611" xr:uid="{00000000-0005-0000-0000-0000D2190000}"/>
    <cellStyle name="_MOR - BDWY - 1+11_MOR - Gurgaon - 3+9(R)_MOR - Revised Package_~0039877_Restructuring_Separation_TAX_JuneFC2010 tf_II.8. Sep&amp;Discrete_Guidance 2" xfId="6612" xr:uid="{00000000-0005-0000-0000-0000D3190000}"/>
    <cellStyle name="_MOR - BDWY - 1+11_MOR - Gurgaon - 3+9(R)_MOR - Revised Package_~0039877_Restructuring_Separation_TAX_JuneFC2010 tf_II.8. Sep&amp;Discrete_Guidance_BS retrieve" xfId="6613" xr:uid="{00000000-0005-0000-0000-0000D4190000}"/>
    <cellStyle name="_MOR - BDWY - 1+11_MOR - Gurgaon - 3+9(R)_MOR - Revised Package_~0039877_Restructuring_Separation_TAX_JuneFC2010 tf_II.8. Sep&amp;Discrete_Guidance_Free CF" xfId="6614" xr:uid="{00000000-0005-0000-0000-0000D5190000}"/>
    <cellStyle name="_MOR - BDWY - 1+11_MOR - Gurgaon - 3+9(R)_MOR - Revised Package_~0039877_Restructuring_Separation_TAX_JuneFC2010 tf_II.8. Sep&amp;Discrete_Guidance_P&amp;L Rec Qtr" xfId="6615" xr:uid="{00000000-0005-0000-0000-0000D6190000}"/>
    <cellStyle name="_MOR - BDWY - 1+11_MOR - Gurgaon - 3+9(R)_MOR - Revised Package_~0039877_Restructuring_Separation_TAX_JuneFC2010 tf_II.8. Sep&amp;Discrete_Guidance_Sheet1" xfId="6616" xr:uid="{00000000-0005-0000-0000-0000D7190000}"/>
    <cellStyle name="_MOR - BDWY - 1+11_MOR - Gurgaon - 3+9(R)_MOR - Revised Package_~0039877_Restructuring_Separation_TAX_JuneFC2010 tf_II.8. Sep&amp;Discrete_Guidance_Sheet2" xfId="6617" xr:uid="{00000000-0005-0000-0000-0000D8190000}"/>
    <cellStyle name="_MOR - BDWY - 1+11_MOR - Gurgaon - 3+9(R)_MOR - Revised Package_~0039877_Restructuring_Separation_TAX_JuneFC2010 tf_II.8. Sep&amp;Discrete_Guidance_Sheet3" xfId="6618" xr:uid="{00000000-0005-0000-0000-0000D9190000}"/>
    <cellStyle name="_MOR - BDWY - 1+11_MOR - Gurgaon - 3+9(R)_MOR - Revised Package_~0039877_Restructuring_Separation_TAX_JuneFC2010 tf_II.8. Sep&amp;Discrete_Guidance_Sheet4" xfId="6619" xr:uid="{00000000-0005-0000-0000-0000DA190000}"/>
    <cellStyle name="_MOR - BDWY - 1+11_MOR - Gurgaon - 3+9(R)_MOR - Revised Package_~0039877_Restructuring_Separation_TAX_JuneFC2010 tf_Restructuring &amp; Separation" xfId="6620" xr:uid="{00000000-0005-0000-0000-0000DB190000}"/>
    <cellStyle name="_MOR - BDWY - 1+11_MOR - Gurgaon - 3+9(R)_MOR - Revised Package_~0039877_Restructuring_Separation_TAX_JuneFC2010 tf_Restructuring &amp; Separation_Guidance" xfId="6621" xr:uid="{00000000-0005-0000-0000-0000DC190000}"/>
    <cellStyle name="_MOR - BDWY - 1+11_MOR - Gurgaon - 3+9(R)_MOR - Revised Package_~0039877_Restructuring_Separation_TAX_JuneFC2010 tf_Restructuring &amp; Separation_Guidance 2" xfId="6622" xr:uid="{00000000-0005-0000-0000-0000DD190000}"/>
    <cellStyle name="_MOR - BDWY - 1+11_MOR - Gurgaon - 3+9(R)_MOR - Revised Package_~0039877_Restructuring_Separation_TAX_JuneFC2010 tf_Restructuring &amp; Separation_Guidance_BS retrieve" xfId="6623" xr:uid="{00000000-0005-0000-0000-0000DE190000}"/>
    <cellStyle name="_MOR - BDWY - 1+11_MOR - Gurgaon - 3+9(R)_MOR - Revised Package_~0039877_Restructuring_Separation_TAX_JuneFC2010 tf_Restructuring &amp; Separation_Guidance_Free CF" xfId="6624" xr:uid="{00000000-0005-0000-0000-0000DF190000}"/>
    <cellStyle name="_MOR - BDWY - 1+11_MOR - Gurgaon - 3+9(R)_MOR - Revised Package_~0039877_Restructuring_Separation_TAX_JuneFC2010 tf_Restructuring &amp; Separation_Guidance_P&amp;L Rec Qtr" xfId="6625" xr:uid="{00000000-0005-0000-0000-0000E0190000}"/>
    <cellStyle name="_MOR - BDWY - 1+11_MOR - Gurgaon - 3+9(R)_MOR - Revised Package_~0039877_Restructuring_Separation_TAX_JuneFC2010 tf_Restructuring &amp; Separation_Guidance_Sheet1" xfId="6626" xr:uid="{00000000-0005-0000-0000-0000E1190000}"/>
    <cellStyle name="_MOR - BDWY - 1+11_MOR - Gurgaon - 3+9(R)_MOR - Revised Package_~0039877_Restructuring_Separation_TAX_JuneFC2010 tf_Restructuring &amp; Separation_Guidance_Sheet2" xfId="6627" xr:uid="{00000000-0005-0000-0000-0000E2190000}"/>
    <cellStyle name="_MOR - BDWY - 1+11_MOR - Gurgaon - 3+9(R)_MOR - Revised Package_~0039877_Restructuring_Separation_TAX_JuneFC2010 tf_Restructuring &amp; Separation_Guidance_Sheet3" xfId="6628" xr:uid="{00000000-0005-0000-0000-0000E3190000}"/>
    <cellStyle name="_MOR - BDWY - 1+11_MOR - Gurgaon - 3+9(R)_MOR - Revised Package_~0039877_Restructuring_Separation_TAX_JuneFC2010 tf_Restructuring &amp; Separation_Guidance_Sheet4" xfId="6629" xr:uid="{00000000-0005-0000-0000-0000E4190000}"/>
    <cellStyle name="_MOR - BDWY - 1+11_MOR - Gurgaon - 3+9(R)_MOR - Revised Package_BS_Separation_TaxResIndem_Q12412 tf" xfId="6630" xr:uid="{00000000-0005-0000-0000-0000E5190000}"/>
    <cellStyle name="_MOR - BDWY - 1+11_MOR - Gurgaon - 3+9(R)_MOR - Revised Package_BS_Separation_TaxResIndem_Q12412 tf_Guidance" xfId="6631" xr:uid="{00000000-0005-0000-0000-0000E6190000}"/>
    <cellStyle name="_MOR - BDWY - 1+11_MOR - Gurgaon - 3+9(R)_MOR - Revised Package_BS_Separation_TaxResIndem_Q12412 tf_Guidance 2" xfId="6632" xr:uid="{00000000-0005-0000-0000-0000E7190000}"/>
    <cellStyle name="_MOR - BDWY - 1+11_MOR - Gurgaon - 3+9(R)_MOR - Revised Package_BS_Separation_TaxResIndem_Q12412 tf_Guidance_BS retrieve" xfId="6633" xr:uid="{00000000-0005-0000-0000-0000E8190000}"/>
    <cellStyle name="_MOR - BDWY - 1+11_MOR - Gurgaon - 3+9(R)_MOR - Revised Package_BS_Separation_TaxResIndem_Q12412 tf_Guidance_Free CF" xfId="6634" xr:uid="{00000000-0005-0000-0000-0000E9190000}"/>
    <cellStyle name="_MOR - BDWY - 1+11_MOR - Gurgaon - 3+9(R)_MOR - Revised Package_BS_Separation_TaxResIndem_Q12412 tf_Guidance_P&amp;L Rec Qtr" xfId="6635" xr:uid="{00000000-0005-0000-0000-0000EA190000}"/>
    <cellStyle name="_MOR - BDWY - 1+11_MOR - Gurgaon - 3+9(R)_MOR - Revised Package_BS_Separation_TaxResIndem_Q12412 tf_Guidance_Sheet1" xfId="6636" xr:uid="{00000000-0005-0000-0000-0000EB190000}"/>
    <cellStyle name="_MOR - BDWY - 1+11_MOR - Gurgaon - 3+9(R)_MOR - Revised Package_BS_Separation_TaxResIndem_Q12412 tf_Guidance_Sheet2" xfId="6637" xr:uid="{00000000-0005-0000-0000-0000EC190000}"/>
    <cellStyle name="_MOR - BDWY - 1+11_MOR - Gurgaon - 3+9(R)_MOR - Revised Package_BS_Separation_TaxResIndem_Q12412 tf_Guidance_Sheet3" xfId="6638" xr:uid="{00000000-0005-0000-0000-0000ED190000}"/>
    <cellStyle name="_MOR - BDWY - 1+11_MOR - Gurgaon - 3+9(R)_MOR - Revised Package_BS_Separation_TaxResIndem_Q12412 tf_Guidance_Sheet4" xfId="6639" xr:uid="{00000000-0005-0000-0000-0000EE190000}"/>
    <cellStyle name="_MOR - BDWY - 1+11_MOR - Gurgaon - 3+9(R)_MOR - Revised Package_BS_Separation_TaxResIndem_Q12412 tf_Restructuring &amp; Separation" xfId="6640" xr:uid="{00000000-0005-0000-0000-0000EF190000}"/>
    <cellStyle name="_MOR - BDWY - 1+11_MOR - Gurgaon - 3+9(R)_MOR - Revised Package_BS_Separation_TaxResIndem_Q12412 tf_Restructuring &amp; Separation_Guidance" xfId="6641" xr:uid="{00000000-0005-0000-0000-0000F0190000}"/>
    <cellStyle name="_MOR - BDWY - 1+11_MOR - Gurgaon - 3+9(R)_MOR - Revised Package_BS_Separation_TaxResIndem_Q12412 tf_Restructuring &amp; Separation_Guidance 2" xfId="6642" xr:uid="{00000000-0005-0000-0000-0000F1190000}"/>
    <cellStyle name="_MOR - BDWY - 1+11_MOR - Gurgaon - 3+9(R)_MOR - Revised Package_BS_Separation_TaxResIndem_Q12412 tf_Restructuring &amp; Separation_Guidance_BS retrieve" xfId="6643" xr:uid="{00000000-0005-0000-0000-0000F2190000}"/>
    <cellStyle name="_MOR - BDWY - 1+11_MOR - Gurgaon - 3+9(R)_MOR - Revised Package_BS_Separation_TaxResIndem_Q12412 tf_Restructuring &amp; Separation_Guidance_Free CF" xfId="6644" xr:uid="{00000000-0005-0000-0000-0000F3190000}"/>
    <cellStyle name="_MOR - BDWY - 1+11_MOR - Gurgaon - 3+9(R)_MOR - Revised Package_BS_Separation_TaxResIndem_Q12412 tf_Restructuring &amp; Separation_Guidance_P&amp;L Rec Qtr" xfId="6645" xr:uid="{00000000-0005-0000-0000-0000F4190000}"/>
    <cellStyle name="_MOR - BDWY - 1+11_MOR - Gurgaon - 3+9(R)_MOR - Revised Package_BS_Separation_TaxResIndem_Q12412 tf_Restructuring &amp; Separation_Guidance_Sheet1" xfId="6646" xr:uid="{00000000-0005-0000-0000-0000F5190000}"/>
    <cellStyle name="_MOR - BDWY - 1+11_MOR - Gurgaon - 3+9(R)_MOR - Revised Package_BS_Separation_TaxResIndem_Q12412 tf_Restructuring &amp; Separation_Guidance_Sheet2" xfId="6647" xr:uid="{00000000-0005-0000-0000-0000F6190000}"/>
    <cellStyle name="_MOR - BDWY - 1+11_MOR - Gurgaon - 3+9(R)_MOR - Revised Package_BS_Separation_TaxResIndem_Q12412 tf_Restructuring &amp; Separation_Guidance_Sheet3" xfId="6648" xr:uid="{00000000-0005-0000-0000-0000F7190000}"/>
    <cellStyle name="_MOR - BDWY - 1+11_MOR - Gurgaon - 3+9(R)_MOR - Revised Package_BS_Separation_TaxResIndem_Q12412 tf_Restructuring &amp; Separation_Guidance_Sheet4" xfId="6649" xr:uid="{00000000-0005-0000-0000-0000F8190000}"/>
    <cellStyle name="_MOR - BDWY - 1+11_MOR - Gurgaon - 3+9(R)_MOR - Revised Package_By Country Detail 1Q10 041410pm FIN 18 revised per disc w Mary" xfId="6650" xr:uid="{00000000-0005-0000-0000-0000F9190000}"/>
    <cellStyle name="_MOR - BDWY - 1+11_MOR - Gurgaon - 3+9(R)_MOR - Revised Package_By Country Detail 1Q10 041410pm FIN 18 revised per disc w Mary_BS_Separation_TaxResIndem_Q12412 tf" xfId="6651" xr:uid="{00000000-0005-0000-0000-0000FA190000}"/>
    <cellStyle name="_MOR - BDWY - 1+11_MOR - Gurgaon - 3+9(R)_MOR - Revised Package_By Country Detail 1Q10 041410pm FIN 18 revised per disc w Mary_BS_Separation_TaxResIndem_Q12412 tf_Guidance" xfId="6652" xr:uid="{00000000-0005-0000-0000-0000FB190000}"/>
    <cellStyle name="_MOR - BDWY - 1+11_MOR - Gurgaon - 3+9(R)_MOR - Revised Package_By Country Detail 1Q10 041410pm FIN 18 revised per disc w Mary_BS_Separation_TaxResIndem_Q12412 tf_Guidance 2" xfId="6653" xr:uid="{00000000-0005-0000-0000-0000FC190000}"/>
    <cellStyle name="_MOR - BDWY - 1+11_MOR - Gurgaon - 3+9(R)_MOR - Revised Package_By Country Detail 1Q10 041410pm FIN 18 revised per disc w Mary_BS_Separation_TaxResIndem_Q12412 tf_Guidance_BS retrieve" xfId="6654" xr:uid="{00000000-0005-0000-0000-0000FD190000}"/>
    <cellStyle name="_MOR - BDWY - 1+11_MOR - Gurgaon - 3+9(R)_MOR - Revised Package_By Country Detail 1Q10 041410pm FIN 18 revised per disc w Mary_BS_Separation_TaxResIndem_Q12412 tf_Guidance_Free CF" xfId="6655" xr:uid="{00000000-0005-0000-0000-0000FE190000}"/>
    <cellStyle name="_MOR - BDWY - 1+11_MOR - Gurgaon - 3+9(R)_MOR - Revised Package_By Country Detail 1Q10 041410pm FIN 18 revised per disc w Mary_BS_Separation_TaxResIndem_Q12412 tf_Guidance_P&amp;L Rec Qtr" xfId="6656" xr:uid="{00000000-0005-0000-0000-0000FF190000}"/>
    <cellStyle name="_MOR - BDWY - 1+11_MOR - Gurgaon - 3+9(R)_MOR - Revised Package_By Country Detail 1Q10 041410pm FIN 18 revised per disc w Mary_BS_Separation_TaxResIndem_Q12412 tf_Guidance_Sheet1" xfId="6657" xr:uid="{00000000-0005-0000-0000-0000001A0000}"/>
    <cellStyle name="_MOR - BDWY - 1+11_MOR - Gurgaon - 3+9(R)_MOR - Revised Package_By Country Detail 1Q10 041410pm FIN 18 revised per disc w Mary_BS_Separation_TaxResIndem_Q12412 tf_Guidance_Sheet2" xfId="6658" xr:uid="{00000000-0005-0000-0000-0000011A0000}"/>
    <cellStyle name="_MOR - BDWY - 1+11_MOR - Gurgaon - 3+9(R)_MOR - Revised Package_By Country Detail 1Q10 041410pm FIN 18 revised per disc w Mary_BS_Separation_TaxResIndem_Q12412 tf_Guidance_Sheet3" xfId="6659" xr:uid="{00000000-0005-0000-0000-0000021A0000}"/>
    <cellStyle name="_MOR - BDWY - 1+11_MOR - Gurgaon - 3+9(R)_MOR - Revised Package_By Country Detail 1Q10 041410pm FIN 18 revised per disc w Mary_BS_Separation_TaxResIndem_Q12412 tf_Guidance_Sheet4" xfId="6660" xr:uid="{00000000-0005-0000-0000-0000031A0000}"/>
    <cellStyle name="_MOR - BDWY - 1+11_MOR - Gurgaon - 3+9(R)_MOR - Revised Package_By Country Detail 1Q10 041410pm FIN 18 revised per disc w Mary_BS_Separation_TaxResIndem_Q12412 tf_Restructuring &amp; Separation" xfId="6661" xr:uid="{00000000-0005-0000-0000-0000041A0000}"/>
    <cellStyle name="_MOR - BDWY - 1+11_MOR - Gurgaon - 3+9(R)_MOR - Revised Package_By Country Detail 1Q10 041410pm FIN 18 revised per disc w Mary_BS_Separation_TaxResIndem_Q12412 tf_Restructuring &amp; Separation_Guidance" xfId="6662" xr:uid="{00000000-0005-0000-0000-0000051A0000}"/>
    <cellStyle name="_MOR - BDWY - 1+11_MOR - Gurgaon - 3+9(R)_MOR - Revised Package_By Country Detail 1Q10 041410pm FIN 18 revised per disc w Mary_BS_Separation_TaxResIndem_Q12412 tf_Restructuring &amp; Separation_Guidance 2" xfId="6663" xr:uid="{00000000-0005-0000-0000-0000061A0000}"/>
    <cellStyle name="_MOR - BDWY - 1+11_MOR - Gurgaon - 3+9(R)_MOR - Revised Package_By Country Detail 1Q10 041410pm FIN 18 revised per disc w Mary_BS_Separation_TaxResIndem_Q12412 tf_Restructuring &amp; Separation_Guidance_BS retrieve" xfId="6664" xr:uid="{00000000-0005-0000-0000-0000071A0000}"/>
    <cellStyle name="_MOR - BDWY - 1+11_MOR - Gurgaon - 3+9(R)_MOR - Revised Package_By Country Detail 1Q10 041410pm FIN 18 revised per disc w Mary_BS_Separation_TaxResIndem_Q12412 tf_Restructuring &amp; Separation_Guidance_Free CF" xfId="6665" xr:uid="{00000000-0005-0000-0000-0000081A0000}"/>
    <cellStyle name="_MOR - BDWY - 1+11_MOR - Gurgaon - 3+9(R)_MOR - Revised Package_By Country Detail 1Q10 041410pm FIN 18 revised per disc w Mary_BS_Separation_TaxResIndem_Q12412 tf_Restructuring &amp; Separation_Guidance_P&amp;L Rec Qtr" xfId="6666" xr:uid="{00000000-0005-0000-0000-0000091A0000}"/>
    <cellStyle name="_MOR - BDWY - 1+11_MOR - Gurgaon - 3+9(R)_MOR - Revised Package_By Country Detail 1Q10 041410pm FIN 18 revised per disc w Mary_BS_Separation_TaxResIndem_Q12412 tf_Restructuring &amp; Separation_Guidance_Sheet1" xfId="6667" xr:uid="{00000000-0005-0000-0000-00000A1A0000}"/>
    <cellStyle name="_MOR - BDWY - 1+11_MOR - Gurgaon - 3+9(R)_MOR - Revised Package_By Country Detail 1Q10 041410pm FIN 18 revised per disc w Mary_BS_Separation_TaxResIndem_Q12412 tf_Restructuring &amp; Separation_Guidance_Sheet2" xfId="6668" xr:uid="{00000000-0005-0000-0000-00000B1A0000}"/>
    <cellStyle name="_MOR - BDWY - 1+11_MOR - Gurgaon - 3+9(R)_MOR - Revised Package_By Country Detail 1Q10 041410pm FIN 18 revised per disc w Mary_BS_Separation_TaxResIndem_Q12412 tf_Restructuring &amp; Separation_Guidance_Sheet3" xfId="6669" xr:uid="{00000000-0005-0000-0000-00000C1A0000}"/>
    <cellStyle name="_MOR - BDWY - 1+11_MOR - Gurgaon - 3+9(R)_MOR - Revised Package_By Country Detail 1Q10 041410pm FIN 18 revised per disc w Mary_BS_Separation_TaxResIndem_Q12412 tf_Restructuring &amp; Separation_Guidance_Sheet4" xfId="6670" xr:uid="{00000000-0005-0000-0000-00000D1A0000}"/>
    <cellStyle name="_MOR - BDWY - 1+11_MOR - Gurgaon - 3+9(R)_MOR - Revised Package_By Country Detail 1Q10 041410pm FIN 18 revised per disc w Mary_Guidance" xfId="6671" xr:uid="{00000000-0005-0000-0000-00000E1A0000}"/>
    <cellStyle name="_MOR - BDWY - 1+11_MOR - Gurgaon - 3+9(R)_MOR - Revised Package_By Country Detail 1Q10 041410pm FIN 18 revised per disc w Mary_Guidance 2" xfId="6672" xr:uid="{00000000-0005-0000-0000-00000F1A0000}"/>
    <cellStyle name="_MOR - BDWY - 1+11_MOR - Gurgaon - 3+9(R)_MOR - Revised Package_By Country Detail 1Q10 041410pm FIN 18 revised per disc w Mary_Guidance_BS retrieve" xfId="6673" xr:uid="{00000000-0005-0000-0000-0000101A0000}"/>
    <cellStyle name="_MOR - BDWY - 1+11_MOR - Gurgaon - 3+9(R)_MOR - Revised Package_By Country Detail 1Q10 041410pm FIN 18 revised per disc w Mary_Guidance_Free CF" xfId="6674" xr:uid="{00000000-0005-0000-0000-0000111A0000}"/>
    <cellStyle name="_MOR - BDWY - 1+11_MOR - Gurgaon - 3+9(R)_MOR - Revised Package_By Country Detail 1Q10 041410pm FIN 18 revised per disc w Mary_Guidance_P&amp;L Rec Qtr" xfId="6675" xr:uid="{00000000-0005-0000-0000-0000121A0000}"/>
    <cellStyle name="_MOR - BDWY - 1+11_MOR - Gurgaon - 3+9(R)_MOR - Revised Package_By Country Detail 1Q10 041410pm FIN 18 revised per disc w Mary_Guidance_Sheet1" xfId="6676" xr:uid="{00000000-0005-0000-0000-0000131A0000}"/>
    <cellStyle name="_MOR - BDWY - 1+11_MOR - Gurgaon - 3+9(R)_MOR - Revised Package_By Country Detail 1Q10 041410pm FIN 18 revised per disc w Mary_Guidance_Sheet2" xfId="6677" xr:uid="{00000000-0005-0000-0000-0000141A0000}"/>
    <cellStyle name="_MOR - BDWY - 1+11_MOR - Gurgaon - 3+9(R)_MOR - Revised Package_By Country Detail 1Q10 041410pm FIN 18 revised per disc w Mary_Guidance_Sheet3" xfId="6678" xr:uid="{00000000-0005-0000-0000-0000151A0000}"/>
    <cellStyle name="_MOR - BDWY - 1+11_MOR - Gurgaon - 3+9(R)_MOR - Revised Package_By Country Detail 1Q10 041410pm FIN 18 revised per disc w Mary_Guidance_Sheet4" xfId="6679" xr:uid="{00000000-0005-0000-0000-0000161A0000}"/>
    <cellStyle name="_MOR - BDWY - 1+11_MOR - Gurgaon - 3+9(R)_MOR - Revised Package_By Country Detail 1Q10 041410pm FIN 18 revised per disc w Mary_II.8. Sep&amp;Discrete" xfId="6680" xr:uid="{00000000-0005-0000-0000-0000171A0000}"/>
    <cellStyle name="_MOR - BDWY - 1+11_MOR - Gurgaon - 3+9(R)_MOR - Revised Package_By Country Detail 1Q10 041410pm FIN 18 revised per disc w Mary_II.8. Sep&amp;Discrete_Guidance" xfId="6681" xr:uid="{00000000-0005-0000-0000-0000181A0000}"/>
    <cellStyle name="_MOR - BDWY - 1+11_MOR - Gurgaon - 3+9(R)_MOR - Revised Package_By Country Detail 1Q10 041410pm FIN 18 revised per disc w Mary_II.8. Sep&amp;Discrete_Guidance 2" xfId="6682" xr:uid="{00000000-0005-0000-0000-0000191A0000}"/>
    <cellStyle name="_MOR - BDWY - 1+11_MOR - Gurgaon - 3+9(R)_MOR - Revised Package_By Country Detail 1Q10 041410pm FIN 18 revised per disc w Mary_II.8. Sep&amp;Discrete_Guidance_BS retrieve" xfId="6683" xr:uid="{00000000-0005-0000-0000-00001A1A0000}"/>
    <cellStyle name="_MOR - BDWY - 1+11_MOR - Gurgaon - 3+9(R)_MOR - Revised Package_By Country Detail 1Q10 041410pm FIN 18 revised per disc w Mary_II.8. Sep&amp;Discrete_Guidance_Free CF" xfId="6684" xr:uid="{00000000-0005-0000-0000-00001B1A0000}"/>
    <cellStyle name="_MOR - BDWY - 1+11_MOR - Gurgaon - 3+9(R)_MOR - Revised Package_By Country Detail 1Q10 041410pm FIN 18 revised per disc w Mary_II.8. Sep&amp;Discrete_Guidance_P&amp;L Rec Qtr" xfId="6685" xr:uid="{00000000-0005-0000-0000-00001C1A0000}"/>
    <cellStyle name="_MOR - BDWY - 1+11_MOR - Gurgaon - 3+9(R)_MOR - Revised Package_By Country Detail 1Q10 041410pm FIN 18 revised per disc w Mary_II.8. Sep&amp;Discrete_Guidance_Sheet1" xfId="6686" xr:uid="{00000000-0005-0000-0000-00001D1A0000}"/>
    <cellStyle name="_MOR - BDWY - 1+11_MOR - Gurgaon - 3+9(R)_MOR - Revised Package_By Country Detail 1Q10 041410pm FIN 18 revised per disc w Mary_II.8. Sep&amp;Discrete_Guidance_Sheet2" xfId="6687" xr:uid="{00000000-0005-0000-0000-00001E1A0000}"/>
    <cellStyle name="_MOR - BDWY - 1+11_MOR - Gurgaon - 3+9(R)_MOR - Revised Package_By Country Detail 1Q10 041410pm FIN 18 revised per disc w Mary_II.8. Sep&amp;Discrete_Guidance_Sheet3" xfId="6688" xr:uid="{00000000-0005-0000-0000-00001F1A0000}"/>
    <cellStyle name="_MOR - BDWY - 1+11_MOR - Gurgaon - 3+9(R)_MOR - Revised Package_By Country Detail 1Q10 041410pm FIN 18 revised per disc w Mary_II.8. Sep&amp;Discrete_Guidance_Sheet4" xfId="6689" xr:uid="{00000000-0005-0000-0000-0000201A0000}"/>
    <cellStyle name="_MOR - BDWY - 1+11_MOR - Gurgaon - 3+9(R)_MOR - Revised Package_By Country Detail 1Q10 041410pm FIN 18 revised per disc w Mary_Restructuring &amp; Separation" xfId="6690" xr:uid="{00000000-0005-0000-0000-0000211A0000}"/>
    <cellStyle name="_MOR - BDWY - 1+11_MOR - Gurgaon - 3+9(R)_MOR - Revised Package_By Country Detail 1Q10 041410pm FIN 18 revised per disc w Mary_Restructuring &amp; Separation_Guidance" xfId="6691" xr:uid="{00000000-0005-0000-0000-0000221A0000}"/>
    <cellStyle name="_MOR - BDWY - 1+11_MOR - Gurgaon - 3+9(R)_MOR - Revised Package_By Country Detail 1Q10 041410pm FIN 18 revised per disc w Mary_Restructuring &amp; Separation_Guidance 2" xfId="6692" xr:uid="{00000000-0005-0000-0000-0000231A0000}"/>
    <cellStyle name="_MOR - BDWY - 1+11_MOR - Gurgaon - 3+9(R)_MOR - Revised Package_By Country Detail 1Q10 041410pm FIN 18 revised per disc w Mary_Restructuring &amp; Separation_Guidance_BS retrieve" xfId="6693" xr:uid="{00000000-0005-0000-0000-0000241A0000}"/>
    <cellStyle name="_MOR - BDWY - 1+11_MOR - Gurgaon - 3+9(R)_MOR - Revised Package_By Country Detail 1Q10 041410pm FIN 18 revised per disc w Mary_Restructuring &amp; Separation_Guidance_Free CF" xfId="6694" xr:uid="{00000000-0005-0000-0000-0000251A0000}"/>
    <cellStyle name="_MOR - BDWY - 1+11_MOR - Gurgaon - 3+9(R)_MOR - Revised Package_By Country Detail 1Q10 041410pm FIN 18 revised per disc w Mary_Restructuring &amp; Separation_Guidance_P&amp;L Rec Qtr" xfId="6695" xr:uid="{00000000-0005-0000-0000-0000261A0000}"/>
    <cellStyle name="_MOR - BDWY - 1+11_MOR - Gurgaon - 3+9(R)_MOR - Revised Package_By Country Detail 1Q10 041410pm FIN 18 revised per disc w Mary_Restructuring &amp; Separation_Guidance_Sheet1" xfId="6696" xr:uid="{00000000-0005-0000-0000-0000271A0000}"/>
    <cellStyle name="_MOR - BDWY - 1+11_MOR - Gurgaon - 3+9(R)_MOR - Revised Package_By Country Detail 1Q10 041410pm FIN 18 revised per disc w Mary_Restructuring &amp; Separation_Guidance_Sheet2" xfId="6697" xr:uid="{00000000-0005-0000-0000-0000281A0000}"/>
    <cellStyle name="_MOR - BDWY - 1+11_MOR - Gurgaon - 3+9(R)_MOR - Revised Package_By Country Detail 1Q10 041410pm FIN 18 revised per disc w Mary_Restructuring &amp; Separation_Guidance_Sheet3" xfId="6698" xr:uid="{00000000-0005-0000-0000-0000291A0000}"/>
    <cellStyle name="_MOR - BDWY - 1+11_MOR - Gurgaon - 3+9(R)_MOR - Revised Package_By Country Detail 1Q10 041410pm FIN 18 revised per disc w Mary_Restructuring &amp; Separation_Guidance_Sheet4" xfId="6699" xr:uid="{00000000-0005-0000-0000-00002A1A0000}"/>
    <cellStyle name="_MOR - BDWY - 1+11_MOR - Gurgaon - 3+9(R)_MOR - Revised Package_Guidance" xfId="6700" xr:uid="{00000000-0005-0000-0000-00002B1A0000}"/>
    <cellStyle name="_MOR - BDWY - 1+11_MOR - Gurgaon - 3+9(R)_MOR - Revised Package_Guidance 2" xfId="6701" xr:uid="{00000000-0005-0000-0000-00002C1A0000}"/>
    <cellStyle name="_MOR - BDWY - 1+11_MOR - Gurgaon - 3+9(R)_MOR - Revised Package_Guidance_BS retrieve" xfId="6702" xr:uid="{00000000-0005-0000-0000-00002D1A0000}"/>
    <cellStyle name="_MOR - BDWY - 1+11_MOR - Gurgaon - 3+9(R)_MOR - Revised Package_Guidance_Free CF" xfId="6703" xr:uid="{00000000-0005-0000-0000-00002E1A0000}"/>
    <cellStyle name="_MOR - BDWY - 1+11_MOR - Gurgaon - 3+9(R)_MOR - Revised Package_Guidance_P&amp;L Rec Qtr" xfId="6704" xr:uid="{00000000-0005-0000-0000-00002F1A0000}"/>
    <cellStyle name="_MOR - BDWY - 1+11_MOR - Gurgaon - 3+9(R)_MOR - Revised Package_Guidance_Sheet1" xfId="6705" xr:uid="{00000000-0005-0000-0000-0000301A0000}"/>
    <cellStyle name="_MOR - BDWY - 1+11_MOR - Gurgaon - 3+9(R)_MOR - Revised Package_Guidance_Sheet2" xfId="6706" xr:uid="{00000000-0005-0000-0000-0000311A0000}"/>
    <cellStyle name="_MOR - BDWY - 1+11_MOR - Gurgaon - 3+9(R)_MOR - Revised Package_Guidance_Sheet3" xfId="6707" xr:uid="{00000000-0005-0000-0000-0000321A0000}"/>
    <cellStyle name="_MOR - BDWY - 1+11_MOR - Gurgaon - 3+9(R)_MOR - Revised Package_Guidance_Sheet4" xfId="6708" xr:uid="{00000000-0005-0000-0000-0000331A0000}"/>
    <cellStyle name="_MOR - BDWY - 1+11_MOR - Gurgaon - 3+9(R)_MOR - Revised Package_II.4. RawMaterials" xfId="6709" xr:uid="{00000000-0005-0000-0000-0000341A0000}"/>
    <cellStyle name="_MOR - BDWY - 1+11_MOR - Gurgaon - 3+9(R)_MOR - Revised Package_II.4. RawMaterials 2" xfId="6710" xr:uid="{00000000-0005-0000-0000-0000351A0000}"/>
    <cellStyle name="_MOR - BDWY - 1+11_MOR - Gurgaon - 3+9(R)_MOR - Revised Package_II.4. RawMaterials_BS retrieve" xfId="6711" xr:uid="{00000000-0005-0000-0000-0000361A0000}"/>
    <cellStyle name="_MOR - BDWY - 1+11_MOR - Gurgaon - 3+9(R)_MOR - Revised Package_II.4. RawMaterials_Free CF" xfId="6712" xr:uid="{00000000-0005-0000-0000-0000371A0000}"/>
    <cellStyle name="_MOR - BDWY - 1+11_MOR - Gurgaon - 3+9(R)_MOR - Revised Package_II.4. RawMaterials_P&amp;L Rec Qtr" xfId="6713" xr:uid="{00000000-0005-0000-0000-0000381A0000}"/>
    <cellStyle name="_MOR - BDWY - 1+11_MOR - Gurgaon - 3+9(R)_MOR - Revised Package_II.4. RawMaterials_Sheet1" xfId="6714" xr:uid="{00000000-0005-0000-0000-0000391A0000}"/>
    <cellStyle name="_MOR - BDWY - 1+11_MOR - Gurgaon - 3+9(R)_MOR - Revised Package_II.4. RawMaterials_Sheet2" xfId="6715" xr:uid="{00000000-0005-0000-0000-00003A1A0000}"/>
    <cellStyle name="_MOR - BDWY - 1+11_MOR - Gurgaon - 3+9(R)_MOR - Revised Package_II.4. RawMaterials_Sheet3" xfId="6716" xr:uid="{00000000-0005-0000-0000-00003B1A0000}"/>
    <cellStyle name="_MOR - BDWY - 1+11_MOR - Gurgaon - 3+9(R)_MOR - Revised Package_II.4. RawMaterials_Sheet4" xfId="6717" xr:uid="{00000000-0005-0000-0000-00003C1A0000}"/>
    <cellStyle name="_MOR - BDWY - 1+11_MOR - Gurgaon - 3+9(R)_MOR - Revised Package_II.5. RawMaterials" xfId="6718" xr:uid="{00000000-0005-0000-0000-00003D1A0000}"/>
    <cellStyle name="_MOR - BDWY - 1+11_MOR - Gurgaon - 3+9(R)_MOR - Revised Package_II.5. RawMaterials 2" xfId="6719" xr:uid="{00000000-0005-0000-0000-00003E1A0000}"/>
    <cellStyle name="_MOR - BDWY - 1+11_MOR - Gurgaon - 3+9(R)_MOR - Revised Package_II.5. RawMaterials_BS retrieve" xfId="6720" xr:uid="{00000000-0005-0000-0000-00003F1A0000}"/>
    <cellStyle name="_MOR - BDWY - 1+11_MOR - Gurgaon - 3+9(R)_MOR - Revised Package_II.5. RawMaterials_Free CF" xfId="6721" xr:uid="{00000000-0005-0000-0000-0000401A0000}"/>
    <cellStyle name="_MOR - BDWY - 1+11_MOR - Gurgaon - 3+9(R)_MOR - Revised Package_II.5. RawMaterials_Guidance" xfId="6722" xr:uid="{00000000-0005-0000-0000-0000411A0000}"/>
    <cellStyle name="_MOR - BDWY - 1+11_MOR - Gurgaon - 3+9(R)_MOR - Revised Package_II.5. RawMaterials_Guidance 2" xfId="6723" xr:uid="{00000000-0005-0000-0000-0000421A0000}"/>
    <cellStyle name="_MOR - BDWY - 1+11_MOR - Gurgaon - 3+9(R)_MOR - Revised Package_II.5. RawMaterials_Guidance_BS retrieve" xfId="6724" xr:uid="{00000000-0005-0000-0000-0000431A0000}"/>
    <cellStyle name="_MOR - BDWY - 1+11_MOR - Gurgaon - 3+9(R)_MOR - Revised Package_II.5. RawMaterials_Guidance_Free CF" xfId="6725" xr:uid="{00000000-0005-0000-0000-0000441A0000}"/>
    <cellStyle name="_MOR - BDWY - 1+11_MOR - Gurgaon - 3+9(R)_MOR - Revised Package_II.5. RawMaterials_Guidance_P&amp;L Rec Qtr" xfId="6726" xr:uid="{00000000-0005-0000-0000-0000451A0000}"/>
    <cellStyle name="_MOR - BDWY - 1+11_MOR - Gurgaon - 3+9(R)_MOR - Revised Package_II.5. RawMaterials_Guidance_Sheet1" xfId="6727" xr:uid="{00000000-0005-0000-0000-0000461A0000}"/>
    <cellStyle name="_MOR - BDWY - 1+11_MOR - Gurgaon - 3+9(R)_MOR - Revised Package_II.5. RawMaterials_Guidance_Sheet2" xfId="6728" xr:uid="{00000000-0005-0000-0000-0000471A0000}"/>
    <cellStyle name="_MOR - BDWY - 1+11_MOR - Gurgaon - 3+9(R)_MOR - Revised Package_II.5. RawMaterials_Guidance_Sheet3" xfId="6729" xr:uid="{00000000-0005-0000-0000-0000481A0000}"/>
    <cellStyle name="_MOR - BDWY - 1+11_MOR - Gurgaon - 3+9(R)_MOR - Revised Package_II.5. RawMaterials_Guidance_Sheet4" xfId="6730" xr:uid="{00000000-0005-0000-0000-0000491A0000}"/>
    <cellStyle name="_MOR - BDWY - 1+11_MOR - Gurgaon - 3+9(R)_MOR - Revised Package_II.5. RawMaterials_P&amp;L Rec Qtr" xfId="6731" xr:uid="{00000000-0005-0000-0000-00004A1A0000}"/>
    <cellStyle name="_MOR - BDWY - 1+11_MOR - Gurgaon - 3+9(R)_MOR - Revised Package_II.5. RawMaterials_Sheet1" xfId="6732" xr:uid="{00000000-0005-0000-0000-00004B1A0000}"/>
    <cellStyle name="_MOR - BDWY - 1+11_MOR - Gurgaon - 3+9(R)_MOR - Revised Package_II.5. RawMaterials_Sheet2" xfId="6733" xr:uid="{00000000-0005-0000-0000-00004C1A0000}"/>
    <cellStyle name="_MOR - BDWY - 1+11_MOR - Gurgaon - 3+9(R)_MOR - Revised Package_II.5. RawMaterials_Sheet3" xfId="6734" xr:uid="{00000000-0005-0000-0000-00004D1A0000}"/>
    <cellStyle name="_MOR - BDWY - 1+11_MOR - Gurgaon - 3+9(R)_MOR - Revised Package_II.5. RawMaterials_Sheet4" xfId="6735" xr:uid="{00000000-0005-0000-0000-00004E1A0000}"/>
    <cellStyle name="_MOR - BDWY - 1+11_MOR - Gurgaon - 3+9(R)_MOR - Revised Package_II.5. RM Volume Sensitivities" xfId="6736" xr:uid="{00000000-0005-0000-0000-00004F1A0000}"/>
    <cellStyle name="_MOR - BDWY - 1+11_MOR - Gurgaon - 3+9(R)_MOR - Revised Package_II.5. RM Volume Sensitivities 2" xfId="6737" xr:uid="{00000000-0005-0000-0000-0000501A0000}"/>
    <cellStyle name="_MOR - BDWY - 1+11_MOR - Gurgaon - 3+9(R)_MOR - Revised Package_II.5. RM Volume Sensitivities_BS retrieve" xfId="6738" xr:uid="{00000000-0005-0000-0000-0000511A0000}"/>
    <cellStyle name="_MOR - BDWY - 1+11_MOR - Gurgaon - 3+9(R)_MOR - Revised Package_II.5. RM Volume Sensitivities_Free CF" xfId="6739" xr:uid="{00000000-0005-0000-0000-0000521A0000}"/>
    <cellStyle name="_MOR - BDWY - 1+11_MOR - Gurgaon - 3+9(R)_MOR - Revised Package_II.5. RM Volume Sensitivities_P&amp;L Rec Qtr" xfId="6740" xr:uid="{00000000-0005-0000-0000-0000531A0000}"/>
    <cellStyle name="_MOR - BDWY - 1+11_MOR - Gurgaon - 3+9(R)_MOR - Revised Package_II.5. RM Volume Sensitivities_Sheet1" xfId="6741" xr:uid="{00000000-0005-0000-0000-0000541A0000}"/>
    <cellStyle name="_MOR - BDWY - 1+11_MOR - Gurgaon - 3+9(R)_MOR - Revised Package_II.5. RM Volume Sensitivities_Sheet2" xfId="6742" xr:uid="{00000000-0005-0000-0000-0000551A0000}"/>
    <cellStyle name="_MOR - BDWY - 1+11_MOR - Gurgaon - 3+9(R)_MOR - Revised Package_II.5. RM Volume Sensitivities_Sheet3" xfId="6743" xr:uid="{00000000-0005-0000-0000-0000561A0000}"/>
    <cellStyle name="_MOR - BDWY - 1+11_MOR - Gurgaon - 3+9(R)_MOR - Revised Package_II.5. RM Volume Sensitivities_Sheet4" xfId="6744" xr:uid="{00000000-0005-0000-0000-0000571A0000}"/>
    <cellStyle name="_MOR - BDWY - 1+11_MOR - Gurgaon - 3+9(R)_MOR - Revised Package_II.8. Sep&amp;Discrete" xfId="6745" xr:uid="{00000000-0005-0000-0000-0000581A0000}"/>
    <cellStyle name="_MOR - BDWY - 1+11_MOR - Gurgaon - 3+9(R)_MOR - Revised Package_II.8. Sep&amp;Discrete_Guidance" xfId="6746" xr:uid="{00000000-0005-0000-0000-0000591A0000}"/>
    <cellStyle name="_MOR - BDWY - 1+11_MOR - Gurgaon - 3+9(R)_MOR - Revised Package_II.8. Sep&amp;Discrete_Guidance 2" xfId="6747" xr:uid="{00000000-0005-0000-0000-00005A1A0000}"/>
    <cellStyle name="_MOR - BDWY - 1+11_MOR - Gurgaon - 3+9(R)_MOR - Revised Package_II.8. Sep&amp;Discrete_Guidance_BS retrieve" xfId="6748" xr:uid="{00000000-0005-0000-0000-00005B1A0000}"/>
    <cellStyle name="_MOR - BDWY - 1+11_MOR - Gurgaon - 3+9(R)_MOR - Revised Package_II.8. Sep&amp;Discrete_Guidance_Free CF" xfId="6749" xr:uid="{00000000-0005-0000-0000-00005C1A0000}"/>
    <cellStyle name="_MOR - BDWY - 1+11_MOR - Gurgaon - 3+9(R)_MOR - Revised Package_II.8. Sep&amp;Discrete_Guidance_P&amp;L Rec Qtr" xfId="6750" xr:uid="{00000000-0005-0000-0000-00005D1A0000}"/>
    <cellStyle name="_MOR - BDWY - 1+11_MOR - Gurgaon - 3+9(R)_MOR - Revised Package_II.8. Sep&amp;Discrete_Guidance_Sheet1" xfId="6751" xr:uid="{00000000-0005-0000-0000-00005E1A0000}"/>
    <cellStyle name="_MOR - BDWY - 1+11_MOR - Gurgaon - 3+9(R)_MOR - Revised Package_II.8. Sep&amp;Discrete_Guidance_Sheet2" xfId="6752" xr:uid="{00000000-0005-0000-0000-00005F1A0000}"/>
    <cellStyle name="_MOR - BDWY - 1+11_MOR - Gurgaon - 3+9(R)_MOR - Revised Package_II.8. Sep&amp;Discrete_Guidance_Sheet3" xfId="6753" xr:uid="{00000000-0005-0000-0000-0000601A0000}"/>
    <cellStyle name="_MOR - BDWY - 1+11_MOR - Gurgaon - 3+9(R)_MOR - Revised Package_II.8. Sep&amp;Discrete_Guidance_Sheet4" xfId="6754" xr:uid="{00000000-0005-0000-0000-0000611A0000}"/>
    <cellStyle name="_MOR - BDWY - 1+11_MOR - Gurgaon - 3+9(R)_MOR - Revised Package_Restructuring &amp; Separation" xfId="6755" xr:uid="{00000000-0005-0000-0000-0000621A0000}"/>
    <cellStyle name="_MOR - BDWY - 1+11_MOR - Gurgaon - 3+9(R)_MOR - Revised Package_Restructuring &amp; Separation_Guidance" xfId="6756" xr:uid="{00000000-0005-0000-0000-0000631A0000}"/>
    <cellStyle name="_MOR - BDWY - 1+11_MOR - Gurgaon - 3+9(R)_MOR - Revised Package_Restructuring &amp; Separation_Guidance 2" xfId="6757" xr:uid="{00000000-0005-0000-0000-0000641A0000}"/>
    <cellStyle name="_MOR - BDWY - 1+11_MOR - Gurgaon - 3+9(R)_MOR - Revised Package_Restructuring &amp; Separation_Guidance_BS retrieve" xfId="6758" xr:uid="{00000000-0005-0000-0000-0000651A0000}"/>
    <cellStyle name="_MOR - BDWY - 1+11_MOR - Gurgaon - 3+9(R)_MOR - Revised Package_Restructuring &amp; Separation_Guidance_Free CF" xfId="6759" xr:uid="{00000000-0005-0000-0000-0000661A0000}"/>
    <cellStyle name="_MOR - BDWY - 1+11_MOR - Gurgaon - 3+9(R)_MOR - Revised Package_Restructuring &amp; Separation_Guidance_P&amp;L Rec Qtr" xfId="6760" xr:uid="{00000000-0005-0000-0000-0000671A0000}"/>
    <cellStyle name="_MOR - BDWY - 1+11_MOR - Gurgaon - 3+9(R)_MOR - Revised Package_Restructuring &amp; Separation_Guidance_Sheet1" xfId="6761" xr:uid="{00000000-0005-0000-0000-0000681A0000}"/>
    <cellStyle name="_MOR - BDWY - 1+11_MOR - Gurgaon - 3+9(R)_MOR - Revised Package_Restructuring &amp; Separation_Guidance_Sheet2" xfId="6762" xr:uid="{00000000-0005-0000-0000-0000691A0000}"/>
    <cellStyle name="_MOR - BDWY - 1+11_MOR - Gurgaon - 3+9(R)_MOR - Revised Package_Restructuring &amp; Separation_Guidance_Sheet3" xfId="6763" xr:uid="{00000000-0005-0000-0000-00006A1A0000}"/>
    <cellStyle name="_MOR - BDWY - 1+11_MOR - Gurgaon - 3+9(R)_MOR - Revised Package_Restructuring &amp; Separation_Guidance_Sheet4" xfId="6764" xr:uid="{00000000-0005-0000-0000-00006B1A0000}"/>
    <cellStyle name="_MOR - BDWY - 1+11_MOR - Gurgaon - 3+9(R)_MOR - Revised Package_Restructuring_Separation_TAX_JuneFC2010 tf" xfId="6765" xr:uid="{00000000-0005-0000-0000-00006C1A0000}"/>
    <cellStyle name="_MOR - BDWY - 1+11_MOR - Gurgaon - 3+9(R)_MOR - Revised Package_Restructuring_Separation_TAX_JuneFC2010 tf_BS_Separation_TaxResIndem_Q12412 tf" xfId="6766" xr:uid="{00000000-0005-0000-0000-00006D1A0000}"/>
    <cellStyle name="_MOR - BDWY - 1+11_MOR - Gurgaon - 3+9(R)_MOR - Revised Package_Restructuring_Separation_TAX_JuneFC2010 tf_BS_Separation_TaxResIndem_Q12412 tf_Guidance" xfId="6767" xr:uid="{00000000-0005-0000-0000-00006E1A0000}"/>
    <cellStyle name="_MOR - BDWY - 1+11_MOR - Gurgaon - 3+9(R)_MOR - Revised Package_Restructuring_Separation_TAX_JuneFC2010 tf_BS_Separation_TaxResIndem_Q12412 tf_Guidance 2" xfId="6768" xr:uid="{00000000-0005-0000-0000-00006F1A0000}"/>
    <cellStyle name="_MOR - BDWY - 1+11_MOR - Gurgaon - 3+9(R)_MOR - Revised Package_Restructuring_Separation_TAX_JuneFC2010 tf_BS_Separation_TaxResIndem_Q12412 tf_Guidance_BS retrieve" xfId="6769" xr:uid="{00000000-0005-0000-0000-0000701A0000}"/>
    <cellStyle name="_MOR - BDWY - 1+11_MOR - Gurgaon - 3+9(R)_MOR - Revised Package_Restructuring_Separation_TAX_JuneFC2010 tf_BS_Separation_TaxResIndem_Q12412 tf_Guidance_Free CF" xfId="6770" xr:uid="{00000000-0005-0000-0000-0000711A0000}"/>
    <cellStyle name="_MOR - BDWY - 1+11_MOR - Gurgaon - 3+9(R)_MOR - Revised Package_Restructuring_Separation_TAX_JuneFC2010 tf_BS_Separation_TaxResIndem_Q12412 tf_Guidance_P&amp;L Rec Qtr" xfId="6771" xr:uid="{00000000-0005-0000-0000-0000721A0000}"/>
    <cellStyle name="_MOR - BDWY - 1+11_MOR - Gurgaon - 3+9(R)_MOR - Revised Package_Restructuring_Separation_TAX_JuneFC2010 tf_BS_Separation_TaxResIndem_Q12412 tf_Guidance_Sheet1" xfId="6772" xr:uid="{00000000-0005-0000-0000-0000731A0000}"/>
    <cellStyle name="_MOR - BDWY - 1+11_MOR - Gurgaon - 3+9(R)_MOR - Revised Package_Restructuring_Separation_TAX_JuneFC2010 tf_BS_Separation_TaxResIndem_Q12412 tf_Guidance_Sheet2" xfId="6773" xr:uid="{00000000-0005-0000-0000-0000741A0000}"/>
    <cellStyle name="_MOR - BDWY - 1+11_MOR - Gurgaon - 3+9(R)_MOR - Revised Package_Restructuring_Separation_TAX_JuneFC2010 tf_BS_Separation_TaxResIndem_Q12412 tf_Guidance_Sheet3" xfId="6774" xr:uid="{00000000-0005-0000-0000-0000751A0000}"/>
    <cellStyle name="_MOR - BDWY - 1+11_MOR - Gurgaon - 3+9(R)_MOR - Revised Package_Restructuring_Separation_TAX_JuneFC2010 tf_BS_Separation_TaxResIndem_Q12412 tf_Guidance_Sheet4" xfId="6775" xr:uid="{00000000-0005-0000-0000-0000761A0000}"/>
    <cellStyle name="_MOR - BDWY - 1+11_MOR - Gurgaon - 3+9(R)_MOR - Revised Package_Restructuring_Separation_TAX_JuneFC2010 tf_BS_Separation_TaxResIndem_Q12412 tf_Restructuring &amp; Separation" xfId="6776" xr:uid="{00000000-0005-0000-0000-0000771A0000}"/>
    <cellStyle name="_MOR - BDWY - 1+11_MOR - Gurgaon - 3+9(R)_MOR - Revised Package_Restructuring_Separation_TAX_JuneFC2010 tf_BS_Separation_TaxResIndem_Q12412 tf_Restructuring &amp; Separation_Guidance" xfId="6777" xr:uid="{00000000-0005-0000-0000-0000781A0000}"/>
    <cellStyle name="_MOR - BDWY - 1+11_MOR - Gurgaon - 3+9(R)_MOR - Revised Package_Restructuring_Separation_TAX_JuneFC2010 tf_BS_Separation_TaxResIndem_Q12412 tf_Restructuring &amp; Separation_Guidance 2" xfId="6778" xr:uid="{00000000-0005-0000-0000-0000791A0000}"/>
    <cellStyle name="_MOR - BDWY - 1+11_MOR - Gurgaon - 3+9(R)_MOR - Revised Package_Restructuring_Separation_TAX_JuneFC2010 tf_BS_Separation_TaxResIndem_Q12412 tf_Restructuring &amp; Separation_Guidance_BS retrieve" xfId="6779" xr:uid="{00000000-0005-0000-0000-00007A1A0000}"/>
    <cellStyle name="_MOR - BDWY - 1+11_MOR - Gurgaon - 3+9(R)_MOR - Revised Package_Restructuring_Separation_TAX_JuneFC2010 tf_BS_Separation_TaxResIndem_Q12412 tf_Restructuring &amp; Separation_Guidance_Free CF" xfId="6780" xr:uid="{00000000-0005-0000-0000-00007B1A0000}"/>
    <cellStyle name="_MOR - BDWY - 1+11_MOR - Gurgaon - 3+9(R)_MOR - Revised Package_Restructuring_Separation_TAX_JuneFC2010 tf_BS_Separation_TaxResIndem_Q12412 tf_Restructuring &amp; Separation_Guidance_P&amp;L Rec Qtr" xfId="6781" xr:uid="{00000000-0005-0000-0000-00007C1A0000}"/>
    <cellStyle name="_MOR - BDWY - 1+11_MOR - Gurgaon - 3+9(R)_MOR - Revised Package_Restructuring_Separation_TAX_JuneFC2010 tf_BS_Separation_TaxResIndem_Q12412 tf_Restructuring &amp; Separation_Guidance_Sheet1" xfId="6782" xr:uid="{00000000-0005-0000-0000-00007D1A0000}"/>
    <cellStyle name="_MOR - BDWY - 1+11_MOR - Gurgaon - 3+9(R)_MOR - Revised Package_Restructuring_Separation_TAX_JuneFC2010 tf_BS_Separation_TaxResIndem_Q12412 tf_Restructuring &amp; Separation_Guidance_Sheet2" xfId="6783" xr:uid="{00000000-0005-0000-0000-00007E1A0000}"/>
    <cellStyle name="_MOR - BDWY - 1+11_MOR - Gurgaon - 3+9(R)_MOR - Revised Package_Restructuring_Separation_TAX_JuneFC2010 tf_BS_Separation_TaxResIndem_Q12412 tf_Restructuring &amp; Separation_Guidance_Sheet3" xfId="6784" xr:uid="{00000000-0005-0000-0000-00007F1A0000}"/>
    <cellStyle name="_MOR - BDWY - 1+11_MOR - Gurgaon - 3+9(R)_MOR - Revised Package_Restructuring_Separation_TAX_JuneFC2010 tf_BS_Separation_TaxResIndem_Q12412 tf_Restructuring &amp; Separation_Guidance_Sheet4" xfId="6785" xr:uid="{00000000-0005-0000-0000-0000801A0000}"/>
    <cellStyle name="_MOR - BDWY - 1+11_MOR - Gurgaon - 3+9(R)_MOR - Revised Package_Restructuring_Separation_TAX_JuneFC2010 tf_Guidance" xfId="6786" xr:uid="{00000000-0005-0000-0000-0000811A0000}"/>
    <cellStyle name="_MOR - BDWY - 1+11_MOR - Gurgaon - 3+9(R)_MOR - Revised Package_Restructuring_Separation_TAX_JuneFC2010 tf_Guidance 2" xfId="6787" xr:uid="{00000000-0005-0000-0000-0000821A0000}"/>
    <cellStyle name="_MOR - BDWY - 1+11_MOR - Gurgaon - 3+9(R)_MOR - Revised Package_Restructuring_Separation_TAX_JuneFC2010 tf_Guidance_BS retrieve" xfId="6788" xr:uid="{00000000-0005-0000-0000-0000831A0000}"/>
    <cellStyle name="_MOR - BDWY - 1+11_MOR - Gurgaon - 3+9(R)_MOR - Revised Package_Restructuring_Separation_TAX_JuneFC2010 tf_Guidance_Free CF" xfId="6789" xr:uid="{00000000-0005-0000-0000-0000841A0000}"/>
    <cellStyle name="_MOR - BDWY - 1+11_MOR - Gurgaon - 3+9(R)_MOR - Revised Package_Restructuring_Separation_TAX_JuneFC2010 tf_Guidance_P&amp;L Rec Qtr" xfId="6790" xr:uid="{00000000-0005-0000-0000-0000851A0000}"/>
    <cellStyle name="_MOR - BDWY - 1+11_MOR - Gurgaon - 3+9(R)_MOR - Revised Package_Restructuring_Separation_TAX_JuneFC2010 tf_Guidance_Sheet1" xfId="6791" xr:uid="{00000000-0005-0000-0000-0000861A0000}"/>
    <cellStyle name="_MOR - BDWY - 1+11_MOR - Gurgaon - 3+9(R)_MOR - Revised Package_Restructuring_Separation_TAX_JuneFC2010 tf_Guidance_Sheet2" xfId="6792" xr:uid="{00000000-0005-0000-0000-0000871A0000}"/>
    <cellStyle name="_MOR - BDWY - 1+11_MOR - Gurgaon - 3+9(R)_MOR - Revised Package_Restructuring_Separation_TAX_JuneFC2010 tf_Guidance_Sheet3" xfId="6793" xr:uid="{00000000-0005-0000-0000-0000881A0000}"/>
    <cellStyle name="_MOR - BDWY - 1+11_MOR - Gurgaon - 3+9(R)_MOR - Revised Package_Restructuring_Separation_TAX_JuneFC2010 tf_Guidance_Sheet4" xfId="6794" xr:uid="{00000000-0005-0000-0000-0000891A0000}"/>
    <cellStyle name="_MOR - BDWY - 1+11_MOR - Gurgaon - 3+9(R)_MOR - Revised Package_Restructuring_Separation_TAX_JuneFC2010 tf_II.8. Sep&amp;Discrete" xfId="6795" xr:uid="{00000000-0005-0000-0000-00008A1A0000}"/>
    <cellStyle name="_MOR - BDWY - 1+11_MOR - Gurgaon - 3+9(R)_MOR - Revised Package_Restructuring_Separation_TAX_JuneFC2010 tf_II.8. Sep&amp;Discrete_Guidance" xfId="6796" xr:uid="{00000000-0005-0000-0000-00008B1A0000}"/>
    <cellStyle name="_MOR - BDWY - 1+11_MOR - Gurgaon - 3+9(R)_MOR - Revised Package_Restructuring_Separation_TAX_JuneFC2010 tf_II.8. Sep&amp;Discrete_Guidance 2" xfId="6797" xr:uid="{00000000-0005-0000-0000-00008C1A0000}"/>
    <cellStyle name="_MOR - BDWY - 1+11_MOR - Gurgaon - 3+9(R)_MOR - Revised Package_Restructuring_Separation_TAX_JuneFC2010 tf_II.8. Sep&amp;Discrete_Guidance_BS retrieve" xfId="6798" xr:uid="{00000000-0005-0000-0000-00008D1A0000}"/>
    <cellStyle name="_MOR - BDWY - 1+11_MOR - Gurgaon - 3+9(R)_MOR - Revised Package_Restructuring_Separation_TAX_JuneFC2010 tf_II.8. Sep&amp;Discrete_Guidance_Free CF" xfId="6799" xr:uid="{00000000-0005-0000-0000-00008E1A0000}"/>
    <cellStyle name="_MOR - BDWY - 1+11_MOR - Gurgaon - 3+9(R)_MOR - Revised Package_Restructuring_Separation_TAX_JuneFC2010 tf_II.8. Sep&amp;Discrete_Guidance_P&amp;L Rec Qtr" xfId="6800" xr:uid="{00000000-0005-0000-0000-00008F1A0000}"/>
    <cellStyle name="_MOR - BDWY - 1+11_MOR - Gurgaon - 3+9(R)_MOR - Revised Package_Restructuring_Separation_TAX_JuneFC2010 tf_II.8. Sep&amp;Discrete_Guidance_Sheet1" xfId="6801" xr:uid="{00000000-0005-0000-0000-0000901A0000}"/>
    <cellStyle name="_MOR - BDWY - 1+11_MOR - Gurgaon - 3+9(R)_MOR - Revised Package_Restructuring_Separation_TAX_JuneFC2010 tf_II.8. Sep&amp;Discrete_Guidance_Sheet2" xfId="6802" xr:uid="{00000000-0005-0000-0000-0000911A0000}"/>
    <cellStyle name="_MOR - BDWY - 1+11_MOR - Gurgaon - 3+9(R)_MOR - Revised Package_Restructuring_Separation_TAX_JuneFC2010 tf_II.8. Sep&amp;Discrete_Guidance_Sheet3" xfId="6803" xr:uid="{00000000-0005-0000-0000-0000921A0000}"/>
    <cellStyle name="_MOR - BDWY - 1+11_MOR - Gurgaon - 3+9(R)_MOR - Revised Package_Restructuring_Separation_TAX_JuneFC2010 tf_II.8. Sep&amp;Discrete_Guidance_Sheet4" xfId="6804" xr:uid="{00000000-0005-0000-0000-0000931A0000}"/>
    <cellStyle name="_MOR - BDWY - 1+11_MOR - Gurgaon - 3+9(R)_MOR - Revised Package_Restructuring_Separation_TAX_JuneFC2010 tf_Restructuring &amp; Separation" xfId="6805" xr:uid="{00000000-0005-0000-0000-0000941A0000}"/>
    <cellStyle name="_MOR - BDWY - 1+11_MOR - Gurgaon - 3+9(R)_MOR - Revised Package_Restructuring_Separation_TAX_JuneFC2010 tf_Restructuring &amp; Separation_Guidance" xfId="6806" xr:uid="{00000000-0005-0000-0000-0000951A0000}"/>
    <cellStyle name="_MOR - BDWY - 1+11_MOR - Gurgaon - 3+9(R)_MOR - Revised Package_Restructuring_Separation_TAX_JuneFC2010 tf_Restructuring &amp; Separation_Guidance 2" xfId="6807" xr:uid="{00000000-0005-0000-0000-0000961A0000}"/>
    <cellStyle name="_MOR - BDWY - 1+11_MOR - Gurgaon - 3+9(R)_MOR - Revised Package_Restructuring_Separation_TAX_JuneFC2010 tf_Restructuring &amp; Separation_Guidance_BS retrieve" xfId="6808" xr:uid="{00000000-0005-0000-0000-0000971A0000}"/>
    <cellStyle name="_MOR - BDWY - 1+11_MOR - Gurgaon - 3+9(R)_MOR - Revised Package_Restructuring_Separation_TAX_JuneFC2010 tf_Restructuring &amp; Separation_Guidance_Free CF" xfId="6809" xr:uid="{00000000-0005-0000-0000-0000981A0000}"/>
    <cellStyle name="_MOR - BDWY - 1+11_MOR - Gurgaon - 3+9(R)_MOR - Revised Package_Restructuring_Separation_TAX_JuneFC2010 tf_Restructuring &amp; Separation_Guidance_P&amp;L Rec Qtr" xfId="6810" xr:uid="{00000000-0005-0000-0000-0000991A0000}"/>
    <cellStyle name="_MOR - BDWY - 1+11_MOR - Gurgaon - 3+9(R)_MOR - Revised Package_Restructuring_Separation_TAX_JuneFC2010 tf_Restructuring &amp; Separation_Guidance_Sheet1" xfId="6811" xr:uid="{00000000-0005-0000-0000-00009A1A0000}"/>
    <cellStyle name="_MOR - BDWY - 1+11_MOR - Gurgaon - 3+9(R)_MOR - Revised Package_Restructuring_Separation_TAX_JuneFC2010 tf_Restructuring &amp; Separation_Guidance_Sheet2" xfId="6812" xr:uid="{00000000-0005-0000-0000-00009B1A0000}"/>
    <cellStyle name="_MOR - BDWY - 1+11_MOR - Gurgaon - 3+9(R)_MOR - Revised Package_Restructuring_Separation_TAX_JuneFC2010 tf_Restructuring &amp; Separation_Guidance_Sheet3" xfId="6813" xr:uid="{00000000-0005-0000-0000-00009C1A0000}"/>
    <cellStyle name="_MOR - BDWY - 1+11_MOR - Gurgaon - 3+9(R)_MOR - Revised Package_Restructuring_Separation_TAX_JuneFC2010 tf_Restructuring &amp; Separation_Guidance_Sheet4" xfId="6814" xr:uid="{00000000-0005-0000-0000-00009D1A0000}"/>
    <cellStyle name="_MOR - BDWY - 1+11_MOR - Gurgaon - 3+9(R)_MOR - Revised Package_Revised MOR Package - Latest" xfId="6815" xr:uid="{00000000-0005-0000-0000-00009E1A0000}"/>
    <cellStyle name="_MOR - BDWY - 1+11_MOR - Gurgaon - 3+9(R)_MOR - Revised Package_Revised MOR Package - Latest_BS_Separation_TaxResIndem_Q12412 tf" xfId="6816" xr:uid="{00000000-0005-0000-0000-00009F1A0000}"/>
    <cellStyle name="_MOR - BDWY - 1+11_MOR - Gurgaon - 3+9(R)_MOR - Revised Package_Revised MOR Package - Latest_BS_Separation_TaxResIndem_Q12412 tf_Guidance" xfId="6817" xr:uid="{00000000-0005-0000-0000-0000A01A0000}"/>
    <cellStyle name="_MOR - BDWY - 1+11_MOR - Gurgaon - 3+9(R)_MOR - Revised Package_Revised MOR Package - Latest_BS_Separation_TaxResIndem_Q12412 tf_Guidance 2" xfId="6818" xr:uid="{00000000-0005-0000-0000-0000A11A0000}"/>
    <cellStyle name="_MOR - BDWY - 1+11_MOR - Gurgaon - 3+9(R)_MOR - Revised Package_Revised MOR Package - Latest_BS_Separation_TaxResIndem_Q12412 tf_Guidance_BS retrieve" xfId="6819" xr:uid="{00000000-0005-0000-0000-0000A21A0000}"/>
    <cellStyle name="_MOR - BDWY - 1+11_MOR - Gurgaon - 3+9(R)_MOR - Revised Package_Revised MOR Package - Latest_BS_Separation_TaxResIndem_Q12412 tf_Guidance_Free CF" xfId="6820" xr:uid="{00000000-0005-0000-0000-0000A31A0000}"/>
    <cellStyle name="_MOR - BDWY - 1+11_MOR - Gurgaon - 3+9(R)_MOR - Revised Package_Revised MOR Package - Latest_BS_Separation_TaxResIndem_Q12412 tf_Guidance_P&amp;L Rec Qtr" xfId="6821" xr:uid="{00000000-0005-0000-0000-0000A41A0000}"/>
    <cellStyle name="_MOR - BDWY - 1+11_MOR - Gurgaon - 3+9(R)_MOR - Revised Package_Revised MOR Package - Latest_BS_Separation_TaxResIndem_Q12412 tf_Guidance_Sheet1" xfId="6822" xr:uid="{00000000-0005-0000-0000-0000A51A0000}"/>
    <cellStyle name="_MOR - BDWY - 1+11_MOR - Gurgaon - 3+9(R)_MOR - Revised Package_Revised MOR Package - Latest_BS_Separation_TaxResIndem_Q12412 tf_Guidance_Sheet2" xfId="6823" xr:uid="{00000000-0005-0000-0000-0000A61A0000}"/>
    <cellStyle name="_MOR - BDWY - 1+11_MOR - Gurgaon - 3+9(R)_MOR - Revised Package_Revised MOR Package - Latest_BS_Separation_TaxResIndem_Q12412 tf_Guidance_Sheet3" xfId="6824" xr:uid="{00000000-0005-0000-0000-0000A71A0000}"/>
    <cellStyle name="_MOR - BDWY - 1+11_MOR - Gurgaon - 3+9(R)_MOR - Revised Package_Revised MOR Package - Latest_BS_Separation_TaxResIndem_Q12412 tf_Guidance_Sheet4" xfId="6825" xr:uid="{00000000-0005-0000-0000-0000A81A0000}"/>
    <cellStyle name="_MOR - BDWY - 1+11_MOR - Gurgaon - 3+9(R)_MOR - Revised Package_Revised MOR Package - Latest_BS_Separation_TaxResIndem_Q12412 tf_Restructuring &amp; Separation" xfId="6826" xr:uid="{00000000-0005-0000-0000-0000A91A0000}"/>
    <cellStyle name="_MOR - BDWY - 1+11_MOR - Gurgaon - 3+9(R)_MOR - Revised Package_Revised MOR Package - Latest_BS_Separation_TaxResIndem_Q12412 tf_Restructuring &amp; Separation_Guidance" xfId="6827" xr:uid="{00000000-0005-0000-0000-0000AA1A0000}"/>
    <cellStyle name="_MOR - BDWY - 1+11_MOR - Gurgaon - 3+9(R)_MOR - Revised Package_Revised MOR Package - Latest_BS_Separation_TaxResIndem_Q12412 tf_Restructuring &amp; Separation_Guidance 2" xfId="6828" xr:uid="{00000000-0005-0000-0000-0000AB1A0000}"/>
    <cellStyle name="_MOR - BDWY - 1+11_MOR - Gurgaon - 3+9(R)_MOR - Revised Package_Revised MOR Package - Latest_BS_Separation_TaxResIndem_Q12412 tf_Restructuring &amp; Separation_Guidance_BS retrieve" xfId="6829" xr:uid="{00000000-0005-0000-0000-0000AC1A0000}"/>
    <cellStyle name="_MOR - BDWY - 1+11_MOR - Gurgaon - 3+9(R)_MOR - Revised Package_Revised MOR Package - Latest_BS_Separation_TaxResIndem_Q12412 tf_Restructuring &amp; Separation_Guidance_Free CF" xfId="6830" xr:uid="{00000000-0005-0000-0000-0000AD1A0000}"/>
    <cellStyle name="_MOR - BDWY - 1+11_MOR - Gurgaon - 3+9(R)_MOR - Revised Package_Revised MOR Package - Latest_BS_Separation_TaxResIndem_Q12412 tf_Restructuring &amp; Separation_Guidance_P&amp;L Rec Qtr" xfId="6831" xr:uid="{00000000-0005-0000-0000-0000AE1A0000}"/>
    <cellStyle name="_MOR - BDWY - 1+11_MOR - Gurgaon - 3+9(R)_MOR - Revised Package_Revised MOR Package - Latest_BS_Separation_TaxResIndem_Q12412 tf_Restructuring &amp; Separation_Guidance_Sheet1" xfId="6832" xr:uid="{00000000-0005-0000-0000-0000AF1A0000}"/>
    <cellStyle name="_MOR - BDWY - 1+11_MOR - Gurgaon - 3+9(R)_MOR - Revised Package_Revised MOR Package - Latest_BS_Separation_TaxResIndem_Q12412 tf_Restructuring &amp; Separation_Guidance_Sheet2" xfId="6833" xr:uid="{00000000-0005-0000-0000-0000B01A0000}"/>
    <cellStyle name="_MOR - BDWY - 1+11_MOR - Gurgaon - 3+9(R)_MOR - Revised Package_Revised MOR Package - Latest_BS_Separation_TaxResIndem_Q12412 tf_Restructuring &amp; Separation_Guidance_Sheet3" xfId="6834" xr:uid="{00000000-0005-0000-0000-0000B11A0000}"/>
    <cellStyle name="_MOR - BDWY - 1+11_MOR - Gurgaon - 3+9(R)_MOR - Revised Package_Revised MOR Package - Latest_BS_Separation_TaxResIndem_Q12412 tf_Restructuring &amp; Separation_Guidance_Sheet4" xfId="6835" xr:uid="{00000000-0005-0000-0000-0000B21A0000}"/>
    <cellStyle name="_MOR - BDWY - 1+11_MOR - Gurgaon - 3+9(R)_MOR - Revised Package_Revised MOR Package - Latest_By Country Detail 1Q10 041410pm FIN 18 revised per disc w Mary" xfId="6836" xr:uid="{00000000-0005-0000-0000-0000B31A0000}"/>
    <cellStyle name="_MOR - BDWY - 1+11_MOR - Gurgaon - 3+9(R)_MOR - Revised Package_Revised MOR Package - Latest_By Country Detail 1Q10 041410pm FIN 18 revised per disc w Mary_BS_Separation_TaxResIndem_Q12412 tf" xfId="6837" xr:uid="{00000000-0005-0000-0000-0000B41A0000}"/>
    <cellStyle name="_MOR - BDWY - 1+11_MOR - Gurgaon - 3+9(R)_MOR - Revised Package_Revised MOR Package - Latest_By Country Detail 1Q10 041410pm FIN 18 revised per disc w Mary_BS_Separation_TaxResIndem_Q12412 tf_Guidance" xfId="6838" xr:uid="{00000000-0005-0000-0000-0000B51A0000}"/>
    <cellStyle name="_MOR - BDWY - 1+11_MOR - Gurgaon - 3+9(R)_MOR - Revised Package_Revised MOR Package - Latest_By Country Detail 1Q10 041410pm FIN 18 revised per disc w Mary_BS_Separation_TaxResIndem_Q12412 tf_Guidance 2" xfId="6839" xr:uid="{00000000-0005-0000-0000-0000B61A0000}"/>
    <cellStyle name="_MOR - BDWY - 1+11_MOR - Gurgaon - 3+9(R)_MOR - Revised Package_Revised MOR Package - Latest_By Country Detail 1Q10 041410pm FIN 18 revised per disc w Mary_BS_Separation_TaxResIndem_Q12412 tf_Guidance_BS retrieve" xfId="6840" xr:uid="{00000000-0005-0000-0000-0000B71A0000}"/>
    <cellStyle name="_MOR - BDWY - 1+11_MOR - Gurgaon - 3+9(R)_MOR - Revised Package_Revised MOR Package - Latest_By Country Detail 1Q10 041410pm FIN 18 revised per disc w Mary_BS_Separation_TaxResIndem_Q12412 tf_Guidance_Free CF" xfId="6841" xr:uid="{00000000-0005-0000-0000-0000B81A0000}"/>
    <cellStyle name="_MOR - BDWY - 1+11_MOR - Gurgaon - 3+9(R)_MOR - Revised Package_Revised MOR Package - Latest_By Country Detail 1Q10 041410pm FIN 18 revised per disc w Mary_BS_Separation_TaxResIndem_Q12412 tf_Guidance_P&amp;L Rec Qtr" xfId="6842" xr:uid="{00000000-0005-0000-0000-0000B91A0000}"/>
    <cellStyle name="_MOR - BDWY - 1+11_MOR - Gurgaon - 3+9(R)_MOR - Revised Package_Revised MOR Package - Latest_By Country Detail 1Q10 041410pm FIN 18 revised per disc w Mary_BS_Separation_TaxResIndem_Q12412 tf_Guidance_Sheet1" xfId="6843" xr:uid="{00000000-0005-0000-0000-0000BA1A0000}"/>
    <cellStyle name="_MOR - BDWY - 1+11_MOR - Gurgaon - 3+9(R)_MOR - Revised Package_Revised MOR Package - Latest_By Country Detail 1Q10 041410pm FIN 18 revised per disc w Mary_BS_Separation_TaxResIndem_Q12412 tf_Guidance_Sheet2" xfId="6844" xr:uid="{00000000-0005-0000-0000-0000BB1A0000}"/>
    <cellStyle name="_MOR - BDWY - 1+11_MOR - Gurgaon - 3+9(R)_MOR - Revised Package_Revised MOR Package - Latest_By Country Detail 1Q10 041410pm FIN 18 revised per disc w Mary_BS_Separation_TaxResIndem_Q12412 tf_Guidance_Sheet3" xfId="6845" xr:uid="{00000000-0005-0000-0000-0000BC1A0000}"/>
    <cellStyle name="_MOR - BDWY - 1+11_MOR - Gurgaon - 3+9(R)_MOR - Revised Package_Revised MOR Package - Latest_By Country Detail 1Q10 041410pm FIN 18 revised per disc w Mary_BS_Separation_TaxResIndem_Q12412 tf_Guidance_Sheet4" xfId="6846" xr:uid="{00000000-0005-0000-0000-0000BD1A0000}"/>
    <cellStyle name="_MOR - BDWY - 1+11_MOR - Gurgaon - 3+9(R)_MOR - Revised Package_Revised MOR Package - Latest_By Country Detail 1Q10 041410pm FIN 18 revised per disc w Mary_BS_Separation_TaxResIndem_Q12412 tf_Restructuring &amp; Separation" xfId="6847" xr:uid="{00000000-0005-0000-0000-0000BE1A0000}"/>
    <cellStyle name="_MOR - BDWY - 1+11_MOR - Gurgaon - 3+9(R)_MOR - Revised Package_Revised MOR Package - Latest_By Country Detail 1Q10 041410pm FIN 18 revised per disc w Mary_BS_Separation_TaxResIndem_Q12412 tf_Restructuring &amp; Separation_Guidance" xfId="6848" xr:uid="{00000000-0005-0000-0000-0000BF1A0000}"/>
    <cellStyle name="_MOR - BDWY - 1+11_MOR - Gurgaon - 3+9(R)_MOR - Revised Package_Revised MOR Package - Latest_By Country Detail 1Q10 041410pm FIN 18 revised per disc w Mary_BS_Separation_TaxResIndem_Q12412 tf_Restructuring &amp; Separation_Guidance 2" xfId="6849" xr:uid="{00000000-0005-0000-0000-0000C01A0000}"/>
    <cellStyle name="_MOR - BDWY - 1+11_MOR - Gurgaon - 3+9(R)_MOR - Revised Package_Revised MOR Package - Latest_By Country Detail 1Q10 041410pm FIN 18 revised per disc w Mary_BS_Separation_TaxResIndem_Q12412 tf_Restructuring &amp; Separation_Guidance_BS retrieve" xfId="6850" xr:uid="{00000000-0005-0000-0000-0000C11A0000}"/>
    <cellStyle name="_MOR - BDWY - 1+11_MOR - Gurgaon - 3+9(R)_MOR - Revised Package_Revised MOR Package - Latest_By Country Detail 1Q10 041410pm FIN 18 revised per disc w Mary_BS_Separation_TaxResIndem_Q12412 tf_Restructuring &amp; Separation_Guidance_Free CF" xfId="6851" xr:uid="{00000000-0005-0000-0000-0000C21A0000}"/>
    <cellStyle name="_MOR - BDWY - 1+11_MOR - Gurgaon - 3+9(R)_MOR - Revised Package_Revised MOR Package - Latest_By Country Detail 1Q10 041410pm FIN 18 revised per disc w Mary_BS_Separation_TaxResIndem_Q12412 tf_Restructuring &amp; Separation_Guidance_P&amp;L Rec Qtr" xfId="6852" xr:uid="{00000000-0005-0000-0000-0000C31A0000}"/>
    <cellStyle name="_MOR - BDWY - 1+11_MOR - Gurgaon - 3+9(R)_MOR - Revised Package_Revised MOR Package - Latest_By Country Detail 1Q10 041410pm FIN 18 revised per disc w Mary_BS_Separation_TaxResIndem_Q12412 tf_Restructuring &amp; Separation_Guidance_Sheet1" xfId="6853" xr:uid="{00000000-0005-0000-0000-0000C41A0000}"/>
    <cellStyle name="_MOR - BDWY - 1+11_MOR - Gurgaon - 3+9(R)_MOR - Revised Package_Revised MOR Package - Latest_By Country Detail 1Q10 041410pm FIN 18 revised per disc w Mary_BS_Separation_TaxResIndem_Q12412 tf_Restructuring &amp; Separation_Guidance_Sheet2" xfId="6854" xr:uid="{00000000-0005-0000-0000-0000C51A0000}"/>
    <cellStyle name="_MOR - BDWY - 1+11_MOR - Gurgaon - 3+9(R)_MOR - Revised Package_Revised MOR Package - Latest_By Country Detail 1Q10 041410pm FIN 18 revised per disc w Mary_BS_Separation_TaxResIndem_Q12412 tf_Restructuring &amp; Separation_Guidance_Sheet3" xfId="6855" xr:uid="{00000000-0005-0000-0000-0000C61A0000}"/>
    <cellStyle name="_MOR - BDWY - 1+11_MOR - Gurgaon - 3+9(R)_MOR - Revised Package_Revised MOR Package - Latest_By Country Detail 1Q10 041410pm FIN 18 revised per disc w Mary_BS_Separation_TaxResIndem_Q12412 tf_Restructuring &amp; Separation_Guidance_Sheet4" xfId="6856" xr:uid="{00000000-0005-0000-0000-0000C71A0000}"/>
    <cellStyle name="_MOR - BDWY - 1+11_MOR - Gurgaon - 3+9(R)_MOR - Revised Package_Revised MOR Package - Latest_By Country Detail 1Q10 041410pm FIN 18 revised per disc w Mary_Guidance" xfId="6857" xr:uid="{00000000-0005-0000-0000-0000C81A0000}"/>
    <cellStyle name="_MOR - BDWY - 1+11_MOR - Gurgaon - 3+9(R)_MOR - Revised Package_Revised MOR Package - Latest_By Country Detail 1Q10 041410pm FIN 18 revised per disc w Mary_Guidance 2" xfId="6858" xr:uid="{00000000-0005-0000-0000-0000C91A0000}"/>
    <cellStyle name="_MOR - BDWY - 1+11_MOR - Gurgaon - 3+9(R)_MOR - Revised Package_Revised MOR Package - Latest_By Country Detail 1Q10 041410pm FIN 18 revised per disc w Mary_Guidance_BS retrieve" xfId="6859" xr:uid="{00000000-0005-0000-0000-0000CA1A0000}"/>
    <cellStyle name="_MOR - BDWY - 1+11_MOR - Gurgaon - 3+9(R)_MOR - Revised Package_Revised MOR Package - Latest_By Country Detail 1Q10 041410pm FIN 18 revised per disc w Mary_Guidance_Free CF" xfId="6860" xr:uid="{00000000-0005-0000-0000-0000CB1A0000}"/>
    <cellStyle name="_MOR - BDWY - 1+11_MOR - Gurgaon - 3+9(R)_MOR - Revised Package_Revised MOR Package - Latest_By Country Detail 1Q10 041410pm FIN 18 revised per disc w Mary_Guidance_P&amp;L Rec Qtr" xfId="6861" xr:uid="{00000000-0005-0000-0000-0000CC1A0000}"/>
    <cellStyle name="_MOR - BDWY - 1+11_MOR - Gurgaon - 3+9(R)_MOR - Revised Package_Revised MOR Package - Latest_By Country Detail 1Q10 041410pm FIN 18 revised per disc w Mary_Guidance_Sheet1" xfId="6862" xr:uid="{00000000-0005-0000-0000-0000CD1A0000}"/>
    <cellStyle name="_MOR - BDWY - 1+11_MOR - Gurgaon - 3+9(R)_MOR - Revised Package_Revised MOR Package - Latest_By Country Detail 1Q10 041410pm FIN 18 revised per disc w Mary_Guidance_Sheet2" xfId="6863" xr:uid="{00000000-0005-0000-0000-0000CE1A0000}"/>
    <cellStyle name="_MOR - BDWY - 1+11_MOR - Gurgaon - 3+9(R)_MOR - Revised Package_Revised MOR Package - Latest_By Country Detail 1Q10 041410pm FIN 18 revised per disc w Mary_Guidance_Sheet3" xfId="6864" xr:uid="{00000000-0005-0000-0000-0000CF1A0000}"/>
    <cellStyle name="_MOR - BDWY - 1+11_MOR - Gurgaon - 3+9(R)_MOR - Revised Package_Revised MOR Package - Latest_By Country Detail 1Q10 041410pm FIN 18 revised per disc w Mary_Guidance_Sheet4" xfId="6865" xr:uid="{00000000-0005-0000-0000-0000D01A0000}"/>
    <cellStyle name="_MOR - BDWY - 1+11_MOR - Gurgaon - 3+9(R)_MOR - Revised Package_Revised MOR Package - Latest_By Country Detail 1Q10 041410pm FIN 18 revised per disc w Mary_II.8. Sep&amp;Discrete" xfId="6866" xr:uid="{00000000-0005-0000-0000-0000D11A0000}"/>
    <cellStyle name="_MOR - BDWY - 1+11_MOR - Gurgaon - 3+9(R)_MOR - Revised Package_Revised MOR Package - Latest_By Country Detail 1Q10 041410pm FIN 18 revised per disc w Mary_II.8. Sep&amp;Discrete_Guidance" xfId="6867" xr:uid="{00000000-0005-0000-0000-0000D21A0000}"/>
    <cellStyle name="_MOR - BDWY - 1+11_MOR - Gurgaon - 3+9(R)_MOR - Revised Package_Revised MOR Package - Latest_By Country Detail 1Q10 041410pm FIN 18 revised per disc w Mary_II.8. Sep&amp;Discrete_Guidance 2" xfId="6868" xr:uid="{00000000-0005-0000-0000-0000D31A0000}"/>
    <cellStyle name="_MOR - BDWY - 1+11_MOR - Gurgaon - 3+9(R)_MOR - Revised Package_Revised MOR Package - Latest_By Country Detail 1Q10 041410pm FIN 18 revised per disc w Mary_II.8. Sep&amp;Discrete_Guidance_BS retrieve" xfId="6869" xr:uid="{00000000-0005-0000-0000-0000D41A0000}"/>
    <cellStyle name="_MOR - BDWY - 1+11_MOR - Gurgaon - 3+9(R)_MOR - Revised Package_Revised MOR Package - Latest_By Country Detail 1Q10 041410pm FIN 18 revised per disc w Mary_II.8. Sep&amp;Discrete_Guidance_Free CF" xfId="6870" xr:uid="{00000000-0005-0000-0000-0000D51A0000}"/>
    <cellStyle name="_MOR - BDWY - 1+11_MOR - Gurgaon - 3+9(R)_MOR - Revised Package_Revised MOR Package - Latest_By Country Detail 1Q10 041410pm FIN 18 revised per disc w Mary_II.8. Sep&amp;Discrete_Guidance_P&amp;L Rec Qtr" xfId="6871" xr:uid="{00000000-0005-0000-0000-0000D61A0000}"/>
    <cellStyle name="_MOR - BDWY - 1+11_MOR - Gurgaon - 3+9(R)_MOR - Revised Package_Revised MOR Package - Latest_By Country Detail 1Q10 041410pm FIN 18 revised per disc w Mary_II.8. Sep&amp;Discrete_Guidance_Sheet1" xfId="6872" xr:uid="{00000000-0005-0000-0000-0000D71A0000}"/>
    <cellStyle name="_MOR - BDWY - 1+11_MOR - Gurgaon - 3+9(R)_MOR - Revised Package_Revised MOR Package - Latest_By Country Detail 1Q10 041410pm FIN 18 revised per disc w Mary_II.8. Sep&amp;Discrete_Guidance_Sheet2" xfId="6873" xr:uid="{00000000-0005-0000-0000-0000D81A0000}"/>
    <cellStyle name="_MOR - BDWY - 1+11_MOR - Gurgaon - 3+9(R)_MOR - Revised Package_Revised MOR Package - Latest_By Country Detail 1Q10 041410pm FIN 18 revised per disc w Mary_II.8. Sep&amp;Discrete_Guidance_Sheet3" xfId="6874" xr:uid="{00000000-0005-0000-0000-0000D91A0000}"/>
    <cellStyle name="_MOR - BDWY - 1+11_MOR - Gurgaon - 3+9(R)_MOR - Revised Package_Revised MOR Package - Latest_By Country Detail 1Q10 041410pm FIN 18 revised per disc w Mary_II.8. Sep&amp;Discrete_Guidance_Sheet4" xfId="6875" xr:uid="{00000000-0005-0000-0000-0000DA1A0000}"/>
    <cellStyle name="_MOR - BDWY - 1+11_MOR - Gurgaon - 3+9(R)_MOR - Revised Package_Revised MOR Package - Latest_By Country Detail 1Q10 041410pm FIN 18 revised per disc w Mary_Restructuring &amp; Separation" xfId="6876" xr:uid="{00000000-0005-0000-0000-0000DB1A0000}"/>
    <cellStyle name="_MOR - BDWY - 1+11_MOR - Gurgaon - 3+9(R)_MOR - Revised Package_Revised MOR Package - Latest_By Country Detail 1Q10 041410pm FIN 18 revised per disc w Mary_Restructuring &amp; Separation_Guidance" xfId="6877" xr:uid="{00000000-0005-0000-0000-0000DC1A0000}"/>
    <cellStyle name="_MOR - BDWY - 1+11_MOR - Gurgaon - 3+9(R)_MOR - Revised Package_Revised MOR Package - Latest_By Country Detail 1Q10 041410pm FIN 18 revised per disc w Mary_Restructuring &amp; Separation_Guidance 2" xfId="6878" xr:uid="{00000000-0005-0000-0000-0000DD1A0000}"/>
    <cellStyle name="_MOR - BDWY - 1+11_MOR - Gurgaon - 3+9(R)_MOR - Revised Package_Revised MOR Package - Latest_By Country Detail 1Q10 041410pm FIN 18 revised per disc w Mary_Restructuring &amp; Separation_Guidance_BS retrieve" xfId="6879" xr:uid="{00000000-0005-0000-0000-0000DE1A0000}"/>
    <cellStyle name="_MOR - BDWY - 1+11_MOR - Gurgaon - 3+9(R)_MOR - Revised Package_Revised MOR Package - Latest_By Country Detail 1Q10 041410pm FIN 18 revised per disc w Mary_Restructuring &amp; Separation_Guidance_Free CF" xfId="6880" xr:uid="{00000000-0005-0000-0000-0000DF1A0000}"/>
    <cellStyle name="_MOR - BDWY - 1+11_MOR - Gurgaon - 3+9(R)_MOR - Revised Package_Revised MOR Package - Latest_By Country Detail 1Q10 041410pm FIN 18 revised per disc w Mary_Restructuring &amp; Separation_Guidance_P&amp;L Rec Qtr" xfId="6881" xr:uid="{00000000-0005-0000-0000-0000E01A0000}"/>
    <cellStyle name="_MOR - BDWY - 1+11_MOR - Gurgaon - 3+9(R)_MOR - Revised Package_Revised MOR Package - Latest_By Country Detail 1Q10 041410pm FIN 18 revised per disc w Mary_Restructuring &amp; Separation_Guidance_Sheet1" xfId="6882" xr:uid="{00000000-0005-0000-0000-0000E11A0000}"/>
    <cellStyle name="_MOR - BDWY - 1+11_MOR - Gurgaon - 3+9(R)_MOR - Revised Package_Revised MOR Package - Latest_By Country Detail 1Q10 041410pm FIN 18 revised per disc w Mary_Restructuring &amp; Separation_Guidance_Sheet2" xfId="6883" xr:uid="{00000000-0005-0000-0000-0000E21A0000}"/>
    <cellStyle name="_MOR - BDWY - 1+11_MOR - Gurgaon - 3+9(R)_MOR - Revised Package_Revised MOR Package - Latest_By Country Detail 1Q10 041410pm FIN 18 revised per disc w Mary_Restructuring &amp; Separation_Guidance_Sheet3" xfId="6884" xr:uid="{00000000-0005-0000-0000-0000E31A0000}"/>
    <cellStyle name="_MOR - BDWY - 1+11_MOR - Gurgaon - 3+9(R)_MOR - Revised Package_Revised MOR Package - Latest_By Country Detail 1Q10 041410pm FIN 18 revised per disc w Mary_Restructuring &amp; Separation_Guidance_Sheet4" xfId="6885" xr:uid="{00000000-0005-0000-0000-0000E41A0000}"/>
    <cellStyle name="_MOR - BDWY - 1+11_MOR - Gurgaon - 3+9(R)_MOR - Revised Package_Revised MOR Package - Latest_Guidance" xfId="6886" xr:uid="{00000000-0005-0000-0000-0000E51A0000}"/>
    <cellStyle name="_MOR - BDWY - 1+11_MOR - Gurgaon - 3+9(R)_MOR - Revised Package_Revised MOR Package - Latest_Guidance 2" xfId="6887" xr:uid="{00000000-0005-0000-0000-0000E61A0000}"/>
    <cellStyle name="_MOR - BDWY - 1+11_MOR - Gurgaon - 3+9(R)_MOR - Revised Package_Revised MOR Package - Latest_Guidance_BS retrieve" xfId="6888" xr:uid="{00000000-0005-0000-0000-0000E71A0000}"/>
    <cellStyle name="_MOR - BDWY - 1+11_MOR - Gurgaon - 3+9(R)_MOR - Revised Package_Revised MOR Package - Latest_Guidance_Free CF" xfId="6889" xr:uid="{00000000-0005-0000-0000-0000E81A0000}"/>
    <cellStyle name="_MOR - BDWY - 1+11_MOR - Gurgaon - 3+9(R)_MOR - Revised Package_Revised MOR Package - Latest_Guidance_P&amp;L Rec Qtr" xfId="6890" xr:uid="{00000000-0005-0000-0000-0000E91A0000}"/>
    <cellStyle name="_MOR - BDWY - 1+11_MOR - Gurgaon - 3+9(R)_MOR - Revised Package_Revised MOR Package - Latest_Guidance_Sheet1" xfId="6891" xr:uid="{00000000-0005-0000-0000-0000EA1A0000}"/>
    <cellStyle name="_MOR - BDWY - 1+11_MOR - Gurgaon - 3+9(R)_MOR - Revised Package_Revised MOR Package - Latest_Guidance_Sheet2" xfId="6892" xr:uid="{00000000-0005-0000-0000-0000EB1A0000}"/>
    <cellStyle name="_MOR - BDWY - 1+11_MOR - Gurgaon - 3+9(R)_MOR - Revised Package_Revised MOR Package - Latest_Guidance_Sheet3" xfId="6893" xr:uid="{00000000-0005-0000-0000-0000EC1A0000}"/>
    <cellStyle name="_MOR - BDWY - 1+11_MOR - Gurgaon - 3+9(R)_MOR - Revised Package_Revised MOR Package - Latest_Guidance_Sheet4" xfId="6894" xr:uid="{00000000-0005-0000-0000-0000ED1A0000}"/>
    <cellStyle name="_MOR - BDWY - 1+11_MOR - Gurgaon - 3+9(R)_MOR - Revised Package_Revised MOR Package - Latest_II.4. RawMaterials" xfId="6895" xr:uid="{00000000-0005-0000-0000-0000EE1A0000}"/>
    <cellStyle name="_MOR - BDWY - 1+11_MOR - Gurgaon - 3+9(R)_MOR - Revised Package_Revised MOR Package - Latest_II.4. RawMaterials 2" xfId="6896" xr:uid="{00000000-0005-0000-0000-0000EF1A0000}"/>
    <cellStyle name="_MOR - BDWY - 1+11_MOR - Gurgaon - 3+9(R)_MOR - Revised Package_Revised MOR Package - Latest_II.4. RawMaterials_BS retrieve" xfId="6897" xr:uid="{00000000-0005-0000-0000-0000F01A0000}"/>
    <cellStyle name="_MOR - BDWY - 1+11_MOR - Gurgaon - 3+9(R)_MOR - Revised Package_Revised MOR Package - Latest_II.4. RawMaterials_Free CF" xfId="6898" xr:uid="{00000000-0005-0000-0000-0000F11A0000}"/>
    <cellStyle name="_MOR - BDWY - 1+11_MOR - Gurgaon - 3+9(R)_MOR - Revised Package_Revised MOR Package - Latest_II.4. RawMaterials_P&amp;L Rec Qtr" xfId="6899" xr:uid="{00000000-0005-0000-0000-0000F21A0000}"/>
    <cellStyle name="_MOR - BDWY - 1+11_MOR - Gurgaon - 3+9(R)_MOR - Revised Package_Revised MOR Package - Latest_II.4. RawMaterials_Sheet1" xfId="6900" xr:uid="{00000000-0005-0000-0000-0000F31A0000}"/>
    <cellStyle name="_MOR - BDWY - 1+11_MOR - Gurgaon - 3+9(R)_MOR - Revised Package_Revised MOR Package - Latest_II.4. RawMaterials_Sheet2" xfId="6901" xr:uid="{00000000-0005-0000-0000-0000F41A0000}"/>
    <cellStyle name="_MOR - BDWY - 1+11_MOR - Gurgaon - 3+9(R)_MOR - Revised Package_Revised MOR Package - Latest_II.4. RawMaterials_Sheet3" xfId="6902" xr:uid="{00000000-0005-0000-0000-0000F51A0000}"/>
    <cellStyle name="_MOR - BDWY - 1+11_MOR - Gurgaon - 3+9(R)_MOR - Revised Package_Revised MOR Package - Latest_II.4. RawMaterials_Sheet4" xfId="6903" xr:uid="{00000000-0005-0000-0000-0000F61A0000}"/>
    <cellStyle name="_MOR - BDWY - 1+11_MOR - Gurgaon - 3+9(R)_MOR - Revised Package_Revised MOR Package - Latest_II.5. RawMaterials" xfId="6904" xr:uid="{00000000-0005-0000-0000-0000F71A0000}"/>
    <cellStyle name="_MOR - BDWY - 1+11_MOR - Gurgaon - 3+9(R)_MOR - Revised Package_Revised MOR Package - Latest_II.5. RawMaterials 2" xfId="6905" xr:uid="{00000000-0005-0000-0000-0000F81A0000}"/>
    <cellStyle name="_MOR - BDWY - 1+11_MOR - Gurgaon - 3+9(R)_MOR - Revised Package_Revised MOR Package - Latest_II.5. RawMaterials_BS retrieve" xfId="6906" xr:uid="{00000000-0005-0000-0000-0000F91A0000}"/>
    <cellStyle name="_MOR - BDWY - 1+11_MOR - Gurgaon - 3+9(R)_MOR - Revised Package_Revised MOR Package - Latest_II.5. RawMaterials_Free CF" xfId="6907" xr:uid="{00000000-0005-0000-0000-0000FA1A0000}"/>
    <cellStyle name="_MOR - BDWY - 1+11_MOR - Gurgaon - 3+9(R)_MOR - Revised Package_Revised MOR Package - Latest_II.5. RawMaterials_Guidance" xfId="6908" xr:uid="{00000000-0005-0000-0000-0000FB1A0000}"/>
    <cellStyle name="_MOR - BDWY - 1+11_MOR - Gurgaon - 3+9(R)_MOR - Revised Package_Revised MOR Package - Latest_II.5. RawMaterials_Guidance 2" xfId="6909" xr:uid="{00000000-0005-0000-0000-0000FC1A0000}"/>
    <cellStyle name="_MOR - BDWY - 1+11_MOR - Gurgaon - 3+9(R)_MOR - Revised Package_Revised MOR Package - Latest_II.5. RawMaterials_Guidance_BS retrieve" xfId="6910" xr:uid="{00000000-0005-0000-0000-0000FD1A0000}"/>
    <cellStyle name="_MOR - BDWY - 1+11_MOR - Gurgaon - 3+9(R)_MOR - Revised Package_Revised MOR Package - Latest_II.5. RawMaterials_Guidance_Free CF" xfId="6911" xr:uid="{00000000-0005-0000-0000-0000FE1A0000}"/>
    <cellStyle name="_MOR - BDWY - 1+11_MOR - Gurgaon - 3+9(R)_MOR - Revised Package_Revised MOR Package - Latest_II.5. RawMaterials_Guidance_P&amp;L Rec Qtr" xfId="6912" xr:uid="{00000000-0005-0000-0000-0000FF1A0000}"/>
    <cellStyle name="_MOR - BDWY - 1+11_MOR - Gurgaon - 3+9(R)_MOR - Revised Package_Revised MOR Package - Latest_II.5. RawMaterials_Guidance_Sheet1" xfId="6913" xr:uid="{00000000-0005-0000-0000-0000001B0000}"/>
    <cellStyle name="_MOR - BDWY - 1+11_MOR - Gurgaon - 3+9(R)_MOR - Revised Package_Revised MOR Package - Latest_II.5. RawMaterials_Guidance_Sheet2" xfId="6914" xr:uid="{00000000-0005-0000-0000-0000011B0000}"/>
    <cellStyle name="_MOR - BDWY - 1+11_MOR - Gurgaon - 3+9(R)_MOR - Revised Package_Revised MOR Package - Latest_II.5. RawMaterials_Guidance_Sheet3" xfId="6915" xr:uid="{00000000-0005-0000-0000-0000021B0000}"/>
    <cellStyle name="_MOR - BDWY - 1+11_MOR - Gurgaon - 3+9(R)_MOR - Revised Package_Revised MOR Package - Latest_II.5. RawMaterials_Guidance_Sheet4" xfId="6916" xr:uid="{00000000-0005-0000-0000-0000031B0000}"/>
    <cellStyle name="_MOR - BDWY - 1+11_MOR - Gurgaon - 3+9(R)_MOR - Revised Package_Revised MOR Package - Latest_II.5. RawMaterials_P&amp;L Rec Qtr" xfId="6917" xr:uid="{00000000-0005-0000-0000-0000041B0000}"/>
    <cellStyle name="_MOR - BDWY - 1+11_MOR - Gurgaon - 3+9(R)_MOR - Revised Package_Revised MOR Package - Latest_II.5. RawMaterials_Sheet1" xfId="6918" xr:uid="{00000000-0005-0000-0000-0000051B0000}"/>
    <cellStyle name="_MOR - BDWY - 1+11_MOR - Gurgaon - 3+9(R)_MOR - Revised Package_Revised MOR Package - Latest_II.5. RawMaterials_Sheet2" xfId="6919" xr:uid="{00000000-0005-0000-0000-0000061B0000}"/>
    <cellStyle name="_MOR - BDWY - 1+11_MOR - Gurgaon - 3+9(R)_MOR - Revised Package_Revised MOR Package - Latest_II.5. RawMaterials_Sheet3" xfId="6920" xr:uid="{00000000-0005-0000-0000-0000071B0000}"/>
    <cellStyle name="_MOR - BDWY - 1+11_MOR - Gurgaon - 3+9(R)_MOR - Revised Package_Revised MOR Package - Latest_II.5. RawMaterials_Sheet4" xfId="6921" xr:uid="{00000000-0005-0000-0000-0000081B0000}"/>
    <cellStyle name="_MOR - BDWY - 1+11_MOR - Gurgaon - 3+9(R)_MOR - Revised Package_Revised MOR Package - Latest_II.5. RM Volume Sensitivities" xfId="6922" xr:uid="{00000000-0005-0000-0000-0000091B0000}"/>
    <cellStyle name="_MOR - BDWY - 1+11_MOR - Gurgaon - 3+9(R)_MOR - Revised Package_Revised MOR Package - Latest_II.5. RM Volume Sensitivities 2" xfId="6923" xr:uid="{00000000-0005-0000-0000-00000A1B0000}"/>
    <cellStyle name="_MOR - BDWY - 1+11_MOR - Gurgaon - 3+9(R)_MOR - Revised Package_Revised MOR Package - Latest_II.5. RM Volume Sensitivities_BS retrieve" xfId="6924" xr:uid="{00000000-0005-0000-0000-00000B1B0000}"/>
    <cellStyle name="_MOR - BDWY - 1+11_MOR - Gurgaon - 3+9(R)_MOR - Revised Package_Revised MOR Package - Latest_II.5. RM Volume Sensitivities_Free CF" xfId="6925" xr:uid="{00000000-0005-0000-0000-00000C1B0000}"/>
    <cellStyle name="_MOR - BDWY - 1+11_MOR - Gurgaon - 3+9(R)_MOR - Revised Package_Revised MOR Package - Latest_II.5. RM Volume Sensitivities_P&amp;L Rec Qtr" xfId="6926" xr:uid="{00000000-0005-0000-0000-00000D1B0000}"/>
    <cellStyle name="_MOR - BDWY - 1+11_MOR - Gurgaon - 3+9(R)_MOR - Revised Package_Revised MOR Package - Latest_II.5. RM Volume Sensitivities_Sheet1" xfId="6927" xr:uid="{00000000-0005-0000-0000-00000E1B0000}"/>
    <cellStyle name="_MOR - BDWY - 1+11_MOR - Gurgaon - 3+9(R)_MOR - Revised Package_Revised MOR Package - Latest_II.5. RM Volume Sensitivities_Sheet2" xfId="6928" xr:uid="{00000000-0005-0000-0000-00000F1B0000}"/>
    <cellStyle name="_MOR - BDWY - 1+11_MOR - Gurgaon - 3+9(R)_MOR - Revised Package_Revised MOR Package - Latest_II.5. RM Volume Sensitivities_Sheet3" xfId="6929" xr:uid="{00000000-0005-0000-0000-0000101B0000}"/>
    <cellStyle name="_MOR - BDWY - 1+11_MOR - Gurgaon - 3+9(R)_MOR - Revised Package_Revised MOR Package - Latest_II.5. RM Volume Sensitivities_Sheet4" xfId="6930" xr:uid="{00000000-0005-0000-0000-0000111B0000}"/>
    <cellStyle name="_MOR - BDWY - 1+11_MOR - Gurgaon - 3+9(R)_MOR - Revised Package_Revised MOR Package - Latest_II.8. Sep&amp;Discrete" xfId="6931" xr:uid="{00000000-0005-0000-0000-0000121B0000}"/>
    <cellStyle name="_MOR - BDWY - 1+11_MOR - Gurgaon - 3+9(R)_MOR - Revised Package_Revised MOR Package - Latest_II.8. Sep&amp;Discrete_Guidance" xfId="6932" xr:uid="{00000000-0005-0000-0000-0000131B0000}"/>
    <cellStyle name="_MOR - BDWY - 1+11_MOR - Gurgaon - 3+9(R)_MOR - Revised Package_Revised MOR Package - Latest_II.8. Sep&amp;Discrete_Guidance 2" xfId="6933" xr:uid="{00000000-0005-0000-0000-0000141B0000}"/>
    <cellStyle name="_MOR - BDWY - 1+11_MOR - Gurgaon - 3+9(R)_MOR - Revised Package_Revised MOR Package - Latest_II.8. Sep&amp;Discrete_Guidance_BS retrieve" xfId="6934" xr:uid="{00000000-0005-0000-0000-0000151B0000}"/>
    <cellStyle name="_MOR - BDWY - 1+11_MOR - Gurgaon - 3+9(R)_MOR - Revised Package_Revised MOR Package - Latest_II.8. Sep&amp;Discrete_Guidance_Free CF" xfId="6935" xr:uid="{00000000-0005-0000-0000-0000161B0000}"/>
    <cellStyle name="_MOR - BDWY - 1+11_MOR - Gurgaon - 3+9(R)_MOR - Revised Package_Revised MOR Package - Latest_II.8. Sep&amp;Discrete_Guidance_P&amp;L Rec Qtr" xfId="6936" xr:uid="{00000000-0005-0000-0000-0000171B0000}"/>
    <cellStyle name="_MOR - BDWY - 1+11_MOR - Gurgaon - 3+9(R)_MOR - Revised Package_Revised MOR Package - Latest_II.8. Sep&amp;Discrete_Guidance_Sheet1" xfId="6937" xr:uid="{00000000-0005-0000-0000-0000181B0000}"/>
    <cellStyle name="_MOR - BDWY - 1+11_MOR - Gurgaon - 3+9(R)_MOR - Revised Package_Revised MOR Package - Latest_II.8. Sep&amp;Discrete_Guidance_Sheet2" xfId="6938" xr:uid="{00000000-0005-0000-0000-0000191B0000}"/>
    <cellStyle name="_MOR - BDWY - 1+11_MOR - Gurgaon - 3+9(R)_MOR - Revised Package_Revised MOR Package - Latest_II.8. Sep&amp;Discrete_Guidance_Sheet3" xfId="6939" xr:uid="{00000000-0005-0000-0000-00001A1B0000}"/>
    <cellStyle name="_MOR - BDWY - 1+11_MOR - Gurgaon - 3+9(R)_MOR - Revised Package_Revised MOR Package - Latest_II.8. Sep&amp;Discrete_Guidance_Sheet4" xfId="6940" xr:uid="{00000000-0005-0000-0000-00001B1B0000}"/>
    <cellStyle name="_MOR - BDWY - 1+11_MOR - Gurgaon - 3+9(R)_MOR - Revised Package_Revised MOR Package - Latest_Restructuring &amp; Separation" xfId="6941" xr:uid="{00000000-0005-0000-0000-00001C1B0000}"/>
    <cellStyle name="_MOR - BDWY - 1+11_MOR - Gurgaon - 3+9(R)_MOR - Revised Package_Revised MOR Package - Latest_Restructuring &amp; Separation_Guidance" xfId="6942" xr:uid="{00000000-0005-0000-0000-00001D1B0000}"/>
    <cellStyle name="_MOR - BDWY - 1+11_MOR - Gurgaon - 3+9(R)_MOR - Revised Package_Revised MOR Package - Latest_Restructuring &amp; Separation_Guidance 2" xfId="6943" xr:uid="{00000000-0005-0000-0000-00001E1B0000}"/>
    <cellStyle name="_MOR - BDWY - 1+11_MOR - Gurgaon - 3+9(R)_MOR - Revised Package_Revised MOR Package - Latest_Restructuring &amp; Separation_Guidance_BS retrieve" xfId="6944" xr:uid="{00000000-0005-0000-0000-00001F1B0000}"/>
    <cellStyle name="_MOR - BDWY - 1+11_MOR - Gurgaon - 3+9(R)_MOR - Revised Package_Revised MOR Package - Latest_Restructuring &amp; Separation_Guidance_Free CF" xfId="6945" xr:uid="{00000000-0005-0000-0000-0000201B0000}"/>
    <cellStyle name="_MOR - BDWY - 1+11_MOR - Gurgaon - 3+9(R)_MOR - Revised Package_Revised MOR Package - Latest_Restructuring &amp; Separation_Guidance_P&amp;L Rec Qtr" xfId="6946" xr:uid="{00000000-0005-0000-0000-0000211B0000}"/>
    <cellStyle name="_MOR - BDWY - 1+11_MOR - Gurgaon - 3+9(R)_MOR - Revised Package_Revised MOR Package - Latest_Restructuring &amp; Separation_Guidance_Sheet1" xfId="6947" xr:uid="{00000000-0005-0000-0000-0000221B0000}"/>
    <cellStyle name="_MOR - BDWY - 1+11_MOR - Gurgaon - 3+9(R)_MOR - Revised Package_Revised MOR Package - Latest_Restructuring &amp; Separation_Guidance_Sheet2" xfId="6948" xr:uid="{00000000-0005-0000-0000-0000231B0000}"/>
    <cellStyle name="_MOR - BDWY - 1+11_MOR - Gurgaon - 3+9(R)_MOR - Revised Package_Revised MOR Package - Latest_Restructuring &amp; Separation_Guidance_Sheet3" xfId="6949" xr:uid="{00000000-0005-0000-0000-0000241B0000}"/>
    <cellStyle name="_MOR - BDWY - 1+11_MOR - Gurgaon - 3+9(R)_MOR - Revised Package_Revised MOR Package - Latest_Restructuring &amp; Separation_Guidance_Sheet4" xfId="6950" xr:uid="{00000000-0005-0000-0000-0000251B0000}"/>
    <cellStyle name="_MOR - BDWY - 1+11_MOR - Gurgaon - 3+9(R)_MOR - Revised Package_Revised MOR Package - Latest_Restructuring_Separation_TAX_JuneFC2010 tf" xfId="6951" xr:uid="{00000000-0005-0000-0000-0000261B0000}"/>
    <cellStyle name="_MOR - BDWY - 1+11_MOR - Gurgaon - 3+9(R)_MOR - Revised Package_Revised MOR Package - Latest_Restructuring_Separation_TAX_JuneFC2010 tf_BS_Separation_TaxResIndem_Q12412 tf" xfId="6952" xr:uid="{00000000-0005-0000-0000-0000271B0000}"/>
    <cellStyle name="_MOR - BDWY - 1+11_MOR - Gurgaon - 3+9(R)_MOR - Revised Package_Revised MOR Package - Latest_Restructuring_Separation_TAX_JuneFC2010 tf_BS_Separation_TaxResIndem_Q12412 tf_Guidance" xfId="6953" xr:uid="{00000000-0005-0000-0000-0000281B0000}"/>
    <cellStyle name="_MOR - BDWY - 1+11_MOR - Gurgaon - 3+9(R)_MOR - Revised Package_Revised MOR Package - Latest_Restructuring_Separation_TAX_JuneFC2010 tf_BS_Separation_TaxResIndem_Q12412 tf_Guidance 2" xfId="6954" xr:uid="{00000000-0005-0000-0000-0000291B0000}"/>
    <cellStyle name="_MOR - BDWY - 1+11_MOR - Gurgaon - 3+9(R)_MOR - Revised Package_Revised MOR Package - Latest_Restructuring_Separation_TAX_JuneFC2010 tf_BS_Separation_TaxResIndem_Q12412 tf_Guidance_BS retrieve" xfId="6955" xr:uid="{00000000-0005-0000-0000-00002A1B0000}"/>
    <cellStyle name="_MOR - BDWY - 1+11_MOR - Gurgaon - 3+9(R)_MOR - Revised Package_Revised MOR Package - Latest_Restructuring_Separation_TAX_JuneFC2010 tf_BS_Separation_TaxResIndem_Q12412 tf_Guidance_Free CF" xfId="6956" xr:uid="{00000000-0005-0000-0000-00002B1B0000}"/>
    <cellStyle name="_MOR - BDWY - 1+11_MOR - Gurgaon - 3+9(R)_MOR - Revised Package_Revised MOR Package - Latest_Restructuring_Separation_TAX_JuneFC2010 tf_BS_Separation_TaxResIndem_Q12412 tf_Guidance_P&amp;L Rec Qtr" xfId="6957" xr:uid="{00000000-0005-0000-0000-00002C1B0000}"/>
    <cellStyle name="_MOR - BDWY - 1+11_MOR - Gurgaon - 3+9(R)_MOR - Revised Package_Revised MOR Package - Latest_Restructuring_Separation_TAX_JuneFC2010 tf_BS_Separation_TaxResIndem_Q12412 tf_Guidance_Sheet1" xfId="6958" xr:uid="{00000000-0005-0000-0000-00002D1B0000}"/>
    <cellStyle name="_MOR - BDWY - 1+11_MOR - Gurgaon - 3+9(R)_MOR - Revised Package_Revised MOR Package - Latest_Restructuring_Separation_TAX_JuneFC2010 tf_BS_Separation_TaxResIndem_Q12412 tf_Guidance_Sheet2" xfId="6959" xr:uid="{00000000-0005-0000-0000-00002E1B0000}"/>
    <cellStyle name="_MOR - BDWY - 1+11_MOR - Gurgaon - 3+9(R)_MOR - Revised Package_Revised MOR Package - Latest_Restructuring_Separation_TAX_JuneFC2010 tf_BS_Separation_TaxResIndem_Q12412 tf_Guidance_Sheet3" xfId="6960" xr:uid="{00000000-0005-0000-0000-00002F1B0000}"/>
    <cellStyle name="_MOR - BDWY - 1+11_MOR - Gurgaon - 3+9(R)_MOR - Revised Package_Revised MOR Package - Latest_Restructuring_Separation_TAX_JuneFC2010 tf_BS_Separation_TaxResIndem_Q12412 tf_Guidance_Sheet4" xfId="6961" xr:uid="{00000000-0005-0000-0000-0000301B0000}"/>
    <cellStyle name="_MOR - BDWY - 1+11_MOR - Gurgaon - 3+9(R)_MOR - Revised Package_Revised MOR Package - Latest_Restructuring_Separation_TAX_JuneFC2010 tf_BS_Separation_TaxResIndem_Q12412 tf_Restructuring &amp; Separation" xfId="6962" xr:uid="{00000000-0005-0000-0000-0000311B0000}"/>
    <cellStyle name="_MOR - BDWY - 1+11_MOR - Gurgaon - 3+9(R)_MOR - Revised Package_Revised MOR Package - Latest_Restructuring_Separation_TAX_JuneFC2010 tf_BS_Separation_TaxResIndem_Q12412 tf_Restructuring &amp; Separation_Guidance" xfId="6963" xr:uid="{00000000-0005-0000-0000-0000321B0000}"/>
    <cellStyle name="_MOR - BDWY - 1+11_MOR - Gurgaon - 3+9(R)_MOR - Revised Package_Revised MOR Package - Latest_Restructuring_Separation_TAX_JuneFC2010 tf_BS_Separation_TaxResIndem_Q12412 tf_Restructuring &amp; Separation_Guidance 2" xfId="6964" xr:uid="{00000000-0005-0000-0000-0000331B0000}"/>
    <cellStyle name="_MOR - BDWY - 1+11_MOR - Gurgaon - 3+9(R)_MOR - Revised Package_Revised MOR Package - Latest_Restructuring_Separation_TAX_JuneFC2010 tf_BS_Separation_TaxResIndem_Q12412 tf_Restructuring &amp; Separation_Guidance_BS retrieve" xfId="6965" xr:uid="{00000000-0005-0000-0000-0000341B0000}"/>
    <cellStyle name="_MOR - BDWY - 1+11_MOR - Gurgaon - 3+9(R)_MOR - Revised Package_Revised MOR Package - Latest_Restructuring_Separation_TAX_JuneFC2010 tf_BS_Separation_TaxResIndem_Q12412 tf_Restructuring &amp; Separation_Guidance_Free CF" xfId="6966" xr:uid="{00000000-0005-0000-0000-0000351B0000}"/>
    <cellStyle name="_MOR - BDWY - 1+11_MOR - Gurgaon - 3+9(R)_MOR - Revised Package_Revised MOR Package - Latest_Restructuring_Separation_TAX_JuneFC2010 tf_BS_Separation_TaxResIndem_Q12412 tf_Restructuring &amp; Separation_Guidance_P&amp;L Rec Qtr" xfId="6967" xr:uid="{00000000-0005-0000-0000-0000361B0000}"/>
    <cellStyle name="_MOR - BDWY - 1+11_MOR - Gurgaon - 3+9(R)_MOR - Revised Package_Revised MOR Package - Latest_Restructuring_Separation_TAX_JuneFC2010 tf_BS_Separation_TaxResIndem_Q12412 tf_Restructuring &amp; Separation_Guidance_Sheet1" xfId="6968" xr:uid="{00000000-0005-0000-0000-0000371B0000}"/>
    <cellStyle name="_MOR - BDWY - 1+11_MOR - Gurgaon - 3+9(R)_MOR - Revised Package_Revised MOR Package - Latest_Restructuring_Separation_TAX_JuneFC2010 tf_BS_Separation_TaxResIndem_Q12412 tf_Restructuring &amp; Separation_Guidance_Sheet2" xfId="6969" xr:uid="{00000000-0005-0000-0000-0000381B0000}"/>
    <cellStyle name="_MOR - BDWY - 1+11_MOR - Gurgaon - 3+9(R)_MOR - Revised Package_Revised MOR Package - Latest_Restructuring_Separation_TAX_JuneFC2010 tf_BS_Separation_TaxResIndem_Q12412 tf_Restructuring &amp; Separation_Guidance_Sheet3" xfId="6970" xr:uid="{00000000-0005-0000-0000-0000391B0000}"/>
    <cellStyle name="_MOR - BDWY - 1+11_MOR - Gurgaon - 3+9(R)_MOR - Revised Package_Revised MOR Package - Latest_Restructuring_Separation_TAX_JuneFC2010 tf_BS_Separation_TaxResIndem_Q12412 tf_Restructuring &amp; Separation_Guidance_Sheet4" xfId="6971" xr:uid="{00000000-0005-0000-0000-00003A1B0000}"/>
    <cellStyle name="_MOR - BDWY - 1+11_MOR - Gurgaon - 3+9(R)_MOR - Revised Package_Revised MOR Package - Latest_Restructuring_Separation_TAX_JuneFC2010 tf_Guidance" xfId="6972" xr:uid="{00000000-0005-0000-0000-00003B1B0000}"/>
    <cellStyle name="_MOR - BDWY - 1+11_MOR - Gurgaon - 3+9(R)_MOR - Revised Package_Revised MOR Package - Latest_Restructuring_Separation_TAX_JuneFC2010 tf_Guidance 2" xfId="6973" xr:uid="{00000000-0005-0000-0000-00003C1B0000}"/>
    <cellStyle name="_MOR - BDWY - 1+11_MOR - Gurgaon - 3+9(R)_MOR - Revised Package_Revised MOR Package - Latest_Restructuring_Separation_TAX_JuneFC2010 tf_Guidance_BS retrieve" xfId="6974" xr:uid="{00000000-0005-0000-0000-00003D1B0000}"/>
    <cellStyle name="_MOR - BDWY - 1+11_MOR - Gurgaon - 3+9(R)_MOR - Revised Package_Revised MOR Package - Latest_Restructuring_Separation_TAX_JuneFC2010 tf_Guidance_Free CF" xfId="6975" xr:uid="{00000000-0005-0000-0000-00003E1B0000}"/>
    <cellStyle name="_MOR - BDWY - 1+11_MOR - Gurgaon - 3+9(R)_MOR - Revised Package_Revised MOR Package - Latest_Restructuring_Separation_TAX_JuneFC2010 tf_Guidance_P&amp;L Rec Qtr" xfId="6976" xr:uid="{00000000-0005-0000-0000-00003F1B0000}"/>
    <cellStyle name="_MOR - BDWY - 1+11_MOR - Gurgaon - 3+9(R)_MOR - Revised Package_Revised MOR Package - Latest_Restructuring_Separation_TAX_JuneFC2010 tf_Guidance_Sheet1" xfId="6977" xr:uid="{00000000-0005-0000-0000-0000401B0000}"/>
    <cellStyle name="_MOR - BDWY - 1+11_MOR - Gurgaon - 3+9(R)_MOR - Revised Package_Revised MOR Package - Latest_Restructuring_Separation_TAX_JuneFC2010 tf_Guidance_Sheet2" xfId="6978" xr:uid="{00000000-0005-0000-0000-0000411B0000}"/>
    <cellStyle name="_MOR - BDWY - 1+11_MOR - Gurgaon - 3+9(R)_MOR - Revised Package_Revised MOR Package - Latest_Restructuring_Separation_TAX_JuneFC2010 tf_Guidance_Sheet3" xfId="6979" xr:uid="{00000000-0005-0000-0000-0000421B0000}"/>
    <cellStyle name="_MOR - BDWY - 1+11_MOR - Gurgaon - 3+9(R)_MOR - Revised Package_Revised MOR Package - Latest_Restructuring_Separation_TAX_JuneFC2010 tf_Guidance_Sheet4" xfId="6980" xr:uid="{00000000-0005-0000-0000-0000431B0000}"/>
    <cellStyle name="_MOR - BDWY - 1+11_MOR - Gurgaon - 3+9(R)_MOR - Revised Package_Revised MOR Package - Latest_Restructuring_Separation_TAX_JuneFC2010 tf_II.8. Sep&amp;Discrete" xfId="6981" xr:uid="{00000000-0005-0000-0000-0000441B0000}"/>
    <cellStyle name="_MOR - BDWY - 1+11_MOR - Gurgaon - 3+9(R)_MOR - Revised Package_Revised MOR Package - Latest_Restructuring_Separation_TAX_JuneFC2010 tf_II.8. Sep&amp;Discrete_Guidance" xfId="6982" xr:uid="{00000000-0005-0000-0000-0000451B0000}"/>
    <cellStyle name="_MOR - BDWY - 1+11_MOR - Gurgaon - 3+9(R)_MOR - Revised Package_Revised MOR Package - Latest_Restructuring_Separation_TAX_JuneFC2010 tf_II.8. Sep&amp;Discrete_Guidance 2" xfId="6983" xr:uid="{00000000-0005-0000-0000-0000461B0000}"/>
    <cellStyle name="_MOR - BDWY - 1+11_MOR - Gurgaon - 3+9(R)_MOR - Revised Package_Revised MOR Package - Latest_Restructuring_Separation_TAX_JuneFC2010 tf_II.8. Sep&amp;Discrete_Guidance_BS retrieve" xfId="6984" xr:uid="{00000000-0005-0000-0000-0000471B0000}"/>
    <cellStyle name="_MOR - BDWY - 1+11_MOR - Gurgaon - 3+9(R)_MOR - Revised Package_Revised MOR Package - Latest_Restructuring_Separation_TAX_JuneFC2010 tf_II.8. Sep&amp;Discrete_Guidance_Free CF" xfId="6985" xr:uid="{00000000-0005-0000-0000-0000481B0000}"/>
    <cellStyle name="_MOR - BDWY - 1+11_MOR - Gurgaon - 3+9(R)_MOR - Revised Package_Revised MOR Package - Latest_Restructuring_Separation_TAX_JuneFC2010 tf_II.8. Sep&amp;Discrete_Guidance_P&amp;L Rec Qtr" xfId="6986" xr:uid="{00000000-0005-0000-0000-0000491B0000}"/>
    <cellStyle name="_MOR - BDWY - 1+11_MOR - Gurgaon - 3+9(R)_MOR - Revised Package_Revised MOR Package - Latest_Restructuring_Separation_TAX_JuneFC2010 tf_II.8. Sep&amp;Discrete_Guidance_Sheet1" xfId="6987" xr:uid="{00000000-0005-0000-0000-00004A1B0000}"/>
    <cellStyle name="_MOR - BDWY - 1+11_MOR - Gurgaon - 3+9(R)_MOR - Revised Package_Revised MOR Package - Latest_Restructuring_Separation_TAX_JuneFC2010 tf_II.8. Sep&amp;Discrete_Guidance_Sheet2" xfId="6988" xr:uid="{00000000-0005-0000-0000-00004B1B0000}"/>
    <cellStyle name="_MOR - BDWY - 1+11_MOR - Gurgaon - 3+9(R)_MOR - Revised Package_Revised MOR Package - Latest_Restructuring_Separation_TAX_JuneFC2010 tf_II.8. Sep&amp;Discrete_Guidance_Sheet3" xfId="6989" xr:uid="{00000000-0005-0000-0000-00004C1B0000}"/>
    <cellStyle name="_MOR - BDWY - 1+11_MOR - Gurgaon - 3+9(R)_MOR - Revised Package_Revised MOR Package - Latest_Restructuring_Separation_TAX_JuneFC2010 tf_II.8. Sep&amp;Discrete_Guidance_Sheet4" xfId="6990" xr:uid="{00000000-0005-0000-0000-00004D1B0000}"/>
    <cellStyle name="_MOR - BDWY - 1+11_MOR - Gurgaon - 3+9(R)_MOR - Revised Package_Revised MOR Package - Latest_Restructuring_Separation_TAX_JuneFC2010 tf_Restructuring &amp; Separation" xfId="6991" xr:uid="{00000000-0005-0000-0000-00004E1B0000}"/>
    <cellStyle name="_MOR - BDWY - 1+11_MOR - Gurgaon - 3+9(R)_MOR - Revised Package_Revised MOR Package - Latest_Restructuring_Separation_TAX_JuneFC2010 tf_Restructuring &amp; Separation_Guidance" xfId="6992" xr:uid="{00000000-0005-0000-0000-00004F1B0000}"/>
    <cellStyle name="_MOR - BDWY - 1+11_MOR - Gurgaon - 3+9(R)_MOR - Revised Package_Revised MOR Package - Latest_Restructuring_Separation_TAX_JuneFC2010 tf_Restructuring &amp; Separation_Guidance 2" xfId="6993" xr:uid="{00000000-0005-0000-0000-0000501B0000}"/>
    <cellStyle name="_MOR - BDWY - 1+11_MOR - Gurgaon - 3+9(R)_MOR - Revised Package_Revised MOR Package - Latest_Restructuring_Separation_TAX_JuneFC2010 tf_Restructuring &amp; Separation_Guidance_BS retrieve" xfId="6994" xr:uid="{00000000-0005-0000-0000-0000511B0000}"/>
    <cellStyle name="_MOR - BDWY - 1+11_MOR - Gurgaon - 3+9(R)_MOR - Revised Package_Revised MOR Package - Latest_Restructuring_Separation_TAX_JuneFC2010 tf_Restructuring &amp; Separation_Guidance_Free CF" xfId="6995" xr:uid="{00000000-0005-0000-0000-0000521B0000}"/>
    <cellStyle name="_MOR - BDWY - 1+11_MOR - Gurgaon - 3+9(R)_MOR - Revised Package_Revised MOR Package - Latest_Restructuring_Separation_TAX_JuneFC2010 tf_Restructuring &amp; Separation_Guidance_P&amp;L Rec Qtr" xfId="6996" xr:uid="{00000000-0005-0000-0000-0000531B0000}"/>
    <cellStyle name="_MOR - BDWY - 1+11_MOR - Gurgaon - 3+9(R)_MOR - Revised Package_Revised MOR Package - Latest_Restructuring_Separation_TAX_JuneFC2010 tf_Restructuring &amp; Separation_Guidance_Sheet1" xfId="6997" xr:uid="{00000000-0005-0000-0000-0000541B0000}"/>
    <cellStyle name="_MOR - BDWY - 1+11_MOR - Gurgaon - 3+9(R)_MOR - Revised Package_Revised MOR Package - Latest_Restructuring_Separation_TAX_JuneFC2010 tf_Restructuring &amp; Separation_Guidance_Sheet2" xfId="6998" xr:uid="{00000000-0005-0000-0000-0000551B0000}"/>
    <cellStyle name="_MOR - BDWY - 1+11_MOR - Gurgaon - 3+9(R)_MOR - Revised Package_Revised MOR Package - Latest_Restructuring_Separation_TAX_JuneFC2010 tf_Restructuring &amp; Separation_Guidance_Sheet3" xfId="6999" xr:uid="{00000000-0005-0000-0000-0000561B0000}"/>
    <cellStyle name="_MOR - BDWY - 1+11_MOR - Gurgaon - 3+9(R)_MOR - Revised Package_Revised MOR Package - Latest_Restructuring_Separation_TAX_JuneFC2010 tf_Restructuring &amp; Separation_Guidance_Sheet4" xfId="7000" xr:uid="{00000000-0005-0000-0000-0000571B0000}"/>
    <cellStyle name="_MOR - BDWY - 1+11_MOR - Gurgaon - 3+9(R)_Restructuring &amp; Separation" xfId="7001" xr:uid="{00000000-0005-0000-0000-0000581B0000}"/>
    <cellStyle name="_MOR - BDWY - 1+11_MOR - Gurgaon - 3+9(R)_Restructuring &amp; Separation_Guidance" xfId="7002" xr:uid="{00000000-0005-0000-0000-0000591B0000}"/>
    <cellStyle name="_MOR - BDWY - 1+11_MOR - Gurgaon - 3+9(R)_Restructuring &amp; Separation_Guidance 2" xfId="7003" xr:uid="{00000000-0005-0000-0000-00005A1B0000}"/>
    <cellStyle name="_MOR - BDWY - 1+11_MOR - Gurgaon - 3+9(R)_Restructuring &amp; Separation_Guidance_BS retrieve" xfId="7004" xr:uid="{00000000-0005-0000-0000-00005B1B0000}"/>
    <cellStyle name="_MOR - BDWY - 1+11_MOR - Gurgaon - 3+9(R)_Restructuring &amp; Separation_Guidance_Free CF" xfId="7005" xr:uid="{00000000-0005-0000-0000-00005C1B0000}"/>
    <cellStyle name="_MOR - BDWY - 1+11_MOR - Gurgaon - 3+9(R)_Restructuring &amp; Separation_Guidance_P&amp;L Rec Qtr" xfId="7006" xr:uid="{00000000-0005-0000-0000-00005D1B0000}"/>
    <cellStyle name="_MOR - BDWY - 1+11_MOR - Gurgaon - 3+9(R)_Restructuring &amp; Separation_Guidance_Sheet1" xfId="7007" xr:uid="{00000000-0005-0000-0000-00005E1B0000}"/>
    <cellStyle name="_MOR - BDWY - 1+11_MOR - Gurgaon - 3+9(R)_Restructuring &amp; Separation_Guidance_Sheet2" xfId="7008" xr:uid="{00000000-0005-0000-0000-00005F1B0000}"/>
    <cellStyle name="_MOR - BDWY - 1+11_MOR - Gurgaon - 3+9(R)_Restructuring &amp; Separation_Guidance_Sheet3" xfId="7009" xr:uid="{00000000-0005-0000-0000-0000601B0000}"/>
    <cellStyle name="_MOR - BDWY - 1+11_MOR - Gurgaon - 3+9(R)_Restructuring &amp; Separation_Guidance_Sheet4" xfId="7010" xr:uid="{00000000-0005-0000-0000-0000611B0000}"/>
    <cellStyle name="_MOR - BDWY - 1+11_MOR - Gurgaon - 3+9(R)_Restructuring_Separation_TAX_JuneFC2010 tf" xfId="7011" xr:uid="{00000000-0005-0000-0000-0000621B0000}"/>
    <cellStyle name="_MOR - BDWY - 1+11_MOR - Gurgaon - 3+9(R)_Restructuring_Separation_TAX_JuneFC2010 tf_BS_Separation_TaxResIndem_Q12412 tf" xfId="7012" xr:uid="{00000000-0005-0000-0000-0000631B0000}"/>
    <cellStyle name="_MOR - BDWY - 1+11_MOR - Gurgaon - 3+9(R)_Restructuring_Separation_TAX_JuneFC2010 tf_BS_Separation_TaxResIndem_Q12412 tf_Guidance" xfId="7013" xr:uid="{00000000-0005-0000-0000-0000641B0000}"/>
    <cellStyle name="_MOR - BDWY - 1+11_MOR - Gurgaon - 3+9(R)_Restructuring_Separation_TAX_JuneFC2010 tf_BS_Separation_TaxResIndem_Q12412 tf_Guidance 2" xfId="7014" xr:uid="{00000000-0005-0000-0000-0000651B0000}"/>
    <cellStyle name="_MOR - BDWY - 1+11_MOR - Gurgaon - 3+9(R)_Restructuring_Separation_TAX_JuneFC2010 tf_BS_Separation_TaxResIndem_Q12412 tf_Guidance_BS retrieve" xfId="7015" xr:uid="{00000000-0005-0000-0000-0000661B0000}"/>
    <cellStyle name="_MOR - BDWY - 1+11_MOR - Gurgaon - 3+9(R)_Restructuring_Separation_TAX_JuneFC2010 tf_BS_Separation_TaxResIndem_Q12412 tf_Guidance_Free CF" xfId="7016" xr:uid="{00000000-0005-0000-0000-0000671B0000}"/>
    <cellStyle name="_MOR - BDWY - 1+11_MOR - Gurgaon - 3+9(R)_Restructuring_Separation_TAX_JuneFC2010 tf_BS_Separation_TaxResIndem_Q12412 tf_Guidance_P&amp;L Rec Qtr" xfId="7017" xr:uid="{00000000-0005-0000-0000-0000681B0000}"/>
    <cellStyle name="_MOR - BDWY - 1+11_MOR - Gurgaon - 3+9(R)_Restructuring_Separation_TAX_JuneFC2010 tf_BS_Separation_TaxResIndem_Q12412 tf_Guidance_Sheet1" xfId="7018" xr:uid="{00000000-0005-0000-0000-0000691B0000}"/>
    <cellStyle name="_MOR - BDWY - 1+11_MOR - Gurgaon - 3+9(R)_Restructuring_Separation_TAX_JuneFC2010 tf_BS_Separation_TaxResIndem_Q12412 tf_Guidance_Sheet2" xfId="7019" xr:uid="{00000000-0005-0000-0000-00006A1B0000}"/>
    <cellStyle name="_MOR - BDWY - 1+11_MOR - Gurgaon - 3+9(R)_Restructuring_Separation_TAX_JuneFC2010 tf_BS_Separation_TaxResIndem_Q12412 tf_Guidance_Sheet3" xfId="7020" xr:uid="{00000000-0005-0000-0000-00006B1B0000}"/>
    <cellStyle name="_MOR - BDWY - 1+11_MOR - Gurgaon - 3+9(R)_Restructuring_Separation_TAX_JuneFC2010 tf_BS_Separation_TaxResIndem_Q12412 tf_Guidance_Sheet4" xfId="7021" xr:uid="{00000000-0005-0000-0000-00006C1B0000}"/>
    <cellStyle name="_MOR - BDWY - 1+11_MOR - Gurgaon - 3+9(R)_Restructuring_Separation_TAX_JuneFC2010 tf_BS_Separation_TaxResIndem_Q12412 tf_Restructuring &amp; Separation" xfId="7022" xr:uid="{00000000-0005-0000-0000-00006D1B0000}"/>
    <cellStyle name="_MOR - BDWY - 1+11_MOR - Gurgaon - 3+9(R)_Restructuring_Separation_TAX_JuneFC2010 tf_BS_Separation_TaxResIndem_Q12412 tf_Restructuring &amp; Separation_Guidance" xfId="7023" xr:uid="{00000000-0005-0000-0000-00006E1B0000}"/>
    <cellStyle name="_MOR - BDWY - 1+11_MOR - Gurgaon - 3+9(R)_Restructuring_Separation_TAX_JuneFC2010 tf_BS_Separation_TaxResIndem_Q12412 tf_Restructuring &amp; Separation_Guidance 2" xfId="7024" xr:uid="{00000000-0005-0000-0000-00006F1B0000}"/>
    <cellStyle name="_MOR - BDWY - 1+11_MOR - Gurgaon - 3+9(R)_Restructuring_Separation_TAX_JuneFC2010 tf_BS_Separation_TaxResIndem_Q12412 tf_Restructuring &amp; Separation_Guidance_BS retrieve" xfId="7025" xr:uid="{00000000-0005-0000-0000-0000701B0000}"/>
    <cellStyle name="_MOR - BDWY - 1+11_MOR - Gurgaon - 3+9(R)_Restructuring_Separation_TAX_JuneFC2010 tf_BS_Separation_TaxResIndem_Q12412 tf_Restructuring &amp; Separation_Guidance_Free CF" xfId="7026" xr:uid="{00000000-0005-0000-0000-0000711B0000}"/>
    <cellStyle name="_MOR - BDWY - 1+11_MOR - Gurgaon - 3+9(R)_Restructuring_Separation_TAX_JuneFC2010 tf_BS_Separation_TaxResIndem_Q12412 tf_Restructuring &amp; Separation_Guidance_P&amp;L Rec Qtr" xfId="7027" xr:uid="{00000000-0005-0000-0000-0000721B0000}"/>
    <cellStyle name="_MOR - BDWY - 1+11_MOR - Gurgaon - 3+9(R)_Restructuring_Separation_TAX_JuneFC2010 tf_BS_Separation_TaxResIndem_Q12412 tf_Restructuring &amp; Separation_Guidance_Sheet1" xfId="7028" xr:uid="{00000000-0005-0000-0000-0000731B0000}"/>
    <cellStyle name="_MOR - BDWY - 1+11_MOR - Gurgaon - 3+9(R)_Restructuring_Separation_TAX_JuneFC2010 tf_BS_Separation_TaxResIndem_Q12412 tf_Restructuring &amp; Separation_Guidance_Sheet2" xfId="7029" xr:uid="{00000000-0005-0000-0000-0000741B0000}"/>
    <cellStyle name="_MOR - BDWY - 1+11_MOR - Gurgaon - 3+9(R)_Restructuring_Separation_TAX_JuneFC2010 tf_BS_Separation_TaxResIndem_Q12412 tf_Restructuring &amp; Separation_Guidance_Sheet3" xfId="7030" xr:uid="{00000000-0005-0000-0000-0000751B0000}"/>
    <cellStyle name="_MOR - BDWY - 1+11_MOR - Gurgaon - 3+9(R)_Restructuring_Separation_TAX_JuneFC2010 tf_BS_Separation_TaxResIndem_Q12412 tf_Restructuring &amp; Separation_Guidance_Sheet4" xfId="7031" xr:uid="{00000000-0005-0000-0000-0000761B0000}"/>
    <cellStyle name="_MOR - BDWY - 1+11_MOR - Gurgaon - 3+9(R)_Restructuring_Separation_TAX_JuneFC2010 tf_Guidance" xfId="7032" xr:uid="{00000000-0005-0000-0000-0000771B0000}"/>
    <cellStyle name="_MOR - BDWY - 1+11_MOR - Gurgaon - 3+9(R)_Restructuring_Separation_TAX_JuneFC2010 tf_Guidance 2" xfId="7033" xr:uid="{00000000-0005-0000-0000-0000781B0000}"/>
    <cellStyle name="_MOR - BDWY - 1+11_MOR - Gurgaon - 3+9(R)_Restructuring_Separation_TAX_JuneFC2010 tf_Guidance_BS retrieve" xfId="7034" xr:uid="{00000000-0005-0000-0000-0000791B0000}"/>
    <cellStyle name="_MOR - BDWY - 1+11_MOR - Gurgaon - 3+9(R)_Restructuring_Separation_TAX_JuneFC2010 tf_Guidance_Free CF" xfId="7035" xr:uid="{00000000-0005-0000-0000-00007A1B0000}"/>
    <cellStyle name="_MOR - BDWY - 1+11_MOR - Gurgaon - 3+9(R)_Restructuring_Separation_TAX_JuneFC2010 tf_Guidance_P&amp;L Rec Qtr" xfId="7036" xr:uid="{00000000-0005-0000-0000-00007B1B0000}"/>
    <cellStyle name="_MOR - BDWY - 1+11_MOR - Gurgaon - 3+9(R)_Restructuring_Separation_TAX_JuneFC2010 tf_Guidance_Sheet1" xfId="7037" xr:uid="{00000000-0005-0000-0000-00007C1B0000}"/>
    <cellStyle name="_MOR - BDWY - 1+11_MOR - Gurgaon - 3+9(R)_Restructuring_Separation_TAX_JuneFC2010 tf_Guidance_Sheet2" xfId="7038" xr:uid="{00000000-0005-0000-0000-00007D1B0000}"/>
    <cellStyle name="_MOR - BDWY - 1+11_MOR - Gurgaon - 3+9(R)_Restructuring_Separation_TAX_JuneFC2010 tf_Guidance_Sheet3" xfId="7039" xr:uid="{00000000-0005-0000-0000-00007E1B0000}"/>
    <cellStyle name="_MOR - BDWY - 1+11_MOR - Gurgaon - 3+9(R)_Restructuring_Separation_TAX_JuneFC2010 tf_Guidance_Sheet4" xfId="7040" xr:uid="{00000000-0005-0000-0000-00007F1B0000}"/>
    <cellStyle name="_MOR - BDWY - 1+11_MOR - Gurgaon - 3+9(R)_Restructuring_Separation_TAX_JuneFC2010 tf_II.8. Sep&amp;Discrete" xfId="7041" xr:uid="{00000000-0005-0000-0000-0000801B0000}"/>
    <cellStyle name="_MOR - BDWY - 1+11_MOR - Gurgaon - 3+9(R)_Restructuring_Separation_TAX_JuneFC2010 tf_II.8. Sep&amp;Discrete_Guidance" xfId="7042" xr:uid="{00000000-0005-0000-0000-0000811B0000}"/>
    <cellStyle name="_MOR - BDWY - 1+11_MOR - Gurgaon - 3+9(R)_Restructuring_Separation_TAX_JuneFC2010 tf_II.8. Sep&amp;Discrete_Guidance 2" xfId="7043" xr:uid="{00000000-0005-0000-0000-0000821B0000}"/>
    <cellStyle name="_MOR - BDWY - 1+11_MOR - Gurgaon - 3+9(R)_Restructuring_Separation_TAX_JuneFC2010 tf_II.8. Sep&amp;Discrete_Guidance_BS retrieve" xfId="7044" xr:uid="{00000000-0005-0000-0000-0000831B0000}"/>
    <cellStyle name="_MOR - BDWY - 1+11_MOR - Gurgaon - 3+9(R)_Restructuring_Separation_TAX_JuneFC2010 tf_II.8. Sep&amp;Discrete_Guidance_Free CF" xfId="7045" xr:uid="{00000000-0005-0000-0000-0000841B0000}"/>
    <cellStyle name="_MOR - BDWY - 1+11_MOR - Gurgaon - 3+9(R)_Restructuring_Separation_TAX_JuneFC2010 tf_II.8. Sep&amp;Discrete_Guidance_P&amp;L Rec Qtr" xfId="7046" xr:uid="{00000000-0005-0000-0000-0000851B0000}"/>
    <cellStyle name="_MOR - BDWY - 1+11_MOR - Gurgaon - 3+9(R)_Restructuring_Separation_TAX_JuneFC2010 tf_II.8. Sep&amp;Discrete_Guidance_Sheet1" xfId="7047" xr:uid="{00000000-0005-0000-0000-0000861B0000}"/>
    <cellStyle name="_MOR - BDWY - 1+11_MOR - Gurgaon - 3+9(R)_Restructuring_Separation_TAX_JuneFC2010 tf_II.8. Sep&amp;Discrete_Guidance_Sheet2" xfId="7048" xr:uid="{00000000-0005-0000-0000-0000871B0000}"/>
    <cellStyle name="_MOR - BDWY - 1+11_MOR - Gurgaon - 3+9(R)_Restructuring_Separation_TAX_JuneFC2010 tf_II.8. Sep&amp;Discrete_Guidance_Sheet3" xfId="7049" xr:uid="{00000000-0005-0000-0000-0000881B0000}"/>
    <cellStyle name="_MOR - BDWY - 1+11_MOR - Gurgaon - 3+9(R)_Restructuring_Separation_TAX_JuneFC2010 tf_II.8. Sep&amp;Discrete_Guidance_Sheet4" xfId="7050" xr:uid="{00000000-0005-0000-0000-0000891B0000}"/>
    <cellStyle name="_MOR - BDWY - 1+11_MOR - Gurgaon - 3+9(R)_Restructuring_Separation_TAX_JuneFC2010 tf_Restructuring &amp; Separation" xfId="7051" xr:uid="{00000000-0005-0000-0000-00008A1B0000}"/>
    <cellStyle name="_MOR - BDWY - 1+11_MOR - Gurgaon - 3+9(R)_Restructuring_Separation_TAX_JuneFC2010 tf_Restructuring &amp; Separation_Guidance" xfId="7052" xr:uid="{00000000-0005-0000-0000-00008B1B0000}"/>
    <cellStyle name="_MOR - BDWY - 1+11_MOR - Gurgaon - 3+9(R)_Restructuring_Separation_TAX_JuneFC2010 tf_Restructuring &amp; Separation_Guidance 2" xfId="7053" xr:uid="{00000000-0005-0000-0000-00008C1B0000}"/>
    <cellStyle name="_MOR - BDWY - 1+11_MOR - Gurgaon - 3+9(R)_Restructuring_Separation_TAX_JuneFC2010 tf_Restructuring &amp; Separation_Guidance_BS retrieve" xfId="7054" xr:uid="{00000000-0005-0000-0000-00008D1B0000}"/>
    <cellStyle name="_MOR - BDWY - 1+11_MOR - Gurgaon - 3+9(R)_Restructuring_Separation_TAX_JuneFC2010 tf_Restructuring &amp; Separation_Guidance_Free CF" xfId="7055" xr:uid="{00000000-0005-0000-0000-00008E1B0000}"/>
    <cellStyle name="_MOR - BDWY - 1+11_MOR - Gurgaon - 3+9(R)_Restructuring_Separation_TAX_JuneFC2010 tf_Restructuring &amp; Separation_Guidance_P&amp;L Rec Qtr" xfId="7056" xr:uid="{00000000-0005-0000-0000-00008F1B0000}"/>
    <cellStyle name="_MOR - BDWY - 1+11_MOR - Gurgaon - 3+9(R)_Restructuring_Separation_TAX_JuneFC2010 tf_Restructuring &amp; Separation_Guidance_Sheet1" xfId="7057" xr:uid="{00000000-0005-0000-0000-0000901B0000}"/>
    <cellStyle name="_MOR - BDWY - 1+11_MOR - Gurgaon - 3+9(R)_Restructuring_Separation_TAX_JuneFC2010 tf_Restructuring &amp; Separation_Guidance_Sheet2" xfId="7058" xr:uid="{00000000-0005-0000-0000-0000911B0000}"/>
    <cellStyle name="_MOR - BDWY - 1+11_MOR - Gurgaon - 3+9(R)_Restructuring_Separation_TAX_JuneFC2010 tf_Restructuring &amp; Separation_Guidance_Sheet3" xfId="7059" xr:uid="{00000000-0005-0000-0000-0000921B0000}"/>
    <cellStyle name="_MOR - BDWY - 1+11_MOR - Gurgaon - 3+9(R)_Restructuring_Separation_TAX_JuneFC2010 tf_Restructuring &amp; Separation_Guidance_Sheet4" xfId="7060" xr:uid="{00000000-0005-0000-0000-0000931B0000}"/>
    <cellStyle name="_MOR - BDWY - 1+11_MOR - Gurgaon - 3+9(R)_Revised MOR Package" xfId="7061" xr:uid="{00000000-0005-0000-0000-0000941B0000}"/>
    <cellStyle name="_MOR - BDWY - 1+11_MOR - Gurgaon - 3+9(R)_Revised MOR Package_~0039877" xfId="7062" xr:uid="{00000000-0005-0000-0000-0000951B0000}"/>
    <cellStyle name="_MOR - BDWY - 1+11_MOR - Gurgaon - 3+9(R)_Revised MOR Package_~0039877_BS_Separation_TaxResIndem_Q12412 tf" xfId="7063" xr:uid="{00000000-0005-0000-0000-0000961B0000}"/>
    <cellStyle name="_MOR - BDWY - 1+11_MOR - Gurgaon - 3+9(R)_Revised MOR Package_~0039877_BS_Separation_TaxResIndem_Q12412 tf_Guidance" xfId="7064" xr:uid="{00000000-0005-0000-0000-0000971B0000}"/>
    <cellStyle name="_MOR - BDWY - 1+11_MOR - Gurgaon - 3+9(R)_Revised MOR Package_~0039877_BS_Separation_TaxResIndem_Q12412 tf_Guidance 2" xfId="7065" xr:uid="{00000000-0005-0000-0000-0000981B0000}"/>
    <cellStyle name="_MOR - BDWY - 1+11_MOR - Gurgaon - 3+9(R)_Revised MOR Package_~0039877_BS_Separation_TaxResIndem_Q12412 tf_Guidance_BS retrieve" xfId="7066" xr:uid="{00000000-0005-0000-0000-0000991B0000}"/>
    <cellStyle name="_MOR - BDWY - 1+11_MOR - Gurgaon - 3+9(R)_Revised MOR Package_~0039877_BS_Separation_TaxResIndem_Q12412 tf_Guidance_Free CF" xfId="7067" xr:uid="{00000000-0005-0000-0000-00009A1B0000}"/>
    <cellStyle name="_MOR - BDWY - 1+11_MOR - Gurgaon - 3+9(R)_Revised MOR Package_~0039877_BS_Separation_TaxResIndem_Q12412 tf_Guidance_P&amp;L Rec Qtr" xfId="7068" xr:uid="{00000000-0005-0000-0000-00009B1B0000}"/>
    <cellStyle name="_MOR - BDWY - 1+11_MOR - Gurgaon - 3+9(R)_Revised MOR Package_~0039877_BS_Separation_TaxResIndem_Q12412 tf_Guidance_Sheet1" xfId="7069" xr:uid="{00000000-0005-0000-0000-00009C1B0000}"/>
    <cellStyle name="_MOR - BDWY - 1+11_MOR - Gurgaon - 3+9(R)_Revised MOR Package_~0039877_BS_Separation_TaxResIndem_Q12412 tf_Guidance_Sheet2" xfId="7070" xr:uid="{00000000-0005-0000-0000-00009D1B0000}"/>
    <cellStyle name="_MOR - BDWY - 1+11_MOR - Gurgaon - 3+9(R)_Revised MOR Package_~0039877_BS_Separation_TaxResIndem_Q12412 tf_Guidance_Sheet3" xfId="7071" xr:uid="{00000000-0005-0000-0000-00009E1B0000}"/>
    <cellStyle name="_MOR - BDWY - 1+11_MOR - Gurgaon - 3+9(R)_Revised MOR Package_~0039877_BS_Separation_TaxResIndem_Q12412 tf_Guidance_Sheet4" xfId="7072" xr:uid="{00000000-0005-0000-0000-00009F1B0000}"/>
    <cellStyle name="_MOR - BDWY - 1+11_MOR - Gurgaon - 3+9(R)_Revised MOR Package_~0039877_BS_Separation_TaxResIndem_Q12412 tf_Restructuring &amp; Separation" xfId="7073" xr:uid="{00000000-0005-0000-0000-0000A01B0000}"/>
    <cellStyle name="_MOR - BDWY - 1+11_MOR - Gurgaon - 3+9(R)_Revised MOR Package_~0039877_BS_Separation_TaxResIndem_Q12412 tf_Restructuring &amp; Separation_Guidance" xfId="7074" xr:uid="{00000000-0005-0000-0000-0000A11B0000}"/>
    <cellStyle name="_MOR - BDWY - 1+11_MOR - Gurgaon - 3+9(R)_Revised MOR Package_~0039877_BS_Separation_TaxResIndem_Q12412 tf_Restructuring &amp; Separation_Guidance 2" xfId="7075" xr:uid="{00000000-0005-0000-0000-0000A21B0000}"/>
    <cellStyle name="_MOR - BDWY - 1+11_MOR - Gurgaon - 3+9(R)_Revised MOR Package_~0039877_BS_Separation_TaxResIndem_Q12412 tf_Restructuring &amp; Separation_Guidance_BS retrieve" xfId="7076" xr:uid="{00000000-0005-0000-0000-0000A31B0000}"/>
    <cellStyle name="_MOR - BDWY - 1+11_MOR - Gurgaon - 3+9(R)_Revised MOR Package_~0039877_BS_Separation_TaxResIndem_Q12412 tf_Restructuring &amp; Separation_Guidance_Free CF" xfId="7077" xr:uid="{00000000-0005-0000-0000-0000A41B0000}"/>
    <cellStyle name="_MOR - BDWY - 1+11_MOR - Gurgaon - 3+9(R)_Revised MOR Package_~0039877_BS_Separation_TaxResIndem_Q12412 tf_Restructuring &amp; Separation_Guidance_P&amp;L Rec Qtr" xfId="7078" xr:uid="{00000000-0005-0000-0000-0000A51B0000}"/>
    <cellStyle name="_MOR - BDWY - 1+11_MOR - Gurgaon - 3+9(R)_Revised MOR Package_~0039877_BS_Separation_TaxResIndem_Q12412 tf_Restructuring &amp; Separation_Guidance_Sheet1" xfId="7079" xr:uid="{00000000-0005-0000-0000-0000A61B0000}"/>
    <cellStyle name="_MOR - BDWY - 1+11_MOR - Gurgaon - 3+9(R)_Revised MOR Package_~0039877_BS_Separation_TaxResIndem_Q12412 tf_Restructuring &amp; Separation_Guidance_Sheet2" xfId="7080" xr:uid="{00000000-0005-0000-0000-0000A71B0000}"/>
    <cellStyle name="_MOR - BDWY - 1+11_MOR - Gurgaon - 3+9(R)_Revised MOR Package_~0039877_BS_Separation_TaxResIndem_Q12412 tf_Restructuring &amp; Separation_Guidance_Sheet3" xfId="7081" xr:uid="{00000000-0005-0000-0000-0000A81B0000}"/>
    <cellStyle name="_MOR - BDWY - 1+11_MOR - Gurgaon - 3+9(R)_Revised MOR Package_~0039877_BS_Separation_TaxResIndem_Q12412 tf_Restructuring &amp; Separation_Guidance_Sheet4" xfId="7082" xr:uid="{00000000-0005-0000-0000-0000A91B0000}"/>
    <cellStyle name="_MOR - BDWY - 1+11_MOR - Gurgaon - 3+9(R)_Revised MOR Package_~0039877_By Country Detail 1Q10 041410pm FIN 18 revised per disc w Mary" xfId="7083" xr:uid="{00000000-0005-0000-0000-0000AA1B0000}"/>
    <cellStyle name="_MOR - BDWY - 1+11_MOR - Gurgaon - 3+9(R)_Revised MOR Package_~0039877_By Country Detail 1Q10 041410pm FIN 18 revised per disc w Mary_BS_Separation_TaxResIndem_Q12412 tf" xfId="7084" xr:uid="{00000000-0005-0000-0000-0000AB1B0000}"/>
    <cellStyle name="_MOR - BDWY - 1+11_MOR - Gurgaon - 3+9(R)_Revised MOR Package_~0039877_By Country Detail 1Q10 041410pm FIN 18 revised per disc w Mary_BS_Separation_TaxResIndem_Q12412 tf_Guidance" xfId="7085" xr:uid="{00000000-0005-0000-0000-0000AC1B0000}"/>
    <cellStyle name="_MOR - BDWY - 1+11_MOR - Gurgaon - 3+9(R)_Revised MOR Package_~0039877_By Country Detail 1Q10 041410pm FIN 18 revised per disc w Mary_BS_Separation_TaxResIndem_Q12412 tf_Guidance 2" xfId="7086" xr:uid="{00000000-0005-0000-0000-0000AD1B0000}"/>
    <cellStyle name="_MOR - BDWY - 1+11_MOR - Gurgaon - 3+9(R)_Revised MOR Package_~0039877_By Country Detail 1Q10 041410pm FIN 18 revised per disc w Mary_BS_Separation_TaxResIndem_Q12412 tf_Guidance_BS retrieve" xfId="7087" xr:uid="{00000000-0005-0000-0000-0000AE1B0000}"/>
    <cellStyle name="_MOR - BDWY - 1+11_MOR - Gurgaon - 3+9(R)_Revised MOR Package_~0039877_By Country Detail 1Q10 041410pm FIN 18 revised per disc w Mary_BS_Separation_TaxResIndem_Q12412 tf_Guidance_Free CF" xfId="7088" xr:uid="{00000000-0005-0000-0000-0000AF1B0000}"/>
    <cellStyle name="_MOR - BDWY - 1+11_MOR - Gurgaon - 3+9(R)_Revised MOR Package_~0039877_By Country Detail 1Q10 041410pm FIN 18 revised per disc w Mary_BS_Separation_TaxResIndem_Q12412 tf_Guidance_P&amp;L Rec Qtr" xfId="7089" xr:uid="{00000000-0005-0000-0000-0000B01B0000}"/>
    <cellStyle name="_MOR - BDWY - 1+11_MOR - Gurgaon - 3+9(R)_Revised MOR Package_~0039877_By Country Detail 1Q10 041410pm FIN 18 revised per disc w Mary_BS_Separation_TaxResIndem_Q12412 tf_Guidance_Sheet1" xfId="7090" xr:uid="{00000000-0005-0000-0000-0000B11B0000}"/>
    <cellStyle name="_MOR - BDWY - 1+11_MOR - Gurgaon - 3+9(R)_Revised MOR Package_~0039877_By Country Detail 1Q10 041410pm FIN 18 revised per disc w Mary_BS_Separation_TaxResIndem_Q12412 tf_Guidance_Sheet2" xfId="7091" xr:uid="{00000000-0005-0000-0000-0000B21B0000}"/>
    <cellStyle name="_MOR - BDWY - 1+11_MOR - Gurgaon - 3+9(R)_Revised MOR Package_~0039877_By Country Detail 1Q10 041410pm FIN 18 revised per disc w Mary_BS_Separation_TaxResIndem_Q12412 tf_Guidance_Sheet3" xfId="7092" xr:uid="{00000000-0005-0000-0000-0000B31B0000}"/>
    <cellStyle name="_MOR - BDWY - 1+11_MOR - Gurgaon - 3+9(R)_Revised MOR Package_~0039877_By Country Detail 1Q10 041410pm FIN 18 revised per disc w Mary_BS_Separation_TaxResIndem_Q12412 tf_Guidance_Sheet4" xfId="7093" xr:uid="{00000000-0005-0000-0000-0000B41B0000}"/>
    <cellStyle name="_MOR - BDWY - 1+11_MOR - Gurgaon - 3+9(R)_Revised MOR Package_~0039877_By Country Detail 1Q10 041410pm FIN 18 revised per disc w Mary_BS_Separation_TaxResIndem_Q12412 tf_Restructuring &amp; Separation" xfId="7094" xr:uid="{00000000-0005-0000-0000-0000B51B0000}"/>
    <cellStyle name="_MOR - BDWY - 1+11_MOR - Gurgaon - 3+9(R)_Revised MOR Package_~0039877_By Country Detail 1Q10 041410pm FIN 18 revised per disc w Mary_BS_Separation_TaxResIndem_Q12412 tf_Restructuring &amp; Separation_Guidance" xfId="7095" xr:uid="{00000000-0005-0000-0000-0000B61B0000}"/>
    <cellStyle name="_MOR - BDWY - 1+11_MOR - Gurgaon - 3+9(R)_Revised MOR Package_~0039877_By Country Detail 1Q10 041410pm FIN 18 revised per disc w Mary_BS_Separation_TaxResIndem_Q12412 tf_Restructuring &amp; Separation_Guidance 2" xfId="7096" xr:uid="{00000000-0005-0000-0000-0000B71B0000}"/>
    <cellStyle name="_MOR - BDWY - 1+11_MOR - Gurgaon - 3+9(R)_Revised MOR Package_~0039877_By Country Detail 1Q10 041410pm FIN 18 revised per disc w Mary_BS_Separation_TaxResIndem_Q12412 tf_Restructuring &amp; Separation_Guidance_BS retrieve" xfId="7097" xr:uid="{00000000-0005-0000-0000-0000B81B0000}"/>
    <cellStyle name="_MOR - BDWY - 1+11_MOR - Gurgaon - 3+9(R)_Revised MOR Package_~0039877_By Country Detail 1Q10 041410pm FIN 18 revised per disc w Mary_BS_Separation_TaxResIndem_Q12412 tf_Restructuring &amp; Separation_Guidance_Free CF" xfId="7098" xr:uid="{00000000-0005-0000-0000-0000B91B0000}"/>
    <cellStyle name="_MOR - BDWY - 1+11_MOR - Gurgaon - 3+9(R)_Revised MOR Package_~0039877_By Country Detail 1Q10 041410pm FIN 18 revised per disc w Mary_BS_Separation_TaxResIndem_Q12412 tf_Restructuring &amp; Separation_Guidance_P&amp;L Rec Qtr" xfId="7099" xr:uid="{00000000-0005-0000-0000-0000BA1B0000}"/>
    <cellStyle name="_MOR - BDWY - 1+11_MOR - Gurgaon - 3+9(R)_Revised MOR Package_~0039877_By Country Detail 1Q10 041410pm FIN 18 revised per disc w Mary_BS_Separation_TaxResIndem_Q12412 tf_Restructuring &amp; Separation_Guidance_Sheet1" xfId="7100" xr:uid="{00000000-0005-0000-0000-0000BB1B0000}"/>
    <cellStyle name="_MOR - BDWY - 1+11_MOR - Gurgaon - 3+9(R)_Revised MOR Package_~0039877_By Country Detail 1Q10 041410pm FIN 18 revised per disc w Mary_BS_Separation_TaxResIndem_Q12412 tf_Restructuring &amp; Separation_Guidance_Sheet2" xfId="7101" xr:uid="{00000000-0005-0000-0000-0000BC1B0000}"/>
    <cellStyle name="_MOR - BDWY - 1+11_MOR - Gurgaon - 3+9(R)_Revised MOR Package_~0039877_By Country Detail 1Q10 041410pm FIN 18 revised per disc w Mary_BS_Separation_TaxResIndem_Q12412 tf_Restructuring &amp; Separation_Guidance_Sheet3" xfId="7102" xr:uid="{00000000-0005-0000-0000-0000BD1B0000}"/>
    <cellStyle name="_MOR - BDWY - 1+11_MOR - Gurgaon - 3+9(R)_Revised MOR Package_~0039877_By Country Detail 1Q10 041410pm FIN 18 revised per disc w Mary_BS_Separation_TaxResIndem_Q12412 tf_Restructuring &amp; Separation_Guidance_Sheet4" xfId="7103" xr:uid="{00000000-0005-0000-0000-0000BE1B0000}"/>
    <cellStyle name="_MOR - BDWY - 1+11_MOR - Gurgaon - 3+9(R)_Revised MOR Package_~0039877_By Country Detail 1Q10 041410pm FIN 18 revised per disc w Mary_Guidance" xfId="7104" xr:uid="{00000000-0005-0000-0000-0000BF1B0000}"/>
    <cellStyle name="_MOR - BDWY - 1+11_MOR - Gurgaon - 3+9(R)_Revised MOR Package_~0039877_By Country Detail 1Q10 041410pm FIN 18 revised per disc w Mary_Guidance 2" xfId="7105" xr:uid="{00000000-0005-0000-0000-0000C01B0000}"/>
    <cellStyle name="_MOR - BDWY - 1+11_MOR - Gurgaon - 3+9(R)_Revised MOR Package_~0039877_By Country Detail 1Q10 041410pm FIN 18 revised per disc w Mary_Guidance_BS retrieve" xfId="7106" xr:uid="{00000000-0005-0000-0000-0000C11B0000}"/>
    <cellStyle name="_MOR - BDWY - 1+11_MOR - Gurgaon - 3+9(R)_Revised MOR Package_~0039877_By Country Detail 1Q10 041410pm FIN 18 revised per disc w Mary_Guidance_Free CF" xfId="7107" xr:uid="{00000000-0005-0000-0000-0000C21B0000}"/>
    <cellStyle name="_MOR - BDWY - 1+11_MOR - Gurgaon - 3+9(R)_Revised MOR Package_~0039877_By Country Detail 1Q10 041410pm FIN 18 revised per disc w Mary_Guidance_P&amp;L Rec Qtr" xfId="7108" xr:uid="{00000000-0005-0000-0000-0000C31B0000}"/>
    <cellStyle name="_MOR - BDWY - 1+11_MOR - Gurgaon - 3+9(R)_Revised MOR Package_~0039877_By Country Detail 1Q10 041410pm FIN 18 revised per disc w Mary_Guidance_Sheet1" xfId="7109" xr:uid="{00000000-0005-0000-0000-0000C41B0000}"/>
    <cellStyle name="_MOR - BDWY - 1+11_MOR - Gurgaon - 3+9(R)_Revised MOR Package_~0039877_By Country Detail 1Q10 041410pm FIN 18 revised per disc w Mary_Guidance_Sheet2" xfId="7110" xr:uid="{00000000-0005-0000-0000-0000C51B0000}"/>
    <cellStyle name="_MOR - BDWY - 1+11_MOR - Gurgaon - 3+9(R)_Revised MOR Package_~0039877_By Country Detail 1Q10 041410pm FIN 18 revised per disc w Mary_Guidance_Sheet3" xfId="7111" xr:uid="{00000000-0005-0000-0000-0000C61B0000}"/>
    <cellStyle name="_MOR - BDWY - 1+11_MOR - Gurgaon - 3+9(R)_Revised MOR Package_~0039877_By Country Detail 1Q10 041410pm FIN 18 revised per disc w Mary_Guidance_Sheet4" xfId="7112" xr:uid="{00000000-0005-0000-0000-0000C71B0000}"/>
    <cellStyle name="_MOR - BDWY - 1+11_MOR - Gurgaon - 3+9(R)_Revised MOR Package_~0039877_By Country Detail 1Q10 041410pm FIN 18 revised per disc w Mary_II.8. Sep&amp;Discrete" xfId="7113" xr:uid="{00000000-0005-0000-0000-0000C81B0000}"/>
    <cellStyle name="_MOR - BDWY - 1+11_MOR - Gurgaon - 3+9(R)_Revised MOR Package_~0039877_By Country Detail 1Q10 041410pm FIN 18 revised per disc w Mary_II.8. Sep&amp;Discrete_Guidance" xfId="7114" xr:uid="{00000000-0005-0000-0000-0000C91B0000}"/>
    <cellStyle name="_MOR - BDWY - 1+11_MOR - Gurgaon - 3+9(R)_Revised MOR Package_~0039877_By Country Detail 1Q10 041410pm FIN 18 revised per disc w Mary_II.8. Sep&amp;Discrete_Guidance 2" xfId="7115" xr:uid="{00000000-0005-0000-0000-0000CA1B0000}"/>
    <cellStyle name="_MOR - BDWY - 1+11_MOR - Gurgaon - 3+9(R)_Revised MOR Package_~0039877_By Country Detail 1Q10 041410pm FIN 18 revised per disc w Mary_II.8. Sep&amp;Discrete_Guidance_BS retrieve" xfId="7116" xr:uid="{00000000-0005-0000-0000-0000CB1B0000}"/>
    <cellStyle name="_MOR - BDWY - 1+11_MOR - Gurgaon - 3+9(R)_Revised MOR Package_~0039877_By Country Detail 1Q10 041410pm FIN 18 revised per disc w Mary_II.8. Sep&amp;Discrete_Guidance_Free CF" xfId="7117" xr:uid="{00000000-0005-0000-0000-0000CC1B0000}"/>
    <cellStyle name="_MOR - BDWY - 1+11_MOR - Gurgaon - 3+9(R)_Revised MOR Package_~0039877_By Country Detail 1Q10 041410pm FIN 18 revised per disc w Mary_II.8. Sep&amp;Discrete_Guidance_P&amp;L Rec Qtr" xfId="7118" xr:uid="{00000000-0005-0000-0000-0000CD1B0000}"/>
    <cellStyle name="_MOR - BDWY - 1+11_MOR - Gurgaon - 3+9(R)_Revised MOR Package_~0039877_By Country Detail 1Q10 041410pm FIN 18 revised per disc w Mary_II.8. Sep&amp;Discrete_Guidance_Sheet1" xfId="7119" xr:uid="{00000000-0005-0000-0000-0000CE1B0000}"/>
    <cellStyle name="_MOR - BDWY - 1+11_MOR - Gurgaon - 3+9(R)_Revised MOR Package_~0039877_By Country Detail 1Q10 041410pm FIN 18 revised per disc w Mary_II.8. Sep&amp;Discrete_Guidance_Sheet2" xfId="7120" xr:uid="{00000000-0005-0000-0000-0000CF1B0000}"/>
    <cellStyle name="_MOR - BDWY - 1+11_MOR - Gurgaon - 3+9(R)_Revised MOR Package_~0039877_By Country Detail 1Q10 041410pm FIN 18 revised per disc w Mary_II.8. Sep&amp;Discrete_Guidance_Sheet3" xfId="7121" xr:uid="{00000000-0005-0000-0000-0000D01B0000}"/>
    <cellStyle name="_MOR - BDWY - 1+11_MOR - Gurgaon - 3+9(R)_Revised MOR Package_~0039877_By Country Detail 1Q10 041410pm FIN 18 revised per disc w Mary_II.8. Sep&amp;Discrete_Guidance_Sheet4" xfId="7122" xr:uid="{00000000-0005-0000-0000-0000D11B0000}"/>
    <cellStyle name="_MOR - BDWY - 1+11_MOR - Gurgaon - 3+9(R)_Revised MOR Package_~0039877_By Country Detail 1Q10 041410pm FIN 18 revised per disc w Mary_Restructuring &amp; Separation" xfId="7123" xr:uid="{00000000-0005-0000-0000-0000D21B0000}"/>
    <cellStyle name="_MOR - BDWY - 1+11_MOR - Gurgaon - 3+9(R)_Revised MOR Package_~0039877_By Country Detail 1Q10 041410pm FIN 18 revised per disc w Mary_Restructuring &amp; Separation_Guidance" xfId="7124" xr:uid="{00000000-0005-0000-0000-0000D31B0000}"/>
    <cellStyle name="_MOR - BDWY - 1+11_MOR - Gurgaon - 3+9(R)_Revised MOR Package_~0039877_By Country Detail 1Q10 041410pm FIN 18 revised per disc w Mary_Restructuring &amp; Separation_Guidance 2" xfId="7125" xr:uid="{00000000-0005-0000-0000-0000D41B0000}"/>
    <cellStyle name="_MOR - BDWY - 1+11_MOR - Gurgaon - 3+9(R)_Revised MOR Package_~0039877_By Country Detail 1Q10 041410pm FIN 18 revised per disc w Mary_Restructuring &amp; Separation_Guidance_BS retrieve" xfId="7126" xr:uid="{00000000-0005-0000-0000-0000D51B0000}"/>
    <cellStyle name="_MOR - BDWY - 1+11_MOR - Gurgaon - 3+9(R)_Revised MOR Package_~0039877_By Country Detail 1Q10 041410pm FIN 18 revised per disc w Mary_Restructuring &amp; Separation_Guidance_Free CF" xfId="7127" xr:uid="{00000000-0005-0000-0000-0000D61B0000}"/>
    <cellStyle name="_MOR - BDWY - 1+11_MOR - Gurgaon - 3+9(R)_Revised MOR Package_~0039877_By Country Detail 1Q10 041410pm FIN 18 revised per disc w Mary_Restructuring &amp; Separation_Guidance_P&amp;L Rec Qtr" xfId="7128" xr:uid="{00000000-0005-0000-0000-0000D71B0000}"/>
    <cellStyle name="_MOR - BDWY - 1+11_MOR - Gurgaon - 3+9(R)_Revised MOR Package_~0039877_By Country Detail 1Q10 041410pm FIN 18 revised per disc w Mary_Restructuring &amp; Separation_Guidance_Sheet1" xfId="7129" xr:uid="{00000000-0005-0000-0000-0000D81B0000}"/>
    <cellStyle name="_MOR - BDWY - 1+11_MOR - Gurgaon - 3+9(R)_Revised MOR Package_~0039877_By Country Detail 1Q10 041410pm FIN 18 revised per disc w Mary_Restructuring &amp; Separation_Guidance_Sheet2" xfId="7130" xr:uid="{00000000-0005-0000-0000-0000D91B0000}"/>
    <cellStyle name="_MOR - BDWY - 1+11_MOR - Gurgaon - 3+9(R)_Revised MOR Package_~0039877_By Country Detail 1Q10 041410pm FIN 18 revised per disc w Mary_Restructuring &amp; Separation_Guidance_Sheet3" xfId="7131" xr:uid="{00000000-0005-0000-0000-0000DA1B0000}"/>
    <cellStyle name="_MOR - BDWY - 1+11_MOR - Gurgaon - 3+9(R)_Revised MOR Package_~0039877_By Country Detail 1Q10 041410pm FIN 18 revised per disc w Mary_Restructuring &amp; Separation_Guidance_Sheet4" xfId="7132" xr:uid="{00000000-0005-0000-0000-0000DB1B0000}"/>
    <cellStyle name="_MOR - BDWY - 1+11_MOR - Gurgaon - 3+9(R)_Revised MOR Package_~0039877_Guidance" xfId="7133" xr:uid="{00000000-0005-0000-0000-0000DC1B0000}"/>
    <cellStyle name="_MOR - BDWY - 1+11_MOR - Gurgaon - 3+9(R)_Revised MOR Package_~0039877_Guidance 2" xfId="7134" xr:uid="{00000000-0005-0000-0000-0000DD1B0000}"/>
    <cellStyle name="_MOR - BDWY - 1+11_MOR - Gurgaon - 3+9(R)_Revised MOR Package_~0039877_Guidance_BS retrieve" xfId="7135" xr:uid="{00000000-0005-0000-0000-0000DE1B0000}"/>
    <cellStyle name="_MOR - BDWY - 1+11_MOR - Gurgaon - 3+9(R)_Revised MOR Package_~0039877_Guidance_Free CF" xfId="7136" xr:uid="{00000000-0005-0000-0000-0000DF1B0000}"/>
    <cellStyle name="_MOR - BDWY - 1+11_MOR - Gurgaon - 3+9(R)_Revised MOR Package_~0039877_Guidance_P&amp;L Rec Qtr" xfId="7137" xr:uid="{00000000-0005-0000-0000-0000E01B0000}"/>
    <cellStyle name="_MOR - BDWY - 1+11_MOR - Gurgaon - 3+9(R)_Revised MOR Package_~0039877_Guidance_Sheet1" xfId="7138" xr:uid="{00000000-0005-0000-0000-0000E11B0000}"/>
    <cellStyle name="_MOR - BDWY - 1+11_MOR - Gurgaon - 3+9(R)_Revised MOR Package_~0039877_Guidance_Sheet2" xfId="7139" xr:uid="{00000000-0005-0000-0000-0000E21B0000}"/>
    <cellStyle name="_MOR - BDWY - 1+11_MOR - Gurgaon - 3+9(R)_Revised MOR Package_~0039877_Guidance_Sheet3" xfId="7140" xr:uid="{00000000-0005-0000-0000-0000E31B0000}"/>
    <cellStyle name="_MOR - BDWY - 1+11_MOR - Gurgaon - 3+9(R)_Revised MOR Package_~0039877_Guidance_Sheet4" xfId="7141" xr:uid="{00000000-0005-0000-0000-0000E41B0000}"/>
    <cellStyle name="_MOR - BDWY - 1+11_MOR - Gurgaon - 3+9(R)_Revised MOR Package_~0039877_II.4. RawMaterials" xfId="7142" xr:uid="{00000000-0005-0000-0000-0000E51B0000}"/>
    <cellStyle name="_MOR - BDWY - 1+11_MOR - Gurgaon - 3+9(R)_Revised MOR Package_~0039877_II.4. RawMaterials 2" xfId="7143" xr:uid="{00000000-0005-0000-0000-0000E61B0000}"/>
    <cellStyle name="_MOR - BDWY - 1+11_MOR - Gurgaon - 3+9(R)_Revised MOR Package_~0039877_II.4. RawMaterials_BS retrieve" xfId="7144" xr:uid="{00000000-0005-0000-0000-0000E71B0000}"/>
    <cellStyle name="_MOR - BDWY - 1+11_MOR - Gurgaon - 3+9(R)_Revised MOR Package_~0039877_II.4. RawMaterials_Free CF" xfId="7145" xr:uid="{00000000-0005-0000-0000-0000E81B0000}"/>
    <cellStyle name="_MOR - BDWY - 1+11_MOR - Gurgaon - 3+9(R)_Revised MOR Package_~0039877_II.4. RawMaterials_P&amp;L Rec Qtr" xfId="7146" xr:uid="{00000000-0005-0000-0000-0000E91B0000}"/>
    <cellStyle name="_MOR - BDWY - 1+11_MOR - Gurgaon - 3+9(R)_Revised MOR Package_~0039877_II.4. RawMaterials_Sheet1" xfId="7147" xr:uid="{00000000-0005-0000-0000-0000EA1B0000}"/>
    <cellStyle name="_MOR - BDWY - 1+11_MOR - Gurgaon - 3+9(R)_Revised MOR Package_~0039877_II.4. RawMaterials_Sheet2" xfId="7148" xr:uid="{00000000-0005-0000-0000-0000EB1B0000}"/>
    <cellStyle name="_MOR - BDWY - 1+11_MOR - Gurgaon - 3+9(R)_Revised MOR Package_~0039877_II.4. RawMaterials_Sheet3" xfId="7149" xr:uid="{00000000-0005-0000-0000-0000EC1B0000}"/>
    <cellStyle name="_MOR - BDWY - 1+11_MOR - Gurgaon - 3+9(R)_Revised MOR Package_~0039877_II.4. RawMaterials_Sheet4" xfId="7150" xr:uid="{00000000-0005-0000-0000-0000ED1B0000}"/>
    <cellStyle name="_MOR - BDWY - 1+11_MOR - Gurgaon - 3+9(R)_Revised MOR Package_~0039877_II.5. RawMaterials" xfId="7151" xr:uid="{00000000-0005-0000-0000-0000EE1B0000}"/>
    <cellStyle name="_MOR - BDWY - 1+11_MOR - Gurgaon - 3+9(R)_Revised MOR Package_~0039877_II.5. RawMaterials 2" xfId="7152" xr:uid="{00000000-0005-0000-0000-0000EF1B0000}"/>
    <cellStyle name="_MOR - BDWY - 1+11_MOR - Gurgaon - 3+9(R)_Revised MOR Package_~0039877_II.5. RawMaterials_BS retrieve" xfId="7153" xr:uid="{00000000-0005-0000-0000-0000F01B0000}"/>
    <cellStyle name="_MOR - BDWY - 1+11_MOR - Gurgaon - 3+9(R)_Revised MOR Package_~0039877_II.5. RawMaterials_Free CF" xfId="7154" xr:uid="{00000000-0005-0000-0000-0000F11B0000}"/>
    <cellStyle name="_MOR - BDWY - 1+11_MOR - Gurgaon - 3+9(R)_Revised MOR Package_~0039877_II.5. RawMaterials_Guidance" xfId="7155" xr:uid="{00000000-0005-0000-0000-0000F21B0000}"/>
    <cellStyle name="_MOR - BDWY - 1+11_MOR - Gurgaon - 3+9(R)_Revised MOR Package_~0039877_II.5. RawMaterials_Guidance 2" xfId="7156" xr:uid="{00000000-0005-0000-0000-0000F31B0000}"/>
    <cellStyle name="_MOR - BDWY - 1+11_MOR - Gurgaon - 3+9(R)_Revised MOR Package_~0039877_II.5. RawMaterials_Guidance_BS retrieve" xfId="7157" xr:uid="{00000000-0005-0000-0000-0000F41B0000}"/>
    <cellStyle name="_MOR - BDWY - 1+11_MOR - Gurgaon - 3+9(R)_Revised MOR Package_~0039877_II.5. RawMaterials_Guidance_Free CF" xfId="7158" xr:uid="{00000000-0005-0000-0000-0000F51B0000}"/>
    <cellStyle name="_MOR - BDWY - 1+11_MOR - Gurgaon - 3+9(R)_Revised MOR Package_~0039877_II.5. RawMaterials_Guidance_P&amp;L Rec Qtr" xfId="7159" xr:uid="{00000000-0005-0000-0000-0000F61B0000}"/>
    <cellStyle name="_MOR - BDWY - 1+11_MOR - Gurgaon - 3+9(R)_Revised MOR Package_~0039877_II.5. RawMaterials_Guidance_Sheet1" xfId="7160" xr:uid="{00000000-0005-0000-0000-0000F71B0000}"/>
    <cellStyle name="_MOR - BDWY - 1+11_MOR - Gurgaon - 3+9(R)_Revised MOR Package_~0039877_II.5. RawMaterials_Guidance_Sheet2" xfId="7161" xr:uid="{00000000-0005-0000-0000-0000F81B0000}"/>
    <cellStyle name="_MOR - BDWY - 1+11_MOR - Gurgaon - 3+9(R)_Revised MOR Package_~0039877_II.5. RawMaterials_Guidance_Sheet3" xfId="7162" xr:uid="{00000000-0005-0000-0000-0000F91B0000}"/>
    <cellStyle name="_MOR - BDWY - 1+11_MOR - Gurgaon - 3+9(R)_Revised MOR Package_~0039877_II.5. RawMaterials_Guidance_Sheet4" xfId="7163" xr:uid="{00000000-0005-0000-0000-0000FA1B0000}"/>
    <cellStyle name="_MOR - BDWY - 1+11_MOR - Gurgaon - 3+9(R)_Revised MOR Package_~0039877_II.5. RawMaterials_P&amp;L Rec Qtr" xfId="7164" xr:uid="{00000000-0005-0000-0000-0000FB1B0000}"/>
    <cellStyle name="_MOR - BDWY - 1+11_MOR - Gurgaon - 3+9(R)_Revised MOR Package_~0039877_II.5. RawMaterials_Sheet1" xfId="7165" xr:uid="{00000000-0005-0000-0000-0000FC1B0000}"/>
    <cellStyle name="_MOR - BDWY - 1+11_MOR - Gurgaon - 3+9(R)_Revised MOR Package_~0039877_II.5. RawMaterials_Sheet2" xfId="7166" xr:uid="{00000000-0005-0000-0000-0000FD1B0000}"/>
    <cellStyle name="_MOR - BDWY - 1+11_MOR - Gurgaon - 3+9(R)_Revised MOR Package_~0039877_II.5. RawMaterials_Sheet3" xfId="7167" xr:uid="{00000000-0005-0000-0000-0000FE1B0000}"/>
    <cellStyle name="_MOR - BDWY - 1+11_MOR - Gurgaon - 3+9(R)_Revised MOR Package_~0039877_II.5. RawMaterials_Sheet4" xfId="7168" xr:uid="{00000000-0005-0000-0000-0000FF1B0000}"/>
    <cellStyle name="_MOR - BDWY - 1+11_MOR - Gurgaon - 3+9(R)_Revised MOR Package_~0039877_II.5. RM Volume Sensitivities" xfId="7169" xr:uid="{00000000-0005-0000-0000-0000001C0000}"/>
    <cellStyle name="_MOR - BDWY - 1+11_MOR - Gurgaon - 3+9(R)_Revised MOR Package_~0039877_II.5. RM Volume Sensitivities 2" xfId="7170" xr:uid="{00000000-0005-0000-0000-0000011C0000}"/>
    <cellStyle name="_MOR - BDWY - 1+11_MOR - Gurgaon - 3+9(R)_Revised MOR Package_~0039877_II.5. RM Volume Sensitivities_BS retrieve" xfId="7171" xr:uid="{00000000-0005-0000-0000-0000021C0000}"/>
    <cellStyle name="_MOR - BDWY - 1+11_MOR - Gurgaon - 3+9(R)_Revised MOR Package_~0039877_II.5. RM Volume Sensitivities_Free CF" xfId="7172" xr:uid="{00000000-0005-0000-0000-0000031C0000}"/>
    <cellStyle name="_MOR - BDWY - 1+11_MOR - Gurgaon - 3+9(R)_Revised MOR Package_~0039877_II.5. RM Volume Sensitivities_P&amp;L Rec Qtr" xfId="7173" xr:uid="{00000000-0005-0000-0000-0000041C0000}"/>
    <cellStyle name="_MOR - BDWY - 1+11_MOR - Gurgaon - 3+9(R)_Revised MOR Package_~0039877_II.5. RM Volume Sensitivities_Sheet1" xfId="7174" xr:uid="{00000000-0005-0000-0000-0000051C0000}"/>
    <cellStyle name="_MOR - BDWY - 1+11_MOR - Gurgaon - 3+9(R)_Revised MOR Package_~0039877_II.5. RM Volume Sensitivities_Sheet2" xfId="7175" xr:uid="{00000000-0005-0000-0000-0000061C0000}"/>
    <cellStyle name="_MOR - BDWY - 1+11_MOR - Gurgaon - 3+9(R)_Revised MOR Package_~0039877_II.5. RM Volume Sensitivities_Sheet3" xfId="7176" xr:uid="{00000000-0005-0000-0000-0000071C0000}"/>
    <cellStyle name="_MOR - BDWY - 1+11_MOR - Gurgaon - 3+9(R)_Revised MOR Package_~0039877_II.5. RM Volume Sensitivities_Sheet4" xfId="7177" xr:uid="{00000000-0005-0000-0000-0000081C0000}"/>
    <cellStyle name="_MOR - BDWY - 1+11_MOR - Gurgaon - 3+9(R)_Revised MOR Package_~0039877_II.8. Sep&amp;Discrete" xfId="7178" xr:uid="{00000000-0005-0000-0000-0000091C0000}"/>
    <cellStyle name="_MOR - BDWY - 1+11_MOR - Gurgaon - 3+9(R)_Revised MOR Package_~0039877_II.8. Sep&amp;Discrete_Guidance" xfId="7179" xr:uid="{00000000-0005-0000-0000-00000A1C0000}"/>
    <cellStyle name="_MOR - BDWY - 1+11_MOR - Gurgaon - 3+9(R)_Revised MOR Package_~0039877_II.8. Sep&amp;Discrete_Guidance 2" xfId="7180" xr:uid="{00000000-0005-0000-0000-00000B1C0000}"/>
    <cellStyle name="_MOR - BDWY - 1+11_MOR - Gurgaon - 3+9(R)_Revised MOR Package_~0039877_II.8. Sep&amp;Discrete_Guidance_BS retrieve" xfId="7181" xr:uid="{00000000-0005-0000-0000-00000C1C0000}"/>
    <cellStyle name="_MOR - BDWY - 1+11_MOR - Gurgaon - 3+9(R)_Revised MOR Package_~0039877_II.8. Sep&amp;Discrete_Guidance_Free CF" xfId="7182" xr:uid="{00000000-0005-0000-0000-00000D1C0000}"/>
    <cellStyle name="_MOR - BDWY - 1+11_MOR - Gurgaon - 3+9(R)_Revised MOR Package_~0039877_II.8. Sep&amp;Discrete_Guidance_P&amp;L Rec Qtr" xfId="7183" xr:uid="{00000000-0005-0000-0000-00000E1C0000}"/>
    <cellStyle name="_MOR - BDWY - 1+11_MOR - Gurgaon - 3+9(R)_Revised MOR Package_~0039877_II.8. Sep&amp;Discrete_Guidance_Sheet1" xfId="7184" xr:uid="{00000000-0005-0000-0000-00000F1C0000}"/>
    <cellStyle name="_MOR - BDWY - 1+11_MOR - Gurgaon - 3+9(R)_Revised MOR Package_~0039877_II.8. Sep&amp;Discrete_Guidance_Sheet2" xfId="7185" xr:uid="{00000000-0005-0000-0000-0000101C0000}"/>
    <cellStyle name="_MOR - BDWY - 1+11_MOR - Gurgaon - 3+9(R)_Revised MOR Package_~0039877_II.8. Sep&amp;Discrete_Guidance_Sheet3" xfId="7186" xr:uid="{00000000-0005-0000-0000-0000111C0000}"/>
    <cellStyle name="_MOR - BDWY - 1+11_MOR - Gurgaon - 3+9(R)_Revised MOR Package_~0039877_II.8. Sep&amp;Discrete_Guidance_Sheet4" xfId="7187" xr:uid="{00000000-0005-0000-0000-0000121C0000}"/>
    <cellStyle name="_MOR - BDWY - 1+11_MOR - Gurgaon - 3+9(R)_Revised MOR Package_~0039877_Restructuring &amp; Separation" xfId="7188" xr:uid="{00000000-0005-0000-0000-0000131C0000}"/>
    <cellStyle name="_MOR - BDWY - 1+11_MOR - Gurgaon - 3+9(R)_Revised MOR Package_~0039877_Restructuring &amp; Separation_Guidance" xfId="7189" xr:uid="{00000000-0005-0000-0000-0000141C0000}"/>
    <cellStyle name="_MOR - BDWY - 1+11_MOR - Gurgaon - 3+9(R)_Revised MOR Package_~0039877_Restructuring &amp; Separation_Guidance 2" xfId="7190" xr:uid="{00000000-0005-0000-0000-0000151C0000}"/>
    <cellStyle name="_MOR - BDWY - 1+11_MOR - Gurgaon - 3+9(R)_Revised MOR Package_~0039877_Restructuring &amp; Separation_Guidance_BS retrieve" xfId="7191" xr:uid="{00000000-0005-0000-0000-0000161C0000}"/>
    <cellStyle name="_MOR - BDWY - 1+11_MOR - Gurgaon - 3+9(R)_Revised MOR Package_~0039877_Restructuring &amp; Separation_Guidance_Free CF" xfId="7192" xr:uid="{00000000-0005-0000-0000-0000171C0000}"/>
    <cellStyle name="_MOR - BDWY - 1+11_MOR - Gurgaon - 3+9(R)_Revised MOR Package_~0039877_Restructuring &amp; Separation_Guidance_P&amp;L Rec Qtr" xfId="7193" xr:uid="{00000000-0005-0000-0000-0000181C0000}"/>
    <cellStyle name="_MOR - BDWY - 1+11_MOR - Gurgaon - 3+9(R)_Revised MOR Package_~0039877_Restructuring &amp; Separation_Guidance_Sheet1" xfId="7194" xr:uid="{00000000-0005-0000-0000-0000191C0000}"/>
    <cellStyle name="_MOR - BDWY - 1+11_MOR - Gurgaon - 3+9(R)_Revised MOR Package_~0039877_Restructuring &amp; Separation_Guidance_Sheet2" xfId="7195" xr:uid="{00000000-0005-0000-0000-00001A1C0000}"/>
    <cellStyle name="_MOR - BDWY - 1+11_MOR - Gurgaon - 3+9(R)_Revised MOR Package_~0039877_Restructuring &amp; Separation_Guidance_Sheet3" xfId="7196" xr:uid="{00000000-0005-0000-0000-00001B1C0000}"/>
    <cellStyle name="_MOR - BDWY - 1+11_MOR - Gurgaon - 3+9(R)_Revised MOR Package_~0039877_Restructuring &amp; Separation_Guidance_Sheet4" xfId="7197" xr:uid="{00000000-0005-0000-0000-00001C1C0000}"/>
    <cellStyle name="_MOR - BDWY - 1+11_MOR - Gurgaon - 3+9(R)_Revised MOR Package_~0039877_Restructuring_Separation_TAX_JuneFC2010 tf" xfId="7198" xr:uid="{00000000-0005-0000-0000-00001D1C0000}"/>
    <cellStyle name="_MOR - BDWY - 1+11_MOR - Gurgaon - 3+9(R)_Revised MOR Package_~0039877_Restructuring_Separation_TAX_JuneFC2010 tf_BS_Separation_TaxResIndem_Q12412 tf" xfId="7199" xr:uid="{00000000-0005-0000-0000-00001E1C0000}"/>
    <cellStyle name="_MOR - BDWY - 1+11_MOR - Gurgaon - 3+9(R)_Revised MOR Package_~0039877_Restructuring_Separation_TAX_JuneFC2010 tf_BS_Separation_TaxResIndem_Q12412 tf_Guidance" xfId="7200" xr:uid="{00000000-0005-0000-0000-00001F1C0000}"/>
    <cellStyle name="_MOR - BDWY - 1+11_MOR - Gurgaon - 3+9(R)_Revised MOR Package_~0039877_Restructuring_Separation_TAX_JuneFC2010 tf_BS_Separation_TaxResIndem_Q12412 tf_Guidance 2" xfId="7201" xr:uid="{00000000-0005-0000-0000-0000201C0000}"/>
    <cellStyle name="_MOR - BDWY - 1+11_MOR - Gurgaon - 3+9(R)_Revised MOR Package_~0039877_Restructuring_Separation_TAX_JuneFC2010 tf_BS_Separation_TaxResIndem_Q12412 tf_Guidance_BS retrieve" xfId="7202" xr:uid="{00000000-0005-0000-0000-0000211C0000}"/>
    <cellStyle name="_MOR - BDWY - 1+11_MOR - Gurgaon - 3+9(R)_Revised MOR Package_~0039877_Restructuring_Separation_TAX_JuneFC2010 tf_BS_Separation_TaxResIndem_Q12412 tf_Guidance_Free CF" xfId="7203" xr:uid="{00000000-0005-0000-0000-0000221C0000}"/>
    <cellStyle name="_MOR - BDWY - 1+11_MOR - Gurgaon - 3+9(R)_Revised MOR Package_~0039877_Restructuring_Separation_TAX_JuneFC2010 tf_BS_Separation_TaxResIndem_Q12412 tf_Guidance_P&amp;L Rec Qtr" xfId="7204" xr:uid="{00000000-0005-0000-0000-0000231C0000}"/>
    <cellStyle name="_MOR - BDWY - 1+11_MOR - Gurgaon - 3+9(R)_Revised MOR Package_~0039877_Restructuring_Separation_TAX_JuneFC2010 tf_BS_Separation_TaxResIndem_Q12412 tf_Guidance_Sheet1" xfId="7205" xr:uid="{00000000-0005-0000-0000-0000241C0000}"/>
    <cellStyle name="_MOR - BDWY - 1+11_MOR - Gurgaon - 3+9(R)_Revised MOR Package_~0039877_Restructuring_Separation_TAX_JuneFC2010 tf_BS_Separation_TaxResIndem_Q12412 tf_Guidance_Sheet2" xfId="7206" xr:uid="{00000000-0005-0000-0000-0000251C0000}"/>
    <cellStyle name="_MOR - BDWY - 1+11_MOR - Gurgaon - 3+9(R)_Revised MOR Package_~0039877_Restructuring_Separation_TAX_JuneFC2010 tf_BS_Separation_TaxResIndem_Q12412 tf_Guidance_Sheet3" xfId="7207" xr:uid="{00000000-0005-0000-0000-0000261C0000}"/>
    <cellStyle name="_MOR - BDWY - 1+11_MOR - Gurgaon - 3+9(R)_Revised MOR Package_~0039877_Restructuring_Separation_TAX_JuneFC2010 tf_BS_Separation_TaxResIndem_Q12412 tf_Guidance_Sheet4" xfId="7208" xr:uid="{00000000-0005-0000-0000-0000271C0000}"/>
    <cellStyle name="_MOR - BDWY - 1+11_MOR - Gurgaon - 3+9(R)_Revised MOR Package_~0039877_Restructuring_Separation_TAX_JuneFC2010 tf_BS_Separation_TaxResIndem_Q12412 tf_Restructuring &amp; Separation" xfId="7209" xr:uid="{00000000-0005-0000-0000-0000281C0000}"/>
    <cellStyle name="_MOR - BDWY - 1+11_MOR - Gurgaon - 3+9(R)_Revised MOR Package_~0039877_Restructuring_Separation_TAX_JuneFC2010 tf_BS_Separation_TaxResIndem_Q12412 tf_Restructuring &amp; Separation_Guidance" xfId="7210" xr:uid="{00000000-0005-0000-0000-0000291C0000}"/>
    <cellStyle name="_MOR - BDWY - 1+11_MOR - Gurgaon - 3+9(R)_Revised MOR Package_~0039877_Restructuring_Separation_TAX_JuneFC2010 tf_BS_Separation_TaxResIndem_Q12412 tf_Restructuring &amp; Separation_Guidance 2" xfId="7211" xr:uid="{00000000-0005-0000-0000-00002A1C0000}"/>
    <cellStyle name="_MOR - BDWY - 1+11_MOR - Gurgaon - 3+9(R)_Revised MOR Package_~0039877_Restructuring_Separation_TAX_JuneFC2010 tf_BS_Separation_TaxResIndem_Q12412 tf_Restructuring &amp; Separation_Guidance_BS retrieve" xfId="7212" xr:uid="{00000000-0005-0000-0000-00002B1C0000}"/>
    <cellStyle name="_MOR - BDWY - 1+11_MOR - Gurgaon - 3+9(R)_Revised MOR Package_~0039877_Restructuring_Separation_TAX_JuneFC2010 tf_BS_Separation_TaxResIndem_Q12412 tf_Restructuring &amp; Separation_Guidance_Free CF" xfId="7213" xr:uid="{00000000-0005-0000-0000-00002C1C0000}"/>
    <cellStyle name="_MOR - BDWY - 1+11_MOR - Gurgaon - 3+9(R)_Revised MOR Package_~0039877_Restructuring_Separation_TAX_JuneFC2010 tf_BS_Separation_TaxResIndem_Q12412 tf_Restructuring &amp; Separation_Guidance_P&amp;L Rec Qtr" xfId="7214" xr:uid="{00000000-0005-0000-0000-00002D1C0000}"/>
    <cellStyle name="_MOR - BDWY - 1+11_MOR - Gurgaon - 3+9(R)_Revised MOR Package_~0039877_Restructuring_Separation_TAX_JuneFC2010 tf_BS_Separation_TaxResIndem_Q12412 tf_Restructuring &amp; Separation_Guidance_Sheet1" xfId="7215" xr:uid="{00000000-0005-0000-0000-00002E1C0000}"/>
    <cellStyle name="_MOR - BDWY - 1+11_MOR - Gurgaon - 3+9(R)_Revised MOR Package_~0039877_Restructuring_Separation_TAX_JuneFC2010 tf_BS_Separation_TaxResIndem_Q12412 tf_Restructuring &amp; Separation_Guidance_Sheet2" xfId="7216" xr:uid="{00000000-0005-0000-0000-00002F1C0000}"/>
    <cellStyle name="_MOR - BDWY - 1+11_MOR - Gurgaon - 3+9(R)_Revised MOR Package_~0039877_Restructuring_Separation_TAX_JuneFC2010 tf_BS_Separation_TaxResIndem_Q12412 tf_Restructuring &amp; Separation_Guidance_Sheet3" xfId="7217" xr:uid="{00000000-0005-0000-0000-0000301C0000}"/>
    <cellStyle name="_MOR - BDWY - 1+11_MOR - Gurgaon - 3+9(R)_Revised MOR Package_~0039877_Restructuring_Separation_TAX_JuneFC2010 tf_BS_Separation_TaxResIndem_Q12412 tf_Restructuring &amp; Separation_Guidance_Sheet4" xfId="7218" xr:uid="{00000000-0005-0000-0000-0000311C0000}"/>
    <cellStyle name="_MOR - BDWY - 1+11_MOR - Gurgaon - 3+9(R)_Revised MOR Package_~0039877_Restructuring_Separation_TAX_JuneFC2010 tf_Guidance" xfId="7219" xr:uid="{00000000-0005-0000-0000-0000321C0000}"/>
    <cellStyle name="_MOR - BDWY - 1+11_MOR - Gurgaon - 3+9(R)_Revised MOR Package_~0039877_Restructuring_Separation_TAX_JuneFC2010 tf_Guidance 2" xfId="7220" xr:uid="{00000000-0005-0000-0000-0000331C0000}"/>
    <cellStyle name="_MOR - BDWY - 1+11_MOR - Gurgaon - 3+9(R)_Revised MOR Package_~0039877_Restructuring_Separation_TAX_JuneFC2010 tf_Guidance_BS retrieve" xfId="7221" xr:uid="{00000000-0005-0000-0000-0000341C0000}"/>
    <cellStyle name="_MOR - BDWY - 1+11_MOR - Gurgaon - 3+9(R)_Revised MOR Package_~0039877_Restructuring_Separation_TAX_JuneFC2010 tf_Guidance_Free CF" xfId="7222" xr:uid="{00000000-0005-0000-0000-0000351C0000}"/>
    <cellStyle name="_MOR - BDWY - 1+11_MOR - Gurgaon - 3+9(R)_Revised MOR Package_~0039877_Restructuring_Separation_TAX_JuneFC2010 tf_Guidance_P&amp;L Rec Qtr" xfId="7223" xr:uid="{00000000-0005-0000-0000-0000361C0000}"/>
    <cellStyle name="_MOR - BDWY - 1+11_MOR - Gurgaon - 3+9(R)_Revised MOR Package_~0039877_Restructuring_Separation_TAX_JuneFC2010 tf_Guidance_Sheet1" xfId="7224" xr:uid="{00000000-0005-0000-0000-0000371C0000}"/>
    <cellStyle name="_MOR - BDWY - 1+11_MOR - Gurgaon - 3+9(R)_Revised MOR Package_~0039877_Restructuring_Separation_TAX_JuneFC2010 tf_Guidance_Sheet2" xfId="7225" xr:uid="{00000000-0005-0000-0000-0000381C0000}"/>
    <cellStyle name="_MOR - BDWY - 1+11_MOR - Gurgaon - 3+9(R)_Revised MOR Package_~0039877_Restructuring_Separation_TAX_JuneFC2010 tf_Guidance_Sheet3" xfId="7226" xr:uid="{00000000-0005-0000-0000-0000391C0000}"/>
    <cellStyle name="_MOR - BDWY - 1+11_MOR - Gurgaon - 3+9(R)_Revised MOR Package_~0039877_Restructuring_Separation_TAX_JuneFC2010 tf_Guidance_Sheet4" xfId="7227" xr:uid="{00000000-0005-0000-0000-00003A1C0000}"/>
    <cellStyle name="_MOR - BDWY - 1+11_MOR - Gurgaon - 3+9(R)_Revised MOR Package_~0039877_Restructuring_Separation_TAX_JuneFC2010 tf_II.8. Sep&amp;Discrete" xfId="7228" xr:uid="{00000000-0005-0000-0000-00003B1C0000}"/>
    <cellStyle name="_MOR - BDWY - 1+11_MOR - Gurgaon - 3+9(R)_Revised MOR Package_~0039877_Restructuring_Separation_TAX_JuneFC2010 tf_II.8. Sep&amp;Discrete_Guidance" xfId="7229" xr:uid="{00000000-0005-0000-0000-00003C1C0000}"/>
    <cellStyle name="_MOR - BDWY - 1+11_MOR - Gurgaon - 3+9(R)_Revised MOR Package_~0039877_Restructuring_Separation_TAX_JuneFC2010 tf_II.8. Sep&amp;Discrete_Guidance 2" xfId="7230" xr:uid="{00000000-0005-0000-0000-00003D1C0000}"/>
    <cellStyle name="_MOR - BDWY - 1+11_MOR - Gurgaon - 3+9(R)_Revised MOR Package_~0039877_Restructuring_Separation_TAX_JuneFC2010 tf_II.8. Sep&amp;Discrete_Guidance_BS retrieve" xfId="7231" xr:uid="{00000000-0005-0000-0000-00003E1C0000}"/>
    <cellStyle name="_MOR - BDWY - 1+11_MOR - Gurgaon - 3+9(R)_Revised MOR Package_~0039877_Restructuring_Separation_TAX_JuneFC2010 tf_II.8. Sep&amp;Discrete_Guidance_Free CF" xfId="7232" xr:uid="{00000000-0005-0000-0000-00003F1C0000}"/>
    <cellStyle name="_MOR - BDWY - 1+11_MOR - Gurgaon - 3+9(R)_Revised MOR Package_~0039877_Restructuring_Separation_TAX_JuneFC2010 tf_II.8. Sep&amp;Discrete_Guidance_P&amp;L Rec Qtr" xfId="7233" xr:uid="{00000000-0005-0000-0000-0000401C0000}"/>
    <cellStyle name="_MOR - BDWY - 1+11_MOR - Gurgaon - 3+9(R)_Revised MOR Package_~0039877_Restructuring_Separation_TAX_JuneFC2010 tf_II.8. Sep&amp;Discrete_Guidance_Sheet1" xfId="7234" xr:uid="{00000000-0005-0000-0000-0000411C0000}"/>
    <cellStyle name="_MOR - BDWY - 1+11_MOR - Gurgaon - 3+9(R)_Revised MOR Package_~0039877_Restructuring_Separation_TAX_JuneFC2010 tf_II.8. Sep&amp;Discrete_Guidance_Sheet2" xfId="7235" xr:uid="{00000000-0005-0000-0000-0000421C0000}"/>
    <cellStyle name="_MOR - BDWY - 1+11_MOR - Gurgaon - 3+9(R)_Revised MOR Package_~0039877_Restructuring_Separation_TAX_JuneFC2010 tf_II.8. Sep&amp;Discrete_Guidance_Sheet3" xfId="7236" xr:uid="{00000000-0005-0000-0000-0000431C0000}"/>
    <cellStyle name="_MOR - BDWY - 1+11_MOR - Gurgaon - 3+9(R)_Revised MOR Package_~0039877_Restructuring_Separation_TAX_JuneFC2010 tf_II.8. Sep&amp;Discrete_Guidance_Sheet4" xfId="7237" xr:uid="{00000000-0005-0000-0000-0000441C0000}"/>
    <cellStyle name="_MOR - BDWY - 1+11_MOR - Gurgaon - 3+9(R)_Revised MOR Package_~0039877_Restructuring_Separation_TAX_JuneFC2010 tf_Restructuring &amp; Separation" xfId="7238" xr:uid="{00000000-0005-0000-0000-0000451C0000}"/>
    <cellStyle name="_MOR - BDWY - 1+11_MOR - Gurgaon - 3+9(R)_Revised MOR Package_~0039877_Restructuring_Separation_TAX_JuneFC2010 tf_Restructuring &amp; Separation_Guidance" xfId="7239" xr:uid="{00000000-0005-0000-0000-0000461C0000}"/>
    <cellStyle name="_MOR - BDWY - 1+11_MOR - Gurgaon - 3+9(R)_Revised MOR Package_~0039877_Restructuring_Separation_TAX_JuneFC2010 tf_Restructuring &amp; Separation_Guidance 2" xfId="7240" xr:uid="{00000000-0005-0000-0000-0000471C0000}"/>
    <cellStyle name="_MOR - BDWY - 1+11_MOR - Gurgaon - 3+9(R)_Revised MOR Package_~0039877_Restructuring_Separation_TAX_JuneFC2010 tf_Restructuring &amp; Separation_Guidance_BS retrieve" xfId="7241" xr:uid="{00000000-0005-0000-0000-0000481C0000}"/>
    <cellStyle name="_MOR - BDWY - 1+11_MOR - Gurgaon - 3+9(R)_Revised MOR Package_~0039877_Restructuring_Separation_TAX_JuneFC2010 tf_Restructuring &amp; Separation_Guidance_Free CF" xfId="7242" xr:uid="{00000000-0005-0000-0000-0000491C0000}"/>
    <cellStyle name="_MOR - BDWY - 1+11_MOR - Gurgaon - 3+9(R)_Revised MOR Package_~0039877_Restructuring_Separation_TAX_JuneFC2010 tf_Restructuring &amp; Separation_Guidance_P&amp;L Rec Qtr" xfId="7243" xr:uid="{00000000-0005-0000-0000-00004A1C0000}"/>
    <cellStyle name="_MOR - BDWY - 1+11_MOR - Gurgaon - 3+9(R)_Revised MOR Package_~0039877_Restructuring_Separation_TAX_JuneFC2010 tf_Restructuring &amp; Separation_Guidance_Sheet1" xfId="7244" xr:uid="{00000000-0005-0000-0000-00004B1C0000}"/>
    <cellStyle name="_MOR - BDWY - 1+11_MOR - Gurgaon - 3+9(R)_Revised MOR Package_~0039877_Restructuring_Separation_TAX_JuneFC2010 tf_Restructuring &amp; Separation_Guidance_Sheet2" xfId="7245" xr:uid="{00000000-0005-0000-0000-00004C1C0000}"/>
    <cellStyle name="_MOR - BDWY - 1+11_MOR - Gurgaon - 3+9(R)_Revised MOR Package_~0039877_Restructuring_Separation_TAX_JuneFC2010 tf_Restructuring &amp; Separation_Guidance_Sheet3" xfId="7246" xr:uid="{00000000-0005-0000-0000-00004D1C0000}"/>
    <cellStyle name="_MOR - BDWY - 1+11_MOR - Gurgaon - 3+9(R)_Revised MOR Package_~0039877_Restructuring_Separation_TAX_JuneFC2010 tf_Restructuring &amp; Separation_Guidance_Sheet4" xfId="7247" xr:uid="{00000000-0005-0000-0000-00004E1C0000}"/>
    <cellStyle name="_MOR - BDWY - 1+11_MOR - Gurgaon - 3+9(R)_Revised MOR Package_BS_Separation_TaxResIndem_Q12412 tf" xfId="7248" xr:uid="{00000000-0005-0000-0000-00004F1C0000}"/>
    <cellStyle name="_MOR - BDWY - 1+11_MOR - Gurgaon - 3+9(R)_Revised MOR Package_BS_Separation_TaxResIndem_Q12412 tf_Guidance" xfId="7249" xr:uid="{00000000-0005-0000-0000-0000501C0000}"/>
    <cellStyle name="_MOR - BDWY - 1+11_MOR - Gurgaon - 3+9(R)_Revised MOR Package_BS_Separation_TaxResIndem_Q12412 tf_Guidance 2" xfId="7250" xr:uid="{00000000-0005-0000-0000-0000511C0000}"/>
    <cellStyle name="_MOR - BDWY - 1+11_MOR - Gurgaon - 3+9(R)_Revised MOR Package_BS_Separation_TaxResIndem_Q12412 tf_Guidance_BS retrieve" xfId="7251" xr:uid="{00000000-0005-0000-0000-0000521C0000}"/>
    <cellStyle name="_MOR - BDWY - 1+11_MOR - Gurgaon - 3+9(R)_Revised MOR Package_BS_Separation_TaxResIndem_Q12412 tf_Guidance_Free CF" xfId="7252" xr:uid="{00000000-0005-0000-0000-0000531C0000}"/>
    <cellStyle name="_MOR - BDWY - 1+11_MOR - Gurgaon - 3+9(R)_Revised MOR Package_BS_Separation_TaxResIndem_Q12412 tf_Guidance_P&amp;L Rec Qtr" xfId="7253" xr:uid="{00000000-0005-0000-0000-0000541C0000}"/>
    <cellStyle name="_MOR - BDWY - 1+11_MOR - Gurgaon - 3+9(R)_Revised MOR Package_BS_Separation_TaxResIndem_Q12412 tf_Guidance_Sheet1" xfId="7254" xr:uid="{00000000-0005-0000-0000-0000551C0000}"/>
    <cellStyle name="_MOR - BDWY - 1+11_MOR - Gurgaon - 3+9(R)_Revised MOR Package_BS_Separation_TaxResIndem_Q12412 tf_Guidance_Sheet2" xfId="7255" xr:uid="{00000000-0005-0000-0000-0000561C0000}"/>
    <cellStyle name="_MOR - BDWY - 1+11_MOR - Gurgaon - 3+9(R)_Revised MOR Package_BS_Separation_TaxResIndem_Q12412 tf_Guidance_Sheet3" xfId="7256" xr:uid="{00000000-0005-0000-0000-0000571C0000}"/>
    <cellStyle name="_MOR - BDWY - 1+11_MOR - Gurgaon - 3+9(R)_Revised MOR Package_BS_Separation_TaxResIndem_Q12412 tf_Guidance_Sheet4" xfId="7257" xr:uid="{00000000-0005-0000-0000-0000581C0000}"/>
    <cellStyle name="_MOR - BDWY - 1+11_MOR - Gurgaon - 3+9(R)_Revised MOR Package_BS_Separation_TaxResIndem_Q12412 tf_Restructuring &amp; Separation" xfId="7258" xr:uid="{00000000-0005-0000-0000-0000591C0000}"/>
    <cellStyle name="_MOR - BDWY - 1+11_MOR - Gurgaon - 3+9(R)_Revised MOR Package_BS_Separation_TaxResIndem_Q12412 tf_Restructuring &amp; Separation_Guidance" xfId="7259" xr:uid="{00000000-0005-0000-0000-00005A1C0000}"/>
    <cellStyle name="_MOR - BDWY - 1+11_MOR - Gurgaon - 3+9(R)_Revised MOR Package_BS_Separation_TaxResIndem_Q12412 tf_Restructuring &amp; Separation_Guidance 2" xfId="7260" xr:uid="{00000000-0005-0000-0000-00005B1C0000}"/>
    <cellStyle name="_MOR - BDWY - 1+11_MOR - Gurgaon - 3+9(R)_Revised MOR Package_BS_Separation_TaxResIndem_Q12412 tf_Restructuring &amp; Separation_Guidance_BS retrieve" xfId="7261" xr:uid="{00000000-0005-0000-0000-00005C1C0000}"/>
    <cellStyle name="_MOR - BDWY - 1+11_MOR - Gurgaon - 3+9(R)_Revised MOR Package_BS_Separation_TaxResIndem_Q12412 tf_Restructuring &amp; Separation_Guidance_Free CF" xfId="7262" xr:uid="{00000000-0005-0000-0000-00005D1C0000}"/>
    <cellStyle name="_MOR - BDWY - 1+11_MOR - Gurgaon - 3+9(R)_Revised MOR Package_BS_Separation_TaxResIndem_Q12412 tf_Restructuring &amp; Separation_Guidance_P&amp;L Rec Qtr" xfId="7263" xr:uid="{00000000-0005-0000-0000-00005E1C0000}"/>
    <cellStyle name="_MOR - BDWY - 1+11_MOR - Gurgaon - 3+9(R)_Revised MOR Package_BS_Separation_TaxResIndem_Q12412 tf_Restructuring &amp; Separation_Guidance_Sheet1" xfId="7264" xr:uid="{00000000-0005-0000-0000-00005F1C0000}"/>
    <cellStyle name="_MOR - BDWY - 1+11_MOR - Gurgaon - 3+9(R)_Revised MOR Package_BS_Separation_TaxResIndem_Q12412 tf_Restructuring &amp; Separation_Guidance_Sheet2" xfId="7265" xr:uid="{00000000-0005-0000-0000-0000601C0000}"/>
    <cellStyle name="_MOR - BDWY - 1+11_MOR - Gurgaon - 3+9(R)_Revised MOR Package_BS_Separation_TaxResIndem_Q12412 tf_Restructuring &amp; Separation_Guidance_Sheet3" xfId="7266" xr:uid="{00000000-0005-0000-0000-0000611C0000}"/>
    <cellStyle name="_MOR - BDWY - 1+11_MOR - Gurgaon - 3+9(R)_Revised MOR Package_BS_Separation_TaxResIndem_Q12412 tf_Restructuring &amp; Separation_Guidance_Sheet4" xfId="7267" xr:uid="{00000000-0005-0000-0000-0000621C0000}"/>
    <cellStyle name="_MOR - BDWY - 1+11_MOR - Gurgaon - 3+9(R)_Revised MOR Package_By Country Detail 1Q10 041410pm FIN 18 revised per disc w Mary" xfId="7268" xr:uid="{00000000-0005-0000-0000-0000631C0000}"/>
    <cellStyle name="_MOR - BDWY - 1+11_MOR - Gurgaon - 3+9(R)_Revised MOR Package_By Country Detail 1Q10 041410pm FIN 18 revised per disc w Mary_BS_Separation_TaxResIndem_Q12412 tf" xfId="7269" xr:uid="{00000000-0005-0000-0000-0000641C0000}"/>
    <cellStyle name="_MOR - BDWY - 1+11_MOR - Gurgaon - 3+9(R)_Revised MOR Package_By Country Detail 1Q10 041410pm FIN 18 revised per disc w Mary_BS_Separation_TaxResIndem_Q12412 tf_Guidance" xfId="7270" xr:uid="{00000000-0005-0000-0000-0000651C0000}"/>
    <cellStyle name="_MOR - BDWY - 1+11_MOR - Gurgaon - 3+9(R)_Revised MOR Package_By Country Detail 1Q10 041410pm FIN 18 revised per disc w Mary_BS_Separation_TaxResIndem_Q12412 tf_Guidance 2" xfId="7271" xr:uid="{00000000-0005-0000-0000-0000661C0000}"/>
    <cellStyle name="_MOR - BDWY - 1+11_MOR - Gurgaon - 3+9(R)_Revised MOR Package_By Country Detail 1Q10 041410pm FIN 18 revised per disc w Mary_BS_Separation_TaxResIndem_Q12412 tf_Guidance_BS retrieve" xfId="7272" xr:uid="{00000000-0005-0000-0000-0000671C0000}"/>
    <cellStyle name="_MOR - BDWY - 1+11_MOR - Gurgaon - 3+9(R)_Revised MOR Package_By Country Detail 1Q10 041410pm FIN 18 revised per disc w Mary_BS_Separation_TaxResIndem_Q12412 tf_Guidance_Free CF" xfId="7273" xr:uid="{00000000-0005-0000-0000-0000681C0000}"/>
    <cellStyle name="_MOR - BDWY - 1+11_MOR - Gurgaon - 3+9(R)_Revised MOR Package_By Country Detail 1Q10 041410pm FIN 18 revised per disc w Mary_BS_Separation_TaxResIndem_Q12412 tf_Guidance_P&amp;L Rec Qtr" xfId="7274" xr:uid="{00000000-0005-0000-0000-0000691C0000}"/>
    <cellStyle name="_MOR - BDWY - 1+11_MOR - Gurgaon - 3+9(R)_Revised MOR Package_By Country Detail 1Q10 041410pm FIN 18 revised per disc w Mary_BS_Separation_TaxResIndem_Q12412 tf_Guidance_Sheet1" xfId="7275" xr:uid="{00000000-0005-0000-0000-00006A1C0000}"/>
    <cellStyle name="_MOR - BDWY - 1+11_MOR - Gurgaon - 3+9(R)_Revised MOR Package_By Country Detail 1Q10 041410pm FIN 18 revised per disc w Mary_BS_Separation_TaxResIndem_Q12412 tf_Guidance_Sheet2" xfId="7276" xr:uid="{00000000-0005-0000-0000-00006B1C0000}"/>
    <cellStyle name="_MOR - BDWY - 1+11_MOR - Gurgaon - 3+9(R)_Revised MOR Package_By Country Detail 1Q10 041410pm FIN 18 revised per disc w Mary_BS_Separation_TaxResIndem_Q12412 tf_Guidance_Sheet3" xfId="7277" xr:uid="{00000000-0005-0000-0000-00006C1C0000}"/>
    <cellStyle name="_MOR - BDWY - 1+11_MOR - Gurgaon - 3+9(R)_Revised MOR Package_By Country Detail 1Q10 041410pm FIN 18 revised per disc w Mary_BS_Separation_TaxResIndem_Q12412 tf_Guidance_Sheet4" xfId="7278" xr:uid="{00000000-0005-0000-0000-00006D1C0000}"/>
    <cellStyle name="_MOR - BDWY - 1+11_MOR - Gurgaon - 3+9(R)_Revised MOR Package_By Country Detail 1Q10 041410pm FIN 18 revised per disc w Mary_BS_Separation_TaxResIndem_Q12412 tf_Restructuring &amp; Separation" xfId="7279" xr:uid="{00000000-0005-0000-0000-00006E1C0000}"/>
    <cellStyle name="_MOR - BDWY - 1+11_MOR - Gurgaon - 3+9(R)_Revised MOR Package_By Country Detail 1Q10 041410pm FIN 18 revised per disc w Mary_BS_Separation_TaxResIndem_Q12412 tf_Restructuring &amp; Separation_Guidance" xfId="7280" xr:uid="{00000000-0005-0000-0000-00006F1C0000}"/>
    <cellStyle name="_MOR - BDWY - 1+11_MOR - Gurgaon - 3+9(R)_Revised MOR Package_By Country Detail 1Q10 041410pm FIN 18 revised per disc w Mary_BS_Separation_TaxResIndem_Q12412 tf_Restructuring &amp; Separation_Guidance 2" xfId="7281" xr:uid="{00000000-0005-0000-0000-0000701C0000}"/>
    <cellStyle name="_MOR - BDWY - 1+11_MOR - Gurgaon - 3+9(R)_Revised MOR Package_By Country Detail 1Q10 041410pm FIN 18 revised per disc w Mary_BS_Separation_TaxResIndem_Q12412 tf_Restructuring &amp; Separation_Guidance_BS retrieve" xfId="7282" xr:uid="{00000000-0005-0000-0000-0000711C0000}"/>
    <cellStyle name="_MOR - BDWY - 1+11_MOR - Gurgaon - 3+9(R)_Revised MOR Package_By Country Detail 1Q10 041410pm FIN 18 revised per disc w Mary_BS_Separation_TaxResIndem_Q12412 tf_Restructuring &amp; Separation_Guidance_Free CF" xfId="7283" xr:uid="{00000000-0005-0000-0000-0000721C0000}"/>
    <cellStyle name="_MOR - BDWY - 1+11_MOR - Gurgaon - 3+9(R)_Revised MOR Package_By Country Detail 1Q10 041410pm FIN 18 revised per disc w Mary_BS_Separation_TaxResIndem_Q12412 tf_Restructuring &amp; Separation_Guidance_P&amp;L Rec Qtr" xfId="7284" xr:uid="{00000000-0005-0000-0000-0000731C0000}"/>
    <cellStyle name="_MOR - BDWY - 1+11_MOR - Gurgaon - 3+9(R)_Revised MOR Package_By Country Detail 1Q10 041410pm FIN 18 revised per disc w Mary_BS_Separation_TaxResIndem_Q12412 tf_Restructuring &amp; Separation_Guidance_Sheet1" xfId="7285" xr:uid="{00000000-0005-0000-0000-0000741C0000}"/>
    <cellStyle name="_MOR - BDWY - 1+11_MOR - Gurgaon - 3+9(R)_Revised MOR Package_By Country Detail 1Q10 041410pm FIN 18 revised per disc w Mary_BS_Separation_TaxResIndem_Q12412 tf_Restructuring &amp; Separation_Guidance_Sheet2" xfId="7286" xr:uid="{00000000-0005-0000-0000-0000751C0000}"/>
    <cellStyle name="_MOR - BDWY - 1+11_MOR - Gurgaon - 3+9(R)_Revised MOR Package_By Country Detail 1Q10 041410pm FIN 18 revised per disc w Mary_BS_Separation_TaxResIndem_Q12412 tf_Restructuring &amp; Separation_Guidance_Sheet3" xfId="7287" xr:uid="{00000000-0005-0000-0000-0000761C0000}"/>
    <cellStyle name="_MOR - BDWY - 1+11_MOR - Gurgaon - 3+9(R)_Revised MOR Package_By Country Detail 1Q10 041410pm FIN 18 revised per disc w Mary_BS_Separation_TaxResIndem_Q12412 tf_Restructuring &amp; Separation_Guidance_Sheet4" xfId="7288" xr:uid="{00000000-0005-0000-0000-0000771C0000}"/>
    <cellStyle name="_MOR - BDWY - 1+11_MOR - Gurgaon - 3+9(R)_Revised MOR Package_By Country Detail 1Q10 041410pm FIN 18 revised per disc w Mary_Guidance" xfId="7289" xr:uid="{00000000-0005-0000-0000-0000781C0000}"/>
    <cellStyle name="_MOR - BDWY - 1+11_MOR - Gurgaon - 3+9(R)_Revised MOR Package_By Country Detail 1Q10 041410pm FIN 18 revised per disc w Mary_Guidance 2" xfId="7290" xr:uid="{00000000-0005-0000-0000-0000791C0000}"/>
    <cellStyle name="_MOR - BDWY - 1+11_MOR - Gurgaon - 3+9(R)_Revised MOR Package_By Country Detail 1Q10 041410pm FIN 18 revised per disc w Mary_Guidance_BS retrieve" xfId="7291" xr:uid="{00000000-0005-0000-0000-00007A1C0000}"/>
    <cellStyle name="_MOR - BDWY - 1+11_MOR - Gurgaon - 3+9(R)_Revised MOR Package_By Country Detail 1Q10 041410pm FIN 18 revised per disc w Mary_Guidance_Free CF" xfId="7292" xr:uid="{00000000-0005-0000-0000-00007B1C0000}"/>
    <cellStyle name="_MOR - BDWY - 1+11_MOR - Gurgaon - 3+9(R)_Revised MOR Package_By Country Detail 1Q10 041410pm FIN 18 revised per disc w Mary_Guidance_P&amp;L Rec Qtr" xfId="7293" xr:uid="{00000000-0005-0000-0000-00007C1C0000}"/>
    <cellStyle name="_MOR - BDWY - 1+11_MOR - Gurgaon - 3+9(R)_Revised MOR Package_By Country Detail 1Q10 041410pm FIN 18 revised per disc w Mary_Guidance_Sheet1" xfId="7294" xr:uid="{00000000-0005-0000-0000-00007D1C0000}"/>
    <cellStyle name="_MOR - BDWY - 1+11_MOR - Gurgaon - 3+9(R)_Revised MOR Package_By Country Detail 1Q10 041410pm FIN 18 revised per disc w Mary_Guidance_Sheet2" xfId="7295" xr:uid="{00000000-0005-0000-0000-00007E1C0000}"/>
    <cellStyle name="_MOR - BDWY - 1+11_MOR - Gurgaon - 3+9(R)_Revised MOR Package_By Country Detail 1Q10 041410pm FIN 18 revised per disc w Mary_Guidance_Sheet3" xfId="7296" xr:uid="{00000000-0005-0000-0000-00007F1C0000}"/>
    <cellStyle name="_MOR - BDWY - 1+11_MOR - Gurgaon - 3+9(R)_Revised MOR Package_By Country Detail 1Q10 041410pm FIN 18 revised per disc w Mary_Guidance_Sheet4" xfId="7297" xr:uid="{00000000-0005-0000-0000-0000801C0000}"/>
    <cellStyle name="_MOR - BDWY - 1+11_MOR - Gurgaon - 3+9(R)_Revised MOR Package_By Country Detail 1Q10 041410pm FIN 18 revised per disc w Mary_II.8. Sep&amp;Discrete" xfId="7298" xr:uid="{00000000-0005-0000-0000-0000811C0000}"/>
    <cellStyle name="_MOR - BDWY - 1+11_MOR - Gurgaon - 3+9(R)_Revised MOR Package_By Country Detail 1Q10 041410pm FIN 18 revised per disc w Mary_II.8. Sep&amp;Discrete_Guidance" xfId="7299" xr:uid="{00000000-0005-0000-0000-0000821C0000}"/>
    <cellStyle name="_MOR - BDWY - 1+11_MOR - Gurgaon - 3+9(R)_Revised MOR Package_By Country Detail 1Q10 041410pm FIN 18 revised per disc w Mary_II.8. Sep&amp;Discrete_Guidance 2" xfId="7300" xr:uid="{00000000-0005-0000-0000-0000831C0000}"/>
    <cellStyle name="_MOR - BDWY - 1+11_MOR - Gurgaon - 3+9(R)_Revised MOR Package_By Country Detail 1Q10 041410pm FIN 18 revised per disc w Mary_II.8. Sep&amp;Discrete_Guidance_BS retrieve" xfId="7301" xr:uid="{00000000-0005-0000-0000-0000841C0000}"/>
    <cellStyle name="_MOR - BDWY - 1+11_MOR - Gurgaon - 3+9(R)_Revised MOR Package_By Country Detail 1Q10 041410pm FIN 18 revised per disc w Mary_II.8. Sep&amp;Discrete_Guidance_Free CF" xfId="7302" xr:uid="{00000000-0005-0000-0000-0000851C0000}"/>
    <cellStyle name="_MOR - BDWY - 1+11_MOR - Gurgaon - 3+9(R)_Revised MOR Package_By Country Detail 1Q10 041410pm FIN 18 revised per disc w Mary_II.8. Sep&amp;Discrete_Guidance_P&amp;L Rec Qtr" xfId="7303" xr:uid="{00000000-0005-0000-0000-0000861C0000}"/>
    <cellStyle name="_MOR - BDWY - 1+11_MOR - Gurgaon - 3+9(R)_Revised MOR Package_By Country Detail 1Q10 041410pm FIN 18 revised per disc w Mary_II.8. Sep&amp;Discrete_Guidance_Sheet1" xfId="7304" xr:uid="{00000000-0005-0000-0000-0000871C0000}"/>
    <cellStyle name="_MOR - BDWY - 1+11_MOR - Gurgaon - 3+9(R)_Revised MOR Package_By Country Detail 1Q10 041410pm FIN 18 revised per disc w Mary_II.8. Sep&amp;Discrete_Guidance_Sheet2" xfId="7305" xr:uid="{00000000-0005-0000-0000-0000881C0000}"/>
    <cellStyle name="_MOR - BDWY - 1+11_MOR - Gurgaon - 3+9(R)_Revised MOR Package_By Country Detail 1Q10 041410pm FIN 18 revised per disc w Mary_II.8. Sep&amp;Discrete_Guidance_Sheet3" xfId="7306" xr:uid="{00000000-0005-0000-0000-0000891C0000}"/>
    <cellStyle name="_MOR - BDWY - 1+11_MOR - Gurgaon - 3+9(R)_Revised MOR Package_By Country Detail 1Q10 041410pm FIN 18 revised per disc w Mary_II.8. Sep&amp;Discrete_Guidance_Sheet4" xfId="7307" xr:uid="{00000000-0005-0000-0000-00008A1C0000}"/>
    <cellStyle name="_MOR - BDWY - 1+11_MOR - Gurgaon - 3+9(R)_Revised MOR Package_By Country Detail 1Q10 041410pm FIN 18 revised per disc w Mary_Restructuring &amp; Separation" xfId="7308" xr:uid="{00000000-0005-0000-0000-00008B1C0000}"/>
    <cellStyle name="_MOR - BDWY - 1+11_MOR - Gurgaon - 3+9(R)_Revised MOR Package_By Country Detail 1Q10 041410pm FIN 18 revised per disc w Mary_Restructuring &amp; Separation_Guidance" xfId="7309" xr:uid="{00000000-0005-0000-0000-00008C1C0000}"/>
    <cellStyle name="_MOR - BDWY - 1+11_MOR - Gurgaon - 3+9(R)_Revised MOR Package_By Country Detail 1Q10 041410pm FIN 18 revised per disc w Mary_Restructuring &amp; Separation_Guidance 2" xfId="7310" xr:uid="{00000000-0005-0000-0000-00008D1C0000}"/>
    <cellStyle name="_MOR - BDWY - 1+11_MOR - Gurgaon - 3+9(R)_Revised MOR Package_By Country Detail 1Q10 041410pm FIN 18 revised per disc w Mary_Restructuring &amp; Separation_Guidance_BS retrieve" xfId="7311" xr:uid="{00000000-0005-0000-0000-00008E1C0000}"/>
    <cellStyle name="_MOR - BDWY - 1+11_MOR - Gurgaon - 3+9(R)_Revised MOR Package_By Country Detail 1Q10 041410pm FIN 18 revised per disc w Mary_Restructuring &amp; Separation_Guidance_Free CF" xfId="7312" xr:uid="{00000000-0005-0000-0000-00008F1C0000}"/>
    <cellStyle name="_MOR - BDWY - 1+11_MOR - Gurgaon - 3+9(R)_Revised MOR Package_By Country Detail 1Q10 041410pm FIN 18 revised per disc w Mary_Restructuring &amp; Separation_Guidance_P&amp;L Rec Qtr" xfId="7313" xr:uid="{00000000-0005-0000-0000-0000901C0000}"/>
    <cellStyle name="_MOR - BDWY - 1+11_MOR - Gurgaon - 3+9(R)_Revised MOR Package_By Country Detail 1Q10 041410pm FIN 18 revised per disc w Mary_Restructuring &amp; Separation_Guidance_Sheet1" xfId="7314" xr:uid="{00000000-0005-0000-0000-0000911C0000}"/>
    <cellStyle name="_MOR - BDWY - 1+11_MOR - Gurgaon - 3+9(R)_Revised MOR Package_By Country Detail 1Q10 041410pm FIN 18 revised per disc w Mary_Restructuring &amp; Separation_Guidance_Sheet2" xfId="7315" xr:uid="{00000000-0005-0000-0000-0000921C0000}"/>
    <cellStyle name="_MOR - BDWY - 1+11_MOR - Gurgaon - 3+9(R)_Revised MOR Package_By Country Detail 1Q10 041410pm FIN 18 revised per disc w Mary_Restructuring &amp; Separation_Guidance_Sheet3" xfId="7316" xr:uid="{00000000-0005-0000-0000-0000931C0000}"/>
    <cellStyle name="_MOR - BDWY - 1+11_MOR - Gurgaon - 3+9(R)_Revised MOR Package_By Country Detail 1Q10 041410pm FIN 18 revised per disc w Mary_Restructuring &amp; Separation_Guidance_Sheet4" xfId="7317" xr:uid="{00000000-0005-0000-0000-0000941C0000}"/>
    <cellStyle name="_MOR - BDWY - 1+11_MOR - Gurgaon - 3+9(R)_Revised MOR Package_Guidance" xfId="7318" xr:uid="{00000000-0005-0000-0000-0000951C0000}"/>
    <cellStyle name="_MOR - BDWY - 1+11_MOR - Gurgaon - 3+9(R)_Revised MOR Package_Guidance 2" xfId="7319" xr:uid="{00000000-0005-0000-0000-0000961C0000}"/>
    <cellStyle name="_MOR - BDWY - 1+11_MOR - Gurgaon - 3+9(R)_Revised MOR Package_Guidance_BS retrieve" xfId="7320" xr:uid="{00000000-0005-0000-0000-0000971C0000}"/>
    <cellStyle name="_MOR - BDWY - 1+11_MOR - Gurgaon - 3+9(R)_Revised MOR Package_Guidance_Free CF" xfId="7321" xr:uid="{00000000-0005-0000-0000-0000981C0000}"/>
    <cellStyle name="_MOR - BDWY - 1+11_MOR - Gurgaon - 3+9(R)_Revised MOR Package_Guidance_P&amp;L Rec Qtr" xfId="7322" xr:uid="{00000000-0005-0000-0000-0000991C0000}"/>
    <cellStyle name="_MOR - BDWY - 1+11_MOR - Gurgaon - 3+9(R)_Revised MOR Package_Guidance_Sheet1" xfId="7323" xr:uid="{00000000-0005-0000-0000-00009A1C0000}"/>
    <cellStyle name="_MOR - BDWY - 1+11_MOR - Gurgaon - 3+9(R)_Revised MOR Package_Guidance_Sheet2" xfId="7324" xr:uid="{00000000-0005-0000-0000-00009B1C0000}"/>
    <cellStyle name="_MOR - BDWY - 1+11_MOR - Gurgaon - 3+9(R)_Revised MOR Package_Guidance_Sheet3" xfId="7325" xr:uid="{00000000-0005-0000-0000-00009C1C0000}"/>
    <cellStyle name="_MOR - BDWY - 1+11_MOR - Gurgaon - 3+9(R)_Revised MOR Package_Guidance_Sheet4" xfId="7326" xr:uid="{00000000-0005-0000-0000-00009D1C0000}"/>
    <cellStyle name="_MOR - BDWY - 1+11_MOR - Gurgaon - 3+9(R)_Revised MOR Package_II.4. RawMaterials" xfId="7327" xr:uid="{00000000-0005-0000-0000-00009E1C0000}"/>
    <cellStyle name="_MOR - BDWY - 1+11_MOR - Gurgaon - 3+9(R)_Revised MOR Package_II.4. RawMaterials 2" xfId="7328" xr:uid="{00000000-0005-0000-0000-00009F1C0000}"/>
    <cellStyle name="_MOR - BDWY - 1+11_MOR - Gurgaon - 3+9(R)_Revised MOR Package_II.4. RawMaterials_BS retrieve" xfId="7329" xr:uid="{00000000-0005-0000-0000-0000A01C0000}"/>
    <cellStyle name="_MOR - BDWY - 1+11_MOR - Gurgaon - 3+9(R)_Revised MOR Package_II.4. RawMaterials_Free CF" xfId="7330" xr:uid="{00000000-0005-0000-0000-0000A11C0000}"/>
    <cellStyle name="_MOR - BDWY - 1+11_MOR - Gurgaon - 3+9(R)_Revised MOR Package_II.4. RawMaterials_P&amp;L Rec Qtr" xfId="7331" xr:uid="{00000000-0005-0000-0000-0000A21C0000}"/>
    <cellStyle name="_MOR - BDWY - 1+11_MOR - Gurgaon - 3+9(R)_Revised MOR Package_II.4. RawMaterials_Sheet1" xfId="7332" xr:uid="{00000000-0005-0000-0000-0000A31C0000}"/>
    <cellStyle name="_MOR - BDWY - 1+11_MOR - Gurgaon - 3+9(R)_Revised MOR Package_II.4. RawMaterials_Sheet2" xfId="7333" xr:uid="{00000000-0005-0000-0000-0000A41C0000}"/>
    <cellStyle name="_MOR - BDWY - 1+11_MOR - Gurgaon - 3+9(R)_Revised MOR Package_II.4. RawMaterials_Sheet3" xfId="7334" xr:uid="{00000000-0005-0000-0000-0000A51C0000}"/>
    <cellStyle name="_MOR - BDWY - 1+11_MOR - Gurgaon - 3+9(R)_Revised MOR Package_II.4. RawMaterials_Sheet4" xfId="7335" xr:uid="{00000000-0005-0000-0000-0000A61C0000}"/>
    <cellStyle name="_MOR - BDWY - 1+11_MOR - Gurgaon - 3+9(R)_Revised MOR Package_II.5. RawMaterials" xfId="7336" xr:uid="{00000000-0005-0000-0000-0000A71C0000}"/>
    <cellStyle name="_MOR - BDWY - 1+11_MOR - Gurgaon - 3+9(R)_Revised MOR Package_II.5. RawMaterials 2" xfId="7337" xr:uid="{00000000-0005-0000-0000-0000A81C0000}"/>
    <cellStyle name="_MOR - BDWY - 1+11_MOR - Gurgaon - 3+9(R)_Revised MOR Package_II.5. RawMaterials_BS retrieve" xfId="7338" xr:uid="{00000000-0005-0000-0000-0000A91C0000}"/>
    <cellStyle name="_MOR - BDWY - 1+11_MOR - Gurgaon - 3+9(R)_Revised MOR Package_II.5. RawMaterials_Free CF" xfId="7339" xr:uid="{00000000-0005-0000-0000-0000AA1C0000}"/>
    <cellStyle name="_MOR - BDWY - 1+11_MOR - Gurgaon - 3+9(R)_Revised MOR Package_II.5. RawMaterials_Guidance" xfId="7340" xr:uid="{00000000-0005-0000-0000-0000AB1C0000}"/>
    <cellStyle name="_MOR - BDWY - 1+11_MOR - Gurgaon - 3+9(R)_Revised MOR Package_II.5. RawMaterials_Guidance 2" xfId="7341" xr:uid="{00000000-0005-0000-0000-0000AC1C0000}"/>
    <cellStyle name="_MOR - BDWY - 1+11_MOR - Gurgaon - 3+9(R)_Revised MOR Package_II.5. RawMaterials_Guidance_BS retrieve" xfId="7342" xr:uid="{00000000-0005-0000-0000-0000AD1C0000}"/>
    <cellStyle name="_MOR - BDWY - 1+11_MOR - Gurgaon - 3+9(R)_Revised MOR Package_II.5. RawMaterials_Guidance_Free CF" xfId="7343" xr:uid="{00000000-0005-0000-0000-0000AE1C0000}"/>
    <cellStyle name="_MOR - BDWY - 1+11_MOR - Gurgaon - 3+9(R)_Revised MOR Package_II.5. RawMaterials_Guidance_P&amp;L Rec Qtr" xfId="7344" xr:uid="{00000000-0005-0000-0000-0000AF1C0000}"/>
    <cellStyle name="_MOR - BDWY - 1+11_MOR - Gurgaon - 3+9(R)_Revised MOR Package_II.5. RawMaterials_Guidance_Sheet1" xfId="7345" xr:uid="{00000000-0005-0000-0000-0000B01C0000}"/>
    <cellStyle name="_MOR - BDWY - 1+11_MOR - Gurgaon - 3+9(R)_Revised MOR Package_II.5. RawMaterials_Guidance_Sheet2" xfId="7346" xr:uid="{00000000-0005-0000-0000-0000B11C0000}"/>
    <cellStyle name="_MOR - BDWY - 1+11_MOR - Gurgaon - 3+9(R)_Revised MOR Package_II.5. RawMaterials_Guidance_Sheet3" xfId="7347" xr:uid="{00000000-0005-0000-0000-0000B21C0000}"/>
    <cellStyle name="_MOR - BDWY - 1+11_MOR - Gurgaon - 3+9(R)_Revised MOR Package_II.5. RawMaterials_Guidance_Sheet4" xfId="7348" xr:uid="{00000000-0005-0000-0000-0000B31C0000}"/>
    <cellStyle name="_MOR - BDWY - 1+11_MOR - Gurgaon - 3+9(R)_Revised MOR Package_II.5. RawMaterials_P&amp;L Rec Qtr" xfId="7349" xr:uid="{00000000-0005-0000-0000-0000B41C0000}"/>
    <cellStyle name="_MOR - BDWY - 1+11_MOR - Gurgaon - 3+9(R)_Revised MOR Package_II.5. RawMaterials_Sheet1" xfId="7350" xr:uid="{00000000-0005-0000-0000-0000B51C0000}"/>
    <cellStyle name="_MOR - BDWY - 1+11_MOR - Gurgaon - 3+9(R)_Revised MOR Package_II.5. RawMaterials_Sheet2" xfId="7351" xr:uid="{00000000-0005-0000-0000-0000B61C0000}"/>
    <cellStyle name="_MOR - BDWY - 1+11_MOR - Gurgaon - 3+9(R)_Revised MOR Package_II.5. RawMaterials_Sheet3" xfId="7352" xr:uid="{00000000-0005-0000-0000-0000B71C0000}"/>
    <cellStyle name="_MOR - BDWY - 1+11_MOR - Gurgaon - 3+9(R)_Revised MOR Package_II.5. RawMaterials_Sheet4" xfId="7353" xr:uid="{00000000-0005-0000-0000-0000B81C0000}"/>
    <cellStyle name="_MOR - BDWY - 1+11_MOR - Gurgaon - 3+9(R)_Revised MOR Package_II.5. RM Volume Sensitivities" xfId="7354" xr:uid="{00000000-0005-0000-0000-0000B91C0000}"/>
    <cellStyle name="_MOR - BDWY - 1+11_MOR - Gurgaon - 3+9(R)_Revised MOR Package_II.5. RM Volume Sensitivities 2" xfId="7355" xr:uid="{00000000-0005-0000-0000-0000BA1C0000}"/>
    <cellStyle name="_MOR - BDWY - 1+11_MOR - Gurgaon - 3+9(R)_Revised MOR Package_II.5. RM Volume Sensitivities_BS retrieve" xfId="7356" xr:uid="{00000000-0005-0000-0000-0000BB1C0000}"/>
    <cellStyle name="_MOR - BDWY - 1+11_MOR - Gurgaon - 3+9(R)_Revised MOR Package_II.5. RM Volume Sensitivities_Free CF" xfId="7357" xr:uid="{00000000-0005-0000-0000-0000BC1C0000}"/>
    <cellStyle name="_MOR - BDWY - 1+11_MOR - Gurgaon - 3+9(R)_Revised MOR Package_II.5. RM Volume Sensitivities_P&amp;L Rec Qtr" xfId="7358" xr:uid="{00000000-0005-0000-0000-0000BD1C0000}"/>
    <cellStyle name="_MOR - BDWY - 1+11_MOR - Gurgaon - 3+9(R)_Revised MOR Package_II.5. RM Volume Sensitivities_Sheet1" xfId="7359" xr:uid="{00000000-0005-0000-0000-0000BE1C0000}"/>
    <cellStyle name="_MOR - BDWY - 1+11_MOR - Gurgaon - 3+9(R)_Revised MOR Package_II.5. RM Volume Sensitivities_Sheet2" xfId="7360" xr:uid="{00000000-0005-0000-0000-0000BF1C0000}"/>
    <cellStyle name="_MOR - BDWY - 1+11_MOR - Gurgaon - 3+9(R)_Revised MOR Package_II.5. RM Volume Sensitivities_Sheet3" xfId="7361" xr:uid="{00000000-0005-0000-0000-0000C01C0000}"/>
    <cellStyle name="_MOR - BDWY - 1+11_MOR - Gurgaon - 3+9(R)_Revised MOR Package_II.5. RM Volume Sensitivities_Sheet4" xfId="7362" xr:uid="{00000000-0005-0000-0000-0000C11C0000}"/>
    <cellStyle name="_MOR - BDWY - 1+11_MOR - Gurgaon - 3+9(R)_Revised MOR Package_II.8. Sep&amp;Discrete" xfId="7363" xr:uid="{00000000-0005-0000-0000-0000C21C0000}"/>
    <cellStyle name="_MOR - BDWY - 1+11_MOR - Gurgaon - 3+9(R)_Revised MOR Package_II.8. Sep&amp;Discrete_Guidance" xfId="7364" xr:uid="{00000000-0005-0000-0000-0000C31C0000}"/>
    <cellStyle name="_MOR - BDWY - 1+11_MOR - Gurgaon - 3+9(R)_Revised MOR Package_II.8. Sep&amp;Discrete_Guidance 2" xfId="7365" xr:uid="{00000000-0005-0000-0000-0000C41C0000}"/>
    <cellStyle name="_MOR - BDWY - 1+11_MOR - Gurgaon - 3+9(R)_Revised MOR Package_II.8. Sep&amp;Discrete_Guidance_BS retrieve" xfId="7366" xr:uid="{00000000-0005-0000-0000-0000C51C0000}"/>
    <cellStyle name="_MOR - BDWY - 1+11_MOR - Gurgaon - 3+9(R)_Revised MOR Package_II.8. Sep&amp;Discrete_Guidance_Free CF" xfId="7367" xr:uid="{00000000-0005-0000-0000-0000C61C0000}"/>
    <cellStyle name="_MOR - BDWY - 1+11_MOR - Gurgaon - 3+9(R)_Revised MOR Package_II.8. Sep&amp;Discrete_Guidance_P&amp;L Rec Qtr" xfId="7368" xr:uid="{00000000-0005-0000-0000-0000C71C0000}"/>
    <cellStyle name="_MOR - BDWY - 1+11_MOR - Gurgaon - 3+9(R)_Revised MOR Package_II.8. Sep&amp;Discrete_Guidance_Sheet1" xfId="7369" xr:uid="{00000000-0005-0000-0000-0000C81C0000}"/>
    <cellStyle name="_MOR - BDWY - 1+11_MOR - Gurgaon - 3+9(R)_Revised MOR Package_II.8. Sep&amp;Discrete_Guidance_Sheet2" xfId="7370" xr:uid="{00000000-0005-0000-0000-0000C91C0000}"/>
    <cellStyle name="_MOR - BDWY - 1+11_MOR - Gurgaon - 3+9(R)_Revised MOR Package_II.8. Sep&amp;Discrete_Guidance_Sheet3" xfId="7371" xr:uid="{00000000-0005-0000-0000-0000CA1C0000}"/>
    <cellStyle name="_MOR - BDWY - 1+11_MOR - Gurgaon - 3+9(R)_Revised MOR Package_II.8. Sep&amp;Discrete_Guidance_Sheet4" xfId="7372" xr:uid="{00000000-0005-0000-0000-0000CB1C0000}"/>
    <cellStyle name="_MOR - BDWY - 1+11_MOR - Gurgaon - 3+9(R)_Revised MOR Package_Restructuring &amp; Separation" xfId="7373" xr:uid="{00000000-0005-0000-0000-0000CC1C0000}"/>
    <cellStyle name="_MOR - BDWY - 1+11_MOR - Gurgaon - 3+9(R)_Revised MOR Package_Restructuring &amp; Separation_Guidance" xfId="7374" xr:uid="{00000000-0005-0000-0000-0000CD1C0000}"/>
    <cellStyle name="_MOR - BDWY - 1+11_MOR - Gurgaon - 3+9(R)_Revised MOR Package_Restructuring &amp; Separation_Guidance 2" xfId="7375" xr:uid="{00000000-0005-0000-0000-0000CE1C0000}"/>
    <cellStyle name="_MOR - BDWY - 1+11_MOR - Gurgaon - 3+9(R)_Revised MOR Package_Restructuring &amp; Separation_Guidance_BS retrieve" xfId="7376" xr:uid="{00000000-0005-0000-0000-0000CF1C0000}"/>
    <cellStyle name="_MOR - BDWY - 1+11_MOR - Gurgaon - 3+9(R)_Revised MOR Package_Restructuring &amp; Separation_Guidance_Free CF" xfId="7377" xr:uid="{00000000-0005-0000-0000-0000D01C0000}"/>
    <cellStyle name="_MOR - BDWY - 1+11_MOR - Gurgaon - 3+9(R)_Revised MOR Package_Restructuring &amp; Separation_Guidance_P&amp;L Rec Qtr" xfId="7378" xr:uid="{00000000-0005-0000-0000-0000D11C0000}"/>
    <cellStyle name="_MOR - BDWY - 1+11_MOR - Gurgaon - 3+9(R)_Revised MOR Package_Restructuring &amp; Separation_Guidance_Sheet1" xfId="7379" xr:uid="{00000000-0005-0000-0000-0000D21C0000}"/>
    <cellStyle name="_MOR - BDWY - 1+11_MOR - Gurgaon - 3+9(R)_Revised MOR Package_Restructuring &amp; Separation_Guidance_Sheet2" xfId="7380" xr:uid="{00000000-0005-0000-0000-0000D31C0000}"/>
    <cellStyle name="_MOR - BDWY - 1+11_MOR - Gurgaon - 3+9(R)_Revised MOR Package_Restructuring &amp; Separation_Guidance_Sheet3" xfId="7381" xr:uid="{00000000-0005-0000-0000-0000D41C0000}"/>
    <cellStyle name="_MOR - BDWY - 1+11_MOR - Gurgaon - 3+9(R)_Revised MOR Package_Restructuring &amp; Separation_Guidance_Sheet4" xfId="7382" xr:uid="{00000000-0005-0000-0000-0000D51C0000}"/>
    <cellStyle name="_MOR - BDWY - 1+11_MOR - Gurgaon - 3+9(R)_Revised MOR Package_Restructuring_Separation_TAX_JuneFC2010 tf" xfId="7383" xr:uid="{00000000-0005-0000-0000-0000D61C0000}"/>
    <cellStyle name="_MOR - BDWY - 1+11_MOR - Gurgaon - 3+9(R)_Revised MOR Package_Restructuring_Separation_TAX_JuneFC2010 tf_BS_Separation_TaxResIndem_Q12412 tf" xfId="7384" xr:uid="{00000000-0005-0000-0000-0000D71C0000}"/>
    <cellStyle name="_MOR - BDWY - 1+11_MOR - Gurgaon - 3+9(R)_Revised MOR Package_Restructuring_Separation_TAX_JuneFC2010 tf_BS_Separation_TaxResIndem_Q12412 tf_Guidance" xfId="7385" xr:uid="{00000000-0005-0000-0000-0000D81C0000}"/>
    <cellStyle name="_MOR - BDWY - 1+11_MOR - Gurgaon - 3+9(R)_Revised MOR Package_Restructuring_Separation_TAX_JuneFC2010 tf_BS_Separation_TaxResIndem_Q12412 tf_Guidance 2" xfId="7386" xr:uid="{00000000-0005-0000-0000-0000D91C0000}"/>
    <cellStyle name="_MOR - BDWY - 1+11_MOR - Gurgaon - 3+9(R)_Revised MOR Package_Restructuring_Separation_TAX_JuneFC2010 tf_BS_Separation_TaxResIndem_Q12412 tf_Guidance_BS retrieve" xfId="7387" xr:uid="{00000000-0005-0000-0000-0000DA1C0000}"/>
    <cellStyle name="_MOR - BDWY - 1+11_MOR - Gurgaon - 3+9(R)_Revised MOR Package_Restructuring_Separation_TAX_JuneFC2010 tf_BS_Separation_TaxResIndem_Q12412 tf_Guidance_Free CF" xfId="7388" xr:uid="{00000000-0005-0000-0000-0000DB1C0000}"/>
    <cellStyle name="_MOR - BDWY - 1+11_MOR - Gurgaon - 3+9(R)_Revised MOR Package_Restructuring_Separation_TAX_JuneFC2010 tf_BS_Separation_TaxResIndem_Q12412 tf_Guidance_P&amp;L Rec Qtr" xfId="7389" xr:uid="{00000000-0005-0000-0000-0000DC1C0000}"/>
    <cellStyle name="_MOR - BDWY - 1+11_MOR - Gurgaon - 3+9(R)_Revised MOR Package_Restructuring_Separation_TAX_JuneFC2010 tf_BS_Separation_TaxResIndem_Q12412 tf_Guidance_Sheet1" xfId="7390" xr:uid="{00000000-0005-0000-0000-0000DD1C0000}"/>
    <cellStyle name="_MOR - BDWY - 1+11_MOR - Gurgaon - 3+9(R)_Revised MOR Package_Restructuring_Separation_TAX_JuneFC2010 tf_BS_Separation_TaxResIndem_Q12412 tf_Guidance_Sheet2" xfId="7391" xr:uid="{00000000-0005-0000-0000-0000DE1C0000}"/>
    <cellStyle name="_MOR - BDWY - 1+11_MOR - Gurgaon - 3+9(R)_Revised MOR Package_Restructuring_Separation_TAX_JuneFC2010 tf_BS_Separation_TaxResIndem_Q12412 tf_Guidance_Sheet3" xfId="7392" xr:uid="{00000000-0005-0000-0000-0000DF1C0000}"/>
    <cellStyle name="_MOR - BDWY - 1+11_MOR - Gurgaon - 3+9(R)_Revised MOR Package_Restructuring_Separation_TAX_JuneFC2010 tf_BS_Separation_TaxResIndem_Q12412 tf_Guidance_Sheet4" xfId="7393" xr:uid="{00000000-0005-0000-0000-0000E01C0000}"/>
    <cellStyle name="_MOR - BDWY - 1+11_MOR - Gurgaon - 3+9(R)_Revised MOR Package_Restructuring_Separation_TAX_JuneFC2010 tf_BS_Separation_TaxResIndem_Q12412 tf_Restructuring &amp; Separation" xfId="7394" xr:uid="{00000000-0005-0000-0000-0000E11C0000}"/>
    <cellStyle name="_MOR - BDWY - 1+11_MOR - Gurgaon - 3+9(R)_Revised MOR Package_Restructuring_Separation_TAX_JuneFC2010 tf_BS_Separation_TaxResIndem_Q12412 tf_Restructuring &amp; Separation_Guidance" xfId="7395" xr:uid="{00000000-0005-0000-0000-0000E21C0000}"/>
    <cellStyle name="_MOR - BDWY - 1+11_MOR - Gurgaon - 3+9(R)_Revised MOR Package_Restructuring_Separation_TAX_JuneFC2010 tf_BS_Separation_TaxResIndem_Q12412 tf_Restructuring &amp; Separation_Guidance 2" xfId="7396" xr:uid="{00000000-0005-0000-0000-0000E31C0000}"/>
    <cellStyle name="_MOR - BDWY - 1+11_MOR - Gurgaon - 3+9(R)_Revised MOR Package_Restructuring_Separation_TAX_JuneFC2010 tf_BS_Separation_TaxResIndem_Q12412 tf_Restructuring &amp; Separation_Guidance_BS retrieve" xfId="7397" xr:uid="{00000000-0005-0000-0000-0000E41C0000}"/>
    <cellStyle name="_MOR - BDWY - 1+11_MOR - Gurgaon - 3+9(R)_Revised MOR Package_Restructuring_Separation_TAX_JuneFC2010 tf_BS_Separation_TaxResIndem_Q12412 tf_Restructuring &amp; Separation_Guidance_Free CF" xfId="7398" xr:uid="{00000000-0005-0000-0000-0000E51C0000}"/>
    <cellStyle name="_MOR - BDWY - 1+11_MOR - Gurgaon - 3+9(R)_Revised MOR Package_Restructuring_Separation_TAX_JuneFC2010 tf_BS_Separation_TaxResIndem_Q12412 tf_Restructuring &amp; Separation_Guidance_P&amp;L Rec Qtr" xfId="7399" xr:uid="{00000000-0005-0000-0000-0000E61C0000}"/>
    <cellStyle name="_MOR - BDWY - 1+11_MOR - Gurgaon - 3+9(R)_Revised MOR Package_Restructuring_Separation_TAX_JuneFC2010 tf_BS_Separation_TaxResIndem_Q12412 tf_Restructuring &amp; Separation_Guidance_Sheet1" xfId="7400" xr:uid="{00000000-0005-0000-0000-0000E71C0000}"/>
    <cellStyle name="_MOR - BDWY - 1+11_MOR - Gurgaon - 3+9(R)_Revised MOR Package_Restructuring_Separation_TAX_JuneFC2010 tf_BS_Separation_TaxResIndem_Q12412 tf_Restructuring &amp; Separation_Guidance_Sheet2" xfId="7401" xr:uid="{00000000-0005-0000-0000-0000E81C0000}"/>
    <cellStyle name="_MOR - BDWY - 1+11_MOR - Gurgaon - 3+9(R)_Revised MOR Package_Restructuring_Separation_TAX_JuneFC2010 tf_BS_Separation_TaxResIndem_Q12412 tf_Restructuring &amp; Separation_Guidance_Sheet3" xfId="7402" xr:uid="{00000000-0005-0000-0000-0000E91C0000}"/>
    <cellStyle name="_MOR - BDWY - 1+11_MOR - Gurgaon - 3+9(R)_Revised MOR Package_Restructuring_Separation_TAX_JuneFC2010 tf_BS_Separation_TaxResIndem_Q12412 tf_Restructuring &amp; Separation_Guidance_Sheet4" xfId="7403" xr:uid="{00000000-0005-0000-0000-0000EA1C0000}"/>
    <cellStyle name="_MOR - BDWY - 1+11_MOR - Gurgaon - 3+9(R)_Revised MOR Package_Restructuring_Separation_TAX_JuneFC2010 tf_Guidance" xfId="7404" xr:uid="{00000000-0005-0000-0000-0000EB1C0000}"/>
    <cellStyle name="_MOR - BDWY - 1+11_MOR - Gurgaon - 3+9(R)_Revised MOR Package_Restructuring_Separation_TAX_JuneFC2010 tf_Guidance 2" xfId="7405" xr:uid="{00000000-0005-0000-0000-0000EC1C0000}"/>
    <cellStyle name="_MOR - BDWY - 1+11_MOR - Gurgaon - 3+9(R)_Revised MOR Package_Restructuring_Separation_TAX_JuneFC2010 tf_Guidance_BS retrieve" xfId="7406" xr:uid="{00000000-0005-0000-0000-0000ED1C0000}"/>
    <cellStyle name="_MOR - BDWY - 1+11_MOR - Gurgaon - 3+9(R)_Revised MOR Package_Restructuring_Separation_TAX_JuneFC2010 tf_Guidance_Free CF" xfId="7407" xr:uid="{00000000-0005-0000-0000-0000EE1C0000}"/>
    <cellStyle name="_MOR - BDWY - 1+11_MOR - Gurgaon - 3+9(R)_Revised MOR Package_Restructuring_Separation_TAX_JuneFC2010 tf_Guidance_P&amp;L Rec Qtr" xfId="7408" xr:uid="{00000000-0005-0000-0000-0000EF1C0000}"/>
    <cellStyle name="_MOR - BDWY - 1+11_MOR - Gurgaon - 3+9(R)_Revised MOR Package_Restructuring_Separation_TAX_JuneFC2010 tf_Guidance_Sheet1" xfId="7409" xr:uid="{00000000-0005-0000-0000-0000F01C0000}"/>
    <cellStyle name="_MOR - BDWY - 1+11_MOR - Gurgaon - 3+9(R)_Revised MOR Package_Restructuring_Separation_TAX_JuneFC2010 tf_Guidance_Sheet2" xfId="7410" xr:uid="{00000000-0005-0000-0000-0000F11C0000}"/>
    <cellStyle name="_MOR - BDWY - 1+11_MOR - Gurgaon - 3+9(R)_Revised MOR Package_Restructuring_Separation_TAX_JuneFC2010 tf_Guidance_Sheet3" xfId="7411" xr:uid="{00000000-0005-0000-0000-0000F21C0000}"/>
    <cellStyle name="_MOR - BDWY - 1+11_MOR - Gurgaon - 3+9(R)_Revised MOR Package_Restructuring_Separation_TAX_JuneFC2010 tf_Guidance_Sheet4" xfId="7412" xr:uid="{00000000-0005-0000-0000-0000F31C0000}"/>
    <cellStyle name="_MOR - BDWY - 1+11_MOR - Gurgaon - 3+9(R)_Revised MOR Package_Restructuring_Separation_TAX_JuneFC2010 tf_II.8. Sep&amp;Discrete" xfId="7413" xr:uid="{00000000-0005-0000-0000-0000F41C0000}"/>
    <cellStyle name="_MOR - BDWY - 1+11_MOR - Gurgaon - 3+9(R)_Revised MOR Package_Restructuring_Separation_TAX_JuneFC2010 tf_II.8. Sep&amp;Discrete_Guidance" xfId="7414" xr:uid="{00000000-0005-0000-0000-0000F51C0000}"/>
    <cellStyle name="_MOR - BDWY - 1+11_MOR - Gurgaon - 3+9(R)_Revised MOR Package_Restructuring_Separation_TAX_JuneFC2010 tf_II.8. Sep&amp;Discrete_Guidance 2" xfId="7415" xr:uid="{00000000-0005-0000-0000-0000F61C0000}"/>
    <cellStyle name="_MOR - BDWY - 1+11_MOR - Gurgaon - 3+9(R)_Revised MOR Package_Restructuring_Separation_TAX_JuneFC2010 tf_II.8. Sep&amp;Discrete_Guidance_BS retrieve" xfId="7416" xr:uid="{00000000-0005-0000-0000-0000F71C0000}"/>
    <cellStyle name="_MOR - BDWY - 1+11_MOR - Gurgaon - 3+9(R)_Revised MOR Package_Restructuring_Separation_TAX_JuneFC2010 tf_II.8. Sep&amp;Discrete_Guidance_Free CF" xfId="7417" xr:uid="{00000000-0005-0000-0000-0000F81C0000}"/>
    <cellStyle name="_MOR - BDWY - 1+11_MOR - Gurgaon - 3+9(R)_Revised MOR Package_Restructuring_Separation_TAX_JuneFC2010 tf_II.8. Sep&amp;Discrete_Guidance_P&amp;L Rec Qtr" xfId="7418" xr:uid="{00000000-0005-0000-0000-0000F91C0000}"/>
    <cellStyle name="_MOR - BDWY - 1+11_MOR - Gurgaon - 3+9(R)_Revised MOR Package_Restructuring_Separation_TAX_JuneFC2010 tf_II.8. Sep&amp;Discrete_Guidance_Sheet1" xfId="7419" xr:uid="{00000000-0005-0000-0000-0000FA1C0000}"/>
    <cellStyle name="_MOR - BDWY - 1+11_MOR - Gurgaon - 3+9(R)_Revised MOR Package_Restructuring_Separation_TAX_JuneFC2010 tf_II.8. Sep&amp;Discrete_Guidance_Sheet2" xfId="7420" xr:uid="{00000000-0005-0000-0000-0000FB1C0000}"/>
    <cellStyle name="_MOR - BDWY - 1+11_MOR - Gurgaon - 3+9(R)_Revised MOR Package_Restructuring_Separation_TAX_JuneFC2010 tf_II.8. Sep&amp;Discrete_Guidance_Sheet3" xfId="7421" xr:uid="{00000000-0005-0000-0000-0000FC1C0000}"/>
    <cellStyle name="_MOR - BDWY - 1+11_MOR - Gurgaon - 3+9(R)_Revised MOR Package_Restructuring_Separation_TAX_JuneFC2010 tf_II.8. Sep&amp;Discrete_Guidance_Sheet4" xfId="7422" xr:uid="{00000000-0005-0000-0000-0000FD1C0000}"/>
    <cellStyle name="_MOR - BDWY - 1+11_MOR - Gurgaon - 3+9(R)_Revised MOR Package_Restructuring_Separation_TAX_JuneFC2010 tf_Restructuring &amp; Separation" xfId="7423" xr:uid="{00000000-0005-0000-0000-0000FE1C0000}"/>
    <cellStyle name="_MOR - BDWY - 1+11_MOR - Gurgaon - 3+9(R)_Revised MOR Package_Restructuring_Separation_TAX_JuneFC2010 tf_Restructuring &amp; Separation_Guidance" xfId="7424" xr:uid="{00000000-0005-0000-0000-0000FF1C0000}"/>
    <cellStyle name="_MOR - BDWY - 1+11_MOR - Gurgaon - 3+9(R)_Revised MOR Package_Restructuring_Separation_TAX_JuneFC2010 tf_Restructuring &amp; Separation_Guidance 2" xfId="7425" xr:uid="{00000000-0005-0000-0000-0000001D0000}"/>
    <cellStyle name="_MOR - BDWY - 1+11_MOR - Gurgaon - 3+9(R)_Revised MOR Package_Restructuring_Separation_TAX_JuneFC2010 tf_Restructuring &amp; Separation_Guidance_BS retrieve" xfId="7426" xr:uid="{00000000-0005-0000-0000-0000011D0000}"/>
    <cellStyle name="_MOR - BDWY - 1+11_MOR - Gurgaon - 3+9(R)_Revised MOR Package_Restructuring_Separation_TAX_JuneFC2010 tf_Restructuring &amp; Separation_Guidance_Free CF" xfId="7427" xr:uid="{00000000-0005-0000-0000-0000021D0000}"/>
    <cellStyle name="_MOR - BDWY - 1+11_MOR - Gurgaon - 3+9(R)_Revised MOR Package_Restructuring_Separation_TAX_JuneFC2010 tf_Restructuring &amp; Separation_Guidance_P&amp;L Rec Qtr" xfId="7428" xr:uid="{00000000-0005-0000-0000-0000031D0000}"/>
    <cellStyle name="_MOR - BDWY - 1+11_MOR - Gurgaon - 3+9(R)_Revised MOR Package_Restructuring_Separation_TAX_JuneFC2010 tf_Restructuring &amp; Separation_Guidance_Sheet1" xfId="7429" xr:uid="{00000000-0005-0000-0000-0000041D0000}"/>
    <cellStyle name="_MOR - BDWY - 1+11_MOR - Gurgaon - 3+9(R)_Revised MOR Package_Restructuring_Separation_TAX_JuneFC2010 tf_Restructuring &amp; Separation_Guidance_Sheet2" xfId="7430" xr:uid="{00000000-0005-0000-0000-0000051D0000}"/>
    <cellStyle name="_MOR - BDWY - 1+11_MOR - Gurgaon - 3+9(R)_Revised MOR Package_Restructuring_Separation_TAX_JuneFC2010 tf_Restructuring &amp; Separation_Guidance_Sheet3" xfId="7431" xr:uid="{00000000-0005-0000-0000-0000061D0000}"/>
    <cellStyle name="_MOR - BDWY - 1+11_MOR - Gurgaon - 3+9(R)_Revised MOR Package_Restructuring_Separation_TAX_JuneFC2010 tf_Restructuring &amp; Separation_Guidance_Sheet4" xfId="7432" xr:uid="{00000000-0005-0000-0000-0000071D0000}"/>
    <cellStyle name="_MOR - BDWY - 1+11_MOR - Gurgaon - 3+9(R)_Revised MOR Package_Revised MOR Package - Latest" xfId="7433" xr:uid="{00000000-0005-0000-0000-0000081D0000}"/>
    <cellStyle name="_MOR - BDWY - 1+11_MOR - Gurgaon - 3+9(R)_Revised MOR Package_Revised MOR Package - Latest_BS_Separation_TaxResIndem_Q12412 tf" xfId="7434" xr:uid="{00000000-0005-0000-0000-0000091D0000}"/>
    <cellStyle name="_MOR - BDWY - 1+11_MOR - Gurgaon - 3+9(R)_Revised MOR Package_Revised MOR Package - Latest_BS_Separation_TaxResIndem_Q12412 tf_Guidance" xfId="7435" xr:uid="{00000000-0005-0000-0000-00000A1D0000}"/>
    <cellStyle name="_MOR - BDWY - 1+11_MOR - Gurgaon - 3+9(R)_Revised MOR Package_Revised MOR Package - Latest_BS_Separation_TaxResIndem_Q12412 tf_Guidance 2" xfId="7436" xr:uid="{00000000-0005-0000-0000-00000B1D0000}"/>
    <cellStyle name="_MOR - BDWY - 1+11_MOR - Gurgaon - 3+9(R)_Revised MOR Package_Revised MOR Package - Latest_BS_Separation_TaxResIndem_Q12412 tf_Guidance_BS retrieve" xfId="7437" xr:uid="{00000000-0005-0000-0000-00000C1D0000}"/>
    <cellStyle name="_MOR - BDWY - 1+11_MOR - Gurgaon - 3+9(R)_Revised MOR Package_Revised MOR Package - Latest_BS_Separation_TaxResIndem_Q12412 tf_Guidance_Free CF" xfId="7438" xr:uid="{00000000-0005-0000-0000-00000D1D0000}"/>
    <cellStyle name="_MOR - BDWY - 1+11_MOR - Gurgaon - 3+9(R)_Revised MOR Package_Revised MOR Package - Latest_BS_Separation_TaxResIndem_Q12412 tf_Guidance_P&amp;L Rec Qtr" xfId="7439" xr:uid="{00000000-0005-0000-0000-00000E1D0000}"/>
    <cellStyle name="_MOR - BDWY - 1+11_MOR - Gurgaon - 3+9(R)_Revised MOR Package_Revised MOR Package - Latest_BS_Separation_TaxResIndem_Q12412 tf_Guidance_Sheet1" xfId="7440" xr:uid="{00000000-0005-0000-0000-00000F1D0000}"/>
    <cellStyle name="_MOR - BDWY - 1+11_MOR - Gurgaon - 3+9(R)_Revised MOR Package_Revised MOR Package - Latest_BS_Separation_TaxResIndem_Q12412 tf_Guidance_Sheet2" xfId="7441" xr:uid="{00000000-0005-0000-0000-0000101D0000}"/>
    <cellStyle name="_MOR - BDWY - 1+11_MOR - Gurgaon - 3+9(R)_Revised MOR Package_Revised MOR Package - Latest_BS_Separation_TaxResIndem_Q12412 tf_Guidance_Sheet3" xfId="7442" xr:uid="{00000000-0005-0000-0000-0000111D0000}"/>
    <cellStyle name="_MOR - BDWY - 1+11_MOR - Gurgaon - 3+9(R)_Revised MOR Package_Revised MOR Package - Latest_BS_Separation_TaxResIndem_Q12412 tf_Guidance_Sheet4" xfId="7443" xr:uid="{00000000-0005-0000-0000-0000121D0000}"/>
    <cellStyle name="_MOR - BDWY - 1+11_MOR - Gurgaon - 3+9(R)_Revised MOR Package_Revised MOR Package - Latest_BS_Separation_TaxResIndem_Q12412 tf_Restructuring &amp; Separation" xfId="7444" xr:uid="{00000000-0005-0000-0000-0000131D0000}"/>
    <cellStyle name="_MOR - BDWY - 1+11_MOR - Gurgaon - 3+9(R)_Revised MOR Package_Revised MOR Package - Latest_BS_Separation_TaxResIndem_Q12412 tf_Restructuring &amp; Separation_Guidance" xfId="7445" xr:uid="{00000000-0005-0000-0000-0000141D0000}"/>
    <cellStyle name="_MOR - BDWY - 1+11_MOR - Gurgaon - 3+9(R)_Revised MOR Package_Revised MOR Package - Latest_BS_Separation_TaxResIndem_Q12412 tf_Restructuring &amp; Separation_Guidance 2" xfId="7446" xr:uid="{00000000-0005-0000-0000-0000151D0000}"/>
    <cellStyle name="_MOR - BDWY - 1+11_MOR - Gurgaon - 3+9(R)_Revised MOR Package_Revised MOR Package - Latest_BS_Separation_TaxResIndem_Q12412 tf_Restructuring &amp; Separation_Guidance_BS retrieve" xfId="7447" xr:uid="{00000000-0005-0000-0000-0000161D0000}"/>
    <cellStyle name="_MOR - BDWY - 1+11_MOR - Gurgaon - 3+9(R)_Revised MOR Package_Revised MOR Package - Latest_BS_Separation_TaxResIndem_Q12412 tf_Restructuring &amp; Separation_Guidance_Free CF" xfId="7448" xr:uid="{00000000-0005-0000-0000-0000171D0000}"/>
    <cellStyle name="_MOR - BDWY - 1+11_MOR - Gurgaon - 3+9(R)_Revised MOR Package_Revised MOR Package - Latest_BS_Separation_TaxResIndem_Q12412 tf_Restructuring &amp; Separation_Guidance_P&amp;L Rec Qtr" xfId="7449" xr:uid="{00000000-0005-0000-0000-0000181D0000}"/>
    <cellStyle name="_MOR - BDWY - 1+11_MOR - Gurgaon - 3+9(R)_Revised MOR Package_Revised MOR Package - Latest_BS_Separation_TaxResIndem_Q12412 tf_Restructuring &amp; Separation_Guidance_Sheet1" xfId="7450" xr:uid="{00000000-0005-0000-0000-0000191D0000}"/>
    <cellStyle name="_MOR - BDWY - 1+11_MOR - Gurgaon - 3+9(R)_Revised MOR Package_Revised MOR Package - Latest_BS_Separation_TaxResIndem_Q12412 tf_Restructuring &amp; Separation_Guidance_Sheet2" xfId="7451" xr:uid="{00000000-0005-0000-0000-00001A1D0000}"/>
    <cellStyle name="_MOR - BDWY - 1+11_MOR - Gurgaon - 3+9(R)_Revised MOR Package_Revised MOR Package - Latest_BS_Separation_TaxResIndem_Q12412 tf_Restructuring &amp; Separation_Guidance_Sheet3" xfId="7452" xr:uid="{00000000-0005-0000-0000-00001B1D0000}"/>
    <cellStyle name="_MOR - BDWY - 1+11_MOR - Gurgaon - 3+9(R)_Revised MOR Package_Revised MOR Package - Latest_BS_Separation_TaxResIndem_Q12412 tf_Restructuring &amp; Separation_Guidance_Sheet4" xfId="7453" xr:uid="{00000000-0005-0000-0000-00001C1D0000}"/>
    <cellStyle name="_MOR - BDWY - 1+11_MOR - Gurgaon - 3+9(R)_Revised MOR Package_Revised MOR Package - Latest_By Country Detail 1Q10 041410pm FIN 18 revised per disc w Mary" xfId="7454" xr:uid="{00000000-0005-0000-0000-00001D1D0000}"/>
    <cellStyle name="_MOR - BDWY - 1+11_MOR - Gurgaon - 3+9(R)_Revised MOR Package_Revised MOR Package - Latest_By Country Detail 1Q10 041410pm FIN 18 revised per disc w Mary_BS_Separation_TaxResIndem_Q12412 tf" xfId="7455" xr:uid="{00000000-0005-0000-0000-00001E1D0000}"/>
    <cellStyle name="_MOR - BDWY - 1+11_MOR - Gurgaon - 3+9(R)_Revised MOR Package_Revised MOR Package - Latest_By Country Detail 1Q10 041410pm FIN 18 revised per disc w Mary_BS_Separation_TaxResIndem_Q12412 tf_Guidance" xfId="7456" xr:uid="{00000000-0005-0000-0000-00001F1D0000}"/>
    <cellStyle name="_MOR - BDWY - 1+11_MOR - Gurgaon - 3+9(R)_Revised MOR Package_Revised MOR Package - Latest_By Country Detail 1Q10 041410pm FIN 18 revised per disc w Mary_BS_Separation_TaxResIndem_Q12412 tf_Guidance 2" xfId="7457" xr:uid="{00000000-0005-0000-0000-0000201D0000}"/>
    <cellStyle name="_MOR - BDWY - 1+11_MOR - Gurgaon - 3+9(R)_Revised MOR Package_Revised MOR Package - Latest_By Country Detail 1Q10 041410pm FIN 18 revised per disc w Mary_BS_Separation_TaxResIndem_Q12412 tf_Guidance_BS retrieve" xfId="7458" xr:uid="{00000000-0005-0000-0000-0000211D0000}"/>
    <cellStyle name="_MOR - BDWY - 1+11_MOR - Gurgaon - 3+9(R)_Revised MOR Package_Revised MOR Package - Latest_By Country Detail 1Q10 041410pm FIN 18 revised per disc w Mary_BS_Separation_TaxResIndem_Q12412 tf_Guidance_Free CF" xfId="7459" xr:uid="{00000000-0005-0000-0000-0000221D0000}"/>
    <cellStyle name="_MOR - BDWY - 1+11_MOR - Gurgaon - 3+9(R)_Revised MOR Package_Revised MOR Package - Latest_By Country Detail 1Q10 041410pm FIN 18 revised per disc w Mary_BS_Separation_TaxResIndem_Q12412 tf_Guidance_P&amp;L Rec Qtr" xfId="7460" xr:uid="{00000000-0005-0000-0000-0000231D0000}"/>
    <cellStyle name="_MOR - BDWY - 1+11_MOR - Gurgaon - 3+9(R)_Revised MOR Package_Revised MOR Package - Latest_By Country Detail 1Q10 041410pm FIN 18 revised per disc w Mary_BS_Separation_TaxResIndem_Q12412 tf_Guidance_Sheet1" xfId="7461" xr:uid="{00000000-0005-0000-0000-0000241D0000}"/>
    <cellStyle name="_MOR - BDWY - 1+11_MOR - Gurgaon - 3+9(R)_Revised MOR Package_Revised MOR Package - Latest_By Country Detail 1Q10 041410pm FIN 18 revised per disc w Mary_BS_Separation_TaxResIndem_Q12412 tf_Guidance_Sheet2" xfId="7462" xr:uid="{00000000-0005-0000-0000-0000251D0000}"/>
    <cellStyle name="_MOR - BDWY - 1+11_MOR - Gurgaon - 3+9(R)_Revised MOR Package_Revised MOR Package - Latest_By Country Detail 1Q10 041410pm FIN 18 revised per disc w Mary_BS_Separation_TaxResIndem_Q12412 tf_Guidance_Sheet3" xfId="7463" xr:uid="{00000000-0005-0000-0000-0000261D0000}"/>
    <cellStyle name="_MOR - BDWY - 1+11_MOR - Gurgaon - 3+9(R)_Revised MOR Package_Revised MOR Package - Latest_By Country Detail 1Q10 041410pm FIN 18 revised per disc w Mary_BS_Separation_TaxResIndem_Q12412 tf_Guidance_Sheet4" xfId="7464" xr:uid="{00000000-0005-0000-0000-0000271D0000}"/>
    <cellStyle name="_MOR - BDWY - 1+11_MOR - Gurgaon - 3+9(R)_Revised MOR Package_Revised MOR Package - Latest_By Country Detail 1Q10 041410pm FIN 18 revised per disc w Mary_BS_Separation_TaxResIndem_Q12412 tf_Restructuring &amp; Separation" xfId="7465" xr:uid="{00000000-0005-0000-0000-0000281D0000}"/>
    <cellStyle name="_MOR - BDWY - 1+11_MOR - Gurgaon - 3+9(R)_Revised MOR Package_Revised MOR Package - Latest_By Country Detail 1Q10 041410pm FIN 18 revised per disc w Mary_BS_Separation_TaxResIndem_Q12412 tf_Restructuring &amp; Separation_Guidance" xfId="7466" xr:uid="{00000000-0005-0000-0000-0000291D0000}"/>
    <cellStyle name="_MOR - BDWY - 1+11_MOR - Gurgaon - 3+9(R)_Revised MOR Package_Revised MOR Package - Latest_By Country Detail 1Q10 041410pm FIN 18 revised per disc w Mary_BS_Separation_TaxResIndem_Q12412 tf_Restructuring &amp; Separation_Guidance 2" xfId="7467" xr:uid="{00000000-0005-0000-0000-00002A1D0000}"/>
    <cellStyle name="_MOR - BDWY - 1+11_MOR - Gurgaon - 3+9(R)_Revised MOR Package_Revised MOR Package - Latest_By Country Detail 1Q10 041410pm FIN 18 revised per disc w Mary_BS_Separation_TaxResIndem_Q12412 tf_Restructuring &amp; Separation_Guidance_BS retrieve" xfId="7468" xr:uid="{00000000-0005-0000-0000-00002B1D0000}"/>
    <cellStyle name="_MOR - BDWY - 1+11_MOR - Gurgaon - 3+9(R)_Revised MOR Package_Revised MOR Package - Latest_By Country Detail 1Q10 041410pm FIN 18 revised per disc w Mary_BS_Separation_TaxResIndem_Q12412 tf_Restructuring &amp; Separation_Guidance_Free CF" xfId="7469" xr:uid="{00000000-0005-0000-0000-00002C1D0000}"/>
    <cellStyle name="_MOR - BDWY - 1+11_MOR - Gurgaon - 3+9(R)_Revised MOR Package_Revised MOR Package - Latest_By Country Detail 1Q10 041410pm FIN 18 revised per disc w Mary_BS_Separation_TaxResIndem_Q12412 tf_Restructuring &amp; Separation_Guidance_P&amp;L Rec Qtr" xfId="7470" xr:uid="{00000000-0005-0000-0000-00002D1D0000}"/>
    <cellStyle name="_MOR - BDWY - 1+11_MOR - Gurgaon - 3+9(R)_Revised MOR Package_Revised MOR Package - Latest_By Country Detail 1Q10 041410pm FIN 18 revised per disc w Mary_BS_Separation_TaxResIndem_Q12412 tf_Restructuring &amp; Separation_Guidance_Sheet1" xfId="7471" xr:uid="{00000000-0005-0000-0000-00002E1D0000}"/>
    <cellStyle name="_MOR - BDWY - 1+11_MOR - Gurgaon - 3+9(R)_Revised MOR Package_Revised MOR Package - Latest_By Country Detail 1Q10 041410pm FIN 18 revised per disc w Mary_BS_Separation_TaxResIndem_Q12412 tf_Restructuring &amp; Separation_Guidance_Sheet2" xfId="7472" xr:uid="{00000000-0005-0000-0000-00002F1D0000}"/>
    <cellStyle name="_MOR - BDWY - 1+11_MOR - Gurgaon - 3+9(R)_Revised MOR Package_Revised MOR Package - Latest_By Country Detail 1Q10 041410pm FIN 18 revised per disc w Mary_BS_Separation_TaxResIndem_Q12412 tf_Restructuring &amp; Separation_Guidance_Sheet3" xfId="7473" xr:uid="{00000000-0005-0000-0000-0000301D0000}"/>
    <cellStyle name="_MOR - BDWY - 1+11_MOR - Gurgaon - 3+9(R)_Revised MOR Package_Revised MOR Package - Latest_By Country Detail 1Q10 041410pm FIN 18 revised per disc w Mary_BS_Separation_TaxResIndem_Q12412 tf_Restructuring &amp; Separation_Guidance_Sheet4" xfId="7474" xr:uid="{00000000-0005-0000-0000-0000311D0000}"/>
    <cellStyle name="_MOR - BDWY - 1+11_MOR - Gurgaon - 3+9(R)_Revised MOR Package_Revised MOR Package - Latest_By Country Detail 1Q10 041410pm FIN 18 revised per disc w Mary_Guidance" xfId="7475" xr:uid="{00000000-0005-0000-0000-0000321D0000}"/>
    <cellStyle name="_MOR - BDWY - 1+11_MOR - Gurgaon - 3+9(R)_Revised MOR Package_Revised MOR Package - Latest_By Country Detail 1Q10 041410pm FIN 18 revised per disc w Mary_Guidance 2" xfId="7476" xr:uid="{00000000-0005-0000-0000-0000331D0000}"/>
    <cellStyle name="_MOR - BDWY - 1+11_MOR - Gurgaon - 3+9(R)_Revised MOR Package_Revised MOR Package - Latest_By Country Detail 1Q10 041410pm FIN 18 revised per disc w Mary_Guidance_BS retrieve" xfId="7477" xr:uid="{00000000-0005-0000-0000-0000341D0000}"/>
    <cellStyle name="_MOR - BDWY - 1+11_MOR - Gurgaon - 3+9(R)_Revised MOR Package_Revised MOR Package - Latest_By Country Detail 1Q10 041410pm FIN 18 revised per disc w Mary_Guidance_Free CF" xfId="7478" xr:uid="{00000000-0005-0000-0000-0000351D0000}"/>
    <cellStyle name="_MOR - BDWY - 1+11_MOR - Gurgaon - 3+9(R)_Revised MOR Package_Revised MOR Package - Latest_By Country Detail 1Q10 041410pm FIN 18 revised per disc w Mary_Guidance_P&amp;L Rec Qtr" xfId="7479" xr:uid="{00000000-0005-0000-0000-0000361D0000}"/>
    <cellStyle name="_MOR - BDWY - 1+11_MOR - Gurgaon - 3+9(R)_Revised MOR Package_Revised MOR Package - Latest_By Country Detail 1Q10 041410pm FIN 18 revised per disc w Mary_Guidance_Sheet1" xfId="7480" xr:uid="{00000000-0005-0000-0000-0000371D0000}"/>
    <cellStyle name="_MOR - BDWY - 1+11_MOR - Gurgaon - 3+9(R)_Revised MOR Package_Revised MOR Package - Latest_By Country Detail 1Q10 041410pm FIN 18 revised per disc w Mary_Guidance_Sheet2" xfId="7481" xr:uid="{00000000-0005-0000-0000-0000381D0000}"/>
    <cellStyle name="_MOR - BDWY - 1+11_MOR - Gurgaon - 3+9(R)_Revised MOR Package_Revised MOR Package - Latest_By Country Detail 1Q10 041410pm FIN 18 revised per disc w Mary_Guidance_Sheet3" xfId="7482" xr:uid="{00000000-0005-0000-0000-0000391D0000}"/>
    <cellStyle name="_MOR - BDWY - 1+11_MOR - Gurgaon - 3+9(R)_Revised MOR Package_Revised MOR Package - Latest_By Country Detail 1Q10 041410pm FIN 18 revised per disc w Mary_Guidance_Sheet4" xfId="7483" xr:uid="{00000000-0005-0000-0000-00003A1D0000}"/>
    <cellStyle name="_MOR - BDWY - 1+11_MOR - Gurgaon - 3+9(R)_Revised MOR Package_Revised MOR Package - Latest_By Country Detail 1Q10 041410pm FIN 18 revised per disc w Mary_II.8. Sep&amp;Discrete" xfId="7484" xr:uid="{00000000-0005-0000-0000-00003B1D0000}"/>
    <cellStyle name="_MOR - BDWY - 1+11_MOR - Gurgaon - 3+9(R)_Revised MOR Package_Revised MOR Package - Latest_By Country Detail 1Q10 041410pm FIN 18 revised per disc w Mary_II.8. Sep&amp;Discrete_Guidance" xfId="7485" xr:uid="{00000000-0005-0000-0000-00003C1D0000}"/>
    <cellStyle name="_MOR - BDWY - 1+11_MOR - Gurgaon - 3+9(R)_Revised MOR Package_Revised MOR Package - Latest_By Country Detail 1Q10 041410pm FIN 18 revised per disc w Mary_II.8. Sep&amp;Discrete_Guidance 2" xfId="7486" xr:uid="{00000000-0005-0000-0000-00003D1D0000}"/>
    <cellStyle name="_MOR - BDWY - 1+11_MOR - Gurgaon - 3+9(R)_Revised MOR Package_Revised MOR Package - Latest_By Country Detail 1Q10 041410pm FIN 18 revised per disc w Mary_II.8. Sep&amp;Discrete_Guidance_BS retrieve" xfId="7487" xr:uid="{00000000-0005-0000-0000-00003E1D0000}"/>
    <cellStyle name="_MOR - BDWY - 1+11_MOR - Gurgaon - 3+9(R)_Revised MOR Package_Revised MOR Package - Latest_By Country Detail 1Q10 041410pm FIN 18 revised per disc w Mary_II.8. Sep&amp;Discrete_Guidance_Free CF" xfId="7488" xr:uid="{00000000-0005-0000-0000-00003F1D0000}"/>
    <cellStyle name="_MOR - BDWY - 1+11_MOR - Gurgaon - 3+9(R)_Revised MOR Package_Revised MOR Package - Latest_By Country Detail 1Q10 041410pm FIN 18 revised per disc w Mary_II.8. Sep&amp;Discrete_Guidance_P&amp;L Rec Qtr" xfId="7489" xr:uid="{00000000-0005-0000-0000-0000401D0000}"/>
    <cellStyle name="_MOR - BDWY - 1+11_MOR - Gurgaon - 3+9(R)_Revised MOR Package_Revised MOR Package - Latest_By Country Detail 1Q10 041410pm FIN 18 revised per disc w Mary_II.8. Sep&amp;Discrete_Guidance_Sheet1" xfId="7490" xr:uid="{00000000-0005-0000-0000-0000411D0000}"/>
    <cellStyle name="_MOR - BDWY - 1+11_MOR - Gurgaon - 3+9(R)_Revised MOR Package_Revised MOR Package - Latest_By Country Detail 1Q10 041410pm FIN 18 revised per disc w Mary_II.8. Sep&amp;Discrete_Guidance_Sheet2" xfId="7491" xr:uid="{00000000-0005-0000-0000-0000421D0000}"/>
    <cellStyle name="_MOR - BDWY - 1+11_MOR - Gurgaon - 3+9(R)_Revised MOR Package_Revised MOR Package - Latest_By Country Detail 1Q10 041410pm FIN 18 revised per disc w Mary_II.8. Sep&amp;Discrete_Guidance_Sheet3" xfId="7492" xr:uid="{00000000-0005-0000-0000-0000431D0000}"/>
    <cellStyle name="_MOR - BDWY - 1+11_MOR - Gurgaon - 3+9(R)_Revised MOR Package_Revised MOR Package - Latest_By Country Detail 1Q10 041410pm FIN 18 revised per disc w Mary_II.8. Sep&amp;Discrete_Guidance_Sheet4" xfId="7493" xr:uid="{00000000-0005-0000-0000-0000441D0000}"/>
    <cellStyle name="_MOR - BDWY - 1+11_MOR - Gurgaon - 3+9(R)_Revised MOR Package_Revised MOR Package - Latest_By Country Detail 1Q10 041410pm FIN 18 revised per disc w Mary_Restructuring &amp; Separation" xfId="7494" xr:uid="{00000000-0005-0000-0000-0000451D0000}"/>
    <cellStyle name="_MOR - BDWY - 1+11_MOR - Gurgaon - 3+9(R)_Revised MOR Package_Revised MOR Package - Latest_By Country Detail 1Q10 041410pm FIN 18 revised per disc w Mary_Restructuring &amp; Separation_Guidance" xfId="7495" xr:uid="{00000000-0005-0000-0000-0000461D0000}"/>
    <cellStyle name="_MOR - BDWY - 1+11_MOR - Gurgaon - 3+9(R)_Revised MOR Package_Revised MOR Package - Latest_By Country Detail 1Q10 041410pm FIN 18 revised per disc w Mary_Restructuring &amp; Separation_Guidance 2" xfId="7496" xr:uid="{00000000-0005-0000-0000-0000471D0000}"/>
    <cellStyle name="_MOR - BDWY - 1+11_MOR - Gurgaon - 3+9(R)_Revised MOR Package_Revised MOR Package - Latest_By Country Detail 1Q10 041410pm FIN 18 revised per disc w Mary_Restructuring &amp; Separation_Guidance_BS retrieve" xfId="7497" xr:uid="{00000000-0005-0000-0000-0000481D0000}"/>
    <cellStyle name="_MOR - BDWY - 1+11_MOR - Gurgaon - 3+9(R)_Revised MOR Package_Revised MOR Package - Latest_By Country Detail 1Q10 041410pm FIN 18 revised per disc w Mary_Restructuring &amp; Separation_Guidance_Free CF" xfId="7498" xr:uid="{00000000-0005-0000-0000-0000491D0000}"/>
    <cellStyle name="_MOR - BDWY - 1+11_MOR - Gurgaon - 3+9(R)_Revised MOR Package_Revised MOR Package - Latest_By Country Detail 1Q10 041410pm FIN 18 revised per disc w Mary_Restructuring &amp; Separation_Guidance_P&amp;L Rec Qtr" xfId="7499" xr:uid="{00000000-0005-0000-0000-00004A1D0000}"/>
    <cellStyle name="_MOR - BDWY - 1+11_MOR - Gurgaon - 3+9(R)_Revised MOR Package_Revised MOR Package - Latest_By Country Detail 1Q10 041410pm FIN 18 revised per disc w Mary_Restructuring &amp; Separation_Guidance_Sheet1" xfId="7500" xr:uid="{00000000-0005-0000-0000-00004B1D0000}"/>
    <cellStyle name="_MOR - BDWY - 1+11_MOR - Gurgaon - 3+9(R)_Revised MOR Package_Revised MOR Package - Latest_By Country Detail 1Q10 041410pm FIN 18 revised per disc w Mary_Restructuring &amp; Separation_Guidance_Sheet2" xfId="7501" xr:uid="{00000000-0005-0000-0000-00004C1D0000}"/>
    <cellStyle name="_MOR - BDWY - 1+11_MOR - Gurgaon - 3+9(R)_Revised MOR Package_Revised MOR Package - Latest_By Country Detail 1Q10 041410pm FIN 18 revised per disc w Mary_Restructuring &amp; Separation_Guidance_Sheet3" xfId="7502" xr:uid="{00000000-0005-0000-0000-00004D1D0000}"/>
    <cellStyle name="_MOR - BDWY - 1+11_MOR - Gurgaon - 3+9(R)_Revised MOR Package_Revised MOR Package - Latest_By Country Detail 1Q10 041410pm FIN 18 revised per disc w Mary_Restructuring &amp; Separation_Guidance_Sheet4" xfId="7503" xr:uid="{00000000-0005-0000-0000-00004E1D0000}"/>
    <cellStyle name="_MOR - BDWY - 1+11_MOR - Gurgaon - 3+9(R)_Revised MOR Package_Revised MOR Package - Latest_Guidance" xfId="7504" xr:uid="{00000000-0005-0000-0000-00004F1D0000}"/>
    <cellStyle name="_MOR - BDWY - 1+11_MOR - Gurgaon - 3+9(R)_Revised MOR Package_Revised MOR Package - Latest_Guidance 2" xfId="7505" xr:uid="{00000000-0005-0000-0000-0000501D0000}"/>
    <cellStyle name="_MOR - BDWY - 1+11_MOR - Gurgaon - 3+9(R)_Revised MOR Package_Revised MOR Package - Latest_Guidance_BS retrieve" xfId="7506" xr:uid="{00000000-0005-0000-0000-0000511D0000}"/>
    <cellStyle name="_MOR - BDWY - 1+11_MOR - Gurgaon - 3+9(R)_Revised MOR Package_Revised MOR Package - Latest_Guidance_Free CF" xfId="7507" xr:uid="{00000000-0005-0000-0000-0000521D0000}"/>
    <cellStyle name="_MOR - BDWY - 1+11_MOR - Gurgaon - 3+9(R)_Revised MOR Package_Revised MOR Package - Latest_Guidance_P&amp;L Rec Qtr" xfId="7508" xr:uid="{00000000-0005-0000-0000-0000531D0000}"/>
    <cellStyle name="_MOR - BDWY - 1+11_MOR - Gurgaon - 3+9(R)_Revised MOR Package_Revised MOR Package - Latest_Guidance_Sheet1" xfId="7509" xr:uid="{00000000-0005-0000-0000-0000541D0000}"/>
    <cellStyle name="_MOR - BDWY - 1+11_MOR - Gurgaon - 3+9(R)_Revised MOR Package_Revised MOR Package - Latest_Guidance_Sheet2" xfId="7510" xr:uid="{00000000-0005-0000-0000-0000551D0000}"/>
    <cellStyle name="_MOR - BDWY - 1+11_MOR - Gurgaon - 3+9(R)_Revised MOR Package_Revised MOR Package - Latest_Guidance_Sheet3" xfId="7511" xr:uid="{00000000-0005-0000-0000-0000561D0000}"/>
    <cellStyle name="_MOR - BDWY - 1+11_MOR - Gurgaon - 3+9(R)_Revised MOR Package_Revised MOR Package - Latest_Guidance_Sheet4" xfId="7512" xr:uid="{00000000-0005-0000-0000-0000571D0000}"/>
    <cellStyle name="_MOR - BDWY - 1+11_MOR - Gurgaon - 3+9(R)_Revised MOR Package_Revised MOR Package - Latest_II.4. RawMaterials" xfId="7513" xr:uid="{00000000-0005-0000-0000-0000581D0000}"/>
    <cellStyle name="_MOR - BDWY - 1+11_MOR - Gurgaon - 3+9(R)_Revised MOR Package_Revised MOR Package - Latest_II.4. RawMaterials 2" xfId="7514" xr:uid="{00000000-0005-0000-0000-0000591D0000}"/>
    <cellStyle name="_MOR - BDWY - 1+11_MOR - Gurgaon - 3+9(R)_Revised MOR Package_Revised MOR Package - Latest_II.4. RawMaterials_BS retrieve" xfId="7515" xr:uid="{00000000-0005-0000-0000-00005A1D0000}"/>
    <cellStyle name="_MOR - BDWY - 1+11_MOR - Gurgaon - 3+9(R)_Revised MOR Package_Revised MOR Package - Latest_II.4. RawMaterials_Free CF" xfId="7516" xr:uid="{00000000-0005-0000-0000-00005B1D0000}"/>
    <cellStyle name="_MOR - BDWY - 1+11_MOR - Gurgaon - 3+9(R)_Revised MOR Package_Revised MOR Package - Latest_II.4. RawMaterials_P&amp;L Rec Qtr" xfId="7517" xr:uid="{00000000-0005-0000-0000-00005C1D0000}"/>
    <cellStyle name="_MOR - BDWY - 1+11_MOR - Gurgaon - 3+9(R)_Revised MOR Package_Revised MOR Package - Latest_II.4. RawMaterials_Sheet1" xfId="7518" xr:uid="{00000000-0005-0000-0000-00005D1D0000}"/>
    <cellStyle name="_MOR - BDWY - 1+11_MOR - Gurgaon - 3+9(R)_Revised MOR Package_Revised MOR Package - Latest_II.4. RawMaterials_Sheet2" xfId="7519" xr:uid="{00000000-0005-0000-0000-00005E1D0000}"/>
    <cellStyle name="_MOR - BDWY - 1+11_MOR - Gurgaon - 3+9(R)_Revised MOR Package_Revised MOR Package - Latest_II.4. RawMaterials_Sheet3" xfId="7520" xr:uid="{00000000-0005-0000-0000-00005F1D0000}"/>
    <cellStyle name="_MOR - BDWY - 1+11_MOR - Gurgaon - 3+9(R)_Revised MOR Package_Revised MOR Package - Latest_II.4. RawMaterials_Sheet4" xfId="7521" xr:uid="{00000000-0005-0000-0000-0000601D0000}"/>
    <cellStyle name="_MOR - BDWY - 1+11_MOR - Gurgaon - 3+9(R)_Revised MOR Package_Revised MOR Package - Latest_II.5. RawMaterials" xfId="7522" xr:uid="{00000000-0005-0000-0000-0000611D0000}"/>
    <cellStyle name="_MOR - BDWY - 1+11_MOR - Gurgaon - 3+9(R)_Revised MOR Package_Revised MOR Package - Latest_II.5. RawMaterials 2" xfId="7523" xr:uid="{00000000-0005-0000-0000-0000621D0000}"/>
    <cellStyle name="_MOR - BDWY - 1+11_MOR - Gurgaon - 3+9(R)_Revised MOR Package_Revised MOR Package - Latest_II.5. RawMaterials_BS retrieve" xfId="7524" xr:uid="{00000000-0005-0000-0000-0000631D0000}"/>
    <cellStyle name="_MOR - BDWY - 1+11_MOR - Gurgaon - 3+9(R)_Revised MOR Package_Revised MOR Package - Latest_II.5. RawMaterials_Free CF" xfId="7525" xr:uid="{00000000-0005-0000-0000-0000641D0000}"/>
    <cellStyle name="_MOR - BDWY - 1+11_MOR - Gurgaon - 3+9(R)_Revised MOR Package_Revised MOR Package - Latest_II.5. RawMaterials_Guidance" xfId="7526" xr:uid="{00000000-0005-0000-0000-0000651D0000}"/>
    <cellStyle name="_MOR - BDWY - 1+11_MOR - Gurgaon - 3+9(R)_Revised MOR Package_Revised MOR Package - Latest_II.5. RawMaterials_Guidance 2" xfId="7527" xr:uid="{00000000-0005-0000-0000-0000661D0000}"/>
    <cellStyle name="_MOR - BDWY - 1+11_MOR - Gurgaon - 3+9(R)_Revised MOR Package_Revised MOR Package - Latest_II.5. RawMaterials_Guidance_BS retrieve" xfId="7528" xr:uid="{00000000-0005-0000-0000-0000671D0000}"/>
    <cellStyle name="_MOR - BDWY - 1+11_MOR - Gurgaon - 3+9(R)_Revised MOR Package_Revised MOR Package - Latest_II.5. RawMaterials_Guidance_Free CF" xfId="7529" xr:uid="{00000000-0005-0000-0000-0000681D0000}"/>
    <cellStyle name="_MOR - BDWY - 1+11_MOR - Gurgaon - 3+9(R)_Revised MOR Package_Revised MOR Package - Latest_II.5. RawMaterials_Guidance_P&amp;L Rec Qtr" xfId="7530" xr:uid="{00000000-0005-0000-0000-0000691D0000}"/>
    <cellStyle name="_MOR - BDWY - 1+11_MOR - Gurgaon - 3+9(R)_Revised MOR Package_Revised MOR Package - Latest_II.5. RawMaterials_Guidance_Sheet1" xfId="7531" xr:uid="{00000000-0005-0000-0000-00006A1D0000}"/>
    <cellStyle name="_MOR - BDWY - 1+11_MOR - Gurgaon - 3+9(R)_Revised MOR Package_Revised MOR Package - Latest_II.5. RawMaterials_Guidance_Sheet2" xfId="7532" xr:uid="{00000000-0005-0000-0000-00006B1D0000}"/>
    <cellStyle name="_MOR - BDWY - 1+11_MOR - Gurgaon - 3+9(R)_Revised MOR Package_Revised MOR Package - Latest_II.5. RawMaterials_Guidance_Sheet3" xfId="7533" xr:uid="{00000000-0005-0000-0000-00006C1D0000}"/>
    <cellStyle name="_MOR - BDWY - 1+11_MOR - Gurgaon - 3+9(R)_Revised MOR Package_Revised MOR Package - Latest_II.5. RawMaterials_Guidance_Sheet4" xfId="7534" xr:uid="{00000000-0005-0000-0000-00006D1D0000}"/>
    <cellStyle name="_MOR - BDWY - 1+11_MOR - Gurgaon - 3+9(R)_Revised MOR Package_Revised MOR Package - Latest_II.5. RawMaterials_P&amp;L Rec Qtr" xfId="7535" xr:uid="{00000000-0005-0000-0000-00006E1D0000}"/>
    <cellStyle name="_MOR - BDWY - 1+11_MOR - Gurgaon - 3+9(R)_Revised MOR Package_Revised MOR Package - Latest_II.5. RawMaterials_Sheet1" xfId="7536" xr:uid="{00000000-0005-0000-0000-00006F1D0000}"/>
    <cellStyle name="_MOR - BDWY - 1+11_MOR - Gurgaon - 3+9(R)_Revised MOR Package_Revised MOR Package - Latest_II.5. RawMaterials_Sheet2" xfId="7537" xr:uid="{00000000-0005-0000-0000-0000701D0000}"/>
    <cellStyle name="_MOR - BDWY - 1+11_MOR - Gurgaon - 3+9(R)_Revised MOR Package_Revised MOR Package - Latest_II.5. RawMaterials_Sheet3" xfId="7538" xr:uid="{00000000-0005-0000-0000-0000711D0000}"/>
    <cellStyle name="_MOR - BDWY - 1+11_MOR - Gurgaon - 3+9(R)_Revised MOR Package_Revised MOR Package - Latest_II.5. RawMaterials_Sheet4" xfId="7539" xr:uid="{00000000-0005-0000-0000-0000721D0000}"/>
    <cellStyle name="_MOR - BDWY - 1+11_MOR - Gurgaon - 3+9(R)_Revised MOR Package_Revised MOR Package - Latest_II.5. RM Volume Sensitivities" xfId="7540" xr:uid="{00000000-0005-0000-0000-0000731D0000}"/>
    <cellStyle name="_MOR - BDWY - 1+11_MOR - Gurgaon - 3+9(R)_Revised MOR Package_Revised MOR Package - Latest_II.5. RM Volume Sensitivities 2" xfId="7541" xr:uid="{00000000-0005-0000-0000-0000741D0000}"/>
    <cellStyle name="_MOR - BDWY - 1+11_MOR - Gurgaon - 3+9(R)_Revised MOR Package_Revised MOR Package - Latest_II.5. RM Volume Sensitivities_BS retrieve" xfId="7542" xr:uid="{00000000-0005-0000-0000-0000751D0000}"/>
    <cellStyle name="_MOR - BDWY - 1+11_MOR - Gurgaon - 3+9(R)_Revised MOR Package_Revised MOR Package - Latest_II.5. RM Volume Sensitivities_Free CF" xfId="7543" xr:uid="{00000000-0005-0000-0000-0000761D0000}"/>
    <cellStyle name="_MOR - BDWY - 1+11_MOR - Gurgaon - 3+9(R)_Revised MOR Package_Revised MOR Package - Latest_II.5. RM Volume Sensitivities_P&amp;L Rec Qtr" xfId="7544" xr:uid="{00000000-0005-0000-0000-0000771D0000}"/>
    <cellStyle name="_MOR - BDWY - 1+11_MOR - Gurgaon - 3+9(R)_Revised MOR Package_Revised MOR Package - Latest_II.5. RM Volume Sensitivities_Sheet1" xfId="7545" xr:uid="{00000000-0005-0000-0000-0000781D0000}"/>
    <cellStyle name="_MOR - BDWY - 1+11_MOR - Gurgaon - 3+9(R)_Revised MOR Package_Revised MOR Package - Latest_II.5. RM Volume Sensitivities_Sheet2" xfId="7546" xr:uid="{00000000-0005-0000-0000-0000791D0000}"/>
    <cellStyle name="_MOR - BDWY - 1+11_MOR - Gurgaon - 3+9(R)_Revised MOR Package_Revised MOR Package - Latest_II.5. RM Volume Sensitivities_Sheet3" xfId="7547" xr:uid="{00000000-0005-0000-0000-00007A1D0000}"/>
    <cellStyle name="_MOR - BDWY - 1+11_MOR - Gurgaon - 3+9(R)_Revised MOR Package_Revised MOR Package - Latest_II.5. RM Volume Sensitivities_Sheet4" xfId="7548" xr:uid="{00000000-0005-0000-0000-00007B1D0000}"/>
    <cellStyle name="_MOR - BDWY - 1+11_MOR - Gurgaon - 3+9(R)_Revised MOR Package_Revised MOR Package - Latest_II.8. Sep&amp;Discrete" xfId="7549" xr:uid="{00000000-0005-0000-0000-00007C1D0000}"/>
    <cellStyle name="_MOR - BDWY - 1+11_MOR - Gurgaon - 3+9(R)_Revised MOR Package_Revised MOR Package - Latest_II.8. Sep&amp;Discrete_Guidance" xfId="7550" xr:uid="{00000000-0005-0000-0000-00007D1D0000}"/>
    <cellStyle name="_MOR - BDWY - 1+11_MOR - Gurgaon - 3+9(R)_Revised MOR Package_Revised MOR Package - Latest_II.8. Sep&amp;Discrete_Guidance 2" xfId="7551" xr:uid="{00000000-0005-0000-0000-00007E1D0000}"/>
    <cellStyle name="_MOR - BDWY - 1+11_MOR - Gurgaon - 3+9(R)_Revised MOR Package_Revised MOR Package - Latest_II.8. Sep&amp;Discrete_Guidance_BS retrieve" xfId="7552" xr:uid="{00000000-0005-0000-0000-00007F1D0000}"/>
    <cellStyle name="_MOR - BDWY - 1+11_MOR - Gurgaon - 3+9(R)_Revised MOR Package_Revised MOR Package - Latest_II.8. Sep&amp;Discrete_Guidance_Free CF" xfId="7553" xr:uid="{00000000-0005-0000-0000-0000801D0000}"/>
    <cellStyle name="_MOR - BDWY - 1+11_MOR - Gurgaon - 3+9(R)_Revised MOR Package_Revised MOR Package - Latest_II.8. Sep&amp;Discrete_Guidance_P&amp;L Rec Qtr" xfId="7554" xr:uid="{00000000-0005-0000-0000-0000811D0000}"/>
    <cellStyle name="_MOR - BDWY - 1+11_MOR - Gurgaon - 3+9(R)_Revised MOR Package_Revised MOR Package - Latest_II.8. Sep&amp;Discrete_Guidance_Sheet1" xfId="7555" xr:uid="{00000000-0005-0000-0000-0000821D0000}"/>
    <cellStyle name="_MOR - BDWY - 1+11_MOR - Gurgaon - 3+9(R)_Revised MOR Package_Revised MOR Package - Latest_II.8. Sep&amp;Discrete_Guidance_Sheet2" xfId="7556" xr:uid="{00000000-0005-0000-0000-0000831D0000}"/>
    <cellStyle name="_MOR - BDWY - 1+11_MOR - Gurgaon - 3+9(R)_Revised MOR Package_Revised MOR Package - Latest_II.8. Sep&amp;Discrete_Guidance_Sheet3" xfId="7557" xr:uid="{00000000-0005-0000-0000-0000841D0000}"/>
    <cellStyle name="_MOR - BDWY - 1+11_MOR - Gurgaon - 3+9(R)_Revised MOR Package_Revised MOR Package - Latest_II.8. Sep&amp;Discrete_Guidance_Sheet4" xfId="7558" xr:uid="{00000000-0005-0000-0000-0000851D0000}"/>
    <cellStyle name="_MOR - BDWY - 1+11_MOR - Gurgaon - 3+9(R)_Revised MOR Package_Revised MOR Package - Latest_Restructuring &amp; Separation" xfId="7559" xr:uid="{00000000-0005-0000-0000-0000861D0000}"/>
    <cellStyle name="_MOR - BDWY - 1+11_MOR - Gurgaon - 3+9(R)_Revised MOR Package_Revised MOR Package - Latest_Restructuring &amp; Separation_Guidance" xfId="7560" xr:uid="{00000000-0005-0000-0000-0000871D0000}"/>
    <cellStyle name="_MOR - BDWY - 1+11_MOR - Gurgaon - 3+9(R)_Revised MOR Package_Revised MOR Package - Latest_Restructuring &amp; Separation_Guidance 2" xfId="7561" xr:uid="{00000000-0005-0000-0000-0000881D0000}"/>
    <cellStyle name="_MOR - BDWY - 1+11_MOR - Gurgaon - 3+9(R)_Revised MOR Package_Revised MOR Package - Latest_Restructuring &amp; Separation_Guidance_BS retrieve" xfId="7562" xr:uid="{00000000-0005-0000-0000-0000891D0000}"/>
    <cellStyle name="_MOR - BDWY - 1+11_MOR - Gurgaon - 3+9(R)_Revised MOR Package_Revised MOR Package - Latest_Restructuring &amp; Separation_Guidance_Free CF" xfId="7563" xr:uid="{00000000-0005-0000-0000-00008A1D0000}"/>
    <cellStyle name="_MOR - BDWY - 1+11_MOR - Gurgaon - 3+9(R)_Revised MOR Package_Revised MOR Package - Latest_Restructuring &amp; Separation_Guidance_P&amp;L Rec Qtr" xfId="7564" xr:uid="{00000000-0005-0000-0000-00008B1D0000}"/>
    <cellStyle name="_MOR - BDWY - 1+11_MOR - Gurgaon - 3+9(R)_Revised MOR Package_Revised MOR Package - Latest_Restructuring &amp; Separation_Guidance_Sheet1" xfId="7565" xr:uid="{00000000-0005-0000-0000-00008C1D0000}"/>
    <cellStyle name="_MOR - BDWY - 1+11_MOR - Gurgaon - 3+9(R)_Revised MOR Package_Revised MOR Package - Latest_Restructuring &amp; Separation_Guidance_Sheet2" xfId="7566" xr:uid="{00000000-0005-0000-0000-00008D1D0000}"/>
    <cellStyle name="_MOR - BDWY - 1+11_MOR - Gurgaon - 3+9(R)_Revised MOR Package_Revised MOR Package - Latest_Restructuring &amp; Separation_Guidance_Sheet3" xfId="7567" xr:uid="{00000000-0005-0000-0000-00008E1D0000}"/>
    <cellStyle name="_MOR - BDWY - 1+11_MOR - Gurgaon - 3+9(R)_Revised MOR Package_Revised MOR Package - Latest_Restructuring &amp; Separation_Guidance_Sheet4" xfId="7568" xr:uid="{00000000-0005-0000-0000-00008F1D0000}"/>
    <cellStyle name="_MOR - BDWY - 1+11_MOR - Gurgaon - 3+9(R)_Revised MOR Package_Revised MOR Package - Latest_Restructuring_Separation_TAX_JuneFC2010 tf" xfId="7569" xr:uid="{00000000-0005-0000-0000-0000901D0000}"/>
    <cellStyle name="_MOR - BDWY - 1+11_MOR - Gurgaon - 3+9(R)_Revised MOR Package_Revised MOR Package - Latest_Restructuring_Separation_TAX_JuneFC2010 tf_BS_Separation_TaxResIndem_Q12412 tf" xfId="7570" xr:uid="{00000000-0005-0000-0000-0000911D0000}"/>
    <cellStyle name="_MOR - BDWY - 1+11_MOR - Gurgaon - 3+9(R)_Revised MOR Package_Revised MOR Package - Latest_Restructuring_Separation_TAX_JuneFC2010 tf_BS_Separation_TaxResIndem_Q12412 tf_Guidance" xfId="7571" xr:uid="{00000000-0005-0000-0000-0000921D0000}"/>
    <cellStyle name="_MOR - BDWY - 1+11_MOR - Gurgaon - 3+9(R)_Revised MOR Package_Revised MOR Package - Latest_Restructuring_Separation_TAX_JuneFC2010 tf_BS_Separation_TaxResIndem_Q12412 tf_Guidance 2" xfId="7572" xr:uid="{00000000-0005-0000-0000-0000931D0000}"/>
    <cellStyle name="_MOR - BDWY - 1+11_MOR - Gurgaon - 3+9(R)_Revised MOR Package_Revised MOR Package - Latest_Restructuring_Separation_TAX_JuneFC2010 tf_BS_Separation_TaxResIndem_Q12412 tf_Guidance_BS retrieve" xfId="7573" xr:uid="{00000000-0005-0000-0000-0000941D0000}"/>
    <cellStyle name="_MOR - BDWY - 1+11_MOR - Gurgaon - 3+9(R)_Revised MOR Package_Revised MOR Package - Latest_Restructuring_Separation_TAX_JuneFC2010 tf_BS_Separation_TaxResIndem_Q12412 tf_Guidance_Free CF" xfId="7574" xr:uid="{00000000-0005-0000-0000-0000951D0000}"/>
    <cellStyle name="_MOR - BDWY - 1+11_MOR - Gurgaon - 3+9(R)_Revised MOR Package_Revised MOR Package - Latest_Restructuring_Separation_TAX_JuneFC2010 tf_BS_Separation_TaxResIndem_Q12412 tf_Guidance_P&amp;L Rec Qtr" xfId="7575" xr:uid="{00000000-0005-0000-0000-0000961D0000}"/>
    <cellStyle name="_MOR - BDWY - 1+11_MOR - Gurgaon - 3+9(R)_Revised MOR Package_Revised MOR Package - Latest_Restructuring_Separation_TAX_JuneFC2010 tf_BS_Separation_TaxResIndem_Q12412 tf_Guidance_Sheet1" xfId="7576" xr:uid="{00000000-0005-0000-0000-0000971D0000}"/>
    <cellStyle name="_MOR - BDWY - 1+11_MOR - Gurgaon - 3+9(R)_Revised MOR Package_Revised MOR Package - Latest_Restructuring_Separation_TAX_JuneFC2010 tf_BS_Separation_TaxResIndem_Q12412 tf_Guidance_Sheet2" xfId="7577" xr:uid="{00000000-0005-0000-0000-0000981D0000}"/>
    <cellStyle name="_MOR - BDWY - 1+11_MOR - Gurgaon - 3+9(R)_Revised MOR Package_Revised MOR Package - Latest_Restructuring_Separation_TAX_JuneFC2010 tf_BS_Separation_TaxResIndem_Q12412 tf_Guidance_Sheet3" xfId="7578" xr:uid="{00000000-0005-0000-0000-0000991D0000}"/>
    <cellStyle name="_MOR - BDWY - 1+11_MOR - Gurgaon - 3+9(R)_Revised MOR Package_Revised MOR Package - Latest_Restructuring_Separation_TAX_JuneFC2010 tf_BS_Separation_TaxResIndem_Q12412 tf_Guidance_Sheet4" xfId="7579" xr:uid="{00000000-0005-0000-0000-00009A1D0000}"/>
    <cellStyle name="_MOR - BDWY - 1+11_MOR - Gurgaon - 3+9(R)_Revised MOR Package_Revised MOR Package - Latest_Restructuring_Separation_TAX_JuneFC2010 tf_BS_Separation_TaxResIndem_Q12412 tf_Restructuring &amp; Separation" xfId="7580" xr:uid="{00000000-0005-0000-0000-00009B1D0000}"/>
    <cellStyle name="_MOR - BDWY - 1+11_MOR - Gurgaon - 3+9(R)_Revised MOR Package_Revised MOR Package - Latest_Restructuring_Separation_TAX_JuneFC2010 tf_BS_Separation_TaxResIndem_Q12412 tf_Restructuring &amp; Separation_Guidance" xfId="7581" xr:uid="{00000000-0005-0000-0000-00009C1D0000}"/>
    <cellStyle name="_MOR - BDWY - 1+11_MOR - Gurgaon - 3+9(R)_Revised MOR Package_Revised MOR Package - Latest_Restructuring_Separation_TAX_JuneFC2010 tf_BS_Separation_TaxResIndem_Q12412 tf_Restructuring &amp; Separation_Guidance 2" xfId="7582" xr:uid="{00000000-0005-0000-0000-00009D1D0000}"/>
    <cellStyle name="_MOR - BDWY - 1+11_MOR - Gurgaon - 3+9(R)_Revised MOR Package_Revised MOR Package - Latest_Restructuring_Separation_TAX_JuneFC2010 tf_BS_Separation_TaxResIndem_Q12412 tf_Restructuring &amp; Separation_Guidance_BS retrieve" xfId="7583" xr:uid="{00000000-0005-0000-0000-00009E1D0000}"/>
    <cellStyle name="_MOR - BDWY - 1+11_MOR - Gurgaon - 3+9(R)_Revised MOR Package_Revised MOR Package - Latest_Restructuring_Separation_TAX_JuneFC2010 tf_BS_Separation_TaxResIndem_Q12412 tf_Restructuring &amp; Separation_Guidance_Free CF" xfId="7584" xr:uid="{00000000-0005-0000-0000-00009F1D0000}"/>
    <cellStyle name="_MOR - BDWY - 1+11_MOR - Gurgaon - 3+9(R)_Revised MOR Package_Revised MOR Package - Latest_Restructuring_Separation_TAX_JuneFC2010 tf_BS_Separation_TaxResIndem_Q12412 tf_Restructuring &amp; Separation_Guidance_P&amp;L Rec Qtr" xfId="7585" xr:uid="{00000000-0005-0000-0000-0000A01D0000}"/>
    <cellStyle name="_MOR - BDWY - 1+11_MOR - Gurgaon - 3+9(R)_Revised MOR Package_Revised MOR Package - Latest_Restructuring_Separation_TAX_JuneFC2010 tf_BS_Separation_TaxResIndem_Q12412 tf_Restructuring &amp; Separation_Guidance_Sheet1" xfId="7586" xr:uid="{00000000-0005-0000-0000-0000A11D0000}"/>
    <cellStyle name="_MOR - BDWY - 1+11_MOR - Gurgaon - 3+9(R)_Revised MOR Package_Revised MOR Package - Latest_Restructuring_Separation_TAX_JuneFC2010 tf_BS_Separation_TaxResIndem_Q12412 tf_Restructuring &amp; Separation_Guidance_Sheet2" xfId="7587" xr:uid="{00000000-0005-0000-0000-0000A21D0000}"/>
    <cellStyle name="_MOR - BDWY - 1+11_MOR - Gurgaon - 3+9(R)_Revised MOR Package_Revised MOR Package - Latest_Restructuring_Separation_TAX_JuneFC2010 tf_BS_Separation_TaxResIndem_Q12412 tf_Restructuring &amp; Separation_Guidance_Sheet3" xfId="7588" xr:uid="{00000000-0005-0000-0000-0000A31D0000}"/>
    <cellStyle name="_MOR - BDWY - 1+11_MOR - Gurgaon - 3+9(R)_Revised MOR Package_Revised MOR Package - Latest_Restructuring_Separation_TAX_JuneFC2010 tf_BS_Separation_TaxResIndem_Q12412 tf_Restructuring &amp; Separation_Guidance_Sheet4" xfId="7589" xr:uid="{00000000-0005-0000-0000-0000A41D0000}"/>
    <cellStyle name="_MOR - BDWY - 1+11_MOR - Gurgaon - 3+9(R)_Revised MOR Package_Revised MOR Package - Latest_Restructuring_Separation_TAX_JuneFC2010 tf_Guidance" xfId="7590" xr:uid="{00000000-0005-0000-0000-0000A51D0000}"/>
    <cellStyle name="_MOR - BDWY - 1+11_MOR - Gurgaon - 3+9(R)_Revised MOR Package_Revised MOR Package - Latest_Restructuring_Separation_TAX_JuneFC2010 tf_Guidance 2" xfId="7591" xr:uid="{00000000-0005-0000-0000-0000A61D0000}"/>
    <cellStyle name="_MOR - BDWY - 1+11_MOR - Gurgaon - 3+9(R)_Revised MOR Package_Revised MOR Package - Latest_Restructuring_Separation_TAX_JuneFC2010 tf_Guidance_BS retrieve" xfId="7592" xr:uid="{00000000-0005-0000-0000-0000A71D0000}"/>
    <cellStyle name="_MOR - BDWY - 1+11_MOR - Gurgaon - 3+9(R)_Revised MOR Package_Revised MOR Package - Latest_Restructuring_Separation_TAX_JuneFC2010 tf_Guidance_Free CF" xfId="7593" xr:uid="{00000000-0005-0000-0000-0000A81D0000}"/>
    <cellStyle name="_MOR - BDWY - 1+11_MOR - Gurgaon - 3+9(R)_Revised MOR Package_Revised MOR Package - Latest_Restructuring_Separation_TAX_JuneFC2010 tf_Guidance_P&amp;L Rec Qtr" xfId="7594" xr:uid="{00000000-0005-0000-0000-0000A91D0000}"/>
    <cellStyle name="_MOR - BDWY - 1+11_MOR - Gurgaon - 3+9(R)_Revised MOR Package_Revised MOR Package - Latest_Restructuring_Separation_TAX_JuneFC2010 tf_Guidance_Sheet1" xfId="7595" xr:uid="{00000000-0005-0000-0000-0000AA1D0000}"/>
    <cellStyle name="_MOR - BDWY - 1+11_MOR - Gurgaon - 3+9(R)_Revised MOR Package_Revised MOR Package - Latest_Restructuring_Separation_TAX_JuneFC2010 tf_Guidance_Sheet2" xfId="7596" xr:uid="{00000000-0005-0000-0000-0000AB1D0000}"/>
    <cellStyle name="_MOR - BDWY - 1+11_MOR - Gurgaon - 3+9(R)_Revised MOR Package_Revised MOR Package - Latest_Restructuring_Separation_TAX_JuneFC2010 tf_Guidance_Sheet3" xfId="7597" xr:uid="{00000000-0005-0000-0000-0000AC1D0000}"/>
    <cellStyle name="_MOR - BDWY - 1+11_MOR - Gurgaon - 3+9(R)_Revised MOR Package_Revised MOR Package - Latest_Restructuring_Separation_TAX_JuneFC2010 tf_Guidance_Sheet4" xfId="7598" xr:uid="{00000000-0005-0000-0000-0000AD1D0000}"/>
    <cellStyle name="_MOR - BDWY - 1+11_MOR - Gurgaon - 3+9(R)_Revised MOR Package_Revised MOR Package - Latest_Restructuring_Separation_TAX_JuneFC2010 tf_II.8. Sep&amp;Discrete" xfId="7599" xr:uid="{00000000-0005-0000-0000-0000AE1D0000}"/>
    <cellStyle name="_MOR - BDWY - 1+11_MOR - Gurgaon - 3+9(R)_Revised MOR Package_Revised MOR Package - Latest_Restructuring_Separation_TAX_JuneFC2010 tf_II.8. Sep&amp;Discrete_Guidance" xfId="7600" xr:uid="{00000000-0005-0000-0000-0000AF1D0000}"/>
    <cellStyle name="_MOR - BDWY - 1+11_MOR - Gurgaon - 3+9(R)_Revised MOR Package_Revised MOR Package - Latest_Restructuring_Separation_TAX_JuneFC2010 tf_II.8. Sep&amp;Discrete_Guidance 2" xfId="7601" xr:uid="{00000000-0005-0000-0000-0000B01D0000}"/>
    <cellStyle name="_MOR - BDWY - 1+11_MOR - Gurgaon - 3+9(R)_Revised MOR Package_Revised MOR Package - Latest_Restructuring_Separation_TAX_JuneFC2010 tf_II.8. Sep&amp;Discrete_Guidance_BS retrieve" xfId="7602" xr:uid="{00000000-0005-0000-0000-0000B11D0000}"/>
    <cellStyle name="_MOR - BDWY - 1+11_MOR - Gurgaon - 3+9(R)_Revised MOR Package_Revised MOR Package - Latest_Restructuring_Separation_TAX_JuneFC2010 tf_II.8. Sep&amp;Discrete_Guidance_Free CF" xfId="7603" xr:uid="{00000000-0005-0000-0000-0000B21D0000}"/>
    <cellStyle name="_MOR - BDWY - 1+11_MOR - Gurgaon - 3+9(R)_Revised MOR Package_Revised MOR Package - Latest_Restructuring_Separation_TAX_JuneFC2010 tf_II.8. Sep&amp;Discrete_Guidance_P&amp;L Rec Qtr" xfId="7604" xr:uid="{00000000-0005-0000-0000-0000B31D0000}"/>
    <cellStyle name="_MOR - BDWY - 1+11_MOR - Gurgaon - 3+9(R)_Revised MOR Package_Revised MOR Package - Latest_Restructuring_Separation_TAX_JuneFC2010 tf_II.8. Sep&amp;Discrete_Guidance_Sheet1" xfId="7605" xr:uid="{00000000-0005-0000-0000-0000B41D0000}"/>
    <cellStyle name="_MOR - BDWY - 1+11_MOR - Gurgaon - 3+9(R)_Revised MOR Package_Revised MOR Package - Latest_Restructuring_Separation_TAX_JuneFC2010 tf_II.8. Sep&amp;Discrete_Guidance_Sheet2" xfId="7606" xr:uid="{00000000-0005-0000-0000-0000B51D0000}"/>
    <cellStyle name="_MOR - BDWY - 1+11_MOR - Gurgaon - 3+9(R)_Revised MOR Package_Revised MOR Package - Latest_Restructuring_Separation_TAX_JuneFC2010 tf_II.8. Sep&amp;Discrete_Guidance_Sheet3" xfId="7607" xr:uid="{00000000-0005-0000-0000-0000B61D0000}"/>
    <cellStyle name="_MOR - BDWY - 1+11_MOR - Gurgaon - 3+9(R)_Revised MOR Package_Revised MOR Package - Latest_Restructuring_Separation_TAX_JuneFC2010 tf_II.8. Sep&amp;Discrete_Guidance_Sheet4" xfId="7608" xr:uid="{00000000-0005-0000-0000-0000B71D0000}"/>
    <cellStyle name="_MOR - BDWY - 1+11_MOR - Gurgaon - 3+9(R)_Revised MOR Package_Revised MOR Package - Latest_Restructuring_Separation_TAX_JuneFC2010 tf_Restructuring &amp; Separation" xfId="7609" xr:uid="{00000000-0005-0000-0000-0000B81D0000}"/>
    <cellStyle name="_MOR - BDWY - 1+11_MOR - Gurgaon - 3+9(R)_Revised MOR Package_Revised MOR Package - Latest_Restructuring_Separation_TAX_JuneFC2010 tf_Restructuring &amp; Separation_Guidance" xfId="7610" xr:uid="{00000000-0005-0000-0000-0000B91D0000}"/>
    <cellStyle name="_MOR - BDWY - 1+11_MOR - Gurgaon - 3+9(R)_Revised MOR Package_Revised MOR Package - Latest_Restructuring_Separation_TAX_JuneFC2010 tf_Restructuring &amp; Separation_Guidance 2" xfId="7611" xr:uid="{00000000-0005-0000-0000-0000BA1D0000}"/>
    <cellStyle name="_MOR - BDWY - 1+11_MOR - Gurgaon - 3+9(R)_Revised MOR Package_Revised MOR Package - Latest_Restructuring_Separation_TAX_JuneFC2010 tf_Restructuring &amp; Separation_Guidance_BS retrieve" xfId="7612" xr:uid="{00000000-0005-0000-0000-0000BB1D0000}"/>
    <cellStyle name="_MOR - BDWY - 1+11_MOR - Gurgaon - 3+9(R)_Revised MOR Package_Revised MOR Package - Latest_Restructuring_Separation_TAX_JuneFC2010 tf_Restructuring &amp; Separation_Guidance_Free CF" xfId="7613" xr:uid="{00000000-0005-0000-0000-0000BC1D0000}"/>
    <cellStyle name="_MOR - BDWY - 1+11_MOR - Gurgaon - 3+9(R)_Revised MOR Package_Revised MOR Package - Latest_Restructuring_Separation_TAX_JuneFC2010 tf_Restructuring &amp; Separation_Guidance_P&amp;L Rec Qtr" xfId="7614" xr:uid="{00000000-0005-0000-0000-0000BD1D0000}"/>
    <cellStyle name="_MOR - BDWY - 1+11_MOR - Gurgaon - 3+9(R)_Revised MOR Package_Revised MOR Package - Latest_Restructuring_Separation_TAX_JuneFC2010 tf_Restructuring &amp; Separation_Guidance_Sheet1" xfId="7615" xr:uid="{00000000-0005-0000-0000-0000BE1D0000}"/>
    <cellStyle name="_MOR - BDWY - 1+11_MOR - Gurgaon - 3+9(R)_Revised MOR Package_Revised MOR Package - Latest_Restructuring_Separation_TAX_JuneFC2010 tf_Restructuring &amp; Separation_Guidance_Sheet2" xfId="7616" xr:uid="{00000000-0005-0000-0000-0000BF1D0000}"/>
    <cellStyle name="_MOR - BDWY - 1+11_MOR - Gurgaon - 3+9(R)_Revised MOR Package_Revised MOR Package - Latest_Restructuring_Separation_TAX_JuneFC2010 tf_Restructuring &amp; Separation_Guidance_Sheet3" xfId="7617" xr:uid="{00000000-0005-0000-0000-0000C01D0000}"/>
    <cellStyle name="_MOR - BDWY - 1+11_MOR - Gurgaon - 3+9(R)_Revised MOR Package_Revised MOR Package - Latest_Restructuring_Separation_TAX_JuneFC2010 tf_Restructuring &amp; Separation_Guidance_Sheet4" xfId="7618" xr:uid="{00000000-0005-0000-0000-0000C11D0000}"/>
    <cellStyle name="_MOR - BDWY - 1+11_MOR - Gurgaon - 3+9(R)-1" xfId="7619" xr:uid="{00000000-0005-0000-0000-0000C21D0000}"/>
    <cellStyle name="_MOR - BDWY - 1+11_MOR - Gurgaon - 3+9(R)-1_BS_Separation_TaxResIndem_Q12412 tf" xfId="7620" xr:uid="{00000000-0005-0000-0000-0000C31D0000}"/>
    <cellStyle name="_MOR - BDWY - 1+11_MOR - Gurgaon - 3+9(R)-1_BS_Separation_TaxResIndem_Q12412 tf_Guidance" xfId="7621" xr:uid="{00000000-0005-0000-0000-0000C41D0000}"/>
    <cellStyle name="_MOR - BDWY - 1+11_MOR - Gurgaon - 3+9(R)-1_BS_Separation_TaxResIndem_Q12412 tf_Guidance 2" xfId="7622" xr:uid="{00000000-0005-0000-0000-0000C51D0000}"/>
    <cellStyle name="_MOR - BDWY - 1+11_MOR - Gurgaon - 3+9(R)-1_BS_Separation_TaxResIndem_Q12412 tf_Guidance_BS retrieve" xfId="7623" xr:uid="{00000000-0005-0000-0000-0000C61D0000}"/>
    <cellStyle name="_MOR - BDWY - 1+11_MOR - Gurgaon - 3+9(R)-1_BS_Separation_TaxResIndem_Q12412 tf_Guidance_Free CF" xfId="7624" xr:uid="{00000000-0005-0000-0000-0000C71D0000}"/>
    <cellStyle name="_MOR - BDWY - 1+11_MOR - Gurgaon - 3+9(R)-1_BS_Separation_TaxResIndem_Q12412 tf_Guidance_P&amp;L Rec Qtr" xfId="7625" xr:uid="{00000000-0005-0000-0000-0000C81D0000}"/>
    <cellStyle name="_MOR - BDWY - 1+11_MOR - Gurgaon - 3+9(R)-1_BS_Separation_TaxResIndem_Q12412 tf_Guidance_Sheet1" xfId="7626" xr:uid="{00000000-0005-0000-0000-0000C91D0000}"/>
    <cellStyle name="_MOR - BDWY - 1+11_MOR - Gurgaon - 3+9(R)-1_BS_Separation_TaxResIndem_Q12412 tf_Guidance_Sheet2" xfId="7627" xr:uid="{00000000-0005-0000-0000-0000CA1D0000}"/>
    <cellStyle name="_MOR - BDWY - 1+11_MOR - Gurgaon - 3+9(R)-1_BS_Separation_TaxResIndem_Q12412 tf_Guidance_Sheet3" xfId="7628" xr:uid="{00000000-0005-0000-0000-0000CB1D0000}"/>
    <cellStyle name="_MOR - BDWY - 1+11_MOR - Gurgaon - 3+9(R)-1_BS_Separation_TaxResIndem_Q12412 tf_Guidance_Sheet4" xfId="7629" xr:uid="{00000000-0005-0000-0000-0000CC1D0000}"/>
    <cellStyle name="_MOR - BDWY - 1+11_MOR - Gurgaon - 3+9(R)-1_BS_Separation_TaxResIndem_Q12412 tf_Restructuring &amp; Separation" xfId="7630" xr:uid="{00000000-0005-0000-0000-0000CD1D0000}"/>
    <cellStyle name="_MOR - BDWY - 1+11_MOR - Gurgaon - 3+9(R)-1_BS_Separation_TaxResIndem_Q12412 tf_Restructuring &amp; Separation_Guidance" xfId="7631" xr:uid="{00000000-0005-0000-0000-0000CE1D0000}"/>
    <cellStyle name="_MOR - BDWY - 1+11_MOR - Gurgaon - 3+9(R)-1_BS_Separation_TaxResIndem_Q12412 tf_Restructuring &amp; Separation_Guidance 2" xfId="7632" xr:uid="{00000000-0005-0000-0000-0000CF1D0000}"/>
    <cellStyle name="_MOR - BDWY - 1+11_MOR - Gurgaon - 3+9(R)-1_BS_Separation_TaxResIndem_Q12412 tf_Restructuring &amp; Separation_Guidance_BS retrieve" xfId="7633" xr:uid="{00000000-0005-0000-0000-0000D01D0000}"/>
    <cellStyle name="_MOR - BDWY - 1+11_MOR - Gurgaon - 3+9(R)-1_BS_Separation_TaxResIndem_Q12412 tf_Restructuring &amp; Separation_Guidance_Free CF" xfId="7634" xr:uid="{00000000-0005-0000-0000-0000D11D0000}"/>
    <cellStyle name="_MOR - BDWY - 1+11_MOR - Gurgaon - 3+9(R)-1_BS_Separation_TaxResIndem_Q12412 tf_Restructuring &amp; Separation_Guidance_P&amp;L Rec Qtr" xfId="7635" xr:uid="{00000000-0005-0000-0000-0000D21D0000}"/>
    <cellStyle name="_MOR - BDWY - 1+11_MOR - Gurgaon - 3+9(R)-1_BS_Separation_TaxResIndem_Q12412 tf_Restructuring &amp; Separation_Guidance_Sheet1" xfId="7636" xr:uid="{00000000-0005-0000-0000-0000D31D0000}"/>
    <cellStyle name="_MOR - BDWY - 1+11_MOR - Gurgaon - 3+9(R)-1_BS_Separation_TaxResIndem_Q12412 tf_Restructuring &amp; Separation_Guidance_Sheet2" xfId="7637" xr:uid="{00000000-0005-0000-0000-0000D41D0000}"/>
    <cellStyle name="_MOR - BDWY - 1+11_MOR - Gurgaon - 3+9(R)-1_BS_Separation_TaxResIndem_Q12412 tf_Restructuring &amp; Separation_Guidance_Sheet3" xfId="7638" xr:uid="{00000000-0005-0000-0000-0000D51D0000}"/>
    <cellStyle name="_MOR - BDWY - 1+11_MOR - Gurgaon - 3+9(R)-1_BS_Separation_TaxResIndem_Q12412 tf_Restructuring &amp; Separation_Guidance_Sheet4" xfId="7639" xr:uid="{00000000-0005-0000-0000-0000D61D0000}"/>
    <cellStyle name="_MOR - BDWY - 1+11_MOR - Gurgaon - 3+9(R)-1_By Country Detail 1Q10 041410pm FIN 18 revised per disc w Mary" xfId="7640" xr:uid="{00000000-0005-0000-0000-0000D71D0000}"/>
    <cellStyle name="_MOR - BDWY - 1+11_MOR - Gurgaon - 3+9(R)-1_By Country Detail 1Q10 041410pm FIN 18 revised per disc w Mary_BS_Separation_TaxResIndem_Q12412 tf" xfId="7641" xr:uid="{00000000-0005-0000-0000-0000D81D0000}"/>
    <cellStyle name="_MOR - BDWY - 1+11_MOR - Gurgaon - 3+9(R)-1_By Country Detail 1Q10 041410pm FIN 18 revised per disc w Mary_BS_Separation_TaxResIndem_Q12412 tf_Guidance" xfId="7642" xr:uid="{00000000-0005-0000-0000-0000D91D0000}"/>
    <cellStyle name="_MOR - BDWY - 1+11_MOR - Gurgaon - 3+9(R)-1_By Country Detail 1Q10 041410pm FIN 18 revised per disc w Mary_BS_Separation_TaxResIndem_Q12412 tf_Guidance 2" xfId="7643" xr:uid="{00000000-0005-0000-0000-0000DA1D0000}"/>
    <cellStyle name="_MOR - BDWY - 1+11_MOR - Gurgaon - 3+9(R)-1_By Country Detail 1Q10 041410pm FIN 18 revised per disc w Mary_BS_Separation_TaxResIndem_Q12412 tf_Guidance_BS retrieve" xfId="7644" xr:uid="{00000000-0005-0000-0000-0000DB1D0000}"/>
    <cellStyle name="_MOR - BDWY - 1+11_MOR - Gurgaon - 3+9(R)-1_By Country Detail 1Q10 041410pm FIN 18 revised per disc w Mary_BS_Separation_TaxResIndem_Q12412 tf_Guidance_Free CF" xfId="7645" xr:uid="{00000000-0005-0000-0000-0000DC1D0000}"/>
    <cellStyle name="_MOR - BDWY - 1+11_MOR - Gurgaon - 3+9(R)-1_By Country Detail 1Q10 041410pm FIN 18 revised per disc w Mary_BS_Separation_TaxResIndem_Q12412 tf_Guidance_P&amp;L Rec Qtr" xfId="7646" xr:uid="{00000000-0005-0000-0000-0000DD1D0000}"/>
    <cellStyle name="_MOR - BDWY - 1+11_MOR - Gurgaon - 3+9(R)-1_By Country Detail 1Q10 041410pm FIN 18 revised per disc w Mary_BS_Separation_TaxResIndem_Q12412 tf_Guidance_Sheet1" xfId="7647" xr:uid="{00000000-0005-0000-0000-0000DE1D0000}"/>
    <cellStyle name="_MOR - BDWY - 1+11_MOR - Gurgaon - 3+9(R)-1_By Country Detail 1Q10 041410pm FIN 18 revised per disc w Mary_BS_Separation_TaxResIndem_Q12412 tf_Guidance_Sheet2" xfId="7648" xr:uid="{00000000-0005-0000-0000-0000DF1D0000}"/>
    <cellStyle name="_MOR - BDWY - 1+11_MOR - Gurgaon - 3+9(R)-1_By Country Detail 1Q10 041410pm FIN 18 revised per disc w Mary_BS_Separation_TaxResIndem_Q12412 tf_Guidance_Sheet3" xfId="7649" xr:uid="{00000000-0005-0000-0000-0000E01D0000}"/>
    <cellStyle name="_MOR - BDWY - 1+11_MOR - Gurgaon - 3+9(R)-1_By Country Detail 1Q10 041410pm FIN 18 revised per disc w Mary_BS_Separation_TaxResIndem_Q12412 tf_Guidance_Sheet4" xfId="7650" xr:uid="{00000000-0005-0000-0000-0000E11D0000}"/>
    <cellStyle name="_MOR - BDWY - 1+11_MOR - Gurgaon - 3+9(R)-1_By Country Detail 1Q10 041410pm FIN 18 revised per disc w Mary_BS_Separation_TaxResIndem_Q12412 tf_Restructuring &amp; Separation" xfId="7651" xr:uid="{00000000-0005-0000-0000-0000E21D0000}"/>
    <cellStyle name="_MOR - BDWY - 1+11_MOR - Gurgaon - 3+9(R)-1_By Country Detail 1Q10 041410pm FIN 18 revised per disc w Mary_BS_Separation_TaxResIndem_Q12412 tf_Restructuring &amp; Separation_Guidance" xfId="7652" xr:uid="{00000000-0005-0000-0000-0000E31D0000}"/>
    <cellStyle name="_MOR - BDWY - 1+11_MOR - Gurgaon - 3+9(R)-1_By Country Detail 1Q10 041410pm FIN 18 revised per disc w Mary_BS_Separation_TaxResIndem_Q12412 tf_Restructuring &amp; Separation_Guidance 2" xfId="7653" xr:uid="{00000000-0005-0000-0000-0000E41D0000}"/>
    <cellStyle name="_MOR - BDWY - 1+11_MOR - Gurgaon - 3+9(R)-1_By Country Detail 1Q10 041410pm FIN 18 revised per disc w Mary_BS_Separation_TaxResIndem_Q12412 tf_Restructuring &amp; Separation_Guidance_BS retrieve" xfId="7654" xr:uid="{00000000-0005-0000-0000-0000E51D0000}"/>
    <cellStyle name="_MOR - BDWY - 1+11_MOR - Gurgaon - 3+9(R)-1_By Country Detail 1Q10 041410pm FIN 18 revised per disc w Mary_BS_Separation_TaxResIndem_Q12412 tf_Restructuring &amp; Separation_Guidance_Free CF" xfId="7655" xr:uid="{00000000-0005-0000-0000-0000E61D0000}"/>
    <cellStyle name="_MOR - BDWY - 1+11_MOR - Gurgaon - 3+9(R)-1_By Country Detail 1Q10 041410pm FIN 18 revised per disc w Mary_BS_Separation_TaxResIndem_Q12412 tf_Restructuring &amp; Separation_Guidance_P&amp;L Rec Qtr" xfId="7656" xr:uid="{00000000-0005-0000-0000-0000E71D0000}"/>
    <cellStyle name="_MOR - BDWY - 1+11_MOR - Gurgaon - 3+9(R)-1_By Country Detail 1Q10 041410pm FIN 18 revised per disc w Mary_BS_Separation_TaxResIndem_Q12412 tf_Restructuring &amp; Separation_Guidance_Sheet1" xfId="7657" xr:uid="{00000000-0005-0000-0000-0000E81D0000}"/>
    <cellStyle name="_MOR - BDWY - 1+11_MOR - Gurgaon - 3+9(R)-1_By Country Detail 1Q10 041410pm FIN 18 revised per disc w Mary_BS_Separation_TaxResIndem_Q12412 tf_Restructuring &amp; Separation_Guidance_Sheet2" xfId="7658" xr:uid="{00000000-0005-0000-0000-0000E91D0000}"/>
    <cellStyle name="_MOR - BDWY - 1+11_MOR - Gurgaon - 3+9(R)-1_By Country Detail 1Q10 041410pm FIN 18 revised per disc w Mary_BS_Separation_TaxResIndem_Q12412 tf_Restructuring &amp; Separation_Guidance_Sheet3" xfId="7659" xr:uid="{00000000-0005-0000-0000-0000EA1D0000}"/>
    <cellStyle name="_MOR - BDWY - 1+11_MOR - Gurgaon - 3+9(R)-1_By Country Detail 1Q10 041410pm FIN 18 revised per disc w Mary_BS_Separation_TaxResIndem_Q12412 tf_Restructuring &amp; Separation_Guidance_Sheet4" xfId="7660" xr:uid="{00000000-0005-0000-0000-0000EB1D0000}"/>
    <cellStyle name="_MOR - BDWY - 1+11_MOR - Gurgaon - 3+9(R)-1_By Country Detail 1Q10 041410pm FIN 18 revised per disc w Mary_Guidance" xfId="7661" xr:uid="{00000000-0005-0000-0000-0000EC1D0000}"/>
    <cellStyle name="_MOR - BDWY - 1+11_MOR - Gurgaon - 3+9(R)-1_By Country Detail 1Q10 041410pm FIN 18 revised per disc w Mary_Guidance 2" xfId="7662" xr:uid="{00000000-0005-0000-0000-0000ED1D0000}"/>
    <cellStyle name="_MOR - BDWY - 1+11_MOR - Gurgaon - 3+9(R)-1_By Country Detail 1Q10 041410pm FIN 18 revised per disc w Mary_Guidance_BS retrieve" xfId="7663" xr:uid="{00000000-0005-0000-0000-0000EE1D0000}"/>
    <cellStyle name="_MOR - BDWY - 1+11_MOR - Gurgaon - 3+9(R)-1_By Country Detail 1Q10 041410pm FIN 18 revised per disc w Mary_Guidance_Free CF" xfId="7664" xr:uid="{00000000-0005-0000-0000-0000EF1D0000}"/>
    <cellStyle name="_MOR - BDWY - 1+11_MOR - Gurgaon - 3+9(R)-1_By Country Detail 1Q10 041410pm FIN 18 revised per disc w Mary_Guidance_P&amp;L Rec Qtr" xfId="7665" xr:uid="{00000000-0005-0000-0000-0000F01D0000}"/>
    <cellStyle name="_MOR - BDWY - 1+11_MOR - Gurgaon - 3+9(R)-1_By Country Detail 1Q10 041410pm FIN 18 revised per disc w Mary_Guidance_Sheet1" xfId="7666" xr:uid="{00000000-0005-0000-0000-0000F11D0000}"/>
    <cellStyle name="_MOR - BDWY - 1+11_MOR - Gurgaon - 3+9(R)-1_By Country Detail 1Q10 041410pm FIN 18 revised per disc w Mary_Guidance_Sheet2" xfId="7667" xr:uid="{00000000-0005-0000-0000-0000F21D0000}"/>
    <cellStyle name="_MOR - BDWY - 1+11_MOR - Gurgaon - 3+9(R)-1_By Country Detail 1Q10 041410pm FIN 18 revised per disc w Mary_Guidance_Sheet3" xfId="7668" xr:uid="{00000000-0005-0000-0000-0000F31D0000}"/>
    <cellStyle name="_MOR - BDWY - 1+11_MOR - Gurgaon - 3+9(R)-1_By Country Detail 1Q10 041410pm FIN 18 revised per disc w Mary_Guidance_Sheet4" xfId="7669" xr:uid="{00000000-0005-0000-0000-0000F41D0000}"/>
    <cellStyle name="_MOR - BDWY - 1+11_MOR - Gurgaon - 3+9(R)-1_By Country Detail 1Q10 041410pm FIN 18 revised per disc w Mary_II.8. Sep&amp;Discrete" xfId="7670" xr:uid="{00000000-0005-0000-0000-0000F51D0000}"/>
    <cellStyle name="_MOR - BDWY - 1+11_MOR - Gurgaon - 3+9(R)-1_By Country Detail 1Q10 041410pm FIN 18 revised per disc w Mary_II.8. Sep&amp;Discrete_Guidance" xfId="7671" xr:uid="{00000000-0005-0000-0000-0000F61D0000}"/>
    <cellStyle name="_MOR - BDWY - 1+11_MOR - Gurgaon - 3+9(R)-1_By Country Detail 1Q10 041410pm FIN 18 revised per disc w Mary_II.8. Sep&amp;Discrete_Guidance 2" xfId="7672" xr:uid="{00000000-0005-0000-0000-0000F71D0000}"/>
    <cellStyle name="_MOR - BDWY - 1+11_MOR - Gurgaon - 3+9(R)-1_By Country Detail 1Q10 041410pm FIN 18 revised per disc w Mary_II.8. Sep&amp;Discrete_Guidance_BS retrieve" xfId="7673" xr:uid="{00000000-0005-0000-0000-0000F81D0000}"/>
    <cellStyle name="_MOR - BDWY - 1+11_MOR - Gurgaon - 3+9(R)-1_By Country Detail 1Q10 041410pm FIN 18 revised per disc w Mary_II.8. Sep&amp;Discrete_Guidance_Free CF" xfId="7674" xr:uid="{00000000-0005-0000-0000-0000F91D0000}"/>
    <cellStyle name="_MOR - BDWY - 1+11_MOR - Gurgaon - 3+9(R)-1_By Country Detail 1Q10 041410pm FIN 18 revised per disc w Mary_II.8. Sep&amp;Discrete_Guidance_P&amp;L Rec Qtr" xfId="7675" xr:uid="{00000000-0005-0000-0000-0000FA1D0000}"/>
    <cellStyle name="_MOR - BDWY - 1+11_MOR - Gurgaon - 3+9(R)-1_By Country Detail 1Q10 041410pm FIN 18 revised per disc w Mary_II.8. Sep&amp;Discrete_Guidance_Sheet1" xfId="7676" xr:uid="{00000000-0005-0000-0000-0000FB1D0000}"/>
    <cellStyle name="_MOR - BDWY - 1+11_MOR - Gurgaon - 3+9(R)-1_By Country Detail 1Q10 041410pm FIN 18 revised per disc w Mary_II.8. Sep&amp;Discrete_Guidance_Sheet2" xfId="7677" xr:uid="{00000000-0005-0000-0000-0000FC1D0000}"/>
    <cellStyle name="_MOR - BDWY - 1+11_MOR - Gurgaon - 3+9(R)-1_By Country Detail 1Q10 041410pm FIN 18 revised per disc w Mary_II.8. Sep&amp;Discrete_Guidance_Sheet3" xfId="7678" xr:uid="{00000000-0005-0000-0000-0000FD1D0000}"/>
    <cellStyle name="_MOR - BDWY - 1+11_MOR - Gurgaon - 3+9(R)-1_By Country Detail 1Q10 041410pm FIN 18 revised per disc w Mary_II.8. Sep&amp;Discrete_Guidance_Sheet4" xfId="7679" xr:uid="{00000000-0005-0000-0000-0000FE1D0000}"/>
    <cellStyle name="_MOR - BDWY - 1+11_MOR - Gurgaon - 3+9(R)-1_By Country Detail 1Q10 041410pm FIN 18 revised per disc w Mary_Restructuring &amp; Separation" xfId="7680" xr:uid="{00000000-0005-0000-0000-0000FF1D0000}"/>
    <cellStyle name="_MOR - BDWY - 1+11_MOR - Gurgaon - 3+9(R)-1_By Country Detail 1Q10 041410pm FIN 18 revised per disc w Mary_Restructuring &amp; Separation_Guidance" xfId="7681" xr:uid="{00000000-0005-0000-0000-0000001E0000}"/>
    <cellStyle name="_MOR - BDWY - 1+11_MOR - Gurgaon - 3+9(R)-1_By Country Detail 1Q10 041410pm FIN 18 revised per disc w Mary_Restructuring &amp; Separation_Guidance 2" xfId="7682" xr:uid="{00000000-0005-0000-0000-0000011E0000}"/>
    <cellStyle name="_MOR - BDWY - 1+11_MOR - Gurgaon - 3+9(R)-1_By Country Detail 1Q10 041410pm FIN 18 revised per disc w Mary_Restructuring &amp; Separation_Guidance_BS retrieve" xfId="7683" xr:uid="{00000000-0005-0000-0000-0000021E0000}"/>
    <cellStyle name="_MOR - BDWY - 1+11_MOR - Gurgaon - 3+9(R)-1_By Country Detail 1Q10 041410pm FIN 18 revised per disc w Mary_Restructuring &amp; Separation_Guidance_Free CF" xfId="7684" xr:uid="{00000000-0005-0000-0000-0000031E0000}"/>
    <cellStyle name="_MOR - BDWY - 1+11_MOR - Gurgaon - 3+9(R)-1_By Country Detail 1Q10 041410pm FIN 18 revised per disc w Mary_Restructuring &amp; Separation_Guidance_P&amp;L Rec Qtr" xfId="7685" xr:uid="{00000000-0005-0000-0000-0000041E0000}"/>
    <cellStyle name="_MOR - BDWY - 1+11_MOR - Gurgaon - 3+9(R)-1_By Country Detail 1Q10 041410pm FIN 18 revised per disc w Mary_Restructuring &amp; Separation_Guidance_Sheet1" xfId="7686" xr:uid="{00000000-0005-0000-0000-0000051E0000}"/>
    <cellStyle name="_MOR - BDWY - 1+11_MOR - Gurgaon - 3+9(R)-1_By Country Detail 1Q10 041410pm FIN 18 revised per disc w Mary_Restructuring &amp; Separation_Guidance_Sheet2" xfId="7687" xr:uid="{00000000-0005-0000-0000-0000061E0000}"/>
    <cellStyle name="_MOR - BDWY - 1+11_MOR - Gurgaon - 3+9(R)-1_By Country Detail 1Q10 041410pm FIN 18 revised per disc w Mary_Restructuring &amp; Separation_Guidance_Sheet3" xfId="7688" xr:uid="{00000000-0005-0000-0000-0000071E0000}"/>
    <cellStyle name="_MOR - BDWY - 1+11_MOR - Gurgaon - 3+9(R)-1_By Country Detail 1Q10 041410pm FIN 18 revised per disc w Mary_Restructuring &amp; Separation_Guidance_Sheet4" xfId="7689" xr:uid="{00000000-0005-0000-0000-0000081E0000}"/>
    <cellStyle name="_MOR - BDWY - 1+11_MOR - Gurgaon - 3+9(R)-1_Guidance" xfId="7690" xr:uid="{00000000-0005-0000-0000-0000091E0000}"/>
    <cellStyle name="_MOR - BDWY - 1+11_MOR - Gurgaon - 3+9(R)-1_Guidance 2" xfId="7691" xr:uid="{00000000-0005-0000-0000-00000A1E0000}"/>
    <cellStyle name="_MOR - BDWY - 1+11_MOR - Gurgaon - 3+9(R)-1_Guidance_BS retrieve" xfId="7692" xr:uid="{00000000-0005-0000-0000-00000B1E0000}"/>
    <cellStyle name="_MOR - BDWY - 1+11_MOR - Gurgaon - 3+9(R)-1_Guidance_Free CF" xfId="7693" xr:uid="{00000000-0005-0000-0000-00000C1E0000}"/>
    <cellStyle name="_MOR - BDWY - 1+11_MOR - Gurgaon - 3+9(R)-1_Guidance_P&amp;L Rec Qtr" xfId="7694" xr:uid="{00000000-0005-0000-0000-00000D1E0000}"/>
    <cellStyle name="_MOR - BDWY - 1+11_MOR - Gurgaon - 3+9(R)-1_Guidance_Sheet1" xfId="7695" xr:uid="{00000000-0005-0000-0000-00000E1E0000}"/>
    <cellStyle name="_MOR - BDWY - 1+11_MOR - Gurgaon - 3+9(R)-1_Guidance_Sheet2" xfId="7696" xr:uid="{00000000-0005-0000-0000-00000F1E0000}"/>
    <cellStyle name="_MOR - BDWY - 1+11_MOR - Gurgaon - 3+9(R)-1_Guidance_Sheet3" xfId="7697" xr:uid="{00000000-0005-0000-0000-0000101E0000}"/>
    <cellStyle name="_MOR - BDWY - 1+11_MOR - Gurgaon - 3+9(R)-1_Guidance_Sheet4" xfId="7698" xr:uid="{00000000-0005-0000-0000-0000111E0000}"/>
    <cellStyle name="_MOR - BDWY - 1+11_MOR - Gurgaon - 3+9(R)-1_II.4. RawMaterials" xfId="7699" xr:uid="{00000000-0005-0000-0000-0000121E0000}"/>
    <cellStyle name="_MOR - BDWY - 1+11_MOR - Gurgaon - 3+9(R)-1_II.4. RawMaterials 2" xfId="7700" xr:uid="{00000000-0005-0000-0000-0000131E0000}"/>
    <cellStyle name="_MOR - BDWY - 1+11_MOR - Gurgaon - 3+9(R)-1_II.4. RawMaterials_BS retrieve" xfId="7701" xr:uid="{00000000-0005-0000-0000-0000141E0000}"/>
    <cellStyle name="_MOR - BDWY - 1+11_MOR - Gurgaon - 3+9(R)-1_II.4. RawMaterials_Free CF" xfId="7702" xr:uid="{00000000-0005-0000-0000-0000151E0000}"/>
    <cellStyle name="_MOR - BDWY - 1+11_MOR - Gurgaon - 3+9(R)-1_II.4. RawMaterials_P&amp;L Rec Qtr" xfId="7703" xr:uid="{00000000-0005-0000-0000-0000161E0000}"/>
    <cellStyle name="_MOR - BDWY - 1+11_MOR - Gurgaon - 3+9(R)-1_II.4. RawMaterials_Sheet1" xfId="7704" xr:uid="{00000000-0005-0000-0000-0000171E0000}"/>
    <cellStyle name="_MOR - BDWY - 1+11_MOR - Gurgaon - 3+9(R)-1_II.4. RawMaterials_Sheet2" xfId="7705" xr:uid="{00000000-0005-0000-0000-0000181E0000}"/>
    <cellStyle name="_MOR - BDWY - 1+11_MOR - Gurgaon - 3+9(R)-1_II.4. RawMaterials_Sheet3" xfId="7706" xr:uid="{00000000-0005-0000-0000-0000191E0000}"/>
    <cellStyle name="_MOR - BDWY - 1+11_MOR - Gurgaon - 3+9(R)-1_II.4. RawMaterials_Sheet4" xfId="7707" xr:uid="{00000000-0005-0000-0000-00001A1E0000}"/>
    <cellStyle name="_MOR - BDWY - 1+11_MOR - Gurgaon - 3+9(R)-1_II.5. RawMaterials" xfId="7708" xr:uid="{00000000-0005-0000-0000-00001B1E0000}"/>
    <cellStyle name="_MOR - BDWY - 1+11_MOR - Gurgaon - 3+9(R)-1_II.5. RawMaterials 2" xfId="7709" xr:uid="{00000000-0005-0000-0000-00001C1E0000}"/>
    <cellStyle name="_MOR - BDWY - 1+11_MOR - Gurgaon - 3+9(R)-1_II.5. RawMaterials_BS retrieve" xfId="7710" xr:uid="{00000000-0005-0000-0000-00001D1E0000}"/>
    <cellStyle name="_MOR - BDWY - 1+11_MOR - Gurgaon - 3+9(R)-1_II.5. RawMaterials_Free CF" xfId="7711" xr:uid="{00000000-0005-0000-0000-00001E1E0000}"/>
    <cellStyle name="_MOR - BDWY - 1+11_MOR - Gurgaon - 3+9(R)-1_II.5. RawMaterials_Guidance" xfId="7712" xr:uid="{00000000-0005-0000-0000-00001F1E0000}"/>
    <cellStyle name="_MOR - BDWY - 1+11_MOR - Gurgaon - 3+9(R)-1_II.5. RawMaterials_Guidance 2" xfId="7713" xr:uid="{00000000-0005-0000-0000-0000201E0000}"/>
    <cellStyle name="_MOR - BDWY - 1+11_MOR - Gurgaon - 3+9(R)-1_II.5. RawMaterials_Guidance_BS retrieve" xfId="7714" xr:uid="{00000000-0005-0000-0000-0000211E0000}"/>
    <cellStyle name="_MOR - BDWY - 1+11_MOR - Gurgaon - 3+9(R)-1_II.5. RawMaterials_Guidance_Free CF" xfId="7715" xr:uid="{00000000-0005-0000-0000-0000221E0000}"/>
    <cellStyle name="_MOR - BDWY - 1+11_MOR - Gurgaon - 3+9(R)-1_II.5. RawMaterials_Guidance_P&amp;L Rec Qtr" xfId="7716" xr:uid="{00000000-0005-0000-0000-0000231E0000}"/>
    <cellStyle name="_MOR - BDWY - 1+11_MOR - Gurgaon - 3+9(R)-1_II.5. RawMaterials_Guidance_Sheet1" xfId="7717" xr:uid="{00000000-0005-0000-0000-0000241E0000}"/>
    <cellStyle name="_MOR - BDWY - 1+11_MOR - Gurgaon - 3+9(R)-1_II.5. RawMaterials_Guidance_Sheet2" xfId="7718" xr:uid="{00000000-0005-0000-0000-0000251E0000}"/>
    <cellStyle name="_MOR - BDWY - 1+11_MOR - Gurgaon - 3+9(R)-1_II.5. RawMaterials_Guidance_Sheet3" xfId="7719" xr:uid="{00000000-0005-0000-0000-0000261E0000}"/>
    <cellStyle name="_MOR - BDWY - 1+11_MOR - Gurgaon - 3+9(R)-1_II.5. RawMaterials_Guidance_Sheet4" xfId="7720" xr:uid="{00000000-0005-0000-0000-0000271E0000}"/>
    <cellStyle name="_MOR - BDWY - 1+11_MOR - Gurgaon - 3+9(R)-1_II.5. RawMaterials_P&amp;L Rec Qtr" xfId="7721" xr:uid="{00000000-0005-0000-0000-0000281E0000}"/>
    <cellStyle name="_MOR - BDWY - 1+11_MOR - Gurgaon - 3+9(R)-1_II.5. RawMaterials_Sheet1" xfId="7722" xr:uid="{00000000-0005-0000-0000-0000291E0000}"/>
    <cellStyle name="_MOR - BDWY - 1+11_MOR - Gurgaon - 3+9(R)-1_II.5. RawMaterials_Sheet2" xfId="7723" xr:uid="{00000000-0005-0000-0000-00002A1E0000}"/>
    <cellStyle name="_MOR - BDWY - 1+11_MOR - Gurgaon - 3+9(R)-1_II.5. RawMaterials_Sheet3" xfId="7724" xr:uid="{00000000-0005-0000-0000-00002B1E0000}"/>
    <cellStyle name="_MOR - BDWY - 1+11_MOR - Gurgaon - 3+9(R)-1_II.5. RawMaterials_Sheet4" xfId="7725" xr:uid="{00000000-0005-0000-0000-00002C1E0000}"/>
    <cellStyle name="_MOR - BDWY - 1+11_MOR - Gurgaon - 3+9(R)-1_II.5. RM Volume Sensitivities" xfId="7726" xr:uid="{00000000-0005-0000-0000-00002D1E0000}"/>
    <cellStyle name="_MOR - BDWY - 1+11_MOR - Gurgaon - 3+9(R)-1_II.5. RM Volume Sensitivities 2" xfId="7727" xr:uid="{00000000-0005-0000-0000-00002E1E0000}"/>
    <cellStyle name="_MOR - BDWY - 1+11_MOR - Gurgaon - 3+9(R)-1_II.5. RM Volume Sensitivities_BS retrieve" xfId="7728" xr:uid="{00000000-0005-0000-0000-00002F1E0000}"/>
    <cellStyle name="_MOR - BDWY - 1+11_MOR - Gurgaon - 3+9(R)-1_II.5. RM Volume Sensitivities_Free CF" xfId="7729" xr:uid="{00000000-0005-0000-0000-0000301E0000}"/>
    <cellStyle name="_MOR - BDWY - 1+11_MOR - Gurgaon - 3+9(R)-1_II.5. RM Volume Sensitivities_P&amp;L Rec Qtr" xfId="7730" xr:uid="{00000000-0005-0000-0000-0000311E0000}"/>
    <cellStyle name="_MOR - BDWY - 1+11_MOR - Gurgaon - 3+9(R)-1_II.5. RM Volume Sensitivities_Sheet1" xfId="7731" xr:uid="{00000000-0005-0000-0000-0000321E0000}"/>
    <cellStyle name="_MOR - BDWY - 1+11_MOR - Gurgaon - 3+9(R)-1_II.5. RM Volume Sensitivities_Sheet2" xfId="7732" xr:uid="{00000000-0005-0000-0000-0000331E0000}"/>
    <cellStyle name="_MOR - BDWY - 1+11_MOR - Gurgaon - 3+9(R)-1_II.5. RM Volume Sensitivities_Sheet3" xfId="7733" xr:uid="{00000000-0005-0000-0000-0000341E0000}"/>
    <cellStyle name="_MOR - BDWY - 1+11_MOR - Gurgaon - 3+9(R)-1_II.5. RM Volume Sensitivities_Sheet4" xfId="7734" xr:uid="{00000000-0005-0000-0000-0000351E0000}"/>
    <cellStyle name="_MOR - BDWY - 1+11_MOR - Gurgaon - 3+9(R)-1_II.8. Sep&amp;Discrete" xfId="7735" xr:uid="{00000000-0005-0000-0000-0000361E0000}"/>
    <cellStyle name="_MOR - BDWY - 1+11_MOR - Gurgaon - 3+9(R)-1_II.8. Sep&amp;Discrete_Guidance" xfId="7736" xr:uid="{00000000-0005-0000-0000-0000371E0000}"/>
    <cellStyle name="_MOR - BDWY - 1+11_MOR - Gurgaon - 3+9(R)-1_II.8. Sep&amp;Discrete_Guidance 2" xfId="7737" xr:uid="{00000000-0005-0000-0000-0000381E0000}"/>
    <cellStyle name="_MOR - BDWY - 1+11_MOR - Gurgaon - 3+9(R)-1_II.8. Sep&amp;Discrete_Guidance_BS retrieve" xfId="7738" xr:uid="{00000000-0005-0000-0000-0000391E0000}"/>
    <cellStyle name="_MOR - BDWY - 1+11_MOR - Gurgaon - 3+9(R)-1_II.8. Sep&amp;Discrete_Guidance_Free CF" xfId="7739" xr:uid="{00000000-0005-0000-0000-00003A1E0000}"/>
    <cellStyle name="_MOR - BDWY - 1+11_MOR - Gurgaon - 3+9(R)-1_II.8. Sep&amp;Discrete_Guidance_P&amp;L Rec Qtr" xfId="7740" xr:uid="{00000000-0005-0000-0000-00003B1E0000}"/>
    <cellStyle name="_MOR - BDWY - 1+11_MOR - Gurgaon - 3+9(R)-1_II.8. Sep&amp;Discrete_Guidance_Sheet1" xfId="7741" xr:uid="{00000000-0005-0000-0000-00003C1E0000}"/>
    <cellStyle name="_MOR - BDWY - 1+11_MOR - Gurgaon - 3+9(R)-1_II.8. Sep&amp;Discrete_Guidance_Sheet2" xfId="7742" xr:uid="{00000000-0005-0000-0000-00003D1E0000}"/>
    <cellStyle name="_MOR - BDWY - 1+11_MOR - Gurgaon - 3+9(R)-1_II.8. Sep&amp;Discrete_Guidance_Sheet3" xfId="7743" xr:uid="{00000000-0005-0000-0000-00003E1E0000}"/>
    <cellStyle name="_MOR - BDWY - 1+11_MOR - Gurgaon - 3+9(R)-1_II.8. Sep&amp;Discrete_Guidance_Sheet4" xfId="7744" xr:uid="{00000000-0005-0000-0000-00003F1E0000}"/>
    <cellStyle name="_MOR - BDWY - 1+11_MOR - Gurgaon - 3+9(R)-1_Restructuring &amp; Separation" xfId="7745" xr:uid="{00000000-0005-0000-0000-0000401E0000}"/>
    <cellStyle name="_MOR - BDWY - 1+11_MOR - Gurgaon - 3+9(R)-1_Restructuring &amp; Separation_Guidance" xfId="7746" xr:uid="{00000000-0005-0000-0000-0000411E0000}"/>
    <cellStyle name="_MOR - BDWY - 1+11_MOR - Gurgaon - 3+9(R)-1_Restructuring &amp; Separation_Guidance 2" xfId="7747" xr:uid="{00000000-0005-0000-0000-0000421E0000}"/>
    <cellStyle name="_MOR - BDWY - 1+11_MOR - Gurgaon - 3+9(R)-1_Restructuring &amp; Separation_Guidance_BS retrieve" xfId="7748" xr:uid="{00000000-0005-0000-0000-0000431E0000}"/>
    <cellStyle name="_MOR - BDWY - 1+11_MOR - Gurgaon - 3+9(R)-1_Restructuring &amp; Separation_Guidance_Free CF" xfId="7749" xr:uid="{00000000-0005-0000-0000-0000441E0000}"/>
    <cellStyle name="_MOR - BDWY - 1+11_MOR - Gurgaon - 3+9(R)-1_Restructuring &amp; Separation_Guidance_P&amp;L Rec Qtr" xfId="7750" xr:uid="{00000000-0005-0000-0000-0000451E0000}"/>
    <cellStyle name="_MOR - BDWY - 1+11_MOR - Gurgaon - 3+9(R)-1_Restructuring &amp; Separation_Guidance_Sheet1" xfId="7751" xr:uid="{00000000-0005-0000-0000-0000461E0000}"/>
    <cellStyle name="_MOR - BDWY - 1+11_MOR - Gurgaon - 3+9(R)-1_Restructuring &amp; Separation_Guidance_Sheet2" xfId="7752" xr:uid="{00000000-0005-0000-0000-0000471E0000}"/>
    <cellStyle name="_MOR - BDWY - 1+11_MOR - Gurgaon - 3+9(R)-1_Restructuring &amp; Separation_Guidance_Sheet3" xfId="7753" xr:uid="{00000000-0005-0000-0000-0000481E0000}"/>
    <cellStyle name="_MOR - BDWY - 1+11_MOR - Gurgaon - 3+9(R)-1_Restructuring &amp; Separation_Guidance_Sheet4" xfId="7754" xr:uid="{00000000-0005-0000-0000-0000491E0000}"/>
    <cellStyle name="_MOR - BDWY - 1+11_MOR - Gurgaon - 3+9(R)-1_Restructuring_Separation_TAX_JuneFC2010 tf" xfId="7755" xr:uid="{00000000-0005-0000-0000-00004A1E0000}"/>
    <cellStyle name="_MOR - BDWY - 1+11_MOR - Gurgaon - 3+9(R)-1_Restructuring_Separation_TAX_JuneFC2010 tf_BS_Separation_TaxResIndem_Q12412 tf" xfId="7756" xr:uid="{00000000-0005-0000-0000-00004B1E0000}"/>
    <cellStyle name="_MOR - BDWY - 1+11_MOR - Gurgaon - 3+9(R)-1_Restructuring_Separation_TAX_JuneFC2010 tf_BS_Separation_TaxResIndem_Q12412 tf_Guidance" xfId="7757" xr:uid="{00000000-0005-0000-0000-00004C1E0000}"/>
    <cellStyle name="_MOR - BDWY - 1+11_MOR - Gurgaon - 3+9(R)-1_Restructuring_Separation_TAX_JuneFC2010 tf_BS_Separation_TaxResIndem_Q12412 tf_Guidance 2" xfId="7758" xr:uid="{00000000-0005-0000-0000-00004D1E0000}"/>
    <cellStyle name="_MOR - BDWY - 1+11_MOR - Gurgaon - 3+9(R)-1_Restructuring_Separation_TAX_JuneFC2010 tf_BS_Separation_TaxResIndem_Q12412 tf_Guidance_BS retrieve" xfId="7759" xr:uid="{00000000-0005-0000-0000-00004E1E0000}"/>
    <cellStyle name="_MOR - BDWY - 1+11_MOR - Gurgaon - 3+9(R)-1_Restructuring_Separation_TAX_JuneFC2010 tf_BS_Separation_TaxResIndem_Q12412 tf_Guidance_Free CF" xfId="7760" xr:uid="{00000000-0005-0000-0000-00004F1E0000}"/>
    <cellStyle name="_MOR - BDWY - 1+11_MOR - Gurgaon - 3+9(R)-1_Restructuring_Separation_TAX_JuneFC2010 tf_BS_Separation_TaxResIndem_Q12412 tf_Guidance_P&amp;L Rec Qtr" xfId="7761" xr:uid="{00000000-0005-0000-0000-0000501E0000}"/>
    <cellStyle name="_MOR - BDWY - 1+11_MOR - Gurgaon - 3+9(R)-1_Restructuring_Separation_TAX_JuneFC2010 tf_BS_Separation_TaxResIndem_Q12412 tf_Guidance_Sheet1" xfId="7762" xr:uid="{00000000-0005-0000-0000-0000511E0000}"/>
    <cellStyle name="_MOR - BDWY - 1+11_MOR - Gurgaon - 3+9(R)-1_Restructuring_Separation_TAX_JuneFC2010 tf_BS_Separation_TaxResIndem_Q12412 tf_Guidance_Sheet2" xfId="7763" xr:uid="{00000000-0005-0000-0000-0000521E0000}"/>
    <cellStyle name="_MOR - BDWY - 1+11_MOR - Gurgaon - 3+9(R)-1_Restructuring_Separation_TAX_JuneFC2010 tf_BS_Separation_TaxResIndem_Q12412 tf_Guidance_Sheet3" xfId="7764" xr:uid="{00000000-0005-0000-0000-0000531E0000}"/>
    <cellStyle name="_MOR - BDWY - 1+11_MOR - Gurgaon - 3+9(R)-1_Restructuring_Separation_TAX_JuneFC2010 tf_BS_Separation_TaxResIndem_Q12412 tf_Guidance_Sheet4" xfId="7765" xr:uid="{00000000-0005-0000-0000-0000541E0000}"/>
    <cellStyle name="_MOR - BDWY - 1+11_MOR - Gurgaon - 3+9(R)-1_Restructuring_Separation_TAX_JuneFC2010 tf_BS_Separation_TaxResIndem_Q12412 tf_Restructuring &amp; Separation" xfId="7766" xr:uid="{00000000-0005-0000-0000-0000551E0000}"/>
    <cellStyle name="_MOR - BDWY - 1+11_MOR - Gurgaon - 3+9(R)-1_Restructuring_Separation_TAX_JuneFC2010 tf_BS_Separation_TaxResIndem_Q12412 tf_Restructuring &amp; Separation_Guidance" xfId="7767" xr:uid="{00000000-0005-0000-0000-0000561E0000}"/>
    <cellStyle name="_MOR - BDWY - 1+11_MOR - Gurgaon - 3+9(R)-1_Restructuring_Separation_TAX_JuneFC2010 tf_BS_Separation_TaxResIndem_Q12412 tf_Restructuring &amp; Separation_Guidance 2" xfId="7768" xr:uid="{00000000-0005-0000-0000-0000571E0000}"/>
    <cellStyle name="_MOR - BDWY - 1+11_MOR - Gurgaon - 3+9(R)-1_Restructuring_Separation_TAX_JuneFC2010 tf_BS_Separation_TaxResIndem_Q12412 tf_Restructuring &amp; Separation_Guidance_BS retrieve" xfId="7769" xr:uid="{00000000-0005-0000-0000-0000581E0000}"/>
    <cellStyle name="_MOR - BDWY - 1+11_MOR - Gurgaon - 3+9(R)-1_Restructuring_Separation_TAX_JuneFC2010 tf_BS_Separation_TaxResIndem_Q12412 tf_Restructuring &amp; Separation_Guidance_Free CF" xfId="7770" xr:uid="{00000000-0005-0000-0000-0000591E0000}"/>
    <cellStyle name="_MOR - BDWY - 1+11_MOR - Gurgaon - 3+9(R)-1_Restructuring_Separation_TAX_JuneFC2010 tf_BS_Separation_TaxResIndem_Q12412 tf_Restructuring &amp; Separation_Guidance_P&amp;L Rec Qtr" xfId="7771" xr:uid="{00000000-0005-0000-0000-00005A1E0000}"/>
    <cellStyle name="_MOR - BDWY - 1+11_MOR - Gurgaon - 3+9(R)-1_Restructuring_Separation_TAX_JuneFC2010 tf_BS_Separation_TaxResIndem_Q12412 tf_Restructuring &amp; Separation_Guidance_Sheet1" xfId="7772" xr:uid="{00000000-0005-0000-0000-00005B1E0000}"/>
    <cellStyle name="_MOR - BDWY - 1+11_MOR - Gurgaon - 3+9(R)-1_Restructuring_Separation_TAX_JuneFC2010 tf_BS_Separation_TaxResIndem_Q12412 tf_Restructuring &amp; Separation_Guidance_Sheet2" xfId="7773" xr:uid="{00000000-0005-0000-0000-00005C1E0000}"/>
    <cellStyle name="_MOR - BDWY - 1+11_MOR - Gurgaon - 3+9(R)-1_Restructuring_Separation_TAX_JuneFC2010 tf_BS_Separation_TaxResIndem_Q12412 tf_Restructuring &amp; Separation_Guidance_Sheet3" xfId="7774" xr:uid="{00000000-0005-0000-0000-00005D1E0000}"/>
    <cellStyle name="_MOR - BDWY - 1+11_MOR - Gurgaon - 3+9(R)-1_Restructuring_Separation_TAX_JuneFC2010 tf_BS_Separation_TaxResIndem_Q12412 tf_Restructuring &amp; Separation_Guidance_Sheet4" xfId="7775" xr:uid="{00000000-0005-0000-0000-00005E1E0000}"/>
    <cellStyle name="_MOR - BDWY - 1+11_MOR - Gurgaon - 3+9(R)-1_Restructuring_Separation_TAX_JuneFC2010 tf_Guidance" xfId="7776" xr:uid="{00000000-0005-0000-0000-00005F1E0000}"/>
    <cellStyle name="_MOR - BDWY - 1+11_MOR - Gurgaon - 3+9(R)-1_Restructuring_Separation_TAX_JuneFC2010 tf_Guidance 2" xfId="7777" xr:uid="{00000000-0005-0000-0000-0000601E0000}"/>
    <cellStyle name="_MOR - BDWY - 1+11_MOR - Gurgaon - 3+9(R)-1_Restructuring_Separation_TAX_JuneFC2010 tf_Guidance_BS retrieve" xfId="7778" xr:uid="{00000000-0005-0000-0000-0000611E0000}"/>
    <cellStyle name="_MOR - BDWY - 1+11_MOR - Gurgaon - 3+9(R)-1_Restructuring_Separation_TAX_JuneFC2010 tf_Guidance_Free CF" xfId="7779" xr:uid="{00000000-0005-0000-0000-0000621E0000}"/>
    <cellStyle name="_MOR - BDWY - 1+11_MOR - Gurgaon - 3+9(R)-1_Restructuring_Separation_TAX_JuneFC2010 tf_Guidance_P&amp;L Rec Qtr" xfId="7780" xr:uid="{00000000-0005-0000-0000-0000631E0000}"/>
    <cellStyle name="_MOR - BDWY - 1+11_MOR - Gurgaon - 3+9(R)-1_Restructuring_Separation_TAX_JuneFC2010 tf_Guidance_Sheet1" xfId="7781" xr:uid="{00000000-0005-0000-0000-0000641E0000}"/>
    <cellStyle name="_MOR - BDWY - 1+11_MOR - Gurgaon - 3+9(R)-1_Restructuring_Separation_TAX_JuneFC2010 tf_Guidance_Sheet2" xfId="7782" xr:uid="{00000000-0005-0000-0000-0000651E0000}"/>
    <cellStyle name="_MOR - BDWY - 1+11_MOR - Gurgaon - 3+9(R)-1_Restructuring_Separation_TAX_JuneFC2010 tf_Guidance_Sheet3" xfId="7783" xr:uid="{00000000-0005-0000-0000-0000661E0000}"/>
    <cellStyle name="_MOR - BDWY - 1+11_MOR - Gurgaon - 3+9(R)-1_Restructuring_Separation_TAX_JuneFC2010 tf_Guidance_Sheet4" xfId="7784" xr:uid="{00000000-0005-0000-0000-0000671E0000}"/>
    <cellStyle name="_MOR - BDWY - 1+11_MOR - Gurgaon - 3+9(R)-1_Restructuring_Separation_TAX_JuneFC2010 tf_II.8. Sep&amp;Discrete" xfId="7785" xr:uid="{00000000-0005-0000-0000-0000681E0000}"/>
    <cellStyle name="_MOR - BDWY - 1+11_MOR - Gurgaon - 3+9(R)-1_Restructuring_Separation_TAX_JuneFC2010 tf_II.8. Sep&amp;Discrete_Guidance" xfId="7786" xr:uid="{00000000-0005-0000-0000-0000691E0000}"/>
    <cellStyle name="_MOR - BDWY - 1+11_MOR - Gurgaon - 3+9(R)-1_Restructuring_Separation_TAX_JuneFC2010 tf_II.8. Sep&amp;Discrete_Guidance 2" xfId="7787" xr:uid="{00000000-0005-0000-0000-00006A1E0000}"/>
    <cellStyle name="_MOR - BDWY - 1+11_MOR - Gurgaon - 3+9(R)-1_Restructuring_Separation_TAX_JuneFC2010 tf_II.8. Sep&amp;Discrete_Guidance_BS retrieve" xfId="7788" xr:uid="{00000000-0005-0000-0000-00006B1E0000}"/>
    <cellStyle name="_MOR - BDWY - 1+11_MOR - Gurgaon - 3+9(R)-1_Restructuring_Separation_TAX_JuneFC2010 tf_II.8. Sep&amp;Discrete_Guidance_Free CF" xfId="7789" xr:uid="{00000000-0005-0000-0000-00006C1E0000}"/>
    <cellStyle name="_MOR - BDWY - 1+11_MOR - Gurgaon - 3+9(R)-1_Restructuring_Separation_TAX_JuneFC2010 tf_II.8. Sep&amp;Discrete_Guidance_P&amp;L Rec Qtr" xfId="7790" xr:uid="{00000000-0005-0000-0000-00006D1E0000}"/>
    <cellStyle name="_MOR - BDWY - 1+11_MOR - Gurgaon - 3+9(R)-1_Restructuring_Separation_TAX_JuneFC2010 tf_II.8. Sep&amp;Discrete_Guidance_Sheet1" xfId="7791" xr:uid="{00000000-0005-0000-0000-00006E1E0000}"/>
    <cellStyle name="_MOR - BDWY - 1+11_MOR - Gurgaon - 3+9(R)-1_Restructuring_Separation_TAX_JuneFC2010 tf_II.8. Sep&amp;Discrete_Guidance_Sheet2" xfId="7792" xr:uid="{00000000-0005-0000-0000-00006F1E0000}"/>
    <cellStyle name="_MOR - BDWY - 1+11_MOR - Gurgaon - 3+9(R)-1_Restructuring_Separation_TAX_JuneFC2010 tf_II.8. Sep&amp;Discrete_Guidance_Sheet3" xfId="7793" xr:uid="{00000000-0005-0000-0000-0000701E0000}"/>
    <cellStyle name="_MOR - BDWY - 1+11_MOR - Gurgaon - 3+9(R)-1_Restructuring_Separation_TAX_JuneFC2010 tf_II.8. Sep&amp;Discrete_Guidance_Sheet4" xfId="7794" xr:uid="{00000000-0005-0000-0000-0000711E0000}"/>
    <cellStyle name="_MOR - BDWY - 1+11_MOR - Gurgaon - 3+9(R)-1_Restructuring_Separation_TAX_JuneFC2010 tf_Restructuring &amp; Separation" xfId="7795" xr:uid="{00000000-0005-0000-0000-0000721E0000}"/>
    <cellStyle name="_MOR - BDWY - 1+11_MOR - Gurgaon - 3+9(R)-1_Restructuring_Separation_TAX_JuneFC2010 tf_Restructuring &amp; Separation_Guidance" xfId="7796" xr:uid="{00000000-0005-0000-0000-0000731E0000}"/>
    <cellStyle name="_MOR - BDWY - 1+11_MOR - Gurgaon - 3+9(R)-1_Restructuring_Separation_TAX_JuneFC2010 tf_Restructuring &amp; Separation_Guidance 2" xfId="7797" xr:uid="{00000000-0005-0000-0000-0000741E0000}"/>
    <cellStyle name="_MOR - BDWY - 1+11_MOR - Gurgaon - 3+9(R)-1_Restructuring_Separation_TAX_JuneFC2010 tf_Restructuring &amp; Separation_Guidance_BS retrieve" xfId="7798" xr:uid="{00000000-0005-0000-0000-0000751E0000}"/>
    <cellStyle name="_MOR - BDWY - 1+11_MOR - Gurgaon - 3+9(R)-1_Restructuring_Separation_TAX_JuneFC2010 tf_Restructuring &amp; Separation_Guidance_Free CF" xfId="7799" xr:uid="{00000000-0005-0000-0000-0000761E0000}"/>
    <cellStyle name="_MOR - BDWY - 1+11_MOR - Gurgaon - 3+9(R)-1_Restructuring_Separation_TAX_JuneFC2010 tf_Restructuring &amp; Separation_Guidance_P&amp;L Rec Qtr" xfId="7800" xr:uid="{00000000-0005-0000-0000-0000771E0000}"/>
    <cellStyle name="_MOR - BDWY - 1+11_MOR - Gurgaon - 3+9(R)-1_Restructuring_Separation_TAX_JuneFC2010 tf_Restructuring &amp; Separation_Guidance_Sheet1" xfId="7801" xr:uid="{00000000-0005-0000-0000-0000781E0000}"/>
    <cellStyle name="_MOR - BDWY - 1+11_MOR - Gurgaon - 3+9(R)-1_Restructuring_Separation_TAX_JuneFC2010 tf_Restructuring &amp; Separation_Guidance_Sheet2" xfId="7802" xr:uid="{00000000-0005-0000-0000-0000791E0000}"/>
    <cellStyle name="_MOR - BDWY - 1+11_MOR - Gurgaon - 3+9(R)-1_Restructuring_Separation_TAX_JuneFC2010 tf_Restructuring &amp; Separation_Guidance_Sheet3" xfId="7803" xr:uid="{00000000-0005-0000-0000-00007A1E0000}"/>
    <cellStyle name="_MOR - BDWY - 1+11_MOR - Gurgaon - 3+9(R)-1_Restructuring_Separation_TAX_JuneFC2010 tf_Restructuring &amp; Separation_Guidance_Sheet4" xfId="7804" xr:uid="{00000000-0005-0000-0000-00007B1E0000}"/>
    <cellStyle name="_MOR - BDWY - 1+11_MOR - Gurgaon - 3+9(R)-1_Revised MOR Package" xfId="7805" xr:uid="{00000000-0005-0000-0000-00007C1E0000}"/>
    <cellStyle name="_MOR - BDWY - 1+11_MOR - Gurgaon - 3+9(R)-1_Revised MOR Package_~0039877" xfId="7806" xr:uid="{00000000-0005-0000-0000-00007D1E0000}"/>
    <cellStyle name="_MOR - BDWY - 1+11_MOR - Gurgaon - 3+9(R)-1_Revised MOR Package_~0039877_BS_Separation_TaxResIndem_Q12412 tf" xfId="7807" xr:uid="{00000000-0005-0000-0000-00007E1E0000}"/>
    <cellStyle name="_MOR - BDWY - 1+11_MOR - Gurgaon - 3+9(R)-1_Revised MOR Package_~0039877_BS_Separation_TaxResIndem_Q12412 tf_Guidance" xfId="7808" xr:uid="{00000000-0005-0000-0000-00007F1E0000}"/>
    <cellStyle name="_MOR - BDWY - 1+11_MOR - Gurgaon - 3+9(R)-1_Revised MOR Package_~0039877_BS_Separation_TaxResIndem_Q12412 tf_Guidance 2" xfId="7809" xr:uid="{00000000-0005-0000-0000-0000801E0000}"/>
    <cellStyle name="_MOR - BDWY - 1+11_MOR - Gurgaon - 3+9(R)-1_Revised MOR Package_~0039877_BS_Separation_TaxResIndem_Q12412 tf_Guidance_BS retrieve" xfId="7810" xr:uid="{00000000-0005-0000-0000-0000811E0000}"/>
    <cellStyle name="_MOR - BDWY - 1+11_MOR - Gurgaon - 3+9(R)-1_Revised MOR Package_~0039877_BS_Separation_TaxResIndem_Q12412 tf_Guidance_Free CF" xfId="7811" xr:uid="{00000000-0005-0000-0000-0000821E0000}"/>
    <cellStyle name="_MOR - BDWY - 1+11_MOR - Gurgaon - 3+9(R)-1_Revised MOR Package_~0039877_BS_Separation_TaxResIndem_Q12412 tf_Guidance_P&amp;L Rec Qtr" xfId="7812" xr:uid="{00000000-0005-0000-0000-0000831E0000}"/>
    <cellStyle name="_MOR - BDWY - 1+11_MOR - Gurgaon - 3+9(R)-1_Revised MOR Package_~0039877_BS_Separation_TaxResIndem_Q12412 tf_Guidance_Sheet1" xfId="7813" xr:uid="{00000000-0005-0000-0000-0000841E0000}"/>
    <cellStyle name="_MOR - BDWY - 1+11_MOR - Gurgaon - 3+9(R)-1_Revised MOR Package_~0039877_BS_Separation_TaxResIndem_Q12412 tf_Guidance_Sheet2" xfId="7814" xr:uid="{00000000-0005-0000-0000-0000851E0000}"/>
    <cellStyle name="_MOR - BDWY - 1+11_MOR - Gurgaon - 3+9(R)-1_Revised MOR Package_~0039877_BS_Separation_TaxResIndem_Q12412 tf_Guidance_Sheet3" xfId="7815" xr:uid="{00000000-0005-0000-0000-0000861E0000}"/>
    <cellStyle name="_MOR - BDWY - 1+11_MOR - Gurgaon - 3+9(R)-1_Revised MOR Package_~0039877_BS_Separation_TaxResIndem_Q12412 tf_Guidance_Sheet4" xfId="7816" xr:uid="{00000000-0005-0000-0000-0000871E0000}"/>
    <cellStyle name="_MOR - BDWY - 1+11_MOR - Gurgaon - 3+9(R)-1_Revised MOR Package_~0039877_BS_Separation_TaxResIndem_Q12412 tf_Restructuring &amp; Separation" xfId="7817" xr:uid="{00000000-0005-0000-0000-0000881E0000}"/>
    <cellStyle name="_MOR - BDWY - 1+11_MOR - Gurgaon - 3+9(R)-1_Revised MOR Package_~0039877_BS_Separation_TaxResIndem_Q12412 tf_Restructuring &amp; Separation_Guidance" xfId="7818" xr:uid="{00000000-0005-0000-0000-0000891E0000}"/>
    <cellStyle name="_MOR - BDWY - 1+11_MOR - Gurgaon - 3+9(R)-1_Revised MOR Package_~0039877_BS_Separation_TaxResIndem_Q12412 tf_Restructuring &amp; Separation_Guidance 2" xfId="7819" xr:uid="{00000000-0005-0000-0000-00008A1E0000}"/>
    <cellStyle name="_MOR - BDWY - 1+11_MOR - Gurgaon - 3+9(R)-1_Revised MOR Package_~0039877_BS_Separation_TaxResIndem_Q12412 tf_Restructuring &amp; Separation_Guidance_BS retrieve" xfId="7820" xr:uid="{00000000-0005-0000-0000-00008B1E0000}"/>
    <cellStyle name="_MOR - BDWY - 1+11_MOR - Gurgaon - 3+9(R)-1_Revised MOR Package_~0039877_BS_Separation_TaxResIndem_Q12412 tf_Restructuring &amp; Separation_Guidance_Free CF" xfId="7821" xr:uid="{00000000-0005-0000-0000-00008C1E0000}"/>
    <cellStyle name="_MOR - BDWY - 1+11_MOR - Gurgaon - 3+9(R)-1_Revised MOR Package_~0039877_BS_Separation_TaxResIndem_Q12412 tf_Restructuring &amp; Separation_Guidance_P&amp;L Rec Qtr" xfId="7822" xr:uid="{00000000-0005-0000-0000-00008D1E0000}"/>
    <cellStyle name="_MOR - BDWY - 1+11_MOR - Gurgaon - 3+9(R)-1_Revised MOR Package_~0039877_BS_Separation_TaxResIndem_Q12412 tf_Restructuring &amp; Separation_Guidance_Sheet1" xfId="7823" xr:uid="{00000000-0005-0000-0000-00008E1E0000}"/>
    <cellStyle name="_MOR - BDWY - 1+11_MOR - Gurgaon - 3+9(R)-1_Revised MOR Package_~0039877_BS_Separation_TaxResIndem_Q12412 tf_Restructuring &amp; Separation_Guidance_Sheet2" xfId="7824" xr:uid="{00000000-0005-0000-0000-00008F1E0000}"/>
    <cellStyle name="_MOR - BDWY - 1+11_MOR - Gurgaon - 3+9(R)-1_Revised MOR Package_~0039877_BS_Separation_TaxResIndem_Q12412 tf_Restructuring &amp; Separation_Guidance_Sheet3" xfId="7825" xr:uid="{00000000-0005-0000-0000-0000901E0000}"/>
    <cellStyle name="_MOR - BDWY - 1+11_MOR - Gurgaon - 3+9(R)-1_Revised MOR Package_~0039877_BS_Separation_TaxResIndem_Q12412 tf_Restructuring &amp; Separation_Guidance_Sheet4" xfId="7826" xr:uid="{00000000-0005-0000-0000-0000911E0000}"/>
    <cellStyle name="_MOR - BDWY - 1+11_MOR - Gurgaon - 3+9(R)-1_Revised MOR Package_~0039877_By Country Detail 1Q10 041410pm FIN 18 revised per disc w Mary" xfId="7827" xr:uid="{00000000-0005-0000-0000-0000921E0000}"/>
    <cellStyle name="_MOR - BDWY - 1+11_MOR - Gurgaon - 3+9(R)-1_Revised MOR Package_~0039877_By Country Detail 1Q10 041410pm FIN 18 revised per disc w Mary_BS_Separation_TaxResIndem_Q12412 tf" xfId="7828" xr:uid="{00000000-0005-0000-0000-0000931E0000}"/>
    <cellStyle name="_MOR - BDWY - 1+11_MOR - Gurgaon - 3+9(R)-1_Revised MOR Package_~0039877_By Country Detail 1Q10 041410pm FIN 18 revised per disc w Mary_BS_Separation_TaxResIndem_Q12412 tf_Guidance" xfId="7829" xr:uid="{00000000-0005-0000-0000-0000941E0000}"/>
    <cellStyle name="_MOR - BDWY - 1+11_MOR - Gurgaon - 3+9(R)-1_Revised MOR Package_~0039877_By Country Detail 1Q10 041410pm FIN 18 revised per disc w Mary_BS_Separation_TaxResIndem_Q12412 tf_Guidance 2" xfId="7830" xr:uid="{00000000-0005-0000-0000-0000951E0000}"/>
    <cellStyle name="_MOR - BDWY - 1+11_MOR - Gurgaon - 3+9(R)-1_Revised MOR Package_~0039877_By Country Detail 1Q10 041410pm FIN 18 revised per disc w Mary_BS_Separation_TaxResIndem_Q12412 tf_Guidance_BS retrieve" xfId="7831" xr:uid="{00000000-0005-0000-0000-0000961E0000}"/>
    <cellStyle name="_MOR - BDWY - 1+11_MOR - Gurgaon - 3+9(R)-1_Revised MOR Package_~0039877_By Country Detail 1Q10 041410pm FIN 18 revised per disc w Mary_BS_Separation_TaxResIndem_Q12412 tf_Guidance_Free CF" xfId="7832" xr:uid="{00000000-0005-0000-0000-0000971E0000}"/>
    <cellStyle name="_MOR - BDWY - 1+11_MOR - Gurgaon - 3+9(R)-1_Revised MOR Package_~0039877_By Country Detail 1Q10 041410pm FIN 18 revised per disc w Mary_BS_Separation_TaxResIndem_Q12412 tf_Guidance_P&amp;L Rec Qtr" xfId="7833" xr:uid="{00000000-0005-0000-0000-0000981E0000}"/>
    <cellStyle name="_MOR - BDWY - 1+11_MOR - Gurgaon - 3+9(R)-1_Revised MOR Package_~0039877_By Country Detail 1Q10 041410pm FIN 18 revised per disc w Mary_BS_Separation_TaxResIndem_Q12412 tf_Guidance_Sheet1" xfId="7834" xr:uid="{00000000-0005-0000-0000-0000991E0000}"/>
    <cellStyle name="_MOR - BDWY - 1+11_MOR - Gurgaon - 3+9(R)-1_Revised MOR Package_~0039877_By Country Detail 1Q10 041410pm FIN 18 revised per disc w Mary_BS_Separation_TaxResIndem_Q12412 tf_Guidance_Sheet2" xfId="7835" xr:uid="{00000000-0005-0000-0000-00009A1E0000}"/>
    <cellStyle name="_MOR - BDWY - 1+11_MOR - Gurgaon - 3+9(R)-1_Revised MOR Package_~0039877_By Country Detail 1Q10 041410pm FIN 18 revised per disc w Mary_BS_Separation_TaxResIndem_Q12412 tf_Guidance_Sheet3" xfId="7836" xr:uid="{00000000-0005-0000-0000-00009B1E0000}"/>
    <cellStyle name="_MOR - BDWY - 1+11_MOR - Gurgaon - 3+9(R)-1_Revised MOR Package_~0039877_By Country Detail 1Q10 041410pm FIN 18 revised per disc w Mary_BS_Separation_TaxResIndem_Q12412 tf_Guidance_Sheet4" xfId="7837" xr:uid="{00000000-0005-0000-0000-00009C1E0000}"/>
    <cellStyle name="_MOR - BDWY - 1+11_MOR - Gurgaon - 3+9(R)-1_Revised MOR Package_~0039877_By Country Detail 1Q10 041410pm FIN 18 revised per disc w Mary_BS_Separation_TaxResIndem_Q12412 tf_Restructuring &amp; Separation" xfId="7838" xr:uid="{00000000-0005-0000-0000-00009D1E0000}"/>
    <cellStyle name="_MOR - BDWY - 1+11_MOR - Gurgaon - 3+9(R)-1_Revised MOR Package_~0039877_By Country Detail 1Q10 041410pm FIN 18 revised per disc w Mary_Guidance" xfId="7839" xr:uid="{00000000-0005-0000-0000-00009E1E0000}"/>
    <cellStyle name="_MOR - BDWY - 1+11_MOR - Gurgaon - 3+9(R)-1_Revised MOR Package_~0039877_By Country Detail 1Q10 041410pm FIN 18 revised per disc w Mary_Guidance 2" xfId="7840" xr:uid="{00000000-0005-0000-0000-00009F1E0000}"/>
    <cellStyle name="_MOR - BDWY - 1+11_MOR - Gurgaon - 3+9(R)-1_Revised MOR Package_~0039877_By Country Detail 1Q10 041410pm FIN 18 revised per disc w Mary_Guidance_BS retrieve" xfId="7841" xr:uid="{00000000-0005-0000-0000-0000A01E0000}"/>
    <cellStyle name="_MOR - BDWY - 1+11_MOR - Gurgaon - 3+9(R)-1_Revised MOR Package_~0039877_By Country Detail 1Q10 041410pm FIN 18 revised per disc w Mary_Guidance_Free CF" xfId="7842" xr:uid="{00000000-0005-0000-0000-0000A11E0000}"/>
    <cellStyle name="_MOR - BDWY - 1+11_MOR - Gurgaon - 3+9(R)-1_Revised MOR Package_~0039877_By Country Detail 1Q10 041410pm FIN 18 revised per disc w Mary_Guidance_P&amp;L Rec Qtr" xfId="7843" xr:uid="{00000000-0005-0000-0000-0000A21E0000}"/>
    <cellStyle name="_MOR - BDWY - 1+11_MOR - Gurgaon - 3+9(R)-1_Revised MOR Package_~0039877_By Country Detail 1Q10 041410pm FIN 18 revised per disc w Mary_Guidance_Sheet1" xfId="7844" xr:uid="{00000000-0005-0000-0000-0000A31E0000}"/>
    <cellStyle name="_MOR - BDWY - 1+11_MOR - Gurgaon - 3+9(R)-1_Revised MOR Package_~0039877_By Country Detail 1Q10 041410pm FIN 18 revised per disc w Mary_Guidance_Sheet2" xfId="7845" xr:uid="{00000000-0005-0000-0000-0000A41E0000}"/>
    <cellStyle name="_MOR - BDWY - 1+11_MOR - Gurgaon - 3+9(R)-1_Revised MOR Package_~0039877_By Country Detail 1Q10 041410pm FIN 18 revised per disc w Mary_Guidance_Sheet3" xfId="7846" xr:uid="{00000000-0005-0000-0000-0000A51E0000}"/>
    <cellStyle name="_MOR - BDWY - 1+11_MOR - Gurgaon - 3+9(R)-1_Revised MOR Package_~0039877_By Country Detail 1Q10 041410pm FIN 18 revised per disc w Mary_Guidance_Sheet4" xfId="7847" xr:uid="{00000000-0005-0000-0000-0000A61E0000}"/>
    <cellStyle name="_MOR - BDWY - 1+11_MOR - Gurgaon - 3+9(R)-1_Revised MOR Package_~0039877_By Country Detail 1Q10 041410pm FIN 18 revised per disc w Mary_II.8. Sep&amp;Discrete" xfId="7848" xr:uid="{00000000-0005-0000-0000-0000A71E0000}"/>
    <cellStyle name="_MOR - BDWY - 1+11_MOR - Gurgaon - 3+9(R)-1_Revised MOR Package_~0039877_By Country Detail 1Q10 041410pm FIN 18 revised per disc w Mary_Restructuring &amp; Separation" xfId="7849" xr:uid="{00000000-0005-0000-0000-0000A81E0000}"/>
    <cellStyle name="_MOR - BDWY - 1+11_MOR - Gurgaon - 3+9(R)-1_Revised MOR Package_~0039877_Guidance" xfId="7850" xr:uid="{00000000-0005-0000-0000-0000A91E0000}"/>
    <cellStyle name="_MOR - BDWY - 1+11_MOR - Gurgaon - 3+9(R)-1_Revised MOR Package_~0039877_Guidance 2" xfId="7851" xr:uid="{00000000-0005-0000-0000-0000AA1E0000}"/>
    <cellStyle name="_MOR - BDWY - 1+11_MOR - Gurgaon - 3+9(R)-1_Revised MOR Package_~0039877_Guidance_BS retrieve" xfId="7852" xr:uid="{00000000-0005-0000-0000-0000AB1E0000}"/>
    <cellStyle name="_MOR - BDWY - 1+11_MOR - Gurgaon - 3+9(R)-1_Revised MOR Package_~0039877_Guidance_Free CF" xfId="7853" xr:uid="{00000000-0005-0000-0000-0000AC1E0000}"/>
    <cellStyle name="_MOR - BDWY - 1+11_MOR - Gurgaon - 3+9(R)-1_Revised MOR Package_~0039877_Guidance_P&amp;L Rec Qtr" xfId="7854" xr:uid="{00000000-0005-0000-0000-0000AD1E0000}"/>
    <cellStyle name="_MOR - BDWY - 1+11_MOR - Gurgaon - 3+9(R)-1_Revised MOR Package_~0039877_Guidance_Sheet1" xfId="7855" xr:uid="{00000000-0005-0000-0000-0000AE1E0000}"/>
    <cellStyle name="_MOR - BDWY - 1+11_MOR - Gurgaon - 3+9(R)-1_Revised MOR Package_~0039877_Guidance_Sheet2" xfId="7856" xr:uid="{00000000-0005-0000-0000-0000AF1E0000}"/>
    <cellStyle name="_MOR - BDWY - 1+11_MOR - Gurgaon - 3+9(R)-1_Revised MOR Package_~0039877_Guidance_Sheet3" xfId="7857" xr:uid="{00000000-0005-0000-0000-0000B01E0000}"/>
    <cellStyle name="_MOR - BDWY - 1+11_MOR - Gurgaon - 3+9(R)-1_Revised MOR Package_~0039877_Guidance_Sheet4" xfId="7858" xr:uid="{00000000-0005-0000-0000-0000B11E0000}"/>
    <cellStyle name="_MOR - BDWY - 1+11_MOR - Gurgaon - 3+9(R)-1_Revised MOR Package_~0039877_II.4. RawMaterials" xfId="7859" xr:uid="{00000000-0005-0000-0000-0000B21E0000}"/>
    <cellStyle name="_MOR - BDWY - 1+11_MOR - Gurgaon - 3+9(R)-1_Revised MOR Package_~0039877_II.4. RawMaterials 2" xfId="7860" xr:uid="{00000000-0005-0000-0000-0000B31E0000}"/>
    <cellStyle name="_MOR - BDWY - 1+11_MOR - Gurgaon - 3+9(R)-1_Revised MOR Package_~0039877_II.4. RawMaterials_BS retrieve" xfId="7861" xr:uid="{00000000-0005-0000-0000-0000B41E0000}"/>
    <cellStyle name="_MOR - BDWY - 1+11_MOR - Gurgaon - 3+9(R)-1_Revised MOR Package_~0039877_II.4. RawMaterials_Free CF" xfId="7862" xr:uid="{00000000-0005-0000-0000-0000B51E0000}"/>
    <cellStyle name="_MOR - BDWY - 1+11_MOR - Gurgaon - 3+9(R)-1_Revised MOR Package_~0039877_II.4. RawMaterials_P&amp;L Rec Qtr" xfId="7863" xr:uid="{00000000-0005-0000-0000-0000B61E0000}"/>
    <cellStyle name="_MOR - BDWY - 1+11_MOR - Gurgaon - 3+9(R)-1_Revised MOR Package_~0039877_II.4. RawMaterials_Sheet1" xfId="7864" xr:uid="{00000000-0005-0000-0000-0000B71E0000}"/>
    <cellStyle name="_MOR - BDWY - 1+11_MOR - Gurgaon - 3+9(R)-1_Revised MOR Package_~0039877_II.4. RawMaterials_Sheet2" xfId="7865" xr:uid="{00000000-0005-0000-0000-0000B81E0000}"/>
    <cellStyle name="_MOR - BDWY - 1+11_MOR - Gurgaon - 3+9(R)-1_Revised MOR Package_~0039877_II.4. RawMaterials_Sheet3" xfId="7866" xr:uid="{00000000-0005-0000-0000-0000B91E0000}"/>
    <cellStyle name="_MOR - BDWY - 1+11_MOR - Gurgaon - 3+9(R)-1_Revised MOR Package_~0039877_II.4. RawMaterials_Sheet4" xfId="7867" xr:uid="{00000000-0005-0000-0000-0000BA1E0000}"/>
    <cellStyle name="_MOR - BDWY - 1+11_MOR - Gurgaon - 3+9(R)-1_Revised MOR Package_~0039877_II.5. RawMaterials" xfId="7868" xr:uid="{00000000-0005-0000-0000-0000BB1E0000}"/>
    <cellStyle name="_MOR - BDWY - 1+11_MOR - Gurgaon - 3+9(R)-1_Revised MOR Package_~0039877_II.5. RawMaterials 2" xfId="7869" xr:uid="{00000000-0005-0000-0000-0000BC1E0000}"/>
    <cellStyle name="_MOR - BDWY - 1+11_MOR - Gurgaon - 3+9(R)-1_Revised MOR Package_~0039877_II.5. RawMaterials_BS retrieve" xfId="7870" xr:uid="{00000000-0005-0000-0000-0000BD1E0000}"/>
    <cellStyle name="_MOR - BDWY - 1+11_MOR - Gurgaon - 3+9(R)-1_Revised MOR Package_~0039877_II.5. RawMaterials_Free CF" xfId="7871" xr:uid="{00000000-0005-0000-0000-0000BE1E0000}"/>
    <cellStyle name="_MOR - BDWY - 1+11_MOR - Gurgaon - 3+9(R)-1_Revised MOR Package_~0039877_II.5. RawMaterials_P&amp;L Rec Qtr" xfId="7872" xr:uid="{00000000-0005-0000-0000-0000BF1E0000}"/>
    <cellStyle name="_MOR - BDWY - 1+11_MOR - Gurgaon - 3+9(R)-1_Revised MOR Package_~0039877_II.5. RawMaterials_Sheet1" xfId="7873" xr:uid="{00000000-0005-0000-0000-0000C01E0000}"/>
    <cellStyle name="_MOR - BDWY - 1+11_MOR - Gurgaon - 3+9(R)-1_Revised MOR Package_~0039877_II.5. RawMaterials_Sheet2" xfId="7874" xr:uid="{00000000-0005-0000-0000-0000C11E0000}"/>
    <cellStyle name="_MOR - BDWY - 1+11_MOR - Gurgaon - 3+9(R)-1_Revised MOR Package_~0039877_II.5. RawMaterials_Sheet3" xfId="7875" xr:uid="{00000000-0005-0000-0000-0000C21E0000}"/>
    <cellStyle name="_MOR - BDWY - 1+11_MOR - Gurgaon - 3+9(R)-1_Revised MOR Package_~0039877_II.5. RawMaterials_Sheet4" xfId="7876" xr:uid="{00000000-0005-0000-0000-0000C31E0000}"/>
    <cellStyle name="_MOR - BDWY - 1+11_MOR - Gurgaon - 3+9(R)-1_Revised MOR Package_~0039877_II.5. RM Volume Sensitivities" xfId="7877" xr:uid="{00000000-0005-0000-0000-0000C41E0000}"/>
    <cellStyle name="_MOR - BDWY - 1+11_MOR - Gurgaon - 3+9(R)-1_Revised MOR Package_~0039877_II.5. RM Volume Sensitivities 2" xfId="7878" xr:uid="{00000000-0005-0000-0000-0000C51E0000}"/>
    <cellStyle name="_MOR - BDWY - 1+11_MOR - Gurgaon - 3+9(R)-1_Revised MOR Package_~0039877_II.5. RM Volume Sensitivities_BS retrieve" xfId="7879" xr:uid="{00000000-0005-0000-0000-0000C61E0000}"/>
    <cellStyle name="_MOR - BDWY - 1+11_MOR - Gurgaon - 3+9(R)-1_Revised MOR Package_~0039877_II.5. RM Volume Sensitivities_Free CF" xfId="7880" xr:uid="{00000000-0005-0000-0000-0000C71E0000}"/>
    <cellStyle name="_MOR - BDWY - 1+11_MOR - Gurgaon - 3+9(R)-1_Revised MOR Package_~0039877_II.5. RM Volume Sensitivities_P&amp;L Rec Qtr" xfId="7881" xr:uid="{00000000-0005-0000-0000-0000C81E0000}"/>
    <cellStyle name="_MOR - BDWY - 1+11_MOR - Gurgaon - 3+9(R)-1_Revised MOR Package_~0039877_II.5. RM Volume Sensitivities_Sheet1" xfId="7882" xr:uid="{00000000-0005-0000-0000-0000C91E0000}"/>
    <cellStyle name="_MOR - BDWY - 1+11_MOR - Gurgaon - 3+9(R)-1_Revised MOR Package_~0039877_II.5. RM Volume Sensitivities_Sheet2" xfId="7883" xr:uid="{00000000-0005-0000-0000-0000CA1E0000}"/>
    <cellStyle name="_MOR - BDWY - 1+11_MOR - Gurgaon - 3+9(R)-1_Revised MOR Package_~0039877_II.5. RM Volume Sensitivities_Sheet3" xfId="7884" xr:uid="{00000000-0005-0000-0000-0000CB1E0000}"/>
    <cellStyle name="_MOR - BDWY - 1+11_MOR - Gurgaon - 3+9(R)-1_Revised MOR Package_~0039877_II.5. RM Volume Sensitivities_Sheet4" xfId="7885" xr:uid="{00000000-0005-0000-0000-0000CC1E0000}"/>
    <cellStyle name="_MOR - BDWY - 1+11_MOR - Gurgaon - 3+9(R)-1_Revised MOR Package_~0039877_II.8. Sep&amp;Discrete" xfId="7886" xr:uid="{00000000-0005-0000-0000-0000CD1E0000}"/>
    <cellStyle name="_MOR - BDWY - 1+11_MOR - Gurgaon - 3+9(R)-1_Revised MOR Package_~0039877_Restructuring &amp; Separation" xfId="7887" xr:uid="{00000000-0005-0000-0000-0000CE1E0000}"/>
    <cellStyle name="_MOR - BDWY - 1+11_MOR - Gurgaon - 3+9(R)-1_Revised MOR Package_~0039877_Restructuring_Separation_TAX_JuneFC2010 tf" xfId="7888" xr:uid="{00000000-0005-0000-0000-0000CF1E0000}"/>
    <cellStyle name="_MOR - BDWY - 1+11_MOR - Gurgaon - 3+9(R)-1_Revised MOR Package_~0039877_Restructuring_Separation_TAX_JuneFC2010 tf_BS_Separation_TaxResIndem_Q12412 tf" xfId="7889" xr:uid="{00000000-0005-0000-0000-0000D01E0000}"/>
    <cellStyle name="_MOR - BDWY - 1+11_MOR - Gurgaon - 3+9(R)-1_Revised MOR Package_~0039877_Restructuring_Separation_TAX_JuneFC2010 tf_BS_Separation_TaxResIndem_Q12412 tf_Restructuring &amp; Separation" xfId="7890" xr:uid="{00000000-0005-0000-0000-0000D11E0000}"/>
    <cellStyle name="_MOR - BDWY - 1+11_MOR - Gurgaon - 3+9(R)-1_Revised MOR Package_~0039877_Restructuring_Separation_TAX_JuneFC2010 tf_II.8. Sep&amp;Discrete" xfId="7891" xr:uid="{00000000-0005-0000-0000-0000D21E0000}"/>
    <cellStyle name="_MOR - BDWY - 1+11_MOR - Gurgaon - 3+9(R)-1_Revised MOR Package_~0039877_Restructuring_Separation_TAX_JuneFC2010 tf_Restructuring &amp; Separation" xfId="7892" xr:uid="{00000000-0005-0000-0000-0000D31E0000}"/>
    <cellStyle name="_MOR - BDWY - 1+11_MOR - Gurgaon - 3+9(R)-1_Revised MOR Package_BS_Separation_TaxResIndem_Q12412 tf" xfId="7893" xr:uid="{00000000-0005-0000-0000-0000D41E0000}"/>
    <cellStyle name="_MOR - BDWY - 1+11_MOR - Gurgaon - 3+9(R)-1_Revised MOR Package_BS_Separation_TaxResIndem_Q12412 tf_Restructuring &amp; Separation" xfId="7894" xr:uid="{00000000-0005-0000-0000-0000D51E0000}"/>
    <cellStyle name="_MOR - BDWY - 1+11_MOR - Gurgaon - 3+9(R)-1_Revised MOR Package_By Country Detail 1Q10 041410pm FIN 18 revised per disc w Mary" xfId="7895" xr:uid="{00000000-0005-0000-0000-0000D61E0000}"/>
    <cellStyle name="_MOR - BDWY - 1+11_MOR - Gurgaon - 3+9(R)-1_Revised MOR Package_By Country Detail 1Q10 041410pm FIN 18 revised per disc w Mary_BS_Separation_TaxResIndem_Q12412 tf" xfId="7896" xr:uid="{00000000-0005-0000-0000-0000D71E0000}"/>
    <cellStyle name="_MOR - BDWY - 1+11_MOR - Gurgaon - 3+9(R)-1_Revised MOR Package_By Country Detail 1Q10 041410pm FIN 18 revised per disc w Mary_BS_Separation_TaxResIndem_Q12412 tf_Restructuring &amp; Separation" xfId="7897" xr:uid="{00000000-0005-0000-0000-0000D81E0000}"/>
    <cellStyle name="_MOR - BDWY - 1+11_MOR - Gurgaon - 3+9(R)-1_Revised MOR Package_By Country Detail 1Q10 041410pm FIN 18 revised per disc w Mary_II.8. Sep&amp;Discrete" xfId="7898" xr:uid="{00000000-0005-0000-0000-0000D91E0000}"/>
    <cellStyle name="_MOR - BDWY - 1+11_MOR - Gurgaon - 3+9(R)-1_Revised MOR Package_By Country Detail 1Q10 041410pm FIN 18 revised per disc w Mary_Restructuring &amp; Separation" xfId="7899" xr:uid="{00000000-0005-0000-0000-0000DA1E0000}"/>
    <cellStyle name="_MOR - BDWY - 1+11_MOR - Gurgaon - 3+9(R)-1_Revised MOR Package_Guidance" xfId="7900" xr:uid="{00000000-0005-0000-0000-0000DB1E0000}"/>
    <cellStyle name="_MOR - BDWY - 1+11_MOR - Gurgaon - 3+9(R)-1_Revised MOR Package_Guidance 2" xfId="7901" xr:uid="{00000000-0005-0000-0000-0000DC1E0000}"/>
    <cellStyle name="_MOR - BDWY - 1+11_MOR - Gurgaon - 3+9(R)-1_Revised MOR Package_Guidance_BS retrieve" xfId="7902" xr:uid="{00000000-0005-0000-0000-0000DD1E0000}"/>
    <cellStyle name="_MOR - BDWY - 1+11_MOR - Gurgaon - 3+9(R)-1_Revised MOR Package_Guidance_Free CF" xfId="7903" xr:uid="{00000000-0005-0000-0000-0000DE1E0000}"/>
    <cellStyle name="_MOR - BDWY - 1+11_MOR - Gurgaon - 3+9(R)-1_Revised MOR Package_Guidance_P&amp;L Rec Qtr" xfId="7904" xr:uid="{00000000-0005-0000-0000-0000DF1E0000}"/>
    <cellStyle name="_MOR - BDWY - 1+11_MOR - Gurgaon - 3+9(R)-1_Revised MOR Package_Guidance_Sheet1" xfId="7905" xr:uid="{00000000-0005-0000-0000-0000E01E0000}"/>
    <cellStyle name="_MOR - BDWY - 1+11_MOR - Gurgaon - 3+9(R)-1_Revised MOR Package_Guidance_Sheet2" xfId="7906" xr:uid="{00000000-0005-0000-0000-0000E11E0000}"/>
    <cellStyle name="_MOR - BDWY - 1+11_MOR - Gurgaon - 3+9(R)-1_Revised MOR Package_Guidance_Sheet3" xfId="7907" xr:uid="{00000000-0005-0000-0000-0000E21E0000}"/>
    <cellStyle name="_MOR - BDWY - 1+11_MOR - Gurgaon - 3+9(R)-1_Revised MOR Package_Guidance_Sheet4" xfId="7908" xr:uid="{00000000-0005-0000-0000-0000E31E0000}"/>
    <cellStyle name="_MOR - BDWY - 1+11_MOR - Gurgaon - 3+9(R)-1_Revised MOR Package_II.4. RawMaterials" xfId="7909" xr:uid="{00000000-0005-0000-0000-0000E41E0000}"/>
    <cellStyle name="_MOR - BDWY - 1+11_MOR - Gurgaon - 3+9(R)-1_Revised MOR Package_II.4. RawMaterials 2" xfId="7910" xr:uid="{00000000-0005-0000-0000-0000E51E0000}"/>
    <cellStyle name="_MOR - BDWY - 1+11_MOR - Gurgaon - 3+9(R)-1_Revised MOR Package_II.4. RawMaterials_BS retrieve" xfId="7911" xr:uid="{00000000-0005-0000-0000-0000E61E0000}"/>
    <cellStyle name="_MOR - BDWY - 1+11_MOR - Gurgaon - 3+9(R)-1_Revised MOR Package_II.4. RawMaterials_Free CF" xfId="7912" xr:uid="{00000000-0005-0000-0000-0000E71E0000}"/>
    <cellStyle name="_MOR - BDWY - 1+11_MOR - Gurgaon - 3+9(R)-1_Revised MOR Package_II.4. RawMaterials_P&amp;L Rec Qtr" xfId="7913" xr:uid="{00000000-0005-0000-0000-0000E81E0000}"/>
    <cellStyle name="_MOR - BDWY - 1+11_MOR - Gurgaon - 3+9(R)-1_Revised MOR Package_II.4. RawMaterials_Sheet1" xfId="7914" xr:uid="{00000000-0005-0000-0000-0000E91E0000}"/>
    <cellStyle name="_MOR - BDWY - 1+11_MOR - Gurgaon - 3+9(R)-1_Revised MOR Package_II.4. RawMaterials_Sheet2" xfId="7915" xr:uid="{00000000-0005-0000-0000-0000EA1E0000}"/>
    <cellStyle name="_MOR - BDWY - 1+11_MOR - Gurgaon - 3+9(R)-1_Revised MOR Package_II.4. RawMaterials_Sheet3" xfId="7916" xr:uid="{00000000-0005-0000-0000-0000EB1E0000}"/>
    <cellStyle name="_MOR - BDWY - 1+11_MOR - Gurgaon - 3+9(R)-1_Revised MOR Package_II.4. RawMaterials_Sheet4" xfId="7917" xr:uid="{00000000-0005-0000-0000-0000EC1E0000}"/>
    <cellStyle name="_MOR - BDWY - 1+11_MOR - Gurgaon - 3+9(R)-1_Revised MOR Package_II.5. RawMaterials" xfId="7918" xr:uid="{00000000-0005-0000-0000-0000ED1E0000}"/>
    <cellStyle name="_MOR - BDWY - 1+11_MOR - Gurgaon - 3+9(R)-1_Revised MOR Package_II.5. RawMaterials 2" xfId="7919" xr:uid="{00000000-0005-0000-0000-0000EE1E0000}"/>
    <cellStyle name="_MOR - BDWY - 1+11_MOR - Gurgaon - 3+9(R)-1_Revised MOR Package_II.5. RawMaterials_BS retrieve" xfId="7920" xr:uid="{00000000-0005-0000-0000-0000EF1E0000}"/>
    <cellStyle name="_MOR - BDWY - 1+11_MOR - Gurgaon - 3+9(R)-1_Revised MOR Package_II.5. RawMaterials_Free CF" xfId="7921" xr:uid="{00000000-0005-0000-0000-0000F01E0000}"/>
    <cellStyle name="_MOR - BDWY - 1+11_MOR - Gurgaon - 3+9(R)-1_Revised MOR Package_II.5. RawMaterials_P&amp;L Rec Qtr" xfId="7922" xr:uid="{00000000-0005-0000-0000-0000F11E0000}"/>
    <cellStyle name="_MOR - BDWY - 1+11_MOR - Gurgaon - 3+9(R)-1_Revised MOR Package_II.5. RawMaterials_Sheet1" xfId="7923" xr:uid="{00000000-0005-0000-0000-0000F21E0000}"/>
    <cellStyle name="_MOR - BDWY - 1+11_MOR - Gurgaon - 3+9(R)-1_Revised MOR Package_II.5. RawMaterials_Sheet2" xfId="7924" xr:uid="{00000000-0005-0000-0000-0000F31E0000}"/>
    <cellStyle name="_MOR - BDWY - 1+11_MOR - Gurgaon - 3+9(R)-1_Revised MOR Package_II.5. RawMaterials_Sheet3" xfId="7925" xr:uid="{00000000-0005-0000-0000-0000F41E0000}"/>
    <cellStyle name="_MOR - BDWY - 1+11_MOR - Gurgaon - 3+9(R)-1_Revised MOR Package_II.5. RawMaterials_Sheet4" xfId="7926" xr:uid="{00000000-0005-0000-0000-0000F51E0000}"/>
    <cellStyle name="_MOR - BDWY - 1+11_MOR - Gurgaon - 3+9(R)-1_Revised MOR Package_II.5. RM Volume Sensitivities" xfId="7927" xr:uid="{00000000-0005-0000-0000-0000F61E0000}"/>
    <cellStyle name="_MOR - BDWY - 1+11_MOR - Gurgaon - 3+9(R)-1_Revised MOR Package_II.5. RM Volume Sensitivities 2" xfId="7928" xr:uid="{00000000-0005-0000-0000-0000F71E0000}"/>
    <cellStyle name="_MOR - BDWY - 1+11_MOR - Gurgaon - 3+9(R)-1_Revised MOR Package_II.5. RM Volume Sensitivities_BS retrieve" xfId="7929" xr:uid="{00000000-0005-0000-0000-0000F81E0000}"/>
    <cellStyle name="_MOR - BDWY - 1+11_MOR - Gurgaon - 3+9(R)-1_Revised MOR Package_II.5. RM Volume Sensitivities_Free CF" xfId="7930" xr:uid="{00000000-0005-0000-0000-0000F91E0000}"/>
    <cellStyle name="_MOR - BDWY - 1+11_MOR - Gurgaon - 3+9(R)-1_Revised MOR Package_II.5. RM Volume Sensitivities_P&amp;L Rec Qtr" xfId="7931" xr:uid="{00000000-0005-0000-0000-0000FA1E0000}"/>
    <cellStyle name="_MOR - BDWY - 1+11_MOR - Gurgaon - 3+9(R)-1_Revised MOR Package_II.5. RM Volume Sensitivities_Sheet1" xfId="7932" xr:uid="{00000000-0005-0000-0000-0000FB1E0000}"/>
    <cellStyle name="_MOR - BDWY - 1+11_MOR - Gurgaon - 3+9(R)-1_Revised MOR Package_II.5. RM Volume Sensitivities_Sheet2" xfId="7933" xr:uid="{00000000-0005-0000-0000-0000FC1E0000}"/>
    <cellStyle name="_MOR - BDWY - 1+11_MOR - Gurgaon - 3+9(R)-1_Revised MOR Package_II.5. RM Volume Sensitivities_Sheet3" xfId="7934" xr:uid="{00000000-0005-0000-0000-0000FD1E0000}"/>
    <cellStyle name="_MOR - BDWY - 1+11_MOR - Gurgaon - 3+9(R)-1_Revised MOR Package_II.5. RM Volume Sensitivities_Sheet4" xfId="7935" xr:uid="{00000000-0005-0000-0000-0000FE1E0000}"/>
    <cellStyle name="_MOR - BDWY - 1+11_MOR - Gurgaon - 3+9(R)-1_Revised MOR Package_II.8. Sep&amp;Discrete" xfId="7936" xr:uid="{00000000-0005-0000-0000-0000FF1E0000}"/>
    <cellStyle name="_MOR - BDWY - 1+11_MOR - Gurgaon - 3+9(R)-1_Revised MOR Package_Restructuring &amp; Separation" xfId="7937" xr:uid="{00000000-0005-0000-0000-0000001F0000}"/>
    <cellStyle name="_MOR - BDWY - 1+11_MOR - Gurgaon - 3+9(R)-1_Revised MOR Package_Restructuring_Separation_TAX_JuneFC2010 tf" xfId="7938" xr:uid="{00000000-0005-0000-0000-0000011F0000}"/>
    <cellStyle name="_MOR - BDWY - 1+11_MOR - Gurgaon - 3+9(R)-1_Revised MOR Package_Restructuring_Separation_TAX_JuneFC2010 tf_BS_Separation_TaxResIndem_Q12412 tf" xfId="7939" xr:uid="{00000000-0005-0000-0000-0000021F0000}"/>
    <cellStyle name="_MOR - BDWY - 1+11_MOR - Gurgaon - 3+9(R)-1_Revised MOR Package_Restructuring_Separation_TAX_JuneFC2010 tf_BS_Separation_TaxResIndem_Q12412 tf_Restructuring &amp; Separation" xfId="7940" xr:uid="{00000000-0005-0000-0000-0000031F0000}"/>
    <cellStyle name="_MOR - BDWY - 1+11_MOR - Gurgaon - 3+9(R)-1_Revised MOR Package_Restructuring_Separation_TAX_JuneFC2010 tf_II.8. Sep&amp;Discrete" xfId="7941" xr:uid="{00000000-0005-0000-0000-0000041F0000}"/>
    <cellStyle name="_MOR - BDWY - 1+11_MOR - Gurgaon - 3+9(R)-1_Revised MOR Package_Restructuring_Separation_TAX_JuneFC2010 tf_Restructuring &amp; Separation" xfId="7942" xr:uid="{00000000-0005-0000-0000-0000051F0000}"/>
    <cellStyle name="_MOR - BDWY - 1+11_MOR - Gurgaon - 3+9(R)-1_Revised MOR Package_Revised MOR Package - Latest" xfId="7943" xr:uid="{00000000-0005-0000-0000-0000061F0000}"/>
    <cellStyle name="_MOR - BDWY - 1+11_MOR - Gurgaon - 3+9(R)-1_Revised MOR Package_Revised MOR Package - Latest_BS_Separation_TaxResIndem_Q12412 tf" xfId="7944" xr:uid="{00000000-0005-0000-0000-0000071F0000}"/>
    <cellStyle name="_MOR - BDWY - 1+11_MOR - Gurgaon - 3+9(R)-1_Revised MOR Package_Revised MOR Package - Latest_BS_Separation_TaxResIndem_Q12412 tf_Restructuring &amp; Separation" xfId="7945" xr:uid="{00000000-0005-0000-0000-0000081F0000}"/>
    <cellStyle name="_MOR - BDWY - 1+11_MOR - Gurgaon - 3+9(R)-1_Revised MOR Package_Revised MOR Package - Latest_By Country Detail 1Q10 041410pm FIN 18 revised per disc w Mary" xfId="7946" xr:uid="{00000000-0005-0000-0000-0000091F0000}"/>
    <cellStyle name="_MOR - BDWY - 1+11_MOR - Gurgaon - 3+9(R)-1_Revised MOR Package_Revised MOR Package - Latest_By Country Detail 1Q10 041410pm FIN 18 revised per disc w Mary_BS_Separation_TaxResIndem_Q12412 tf" xfId="7947" xr:uid="{00000000-0005-0000-0000-00000A1F0000}"/>
    <cellStyle name="_MOR - BDWY - 1+11_MOR - Gurgaon - 3+9(R)-1_Revised MOR Package_Revised MOR Package - Latest_By Country Detail 1Q10 041410pm FIN 18 revised per disc w Mary_BS_Separation_TaxResIndem_Q12412 tf_Restructuring &amp; Separation" xfId="7948" xr:uid="{00000000-0005-0000-0000-00000B1F0000}"/>
    <cellStyle name="_MOR - BDWY - 1+11_MOR - Gurgaon - 3+9(R)-1_Revised MOR Package_Revised MOR Package - Latest_By Country Detail 1Q10 041410pm FIN 18 revised per disc w Mary_II.8. Sep&amp;Discrete" xfId="7949" xr:uid="{00000000-0005-0000-0000-00000C1F0000}"/>
    <cellStyle name="_MOR - BDWY - 1+11_MOR - Gurgaon - 3+9(R)-1_Revised MOR Package_Revised MOR Package - Latest_By Country Detail 1Q10 041410pm FIN 18 revised per disc w Mary_Restructuring &amp; Separation" xfId="7950" xr:uid="{00000000-0005-0000-0000-00000D1F0000}"/>
    <cellStyle name="_MOR - BDWY - 1+11_MOR - Gurgaon - 3+9(R)-1_Revised MOR Package_Revised MOR Package - Latest_II.4. RawMaterials" xfId="7951" xr:uid="{00000000-0005-0000-0000-00000E1F0000}"/>
    <cellStyle name="_MOR - BDWY - 1+11_MOR - Gurgaon - 3+9(R)-1_Revised MOR Package_Revised MOR Package - Latest_II.4. RawMaterials 2" xfId="7952" xr:uid="{00000000-0005-0000-0000-00000F1F0000}"/>
    <cellStyle name="_MOR - BDWY - 1+11_MOR - Gurgaon - 3+9(R)-1_Revised MOR Package_Revised MOR Package - Latest_II.4. RawMaterials_BS retrieve" xfId="7953" xr:uid="{00000000-0005-0000-0000-0000101F0000}"/>
    <cellStyle name="_MOR - BDWY - 1+11_MOR - Gurgaon - 3+9(R)-1_Revised MOR Package_Revised MOR Package - Latest_II.4. RawMaterials_Free CF" xfId="7954" xr:uid="{00000000-0005-0000-0000-0000111F0000}"/>
    <cellStyle name="_MOR - BDWY - 1+11_MOR - Gurgaon - 3+9(R)-1_Revised MOR Package_Revised MOR Package - Latest_II.4. RawMaterials_P&amp;L Rec Qtr" xfId="7955" xr:uid="{00000000-0005-0000-0000-0000121F0000}"/>
    <cellStyle name="_MOR - BDWY - 1+11_MOR - Gurgaon - 3+9(R)-1_Revised MOR Package_Revised MOR Package - Latest_II.4. RawMaterials_Sheet1" xfId="7956" xr:uid="{00000000-0005-0000-0000-0000131F0000}"/>
    <cellStyle name="_MOR - BDWY - 1+11_MOR - Gurgaon - 3+9(R)-1_Revised MOR Package_Revised MOR Package - Latest_II.4. RawMaterials_Sheet2" xfId="7957" xr:uid="{00000000-0005-0000-0000-0000141F0000}"/>
    <cellStyle name="_MOR - BDWY - 1+11_MOR - Gurgaon - 3+9(R)-1_Revised MOR Package_Revised MOR Package - Latest_II.4. RawMaterials_Sheet3" xfId="7958" xr:uid="{00000000-0005-0000-0000-0000151F0000}"/>
    <cellStyle name="_MOR - BDWY - 1+11_MOR - Gurgaon - 3+9(R)-1_Revised MOR Package_Revised MOR Package - Latest_II.4. RawMaterials_Sheet4" xfId="7959" xr:uid="{00000000-0005-0000-0000-0000161F0000}"/>
    <cellStyle name="_MOR - BDWY - 1+11_MOR - Gurgaon - 3+9(R)-1_Revised MOR Package_Revised MOR Package - Latest_II.5. RawMaterials" xfId="7960" xr:uid="{00000000-0005-0000-0000-0000171F0000}"/>
    <cellStyle name="_MOR - BDWY - 1+11_MOR - Gurgaon - 3+9(R)-1_Revised MOR Package_Revised MOR Package - Latest_II.5. RawMaterials 2" xfId="7961" xr:uid="{00000000-0005-0000-0000-0000181F0000}"/>
    <cellStyle name="_MOR - BDWY - 1+11_MOR - Gurgaon - 3+9(R)-1_Revised MOR Package_Revised MOR Package - Latest_II.5. RawMaterials_BS retrieve" xfId="7962" xr:uid="{00000000-0005-0000-0000-0000191F0000}"/>
    <cellStyle name="_MOR - BDWY - 1+11_MOR - Gurgaon - 3+9(R)-1_Revised MOR Package_Revised MOR Package - Latest_II.5. RawMaterials_Free CF" xfId="7963" xr:uid="{00000000-0005-0000-0000-00001A1F0000}"/>
    <cellStyle name="_MOR - BDWY - 1+11_MOR - Gurgaon - 3+9(R)-1_Revised MOR Package_Revised MOR Package - Latest_II.5. RawMaterials_P&amp;L Rec Qtr" xfId="7964" xr:uid="{00000000-0005-0000-0000-00001B1F0000}"/>
    <cellStyle name="_MOR - BDWY - 1+11_MOR - Gurgaon - 3+9(R)-1_Revised MOR Package_Revised MOR Package - Latest_II.5. RawMaterials_Sheet1" xfId="7965" xr:uid="{00000000-0005-0000-0000-00001C1F0000}"/>
    <cellStyle name="_MOR - BDWY - 1+11_MOR - Gurgaon - 3+9(R)-1_Revised MOR Package_Revised MOR Package - Latest_II.5. RawMaterials_Sheet2" xfId="7966" xr:uid="{00000000-0005-0000-0000-00001D1F0000}"/>
    <cellStyle name="_MOR - BDWY - 1+11_MOR - Gurgaon - 3+9(R)-1_Revised MOR Package_Revised MOR Package - Latest_II.5. RawMaterials_Sheet3" xfId="7967" xr:uid="{00000000-0005-0000-0000-00001E1F0000}"/>
    <cellStyle name="_MOR - BDWY - 1+11_MOR - Gurgaon - 3+9(R)-1_Revised MOR Package_Revised MOR Package - Latest_II.5. RawMaterials_Sheet4" xfId="7968" xr:uid="{00000000-0005-0000-0000-00001F1F0000}"/>
    <cellStyle name="_MOR - BDWY - 1+11_MOR - Gurgaon - 3+9(R)-1_Revised MOR Package_Revised MOR Package - Latest_II.5. RM Volume Sensitivities" xfId="7969" xr:uid="{00000000-0005-0000-0000-0000201F0000}"/>
    <cellStyle name="_MOR - BDWY - 1+11_MOR - Gurgaon - 3+9(R)-1_Revised MOR Package_Revised MOR Package - Latest_II.5. RM Volume Sensitivities 2" xfId="7970" xr:uid="{00000000-0005-0000-0000-0000211F0000}"/>
    <cellStyle name="_MOR - BDWY - 1+11_MOR - Gurgaon - 3+9(R)-1_Revised MOR Package_Revised MOR Package - Latest_II.5. RM Volume Sensitivities_BS retrieve" xfId="7971" xr:uid="{00000000-0005-0000-0000-0000221F0000}"/>
    <cellStyle name="_MOR - BDWY - 1+11_MOR - Gurgaon - 3+9(R)-1_Revised MOR Package_Revised MOR Package - Latest_II.5. RM Volume Sensitivities_Free CF" xfId="7972" xr:uid="{00000000-0005-0000-0000-0000231F0000}"/>
    <cellStyle name="_MOR - BDWY - 1+11_MOR - Gurgaon - 3+9(R)-1_Revised MOR Package_Revised MOR Package - Latest_II.5. RM Volume Sensitivities_P&amp;L Rec Qtr" xfId="7973" xr:uid="{00000000-0005-0000-0000-0000241F0000}"/>
    <cellStyle name="_MOR - BDWY - 1+11_MOR - Gurgaon - 3+9(R)-1_Revised MOR Package_Revised MOR Package - Latest_II.5. RM Volume Sensitivities_Sheet1" xfId="7974" xr:uid="{00000000-0005-0000-0000-0000251F0000}"/>
    <cellStyle name="_MOR - BDWY - 1+11_MOR - Gurgaon - 3+9(R)-1_Revised MOR Package_Revised MOR Package - Latest_II.5. RM Volume Sensitivities_Sheet2" xfId="7975" xr:uid="{00000000-0005-0000-0000-0000261F0000}"/>
    <cellStyle name="_MOR - BDWY - 1+11_MOR - Gurgaon - 3+9(R)-1_Revised MOR Package_Revised MOR Package - Latest_II.5. RM Volume Sensitivities_Sheet3" xfId="7976" xr:uid="{00000000-0005-0000-0000-0000271F0000}"/>
    <cellStyle name="_MOR - BDWY - 1+11_MOR - Gurgaon - 3+9(R)-1_Revised MOR Package_Revised MOR Package - Latest_II.5. RM Volume Sensitivities_Sheet4" xfId="7977" xr:uid="{00000000-0005-0000-0000-0000281F0000}"/>
    <cellStyle name="_MOR - BDWY - 1+11_MOR - Gurgaon - 3+9(R)-1_Revised MOR Package_Revised MOR Package - Latest_II.8. Sep&amp;Discrete" xfId="7978" xr:uid="{00000000-0005-0000-0000-0000291F0000}"/>
    <cellStyle name="_MOR - BDWY - 1+11_MOR - Gurgaon - 3+9(R)-1_Revised MOR Package_Revised MOR Package - Latest_Restructuring &amp; Separation" xfId="7979" xr:uid="{00000000-0005-0000-0000-00002A1F0000}"/>
    <cellStyle name="_MOR - BDWY - 1+11_MOR - Gurgaon - 3+9(R)-1_Revised MOR Package_Revised MOR Package - Latest_Restructuring_Separation_TAX_JuneFC2010 tf" xfId="7980" xr:uid="{00000000-0005-0000-0000-00002B1F0000}"/>
    <cellStyle name="_MOR - BDWY - 1+11_MOR - Gurgaon - 3+9(R)-1_Revised MOR Package_Revised MOR Package - Latest_Restructuring_Separation_TAX_JuneFC2010 tf_BS_Separation_TaxResIndem_Q12412 tf" xfId="7981" xr:uid="{00000000-0005-0000-0000-00002C1F0000}"/>
    <cellStyle name="_MOR - BDWY - 1+11_MOR - Gurgaon - 3+9(R)-1_Revised MOR Package_Revised MOR Package - Latest_Restructuring_Separation_TAX_JuneFC2010 tf_BS_Separation_TaxResIndem_Q12412 tf_Restructuring &amp; Separation" xfId="7982" xr:uid="{00000000-0005-0000-0000-00002D1F0000}"/>
    <cellStyle name="_MOR - BDWY - 1+11_MOR - Gurgaon - 3+9(R)-1_Revised MOR Package_Revised MOR Package - Latest_Restructuring_Separation_TAX_JuneFC2010 tf_II.8. Sep&amp;Discrete" xfId="7983" xr:uid="{00000000-0005-0000-0000-00002E1F0000}"/>
    <cellStyle name="_MOR - BDWY - 1+11_MOR - Gurgaon - 3+9(R)-1_Revised MOR Package_Revised MOR Package - Latest_Restructuring_Separation_TAX_JuneFC2010 tf_Restructuring &amp; Separation" xfId="7984" xr:uid="{00000000-0005-0000-0000-00002F1F0000}"/>
    <cellStyle name="_MOR - BDWY - 1+11_Restructuring &amp; Separation" xfId="7985" xr:uid="{00000000-0005-0000-0000-0000301F0000}"/>
    <cellStyle name="_MOR - BDWY - 1+11_Restructuring_Separation_TAX_JuneFC2010 tf" xfId="7986" xr:uid="{00000000-0005-0000-0000-0000311F0000}"/>
    <cellStyle name="_MOR - BDWY - 1+11_Restructuring_Separation_TAX_JuneFC2010 tf_BS_Separation_TaxResIndem_Q12412 tf" xfId="7987" xr:uid="{00000000-0005-0000-0000-0000321F0000}"/>
    <cellStyle name="_MOR - BDWY - 1+11_Restructuring_Separation_TAX_JuneFC2010 tf_BS_Separation_TaxResIndem_Q12412 tf_Restructuring &amp; Separation" xfId="7988" xr:uid="{00000000-0005-0000-0000-0000331F0000}"/>
    <cellStyle name="_MOR - BDWY - 1+11_Restructuring_Separation_TAX_JuneFC2010 tf_II.8. Sep&amp;Discrete" xfId="7989" xr:uid="{00000000-0005-0000-0000-0000341F0000}"/>
    <cellStyle name="_MOR - BDWY - 1+11_Restructuring_Separation_TAX_JuneFC2010 tf_Restructuring &amp; Separation" xfId="7990" xr:uid="{00000000-0005-0000-0000-0000351F0000}"/>
    <cellStyle name="_MOR - BDWY - 1+11_Revised MOR - Australia -  EC - 4+8" xfId="7991" xr:uid="{00000000-0005-0000-0000-0000361F0000}"/>
    <cellStyle name="_MOR - BDWY - 1+11_Revised MOR - Australia -  EC - 4+8_BS_Separation_TaxResIndem_Q12412 tf" xfId="7992" xr:uid="{00000000-0005-0000-0000-0000371F0000}"/>
    <cellStyle name="_MOR - BDWY - 1+11_Revised MOR - Australia -  EC - 4+8_BS_Separation_TaxResIndem_Q12412 tf_Restructuring &amp; Separation" xfId="7993" xr:uid="{00000000-0005-0000-0000-0000381F0000}"/>
    <cellStyle name="_MOR - BDWY - 1+11_Revised MOR - Australia -  EC - 4+8_By Country Detail 1Q10 041410pm FIN 18 revised per disc w Mary" xfId="7994" xr:uid="{00000000-0005-0000-0000-0000391F0000}"/>
    <cellStyle name="_MOR - BDWY - 1+11_Revised MOR - Australia -  EC - 4+8_By Country Detail 1Q10 041410pm FIN 18 revised per disc w Mary_BS_Separation_TaxResIndem_Q12412 tf" xfId="7995" xr:uid="{00000000-0005-0000-0000-00003A1F0000}"/>
    <cellStyle name="_MOR - BDWY - 1+11_Revised MOR - Australia -  EC - 4+8_By Country Detail 1Q10 041410pm FIN 18 revised per disc w Mary_BS_Separation_TaxResIndem_Q12412 tf_Restructuring &amp; Separation" xfId="7996" xr:uid="{00000000-0005-0000-0000-00003B1F0000}"/>
    <cellStyle name="_MOR - BDWY - 1+11_Revised MOR - Australia -  EC - 4+8_By Country Detail 1Q10 041410pm FIN 18 revised per disc w Mary_II.8. Sep&amp;Discrete" xfId="7997" xr:uid="{00000000-0005-0000-0000-00003C1F0000}"/>
    <cellStyle name="_MOR - BDWY - 1+11_Revised MOR - Australia -  EC - 4+8_By Country Detail 1Q10 041410pm FIN 18 revised per disc w Mary_Restructuring &amp; Separation" xfId="7998" xr:uid="{00000000-0005-0000-0000-00003D1F0000}"/>
    <cellStyle name="_MOR - BDWY - 1+11_Revised MOR - Australia -  EC - 4+8_II.4. RawMaterials" xfId="7999" xr:uid="{00000000-0005-0000-0000-00003E1F0000}"/>
    <cellStyle name="_MOR - BDWY - 1+11_Revised MOR - Australia -  EC - 4+8_II.4. RawMaterials 2" xfId="8000" xr:uid="{00000000-0005-0000-0000-00003F1F0000}"/>
    <cellStyle name="_MOR - BDWY - 1+11_Revised MOR - Australia -  EC - 4+8_II.4. RawMaterials_BS retrieve" xfId="8001" xr:uid="{00000000-0005-0000-0000-0000401F0000}"/>
    <cellStyle name="_MOR - BDWY - 1+11_Revised MOR - Australia -  EC - 4+8_II.4. RawMaterials_Free CF" xfId="8002" xr:uid="{00000000-0005-0000-0000-0000411F0000}"/>
    <cellStyle name="_MOR - BDWY - 1+11_Revised MOR - Australia -  EC - 4+8_II.4. RawMaterials_P&amp;L Rec Qtr" xfId="8003" xr:uid="{00000000-0005-0000-0000-0000421F0000}"/>
    <cellStyle name="_MOR - BDWY - 1+11_Revised MOR - Australia -  EC - 4+8_II.4. RawMaterials_Sheet1" xfId="8004" xr:uid="{00000000-0005-0000-0000-0000431F0000}"/>
    <cellStyle name="_MOR - BDWY - 1+11_Revised MOR - Australia -  EC - 4+8_II.4. RawMaterials_Sheet2" xfId="8005" xr:uid="{00000000-0005-0000-0000-0000441F0000}"/>
    <cellStyle name="_MOR - BDWY - 1+11_Revised MOR - Australia -  EC - 4+8_II.4. RawMaterials_Sheet3" xfId="8006" xr:uid="{00000000-0005-0000-0000-0000451F0000}"/>
    <cellStyle name="_MOR - BDWY - 1+11_Revised MOR - Australia -  EC - 4+8_II.4. RawMaterials_Sheet4" xfId="8007" xr:uid="{00000000-0005-0000-0000-0000461F0000}"/>
    <cellStyle name="_MOR - BDWY - 1+11_Revised MOR - Australia -  EC - 4+8_II.5. RawMaterials" xfId="8008" xr:uid="{00000000-0005-0000-0000-0000471F0000}"/>
    <cellStyle name="_MOR - BDWY - 1+11_Revised MOR - Australia -  EC - 4+8_II.5. RawMaterials 2" xfId="8009" xr:uid="{00000000-0005-0000-0000-0000481F0000}"/>
    <cellStyle name="_MOR - BDWY - 1+11_Revised MOR - Australia -  EC - 4+8_II.5. RawMaterials_BS retrieve" xfId="8010" xr:uid="{00000000-0005-0000-0000-0000491F0000}"/>
    <cellStyle name="_MOR - BDWY - 1+11_Revised MOR - Australia -  EC - 4+8_II.5. RawMaterials_Free CF" xfId="8011" xr:uid="{00000000-0005-0000-0000-00004A1F0000}"/>
    <cellStyle name="_MOR - BDWY - 1+11_Revised MOR - Australia -  EC - 4+8_II.5. RawMaterials_P&amp;L Rec Qtr" xfId="8012" xr:uid="{00000000-0005-0000-0000-00004B1F0000}"/>
    <cellStyle name="_MOR - BDWY - 1+11_Revised MOR - Australia -  EC - 4+8_II.5. RawMaterials_Sheet1" xfId="8013" xr:uid="{00000000-0005-0000-0000-00004C1F0000}"/>
    <cellStyle name="_MOR - BDWY - 1+11_Revised MOR - Australia -  EC - 4+8_II.5. RawMaterials_Sheet2" xfId="8014" xr:uid="{00000000-0005-0000-0000-00004D1F0000}"/>
    <cellStyle name="_MOR - BDWY - 1+11_Revised MOR - Australia -  EC - 4+8_II.5. RawMaterials_Sheet3" xfId="8015" xr:uid="{00000000-0005-0000-0000-00004E1F0000}"/>
    <cellStyle name="_MOR - BDWY - 1+11_Revised MOR - Australia -  EC - 4+8_II.5. RawMaterials_Sheet4" xfId="8016" xr:uid="{00000000-0005-0000-0000-00004F1F0000}"/>
    <cellStyle name="_MOR - BDWY - 1+11_Revised MOR - Australia -  EC - 4+8_II.5. RM Volume Sensitivities" xfId="8017" xr:uid="{00000000-0005-0000-0000-0000501F0000}"/>
    <cellStyle name="_MOR - BDWY - 1+11_Revised MOR - Australia -  EC - 4+8_II.5. RM Volume Sensitivities 2" xfId="8018" xr:uid="{00000000-0005-0000-0000-0000511F0000}"/>
    <cellStyle name="_MOR - BDWY - 1+11_Revised MOR - Australia -  EC - 4+8_II.5. RM Volume Sensitivities_BS retrieve" xfId="8019" xr:uid="{00000000-0005-0000-0000-0000521F0000}"/>
    <cellStyle name="_MOR - BDWY - 1+11_Revised MOR - Australia -  EC - 4+8_II.5. RM Volume Sensitivities_Free CF" xfId="8020" xr:uid="{00000000-0005-0000-0000-0000531F0000}"/>
    <cellStyle name="_MOR - BDWY - 1+11_Revised MOR - Australia -  EC - 4+8_II.5. RM Volume Sensitivities_P&amp;L Rec Qtr" xfId="8021" xr:uid="{00000000-0005-0000-0000-0000541F0000}"/>
    <cellStyle name="_MOR - BDWY - 1+11_Revised MOR - Australia -  EC - 4+8_II.5. RM Volume Sensitivities_Sheet1" xfId="8022" xr:uid="{00000000-0005-0000-0000-0000551F0000}"/>
    <cellStyle name="_MOR - BDWY - 1+11_Revised MOR - Australia -  EC - 4+8_II.5. RM Volume Sensitivities_Sheet2" xfId="8023" xr:uid="{00000000-0005-0000-0000-0000561F0000}"/>
    <cellStyle name="_MOR - BDWY - 1+11_Revised MOR - Australia -  EC - 4+8_II.5. RM Volume Sensitivities_Sheet3" xfId="8024" xr:uid="{00000000-0005-0000-0000-0000571F0000}"/>
    <cellStyle name="_MOR - BDWY - 1+11_Revised MOR - Australia -  EC - 4+8_II.5. RM Volume Sensitivities_Sheet4" xfId="8025" xr:uid="{00000000-0005-0000-0000-0000581F0000}"/>
    <cellStyle name="_MOR - BDWY - 1+11_Revised MOR - Australia -  EC - 4+8_II.8. Sep&amp;Discrete" xfId="8026" xr:uid="{00000000-0005-0000-0000-0000591F0000}"/>
    <cellStyle name="_MOR - BDWY - 1+11_Revised MOR - Australia -  EC - 4+8_Restructuring &amp; Separation" xfId="8027" xr:uid="{00000000-0005-0000-0000-00005A1F0000}"/>
    <cellStyle name="_MOR - BDWY - 1+11_Revised MOR - Australia -  EC - 4+8_Restructuring_Separation_TAX_JuneFC2010 tf" xfId="8028" xr:uid="{00000000-0005-0000-0000-00005B1F0000}"/>
    <cellStyle name="_MOR - BDWY - 1+11_Revised MOR - Australia -  EC - 4+8_Restructuring_Separation_TAX_JuneFC2010 tf_BS_Separation_TaxResIndem_Q12412 tf" xfId="8029" xr:uid="{00000000-0005-0000-0000-00005C1F0000}"/>
    <cellStyle name="_MOR - BDWY - 1+11_Revised MOR - Australia -  EC - 4+8_Restructuring_Separation_TAX_JuneFC2010 tf_BS_Separation_TaxResIndem_Q12412 tf_Restructuring &amp; Separation" xfId="8030" xr:uid="{00000000-0005-0000-0000-00005D1F0000}"/>
    <cellStyle name="_MOR - BDWY - 1+11_Revised MOR - Australia -  EC - 4+8_Restructuring_Separation_TAX_JuneFC2010 tf_II.8. Sep&amp;Discrete" xfId="8031" xr:uid="{00000000-0005-0000-0000-00005E1F0000}"/>
    <cellStyle name="_MOR - BDWY - 1+11_Revised MOR - Australia -  EC - 4+8_Restructuring_Separation_TAX_JuneFC2010 tf_Restructuring &amp; Separation" xfId="8032" xr:uid="{00000000-0005-0000-0000-00005F1F0000}"/>
    <cellStyle name="_MOR - BDWY - 1+11_Revised MOR Package - Latest" xfId="8033" xr:uid="{00000000-0005-0000-0000-0000601F0000}"/>
    <cellStyle name="_MOR - BDWY - 1+11_Revised MOR Package - Latest_BS_Separation_TaxResIndem_Q12412 tf" xfId="8034" xr:uid="{00000000-0005-0000-0000-0000611F0000}"/>
    <cellStyle name="_MOR - BDWY - 1+11_Revised MOR Package - Latest_BS_Separation_TaxResIndem_Q12412 tf_Restructuring &amp; Separation" xfId="8035" xr:uid="{00000000-0005-0000-0000-0000621F0000}"/>
    <cellStyle name="_MOR - BDWY - 1+11_Revised MOR Package - Latest_By Country Detail 1Q10 041410pm FIN 18 revised per disc w Mary" xfId="8036" xr:uid="{00000000-0005-0000-0000-0000631F0000}"/>
    <cellStyle name="_MOR - BDWY - 1+11_Revised MOR Package - Latest_By Country Detail 1Q10 041410pm FIN 18 revised per disc w Mary_BS_Separation_TaxResIndem_Q12412 tf" xfId="8037" xr:uid="{00000000-0005-0000-0000-0000641F0000}"/>
    <cellStyle name="_MOR - BDWY - 1+11_Revised MOR Package - Latest_By Country Detail 1Q10 041410pm FIN 18 revised per disc w Mary_BS_Separation_TaxResIndem_Q12412 tf_Restructuring &amp; Separation" xfId="8038" xr:uid="{00000000-0005-0000-0000-0000651F0000}"/>
    <cellStyle name="_MOR - BDWY - 1+11_Revised MOR Package - Latest_By Country Detail 1Q10 041410pm FIN 18 revised per disc w Mary_II.8. Sep&amp;Discrete" xfId="8039" xr:uid="{00000000-0005-0000-0000-0000661F0000}"/>
    <cellStyle name="_MOR - BDWY - 1+11_Revised MOR Package - Latest_By Country Detail 1Q10 041410pm FIN 18 revised per disc w Mary_Restructuring &amp; Separation" xfId="8040" xr:uid="{00000000-0005-0000-0000-0000671F0000}"/>
    <cellStyle name="_MOR - BDWY - 1+11_Revised MOR Package - Latest_II.4. RawMaterials" xfId="8041" xr:uid="{00000000-0005-0000-0000-0000681F0000}"/>
    <cellStyle name="_MOR - BDWY - 1+11_Revised MOR Package - Latest_II.4. RawMaterials 2" xfId="8042" xr:uid="{00000000-0005-0000-0000-0000691F0000}"/>
    <cellStyle name="_MOR - BDWY - 1+11_Revised MOR Package - Latest_II.4. RawMaterials_BS retrieve" xfId="8043" xr:uid="{00000000-0005-0000-0000-00006A1F0000}"/>
    <cellStyle name="_MOR - BDWY - 1+11_Revised MOR Package - Latest_II.4. RawMaterials_Free CF" xfId="8044" xr:uid="{00000000-0005-0000-0000-00006B1F0000}"/>
    <cellStyle name="_MOR - BDWY - 1+11_Revised MOR Package - Latest_II.4. RawMaterials_P&amp;L Rec Qtr" xfId="8045" xr:uid="{00000000-0005-0000-0000-00006C1F0000}"/>
    <cellStyle name="_MOR - BDWY - 1+11_Revised MOR Package - Latest_II.4. RawMaterials_Sheet1" xfId="8046" xr:uid="{00000000-0005-0000-0000-00006D1F0000}"/>
    <cellStyle name="_MOR - BDWY - 1+11_Revised MOR Package - Latest_II.4. RawMaterials_Sheet2" xfId="8047" xr:uid="{00000000-0005-0000-0000-00006E1F0000}"/>
    <cellStyle name="_MOR - BDWY - 1+11_Revised MOR Package - Latest_II.4. RawMaterials_Sheet3" xfId="8048" xr:uid="{00000000-0005-0000-0000-00006F1F0000}"/>
    <cellStyle name="_MOR - BDWY - 1+11_Revised MOR Package - Latest_II.4. RawMaterials_Sheet4" xfId="8049" xr:uid="{00000000-0005-0000-0000-0000701F0000}"/>
    <cellStyle name="_MOR - BDWY - 1+11_Revised MOR Package - Latest_II.5. RawMaterials" xfId="8050" xr:uid="{00000000-0005-0000-0000-0000711F0000}"/>
    <cellStyle name="_MOR - BDWY - 1+11_Revised MOR Package - Latest_II.5. RawMaterials 2" xfId="8051" xr:uid="{00000000-0005-0000-0000-0000721F0000}"/>
    <cellStyle name="_MOR - BDWY - 1+11_Revised MOR Package - Latest_II.5. RawMaterials_BS retrieve" xfId="8052" xr:uid="{00000000-0005-0000-0000-0000731F0000}"/>
    <cellStyle name="_MOR - BDWY - 1+11_Revised MOR Package - Latest_II.5. RawMaterials_Free CF" xfId="8053" xr:uid="{00000000-0005-0000-0000-0000741F0000}"/>
    <cellStyle name="_MOR - BDWY - 1+11_Revised MOR Package - Latest_II.5. RawMaterials_P&amp;L Rec Qtr" xfId="8054" xr:uid="{00000000-0005-0000-0000-0000751F0000}"/>
    <cellStyle name="_MOR - BDWY - 1+11_Revised MOR Package - Latest_II.5. RawMaterials_Sheet1" xfId="8055" xr:uid="{00000000-0005-0000-0000-0000761F0000}"/>
    <cellStyle name="_MOR - BDWY - 1+11_Revised MOR Package - Latest_II.5. RawMaterials_Sheet2" xfId="8056" xr:uid="{00000000-0005-0000-0000-0000771F0000}"/>
    <cellStyle name="_MOR - BDWY - 1+11_Revised MOR Package - Latest_II.5. RawMaterials_Sheet3" xfId="8057" xr:uid="{00000000-0005-0000-0000-0000781F0000}"/>
    <cellStyle name="_MOR - BDWY - 1+11_Revised MOR Package - Latest_II.5. RawMaterials_Sheet4" xfId="8058" xr:uid="{00000000-0005-0000-0000-0000791F0000}"/>
    <cellStyle name="_MOR - BDWY - 1+11_Revised MOR Package - Latest_II.5. RM Volume Sensitivities" xfId="8059" xr:uid="{00000000-0005-0000-0000-00007A1F0000}"/>
    <cellStyle name="_MOR - BDWY - 1+11_Revised MOR Package - Latest_II.5. RM Volume Sensitivities 2" xfId="8060" xr:uid="{00000000-0005-0000-0000-00007B1F0000}"/>
    <cellStyle name="_MOR - BDWY - 1+11_Revised MOR Package - Latest_II.5. RM Volume Sensitivities_BS retrieve" xfId="8061" xr:uid="{00000000-0005-0000-0000-00007C1F0000}"/>
    <cellStyle name="_MOR - BDWY - 1+11_Revised MOR Package - Latest_II.5. RM Volume Sensitivities_Free CF" xfId="8062" xr:uid="{00000000-0005-0000-0000-00007D1F0000}"/>
    <cellStyle name="_MOR - BDWY - 1+11_Revised MOR Package - Latest_II.5. RM Volume Sensitivities_P&amp;L Rec Qtr" xfId="8063" xr:uid="{00000000-0005-0000-0000-00007E1F0000}"/>
    <cellStyle name="_MOR - BDWY - 1+11_Revised MOR Package - Latest_II.5. RM Volume Sensitivities_Sheet1" xfId="8064" xr:uid="{00000000-0005-0000-0000-00007F1F0000}"/>
    <cellStyle name="_MOR - BDWY - 1+11_Revised MOR Package - Latest_II.5. RM Volume Sensitivities_Sheet2" xfId="8065" xr:uid="{00000000-0005-0000-0000-0000801F0000}"/>
    <cellStyle name="_MOR - BDWY - 1+11_Revised MOR Package - Latest_II.5. RM Volume Sensitivities_Sheet3" xfId="8066" xr:uid="{00000000-0005-0000-0000-0000811F0000}"/>
    <cellStyle name="_MOR - BDWY - 1+11_Revised MOR Package - Latest_II.5. RM Volume Sensitivities_Sheet4" xfId="8067" xr:uid="{00000000-0005-0000-0000-0000821F0000}"/>
    <cellStyle name="_MOR - BDWY - 1+11_Revised MOR Package - Latest_II.8. Sep&amp;Discrete" xfId="8068" xr:uid="{00000000-0005-0000-0000-0000831F0000}"/>
    <cellStyle name="_MOR - BDWY - 1+11_Revised MOR Package - Latest_Restructuring &amp; Separation" xfId="8069" xr:uid="{00000000-0005-0000-0000-0000841F0000}"/>
    <cellStyle name="_MOR - BDWY - 1+11_Revised MOR Package - Latest_Restructuring_Separation_TAX_JuneFC2010 tf" xfId="8070" xr:uid="{00000000-0005-0000-0000-0000851F0000}"/>
    <cellStyle name="_MOR - BDWY - 1+11_Revised MOR Package - Latest_Restructuring_Separation_TAX_JuneFC2010 tf_BS_Separation_TaxResIndem_Q12412 tf" xfId="8071" xr:uid="{00000000-0005-0000-0000-0000861F0000}"/>
    <cellStyle name="_MOR - BDWY - 1+11_Revised MOR Package - Latest_Restructuring_Separation_TAX_JuneFC2010 tf_BS_Separation_TaxResIndem_Q12412 tf_Restructuring &amp; Separation" xfId="8072" xr:uid="{00000000-0005-0000-0000-0000871F0000}"/>
    <cellStyle name="_MOR - BDWY - 1+11_Revised MOR Package - Latest_Restructuring_Separation_TAX_JuneFC2010 tf_II.8. Sep&amp;Discrete" xfId="8073" xr:uid="{00000000-0005-0000-0000-0000881F0000}"/>
    <cellStyle name="_MOR - BDWY - 1+11_Revised MOR Package - Latest_Restructuring_Separation_TAX_JuneFC2010 tf_Restructuring &amp; Separation" xfId="8074" xr:uid="{00000000-0005-0000-0000-0000891F0000}"/>
    <cellStyle name="_MOR - Gurgaon - 3+9(R)" xfId="8075" xr:uid="{00000000-0005-0000-0000-00008A1F0000}"/>
    <cellStyle name="_MOR - Gurgaon - 3+9(R)_BS_Separation_TaxResIndem_Q12412 tf" xfId="8076" xr:uid="{00000000-0005-0000-0000-00008B1F0000}"/>
    <cellStyle name="_MOR - Gurgaon - 3+9(R)_BS_Separation_TaxResIndem_Q12412 tf_Restructuring &amp; Separation" xfId="8077" xr:uid="{00000000-0005-0000-0000-00008C1F0000}"/>
    <cellStyle name="_MOR - Gurgaon - 3+9(R)_By Country Detail 1Q10 041410pm FIN 18 revised per disc w Mary" xfId="8078" xr:uid="{00000000-0005-0000-0000-00008D1F0000}"/>
    <cellStyle name="_MOR - Gurgaon - 3+9(R)_By Country Detail 1Q10 041410pm FIN 18 revised per disc w Mary_BS_Separation_TaxResIndem_Q12412 tf" xfId="8079" xr:uid="{00000000-0005-0000-0000-00008E1F0000}"/>
    <cellStyle name="_MOR - Gurgaon - 3+9(R)_By Country Detail 1Q10 041410pm FIN 18 revised per disc w Mary_BS_Separation_TaxResIndem_Q12412 tf_Restructuring &amp; Separation" xfId="8080" xr:uid="{00000000-0005-0000-0000-00008F1F0000}"/>
    <cellStyle name="_MOR - Gurgaon - 3+9(R)_By Country Detail 1Q10 041410pm FIN 18 revised per disc w Mary_II.8. Sep&amp;Discrete" xfId="8081" xr:uid="{00000000-0005-0000-0000-0000901F0000}"/>
    <cellStyle name="_MOR - Gurgaon - 3+9(R)_By Country Detail 1Q10 041410pm FIN 18 revised per disc w Mary_Restructuring &amp; Separation" xfId="8082" xr:uid="{00000000-0005-0000-0000-0000911F0000}"/>
    <cellStyle name="_MOR - Gurgaon - 3+9(R)_II.4. RawMaterials" xfId="8083" xr:uid="{00000000-0005-0000-0000-0000921F0000}"/>
    <cellStyle name="_MOR - Gurgaon - 3+9(R)_II.4. RawMaterials 2" xfId="8084" xr:uid="{00000000-0005-0000-0000-0000931F0000}"/>
    <cellStyle name="_MOR - Gurgaon - 3+9(R)_II.4. RawMaterials_BS retrieve" xfId="8085" xr:uid="{00000000-0005-0000-0000-0000941F0000}"/>
    <cellStyle name="_MOR - Gurgaon - 3+9(R)_II.4. RawMaterials_Free CF" xfId="8086" xr:uid="{00000000-0005-0000-0000-0000951F0000}"/>
    <cellStyle name="_MOR - Gurgaon - 3+9(R)_II.4. RawMaterials_P&amp;L Rec Qtr" xfId="8087" xr:uid="{00000000-0005-0000-0000-0000961F0000}"/>
    <cellStyle name="_MOR - Gurgaon - 3+9(R)_II.4. RawMaterials_Sheet1" xfId="8088" xr:uid="{00000000-0005-0000-0000-0000971F0000}"/>
    <cellStyle name="_MOR - Gurgaon - 3+9(R)_II.4. RawMaterials_Sheet2" xfId="8089" xr:uid="{00000000-0005-0000-0000-0000981F0000}"/>
    <cellStyle name="_MOR - Gurgaon - 3+9(R)_II.4. RawMaterials_Sheet3" xfId="8090" xr:uid="{00000000-0005-0000-0000-0000991F0000}"/>
    <cellStyle name="_MOR - Gurgaon - 3+9(R)_II.4. RawMaterials_Sheet4" xfId="8091" xr:uid="{00000000-0005-0000-0000-00009A1F0000}"/>
    <cellStyle name="_MOR - Gurgaon - 3+9(R)_II.5. RawMaterials" xfId="8092" xr:uid="{00000000-0005-0000-0000-00009B1F0000}"/>
    <cellStyle name="_MOR - Gurgaon - 3+9(R)_II.5. RawMaterials 2" xfId="8093" xr:uid="{00000000-0005-0000-0000-00009C1F0000}"/>
    <cellStyle name="_MOR - Gurgaon - 3+9(R)_II.5. RawMaterials_BS retrieve" xfId="8094" xr:uid="{00000000-0005-0000-0000-00009D1F0000}"/>
    <cellStyle name="_MOR - Gurgaon - 3+9(R)_II.5. RawMaterials_Free CF" xfId="8095" xr:uid="{00000000-0005-0000-0000-00009E1F0000}"/>
    <cellStyle name="_MOR - Gurgaon - 3+9(R)_II.5. RawMaterials_P&amp;L Rec Qtr" xfId="8096" xr:uid="{00000000-0005-0000-0000-00009F1F0000}"/>
    <cellStyle name="_MOR - Gurgaon - 3+9(R)_II.5. RawMaterials_Sheet1" xfId="8097" xr:uid="{00000000-0005-0000-0000-0000A01F0000}"/>
    <cellStyle name="_MOR - Gurgaon - 3+9(R)_II.5. RawMaterials_Sheet2" xfId="8098" xr:uid="{00000000-0005-0000-0000-0000A11F0000}"/>
    <cellStyle name="_MOR - Gurgaon - 3+9(R)_II.5. RawMaterials_Sheet3" xfId="8099" xr:uid="{00000000-0005-0000-0000-0000A21F0000}"/>
    <cellStyle name="_MOR - Gurgaon - 3+9(R)_II.5. RawMaterials_Sheet4" xfId="8100" xr:uid="{00000000-0005-0000-0000-0000A31F0000}"/>
    <cellStyle name="_MOR - Gurgaon - 3+9(R)_II.5. RM Volume Sensitivities" xfId="8101" xr:uid="{00000000-0005-0000-0000-0000A41F0000}"/>
    <cellStyle name="_MOR - Gurgaon - 3+9(R)_II.5. RM Volume Sensitivities 2" xfId="8102" xr:uid="{00000000-0005-0000-0000-0000A51F0000}"/>
    <cellStyle name="_MOR - Gurgaon - 3+9(R)_II.5. RM Volume Sensitivities_BS retrieve" xfId="8103" xr:uid="{00000000-0005-0000-0000-0000A61F0000}"/>
    <cellStyle name="_MOR - Gurgaon - 3+9(R)_II.5. RM Volume Sensitivities_Free CF" xfId="8104" xr:uid="{00000000-0005-0000-0000-0000A71F0000}"/>
    <cellStyle name="_MOR - Gurgaon - 3+9(R)_II.5. RM Volume Sensitivities_P&amp;L Rec Qtr" xfId="8105" xr:uid="{00000000-0005-0000-0000-0000A81F0000}"/>
    <cellStyle name="_MOR - Gurgaon - 3+9(R)_II.5. RM Volume Sensitivities_Sheet1" xfId="8106" xr:uid="{00000000-0005-0000-0000-0000A91F0000}"/>
    <cellStyle name="_MOR - Gurgaon - 3+9(R)_II.5. RM Volume Sensitivities_Sheet2" xfId="8107" xr:uid="{00000000-0005-0000-0000-0000AA1F0000}"/>
    <cellStyle name="_MOR - Gurgaon - 3+9(R)_II.5. RM Volume Sensitivities_Sheet3" xfId="8108" xr:uid="{00000000-0005-0000-0000-0000AB1F0000}"/>
    <cellStyle name="_MOR - Gurgaon - 3+9(R)_II.5. RM Volume Sensitivities_Sheet4" xfId="8109" xr:uid="{00000000-0005-0000-0000-0000AC1F0000}"/>
    <cellStyle name="_MOR - Gurgaon - 3+9(R)_II.8. Sep&amp;Discrete" xfId="8110" xr:uid="{00000000-0005-0000-0000-0000AD1F0000}"/>
    <cellStyle name="_MOR - Gurgaon - 3+9(R)_MOR - Revised Package" xfId="8111" xr:uid="{00000000-0005-0000-0000-0000AE1F0000}"/>
    <cellStyle name="_MOR - Gurgaon - 3+9(R)_MOR - Revised Package_~0039877" xfId="8112" xr:uid="{00000000-0005-0000-0000-0000AF1F0000}"/>
    <cellStyle name="_MOR - Gurgaon - 3+9(R)_MOR - Revised Package_~0039877_BS_Separation_TaxResIndem_Q12412 tf" xfId="8113" xr:uid="{00000000-0005-0000-0000-0000B01F0000}"/>
    <cellStyle name="_MOR - Gurgaon - 3+9(R)_MOR - Revised Package_~0039877_BS_Separation_TaxResIndem_Q12412 tf_Restructuring &amp; Separation" xfId="8114" xr:uid="{00000000-0005-0000-0000-0000B11F0000}"/>
    <cellStyle name="_MOR - Gurgaon - 3+9(R)_MOR - Revised Package_~0039877_By Country Detail 1Q10 041410pm FIN 18 revised per disc w Mary" xfId="8115" xr:uid="{00000000-0005-0000-0000-0000B21F0000}"/>
    <cellStyle name="_MOR - Gurgaon - 3+9(R)_MOR - Revised Package_~0039877_By Country Detail 1Q10 041410pm FIN 18 revised per disc w Mary_BS_Separation_TaxResIndem_Q12412 tf" xfId="8116" xr:uid="{00000000-0005-0000-0000-0000B31F0000}"/>
    <cellStyle name="_MOR - Gurgaon - 3+9(R)_MOR - Revised Package_~0039877_By Country Detail 1Q10 041410pm FIN 18 revised per disc w Mary_BS_Separation_TaxResIndem_Q12412 tf_Restructuring &amp; Separation" xfId="8117" xr:uid="{00000000-0005-0000-0000-0000B41F0000}"/>
    <cellStyle name="_MOR - Gurgaon - 3+9(R)_MOR - Revised Package_~0039877_By Country Detail 1Q10 041410pm FIN 18 revised per disc w Mary_II.8. Sep&amp;Discrete" xfId="8118" xr:uid="{00000000-0005-0000-0000-0000B51F0000}"/>
    <cellStyle name="_MOR - Gurgaon - 3+9(R)_MOR - Revised Package_~0039877_By Country Detail 1Q10 041410pm FIN 18 revised per disc w Mary_Restructuring &amp; Separation" xfId="8119" xr:uid="{00000000-0005-0000-0000-0000B61F0000}"/>
    <cellStyle name="_MOR - Gurgaon - 3+9(R)_MOR - Revised Package_~0039877_II.4. RawMaterials" xfId="8120" xr:uid="{00000000-0005-0000-0000-0000B71F0000}"/>
    <cellStyle name="_MOR - Gurgaon - 3+9(R)_MOR - Revised Package_~0039877_II.4. RawMaterials 2" xfId="8121" xr:uid="{00000000-0005-0000-0000-0000B81F0000}"/>
    <cellStyle name="_MOR - Gurgaon - 3+9(R)_MOR - Revised Package_~0039877_II.4. RawMaterials_BS retrieve" xfId="8122" xr:uid="{00000000-0005-0000-0000-0000B91F0000}"/>
    <cellStyle name="_MOR - Gurgaon - 3+9(R)_MOR - Revised Package_~0039877_II.4. RawMaterials_Free CF" xfId="8123" xr:uid="{00000000-0005-0000-0000-0000BA1F0000}"/>
    <cellStyle name="_MOR - Gurgaon - 3+9(R)_MOR - Revised Package_~0039877_II.4. RawMaterials_P&amp;L Rec Qtr" xfId="8124" xr:uid="{00000000-0005-0000-0000-0000BB1F0000}"/>
    <cellStyle name="_MOR - Gurgaon - 3+9(R)_MOR - Revised Package_~0039877_II.4. RawMaterials_Sheet1" xfId="8125" xr:uid="{00000000-0005-0000-0000-0000BC1F0000}"/>
    <cellStyle name="_MOR - Gurgaon - 3+9(R)_MOR - Revised Package_~0039877_II.4. RawMaterials_Sheet2" xfId="8126" xr:uid="{00000000-0005-0000-0000-0000BD1F0000}"/>
    <cellStyle name="_MOR - Gurgaon - 3+9(R)_MOR - Revised Package_~0039877_II.4. RawMaterials_Sheet3" xfId="8127" xr:uid="{00000000-0005-0000-0000-0000BE1F0000}"/>
    <cellStyle name="_MOR - Gurgaon - 3+9(R)_MOR - Revised Package_~0039877_II.4. RawMaterials_Sheet4" xfId="8128" xr:uid="{00000000-0005-0000-0000-0000BF1F0000}"/>
    <cellStyle name="_MOR - Gurgaon - 3+9(R)_MOR - Revised Package_~0039877_II.5. RawMaterials" xfId="8129" xr:uid="{00000000-0005-0000-0000-0000C01F0000}"/>
    <cellStyle name="_MOR - Gurgaon - 3+9(R)_MOR - Revised Package_~0039877_II.5. RawMaterials 2" xfId="8130" xr:uid="{00000000-0005-0000-0000-0000C11F0000}"/>
    <cellStyle name="_MOR - Gurgaon - 3+9(R)_MOR - Revised Package_~0039877_II.5. RawMaterials_BS retrieve" xfId="8131" xr:uid="{00000000-0005-0000-0000-0000C21F0000}"/>
    <cellStyle name="_MOR - Gurgaon - 3+9(R)_MOR - Revised Package_~0039877_II.5. RawMaterials_Free CF" xfId="8132" xr:uid="{00000000-0005-0000-0000-0000C31F0000}"/>
    <cellStyle name="_MOR - Gurgaon - 3+9(R)_MOR - Revised Package_~0039877_II.5. RawMaterials_P&amp;L Rec Qtr" xfId="8133" xr:uid="{00000000-0005-0000-0000-0000C41F0000}"/>
    <cellStyle name="_MOR - Gurgaon - 3+9(R)_MOR - Revised Package_~0039877_II.5. RawMaterials_Sheet1" xfId="8134" xr:uid="{00000000-0005-0000-0000-0000C51F0000}"/>
    <cellStyle name="_MOR - Gurgaon - 3+9(R)_MOR - Revised Package_~0039877_II.5. RawMaterials_Sheet2" xfId="8135" xr:uid="{00000000-0005-0000-0000-0000C61F0000}"/>
    <cellStyle name="_MOR - Gurgaon - 3+9(R)_MOR - Revised Package_~0039877_II.5. RawMaterials_Sheet3" xfId="8136" xr:uid="{00000000-0005-0000-0000-0000C71F0000}"/>
    <cellStyle name="_MOR - Gurgaon - 3+9(R)_MOR - Revised Package_~0039877_II.5. RawMaterials_Sheet4" xfId="8137" xr:uid="{00000000-0005-0000-0000-0000C81F0000}"/>
    <cellStyle name="_MOR - Gurgaon - 3+9(R)_MOR - Revised Package_~0039877_II.5. RM Volume Sensitivities" xfId="8138" xr:uid="{00000000-0005-0000-0000-0000C91F0000}"/>
    <cellStyle name="_MOR - Gurgaon - 3+9(R)_MOR - Revised Package_~0039877_II.5. RM Volume Sensitivities 2" xfId="8139" xr:uid="{00000000-0005-0000-0000-0000CA1F0000}"/>
    <cellStyle name="_MOR - Gurgaon - 3+9(R)_MOR - Revised Package_~0039877_II.5. RM Volume Sensitivities_BS retrieve" xfId="8140" xr:uid="{00000000-0005-0000-0000-0000CB1F0000}"/>
    <cellStyle name="_MOR - Gurgaon - 3+9(R)_MOR - Revised Package_~0039877_II.5. RM Volume Sensitivities_Free CF" xfId="8141" xr:uid="{00000000-0005-0000-0000-0000CC1F0000}"/>
    <cellStyle name="_MOR - Gurgaon - 3+9(R)_MOR - Revised Package_~0039877_II.5. RM Volume Sensitivities_P&amp;L Rec Qtr" xfId="8142" xr:uid="{00000000-0005-0000-0000-0000CD1F0000}"/>
    <cellStyle name="_MOR - Gurgaon - 3+9(R)_MOR - Revised Package_~0039877_II.5. RM Volume Sensitivities_Sheet1" xfId="8143" xr:uid="{00000000-0005-0000-0000-0000CE1F0000}"/>
    <cellStyle name="_MOR - Gurgaon - 3+9(R)_MOR - Revised Package_~0039877_II.5. RM Volume Sensitivities_Sheet2" xfId="8144" xr:uid="{00000000-0005-0000-0000-0000CF1F0000}"/>
    <cellStyle name="_MOR - Gurgaon - 3+9(R)_MOR - Revised Package_~0039877_II.5. RM Volume Sensitivities_Sheet3" xfId="8145" xr:uid="{00000000-0005-0000-0000-0000D01F0000}"/>
    <cellStyle name="_MOR - Gurgaon - 3+9(R)_MOR - Revised Package_~0039877_II.5. RM Volume Sensitivities_Sheet4" xfId="8146" xr:uid="{00000000-0005-0000-0000-0000D11F0000}"/>
    <cellStyle name="_MOR - Gurgaon - 3+9(R)_MOR - Revised Package_~0039877_II.8. Sep&amp;Discrete" xfId="8147" xr:uid="{00000000-0005-0000-0000-0000D21F0000}"/>
    <cellStyle name="_MOR - Gurgaon - 3+9(R)_MOR - Revised Package_~0039877_Restructuring &amp; Separation" xfId="8148" xr:uid="{00000000-0005-0000-0000-0000D31F0000}"/>
    <cellStyle name="_MOR - Gurgaon - 3+9(R)_MOR - Revised Package_~0039877_Restructuring_Separation_TAX_JuneFC2010 tf" xfId="8149" xr:uid="{00000000-0005-0000-0000-0000D41F0000}"/>
    <cellStyle name="_MOR - Gurgaon - 3+9(R)_MOR - Revised Package_~0039877_Restructuring_Separation_TAX_JuneFC2010 tf_BS_Separation_TaxResIndem_Q12412 tf" xfId="8150" xr:uid="{00000000-0005-0000-0000-0000D51F0000}"/>
    <cellStyle name="_MOR - Gurgaon - 3+9(R)_MOR - Revised Package_~0039877_Restructuring_Separation_TAX_JuneFC2010 tf_BS_Separation_TaxResIndem_Q12412 tf_Restructuring &amp; Separation" xfId="8151" xr:uid="{00000000-0005-0000-0000-0000D61F0000}"/>
    <cellStyle name="_MOR - Gurgaon - 3+9(R)_MOR - Revised Package_~0039877_Restructuring_Separation_TAX_JuneFC2010 tf_II.8. Sep&amp;Discrete" xfId="8152" xr:uid="{00000000-0005-0000-0000-0000D71F0000}"/>
    <cellStyle name="_MOR - Gurgaon - 3+9(R)_MOR - Revised Package_~0039877_Restructuring_Separation_TAX_JuneFC2010 tf_Restructuring &amp; Separation" xfId="8153" xr:uid="{00000000-0005-0000-0000-0000D81F0000}"/>
    <cellStyle name="_MOR - Gurgaon - 3+9(R)_MOR - Revised Package_BS_Separation_TaxResIndem_Q12412 tf" xfId="8154" xr:uid="{00000000-0005-0000-0000-0000D91F0000}"/>
    <cellStyle name="_MOR - Gurgaon - 3+9(R)_MOR - Revised Package_BS_Separation_TaxResIndem_Q12412 tf_Restructuring &amp; Separation" xfId="8155" xr:uid="{00000000-0005-0000-0000-0000DA1F0000}"/>
    <cellStyle name="_MOR - Gurgaon - 3+9(R)_MOR - Revised Package_By Country Detail 1Q10 041410pm FIN 18 revised per disc w Mary" xfId="8156" xr:uid="{00000000-0005-0000-0000-0000DB1F0000}"/>
    <cellStyle name="_MOR - Gurgaon - 3+9(R)_MOR - Revised Package_By Country Detail 1Q10 041410pm FIN 18 revised per disc w Mary_BS_Separation_TaxResIndem_Q12412 tf" xfId="8157" xr:uid="{00000000-0005-0000-0000-0000DC1F0000}"/>
    <cellStyle name="_MOR - Gurgaon - 3+9(R)_MOR - Revised Package_By Country Detail 1Q10 041410pm FIN 18 revised per disc w Mary_BS_Separation_TaxResIndem_Q12412 tf_Restructuring &amp; Separation" xfId="8158" xr:uid="{00000000-0005-0000-0000-0000DD1F0000}"/>
    <cellStyle name="_MOR - Gurgaon - 3+9(R)_MOR - Revised Package_By Country Detail 1Q10 041410pm FIN 18 revised per disc w Mary_II.8. Sep&amp;Discrete" xfId="8159" xr:uid="{00000000-0005-0000-0000-0000DE1F0000}"/>
    <cellStyle name="_MOR - Gurgaon - 3+9(R)_MOR - Revised Package_By Country Detail 1Q10 041410pm FIN 18 revised per disc w Mary_Restructuring &amp; Separation" xfId="8160" xr:uid="{00000000-0005-0000-0000-0000DF1F0000}"/>
    <cellStyle name="_MOR - Gurgaon - 3+9(R)_MOR - Revised Package_II.4. RawMaterials" xfId="8161" xr:uid="{00000000-0005-0000-0000-0000E01F0000}"/>
    <cellStyle name="_MOR - Gurgaon - 3+9(R)_MOR - Revised Package_II.4. RawMaterials 2" xfId="8162" xr:uid="{00000000-0005-0000-0000-0000E11F0000}"/>
    <cellStyle name="_MOR - Gurgaon - 3+9(R)_MOR - Revised Package_II.4. RawMaterials_BS retrieve" xfId="8163" xr:uid="{00000000-0005-0000-0000-0000E21F0000}"/>
    <cellStyle name="_MOR - Gurgaon - 3+9(R)_MOR - Revised Package_II.4. RawMaterials_Free CF" xfId="8164" xr:uid="{00000000-0005-0000-0000-0000E31F0000}"/>
    <cellStyle name="_MOR - Gurgaon - 3+9(R)_MOR - Revised Package_II.4. RawMaterials_P&amp;L Rec Qtr" xfId="8165" xr:uid="{00000000-0005-0000-0000-0000E41F0000}"/>
    <cellStyle name="_MOR - Gurgaon - 3+9(R)_MOR - Revised Package_II.4. RawMaterials_Sheet1" xfId="8166" xr:uid="{00000000-0005-0000-0000-0000E51F0000}"/>
    <cellStyle name="_MOR - Gurgaon - 3+9(R)_MOR - Revised Package_II.4. RawMaterials_Sheet2" xfId="8167" xr:uid="{00000000-0005-0000-0000-0000E61F0000}"/>
    <cellStyle name="_MOR - Gurgaon - 3+9(R)_MOR - Revised Package_II.4. RawMaterials_Sheet3" xfId="8168" xr:uid="{00000000-0005-0000-0000-0000E71F0000}"/>
    <cellStyle name="_MOR - Gurgaon - 3+9(R)_MOR - Revised Package_II.4. RawMaterials_Sheet4" xfId="8169" xr:uid="{00000000-0005-0000-0000-0000E81F0000}"/>
    <cellStyle name="_MOR - Gurgaon - 3+9(R)_MOR - Revised Package_II.5. RawMaterials" xfId="8170" xr:uid="{00000000-0005-0000-0000-0000E91F0000}"/>
    <cellStyle name="_MOR - Gurgaon - 3+9(R)_MOR - Revised Package_II.5. RawMaterials 2" xfId="8171" xr:uid="{00000000-0005-0000-0000-0000EA1F0000}"/>
    <cellStyle name="_MOR - Gurgaon - 3+9(R)_MOR - Revised Package_II.5. RawMaterials_BS retrieve" xfId="8172" xr:uid="{00000000-0005-0000-0000-0000EB1F0000}"/>
    <cellStyle name="_MOR - Gurgaon - 3+9(R)_MOR - Revised Package_II.5. RawMaterials_Free CF" xfId="8173" xr:uid="{00000000-0005-0000-0000-0000EC1F0000}"/>
    <cellStyle name="_MOR - Gurgaon - 3+9(R)_MOR - Revised Package_II.5. RawMaterials_P&amp;L Rec Qtr" xfId="8174" xr:uid="{00000000-0005-0000-0000-0000ED1F0000}"/>
    <cellStyle name="_MOR - Gurgaon - 3+9(R)_MOR - Revised Package_II.5. RawMaterials_Sheet1" xfId="8175" xr:uid="{00000000-0005-0000-0000-0000EE1F0000}"/>
    <cellStyle name="_MOR - Gurgaon - 3+9(R)_MOR - Revised Package_II.5. RawMaterials_Sheet2" xfId="8176" xr:uid="{00000000-0005-0000-0000-0000EF1F0000}"/>
    <cellStyle name="_MOR - Gurgaon - 3+9(R)_MOR - Revised Package_II.5. RawMaterials_Sheet3" xfId="8177" xr:uid="{00000000-0005-0000-0000-0000F01F0000}"/>
    <cellStyle name="_MOR - Gurgaon - 3+9(R)_MOR - Revised Package_II.5. RawMaterials_Sheet4" xfId="8178" xr:uid="{00000000-0005-0000-0000-0000F11F0000}"/>
    <cellStyle name="_MOR - Gurgaon - 3+9(R)_MOR - Revised Package_II.5. RM Volume Sensitivities" xfId="8179" xr:uid="{00000000-0005-0000-0000-0000F21F0000}"/>
    <cellStyle name="_MOR - Gurgaon - 3+9(R)_MOR - Revised Package_II.5. RM Volume Sensitivities 2" xfId="8180" xr:uid="{00000000-0005-0000-0000-0000F31F0000}"/>
    <cellStyle name="_MOR - Gurgaon - 3+9(R)_MOR - Revised Package_II.5. RM Volume Sensitivities_BS retrieve" xfId="8181" xr:uid="{00000000-0005-0000-0000-0000F41F0000}"/>
    <cellStyle name="_MOR - Gurgaon - 3+9(R)_MOR - Revised Package_II.5. RM Volume Sensitivities_Free CF" xfId="8182" xr:uid="{00000000-0005-0000-0000-0000F51F0000}"/>
    <cellStyle name="_MOR - Gurgaon - 3+9(R)_MOR - Revised Package_II.5. RM Volume Sensitivities_P&amp;L Rec Qtr" xfId="8183" xr:uid="{00000000-0005-0000-0000-0000F61F0000}"/>
    <cellStyle name="_MOR - Gurgaon - 3+9(R)_MOR - Revised Package_II.5. RM Volume Sensitivities_Sheet1" xfId="8184" xr:uid="{00000000-0005-0000-0000-0000F71F0000}"/>
    <cellStyle name="_MOR - Gurgaon - 3+9(R)_MOR - Revised Package_II.5. RM Volume Sensitivities_Sheet2" xfId="8185" xr:uid="{00000000-0005-0000-0000-0000F81F0000}"/>
    <cellStyle name="_MOR - Gurgaon - 3+9(R)_MOR - Revised Package_II.5. RM Volume Sensitivities_Sheet3" xfId="8186" xr:uid="{00000000-0005-0000-0000-0000F91F0000}"/>
    <cellStyle name="_MOR - Gurgaon - 3+9(R)_MOR - Revised Package_II.5. RM Volume Sensitivities_Sheet4" xfId="8187" xr:uid="{00000000-0005-0000-0000-0000FA1F0000}"/>
    <cellStyle name="_MOR - Gurgaon - 3+9(R)_MOR - Revised Package_II.8. Sep&amp;Discrete" xfId="8188" xr:uid="{00000000-0005-0000-0000-0000FB1F0000}"/>
    <cellStyle name="_MOR - Gurgaon - 3+9(R)_MOR - Revised Package_Restructuring &amp; Separation" xfId="8189" xr:uid="{00000000-0005-0000-0000-0000FC1F0000}"/>
    <cellStyle name="_MOR - Gurgaon - 3+9(R)_MOR - Revised Package_Restructuring_Separation_TAX_JuneFC2010 tf" xfId="8190" xr:uid="{00000000-0005-0000-0000-0000FD1F0000}"/>
    <cellStyle name="_MOR - Gurgaon - 3+9(R)_MOR - Revised Package_Restructuring_Separation_TAX_JuneFC2010 tf_BS_Separation_TaxResIndem_Q12412 tf" xfId="8191" xr:uid="{00000000-0005-0000-0000-0000FE1F0000}"/>
    <cellStyle name="_MOR - Gurgaon - 3+9(R)_MOR - Revised Package_Restructuring_Separation_TAX_JuneFC2010 tf_BS_Separation_TaxResIndem_Q12412 tf_Restructuring &amp; Separation" xfId="8192" xr:uid="{00000000-0005-0000-0000-0000FF1F0000}"/>
    <cellStyle name="_MOR - Gurgaon - 3+9(R)_MOR - Revised Package_Restructuring_Separation_TAX_JuneFC2010 tf_II.8. Sep&amp;Discrete" xfId="8193" xr:uid="{00000000-0005-0000-0000-000000200000}"/>
    <cellStyle name="_MOR - Gurgaon - 3+9(R)_MOR - Revised Package_Restructuring_Separation_TAX_JuneFC2010 tf_Restructuring &amp; Separation" xfId="8194" xr:uid="{00000000-0005-0000-0000-000001200000}"/>
    <cellStyle name="_MOR - Gurgaon - 3+9(R)_MOR - Revised Package_Revised MOR Package - Latest" xfId="8195" xr:uid="{00000000-0005-0000-0000-000002200000}"/>
    <cellStyle name="_MOR - Gurgaon - 3+9(R)_MOR - Revised Package_Revised MOR Package - Latest_BS_Separation_TaxResIndem_Q12412 tf" xfId="8196" xr:uid="{00000000-0005-0000-0000-000003200000}"/>
    <cellStyle name="_MOR - Gurgaon - 3+9(R)_MOR - Revised Package_Revised MOR Package - Latest_BS_Separation_TaxResIndem_Q12412 tf_Restructuring &amp; Separation" xfId="8197" xr:uid="{00000000-0005-0000-0000-000004200000}"/>
    <cellStyle name="_MOR - Gurgaon - 3+9(R)_MOR - Revised Package_Revised MOR Package - Latest_By Country Detail 1Q10 041410pm FIN 18 revised per disc w Mary" xfId="8198" xr:uid="{00000000-0005-0000-0000-000005200000}"/>
    <cellStyle name="_MOR - Gurgaon - 3+9(R)_MOR - Revised Package_Revised MOR Package - Latest_By Country Detail 1Q10 041410pm FIN 18 revised per disc w Mary_BS_Separation_TaxResIndem_Q12412 tf" xfId="8199" xr:uid="{00000000-0005-0000-0000-000006200000}"/>
    <cellStyle name="_MOR - Gurgaon - 3+9(R)_MOR - Revised Package_Revised MOR Package - Latest_By Country Detail 1Q10 041410pm FIN 18 revised per disc w Mary_BS_Separation_TaxResIndem_Q12412 tf_Restructuring &amp; Separation" xfId="8200" xr:uid="{00000000-0005-0000-0000-000007200000}"/>
    <cellStyle name="_MOR - Gurgaon - 3+9(R)_MOR - Revised Package_Revised MOR Package - Latest_By Country Detail 1Q10 041410pm FIN 18 revised per disc w Mary_II.8. Sep&amp;Discrete" xfId="8201" xr:uid="{00000000-0005-0000-0000-000008200000}"/>
    <cellStyle name="_MOR - Gurgaon - 3+9(R)_MOR - Revised Package_Revised MOR Package - Latest_By Country Detail 1Q10 041410pm FIN 18 revised per disc w Mary_Restructuring &amp; Separation" xfId="8202" xr:uid="{00000000-0005-0000-0000-000009200000}"/>
    <cellStyle name="_MOR - Gurgaon - 3+9(R)_MOR - Revised Package_Revised MOR Package - Latest_II.4. RawMaterials" xfId="8203" xr:uid="{00000000-0005-0000-0000-00000A200000}"/>
    <cellStyle name="_MOR - Gurgaon - 3+9(R)_MOR - Revised Package_Revised MOR Package - Latest_II.4. RawMaterials 2" xfId="8204" xr:uid="{00000000-0005-0000-0000-00000B200000}"/>
    <cellStyle name="_MOR - Gurgaon - 3+9(R)_MOR - Revised Package_Revised MOR Package - Latest_II.4. RawMaterials_BS retrieve" xfId="8205" xr:uid="{00000000-0005-0000-0000-00000C200000}"/>
    <cellStyle name="_MOR - Gurgaon - 3+9(R)_MOR - Revised Package_Revised MOR Package - Latest_II.4. RawMaterials_Free CF" xfId="8206" xr:uid="{00000000-0005-0000-0000-00000D200000}"/>
    <cellStyle name="_MOR - Gurgaon - 3+9(R)_MOR - Revised Package_Revised MOR Package - Latest_II.4. RawMaterials_P&amp;L Rec Qtr" xfId="8207" xr:uid="{00000000-0005-0000-0000-00000E200000}"/>
    <cellStyle name="_MOR - Gurgaon - 3+9(R)_MOR - Revised Package_Revised MOR Package - Latest_II.4. RawMaterials_Sheet1" xfId="8208" xr:uid="{00000000-0005-0000-0000-00000F200000}"/>
    <cellStyle name="_MOR - Gurgaon - 3+9(R)_MOR - Revised Package_Revised MOR Package - Latest_II.4. RawMaterials_Sheet2" xfId="8209" xr:uid="{00000000-0005-0000-0000-000010200000}"/>
    <cellStyle name="_MOR - Gurgaon - 3+9(R)_MOR - Revised Package_Revised MOR Package - Latest_II.4. RawMaterials_Sheet3" xfId="8210" xr:uid="{00000000-0005-0000-0000-000011200000}"/>
    <cellStyle name="_MOR - Gurgaon - 3+9(R)_MOR - Revised Package_Revised MOR Package - Latest_II.4. RawMaterials_Sheet4" xfId="8211" xr:uid="{00000000-0005-0000-0000-000012200000}"/>
    <cellStyle name="_MOR - Gurgaon - 3+9(R)_MOR - Revised Package_Revised MOR Package - Latest_II.5. RawMaterials" xfId="8212" xr:uid="{00000000-0005-0000-0000-000013200000}"/>
    <cellStyle name="_MOR - Gurgaon - 3+9(R)_MOR - Revised Package_Revised MOR Package - Latest_II.5. RawMaterials 2" xfId="8213" xr:uid="{00000000-0005-0000-0000-000014200000}"/>
    <cellStyle name="_MOR - Gurgaon - 3+9(R)_MOR - Revised Package_Revised MOR Package - Latest_II.5. RawMaterials_BS retrieve" xfId="8214" xr:uid="{00000000-0005-0000-0000-000015200000}"/>
    <cellStyle name="_MOR - Gurgaon - 3+9(R)_MOR - Revised Package_Revised MOR Package - Latest_II.5. RawMaterials_Free CF" xfId="8215" xr:uid="{00000000-0005-0000-0000-000016200000}"/>
    <cellStyle name="_MOR - Gurgaon - 3+9(R)_MOR - Revised Package_Revised MOR Package - Latest_II.5. RawMaterials_P&amp;L Rec Qtr" xfId="8216" xr:uid="{00000000-0005-0000-0000-000017200000}"/>
    <cellStyle name="_MOR - Gurgaon - 3+9(R)_MOR - Revised Package_Revised MOR Package - Latest_II.5. RawMaterials_Sheet1" xfId="8217" xr:uid="{00000000-0005-0000-0000-000018200000}"/>
    <cellStyle name="_MOR - Gurgaon - 3+9(R)_MOR - Revised Package_Revised MOR Package - Latest_II.5. RawMaterials_Sheet2" xfId="8218" xr:uid="{00000000-0005-0000-0000-000019200000}"/>
    <cellStyle name="_MOR - Gurgaon - 3+9(R)_MOR - Revised Package_Revised MOR Package - Latest_II.5. RawMaterials_Sheet3" xfId="8219" xr:uid="{00000000-0005-0000-0000-00001A200000}"/>
    <cellStyle name="_MOR - Gurgaon - 3+9(R)_MOR - Revised Package_Revised MOR Package - Latest_II.5. RawMaterials_Sheet4" xfId="8220" xr:uid="{00000000-0005-0000-0000-00001B200000}"/>
    <cellStyle name="_MOR - Gurgaon - 3+9(R)_MOR - Revised Package_Revised MOR Package - Latest_II.5. RM Volume Sensitivities" xfId="8221" xr:uid="{00000000-0005-0000-0000-00001C200000}"/>
    <cellStyle name="_MOR - Gurgaon - 3+9(R)_MOR - Revised Package_Revised MOR Package - Latest_II.5. RM Volume Sensitivities 2" xfId="8222" xr:uid="{00000000-0005-0000-0000-00001D200000}"/>
    <cellStyle name="_MOR - Gurgaon - 3+9(R)_MOR - Revised Package_Revised MOR Package - Latest_II.5. RM Volume Sensitivities_BS retrieve" xfId="8223" xr:uid="{00000000-0005-0000-0000-00001E200000}"/>
    <cellStyle name="_MOR - Gurgaon - 3+9(R)_MOR - Revised Package_Revised MOR Package - Latest_II.5. RM Volume Sensitivities_Free CF" xfId="8224" xr:uid="{00000000-0005-0000-0000-00001F200000}"/>
    <cellStyle name="_MOR - Gurgaon - 3+9(R)_MOR - Revised Package_Revised MOR Package - Latest_II.5. RM Volume Sensitivities_P&amp;L Rec Qtr" xfId="8225" xr:uid="{00000000-0005-0000-0000-000020200000}"/>
    <cellStyle name="_MOR - Gurgaon - 3+9(R)_MOR - Revised Package_Revised MOR Package - Latest_II.5. RM Volume Sensitivities_Sheet1" xfId="8226" xr:uid="{00000000-0005-0000-0000-000021200000}"/>
    <cellStyle name="_MOR - Gurgaon - 3+9(R)_MOR - Revised Package_Revised MOR Package - Latest_II.5. RM Volume Sensitivities_Sheet2" xfId="8227" xr:uid="{00000000-0005-0000-0000-000022200000}"/>
    <cellStyle name="_MOR - Gurgaon - 3+9(R)_MOR - Revised Package_Revised MOR Package - Latest_II.5. RM Volume Sensitivities_Sheet3" xfId="8228" xr:uid="{00000000-0005-0000-0000-000023200000}"/>
    <cellStyle name="_MOR - Gurgaon - 3+9(R)_MOR - Revised Package_Revised MOR Package - Latest_II.5. RM Volume Sensitivities_Sheet4" xfId="8229" xr:uid="{00000000-0005-0000-0000-000024200000}"/>
    <cellStyle name="_MOR - Gurgaon - 3+9(R)_MOR - Revised Package_Revised MOR Package - Latest_II.8. Sep&amp;Discrete" xfId="8230" xr:uid="{00000000-0005-0000-0000-000025200000}"/>
    <cellStyle name="_MOR - Gurgaon - 3+9(R)_MOR - Revised Package_Revised MOR Package - Latest_Restructuring &amp; Separation" xfId="8231" xr:uid="{00000000-0005-0000-0000-000026200000}"/>
    <cellStyle name="_MOR - Gurgaon - 3+9(R)_MOR - Revised Package_Revised MOR Package - Latest_Restructuring_Separation_TAX_JuneFC2010 tf" xfId="8232" xr:uid="{00000000-0005-0000-0000-000027200000}"/>
    <cellStyle name="_MOR - Gurgaon - 3+9(R)_MOR - Revised Package_Revised MOR Package - Latest_Restructuring_Separation_TAX_JuneFC2010 tf_BS_Separation_TaxResIndem_Q12412 tf" xfId="8233" xr:uid="{00000000-0005-0000-0000-000028200000}"/>
    <cellStyle name="_MOR - Gurgaon - 3+9(R)_MOR - Revised Package_Revised MOR Package - Latest_Restructuring_Separation_TAX_JuneFC2010 tf_BS_Separation_TaxResIndem_Q12412 tf_Restructuring &amp; Separation" xfId="8234" xr:uid="{00000000-0005-0000-0000-000029200000}"/>
    <cellStyle name="_MOR - Gurgaon - 3+9(R)_MOR - Revised Package_Revised MOR Package - Latest_Restructuring_Separation_TAX_JuneFC2010 tf_II.8. Sep&amp;Discrete" xfId="8235" xr:uid="{00000000-0005-0000-0000-00002A200000}"/>
    <cellStyle name="_MOR - Gurgaon - 3+9(R)_MOR - Revised Package_Revised MOR Package - Latest_Restructuring_Separation_TAX_JuneFC2010 tf_Restructuring &amp; Separation" xfId="8236" xr:uid="{00000000-0005-0000-0000-00002B200000}"/>
    <cellStyle name="_MOR - Gurgaon - 3+9(R)_Restructuring &amp; Separation" xfId="8237" xr:uid="{00000000-0005-0000-0000-00002C200000}"/>
    <cellStyle name="_MOR - Gurgaon - 3+9(R)_Restructuring_Separation_TAX_JuneFC2010 tf" xfId="8238" xr:uid="{00000000-0005-0000-0000-00002D200000}"/>
    <cellStyle name="_MOR - Gurgaon - 3+9(R)_Restructuring_Separation_TAX_JuneFC2010 tf_BS_Separation_TaxResIndem_Q12412 tf" xfId="8239" xr:uid="{00000000-0005-0000-0000-00002E200000}"/>
    <cellStyle name="_MOR - Gurgaon - 3+9(R)_Restructuring_Separation_TAX_JuneFC2010 tf_BS_Separation_TaxResIndem_Q12412 tf_Restructuring &amp; Separation" xfId="8240" xr:uid="{00000000-0005-0000-0000-00002F200000}"/>
    <cellStyle name="_MOR - Gurgaon - 3+9(R)_Restructuring_Separation_TAX_JuneFC2010 tf_II.8. Sep&amp;Discrete" xfId="8241" xr:uid="{00000000-0005-0000-0000-000030200000}"/>
    <cellStyle name="_MOR - Gurgaon - 3+9(R)_Restructuring_Separation_TAX_JuneFC2010 tf_Restructuring &amp; Separation" xfId="8242" xr:uid="{00000000-0005-0000-0000-000031200000}"/>
    <cellStyle name="_MOR - Gurgaon - 3+9(R)_Revised MOR Package" xfId="8243" xr:uid="{00000000-0005-0000-0000-000032200000}"/>
    <cellStyle name="_MOR - Gurgaon - 3+9(R)_Revised MOR Package_~0039877" xfId="8244" xr:uid="{00000000-0005-0000-0000-000033200000}"/>
    <cellStyle name="_MOR - Gurgaon - 3+9(R)_Revised MOR Package_~0039877_BS_Separation_TaxResIndem_Q12412 tf" xfId="8245" xr:uid="{00000000-0005-0000-0000-000034200000}"/>
    <cellStyle name="_MOR - Gurgaon - 3+9(R)_Revised MOR Package_~0039877_BS_Separation_TaxResIndem_Q12412 tf_Restructuring &amp; Separation" xfId="8246" xr:uid="{00000000-0005-0000-0000-000035200000}"/>
    <cellStyle name="_MOR - Gurgaon - 3+9(R)_Revised MOR Package_~0039877_By Country Detail 1Q10 041410pm FIN 18 revised per disc w Mary" xfId="8247" xr:uid="{00000000-0005-0000-0000-000036200000}"/>
    <cellStyle name="_MOR - Gurgaon - 3+9(R)_Revised MOR Package_~0039877_By Country Detail 1Q10 041410pm FIN 18 revised per disc w Mary_BS_Separation_TaxResIndem_Q12412 tf" xfId="8248" xr:uid="{00000000-0005-0000-0000-000037200000}"/>
    <cellStyle name="_MOR - Gurgaon - 3+9(R)_Revised MOR Package_~0039877_By Country Detail 1Q10 041410pm FIN 18 revised per disc w Mary_BS_Separation_TaxResIndem_Q12412 tf_Restructuring &amp; Separation" xfId="8249" xr:uid="{00000000-0005-0000-0000-000038200000}"/>
    <cellStyle name="_MOR - Gurgaon - 3+9(R)_Revised MOR Package_~0039877_By Country Detail 1Q10 041410pm FIN 18 revised per disc w Mary_II.8. Sep&amp;Discrete" xfId="8250" xr:uid="{00000000-0005-0000-0000-000039200000}"/>
    <cellStyle name="_MOR - Gurgaon - 3+9(R)_Revised MOR Package_~0039877_By Country Detail 1Q10 041410pm FIN 18 revised per disc w Mary_Restructuring &amp; Separation" xfId="8251" xr:uid="{00000000-0005-0000-0000-00003A200000}"/>
    <cellStyle name="_MOR - Gurgaon - 3+9(R)_Revised MOR Package_~0039877_II.4. RawMaterials" xfId="8252" xr:uid="{00000000-0005-0000-0000-00003B200000}"/>
    <cellStyle name="_MOR - Gurgaon - 3+9(R)_Revised MOR Package_~0039877_II.4. RawMaterials 2" xfId="8253" xr:uid="{00000000-0005-0000-0000-00003C200000}"/>
    <cellStyle name="_MOR - Gurgaon - 3+9(R)_Revised MOR Package_~0039877_II.4. RawMaterials_BS retrieve" xfId="8254" xr:uid="{00000000-0005-0000-0000-00003D200000}"/>
    <cellStyle name="_MOR - Gurgaon - 3+9(R)_Revised MOR Package_~0039877_II.4. RawMaterials_Free CF" xfId="8255" xr:uid="{00000000-0005-0000-0000-00003E200000}"/>
    <cellStyle name="_MOR - Gurgaon - 3+9(R)_Revised MOR Package_~0039877_II.4. RawMaterials_P&amp;L Rec Qtr" xfId="8256" xr:uid="{00000000-0005-0000-0000-00003F200000}"/>
    <cellStyle name="_MOR - Gurgaon - 3+9(R)_Revised MOR Package_~0039877_II.4. RawMaterials_Sheet1" xfId="8257" xr:uid="{00000000-0005-0000-0000-000040200000}"/>
    <cellStyle name="_MOR - Gurgaon - 3+9(R)_Revised MOR Package_~0039877_II.4. RawMaterials_Sheet2" xfId="8258" xr:uid="{00000000-0005-0000-0000-000041200000}"/>
    <cellStyle name="_MOR - Gurgaon - 3+9(R)_Revised MOR Package_~0039877_II.4. RawMaterials_Sheet3" xfId="8259" xr:uid="{00000000-0005-0000-0000-000042200000}"/>
    <cellStyle name="_MOR - Gurgaon - 3+9(R)_Revised MOR Package_~0039877_II.4. RawMaterials_Sheet4" xfId="8260" xr:uid="{00000000-0005-0000-0000-000043200000}"/>
    <cellStyle name="_MOR - Gurgaon - 3+9(R)_Revised MOR Package_~0039877_II.5. RawMaterials" xfId="8261" xr:uid="{00000000-0005-0000-0000-000044200000}"/>
    <cellStyle name="_MOR - Gurgaon - 3+9(R)_Revised MOR Package_~0039877_II.5. RawMaterials 2" xfId="8262" xr:uid="{00000000-0005-0000-0000-000045200000}"/>
    <cellStyle name="_MOR - Gurgaon - 3+9(R)_Revised MOR Package_~0039877_II.5. RawMaterials_BS retrieve" xfId="8263" xr:uid="{00000000-0005-0000-0000-000046200000}"/>
    <cellStyle name="_MOR - Gurgaon - 3+9(R)_Revised MOR Package_~0039877_II.5. RawMaterials_Free CF" xfId="8264" xr:uid="{00000000-0005-0000-0000-000047200000}"/>
    <cellStyle name="_MOR - Gurgaon - 3+9(R)_Revised MOR Package_~0039877_II.5. RawMaterials_P&amp;L Rec Qtr" xfId="8265" xr:uid="{00000000-0005-0000-0000-000048200000}"/>
    <cellStyle name="_MOR - Gurgaon - 3+9(R)_Revised MOR Package_~0039877_II.5. RawMaterials_Sheet1" xfId="8266" xr:uid="{00000000-0005-0000-0000-000049200000}"/>
    <cellStyle name="_MOR - Gurgaon - 3+9(R)_Revised MOR Package_~0039877_II.5. RawMaterials_Sheet2" xfId="8267" xr:uid="{00000000-0005-0000-0000-00004A200000}"/>
    <cellStyle name="_MOR - Gurgaon - 3+9(R)_Revised MOR Package_~0039877_II.5. RawMaterials_Sheet3" xfId="8268" xr:uid="{00000000-0005-0000-0000-00004B200000}"/>
    <cellStyle name="_MOR - Gurgaon - 3+9(R)_Revised MOR Package_~0039877_II.5. RawMaterials_Sheet4" xfId="8269" xr:uid="{00000000-0005-0000-0000-00004C200000}"/>
    <cellStyle name="_MOR - Gurgaon - 3+9(R)_Revised MOR Package_~0039877_II.5. RM Volume Sensitivities" xfId="8270" xr:uid="{00000000-0005-0000-0000-00004D200000}"/>
    <cellStyle name="_MOR - Gurgaon - 3+9(R)_Revised MOR Package_~0039877_II.5. RM Volume Sensitivities 2" xfId="8271" xr:uid="{00000000-0005-0000-0000-00004E200000}"/>
    <cellStyle name="_MOR - Gurgaon - 3+9(R)_Revised MOR Package_~0039877_II.5. RM Volume Sensitivities_BS retrieve" xfId="8272" xr:uid="{00000000-0005-0000-0000-00004F200000}"/>
    <cellStyle name="_MOR - Gurgaon - 3+9(R)_Revised MOR Package_~0039877_II.5. RM Volume Sensitivities_Free CF" xfId="8273" xr:uid="{00000000-0005-0000-0000-000050200000}"/>
    <cellStyle name="_MOR - Gurgaon - 3+9(R)_Revised MOR Package_~0039877_II.5. RM Volume Sensitivities_P&amp;L Rec Qtr" xfId="8274" xr:uid="{00000000-0005-0000-0000-000051200000}"/>
    <cellStyle name="_MOR - Gurgaon - 3+9(R)_Revised MOR Package_~0039877_II.5. RM Volume Sensitivities_Sheet1" xfId="8275" xr:uid="{00000000-0005-0000-0000-000052200000}"/>
    <cellStyle name="_MOR - Gurgaon - 3+9(R)_Revised MOR Package_~0039877_II.5. RM Volume Sensitivities_Sheet2" xfId="8276" xr:uid="{00000000-0005-0000-0000-000053200000}"/>
    <cellStyle name="_MOR - Gurgaon - 3+9(R)_Revised MOR Package_~0039877_II.5. RM Volume Sensitivities_Sheet3" xfId="8277" xr:uid="{00000000-0005-0000-0000-000054200000}"/>
    <cellStyle name="_MOR - Gurgaon - 3+9(R)_Revised MOR Package_~0039877_II.5. RM Volume Sensitivities_Sheet4" xfId="8278" xr:uid="{00000000-0005-0000-0000-000055200000}"/>
    <cellStyle name="_MOR - Gurgaon - 3+9(R)_Revised MOR Package_~0039877_II.8. Sep&amp;Discrete" xfId="8279" xr:uid="{00000000-0005-0000-0000-000056200000}"/>
    <cellStyle name="_MOR - Gurgaon - 3+9(R)_Revised MOR Package_~0039877_Restructuring &amp; Separation" xfId="8280" xr:uid="{00000000-0005-0000-0000-000057200000}"/>
    <cellStyle name="_MOR - Gurgaon - 3+9(R)_Revised MOR Package_~0039877_Restructuring_Separation_TAX_JuneFC2010 tf" xfId="8281" xr:uid="{00000000-0005-0000-0000-000058200000}"/>
    <cellStyle name="_MOR - Gurgaon - 3+9(R)_Revised MOR Package_~0039877_Restructuring_Separation_TAX_JuneFC2010 tf_BS_Separation_TaxResIndem_Q12412 tf" xfId="8282" xr:uid="{00000000-0005-0000-0000-000059200000}"/>
    <cellStyle name="_MOR - Gurgaon - 3+9(R)_Revised MOR Package_~0039877_Restructuring_Separation_TAX_JuneFC2010 tf_BS_Separation_TaxResIndem_Q12412 tf_Restructuring &amp; Separation" xfId="8283" xr:uid="{00000000-0005-0000-0000-00005A200000}"/>
    <cellStyle name="_MOR - Gurgaon - 3+9(R)_Revised MOR Package_~0039877_Restructuring_Separation_TAX_JuneFC2010 tf_II.8. Sep&amp;Discrete" xfId="8284" xr:uid="{00000000-0005-0000-0000-00005B200000}"/>
    <cellStyle name="_MOR - Gurgaon - 3+9(R)_Revised MOR Package_~0039877_Restructuring_Separation_TAX_JuneFC2010 tf_Restructuring &amp; Separation" xfId="8285" xr:uid="{00000000-0005-0000-0000-00005C200000}"/>
    <cellStyle name="_MOR - Gurgaon - 3+9(R)_Revised MOR Package_BS_Separation_TaxResIndem_Q12412 tf" xfId="8286" xr:uid="{00000000-0005-0000-0000-00005D200000}"/>
    <cellStyle name="_MOR - Gurgaon - 3+9(R)_Revised MOR Package_BS_Separation_TaxResIndem_Q12412 tf_Restructuring &amp; Separation" xfId="8287" xr:uid="{00000000-0005-0000-0000-00005E200000}"/>
    <cellStyle name="_MOR - Gurgaon - 3+9(R)_Revised MOR Package_By Country Detail 1Q10 041410pm FIN 18 revised per disc w Mary" xfId="8288" xr:uid="{00000000-0005-0000-0000-00005F200000}"/>
    <cellStyle name="_MOR - Gurgaon - 3+9(R)_Revised MOR Package_By Country Detail 1Q10 041410pm FIN 18 revised per disc w Mary_BS_Separation_TaxResIndem_Q12412 tf" xfId="8289" xr:uid="{00000000-0005-0000-0000-000060200000}"/>
    <cellStyle name="_MOR - Gurgaon - 3+9(R)_Revised MOR Package_By Country Detail 1Q10 041410pm FIN 18 revised per disc w Mary_BS_Separation_TaxResIndem_Q12412 tf_Restructuring &amp; Separation" xfId="8290" xr:uid="{00000000-0005-0000-0000-000061200000}"/>
    <cellStyle name="_MOR - Gurgaon - 3+9(R)_Revised MOR Package_By Country Detail 1Q10 041410pm FIN 18 revised per disc w Mary_II.8. Sep&amp;Discrete" xfId="8291" xr:uid="{00000000-0005-0000-0000-000062200000}"/>
    <cellStyle name="_MOR - Gurgaon - 3+9(R)_Revised MOR Package_By Country Detail 1Q10 041410pm FIN 18 revised per disc w Mary_Restructuring &amp; Separation" xfId="8292" xr:uid="{00000000-0005-0000-0000-000063200000}"/>
    <cellStyle name="_MOR - Gurgaon - 3+9(R)_Revised MOR Package_II.4. RawMaterials" xfId="8293" xr:uid="{00000000-0005-0000-0000-000064200000}"/>
    <cellStyle name="_MOR - Gurgaon - 3+9(R)_Revised MOR Package_II.4. RawMaterials 2" xfId="8294" xr:uid="{00000000-0005-0000-0000-000065200000}"/>
    <cellStyle name="_MOR - Gurgaon - 3+9(R)_Revised MOR Package_II.4. RawMaterials_BS retrieve" xfId="8295" xr:uid="{00000000-0005-0000-0000-000066200000}"/>
    <cellStyle name="_MOR - Gurgaon - 3+9(R)_Revised MOR Package_II.4. RawMaterials_Free CF" xfId="8296" xr:uid="{00000000-0005-0000-0000-000067200000}"/>
    <cellStyle name="_MOR - Gurgaon - 3+9(R)_Revised MOR Package_II.4. RawMaterials_P&amp;L Rec Qtr" xfId="8297" xr:uid="{00000000-0005-0000-0000-000068200000}"/>
    <cellStyle name="_MOR - Gurgaon - 3+9(R)_Revised MOR Package_II.4. RawMaterials_Sheet1" xfId="8298" xr:uid="{00000000-0005-0000-0000-000069200000}"/>
    <cellStyle name="_MOR - Gurgaon - 3+9(R)_Revised MOR Package_II.4. RawMaterials_Sheet2" xfId="8299" xr:uid="{00000000-0005-0000-0000-00006A200000}"/>
    <cellStyle name="_MOR - Gurgaon - 3+9(R)_Revised MOR Package_II.4. RawMaterials_Sheet3" xfId="8300" xr:uid="{00000000-0005-0000-0000-00006B200000}"/>
    <cellStyle name="_MOR - Gurgaon - 3+9(R)_Revised MOR Package_II.4. RawMaterials_Sheet4" xfId="8301" xr:uid="{00000000-0005-0000-0000-00006C200000}"/>
    <cellStyle name="_MOR - Gurgaon - 3+9(R)_Revised MOR Package_II.5. RawMaterials" xfId="8302" xr:uid="{00000000-0005-0000-0000-00006D200000}"/>
    <cellStyle name="_MOR - Gurgaon - 3+9(R)_Revised MOR Package_II.5. RawMaterials 2" xfId="8303" xr:uid="{00000000-0005-0000-0000-00006E200000}"/>
    <cellStyle name="_MOR - Gurgaon - 3+9(R)_Revised MOR Package_II.5. RawMaterials_BS retrieve" xfId="8304" xr:uid="{00000000-0005-0000-0000-00006F200000}"/>
    <cellStyle name="_MOR - Gurgaon - 3+9(R)_Revised MOR Package_II.5. RawMaterials_Free CF" xfId="8305" xr:uid="{00000000-0005-0000-0000-000070200000}"/>
    <cellStyle name="_MOR - Gurgaon - 3+9(R)_Revised MOR Package_II.5. RawMaterials_P&amp;L Rec Qtr" xfId="8306" xr:uid="{00000000-0005-0000-0000-000071200000}"/>
    <cellStyle name="_MOR - Gurgaon - 3+9(R)_Revised MOR Package_II.5. RawMaterials_Sheet1" xfId="8307" xr:uid="{00000000-0005-0000-0000-000072200000}"/>
    <cellStyle name="_MOR - Gurgaon - 3+9(R)_Revised MOR Package_II.5. RawMaterials_Sheet2" xfId="8308" xr:uid="{00000000-0005-0000-0000-000073200000}"/>
    <cellStyle name="_MOR - Gurgaon - 3+9(R)_Revised MOR Package_II.5. RawMaterials_Sheet3" xfId="8309" xr:uid="{00000000-0005-0000-0000-000074200000}"/>
    <cellStyle name="_MOR - Gurgaon - 3+9(R)_Revised MOR Package_II.5. RawMaterials_Sheet4" xfId="8310" xr:uid="{00000000-0005-0000-0000-000075200000}"/>
    <cellStyle name="_MOR - Gurgaon - 3+9(R)_Revised MOR Package_II.5. RM Volume Sensitivities" xfId="8311" xr:uid="{00000000-0005-0000-0000-000076200000}"/>
    <cellStyle name="_MOR - Gurgaon - 3+9(R)_Revised MOR Package_II.5. RM Volume Sensitivities 2" xfId="8312" xr:uid="{00000000-0005-0000-0000-000077200000}"/>
    <cellStyle name="_MOR - Gurgaon - 3+9(R)_Revised MOR Package_II.5. RM Volume Sensitivities_BS retrieve" xfId="8313" xr:uid="{00000000-0005-0000-0000-000078200000}"/>
    <cellStyle name="_MOR - Gurgaon - 3+9(R)_Revised MOR Package_II.5. RM Volume Sensitivities_Free CF" xfId="8314" xr:uid="{00000000-0005-0000-0000-000079200000}"/>
    <cellStyle name="_MOR - Gurgaon - 3+9(R)_Revised MOR Package_II.5. RM Volume Sensitivities_P&amp;L Rec Qtr" xfId="8315" xr:uid="{00000000-0005-0000-0000-00007A200000}"/>
    <cellStyle name="_MOR - Gurgaon - 3+9(R)_Revised MOR Package_II.5. RM Volume Sensitivities_Sheet1" xfId="8316" xr:uid="{00000000-0005-0000-0000-00007B200000}"/>
    <cellStyle name="_MOR - Gurgaon - 3+9(R)_Revised MOR Package_II.5. RM Volume Sensitivities_Sheet2" xfId="8317" xr:uid="{00000000-0005-0000-0000-00007C200000}"/>
    <cellStyle name="_MOR - Gurgaon - 3+9(R)_Revised MOR Package_II.5. RM Volume Sensitivities_Sheet3" xfId="8318" xr:uid="{00000000-0005-0000-0000-00007D200000}"/>
    <cellStyle name="_MOR - Gurgaon - 3+9(R)_Revised MOR Package_II.5. RM Volume Sensitivities_Sheet4" xfId="8319" xr:uid="{00000000-0005-0000-0000-00007E200000}"/>
    <cellStyle name="_MOR - Gurgaon - 3+9(R)_Revised MOR Package_II.8. Sep&amp;Discrete" xfId="8320" xr:uid="{00000000-0005-0000-0000-00007F200000}"/>
    <cellStyle name="_MOR - Gurgaon - 3+9(R)_Revised MOR Package_Restructuring &amp; Separation" xfId="8321" xr:uid="{00000000-0005-0000-0000-000080200000}"/>
    <cellStyle name="_MOR - Gurgaon - 3+9(R)_Revised MOR Package_Restructuring_Separation_TAX_JuneFC2010 tf" xfId="8322" xr:uid="{00000000-0005-0000-0000-000081200000}"/>
    <cellStyle name="_MOR - Gurgaon - 3+9(R)_Revised MOR Package_Restructuring_Separation_TAX_JuneFC2010 tf_BS_Separation_TaxResIndem_Q12412 tf" xfId="8323" xr:uid="{00000000-0005-0000-0000-000082200000}"/>
    <cellStyle name="_MOR - Gurgaon - 3+9(R)_Revised MOR Package_Restructuring_Separation_TAX_JuneFC2010 tf_BS_Separation_TaxResIndem_Q12412 tf_Restructuring &amp; Separation" xfId="8324" xr:uid="{00000000-0005-0000-0000-000083200000}"/>
    <cellStyle name="_MOR - Gurgaon - 3+9(R)_Revised MOR Package_Restructuring_Separation_TAX_JuneFC2010 tf_II.8. Sep&amp;Discrete" xfId="8325" xr:uid="{00000000-0005-0000-0000-000084200000}"/>
    <cellStyle name="_MOR - Gurgaon - 3+9(R)_Revised MOR Package_Restructuring_Separation_TAX_JuneFC2010 tf_Restructuring &amp; Separation" xfId="8326" xr:uid="{00000000-0005-0000-0000-000085200000}"/>
    <cellStyle name="_MOR - Gurgaon - 3+9(R)_Revised MOR Package_Revised MOR Package - Latest" xfId="8327" xr:uid="{00000000-0005-0000-0000-000086200000}"/>
    <cellStyle name="_MOR - Gurgaon - 3+9(R)_Revised MOR Package_Revised MOR Package - Latest_BS_Separation_TaxResIndem_Q12412 tf" xfId="8328" xr:uid="{00000000-0005-0000-0000-000087200000}"/>
    <cellStyle name="_MOR - Gurgaon - 3+9(R)_Revised MOR Package_Revised MOR Package - Latest_BS_Separation_TaxResIndem_Q12412 tf_Restructuring &amp; Separation" xfId="8329" xr:uid="{00000000-0005-0000-0000-000088200000}"/>
    <cellStyle name="_MOR - Gurgaon - 3+9(R)_Revised MOR Package_Revised MOR Package - Latest_By Country Detail 1Q10 041410pm FIN 18 revised per disc w Mary" xfId="8330" xr:uid="{00000000-0005-0000-0000-000089200000}"/>
    <cellStyle name="_MOR - Gurgaon - 3+9(R)_Revised MOR Package_Revised MOR Package - Latest_By Country Detail 1Q10 041410pm FIN 18 revised per disc w Mary_BS_Separation_TaxResIndem_Q12412 tf" xfId="8331" xr:uid="{00000000-0005-0000-0000-00008A200000}"/>
    <cellStyle name="_MOR - Gurgaon - 3+9(R)_Revised MOR Package_Revised MOR Package - Latest_By Country Detail 1Q10 041410pm FIN 18 revised per disc w Mary_BS_Separation_TaxResIndem_Q12412 tf_Restructuring &amp; Separation" xfId="8332" xr:uid="{00000000-0005-0000-0000-00008B200000}"/>
    <cellStyle name="_MOR - Gurgaon - 3+9(R)_Revised MOR Package_Revised MOR Package - Latest_By Country Detail 1Q10 041410pm FIN 18 revised per disc w Mary_II.8. Sep&amp;Discrete" xfId="8333" xr:uid="{00000000-0005-0000-0000-00008C200000}"/>
    <cellStyle name="_MOR - Gurgaon - 3+9(R)_Revised MOR Package_Revised MOR Package - Latest_By Country Detail 1Q10 041410pm FIN 18 revised per disc w Mary_Restructuring &amp; Separation" xfId="8334" xr:uid="{00000000-0005-0000-0000-00008D200000}"/>
    <cellStyle name="_MOR - Gurgaon - 3+9(R)_Revised MOR Package_Revised MOR Package - Latest_II.4. RawMaterials" xfId="8335" xr:uid="{00000000-0005-0000-0000-00008E200000}"/>
    <cellStyle name="_MOR - Gurgaon - 3+9(R)_Revised MOR Package_Revised MOR Package - Latest_II.4. RawMaterials 2" xfId="8336" xr:uid="{00000000-0005-0000-0000-00008F200000}"/>
    <cellStyle name="_MOR - Gurgaon - 3+9(R)_Revised MOR Package_Revised MOR Package - Latest_II.4. RawMaterials_BS retrieve" xfId="8337" xr:uid="{00000000-0005-0000-0000-000090200000}"/>
    <cellStyle name="_MOR - Gurgaon - 3+9(R)_Revised MOR Package_Revised MOR Package - Latest_II.4. RawMaterials_Free CF" xfId="8338" xr:uid="{00000000-0005-0000-0000-000091200000}"/>
    <cellStyle name="_MOR - Gurgaon - 3+9(R)_Revised MOR Package_Revised MOR Package - Latest_II.4. RawMaterials_P&amp;L Rec Qtr" xfId="8339" xr:uid="{00000000-0005-0000-0000-000092200000}"/>
    <cellStyle name="_MOR - Gurgaon - 3+9(R)_Revised MOR Package_Revised MOR Package - Latest_II.4. RawMaterials_Sheet1" xfId="8340" xr:uid="{00000000-0005-0000-0000-000093200000}"/>
    <cellStyle name="_MOR - Gurgaon - 3+9(R)_Revised MOR Package_Revised MOR Package - Latest_II.4. RawMaterials_Sheet2" xfId="8341" xr:uid="{00000000-0005-0000-0000-000094200000}"/>
    <cellStyle name="_MOR - Gurgaon - 3+9(R)_Revised MOR Package_Revised MOR Package - Latest_II.4. RawMaterials_Sheet3" xfId="8342" xr:uid="{00000000-0005-0000-0000-000095200000}"/>
    <cellStyle name="_MOR - Gurgaon - 3+9(R)_Revised MOR Package_Revised MOR Package - Latest_II.4. RawMaterials_Sheet4" xfId="8343" xr:uid="{00000000-0005-0000-0000-000096200000}"/>
    <cellStyle name="_MOR - Gurgaon - 3+9(R)_Revised MOR Package_Revised MOR Package - Latest_II.5. RawMaterials" xfId="8344" xr:uid="{00000000-0005-0000-0000-000097200000}"/>
    <cellStyle name="_MOR - Gurgaon - 3+9(R)_Revised MOR Package_Revised MOR Package - Latest_II.5. RawMaterials 2" xfId="8345" xr:uid="{00000000-0005-0000-0000-000098200000}"/>
    <cellStyle name="_MOR - Gurgaon - 3+9(R)_Revised MOR Package_Revised MOR Package - Latest_II.5. RawMaterials_BS retrieve" xfId="8346" xr:uid="{00000000-0005-0000-0000-000099200000}"/>
    <cellStyle name="_MOR - Gurgaon - 3+9(R)_Revised MOR Package_Revised MOR Package - Latest_II.5. RawMaterials_Free CF" xfId="8347" xr:uid="{00000000-0005-0000-0000-00009A200000}"/>
    <cellStyle name="_MOR - Gurgaon - 3+9(R)_Revised MOR Package_Revised MOR Package - Latest_II.5. RawMaterials_P&amp;L Rec Qtr" xfId="8348" xr:uid="{00000000-0005-0000-0000-00009B200000}"/>
    <cellStyle name="_MOR - Gurgaon - 3+9(R)_Revised MOR Package_Revised MOR Package - Latest_II.5. RawMaterials_Sheet1" xfId="8349" xr:uid="{00000000-0005-0000-0000-00009C200000}"/>
    <cellStyle name="_MOR - Gurgaon - 3+9(R)_Revised MOR Package_Revised MOR Package - Latest_II.5. RawMaterials_Sheet2" xfId="8350" xr:uid="{00000000-0005-0000-0000-00009D200000}"/>
    <cellStyle name="_MOR - Gurgaon - 3+9(R)_Revised MOR Package_Revised MOR Package - Latest_II.5. RawMaterials_Sheet3" xfId="8351" xr:uid="{00000000-0005-0000-0000-00009E200000}"/>
    <cellStyle name="_MOR - Gurgaon - 3+9(R)_Revised MOR Package_Revised MOR Package - Latest_II.5. RawMaterials_Sheet4" xfId="8352" xr:uid="{00000000-0005-0000-0000-00009F200000}"/>
    <cellStyle name="_MOR - Gurgaon - 3+9(R)_Revised MOR Package_Revised MOR Package - Latest_II.5. RM Volume Sensitivities" xfId="8353" xr:uid="{00000000-0005-0000-0000-0000A0200000}"/>
    <cellStyle name="_MOR - Gurgaon - 3+9(R)_Revised MOR Package_Revised MOR Package - Latest_II.5. RM Volume Sensitivities 2" xfId="8354" xr:uid="{00000000-0005-0000-0000-0000A1200000}"/>
    <cellStyle name="_MOR - Gurgaon - 3+9(R)_Revised MOR Package_Revised MOR Package - Latest_II.5. RM Volume Sensitivities_BS retrieve" xfId="8355" xr:uid="{00000000-0005-0000-0000-0000A2200000}"/>
    <cellStyle name="_MOR - Gurgaon - 3+9(R)_Revised MOR Package_Revised MOR Package - Latest_II.5. RM Volume Sensitivities_Free CF" xfId="8356" xr:uid="{00000000-0005-0000-0000-0000A3200000}"/>
    <cellStyle name="_MOR - Gurgaon - 3+9(R)_Revised MOR Package_Revised MOR Package - Latest_II.5. RM Volume Sensitivities_P&amp;L Rec Qtr" xfId="8357" xr:uid="{00000000-0005-0000-0000-0000A4200000}"/>
    <cellStyle name="_MOR - Gurgaon - 3+9(R)_Revised MOR Package_Revised MOR Package - Latest_II.5. RM Volume Sensitivities_Sheet1" xfId="8358" xr:uid="{00000000-0005-0000-0000-0000A5200000}"/>
    <cellStyle name="_MOR - Gurgaon - 3+9(R)_Revised MOR Package_Revised MOR Package - Latest_II.5. RM Volume Sensitivities_Sheet2" xfId="8359" xr:uid="{00000000-0005-0000-0000-0000A6200000}"/>
    <cellStyle name="_MOR - Gurgaon - 3+9(R)_Revised MOR Package_Revised MOR Package - Latest_II.5. RM Volume Sensitivities_Sheet3" xfId="8360" xr:uid="{00000000-0005-0000-0000-0000A7200000}"/>
    <cellStyle name="_MOR - Gurgaon - 3+9(R)_Revised MOR Package_Revised MOR Package - Latest_II.5. RM Volume Sensitivities_Sheet4" xfId="8361" xr:uid="{00000000-0005-0000-0000-0000A8200000}"/>
    <cellStyle name="_MOR - Gurgaon - 3+9(R)_Revised MOR Package_Revised MOR Package - Latest_II.8. Sep&amp;Discrete" xfId="8362" xr:uid="{00000000-0005-0000-0000-0000A9200000}"/>
    <cellStyle name="_MOR - Gurgaon - 3+9(R)_Revised MOR Package_Revised MOR Package - Latest_Restructuring &amp; Separation" xfId="8363" xr:uid="{00000000-0005-0000-0000-0000AA200000}"/>
    <cellStyle name="_MOR - Gurgaon - 3+9(R)_Revised MOR Package_Revised MOR Package - Latest_Restructuring_Separation_TAX_JuneFC2010 tf" xfId="8364" xr:uid="{00000000-0005-0000-0000-0000AB200000}"/>
    <cellStyle name="_MOR - Gurgaon - 3+9(R)_Revised MOR Package_Revised MOR Package - Latest_Restructuring_Separation_TAX_JuneFC2010 tf_BS_Separation_TaxResIndem_Q12412 tf" xfId="8365" xr:uid="{00000000-0005-0000-0000-0000AC200000}"/>
    <cellStyle name="_MOR - Gurgaon - 3+9(R)_Revised MOR Package_Revised MOR Package - Latest_Restructuring_Separation_TAX_JuneFC2010 tf_BS_Separation_TaxResIndem_Q12412 tf_Restructuring &amp; Separation" xfId="8366" xr:uid="{00000000-0005-0000-0000-0000AD200000}"/>
    <cellStyle name="_MOR - Gurgaon - 3+9(R)_Revised MOR Package_Revised MOR Package - Latest_Restructuring_Separation_TAX_JuneFC2010 tf_II.8. Sep&amp;Discrete" xfId="8367" xr:uid="{00000000-0005-0000-0000-0000AE200000}"/>
    <cellStyle name="_MOR - Gurgaon - 3+9(R)_Revised MOR Package_Revised MOR Package - Latest_Restructuring_Separation_TAX_JuneFC2010 tf_Restructuring &amp; Separation" xfId="8368" xr:uid="{00000000-0005-0000-0000-0000AF200000}"/>
    <cellStyle name="_MOR - Gurgaon - 3+9(R)-1" xfId="8369" xr:uid="{00000000-0005-0000-0000-0000B0200000}"/>
    <cellStyle name="_MOR - Gurgaon - 3+9(R)-1_BS_Separation_TaxResIndem_Q12412 tf" xfId="8370" xr:uid="{00000000-0005-0000-0000-0000B1200000}"/>
    <cellStyle name="_MOR - Gurgaon - 3+9(R)-1_BS_Separation_TaxResIndem_Q12412 tf_Restructuring &amp; Separation" xfId="8371" xr:uid="{00000000-0005-0000-0000-0000B2200000}"/>
    <cellStyle name="_MOR - Gurgaon - 3+9(R)-1_By Country Detail 1Q10 041410pm FIN 18 revised per disc w Mary" xfId="8372" xr:uid="{00000000-0005-0000-0000-0000B3200000}"/>
    <cellStyle name="_MOR - Gurgaon - 3+9(R)-1_By Country Detail 1Q10 041410pm FIN 18 revised per disc w Mary_BS_Separation_TaxResIndem_Q12412 tf" xfId="8373" xr:uid="{00000000-0005-0000-0000-0000B4200000}"/>
    <cellStyle name="_MOR - Gurgaon - 3+9(R)-1_By Country Detail 1Q10 041410pm FIN 18 revised per disc w Mary_BS_Separation_TaxResIndem_Q12412 tf_Restructuring &amp; Separation" xfId="8374" xr:uid="{00000000-0005-0000-0000-0000B5200000}"/>
    <cellStyle name="_MOR - Gurgaon - 3+9(R)-1_By Country Detail 1Q10 041410pm FIN 18 revised per disc w Mary_II.8. Sep&amp;Discrete" xfId="8375" xr:uid="{00000000-0005-0000-0000-0000B6200000}"/>
    <cellStyle name="_MOR - Gurgaon - 3+9(R)-1_By Country Detail 1Q10 041410pm FIN 18 revised per disc w Mary_Restructuring &amp; Separation" xfId="8376" xr:uid="{00000000-0005-0000-0000-0000B7200000}"/>
    <cellStyle name="_MOR - Gurgaon - 3+9(R)-1_II.4. RawMaterials" xfId="8377" xr:uid="{00000000-0005-0000-0000-0000B8200000}"/>
    <cellStyle name="_MOR - Gurgaon - 3+9(R)-1_II.4. RawMaterials 2" xfId="8378" xr:uid="{00000000-0005-0000-0000-0000B9200000}"/>
    <cellStyle name="_MOR - Gurgaon - 3+9(R)-1_II.4. RawMaterials_BS retrieve" xfId="8379" xr:uid="{00000000-0005-0000-0000-0000BA200000}"/>
    <cellStyle name="_MOR - Gurgaon - 3+9(R)-1_II.4. RawMaterials_Free CF" xfId="8380" xr:uid="{00000000-0005-0000-0000-0000BB200000}"/>
    <cellStyle name="_MOR - Gurgaon - 3+9(R)-1_II.4. RawMaterials_P&amp;L Rec Qtr" xfId="8381" xr:uid="{00000000-0005-0000-0000-0000BC200000}"/>
    <cellStyle name="_MOR - Gurgaon - 3+9(R)-1_II.4. RawMaterials_Sheet1" xfId="8382" xr:uid="{00000000-0005-0000-0000-0000BD200000}"/>
    <cellStyle name="_MOR - Gurgaon - 3+9(R)-1_II.4. RawMaterials_Sheet2" xfId="8383" xr:uid="{00000000-0005-0000-0000-0000BE200000}"/>
    <cellStyle name="_MOR - Gurgaon - 3+9(R)-1_II.4. RawMaterials_Sheet3" xfId="8384" xr:uid="{00000000-0005-0000-0000-0000BF200000}"/>
    <cellStyle name="_MOR - Gurgaon - 3+9(R)-1_II.4. RawMaterials_Sheet4" xfId="8385" xr:uid="{00000000-0005-0000-0000-0000C0200000}"/>
    <cellStyle name="_MOR - Gurgaon - 3+9(R)-1_II.5. RawMaterials" xfId="8386" xr:uid="{00000000-0005-0000-0000-0000C1200000}"/>
    <cellStyle name="_MOR - Gurgaon - 3+9(R)-1_II.5. RawMaterials 2" xfId="8387" xr:uid="{00000000-0005-0000-0000-0000C2200000}"/>
    <cellStyle name="_MOR - Gurgaon - 3+9(R)-1_II.5. RawMaterials_BS retrieve" xfId="8388" xr:uid="{00000000-0005-0000-0000-0000C3200000}"/>
    <cellStyle name="_MOR - Gurgaon - 3+9(R)-1_II.5. RawMaterials_Free CF" xfId="8389" xr:uid="{00000000-0005-0000-0000-0000C4200000}"/>
    <cellStyle name="_MOR - Gurgaon - 3+9(R)-1_II.5. RawMaterials_P&amp;L Rec Qtr" xfId="8390" xr:uid="{00000000-0005-0000-0000-0000C5200000}"/>
    <cellStyle name="_MOR - Gurgaon - 3+9(R)-1_II.5. RawMaterials_Sheet1" xfId="8391" xr:uid="{00000000-0005-0000-0000-0000C6200000}"/>
    <cellStyle name="_MOR - Gurgaon - 3+9(R)-1_II.5. RawMaterials_Sheet2" xfId="8392" xr:uid="{00000000-0005-0000-0000-0000C7200000}"/>
    <cellStyle name="_MOR - Gurgaon - 3+9(R)-1_II.5. RawMaterials_Sheet3" xfId="8393" xr:uid="{00000000-0005-0000-0000-0000C8200000}"/>
    <cellStyle name="_MOR - Gurgaon - 3+9(R)-1_II.5. RawMaterials_Sheet4" xfId="8394" xr:uid="{00000000-0005-0000-0000-0000C9200000}"/>
    <cellStyle name="_MOR - Gurgaon - 3+9(R)-1_II.5. RM Volume Sensitivities" xfId="8395" xr:uid="{00000000-0005-0000-0000-0000CA200000}"/>
    <cellStyle name="_MOR - Gurgaon - 3+9(R)-1_II.5. RM Volume Sensitivities 2" xfId="8396" xr:uid="{00000000-0005-0000-0000-0000CB200000}"/>
    <cellStyle name="_MOR - Gurgaon - 3+9(R)-1_II.5. RM Volume Sensitivities_BS retrieve" xfId="8397" xr:uid="{00000000-0005-0000-0000-0000CC200000}"/>
    <cellStyle name="_MOR - Gurgaon - 3+9(R)-1_II.5. RM Volume Sensitivities_Free CF" xfId="8398" xr:uid="{00000000-0005-0000-0000-0000CD200000}"/>
    <cellStyle name="_MOR - Gurgaon - 3+9(R)-1_II.5. RM Volume Sensitivities_P&amp;L Rec Qtr" xfId="8399" xr:uid="{00000000-0005-0000-0000-0000CE200000}"/>
    <cellStyle name="_MOR - Gurgaon - 3+9(R)-1_II.5. RM Volume Sensitivities_Sheet1" xfId="8400" xr:uid="{00000000-0005-0000-0000-0000CF200000}"/>
    <cellStyle name="_MOR - Gurgaon - 3+9(R)-1_II.5. RM Volume Sensitivities_Sheet2" xfId="8401" xr:uid="{00000000-0005-0000-0000-0000D0200000}"/>
    <cellStyle name="_MOR - Gurgaon - 3+9(R)-1_II.5. RM Volume Sensitivities_Sheet3" xfId="8402" xr:uid="{00000000-0005-0000-0000-0000D1200000}"/>
    <cellStyle name="_MOR - Gurgaon - 3+9(R)-1_II.5. RM Volume Sensitivities_Sheet4" xfId="8403" xr:uid="{00000000-0005-0000-0000-0000D2200000}"/>
    <cellStyle name="_MOR - Gurgaon - 3+9(R)-1_II.8. Sep&amp;Discrete" xfId="8404" xr:uid="{00000000-0005-0000-0000-0000D3200000}"/>
    <cellStyle name="_MOR - Gurgaon - 3+9(R)-1_Restructuring &amp; Separation" xfId="8405" xr:uid="{00000000-0005-0000-0000-0000D4200000}"/>
    <cellStyle name="_MOR - Gurgaon - 3+9(R)-1_Restructuring_Separation_TAX_JuneFC2010 tf" xfId="8406" xr:uid="{00000000-0005-0000-0000-0000D5200000}"/>
    <cellStyle name="_MOR - Gurgaon - 3+9(R)-1_Restructuring_Separation_TAX_JuneFC2010 tf_BS_Separation_TaxResIndem_Q12412 tf" xfId="8407" xr:uid="{00000000-0005-0000-0000-0000D6200000}"/>
    <cellStyle name="_MOR - Gurgaon - 3+9(R)-1_Restructuring_Separation_TAX_JuneFC2010 tf_BS_Separation_TaxResIndem_Q12412 tf_Restructuring &amp; Separation" xfId="8408" xr:uid="{00000000-0005-0000-0000-0000D7200000}"/>
    <cellStyle name="_MOR - Gurgaon - 3+9(R)-1_Restructuring_Separation_TAX_JuneFC2010 tf_II.8. Sep&amp;Discrete" xfId="8409" xr:uid="{00000000-0005-0000-0000-0000D8200000}"/>
    <cellStyle name="_MOR - Gurgaon - 3+9(R)-1_Restructuring_Separation_TAX_JuneFC2010 tf_Restructuring &amp; Separation" xfId="8410" xr:uid="{00000000-0005-0000-0000-0000D9200000}"/>
    <cellStyle name="_MOR - Gurgaon - 3+9(R)-1_Revised MOR Package" xfId="8411" xr:uid="{00000000-0005-0000-0000-0000DA200000}"/>
    <cellStyle name="_MOR - Gurgaon - 3+9(R)-1_Revised MOR Package_~0039877" xfId="8412" xr:uid="{00000000-0005-0000-0000-0000DB200000}"/>
    <cellStyle name="_MOR - Gurgaon - 3+9(R)-1_Revised MOR Package_~0039877_BS_Separation_TaxResIndem_Q12412 tf" xfId="8413" xr:uid="{00000000-0005-0000-0000-0000DC200000}"/>
    <cellStyle name="_MOR - Gurgaon - 3+9(R)-1_Revised MOR Package_~0039877_BS_Separation_TaxResIndem_Q12412 tf_Restructuring &amp; Separation" xfId="8414" xr:uid="{00000000-0005-0000-0000-0000DD200000}"/>
    <cellStyle name="_MOR - Gurgaon - 3+9(R)-1_Revised MOR Package_~0039877_By Country Detail 1Q10 041410pm FIN 18 revised per disc w Mary" xfId="8415" xr:uid="{00000000-0005-0000-0000-0000DE200000}"/>
    <cellStyle name="_MOR - Gurgaon - 3+9(R)-1_Revised MOR Package_~0039877_By Country Detail 1Q10 041410pm FIN 18 revised per disc w Mary_BS_Separation_TaxResIndem_Q12412 tf" xfId="8416" xr:uid="{00000000-0005-0000-0000-0000DF200000}"/>
    <cellStyle name="_MOR - Gurgaon - 3+9(R)-1_Revised MOR Package_~0039877_By Country Detail 1Q10 041410pm FIN 18 revised per disc w Mary_BS_Separation_TaxResIndem_Q12412 tf_Restructuring &amp; Separation" xfId="8417" xr:uid="{00000000-0005-0000-0000-0000E0200000}"/>
    <cellStyle name="_MOR - Gurgaon - 3+9(R)-1_Revised MOR Package_~0039877_By Country Detail 1Q10 041410pm FIN 18 revised per disc w Mary_II.8. Sep&amp;Discrete" xfId="8418" xr:uid="{00000000-0005-0000-0000-0000E1200000}"/>
    <cellStyle name="_MOR - Gurgaon - 3+9(R)-1_Revised MOR Package_~0039877_By Country Detail 1Q10 041410pm FIN 18 revised per disc w Mary_Restructuring &amp; Separation" xfId="8419" xr:uid="{00000000-0005-0000-0000-0000E2200000}"/>
    <cellStyle name="_MOR - Gurgaon - 3+9(R)-1_Revised MOR Package_~0039877_II.4. RawMaterials" xfId="8420" xr:uid="{00000000-0005-0000-0000-0000E3200000}"/>
    <cellStyle name="_MOR - Gurgaon - 3+9(R)-1_Revised MOR Package_~0039877_II.4. RawMaterials 2" xfId="8421" xr:uid="{00000000-0005-0000-0000-0000E4200000}"/>
    <cellStyle name="_MOR - Gurgaon - 3+9(R)-1_Revised MOR Package_~0039877_II.4. RawMaterials_BS retrieve" xfId="8422" xr:uid="{00000000-0005-0000-0000-0000E5200000}"/>
    <cellStyle name="_MOR - Gurgaon - 3+9(R)-1_Revised MOR Package_~0039877_II.4. RawMaterials_Free CF" xfId="8423" xr:uid="{00000000-0005-0000-0000-0000E6200000}"/>
    <cellStyle name="_MOR - Gurgaon - 3+9(R)-1_Revised MOR Package_~0039877_II.4. RawMaterials_P&amp;L Rec Qtr" xfId="8424" xr:uid="{00000000-0005-0000-0000-0000E7200000}"/>
    <cellStyle name="_MOR - Gurgaon - 3+9(R)-1_Revised MOR Package_~0039877_II.4. RawMaterials_Sheet1" xfId="8425" xr:uid="{00000000-0005-0000-0000-0000E8200000}"/>
    <cellStyle name="_MOR - Gurgaon - 3+9(R)-1_Revised MOR Package_~0039877_II.4. RawMaterials_Sheet2" xfId="8426" xr:uid="{00000000-0005-0000-0000-0000E9200000}"/>
    <cellStyle name="_MOR - Gurgaon - 3+9(R)-1_Revised MOR Package_~0039877_II.4. RawMaterials_Sheet3" xfId="8427" xr:uid="{00000000-0005-0000-0000-0000EA200000}"/>
    <cellStyle name="_MOR - Gurgaon - 3+9(R)-1_Revised MOR Package_~0039877_II.4. RawMaterials_Sheet4" xfId="8428" xr:uid="{00000000-0005-0000-0000-0000EB200000}"/>
    <cellStyle name="_MOR - Gurgaon - 3+9(R)-1_Revised MOR Package_~0039877_II.5. RawMaterials" xfId="8429" xr:uid="{00000000-0005-0000-0000-0000EC200000}"/>
    <cellStyle name="_MOR - Gurgaon - 3+9(R)-1_Revised MOR Package_~0039877_II.5. RawMaterials 2" xfId="8430" xr:uid="{00000000-0005-0000-0000-0000ED200000}"/>
    <cellStyle name="_MOR - Gurgaon - 3+9(R)-1_Revised MOR Package_~0039877_II.5. RawMaterials_BS retrieve" xfId="8431" xr:uid="{00000000-0005-0000-0000-0000EE200000}"/>
    <cellStyle name="_MOR - Gurgaon - 3+9(R)-1_Revised MOR Package_~0039877_II.5. RawMaterials_Free CF" xfId="8432" xr:uid="{00000000-0005-0000-0000-0000EF200000}"/>
    <cellStyle name="_MOR - Gurgaon - 3+9(R)-1_Revised MOR Package_~0039877_II.5. RawMaterials_P&amp;L Rec Qtr" xfId="8433" xr:uid="{00000000-0005-0000-0000-0000F0200000}"/>
    <cellStyle name="_MOR - Gurgaon - 3+9(R)-1_Revised MOR Package_~0039877_II.5. RawMaterials_Sheet1" xfId="8434" xr:uid="{00000000-0005-0000-0000-0000F1200000}"/>
    <cellStyle name="_MOR - Gurgaon - 3+9(R)-1_Revised MOR Package_~0039877_II.5. RawMaterials_Sheet2" xfId="8435" xr:uid="{00000000-0005-0000-0000-0000F2200000}"/>
    <cellStyle name="_MOR - Gurgaon - 3+9(R)-1_Revised MOR Package_~0039877_II.5. RawMaterials_Sheet3" xfId="8436" xr:uid="{00000000-0005-0000-0000-0000F3200000}"/>
    <cellStyle name="_MOR - Gurgaon - 3+9(R)-1_Revised MOR Package_~0039877_II.5. RawMaterials_Sheet4" xfId="8437" xr:uid="{00000000-0005-0000-0000-0000F4200000}"/>
    <cellStyle name="_MOR - Gurgaon - 3+9(R)-1_Revised MOR Package_~0039877_II.5. RM Volume Sensitivities" xfId="8438" xr:uid="{00000000-0005-0000-0000-0000F5200000}"/>
    <cellStyle name="_MOR - Gurgaon - 3+9(R)-1_Revised MOR Package_~0039877_II.5. RM Volume Sensitivities 2" xfId="8439" xr:uid="{00000000-0005-0000-0000-0000F6200000}"/>
    <cellStyle name="_MOR - Gurgaon - 3+9(R)-1_Revised MOR Package_~0039877_II.5. RM Volume Sensitivities_BS retrieve" xfId="8440" xr:uid="{00000000-0005-0000-0000-0000F7200000}"/>
    <cellStyle name="_MOR - Gurgaon - 3+9(R)-1_Revised MOR Package_~0039877_II.5. RM Volume Sensitivities_Free CF" xfId="8441" xr:uid="{00000000-0005-0000-0000-0000F8200000}"/>
    <cellStyle name="_MOR - Gurgaon - 3+9(R)-1_Revised MOR Package_~0039877_II.5. RM Volume Sensitivities_P&amp;L Rec Qtr" xfId="8442" xr:uid="{00000000-0005-0000-0000-0000F9200000}"/>
    <cellStyle name="_MOR - Gurgaon - 3+9(R)-1_Revised MOR Package_~0039877_II.5. RM Volume Sensitivities_Sheet1" xfId="8443" xr:uid="{00000000-0005-0000-0000-0000FA200000}"/>
    <cellStyle name="_MOR - Gurgaon - 3+9(R)-1_Revised MOR Package_~0039877_II.5. RM Volume Sensitivities_Sheet2" xfId="8444" xr:uid="{00000000-0005-0000-0000-0000FB200000}"/>
    <cellStyle name="_MOR - Gurgaon - 3+9(R)-1_Revised MOR Package_~0039877_II.5. RM Volume Sensitivities_Sheet3" xfId="8445" xr:uid="{00000000-0005-0000-0000-0000FC200000}"/>
    <cellStyle name="_MOR - Gurgaon - 3+9(R)-1_Revised MOR Package_~0039877_II.5. RM Volume Sensitivities_Sheet4" xfId="8446" xr:uid="{00000000-0005-0000-0000-0000FD200000}"/>
    <cellStyle name="_MOR - Gurgaon - 3+9(R)-1_Revised MOR Package_~0039877_II.8. Sep&amp;Discrete" xfId="8447" xr:uid="{00000000-0005-0000-0000-0000FE200000}"/>
    <cellStyle name="_MOR - Gurgaon - 3+9(R)-1_Revised MOR Package_~0039877_Restructuring &amp; Separation" xfId="8448" xr:uid="{00000000-0005-0000-0000-0000FF200000}"/>
    <cellStyle name="_MOR - Gurgaon - 3+9(R)-1_Revised MOR Package_~0039877_Restructuring_Separation_TAX_JuneFC2010 tf" xfId="8449" xr:uid="{00000000-0005-0000-0000-000000210000}"/>
    <cellStyle name="_MOR - Gurgaon - 3+9(R)-1_Revised MOR Package_~0039877_Restructuring_Separation_TAX_JuneFC2010 tf_BS_Separation_TaxResIndem_Q12412 tf" xfId="8450" xr:uid="{00000000-0005-0000-0000-000001210000}"/>
    <cellStyle name="_MOR - Gurgaon - 3+9(R)-1_Revised MOR Package_~0039877_Restructuring_Separation_TAX_JuneFC2010 tf_BS_Separation_TaxResIndem_Q12412 tf_Restructuring &amp; Separation" xfId="8451" xr:uid="{00000000-0005-0000-0000-000002210000}"/>
    <cellStyle name="_MOR - Gurgaon - 3+9(R)-1_Revised MOR Package_~0039877_Restructuring_Separation_TAX_JuneFC2010 tf_II.8. Sep&amp;Discrete" xfId="8452" xr:uid="{00000000-0005-0000-0000-000003210000}"/>
    <cellStyle name="_MOR - Gurgaon - 3+9(R)-1_Revised MOR Package_~0039877_Restructuring_Separation_TAX_JuneFC2010 tf_Restructuring &amp; Separation" xfId="8453" xr:uid="{00000000-0005-0000-0000-000004210000}"/>
    <cellStyle name="_MOR - Gurgaon - 3+9(R)-1_Revised MOR Package_BS_Separation_TaxResIndem_Q12412 tf" xfId="8454" xr:uid="{00000000-0005-0000-0000-000005210000}"/>
    <cellStyle name="_MOR - Gurgaon - 3+9(R)-1_Revised MOR Package_BS_Separation_TaxResIndem_Q12412 tf_Restructuring &amp; Separation" xfId="8455" xr:uid="{00000000-0005-0000-0000-000006210000}"/>
    <cellStyle name="_MOR - Gurgaon - 3+9(R)-1_Revised MOR Package_By Country Detail 1Q10 041410pm FIN 18 revised per disc w Mary" xfId="8456" xr:uid="{00000000-0005-0000-0000-000007210000}"/>
    <cellStyle name="_MOR - Gurgaon - 3+9(R)-1_Revised MOR Package_By Country Detail 1Q10 041410pm FIN 18 revised per disc w Mary_BS_Separation_TaxResIndem_Q12412 tf" xfId="8457" xr:uid="{00000000-0005-0000-0000-000008210000}"/>
    <cellStyle name="_MOR - Gurgaon - 3+9(R)-1_Revised MOR Package_By Country Detail 1Q10 041410pm FIN 18 revised per disc w Mary_BS_Separation_TaxResIndem_Q12412 tf_Restructuring &amp; Separation" xfId="8458" xr:uid="{00000000-0005-0000-0000-000009210000}"/>
    <cellStyle name="_MOR - Gurgaon - 3+9(R)-1_Revised MOR Package_By Country Detail 1Q10 041410pm FIN 18 revised per disc w Mary_II.8. Sep&amp;Discrete" xfId="8459" xr:uid="{00000000-0005-0000-0000-00000A210000}"/>
    <cellStyle name="_MOR - Gurgaon - 3+9(R)-1_Revised MOR Package_By Country Detail 1Q10 041410pm FIN 18 revised per disc w Mary_Restructuring &amp; Separation" xfId="8460" xr:uid="{00000000-0005-0000-0000-00000B210000}"/>
    <cellStyle name="_MOR - Gurgaon - 3+9(R)-1_Revised MOR Package_II.4. RawMaterials" xfId="8461" xr:uid="{00000000-0005-0000-0000-00000C210000}"/>
    <cellStyle name="_MOR - Gurgaon - 3+9(R)-1_Revised MOR Package_II.4. RawMaterials 2" xfId="8462" xr:uid="{00000000-0005-0000-0000-00000D210000}"/>
    <cellStyle name="_MOR - Gurgaon - 3+9(R)-1_Revised MOR Package_II.4. RawMaterials_BS retrieve" xfId="8463" xr:uid="{00000000-0005-0000-0000-00000E210000}"/>
    <cellStyle name="_MOR - Gurgaon - 3+9(R)-1_Revised MOR Package_II.4. RawMaterials_Free CF" xfId="8464" xr:uid="{00000000-0005-0000-0000-00000F210000}"/>
    <cellStyle name="_MOR - Gurgaon - 3+9(R)-1_Revised MOR Package_II.4. RawMaterials_P&amp;L Rec Qtr" xfId="8465" xr:uid="{00000000-0005-0000-0000-000010210000}"/>
    <cellStyle name="_MOR - Gurgaon - 3+9(R)-1_Revised MOR Package_II.4. RawMaterials_Sheet1" xfId="8466" xr:uid="{00000000-0005-0000-0000-000011210000}"/>
    <cellStyle name="_MOR - Gurgaon - 3+9(R)-1_Revised MOR Package_II.4. RawMaterials_Sheet2" xfId="8467" xr:uid="{00000000-0005-0000-0000-000012210000}"/>
    <cellStyle name="_MOR - Gurgaon - 3+9(R)-1_Revised MOR Package_II.4. RawMaterials_Sheet3" xfId="8468" xr:uid="{00000000-0005-0000-0000-000013210000}"/>
    <cellStyle name="_MOR - Gurgaon - 3+9(R)-1_Revised MOR Package_II.4. RawMaterials_Sheet4" xfId="8469" xr:uid="{00000000-0005-0000-0000-000014210000}"/>
    <cellStyle name="_MOR - Gurgaon - 3+9(R)-1_Revised MOR Package_II.5. RawMaterials" xfId="8470" xr:uid="{00000000-0005-0000-0000-000015210000}"/>
    <cellStyle name="_MOR - Gurgaon - 3+9(R)-1_Revised MOR Package_II.5. RawMaterials 2" xfId="8471" xr:uid="{00000000-0005-0000-0000-000016210000}"/>
    <cellStyle name="_MOR - Gurgaon - 3+9(R)-1_Revised MOR Package_II.5. RawMaterials_BS retrieve" xfId="8472" xr:uid="{00000000-0005-0000-0000-000017210000}"/>
    <cellStyle name="_MOR - Gurgaon - 3+9(R)-1_Revised MOR Package_II.5. RawMaterials_Free CF" xfId="8473" xr:uid="{00000000-0005-0000-0000-000018210000}"/>
    <cellStyle name="_MOR - Gurgaon - 3+9(R)-1_Revised MOR Package_II.5. RawMaterials_P&amp;L Rec Qtr" xfId="8474" xr:uid="{00000000-0005-0000-0000-000019210000}"/>
    <cellStyle name="_MOR - Gurgaon - 3+9(R)-1_Revised MOR Package_II.5. RawMaterials_Sheet1" xfId="8475" xr:uid="{00000000-0005-0000-0000-00001A210000}"/>
    <cellStyle name="_MOR - Gurgaon - 3+9(R)-1_Revised MOR Package_II.5. RawMaterials_Sheet2" xfId="8476" xr:uid="{00000000-0005-0000-0000-00001B210000}"/>
    <cellStyle name="_MOR - Gurgaon - 3+9(R)-1_Revised MOR Package_II.5. RawMaterials_Sheet3" xfId="8477" xr:uid="{00000000-0005-0000-0000-00001C210000}"/>
    <cellStyle name="_MOR - Gurgaon - 3+9(R)-1_Revised MOR Package_II.5. RawMaterials_Sheet4" xfId="8478" xr:uid="{00000000-0005-0000-0000-00001D210000}"/>
    <cellStyle name="_MOR - Gurgaon - 3+9(R)-1_Revised MOR Package_II.5. RM Volume Sensitivities" xfId="8479" xr:uid="{00000000-0005-0000-0000-00001E210000}"/>
    <cellStyle name="_MOR - Gurgaon - 3+9(R)-1_Revised MOR Package_II.5. RM Volume Sensitivities 2" xfId="8480" xr:uid="{00000000-0005-0000-0000-00001F210000}"/>
    <cellStyle name="_MOR - Gurgaon - 3+9(R)-1_Revised MOR Package_II.5. RM Volume Sensitivities_BS retrieve" xfId="8481" xr:uid="{00000000-0005-0000-0000-000020210000}"/>
    <cellStyle name="_MOR - Gurgaon - 3+9(R)-1_Revised MOR Package_II.5. RM Volume Sensitivities_Free CF" xfId="8482" xr:uid="{00000000-0005-0000-0000-000021210000}"/>
    <cellStyle name="_MOR - Gurgaon - 3+9(R)-1_Revised MOR Package_II.5. RM Volume Sensitivities_P&amp;L Rec Qtr" xfId="8483" xr:uid="{00000000-0005-0000-0000-000022210000}"/>
    <cellStyle name="_MOR - Gurgaon - 3+9(R)-1_Revised MOR Package_II.5. RM Volume Sensitivities_Sheet1" xfId="8484" xr:uid="{00000000-0005-0000-0000-000023210000}"/>
    <cellStyle name="_MOR - Gurgaon - 3+9(R)-1_Revised MOR Package_II.5. RM Volume Sensitivities_Sheet2" xfId="8485" xr:uid="{00000000-0005-0000-0000-000024210000}"/>
    <cellStyle name="_MOR - Gurgaon - 3+9(R)-1_Revised MOR Package_II.5. RM Volume Sensitivities_Sheet3" xfId="8486" xr:uid="{00000000-0005-0000-0000-000025210000}"/>
    <cellStyle name="_MOR - Gurgaon - 3+9(R)-1_Revised MOR Package_II.5. RM Volume Sensitivities_Sheet4" xfId="8487" xr:uid="{00000000-0005-0000-0000-000026210000}"/>
    <cellStyle name="_MOR - Gurgaon - 3+9(R)-1_Revised MOR Package_II.8. Sep&amp;Discrete" xfId="8488" xr:uid="{00000000-0005-0000-0000-000027210000}"/>
    <cellStyle name="_MOR - Gurgaon - 3+9(R)-1_Revised MOR Package_Restructuring &amp; Separation" xfId="8489" xr:uid="{00000000-0005-0000-0000-000028210000}"/>
    <cellStyle name="_MOR - Gurgaon - 3+9(R)-1_Revised MOR Package_Restructuring_Separation_TAX_JuneFC2010 tf" xfId="8490" xr:uid="{00000000-0005-0000-0000-000029210000}"/>
    <cellStyle name="_MOR - Gurgaon - 3+9(R)-1_Revised MOR Package_Restructuring_Separation_TAX_JuneFC2010 tf_BS_Separation_TaxResIndem_Q12412 tf" xfId="8491" xr:uid="{00000000-0005-0000-0000-00002A210000}"/>
    <cellStyle name="_MOR - Gurgaon - 3+9(R)-1_Revised MOR Package_Restructuring_Separation_TAX_JuneFC2010 tf_BS_Separation_TaxResIndem_Q12412 tf_Restructuring &amp; Separation" xfId="8492" xr:uid="{00000000-0005-0000-0000-00002B210000}"/>
    <cellStyle name="_MOR - Gurgaon - 3+9(R)-1_Revised MOR Package_Restructuring_Separation_TAX_JuneFC2010 tf_II.8. Sep&amp;Discrete" xfId="8493" xr:uid="{00000000-0005-0000-0000-00002C210000}"/>
    <cellStyle name="_MOR - Gurgaon - 3+9(R)-1_Revised MOR Package_Restructuring_Separation_TAX_JuneFC2010 tf_Restructuring &amp; Separation" xfId="8494" xr:uid="{00000000-0005-0000-0000-00002D210000}"/>
    <cellStyle name="_MOR - Gurgaon - 3+9(R)-1_Revised MOR Package_Revised MOR Package - Latest" xfId="8495" xr:uid="{00000000-0005-0000-0000-00002E210000}"/>
    <cellStyle name="_MOR - Gurgaon - 3+9(R)-1_Revised MOR Package_Revised MOR Package - Latest_BS_Separation_TaxResIndem_Q12412 tf" xfId="8496" xr:uid="{00000000-0005-0000-0000-00002F210000}"/>
    <cellStyle name="_MOR - Gurgaon - 3+9(R)-1_Revised MOR Package_Revised MOR Package - Latest_BS_Separation_TaxResIndem_Q12412 tf_Restructuring &amp; Separation" xfId="8497" xr:uid="{00000000-0005-0000-0000-000030210000}"/>
    <cellStyle name="_MOR - Gurgaon - 3+9(R)-1_Revised MOR Package_Revised MOR Package - Latest_By Country Detail 1Q10 041410pm FIN 18 revised per disc w Mary" xfId="8498" xr:uid="{00000000-0005-0000-0000-000031210000}"/>
    <cellStyle name="_MOR - Gurgaon - 3+9(R)-1_Revised MOR Package_Revised MOR Package - Latest_By Country Detail 1Q10 041410pm FIN 18 revised per disc w Mary_BS_Separation_TaxResIndem_Q12412 tf" xfId="8499" xr:uid="{00000000-0005-0000-0000-000032210000}"/>
    <cellStyle name="_MOR - Gurgaon - 3+9(R)-1_Revised MOR Package_Revised MOR Package - Latest_By Country Detail 1Q10 041410pm FIN 18 revised per disc w Mary_BS_Separation_TaxResIndem_Q12412 tf_Restructuring &amp; Separation" xfId="8500" xr:uid="{00000000-0005-0000-0000-000033210000}"/>
    <cellStyle name="_MOR - Gurgaon - 3+9(R)-1_Revised MOR Package_Revised MOR Package - Latest_By Country Detail 1Q10 041410pm FIN 18 revised per disc w Mary_II.8. Sep&amp;Discrete" xfId="8501" xr:uid="{00000000-0005-0000-0000-000034210000}"/>
    <cellStyle name="_MOR - Gurgaon - 3+9(R)-1_Revised MOR Package_Revised MOR Package - Latest_By Country Detail 1Q10 041410pm FIN 18 revised per disc w Mary_Restructuring &amp; Separation" xfId="8502" xr:uid="{00000000-0005-0000-0000-000035210000}"/>
    <cellStyle name="_MOR - Gurgaon - 3+9(R)-1_Revised MOR Package_Revised MOR Package - Latest_II.4. RawMaterials" xfId="8503" xr:uid="{00000000-0005-0000-0000-000036210000}"/>
    <cellStyle name="_MOR - Gurgaon - 3+9(R)-1_Revised MOR Package_Revised MOR Package - Latest_II.4. RawMaterials 2" xfId="8504" xr:uid="{00000000-0005-0000-0000-000037210000}"/>
    <cellStyle name="_MOR - Gurgaon - 3+9(R)-1_Revised MOR Package_Revised MOR Package - Latest_II.4. RawMaterials_BS retrieve" xfId="8505" xr:uid="{00000000-0005-0000-0000-000038210000}"/>
    <cellStyle name="_MOR - Gurgaon - 3+9(R)-1_Revised MOR Package_Revised MOR Package - Latest_II.4. RawMaterials_Free CF" xfId="8506" xr:uid="{00000000-0005-0000-0000-000039210000}"/>
    <cellStyle name="_MOR - Gurgaon - 3+9(R)-1_Revised MOR Package_Revised MOR Package - Latest_II.4. RawMaterials_P&amp;L Rec Qtr" xfId="8507" xr:uid="{00000000-0005-0000-0000-00003A210000}"/>
    <cellStyle name="_MOR - Gurgaon - 3+9(R)-1_Revised MOR Package_Revised MOR Package - Latest_II.4. RawMaterials_Sheet1" xfId="8508" xr:uid="{00000000-0005-0000-0000-00003B210000}"/>
    <cellStyle name="_MOR - Gurgaon - 3+9(R)-1_Revised MOR Package_Revised MOR Package - Latest_II.4. RawMaterials_Sheet2" xfId="8509" xr:uid="{00000000-0005-0000-0000-00003C210000}"/>
    <cellStyle name="_MOR - Gurgaon - 3+9(R)-1_Revised MOR Package_Revised MOR Package - Latest_II.4. RawMaterials_Sheet3" xfId="8510" xr:uid="{00000000-0005-0000-0000-00003D210000}"/>
    <cellStyle name="_MOR - Gurgaon - 3+9(R)-1_Revised MOR Package_Revised MOR Package - Latest_II.4. RawMaterials_Sheet4" xfId="8511" xr:uid="{00000000-0005-0000-0000-00003E210000}"/>
    <cellStyle name="_MOR - Gurgaon - 3+9(R)-1_Revised MOR Package_Revised MOR Package - Latest_II.5. RawMaterials" xfId="8512" xr:uid="{00000000-0005-0000-0000-00003F210000}"/>
    <cellStyle name="_MOR - Gurgaon - 3+9(R)-1_Revised MOR Package_Revised MOR Package - Latest_II.5. RawMaterials 2" xfId="8513" xr:uid="{00000000-0005-0000-0000-000040210000}"/>
    <cellStyle name="_MOR - Gurgaon - 3+9(R)-1_Revised MOR Package_Revised MOR Package - Latest_II.5. RawMaterials_BS retrieve" xfId="8514" xr:uid="{00000000-0005-0000-0000-000041210000}"/>
    <cellStyle name="_MOR - Gurgaon - 3+9(R)-1_Revised MOR Package_Revised MOR Package - Latest_II.5. RawMaterials_Free CF" xfId="8515" xr:uid="{00000000-0005-0000-0000-000042210000}"/>
    <cellStyle name="_MOR - Gurgaon - 3+9(R)-1_Revised MOR Package_Revised MOR Package - Latest_II.5. RawMaterials_P&amp;L Rec Qtr" xfId="8516" xr:uid="{00000000-0005-0000-0000-000043210000}"/>
    <cellStyle name="_MOR - Gurgaon - 3+9(R)-1_Revised MOR Package_Revised MOR Package - Latest_II.5. RawMaterials_Sheet1" xfId="8517" xr:uid="{00000000-0005-0000-0000-000044210000}"/>
    <cellStyle name="_MOR - Gurgaon - 3+9(R)-1_Revised MOR Package_Revised MOR Package - Latest_II.5. RawMaterials_Sheet2" xfId="8518" xr:uid="{00000000-0005-0000-0000-000045210000}"/>
    <cellStyle name="_MOR - Gurgaon - 3+9(R)-1_Revised MOR Package_Revised MOR Package - Latest_II.5. RawMaterials_Sheet3" xfId="8519" xr:uid="{00000000-0005-0000-0000-000046210000}"/>
    <cellStyle name="_MOR - Gurgaon - 3+9(R)-1_Revised MOR Package_Revised MOR Package - Latest_II.5. RawMaterials_Sheet4" xfId="8520" xr:uid="{00000000-0005-0000-0000-000047210000}"/>
    <cellStyle name="_MOR - Gurgaon - 3+9(R)-1_Revised MOR Package_Revised MOR Package - Latest_II.5. RM Volume Sensitivities" xfId="8521" xr:uid="{00000000-0005-0000-0000-000048210000}"/>
    <cellStyle name="_MOR - Gurgaon - 3+9(R)-1_Revised MOR Package_Revised MOR Package - Latest_II.5. RM Volume Sensitivities 2" xfId="8522" xr:uid="{00000000-0005-0000-0000-000049210000}"/>
    <cellStyle name="_MOR - Gurgaon - 3+9(R)-1_Revised MOR Package_Revised MOR Package - Latest_II.5. RM Volume Sensitivities_BS retrieve" xfId="8523" xr:uid="{00000000-0005-0000-0000-00004A210000}"/>
    <cellStyle name="_MOR - Gurgaon - 3+9(R)-1_Revised MOR Package_Revised MOR Package - Latest_II.5. RM Volume Sensitivities_Free CF" xfId="8524" xr:uid="{00000000-0005-0000-0000-00004B210000}"/>
    <cellStyle name="_MOR - Gurgaon - 3+9(R)-1_Revised MOR Package_Revised MOR Package - Latest_II.5. RM Volume Sensitivities_P&amp;L Rec Qtr" xfId="8525" xr:uid="{00000000-0005-0000-0000-00004C210000}"/>
    <cellStyle name="_MOR - Gurgaon - 3+9(R)-1_Revised MOR Package_Revised MOR Package - Latest_II.5. RM Volume Sensitivities_Sheet1" xfId="8526" xr:uid="{00000000-0005-0000-0000-00004D210000}"/>
    <cellStyle name="_MOR - Gurgaon - 3+9(R)-1_Revised MOR Package_Revised MOR Package - Latest_II.5. RM Volume Sensitivities_Sheet2" xfId="8527" xr:uid="{00000000-0005-0000-0000-00004E210000}"/>
    <cellStyle name="_MOR - Gurgaon - 3+9(R)-1_Revised MOR Package_Revised MOR Package - Latest_II.5. RM Volume Sensitivities_Sheet3" xfId="8528" xr:uid="{00000000-0005-0000-0000-00004F210000}"/>
    <cellStyle name="_MOR - Gurgaon - 3+9(R)-1_Revised MOR Package_Revised MOR Package - Latest_II.5. RM Volume Sensitivities_Sheet4" xfId="8529" xr:uid="{00000000-0005-0000-0000-000050210000}"/>
    <cellStyle name="_MOR - Gurgaon - 3+9(R)-1_Revised MOR Package_Revised MOR Package - Latest_II.8. Sep&amp;Discrete" xfId="8530" xr:uid="{00000000-0005-0000-0000-000051210000}"/>
    <cellStyle name="_MOR - Gurgaon - 3+9(R)-1_Revised MOR Package_Revised MOR Package - Latest_Restructuring &amp; Separation" xfId="8531" xr:uid="{00000000-0005-0000-0000-000052210000}"/>
    <cellStyle name="_MOR - Gurgaon - 3+9(R)-1_Revised MOR Package_Revised MOR Package - Latest_Restructuring_Separation_TAX_JuneFC2010 tf" xfId="8532" xr:uid="{00000000-0005-0000-0000-000053210000}"/>
    <cellStyle name="_MOR - Gurgaon - 3+9(R)-1_Revised MOR Package_Revised MOR Package - Latest_Restructuring_Separation_TAX_JuneFC2010 tf_BS_Separation_TaxResIndem_Q12412 tf" xfId="8533" xr:uid="{00000000-0005-0000-0000-000054210000}"/>
    <cellStyle name="_MOR - Gurgaon - 3+9(R)-1_Revised MOR Package_Revised MOR Package - Latest_Restructuring_Separation_TAX_JuneFC2010 tf_BS_Separation_TaxResIndem_Q12412 tf_Restructuring &amp; Separation" xfId="8534" xr:uid="{00000000-0005-0000-0000-000055210000}"/>
    <cellStyle name="_MOR - Gurgaon - 3+9(R)-1_Revised MOR Package_Revised MOR Package - Latest_Restructuring_Separation_TAX_JuneFC2010 tf_II.8. Sep&amp;Discrete" xfId="8535" xr:uid="{00000000-0005-0000-0000-000056210000}"/>
    <cellStyle name="_MOR - Gurgaon - 3+9(R)-1_Revised MOR Package_Revised MOR Package - Latest_Restructuring_Separation_TAX_JuneFC2010 tf_Restructuring &amp; Separation" xfId="8536" xr:uid="{00000000-0005-0000-0000-000057210000}"/>
    <cellStyle name="_MOR - Gurgaon - 4+8" xfId="8537" xr:uid="{00000000-0005-0000-0000-000058210000}"/>
    <cellStyle name="_MOR - Gurgaon - 4+8 (2)" xfId="8538" xr:uid="{00000000-0005-0000-0000-000059210000}"/>
    <cellStyle name="_MOR - Gurgaon - 4+8 (2)_BS_Separation_TaxResIndem_Q12412 tf" xfId="8539" xr:uid="{00000000-0005-0000-0000-00005A210000}"/>
    <cellStyle name="_MOR - Gurgaon - 4+8 (2)_BS_Separation_TaxResIndem_Q12412 tf_Restructuring &amp; Separation" xfId="8540" xr:uid="{00000000-0005-0000-0000-00005B210000}"/>
    <cellStyle name="_MOR - Gurgaon - 4+8 (2)_By Country Detail 1Q10 041410pm FIN 18 revised per disc w Mary" xfId="8541" xr:uid="{00000000-0005-0000-0000-00005C210000}"/>
    <cellStyle name="_MOR - Gurgaon - 4+8 (2)_By Country Detail 1Q10 041410pm FIN 18 revised per disc w Mary_BS_Separation_TaxResIndem_Q12412 tf" xfId="8542" xr:uid="{00000000-0005-0000-0000-00005D210000}"/>
    <cellStyle name="_MOR - Gurgaon - 4+8 (2)_By Country Detail 1Q10 041410pm FIN 18 revised per disc w Mary_BS_Separation_TaxResIndem_Q12412 tf_Restructuring &amp; Separation" xfId="8543" xr:uid="{00000000-0005-0000-0000-00005E210000}"/>
    <cellStyle name="_MOR - Gurgaon - 4+8 (2)_By Country Detail 1Q10 041410pm FIN 18 revised per disc w Mary_II.8. Sep&amp;Discrete" xfId="8544" xr:uid="{00000000-0005-0000-0000-00005F210000}"/>
    <cellStyle name="_MOR - Gurgaon - 4+8 (2)_By Country Detail 1Q10 041410pm FIN 18 revised per disc w Mary_Restructuring &amp; Separation" xfId="8545" xr:uid="{00000000-0005-0000-0000-000060210000}"/>
    <cellStyle name="_MOR - Gurgaon - 4+8 (2)_II.4. RawMaterials" xfId="8546" xr:uid="{00000000-0005-0000-0000-000061210000}"/>
    <cellStyle name="_MOR - Gurgaon - 4+8 (2)_II.4. RawMaterials 2" xfId="8547" xr:uid="{00000000-0005-0000-0000-000062210000}"/>
    <cellStyle name="_MOR - Gurgaon - 4+8 (2)_II.4. RawMaterials_BS retrieve" xfId="8548" xr:uid="{00000000-0005-0000-0000-000063210000}"/>
    <cellStyle name="_MOR - Gurgaon - 4+8 (2)_II.4. RawMaterials_Free CF" xfId="8549" xr:uid="{00000000-0005-0000-0000-000064210000}"/>
    <cellStyle name="_MOR - Gurgaon - 4+8 (2)_II.4. RawMaterials_P&amp;L Rec Qtr" xfId="8550" xr:uid="{00000000-0005-0000-0000-000065210000}"/>
    <cellStyle name="_MOR - Gurgaon - 4+8 (2)_II.4. RawMaterials_Sheet1" xfId="8551" xr:uid="{00000000-0005-0000-0000-000066210000}"/>
    <cellStyle name="_MOR - Gurgaon - 4+8 (2)_II.4. RawMaterials_Sheet2" xfId="8552" xr:uid="{00000000-0005-0000-0000-000067210000}"/>
    <cellStyle name="_MOR - Gurgaon - 4+8 (2)_II.4. RawMaterials_Sheet3" xfId="8553" xr:uid="{00000000-0005-0000-0000-000068210000}"/>
    <cellStyle name="_MOR - Gurgaon - 4+8 (2)_II.4. RawMaterials_Sheet4" xfId="8554" xr:uid="{00000000-0005-0000-0000-000069210000}"/>
    <cellStyle name="_MOR - Gurgaon - 4+8 (2)_II.5. RawMaterials" xfId="8555" xr:uid="{00000000-0005-0000-0000-00006A210000}"/>
    <cellStyle name="_MOR - Gurgaon - 4+8 (2)_II.5. RawMaterials 2" xfId="8556" xr:uid="{00000000-0005-0000-0000-00006B210000}"/>
    <cellStyle name="_MOR - Gurgaon - 4+8 (2)_II.5. RawMaterials_BS retrieve" xfId="8557" xr:uid="{00000000-0005-0000-0000-00006C210000}"/>
    <cellStyle name="_MOR - Gurgaon - 4+8 (2)_II.5. RawMaterials_Free CF" xfId="8558" xr:uid="{00000000-0005-0000-0000-00006D210000}"/>
    <cellStyle name="_MOR - Gurgaon - 4+8 (2)_II.5. RawMaterials_P&amp;L Rec Qtr" xfId="8559" xr:uid="{00000000-0005-0000-0000-00006E210000}"/>
    <cellStyle name="_MOR - Gurgaon - 4+8 (2)_II.5. RawMaterials_Sheet1" xfId="8560" xr:uid="{00000000-0005-0000-0000-00006F210000}"/>
    <cellStyle name="_MOR - Gurgaon - 4+8 (2)_II.5. RawMaterials_Sheet2" xfId="8561" xr:uid="{00000000-0005-0000-0000-000070210000}"/>
    <cellStyle name="_MOR - Gurgaon - 4+8 (2)_II.5. RawMaterials_Sheet3" xfId="8562" xr:uid="{00000000-0005-0000-0000-000071210000}"/>
    <cellStyle name="_MOR - Gurgaon - 4+8 (2)_II.5. RawMaterials_Sheet4" xfId="8563" xr:uid="{00000000-0005-0000-0000-000072210000}"/>
    <cellStyle name="_MOR - Gurgaon - 4+8 (2)_II.5. RM Volume Sensitivities" xfId="8564" xr:uid="{00000000-0005-0000-0000-000073210000}"/>
    <cellStyle name="_MOR - Gurgaon - 4+8 (2)_II.5. RM Volume Sensitivities 2" xfId="8565" xr:uid="{00000000-0005-0000-0000-000074210000}"/>
    <cellStyle name="_MOR - Gurgaon - 4+8 (2)_II.5. RM Volume Sensitivities_BS retrieve" xfId="8566" xr:uid="{00000000-0005-0000-0000-000075210000}"/>
    <cellStyle name="_MOR - Gurgaon - 4+8 (2)_II.5. RM Volume Sensitivities_Free CF" xfId="8567" xr:uid="{00000000-0005-0000-0000-000076210000}"/>
    <cellStyle name="_MOR - Gurgaon - 4+8 (2)_II.5. RM Volume Sensitivities_P&amp;L Rec Qtr" xfId="8568" xr:uid="{00000000-0005-0000-0000-000077210000}"/>
    <cellStyle name="_MOR - Gurgaon - 4+8 (2)_II.5. RM Volume Sensitivities_Sheet1" xfId="8569" xr:uid="{00000000-0005-0000-0000-000078210000}"/>
    <cellStyle name="_MOR - Gurgaon - 4+8 (2)_II.5. RM Volume Sensitivities_Sheet2" xfId="8570" xr:uid="{00000000-0005-0000-0000-000079210000}"/>
    <cellStyle name="_MOR - Gurgaon - 4+8 (2)_II.5. RM Volume Sensitivities_Sheet3" xfId="8571" xr:uid="{00000000-0005-0000-0000-00007A210000}"/>
    <cellStyle name="_MOR - Gurgaon - 4+8 (2)_II.5. RM Volume Sensitivities_Sheet4" xfId="8572" xr:uid="{00000000-0005-0000-0000-00007B210000}"/>
    <cellStyle name="_MOR - Gurgaon - 4+8 (2)_II.8. Sep&amp;Discrete" xfId="8573" xr:uid="{00000000-0005-0000-0000-00007C210000}"/>
    <cellStyle name="_MOR - Gurgaon - 4+8 (2)_Restructuring &amp; Separation" xfId="8574" xr:uid="{00000000-0005-0000-0000-00007D210000}"/>
    <cellStyle name="_MOR - Gurgaon - 4+8 (2)_Restructuring_Separation_TAX_JuneFC2010 tf" xfId="8575" xr:uid="{00000000-0005-0000-0000-00007E210000}"/>
    <cellStyle name="_MOR - Gurgaon - 4+8 (2)_Restructuring_Separation_TAX_JuneFC2010 tf_BS_Separation_TaxResIndem_Q12412 tf" xfId="8576" xr:uid="{00000000-0005-0000-0000-00007F210000}"/>
    <cellStyle name="_MOR - Gurgaon - 4+8 (2)_Restructuring_Separation_TAX_JuneFC2010 tf_BS_Separation_TaxResIndem_Q12412 tf_Restructuring &amp; Separation" xfId="8577" xr:uid="{00000000-0005-0000-0000-000080210000}"/>
    <cellStyle name="_MOR - Gurgaon - 4+8 (2)_Restructuring_Separation_TAX_JuneFC2010 tf_II.8. Sep&amp;Discrete" xfId="8578" xr:uid="{00000000-0005-0000-0000-000081210000}"/>
    <cellStyle name="_MOR - Gurgaon - 4+8 (2)_Restructuring_Separation_TAX_JuneFC2010 tf_Restructuring &amp; Separation" xfId="8579" xr:uid="{00000000-0005-0000-0000-000082210000}"/>
    <cellStyle name="_MOR - Gurgaon - 4+8_BS_Separation_TaxResIndem_Q12412 tf" xfId="8580" xr:uid="{00000000-0005-0000-0000-000083210000}"/>
    <cellStyle name="_MOR - Gurgaon - 4+8_BS_Separation_TaxResIndem_Q12412 tf_Restructuring &amp; Separation" xfId="8581" xr:uid="{00000000-0005-0000-0000-000084210000}"/>
    <cellStyle name="_MOR - Gurgaon - 4+8_By Country Detail 1Q10 041410pm FIN 18 revised per disc w Mary" xfId="8582" xr:uid="{00000000-0005-0000-0000-000085210000}"/>
    <cellStyle name="_MOR - Gurgaon - 4+8_By Country Detail 1Q10 041410pm FIN 18 revised per disc w Mary_BS_Separation_TaxResIndem_Q12412 tf" xfId="8583" xr:uid="{00000000-0005-0000-0000-000086210000}"/>
    <cellStyle name="_MOR - Gurgaon - 4+8_By Country Detail 1Q10 041410pm FIN 18 revised per disc w Mary_BS_Separation_TaxResIndem_Q12412 tf_Restructuring &amp; Separation" xfId="8584" xr:uid="{00000000-0005-0000-0000-000087210000}"/>
    <cellStyle name="_MOR - Gurgaon - 4+8_By Country Detail 1Q10 041410pm FIN 18 revised per disc w Mary_II.8. Sep&amp;Discrete" xfId="8585" xr:uid="{00000000-0005-0000-0000-000088210000}"/>
    <cellStyle name="_MOR - Gurgaon - 4+8_By Country Detail 1Q10 041410pm FIN 18 revised per disc w Mary_Restructuring &amp; Separation" xfId="8586" xr:uid="{00000000-0005-0000-0000-000089210000}"/>
    <cellStyle name="_MOR - Gurgaon - 4+8_II.4. RawMaterials" xfId="8587" xr:uid="{00000000-0005-0000-0000-00008A210000}"/>
    <cellStyle name="_MOR - Gurgaon - 4+8_II.4. RawMaterials 2" xfId="8588" xr:uid="{00000000-0005-0000-0000-00008B210000}"/>
    <cellStyle name="_MOR - Gurgaon - 4+8_II.4. RawMaterials_BS retrieve" xfId="8589" xr:uid="{00000000-0005-0000-0000-00008C210000}"/>
    <cellStyle name="_MOR - Gurgaon - 4+8_II.4. RawMaterials_Free CF" xfId="8590" xr:uid="{00000000-0005-0000-0000-00008D210000}"/>
    <cellStyle name="_MOR - Gurgaon - 4+8_II.4. RawMaterials_P&amp;L Rec Qtr" xfId="8591" xr:uid="{00000000-0005-0000-0000-00008E210000}"/>
    <cellStyle name="_MOR - Gurgaon - 4+8_II.4. RawMaterials_Sheet1" xfId="8592" xr:uid="{00000000-0005-0000-0000-00008F210000}"/>
    <cellStyle name="_MOR - Gurgaon - 4+8_II.4. RawMaterials_Sheet2" xfId="8593" xr:uid="{00000000-0005-0000-0000-000090210000}"/>
    <cellStyle name="_MOR - Gurgaon - 4+8_II.4. RawMaterials_Sheet3" xfId="8594" xr:uid="{00000000-0005-0000-0000-000091210000}"/>
    <cellStyle name="_MOR - Gurgaon - 4+8_II.4. RawMaterials_Sheet4" xfId="8595" xr:uid="{00000000-0005-0000-0000-000092210000}"/>
    <cellStyle name="_MOR - Gurgaon - 4+8_II.5. RawMaterials" xfId="8596" xr:uid="{00000000-0005-0000-0000-000093210000}"/>
    <cellStyle name="_MOR - Gurgaon - 4+8_II.5. RawMaterials 2" xfId="8597" xr:uid="{00000000-0005-0000-0000-000094210000}"/>
    <cellStyle name="_MOR - Gurgaon - 4+8_II.5. RawMaterials_BS retrieve" xfId="8598" xr:uid="{00000000-0005-0000-0000-000095210000}"/>
    <cellStyle name="_MOR - Gurgaon - 4+8_II.5. RawMaterials_Free CF" xfId="8599" xr:uid="{00000000-0005-0000-0000-000096210000}"/>
    <cellStyle name="_MOR - Gurgaon - 4+8_II.5. RawMaterials_P&amp;L Rec Qtr" xfId="8600" xr:uid="{00000000-0005-0000-0000-000097210000}"/>
    <cellStyle name="_MOR - Gurgaon - 4+8_II.5. RawMaterials_Sheet1" xfId="8601" xr:uid="{00000000-0005-0000-0000-000098210000}"/>
    <cellStyle name="_MOR - Gurgaon - 4+8_II.5. RawMaterials_Sheet2" xfId="8602" xr:uid="{00000000-0005-0000-0000-000099210000}"/>
    <cellStyle name="_MOR - Gurgaon - 4+8_II.5. RawMaterials_Sheet3" xfId="8603" xr:uid="{00000000-0005-0000-0000-00009A210000}"/>
    <cellStyle name="_MOR - Gurgaon - 4+8_II.5. RawMaterials_Sheet4" xfId="8604" xr:uid="{00000000-0005-0000-0000-00009B210000}"/>
    <cellStyle name="_MOR - Gurgaon - 4+8_II.5. RM Volume Sensitivities" xfId="8605" xr:uid="{00000000-0005-0000-0000-00009C210000}"/>
    <cellStyle name="_MOR - Gurgaon - 4+8_II.5. RM Volume Sensitivities 2" xfId="8606" xr:uid="{00000000-0005-0000-0000-00009D210000}"/>
    <cellStyle name="_MOR - Gurgaon - 4+8_II.5. RM Volume Sensitivities_BS retrieve" xfId="8607" xr:uid="{00000000-0005-0000-0000-00009E210000}"/>
    <cellStyle name="_MOR - Gurgaon - 4+8_II.5. RM Volume Sensitivities_Free CF" xfId="8608" xr:uid="{00000000-0005-0000-0000-00009F210000}"/>
    <cellStyle name="_MOR - Gurgaon - 4+8_II.5. RM Volume Sensitivities_P&amp;L Rec Qtr" xfId="8609" xr:uid="{00000000-0005-0000-0000-0000A0210000}"/>
    <cellStyle name="_MOR - Gurgaon - 4+8_II.5. RM Volume Sensitivities_Sheet1" xfId="8610" xr:uid="{00000000-0005-0000-0000-0000A1210000}"/>
    <cellStyle name="_MOR - Gurgaon - 4+8_II.5. RM Volume Sensitivities_Sheet2" xfId="8611" xr:uid="{00000000-0005-0000-0000-0000A2210000}"/>
    <cellStyle name="_MOR - Gurgaon - 4+8_II.5. RM Volume Sensitivities_Sheet3" xfId="8612" xr:uid="{00000000-0005-0000-0000-0000A3210000}"/>
    <cellStyle name="_MOR - Gurgaon - 4+8_II.5. RM Volume Sensitivities_Sheet4" xfId="8613" xr:uid="{00000000-0005-0000-0000-0000A4210000}"/>
    <cellStyle name="_MOR - Gurgaon - 4+8_II.8. Sep&amp;Discrete" xfId="8614" xr:uid="{00000000-0005-0000-0000-0000A5210000}"/>
    <cellStyle name="_MOR - Gurgaon - 4+8_Restructuring &amp; Separation" xfId="8615" xr:uid="{00000000-0005-0000-0000-0000A6210000}"/>
    <cellStyle name="_MOR - Gurgaon - 4+8_Restructuring_Separation_TAX_JuneFC2010 tf" xfId="8616" xr:uid="{00000000-0005-0000-0000-0000A7210000}"/>
    <cellStyle name="_MOR - Gurgaon - 4+8_Restructuring_Separation_TAX_JuneFC2010 tf_BS_Separation_TaxResIndem_Q12412 tf" xfId="8617" xr:uid="{00000000-0005-0000-0000-0000A8210000}"/>
    <cellStyle name="_MOR - Gurgaon - 4+8_Restructuring_Separation_TAX_JuneFC2010 tf_BS_Separation_TaxResIndem_Q12412 tf_Restructuring &amp; Separation" xfId="8618" xr:uid="{00000000-0005-0000-0000-0000A9210000}"/>
    <cellStyle name="_MOR - Gurgaon - 4+8_Restructuring_Separation_TAX_JuneFC2010 tf_II.8. Sep&amp;Discrete" xfId="8619" xr:uid="{00000000-0005-0000-0000-0000AA210000}"/>
    <cellStyle name="_MOR - Gurgaon - 4+8_Restructuring_Separation_TAX_JuneFC2010 tf_Restructuring &amp; Separation" xfId="8620" xr:uid="{00000000-0005-0000-0000-0000AB210000}"/>
    <cellStyle name="_MOR - Gurgaon -12+0" xfId="8621" xr:uid="{00000000-0005-0000-0000-0000AC210000}"/>
    <cellStyle name="_MOR - Gurgaon -12+0_~0039877" xfId="8622" xr:uid="{00000000-0005-0000-0000-0000AD210000}"/>
    <cellStyle name="_MOR - Gurgaon -12+0_~0039877_BS_Separation_TaxResIndem_Q12412 tf" xfId="8623" xr:uid="{00000000-0005-0000-0000-0000AE210000}"/>
    <cellStyle name="_MOR - Gurgaon -12+0_~0039877_BS_Separation_TaxResIndem_Q12412 tf_Restructuring &amp; Separation" xfId="8624" xr:uid="{00000000-0005-0000-0000-0000AF210000}"/>
    <cellStyle name="_MOR - Gurgaon -12+0_~0039877_By Country Detail 1Q10 041410pm FIN 18 revised per disc w Mary" xfId="8625" xr:uid="{00000000-0005-0000-0000-0000B0210000}"/>
    <cellStyle name="_MOR - Gurgaon -12+0_~0039877_By Country Detail 1Q10 041410pm FIN 18 revised per disc w Mary_BS_Separation_TaxResIndem_Q12412 tf" xfId="8626" xr:uid="{00000000-0005-0000-0000-0000B1210000}"/>
    <cellStyle name="_MOR - Gurgaon -12+0_~0039877_By Country Detail 1Q10 041410pm FIN 18 revised per disc w Mary_BS_Separation_TaxResIndem_Q12412 tf_Restructuring &amp; Separation" xfId="8627" xr:uid="{00000000-0005-0000-0000-0000B2210000}"/>
    <cellStyle name="_MOR - Gurgaon -12+0_~0039877_By Country Detail 1Q10 041410pm FIN 18 revised per disc w Mary_II.8. Sep&amp;Discrete" xfId="8628" xr:uid="{00000000-0005-0000-0000-0000B3210000}"/>
    <cellStyle name="_MOR - Gurgaon -12+0_~0039877_By Country Detail 1Q10 041410pm FIN 18 revised per disc w Mary_Restructuring &amp; Separation" xfId="8629" xr:uid="{00000000-0005-0000-0000-0000B4210000}"/>
    <cellStyle name="_MOR - Gurgaon -12+0_~0039877_II.4. RawMaterials" xfId="8630" xr:uid="{00000000-0005-0000-0000-0000B5210000}"/>
    <cellStyle name="_MOR - Gurgaon -12+0_~0039877_II.4. RawMaterials 2" xfId="8631" xr:uid="{00000000-0005-0000-0000-0000B6210000}"/>
    <cellStyle name="_MOR - Gurgaon -12+0_~0039877_II.4. RawMaterials_BS retrieve" xfId="8632" xr:uid="{00000000-0005-0000-0000-0000B7210000}"/>
    <cellStyle name="_MOR - Gurgaon -12+0_~0039877_II.4. RawMaterials_Free CF" xfId="8633" xr:uid="{00000000-0005-0000-0000-0000B8210000}"/>
    <cellStyle name="_MOR - Gurgaon -12+0_~0039877_II.4. RawMaterials_P&amp;L Rec Qtr" xfId="8634" xr:uid="{00000000-0005-0000-0000-0000B9210000}"/>
    <cellStyle name="_MOR - Gurgaon -12+0_~0039877_II.4. RawMaterials_Sheet1" xfId="8635" xr:uid="{00000000-0005-0000-0000-0000BA210000}"/>
    <cellStyle name="_MOR - Gurgaon -12+0_~0039877_II.4. RawMaterials_Sheet2" xfId="8636" xr:uid="{00000000-0005-0000-0000-0000BB210000}"/>
    <cellStyle name="_MOR - Gurgaon -12+0_~0039877_II.4. RawMaterials_Sheet3" xfId="8637" xr:uid="{00000000-0005-0000-0000-0000BC210000}"/>
    <cellStyle name="_MOR - Gurgaon -12+0_~0039877_II.4. RawMaterials_Sheet4" xfId="8638" xr:uid="{00000000-0005-0000-0000-0000BD210000}"/>
    <cellStyle name="_MOR - Gurgaon -12+0_~0039877_II.5. RawMaterials" xfId="8639" xr:uid="{00000000-0005-0000-0000-0000BE210000}"/>
    <cellStyle name="_MOR - Gurgaon -12+0_~0039877_II.5. RawMaterials 2" xfId="8640" xr:uid="{00000000-0005-0000-0000-0000BF210000}"/>
    <cellStyle name="_MOR - Gurgaon -12+0_~0039877_II.5. RawMaterials_BS retrieve" xfId="8641" xr:uid="{00000000-0005-0000-0000-0000C0210000}"/>
    <cellStyle name="_MOR - Gurgaon -12+0_~0039877_II.5. RawMaterials_Free CF" xfId="8642" xr:uid="{00000000-0005-0000-0000-0000C1210000}"/>
    <cellStyle name="_MOR - Gurgaon -12+0_~0039877_II.5. RawMaterials_P&amp;L Rec Qtr" xfId="8643" xr:uid="{00000000-0005-0000-0000-0000C2210000}"/>
    <cellStyle name="_MOR - Gurgaon -12+0_~0039877_II.5. RawMaterials_Sheet1" xfId="8644" xr:uid="{00000000-0005-0000-0000-0000C3210000}"/>
    <cellStyle name="_MOR - Gurgaon -12+0_~0039877_II.5. RawMaterials_Sheet2" xfId="8645" xr:uid="{00000000-0005-0000-0000-0000C4210000}"/>
    <cellStyle name="_MOR - Gurgaon -12+0_~0039877_II.5. RawMaterials_Sheet3" xfId="8646" xr:uid="{00000000-0005-0000-0000-0000C5210000}"/>
    <cellStyle name="_MOR - Gurgaon -12+0_~0039877_II.5. RawMaterials_Sheet4" xfId="8647" xr:uid="{00000000-0005-0000-0000-0000C6210000}"/>
    <cellStyle name="_MOR - Gurgaon -12+0_~0039877_II.5. RM Volume Sensitivities" xfId="8648" xr:uid="{00000000-0005-0000-0000-0000C7210000}"/>
    <cellStyle name="_MOR - Gurgaon -12+0_~0039877_II.5. RM Volume Sensitivities 2" xfId="8649" xr:uid="{00000000-0005-0000-0000-0000C8210000}"/>
    <cellStyle name="_MOR - Gurgaon -12+0_~0039877_II.5. RM Volume Sensitivities_BS retrieve" xfId="8650" xr:uid="{00000000-0005-0000-0000-0000C9210000}"/>
    <cellStyle name="_MOR - Gurgaon -12+0_~0039877_II.5. RM Volume Sensitivities_Free CF" xfId="8651" xr:uid="{00000000-0005-0000-0000-0000CA210000}"/>
    <cellStyle name="_MOR - Gurgaon -12+0_~0039877_II.5. RM Volume Sensitivities_P&amp;L Rec Qtr" xfId="8652" xr:uid="{00000000-0005-0000-0000-0000CB210000}"/>
    <cellStyle name="_MOR - Gurgaon -12+0_~0039877_II.5. RM Volume Sensitivities_Sheet1" xfId="8653" xr:uid="{00000000-0005-0000-0000-0000CC210000}"/>
    <cellStyle name="_MOR - Gurgaon -12+0_~0039877_II.5. RM Volume Sensitivities_Sheet2" xfId="8654" xr:uid="{00000000-0005-0000-0000-0000CD210000}"/>
    <cellStyle name="_MOR - Gurgaon -12+0_~0039877_II.5. RM Volume Sensitivities_Sheet3" xfId="8655" xr:uid="{00000000-0005-0000-0000-0000CE210000}"/>
    <cellStyle name="_MOR - Gurgaon -12+0_~0039877_II.5. RM Volume Sensitivities_Sheet4" xfId="8656" xr:uid="{00000000-0005-0000-0000-0000CF210000}"/>
    <cellStyle name="_MOR - Gurgaon -12+0_~0039877_II.8. Sep&amp;Discrete" xfId="8657" xr:uid="{00000000-0005-0000-0000-0000D0210000}"/>
    <cellStyle name="_MOR - Gurgaon -12+0_~0039877_Restructuring &amp; Separation" xfId="8658" xr:uid="{00000000-0005-0000-0000-0000D1210000}"/>
    <cellStyle name="_MOR - Gurgaon -12+0_~0039877_Restructuring_Separation_TAX_JuneFC2010 tf" xfId="8659" xr:uid="{00000000-0005-0000-0000-0000D2210000}"/>
    <cellStyle name="_MOR - Gurgaon -12+0_~0039877_Restructuring_Separation_TAX_JuneFC2010 tf_BS_Separation_TaxResIndem_Q12412 tf" xfId="8660" xr:uid="{00000000-0005-0000-0000-0000D3210000}"/>
    <cellStyle name="_MOR - Gurgaon -12+0_~0039877_Restructuring_Separation_TAX_JuneFC2010 tf_BS_Separation_TaxResIndem_Q12412 tf_Restructuring &amp; Separation" xfId="8661" xr:uid="{00000000-0005-0000-0000-0000D4210000}"/>
    <cellStyle name="_MOR - Gurgaon -12+0_~0039877_Restructuring_Separation_TAX_JuneFC2010 tf_II.8. Sep&amp;Discrete" xfId="8662" xr:uid="{00000000-0005-0000-0000-0000D5210000}"/>
    <cellStyle name="_MOR - Gurgaon -12+0_~0039877_Restructuring_Separation_TAX_JuneFC2010 tf_Restructuring &amp; Separation" xfId="8663" xr:uid="{00000000-0005-0000-0000-0000D6210000}"/>
    <cellStyle name="_MOR - Gurgaon -12+0_BS_Separation_TaxResIndem_Q12412 tf" xfId="8664" xr:uid="{00000000-0005-0000-0000-0000D7210000}"/>
    <cellStyle name="_MOR - Gurgaon -12+0_BS_Separation_TaxResIndem_Q12412 tf_Restructuring &amp; Separation" xfId="8665" xr:uid="{00000000-0005-0000-0000-0000D8210000}"/>
    <cellStyle name="_MOR - Gurgaon -12+0_By Country Detail 1Q10 041410pm FIN 18 revised per disc w Mary" xfId="8666" xr:uid="{00000000-0005-0000-0000-0000D9210000}"/>
    <cellStyle name="_MOR - Gurgaon -12+0_By Country Detail 1Q10 041410pm FIN 18 revised per disc w Mary_BS_Separation_TaxResIndem_Q12412 tf" xfId="8667" xr:uid="{00000000-0005-0000-0000-0000DA210000}"/>
    <cellStyle name="_MOR - Gurgaon -12+0_By Country Detail 1Q10 041410pm FIN 18 revised per disc w Mary_BS_Separation_TaxResIndem_Q12412 tf_Restructuring &amp; Separation" xfId="8668" xr:uid="{00000000-0005-0000-0000-0000DB210000}"/>
    <cellStyle name="_MOR - Gurgaon -12+0_By Country Detail 1Q10 041410pm FIN 18 revised per disc w Mary_II.8. Sep&amp;Discrete" xfId="8669" xr:uid="{00000000-0005-0000-0000-0000DC210000}"/>
    <cellStyle name="_MOR - Gurgaon -12+0_By Country Detail 1Q10 041410pm FIN 18 revised per disc w Mary_Restructuring &amp; Separation" xfId="8670" xr:uid="{00000000-0005-0000-0000-0000DD210000}"/>
    <cellStyle name="_MOR - Gurgaon -12+0_II.4. RawMaterials" xfId="8671" xr:uid="{00000000-0005-0000-0000-0000DE210000}"/>
    <cellStyle name="_MOR - Gurgaon -12+0_II.4. RawMaterials 2" xfId="8672" xr:uid="{00000000-0005-0000-0000-0000DF210000}"/>
    <cellStyle name="_MOR - Gurgaon -12+0_II.4. RawMaterials_BS retrieve" xfId="8673" xr:uid="{00000000-0005-0000-0000-0000E0210000}"/>
    <cellStyle name="_MOR - Gurgaon -12+0_II.4. RawMaterials_Free CF" xfId="8674" xr:uid="{00000000-0005-0000-0000-0000E1210000}"/>
    <cellStyle name="_MOR - Gurgaon -12+0_II.4. RawMaterials_P&amp;L Rec Qtr" xfId="8675" xr:uid="{00000000-0005-0000-0000-0000E2210000}"/>
    <cellStyle name="_MOR - Gurgaon -12+0_II.4. RawMaterials_Sheet1" xfId="8676" xr:uid="{00000000-0005-0000-0000-0000E3210000}"/>
    <cellStyle name="_MOR - Gurgaon -12+0_II.4. RawMaterials_Sheet2" xfId="8677" xr:uid="{00000000-0005-0000-0000-0000E4210000}"/>
    <cellStyle name="_MOR - Gurgaon -12+0_II.4. RawMaterials_Sheet3" xfId="8678" xr:uid="{00000000-0005-0000-0000-0000E5210000}"/>
    <cellStyle name="_MOR - Gurgaon -12+0_II.4. RawMaterials_Sheet4" xfId="8679" xr:uid="{00000000-0005-0000-0000-0000E6210000}"/>
    <cellStyle name="_MOR - Gurgaon -12+0_II.5. RawMaterials" xfId="8680" xr:uid="{00000000-0005-0000-0000-0000E7210000}"/>
    <cellStyle name="_MOR - Gurgaon -12+0_II.5. RawMaterials 2" xfId="8681" xr:uid="{00000000-0005-0000-0000-0000E8210000}"/>
    <cellStyle name="_MOR - Gurgaon -12+0_II.5. RawMaterials_BS retrieve" xfId="8682" xr:uid="{00000000-0005-0000-0000-0000E9210000}"/>
    <cellStyle name="_MOR - Gurgaon -12+0_II.5. RawMaterials_Free CF" xfId="8683" xr:uid="{00000000-0005-0000-0000-0000EA210000}"/>
    <cellStyle name="_MOR - Gurgaon -12+0_II.5. RawMaterials_P&amp;L Rec Qtr" xfId="8684" xr:uid="{00000000-0005-0000-0000-0000EB210000}"/>
    <cellStyle name="_MOR - Gurgaon -12+0_II.5. RawMaterials_Sheet1" xfId="8685" xr:uid="{00000000-0005-0000-0000-0000EC210000}"/>
    <cellStyle name="_MOR - Gurgaon -12+0_II.5. RawMaterials_Sheet2" xfId="8686" xr:uid="{00000000-0005-0000-0000-0000ED210000}"/>
    <cellStyle name="_MOR - Gurgaon -12+0_II.5. RawMaterials_Sheet3" xfId="8687" xr:uid="{00000000-0005-0000-0000-0000EE210000}"/>
    <cellStyle name="_MOR - Gurgaon -12+0_II.5. RawMaterials_Sheet4" xfId="8688" xr:uid="{00000000-0005-0000-0000-0000EF210000}"/>
    <cellStyle name="_MOR - Gurgaon -12+0_II.5. RM Volume Sensitivities" xfId="8689" xr:uid="{00000000-0005-0000-0000-0000F0210000}"/>
    <cellStyle name="_MOR - Gurgaon -12+0_II.5. RM Volume Sensitivities 2" xfId="8690" xr:uid="{00000000-0005-0000-0000-0000F1210000}"/>
    <cellStyle name="_MOR - Gurgaon -12+0_II.5. RM Volume Sensitivities_BS retrieve" xfId="8691" xr:uid="{00000000-0005-0000-0000-0000F2210000}"/>
    <cellStyle name="_MOR - Gurgaon -12+0_II.5. RM Volume Sensitivities_Free CF" xfId="8692" xr:uid="{00000000-0005-0000-0000-0000F3210000}"/>
    <cellStyle name="_MOR - Gurgaon -12+0_II.5. RM Volume Sensitivities_P&amp;L Rec Qtr" xfId="8693" xr:uid="{00000000-0005-0000-0000-0000F4210000}"/>
    <cellStyle name="_MOR - Gurgaon -12+0_II.5. RM Volume Sensitivities_Sheet1" xfId="8694" xr:uid="{00000000-0005-0000-0000-0000F5210000}"/>
    <cellStyle name="_MOR - Gurgaon -12+0_II.5. RM Volume Sensitivities_Sheet2" xfId="8695" xr:uid="{00000000-0005-0000-0000-0000F6210000}"/>
    <cellStyle name="_MOR - Gurgaon -12+0_II.5. RM Volume Sensitivities_Sheet3" xfId="8696" xr:uid="{00000000-0005-0000-0000-0000F7210000}"/>
    <cellStyle name="_MOR - Gurgaon -12+0_II.5. RM Volume Sensitivities_Sheet4" xfId="8697" xr:uid="{00000000-0005-0000-0000-0000F8210000}"/>
    <cellStyle name="_MOR - Gurgaon -12+0_II.8. Sep&amp;Discrete" xfId="8698" xr:uid="{00000000-0005-0000-0000-0000F9210000}"/>
    <cellStyle name="_MOR - Gurgaon -12+0_MOR - Gurgaon - 3+9(R)-1" xfId="8699" xr:uid="{00000000-0005-0000-0000-0000FA210000}"/>
    <cellStyle name="_MOR - Gurgaon -12+0_MOR - Gurgaon - 3+9(R)-1_~0039877" xfId="8700" xr:uid="{00000000-0005-0000-0000-0000FB210000}"/>
    <cellStyle name="_MOR - Gurgaon -12+0_MOR - Gurgaon - 3+9(R)-1_~0039877_BS_Separation_TaxResIndem_Q12412 tf" xfId="8701" xr:uid="{00000000-0005-0000-0000-0000FC210000}"/>
    <cellStyle name="_MOR - Gurgaon -12+0_MOR - Gurgaon - 3+9(R)-1_~0039877_BS_Separation_TaxResIndem_Q12412 tf_Restructuring &amp; Separation" xfId="8702" xr:uid="{00000000-0005-0000-0000-0000FD210000}"/>
    <cellStyle name="_MOR - Gurgaon -12+0_MOR - Gurgaon - 3+9(R)-1_~0039877_By Country Detail 1Q10 041410pm FIN 18 revised per disc w Mary" xfId="8703" xr:uid="{00000000-0005-0000-0000-0000FE210000}"/>
    <cellStyle name="_MOR - Gurgaon -12+0_MOR - Gurgaon - 3+9(R)-1_~0039877_By Country Detail 1Q10 041410pm FIN 18 revised per disc w Mary_BS_Separation_TaxResIndem_Q12412 tf" xfId="8704" xr:uid="{00000000-0005-0000-0000-0000FF210000}"/>
    <cellStyle name="_MOR - Gurgaon -12+0_MOR - Gurgaon - 3+9(R)-1_~0039877_By Country Detail 1Q10 041410pm FIN 18 revised per disc w Mary_BS_Separation_TaxResIndem_Q12412 tf_Restructuring &amp; Separation" xfId="8705" xr:uid="{00000000-0005-0000-0000-000000220000}"/>
    <cellStyle name="_MOR - Gurgaon -12+0_MOR - Gurgaon - 3+9(R)-1_~0039877_By Country Detail 1Q10 041410pm FIN 18 revised per disc w Mary_II.8. Sep&amp;Discrete" xfId="8706" xr:uid="{00000000-0005-0000-0000-000001220000}"/>
    <cellStyle name="_MOR - Gurgaon -12+0_MOR - Gurgaon - 3+9(R)-1_~0039877_By Country Detail 1Q10 041410pm FIN 18 revised per disc w Mary_Restructuring &amp; Separation" xfId="8707" xr:uid="{00000000-0005-0000-0000-000002220000}"/>
    <cellStyle name="_MOR - Gurgaon -12+0_MOR - Gurgaon - 3+9(R)-1_~0039877_II.4. RawMaterials" xfId="8708" xr:uid="{00000000-0005-0000-0000-000003220000}"/>
    <cellStyle name="_MOR - Gurgaon -12+0_MOR - Gurgaon - 3+9(R)-1_~0039877_II.4. RawMaterials 2" xfId="8709" xr:uid="{00000000-0005-0000-0000-000004220000}"/>
    <cellStyle name="_MOR - Gurgaon -12+0_MOR - Gurgaon - 3+9(R)-1_~0039877_II.4. RawMaterials_BS retrieve" xfId="8710" xr:uid="{00000000-0005-0000-0000-000005220000}"/>
    <cellStyle name="_MOR - Gurgaon -12+0_MOR - Gurgaon - 3+9(R)-1_~0039877_II.4. RawMaterials_Free CF" xfId="8711" xr:uid="{00000000-0005-0000-0000-000006220000}"/>
    <cellStyle name="_MOR - Gurgaon -12+0_MOR - Gurgaon - 3+9(R)-1_~0039877_II.4. RawMaterials_P&amp;L Rec Qtr" xfId="8712" xr:uid="{00000000-0005-0000-0000-000007220000}"/>
    <cellStyle name="_MOR - Gurgaon -12+0_MOR - Gurgaon - 3+9(R)-1_~0039877_II.4. RawMaterials_Sheet1" xfId="8713" xr:uid="{00000000-0005-0000-0000-000008220000}"/>
    <cellStyle name="_MOR - Gurgaon -12+0_MOR - Gurgaon - 3+9(R)-1_~0039877_II.4. RawMaterials_Sheet2" xfId="8714" xr:uid="{00000000-0005-0000-0000-000009220000}"/>
    <cellStyle name="_MOR - Gurgaon -12+0_MOR - Gurgaon - 3+9(R)-1_~0039877_II.4. RawMaterials_Sheet3" xfId="8715" xr:uid="{00000000-0005-0000-0000-00000A220000}"/>
    <cellStyle name="_MOR - Gurgaon -12+0_MOR - Gurgaon - 3+9(R)-1_~0039877_II.4. RawMaterials_Sheet4" xfId="8716" xr:uid="{00000000-0005-0000-0000-00000B220000}"/>
    <cellStyle name="_MOR - Gurgaon -12+0_MOR - Gurgaon - 3+9(R)-1_~0039877_II.5. RawMaterials" xfId="8717" xr:uid="{00000000-0005-0000-0000-00000C220000}"/>
    <cellStyle name="_MOR - Gurgaon -12+0_MOR - Gurgaon - 3+9(R)-1_~0039877_II.5. RawMaterials 2" xfId="8718" xr:uid="{00000000-0005-0000-0000-00000D220000}"/>
    <cellStyle name="_MOR - Gurgaon -12+0_MOR - Gurgaon - 3+9(R)-1_~0039877_II.5. RawMaterials_BS retrieve" xfId="8719" xr:uid="{00000000-0005-0000-0000-00000E220000}"/>
    <cellStyle name="_MOR - Gurgaon -12+0_MOR - Gurgaon - 3+9(R)-1_~0039877_II.5. RawMaterials_Free CF" xfId="8720" xr:uid="{00000000-0005-0000-0000-00000F220000}"/>
    <cellStyle name="_MOR - Gurgaon -12+0_MOR - Gurgaon - 3+9(R)-1_~0039877_II.5. RawMaterials_P&amp;L Rec Qtr" xfId="8721" xr:uid="{00000000-0005-0000-0000-000010220000}"/>
    <cellStyle name="_MOR - Gurgaon -12+0_MOR - Gurgaon - 3+9(R)-1_~0039877_II.5. RawMaterials_Sheet1" xfId="8722" xr:uid="{00000000-0005-0000-0000-000011220000}"/>
    <cellStyle name="_MOR - Gurgaon -12+0_MOR - Gurgaon - 3+9(R)-1_~0039877_II.5. RawMaterials_Sheet2" xfId="8723" xr:uid="{00000000-0005-0000-0000-000012220000}"/>
    <cellStyle name="_MOR - Gurgaon -12+0_MOR - Gurgaon - 3+9(R)-1_~0039877_II.5. RawMaterials_Sheet3" xfId="8724" xr:uid="{00000000-0005-0000-0000-000013220000}"/>
    <cellStyle name="_MOR - Gurgaon -12+0_MOR - Gurgaon - 3+9(R)-1_~0039877_II.5. RawMaterials_Sheet4" xfId="8725" xr:uid="{00000000-0005-0000-0000-000014220000}"/>
    <cellStyle name="_MOR - Gurgaon -12+0_MOR - Gurgaon - 3+9(R)-1_~0039877_II.5. RM Volume Sensitivities" xfId="8726" xr:uid="{00000000-0005-0000-0000-000015220000}"/>
    <cellStyle name="_MOR - Gurgaon -12+0_MOR - Gurgaon - 3+9(R)-1_~0039877_II.5. RM Volume Sensitivities 2" xfId="8727" xr:uid="{00000000-0005-0000-0000-000016220000}"/>
    <cellStyle name="_MOR - Gurgaon -12+0_MOR - Gurgaon - 3+9(R)-1_~0039877_II.5. RM Volume Sensitivities_BS retrieve" xfId="8728" xr:uid="{00000000-0005-0000-0000-000017220000}"/>
    <cellStyle name="_MOR - Gurgaon -12+0_MOR - Gurgaon - 3+9(R)-1_~0039877_II.5. RM Volume Sensitivities_Free CF" xfId="8729" xr:uid="{00000000-0005-0000-0000-000018220000}"/>
    <cellStyle name="_MOR - Gurgaon -12+0_MOR - Gurgaon - 3+9(R)-1_~0039877_II.5. RM Volume Sensitivities_P&amp;L Rec Qtr" xfId="8730" xr:uid="{00000000-0005-0000-0000-000019220000}"/>
    <cellStyle name="_MOR - Gurgaon -12+0_MOR - Gurgaon - 3+9(R)-1_~0039877_II.5. RM Volume Sensitivities_Sheet1" xfId="8731" xr:uid="{00000000-0005-0000-0000-00001A220000}"/>
    <cellStyle name="_MOR - Gurgaon -12+0_MOR - Gurgaon - 3+9(R)-1_~0039877_II.5. RM Volume Sensitivities_Sheet2" xfId="8732" xr:uid="{00000000-0005-0000-0000-00001B220000}"/>
    <cellStyle name="_MOR - Gurgaon -12+0_MOR - Gurgaon - 3+9(R)-1_~0039877_II.5. RM Volume Sensitivities_Sheet3" xfId="8733" xr:uid="{00000000-0005-0000-0000-00001C220000}"/>
    <cellStyle name="_MOR - Gurgaon -12+0_MOR - Gurgaon - 3+9(R)-1_~0039877_II.5. RM Volume Sensitivities_Sheet4" xfId="8734" xr:uid="{00000000-0005-0000-0000-00001D220000}"/>
    <cellStyle name="_MOR - Gurgaon -12+0_MOR - Gurgaon - 3+9(R)-1_~0039877_II.8. Sep&amp;Discrete" xfId="8735" xr:uid="{00000000-0005-0000-0000-00001E220000}"/>
    <cellStyle name="_MOR - Gurgaon -12+0_MOR - Gurgaon - 3+9(R)-1_~0039877_Restructuring &amp; Separation" xfId="8736" xr:uid="{00000000-0005-0000-0000-00001F220000}"/>
    <cellStyle name="_MOR - Gurgaon -12+0_MOR - Gurgaon - 3+9(R)-1_~0039877_Restructuring_Separation_TAX_JuneFC2010 tf" xfId="8737" xr:uid="{00000000-0005-0000-0000-000020220000}"/>
    <cellStyle name="_MOR - Gurgaon -12+0_MOR - Gurgaon - 3+9(R)-1_~0039877_Restructuring_Separation_TAX_JuneFC2010 tf_BS_Separation_TaxResIndem_Q12412 tf" xfId="8738" xr:uid="{00000000-0005-0000-0000-000021220000}"/>
    <cellStyle name="_MOR - Gurgaon -12+0_MOR - Gurgaon - 3+9(R)-1_~0039877_Restructuring_Separation_TAX_JuneFC2010 tf_BS_Separation_TaxResIndem_Q12412 tf_Restructuring &amp; Separation" xfId="8739" xr:uid="{00000000-0005-0000-0000-000022220000}"/>
    <cellStyle name="_MOR - Gurgaon -12+0_MOR - Gurgaon - 3+9(R)-1_~0039877_Restructuring_Separation_TAX_JuneFC2010 tf_II.8. Sep&amp;Discrete" xfId="8740" xr:uid="{00000000-0005-0000-0000-000023220000}"/>
    <cellStyle name="_MOR - Gurgaon -12+0_MOR - Gurgaon - 3+9(R)-1_~0039877_Restructuring_Separation_TAX_JuneFC2010 tf_Restructuring &amp; Separation" xfId="8741" xr:uid="{00000000-0005-0000-0000-000024220000}"/>
    <cellStyle name="_MOR - Gurgaon -12+0_MOR - Gurgaon - 3+9(R)-1_BS_Separation_TaxResIndem_Q12412 tf" xfId="8742" xr:uid="{00000000-0005-0000-0000-000025220000}"/>
    <cellStyle name="_MOR - Gurgaon -12+0_MOR - Gurgaon - 3+9(R)-1_BS_Separation_TaxResIndem_Q12412 tf_Restructuring &amp; Separation" xfId="8743" xr:uid="{00000000-0005-0000-0000-000026220000}"/>
    <cellStyle name="_MOR - Gurgaon -12+0_MOR - Gurgaon - 3+9(R)-1_By Country Detail 1Q10 041410pm FIN 18 revised per disc w Mary" xfId="8744" xr:uid="{00000000-0005-0000-0000-000027220000}"/>
    <cellStyle name="_MOR - Gurgaon -12+0_MOR - Gurgaon - 3+9(R)-1_By Country Detail 1Q10 041410pm FIN 18 revised per disc w Mary_BS_Separation_TaxResIndem_Q12412 tf" xfId="8745" xr:uid="{00000000-0005-0000-0000-000028220000}"/>
    <cellStyle name="_MOR - Gurgaon -12+0_MOR - Gurgaon - 3+9(R)-1_By Country Detail 1Q10 041410pm FIN 18 revised per disc w Mary_BS_Separation_TaxResIndem_Q12412 tf_Restructuring &amp; Separation" xfId="8746" xr:uid="{00000000-0005-0000-0000-000029220000}"/>
    <cellStyle name="_MOR - Gurgaon -12+0_MOR - Gurgaon - 3+9(R)-1_By Country Detail 1Q10 041410pm FIN 18 revised per disc w Mary_II.8. Sep&amp;Discrete" xfId="8747" xr:uid="{00000000-0005-0000-0000-00002A220000}"/>
    <cellStyle name="_MOR - Gurgaon -12+0_MOR - Gurgaon - 3+9(R)-1_By Country Detail 1Q10 041410pm FIN 18 revised per disc w Mary_Restructuring &amp; Separation" xfId="8748" xr:uid="{00000000-0005-0000-0000-00002B220000}"/>
    <cellStyle name="_MOR - Gurgaon -12+0_MOR - Gurgaon - 3+9(R)-1_II.4. RawMaterials" xfId="8749" xr:uid="{00000000-0005-0000-0000-00002C220000}"/>
    <cellStyle name="_MOR - Gurgaon -12+0_MOR - Gurgaon - 3+9(R)-1_II.4. RawMaterials 2" xfId="8750" xr:uid="{00000000-0005-0000-0000-00002D220000}"/>
    <cellStyle name="_MOR - Gurgaon -12+0_MOR - Gurgaon - 3+9(R)-1_II.4. RawMaterials_BS retrieve" xfId="8751" xr:uid="{00000000-0005-0000-0000-00002E220000}"/>
    <cellStyle name="_MOR - Gurgaon -12+0_MOR - Gurgaon - 3+9(R)-1_II.4. RawMaterials_Free CF" xfId="8752" xr:uid="{00000000-0005-0000-0000-00002F220000}"/>
    <cellStyle name="_MOR - Gurgaon -12+0_MOR - Gurgaon - 3+9(R)-1_II.4. RawMaterials_P&amp;L Rec Qtr" xfId="8753" xr:uid="{00000000-0005-0000-0000-000030220000}"/>
    <cellStyle name="_MOR - Gurgaon -12+0_MOR - Gurgaon - 3+9(R)-1_II.4. RawMaterials_Sheet1" xfId="8754" xr:uid="{00000000-0005-0000-0000-000031220000}"/>
    <cellStyle name="_MOR - Gurgaon -12+0_MOR - Gurgaon - 3+9(R)-1_II.4. RawMaterials_Sheet2" xfId="8755" xr:uid="{00000000-0005-0000-0000-000032220000}"/>
    <cellStyle name="_MOR - Gurgaon -12+0_MOR - Gurgaon - 3+9(R)-1_II.4. RawMaterials_Sheet3" xfId="8756" xr:uid="{00000000-0005-0000-0000-000033220000}"/>
    <cellStyle name="_MOR - Gurgaon -12+0_MOR - Gurgaon - 3+9(R)-1_II.4. RawMaterials_Sheet4" xfId="8757" xr:uid="{00000000-0005-0000-0000-000034220000}"/>
    <cellStyle name="_MOR - Gurgaon -12+0_MOR - Gurgaon - 3+9(R)-1_II.5. RawMaterials" xfId="8758" xr:uid="{00000000-0005-0000-0000-000035220000}"/>
    <cellStyle name="_MOR - Gurgaon -12+0_MOR - Gurgaon - 3+9(R)-1_II.5. RawMaterials 2" xfId="8759" xr:uid="{00000000-0005-0000-0000-000036220000}"/>
    <cellStyle name="_MOR - Gurgaon -12+0_MOR - Gurgaon - 3+9(R)-1_II.5. RawMaterials_BS retrieve" xfId="8760" xr:uid="{00000000-0005-0000-0000-000037220000}"/>
    <cellStyle name="_MOR - Gurgaon -12+0_MOR - Gurgaon - 3+9(R)-1_II.5. RawMaterials_Free CF" xfId="8761" xr:uid="{00000000-0005-0000-0000-000038220000}"/>
    <cellStyle name="_MOR - Gurgaon -12+0_MOR - Gurgaon - 3+9(R)-1_II.5. RawMaterials_P&amp;L Rec Qtr" xfId="8762" xr:uid="{00000000-0005-0000-0000-000039220000}"/>
    <cellStyle name="_MOR - Gurgaon -12+0_MOR - Gurgaon - 3+9(R)-1_II.5. RawMaterials_Sheet1" xfId="8763" xr:uid="{00000000-0005-0000-0000-00003A220000}"/>
    <cellStyle name="_MOR - Gurgaon -12+0_MOR - Gurgaon - 3+9(R)-1_II.5. RawMaterials_Sheet2" xfId="8764" xr:uid="{00000000-0005-0000-0000-00003B220000}"/>
    <cellStyle name="_MOR - Gurgaon -12+0_MOR - Gurgaon - 3+9(R)-1_II.5. RawMaterials_Sheet3" xfId="8765" xr:uid="{00000000-0005-0000-0000-00003C220000}"/>
    <cellStyle name="_MOR - Gurgaon -12+0_MOR - Gurgaon - 3+9(R)-1_II.5. RawMaterials_Sheet4" xfId="8766" xr:uid="{00000000-0005-0000-0000-00003D220000}"/>
    <cellStyle name="_MOR - Gurgaon -12+0_MOR - Gurgaon - 3+9(R)-1_II.5. RM Volume Sensitivities" xfId="8767" xr:uid="{00000000-0005-0000-0000-00003E220000}"/>
    <cellStyle name="_MOR - Gurgaon -12+0_MOR - Gurgaon - 3+9(R)-1_II.5. RM Volume Sensitivities 2" xfId="8768" xr:uid="{00000000-0005-0000-0000-00003F220000}"/>
    <cellStyle name="_MOR - Gurgaon -12+0_MOR - Gurgaon - 3+9(R)-1_II.5. RM Volume Sensitivities_BS retrieve" xfId="8769" xr:uid="{00000000-0005-0000-0000-000040220000}"/>
    <cellStyle name="_MOR - Gurgaon -12+0_MOR - Gurgaon - 3+9(R)-1_II.5. RM Volume Sensitivities_Free CF" xfId="8770" xr:uid="{00000000-0005-0000-0000-000041220000}"/>
    <cellStyle name="_MOR - Gurgaon -12+0_MOR - Gurgaon - 3+9(R)-1_II.5. RM Volume Sensitivities_P&amp;L Rec Qtr" xfId="8771" xr:uid="{00000000-0005-0000-0000-000042220000}"/>
    <cellStyle name="_MOR - Gurgaon -12+0_MOR - Gurgaon - 3+9(R)-1_II.5. RM Volume Sensitivities_Sheet1" xfId="8772" xr:uid="{00000000-0005-0000-0000-000043220000}"/>
    <cellStyle name="_MOR - Gurgaon -12+0_MOR - Gurgaon - 3+9(R)-1_II.5. RM Volume Sensitivities_Sheet2" xfId="8773" xr:uid="{00000000-0005-0000-0000-000044220000}"/>
    <cellStyle name="_MOR - Gurgaon -12+0_MOR - Gurgaon - 3+9(R)-1_II.5. RM Volume Sensitivities_Sheet3" xfId="8774" xr:uid="{00000000-0005-0000-0000-000045220000}"/>
    <cellStyle name="_MOR - Gurgaon -12+0_MOR - Gurgaon - 3+9(R)-1_II.5. RM Volume Sensitivities_Sheet4" xfId="8775" xr:uid="{00000000-0005-0000-0000-000046220000}"/>
    <cellStyle name="_MOR - Gurgaon -12+0_MOR - Gurgaon - 3+9(R)-1_II.8. Sep&amp;Discrete" xfId="8776" xr:uid="{00000000-0005-0000-0000-000047220000}"/>
    <cellStyle name="_MOR - Gurgaon -12+0_MOR - Gurgaon - 3+9(R)-1_Restructuring &amp; Separation" xfId="8777" xr:uid="{00000000-0005-0000-0000-000048220000}"/>
    <cellStyle name="_MOR - Gurgaon -12+0_MOR - Gurgaon - 3+9(R)-1_Restructuring_Separation_TAX_JuneFC2010 tf" xfId="8778" xr:uid="{00000000-0005-0000-0000-000049220000}"/>
    <cellStyle name="_MOR - Gurgaon -12+0_MOR - Gurgaon - 3+9(R)-1_Restructuring_Separation_TAX_JuneFC2010 tf_BS_Separation_TaxResIndem_Q12412 tf" xfId="8779" xr:uid="{00000000-0005-0000-0000-00004A220000}"/>
    <cellStyle name="_MOR - Gurgaon -12+0_MOR - Gurgaon - 3+9(R)-1_Restructuring_Separation_TAX_JuneFC2010 tf_BS_Separation_TaxResIndem_Q12412 tf_Restructuring &amp; Separation" xfId="8780" xr:uid="{00000000-0005-0000-0000-00004B220000}"/>
    <cellStyle name="_MOR - Gurgaon -12+0_MOR - Gurgaon - 3+9(R)-1_Restructuring_Separation_TAX_JuneFC2010 tf_II.8. Sep&amp;Discrete" xfId="8781" xr:uid="{00000000-0005-0000-0000-00004C220000}"/>
    <cellStyle name="_MOR - Gurgaon -12+0_MOR - Gurgaon - 3+9(R)-1_Restructuring_Separation_TAX_JuneFC2010 tf_Restructuring &amp; Separation" xfId="8782" xr:uid="{00000000-0005-0000-0000-00004D220000}"/>
    <cellStyle name="_MOR - Gurgaon -12+0_MOR - Gurgaon - 3+9(R)-1_Revised MOR Package - Latest" xfId="8783" xr:uid="{00000000-0005-0000-0000-00004E220000}"/>
    <cellStyle name="_MOR - Gurgaon -12+0_MOR - Gurgaon - 3+9(R)-1_Revised MOR Package - Latest_BS_Separation_TaxResIndem_Q12412 tf" xfId="8784" xr:uid="{00000000-0005-0000-0000-00004F220000}"/>
    <cellStyle name="_MOR - Gurgaon -12+0_MOR - Gurgaon - 3+9(R)-1_Revised MOR Package - Latest_BS_Separation_TaxResIndem_Q12412 tf_Restructuring &amp; Separation" xfId="8785" xr:uid="{00000000-0005-0000-0000-000050220000}"/>
    <cellStyle name="_MOR - Gurgaon -12+0_MOR - Gurgaon - 3+9(R)-1_Revised MOR Package - Latest_By Country Detail 1Q10 041410pm FIN 18 revised per disc w Mary" xfId="8786" xr:uid="{00000000-0005-0000-0000-000051220000}"/>
    <cellStyle name="_MOR - Gurgaon -12+0_MOR - Gurgaon - 3+9(R)-1_Revised MOR Package - Latest_By Country Detail 1Q10 041410pm FIN 18 revised per disc w Mary_BS_Separation_TaxResIndem_Q12412 tf" xfId="8787" xr:uid="{00000000-0005-0000-0000-000052220000}"/>
    <cellStyle name="_MOR - Gurgaon -12+0_MOR - Gurgaon - 3+9(R)-1_Revised MOR Package - Latest_By Country Detail 1Q10 041410pm FIN 18 revised per disc w Mary_BS_Separation_TaxResIndem_Q12412 tf_Restructuring &amp; Separation" xfId="8788" xr:uid="{00000000-0005-0000-0000-000053220000}"/>
    <cellStyle name="_MOR - Gurgaon -12+0_MOR - Gurgaon - 3+9(R)-1_Revised MOR Package - Latest_By Country Detail 1Q10 041410pm FIN 18 revised per disc w Mary_II.8. Sep&amp;Discrete" xfId="8789" xr:uid="{00000000-0005-0000-0000-000054220000}"/>
    <cellStyle name="_MOR - Gurgaon -12+0_MOR - Gurgaon - 3+9(R)-1_Revised MOR Package - Latest_By Country Detail 1Q10 041410pm FIN 18 revised per disc w Mary_Restructuring &amp; Separation" xfId="8790" xr:uid="{00000000-0005-0000-0000-000055220000}"/>
    <cellStyle name="_MOR - Gurgaon -12+0_MOR - Gurgaon - 3+9(R)-1_Revised MOR Package - Latest_II.4. RawMaterials" xfId="8791" xr:uid="{00000000-0005-0000-0000-000056220000}"/>
    <cellStyle name="_MOR - Gurgaon -12+0_MOR - Gurgaon - 3+9(R)-1_Revised MOR Package - Latest_II.4. RawMaterials 2" xfId="8792" xr:uid="{00000000-0005-0000-0000-000057220000}"/>
    <cellStyle name="_MOR - Gurgaon -12+0_MOR - Gurgaon - 3+9(R)-1_Revised MOR Package - Latest_II.4. RawMaterials_BS retrieve" xfId="8793" xr:uid="{00000000-0005-0000-0000-000058220000}"/>
    <cellStyle name="_MOR - Gurgaon -12+0_MOR - Gurgaon - 3+9(R)-1_Revised MOR Package - Latest_II.4. RawMaterials_Free CF" xfId="8794" xr:uid="{00000000-0005-0000-0000-000059220000}"/>
    <cellStyle name="_MOR - Gurgaon -12+0_MOR - Gurgaon - 3+9(R)-1_Revised MOR Package - Latest_II.4. RawMaterials_P&amp;L Rec Qtr" xfId="8795" xr:uid="{00000000-0005-0000-0000-00005A220000}"/>
    <cellStyle name="_MOR - Gurgaon -12+0_MOR - Gurgaon - 3+9(R)-1_Revised MOR Package - Latest_II.4. RawMaterials_Sheet1" xfId="8796" xr:uid="{00000000-0005-0000-0000-00005B220000}"/>
    <cellStyle name="_MOR - Gurgaon -12+0_MOR - Gurgaon - 3+9(R)-1_Revised MOR Package - Latest_II.4. RawMaterials_Sheet2" xfId="8797" xr:uid="{00000000-0005-0000-0000-00005C220000}"/>
    <cellStyle name="_MOR - Gurgaon -12+0_MOR - Gurgaon - 3+9(R)-1_Revised MOR Package - Latest_II.4. RawMaterials_Sheet3" xfId="8798" xr:uid="{00000000-0005-0000-0000-00005D220000}"/>
    <cellStyle name="_MOR - Gurgaon -12+0_MOR - Gurgaon - 3+9(R)-1_Revised MOR Package - Latest_II.4. RawMaterials_Sheet4" xfId="8799" xr:uid="{00000000-0005-0000-0000-00005E220000}"/>
    <cellStyle name="_MOR - Gurgaon -12+0_MOR - Gurgaon - 3+9(R)-1_Revised MOR Package - Latest_II.5. RawMaterials" xfId="8800" xr:uid="{00000000-0005-0000-0000-00005F220000}"/>
    <cellStyle name="_MOR - Gurgaon -12+0_MOR - Gurgaon - 3+9(R)-1_Revised MOR Package - Latest_II.5. RawMaterials 2" xfId="8801" xr:uid="{00000000-0005-0000-0000-000060220000}"/>
    <cellStyle name="_MOR - Gurgaon -12+0_MOR - Gurgaon - 3+9(R)-1_Revised MOR Package - Latest_II.5. RawMaterials_BS retrieve" xfId="8802" xr:uid="{00000000-0005-0000-0000-000061220000}"/>
    <cellStyle name="_MOR - Gurgaon -12+0_MOR - Gurgaon - 3+9(R)-1_Revised MOR Package - Latest_II.5. RawMaterials_Free CF" xfId="8803" xr:uid="{00000000-0005-0000-0000-000062220000}"/>
    <cellStyle name="_MOR - Gurgaon -12+0_MOR - Gurgaon - 3+9(R)-1_Revised MOR Package - Latest_II.5. RawMaterials_P&amp;L Rec Qtr" xfId="8804" xr:uid="{00000000-0005-0000-0000-000063220000}"/>
    <cellStyle name="_MOR - Gurgaon -12+0_MOR - Gurgaon - 3+9(R)-1_Revised MOR Package - Latest_II.5. RawMaterials_Sheet1" xfId="8805" xr:uid="{00000000-0005-0000-0000-000064220000}"/>
    <cellStyle name="_MOR - Gurgaon -12+0_MOR - Gurgaon - 3+9(R)-1_Revised MOR Package - Latest_II.5. RawMaterials_Sheet2" xfId="8806" xr:uid="{00000000-0005-0000-0000-000065220000}"/>
    <cellStyle name="_MOR - Gurgaon -12+0_MOR - Gurgaon - 3+9(R)-1_Revised MOR Package - Latest_II.5. RawMaterials_Sheet3" xfId="8807" xr:uid="{00000000-0005-0000-0000-000066220000}"/>
    <cellStyle name="_MOR - Gurgaon -12+0_MOR - Gurgaon - 3+9(R)-1_Revised MOR Package - Latest_II.5. RawMaterials_Sheet4" xfId="8808" xr:uid="{00000000-0005-0000-0000-000067220000}"/>
    <cellStyle name="_MOR - Gurgaon -12+0_MOR - Gurgaon - 3+9(R)-1_Revised MOR Package - Latest_II.5. RM Volume Sensitivities" xfId="8809" xr:uid="{00000000-0005-0000-0000-000068220000}"/>
    <cellStyle name="_MOR - Gurgaon -12+0_MOR - Gurgaon - 3+9(R)-1_Revised MOR Package - Latest_II.5. RM Volume Sensitivities 2" xfId="8810" xr:uid="{00000000-0005-0000-0000-000069220000}"/>
    <cellStyle name="_MOR - Gurgaon -12+0_MOR - Gurgaon - 3+9(R)-1_Revised MOR Package - Latest_II.5. RM Volume Sensitivities_BS retrieve" xfId="8811" xr:uid="{00000000-0005-0000-0000-00006A220000}"/>
    <cellStyle name="_MOR - Gurgaon -12+0_MOR - Gurgaon - 3+9(R)-1_Revised MOR Package - Latest_II.5. RM Volume Sensitivities_Free CF" xfId="8812" xr:uid="{00000000-0005-0000-0000-00006B220000}"/>
    <cellStyle name="_MOR - Gurgaon -12+0_MOR - Gurgaon - 3+9(R)-1_Revised MOR Package - Latest_II.5. RM Volume Sensitivities_P&amp;L Rec Qtr" xfId="8813" xr:uid="{00000000-0005-0000-0000-00006C220000}"/>
    <cellStyle name="_MOR - Gurgaon -12+0_MOR - Gurgaon - 3+9(R)-1_Revised MOR Package - Latest_II.5. RM Volume Sensitivities_Sheet1" xfId="8814" xr:uid="{00000000-0005-0000-0000-00006D220000}"/>
    <cellStyle name="_MOR - Gurgaon -12+0_MOR - Gurgaon - 3+9(R)-1_Revised MOR Package - Latest_II.5. RM Volume Sensitivities_Sheet2" xfId="8815" xr:uid="{00000000-0005-0000-0000-00006E220000}"/>
    <cellStyle name="_MOR - Gurgaon -12+0_MOR - Gurgaon - 3+9(R)-1_Revised MOR Package - Latest_II.5. RM Volume Sensitivities_Sheet3" xfId="8816" xr:uid="{00000000-0005-0000-0000-00006F220000}"/>
    <cellStyle name="_MOR - Gurgaon -12+0_MOR - Gurgaon - 3+9(R)-1_Revised MOR Package - Latest_II.5. RM Volume Sensitivities_Sheet4" xfId="8817" xr:uid="{00000000-0005-0000-0000-000070220000}"/>
    <cellStyle name="_MOR - Gurgaon -12+0_MOR - Gurgaon - 3+9(R)-1_Revised MOR Package - Latest_II.8. Sep&amp;Discrete" xfId="8818" xr:uid="{00000000-0005-0000-0000-000071220000}"/>
    <cellStyle name="_MOR - Gurgaon -12+0_MOR - Gurgaon - 3+9(R)-1_Revised MOR Package - Latest_Restructuring &amp; Separation" xfId="8819" xr:uid="{00000000-0005-0000-0000-000072220000}"/>
    <cellStyle name="_MOR - Gurgaon -12+0_MOR - Gurgaon - 3+9(R)-1_Revised MOR Package - Latest_Restructuring_Separation_TAX_JuneFC2010 tf" xfId="8820" xr:uid="{00000000-0005-0000-0000-000073220000}"/>
    <cellStyle name="_MOR - Gurgaon -12+0_MOR - Gurgaon - 3+9(R)-1_Revised MOR Package - Latest_Restructuring_Separation_TAX_JuneFC2010 tf_BS_Separation_TaxResIndem_Q12412 tf" xfId="8821" xr:uid="{00000000-0005-0000-0000-000074220000}"/>
    <cellStyle name="_MOR - Gurgaon -12+0_MOR - Gurgaon - 3+9(R)-1_Revised MOR Package - Latest_Restructuring_Separation_TAX_JuneFC2010 tf_BS_Separation_TaxResIndem_Q12412 tf_Restructuring &amp; Separation" xfId="8822" xr:uid="{00000000-0005-0000-0000-000075220000}"/>
    <cellStyle name="_MOR - Gurgaon -12+0_MOR - Gurgaon - 3+9(R)-1_Revised MOR Package - Latest_Restructuring_Separation_TAX_JuneFC2010 tf_II.8. Sep&amp;Discrete" xfId="8823" xr:uid="{00000000-0005-0000-0000-000076220000}"/>
    <cellStyle name="_MOR - Gurgaon -12+0_MOR - Gurgaon - 3+9(R)-1_Revised MOR Package - Latest_Restructuring_Separation_TAX_JuneFC2010 tf_Restructuring &amp; Separation" xfId="8824" xr:uid="{00000000-0005-0000-0000-000077220000}"/>
    <cellStyle name="_MOR - Gurgaon -12+0_MOR - Revised Package" xfId="8825" xr:uid="{00000000-0005-0000-0000-000078220000}"/>
    <cellStyle name="_MOR - Gurgaon -12+0_MOR - Revised Package_~0039877" xfId="8826" xr:uid="{00000000-0005-0000-0000-000079220000}"/>
    <cellStyle name="_MOR - Gurgaon -12+0_MOR - Revised Package_~0039877_BS_Separation_TaxResIndem_Q12412 tf" xfId="8827" xr:uid="{00000000-0005-0000-0000-00007A220000}"/>
    <cellStyle name="_MOR - Gurgaon -12+0_MOR - Revised Package_~0039877_BS_Separation_TaxResIndem_Q12412 tf_Restructuring &amp; Separation" xfId="8828" xr:uid="{00000000-0005-0000-0000-00007B220000}"/>
    <cellStyle name="_MOR - Gurgaon -12+0_MOR - Revised Package_~0039877_By Country Detail 1Q10 041410pm FIN 18 revised per disc w Mary" xfId="8829" xr:uid="{00000000-0005-0000-0000-00007C220000}"/>
    <cellStyle name="_MOR - Gurgaon -12+0_MOR - Revised Package_~0039877_By Country Detail 1Q10 041410pm FIN 18 revised per disc w Mary_BS_Separation_TaxResIndem_Q12412 tf" xfId="8830" xr:uid="{00000000-0005-0000-0000-00007D220000}"/>
    <cellStyle name="_MOR - Gurgaon -12+0_MOR - Revised Package_~0039877_By Country Detail 1Q10 041410pm FIN 18 revised per disc w Mary_BS_Separation_TaxResIndem_Q12412 tf_Restructuring &amp; Separation" xfId="8831" xr:uid="{00000000-0005-0000-0000-00007E220000}"/>
    <cellStyle name="_MOR - Gurgaon -12+0_MOR - Revised Package_~0039877_By Country Detail 1Q10 041410pm FIN 18 revised per disc w Mary_II.8. Sep&amp;Discrete" xfId="8832" xr:uid="{00000000-0005-0000-0000-00007F220000}"/>
    <cellStyle name="_MOR - Gurgaon -12+0_MOR - Revised Package_~0039877_By Country Detail 1Q10 041410pm FIN 18 revised per disc w Mary_Restructuring &amp; Separation" xfId="8833" xr:uid="{00000000-0005-0000-0000-000080220000}"/>
    <cellStyle name="_MOR - Gurgaon -12+0_MOR - Revised Package_~0039877_II.4. RawMaterials" xfId="8834" xr:uid="{00000000-0005-0000-0000-000081220000}"/>
    <cellStyle name="_MOR - Gurgaon -12+0_MOR - Revised Package_~0039877_II.4. RawMaterials 2" xfId="8835" xr:uid="{00000000-0005-0000-0000-000082220000}"/>
    <cellStyle name="_MOR - Gurgaon -12+0_MOR - Revised Package_~0039877_II.4. RawMaterials_BS retrieve" xfId="8836" xr:uid="{00000000-0005-0000-0000-000083220000}"/>
    <cellStyle name="_MOR - Gurgaon -12+0_MOR - Revised Package_~0039877_II.4. RawMaterials_Free CF" xfId="8837" xr:uid="{00000000-0005-0000-0000-000084220000}"/>
    <cellStyle name="_MOR - Gurgaon -12+0_MOR - Revised Package_~0039877_II.4. RawMaterials_P&amp;L Rec Qtr" xfId="8838" xr:uid="{00000000-0005-0000-0000-000085220000}"/>
    <cellStyle name="_MOR - Gurgaon -12+0_MOR - Revised Package_~0039877_II.4. RawMaterials_Sheet1" xfId="8839" xr:uid="{00000000-0005-0000-0000-000086220000}"/>
    <cellStyle name="_MOR - Gurgaon -12+0_MOR - Revised Package_~0039877_II.4. RawMaterials_Sheet2" xfId="8840" xr:uid="{00000000-0005-0000-0000-000087220000}"/>
    <cellStyle name="_MOR - Gurgaon -12+0_MOR - Revised Package_~0039877_II.4. RawMaterials_Sheet3" xfId="8841" xr:uid="{00000000-0005-0000-0000-000088220000}"/>
    <cellStyle name="_MOR - Gurgaon -12+0_MOR - Revised Package_~0039877_II.4. RawMaterials_Sheet4" xfId="8842" xr:uid="{00000000-0005-0000-0000-000089220000}"/>
    <cellStyle name="_MOR - Gurgaon -12+0_MOR - Revised Package_~0039877_II.5. RawMaterials" xfId="8843" xr:uid="{00000000-0005-0000-0000-00008A220000}"/>
    <cellStyle name="_MOR - Gurgaon -12+0_MOR - Revised Package_~0039877_II.5. RawMaterials 2" xfId="8844" xr:uid="{00000000-0005-0000-0000-00008B220000}"/>
    <cellStyle name="_MOR - Gurgaon -12+0_MOR - Revised Package_~0039877_II.5. RawMaterials_BS retrieve" xfId="8845" xr:uid="{00000000-0005-0000-0000-00008C220000}"/>
    <cellStyle name="_MOR - Gurgaon -12+0_MOR - Revised Package_~0039877_II.5. RawMaterials_Free CF" xfId="8846" xr:uid="{00000000-0005-0000-0000-00008D220000}"/>
    <cellStyle name="_MOR - Gurgaon -12+0_MOR - Revised Package_~0039877_II.5. RawMaterials_P&amp;L Rec Qtr" xfId="8847" xr:uid="{00000000-0005-0000-0000-00008E220000}"/>
    <cellStyle name="_MOR - Gurgaon -12+0_MOR - Revised Package_~0039877_II.5. RawMaterials_Sheet1" xfId="8848" xr:uid="{00000000-0005-0000-0000-00008F220000}"/>
    <cellStyle name="_MOR - Gurgaon -12+0_MOR - Revised Package_~0039877_II.5. RawMaterials_Sheet2" xfId="8849" xr:uid="{00000000-0005-0000-0000-000090220000}"/>
    <cellStyle name="_MOR - Gurgaon -12+0_MOR - Revised Package_~0039877_II.5. RawMaterials_Sheet3" xfId="8850" xr:uid="{00000000-0005-0000-0000-000091220000}"/>
    <cellStyle name="_MOR - Gurgaon -12+0_MOR - Revised Package_~0039877_II.5. RawMaterials_Sheet4" xfId="8851" xr:uid="{00000000-0005-0000-0000-000092220000}"/>
    <cellStyle name="_MOR - Gurgaon -12+0_MOR - Revised Package_~0039877_II.5. RM Volume Sensitivities" xfId="8852" xr:uid="{00000000-0005-0000-0000-000093220000}"/>
    <cellStyle name="_MOR - Gurgaon -12+0_MOR - Revised Package_~0039877_II.5. RM Volume Sensitivities 2" xfId="8853" xr:uid="{00000000-0005-0000-0000-000094220000}"/>
    <cellStyle name="_MOR - Gurgaon -12+0_MOR - Revised Package_~0039877_II.5. RM Volume Sensitivities_BS retrieve" xfId="8854" xr:uid="{00000000-0005-0000-0000-000095220000}"/>
    <cellStyle name="_MOR - Gurgaon -12+0_MOR - Revised Package_~0039877_II.5. RM Volume Sensitivities_Free CF" xfId="8855" xr:uid="{00000000-0005-0000-0000-000096220000}"/>
    <cellStyle name="_MOR - Gurgaon -12+0_MOR - Revised Package_~0039877_II.5. RM Volume Sensitivities_P&amp;L Rec Qtr" xfId="8856" xr:uid="{00000000-0005-0000-0000-000097220000}"/>
    <cellStyle name="_MOR - Gurgaon -12+0_MOR - Revised Package_~0039877_II.5. RM Volume Sensitivities_Sheet1" xfId="8857" xr:uid="{00000000-0005-0000-0000-000098220000}"/>
    <cellStyle name="_MOR - Gurgaon -12+0_MOR - Revised Package_~0039877_II.5. RM Volume Sensitivities_Sheet2" xfId="8858" xr:uid="{00000000-0005-0000-0000-000099220000}"/>
    <cellStyle name="_MOR - Gurgaon -12+0_MOR - Revised Package_~0039877_II.5. RM Volume Sensitivities_Sheet3" xfId="8859" xr:uid="{00000000-0005-0000-0000-00009A220000}"/>
    <cellStyle name="_MOR - Gurgaon -12+0_MOR - Revised Package_~0039877_II.5. RM Volume Sensitivities_Sheet4" xfId="8860" xr:uid="{00000000-0005-0000-0000-00009B220000}"/>
    <cellStyle name="_MOR - Gurgaon -12+0_MOR - Revised Package_~0039877_II.8. Sep&amp;Discrete" xfId="8861" xr:uid="{00000000-0005-0000-0000-00009C220000}"/>
    <cellStyle name="_MOR - Gurgaon -12+0_MOR - Revised Package_~0039877_Restructuring &amp; Separation" xfId="8862" xr:uid="{00000000-0005-0000-0000-00009D220000}"/>
    <cellStyle name="_MOR - Gurgaon -12+0_MOR - Revised Package_~0039877_Restructuring_Separation_TAX_JuneFC2010 tf" xfId="8863" xr:uid="{00000000-0005-0000-0000-00009E220000}"/>
    <cellStyle name="_MOR - Gurgaon -12+0_MOR - Revised Package_~0039877_Restructuring_Separation_TAX_JuneFC2010 tf_BS_Separation_TaxResIndem_Q12412 tf" xfId="8864" xr:uid="{00000000-0005-0000-0000-00009F220000}"/>
    <cellStyle name="_MOR - Gurgaon -12+0_MOR - Revised Package_~0039877_Restructuring_Separation_TAX_JuneFC2010 tf_BS_Separation_TaxResIndem_Q12412 tf_Restructuring &amp; Separation" xfId="8865" xr:uid="{00000000-0005-0000-0000-0000A0220000}"/>
    <cellStyle name="_MOR - Gurgaon -12+0_MOR - Revised Package_~0039877_Restructuring_Separation_TAX_JuneFC2010 tf_II.8. Sep&amp;Discrete" xfId="8866" xr:uid="{00000000-0005-0000-0000-0000A1220000}"/>
    <cellStyle name="_MOR - Gurgaon -12+0_MOR - Revised Package_~0039877_Restructuring_Separation_TAX_JuneFC2010 tf_Restructuring &amp; Separation" xfId="8867" xr:uid="{00000000-0005-0000-0000-0000A2220000}"/>
    <cellStyle name="_MOR - Gurgaon -12+0_MOR - Revised Package_BS_Separation_TaxResIndem_Q12412 tf" xfId="8868" xr:uid="{00000000-0005-0000-0000-0000A3220000}"/>
    <cellStyle name="_MOR - Gurgaon -12+0_MOR - Revised Package_BS_Separation_TaxResIndem_Q12412 tf_Restructuring &amp; Separation" xfId="8869" xr:uid="{00000000-0005-0000-0000-0000A4220000}"/>
    <cellStyle name="_MOR - Gurgaon -12+0_MOR - Revised Package_By Country Detail 1Q10 041410pm FIN 18 revised per disc w Mary" xfId="8870" xr:uid="{00000000-0005-0000-0000-0000A5220000}"/>
    <cellStyle name="_MOR - Gurgaon -12+0_MOR - Revised Package_By Country Detail 1Q10 041410pm FIN 18 revised per disc w Mary_BS_Separation_TaxResIndem_Q12412 tf" xfId="8871" xr:uid="{00000000-0005-0000-0000-0000A6220000}"/>
    <cellStyle name="_MOR - Gurgaon -12+0_MOR - Revised Package_By Country Detail 1Q10 041410pm FIN 18 revised per disc w Mary_BS_Separation_TaxResIndem_Q12412 tf_Restructuring &amp; Separation" xfId="8872" xr:uid="{00000000-0005-0000-0000-0000A7220000}"/>
    <cellStyle name="_MOR - Gurgaon -12+0_MOR - Revised Package_By Country Detail 1Q10 041410pm FIN 18 revised per disc w Mary_II.8. Sep&amp;Discrete" xfId="8873" xr:uid="{00000000-0005-0000-0000-0000A8220000}"/>
    <cellStyle name="_MOR - Gurgaon -12+0_MOR - Revised Package_By Country Detail 1Q10 041410pm FIN 18 revised per disc w Mary_Restructuring &amp; Separation" xfId="8874" xr:uid="{00000000-0005-0000-0000-0000A9220000}"/>
    <cellStyle name="_MOR - Gurgaon -12+0_MOR - Revised Package_II.4. RawMaterials" xfId="8875" xr:uid="{00000000-0005-0000-0000-0000AA220000}"/>
    <cellStyle name="_MOR - Gurgaon -12+0_MOR - Revised Package_II.4. RawMaterials 2" xfId="8876" xr:uid="{00000000-0005-0000-0000-0000AB220000}"/>
    <cellStyle name="_MOR - Gurgaon -12+0_MOR - Revised Package_II.4. RawMaterials_BS retrieve" xfId="8877" xr:uid="{00000000-0005-0000-0000-0000AC220000}"/>
    <cellStyle name="_MOR - Gurgaon -12+0_MOR - Revised Package_II.4. RawMaterials_Free CF" xfId="8878" xr:uid="{00000000-0005-0000-0000-0000AD220000}"/>
    <cellStyle name="_MOR - Gurgaon -12+0_MOR - Revised Package_II.4. RawMaterials_P&amp;L Rec Qtr" xfId="8879" xr:uid="{00000000-0005-0000-0000-0000AE220000}"/>
    <cellStyle name="_MOR - Gurgaon -12+0_MOR - Revised Package_II.4. RawMaterials_Sheet1" xfId="8880" xr:uid="{00000000-0005-0000-0000-0000AF220000}"/>
    <cellStyle name="_MOR - Gurgaon -12+0_MOR - Revised Package_II.4. RawMaterials_Sheet2" xfId="8881" xr:uid="{00000000-0005-0000-0000-0000B0220000}"/>
    <cellStyle name="_MOR - Gurgaon -12+0_MOR - Revised Package_II.4. RawMaterials_Sheet3" xfId="8882" xr:uid="{00000000-0005-0000-0000-0000B1220000}"/>
    <cellStyle name="_MOR - Gurgaon -12+0_MOR - Revised Package_II.4. RawMaterials_Sheet4" xfId="8883" xr:uid="{00000000-0005-0000-0000-0000B2220000}"/>
    <cellStyle name="_MOR - Gurgaon -12+0_MOR - Revised Package_II.5. RawMaterials" xfId="8884" xr:uid="{00000000-0005-0000-0000-0000B3220000}"/>
    <cellStyle name="_MOR - Gurgaon -12+0_MOR - Revised Package_II.5. RawMaterials 2" xfId="8885" xr:uid="{00000000-0005-0000-0000-0000B4220000}"/>
    <cellStyle name="_MOR - Gurgaon -12+0_MOR - Revised Package_II.5. RawMaterials_BS retrieve" xfId="8886" xr:uid="{00000000-0005-0000-0000-0000B5220000}"/>
    <cellStyle name="_MOR - Gurgaon -12+0_MOR - Revised Package_II.5. RawMaterials_Free CF" xfId="8887" xr:uid="{00000000-0005-0000-0000-0000B6220000}"/>
    <cellStyle name="_MOR - Gurgaon -12+0_MOR - Revised Package_II.5. RawMaterials_P&amp;L Rec Qtr" xfId="8888" xr:uid="{00000000-0005-0000-0000-0000B7220000}"/>
    <cellStyle name="_MOR - Gurgaon -12+0_MOR - Revised Package_II.5. RawMaterials_Sheet1" xfId="8889" xr:uid="{00000000-0005-0000-0000-0000B8220000}"/>
    <cellStyle name="_MOR - Gurgaon -12+0_MOR - Revised Package_II.5. RawMaterials_Sheet2" xfId="8890" xr:uid="{00000000-0005-0000-0000-0000B9220000}"/>
    <cellStyle name="_MOR - Gurgaon -12+0_MOR - Revised Package_II.5. RawMaterials_Sheet3" xfId="8891" xr:uid="{00000000-0005-0000-0000-0000BA220000}"/>
    <cellStyle name="_MOR - Gurgaon -12+0_MOR - Revised Package_II.5. RawMaterials_Sheet4" xfId="8892" xr:uid="{00000000-0005-0000-0000-0000BB220000}"/>
    <cellStyle name="_MOR - Gurgaon -12+0_MOR - Revised Package_II.5. RM Volume Sensitivities" xfId="8893" xr:uid="{00000000-0005-0000-0000-0000BC220000}"/>
    <cellStyle name="_MOR - Gurgaon -12+0_MOR - Revised Package_II.5. RM Volume Sensitivities 2" xfId="8894" xr:uid="{00000000-0005-0000-0000-0000BD220000}"/>
    <cellStyle name="_MOR - Gurgaon -12+0_MOR - Revised Package_II.5. RM Volume Sensitivities_BS retrieve" xfId="8895" xr:uid="{00000000-0005-0000-0000-0000BE220000}"/>
    <cellStyle name="_MOR - Gurgaon -12+0_MOR - Revised Package_II.5. RM Volume Sensitivities_Free CF" xfId="8896" xr:uid="{00000000-0005-0000-0000-0000BF220000}"/>
    <cellStyle name="_MOR - Gurgaon -12+0_MOR - Revised Package_II.5. RM Volume Sensitivities_P&amp;L Rec Qtr" xfId="8897" xr:uid="{00000000-0005-0000-0000-0000C0220000}"/>
    <cellStyle name="_MOR - Gurgaon -12+0_MOR - Revised Package_II.5. RM Volume Sensitivities_Sheet1" xfId="8898" xr:uid="{00000000-0005-0000-0000-0000C1220000}"/>
    <cellStyle name="_MOR - Gurgaon -12+0_MOR - Revised Package_II.5. RM Volume Sensitivities_Sheet2" xfId="8899" xr:uid="{00000000-0005-0000-0000-0000C2220000}"/>
    <cellStyle name="_MOR - Gurgaon -12+0_MOR - Revised Package_II.5. RM Volume Sensitivities_Sheet3" xfId="8900" xr:uid="{00000000-0005-0000-0000-0000C3220000}"/>
    <cellStyle name="_MOR - Gurgaon -12+0_MOR - Revised Package_II.5. RM Volume Sensitivities_Sheet4" xfId="8901" xr:uid="{00000000-0005-0000-0000-0000C4220000}"/>
    <cellStyle name="_MOR - Gurgaon -12+0_MOR - Revised Package_II.8. Sep&amp;Discrete" xfId="8902" xr:uid="{00000000-0005-0000-0000-0000C5220000}"/>
    <cellStyle name="_MOR - Gurgaon -12+0_MOR - Revised Package_Restructuring &amp; Separation" xfId="8903" xr:uid="{00000000-0005-0000-0000-0000C6220000}"/>
    <cellStyle name="_MOR - Gurgaon -12+0_MOR - Revised Package_Restructuring_Separation_TAX_JuneFC2010 tf" xfId="8904" xr:uid="{00000000-0005-0000-0000-0000C7220000}"/>
    <cellStyle name="_MOR - Gurgaon -12+0_MOR - Revised Package_Restructuring_Separation_TAX_JuneFC2010 tf_BS_Separation_TaxResIndem_Q12412 tf" xfId="8905" xr:uid="{00000000-0005-0000-0000-0000C8220000}"/>
    <cellStyle name="_MOR - Gurgaon -12+0_MOR - Revised Package_Restructuring_Separation_TAX_JuneFC2010 tf_BS_Separation_TaxResIndem_Q12412 tf_Restructuring &amp; Separation" xfId="8906" xr:uid="{00000000-0005-0000-0000-0000C9220000}"/>
    <cellStyle name="_MOR - Gurgaon -12+0_MOR - Revised Package_Restructuring_Separation_TAX_JuneFC2010 tf_II.8. Sep&amp;Discrete" xfId="8907" xr:uid="{00000000-0005-0000-0000-0000CA220000}"/>
    <cellStyle name="_MOR - Gurgaon -12+0_MOR - Revised Package_Restructuring_Separation_TAX_JuneFC2010 tf_Restructuring &amp; Separation" xfId="8908" xr:uid="{00000000-0005-0000-0000-0000CB220000}"/>
    <cellStyle name="_MOR - Gurgaon -12+0_MOR - Revised Package_Revised MOR Package - Latest" xfId="8909" xr:uid="{00000000-0005-0000-0000-0000CC220000}"/>
    <cellStyle name="_MOR - Gurgaon -12+0_MOR - Revised Package_Revised MOR Package - Latest_BS_Separation_TaxResIndem_Q12412 tf" xfId="8910" xr:uid="{00000000-0005-0000-0000-0000CD220000}"/>
    <cellStyle name="_MOR - Gurgaon -12+0_MOR - Revised Package_Revised MOR Package - Latest_BS_Separation_TaxResIndem_Q12412 tf_Restructuring &amp; Separation" xfId="8911" xr:uid="{00000000-0005-0000-0000-0000CE220000}"/>
    <cellStyle name="_MOR - Gurgaon -12+0_MOR - Revised Package_Revised MOR Package - Latest_By Country Detail 1Q10 041410pm FIN 18 revised per disc w Mary" xfId="8912" xr:uid="{00000000-0005-0000-0000-0000CF220000}"/>
    <cellStyle name="_MOR - Gurgaon -12+0_MOR - Revised Package_Revised MOR Package - Latest_By Country Detail 1Q10 041410pm FIN 18 revised per disc w Mary_BS_Separation_TaxResIndem_Q12412 tf" xfId="8913" xr:uid="{00000000-0005-0000-0000-0000D0220000}"/>
    <cellStyle name="_MOR - Gurgaon -12+0_MOR - Revised Package_Revised MOR Package - Latest_By Country Detail 1Q10 041410pm FIN 18 revised per disc w Mary_BS_Separation_TaxResIndem_Q12412 tf_Restructuring &amp; Separation" xfId="8914" xr:uid="{00000000-0005-0000-0000-0000D1220000}"/>
    <cellStyle name="_MOR - Gurgaon -12+0_MOR - Revised Package_Revised MOR Package - Latest_By Country Detail 1Q10 041410pm FIN 18 revised per disc w Mary_II.8. Sep&amp;Discrete" xfId="8915" xr:uid="{00000000-0005-0000-0000-0000D2220000}"/>
    <cellStyle name="_MOR - Gurgaon -12+0_MOR - Revised Package_Revised MOR Package - Latest_By Country Detail 1Q10 041410pm FIN 18 revised per disc w Mary_Restructuring &amp; Separation" xfId="8916" xr:uid="{00000000-0005-0000-0000-0000D3220000}"/>
    <cellStyle name="_MOR - Gurgaon -12+0_MOR - Revised Package_Revised MOR Package - Latest_II.4. RawMaterials" xfId="8917" xr:uid="{00000000-0005-0000-0000-0000D4220000}"/>
    <cellStyle name="_MOR - Gurgaon -12+0_MOR - Revised Package_Revised MOR Package - Latest_II.4. RawMaterials 2" xfId="8918" xr:uid="{00000000-0005-0000-0000-0000D5220000}"/>
    <cellStyle name="_MOR - Gurgaon -12+0_MOR - Revised Package_Revised MOR Package - Latest_II.4. RawMaterials_BS retrieve" xfId="8919" xr:uid="{00000000-0005-0000-0000-0000D6220000}"/>
    <cellStyle name="_MOR - Gurgaon -12+0_MOR - Revised Package_Revised MOR Package - Latest_II.4. RawMaterials_Free CF" xfId="8920" xr:uid="{00000000-0005-0000-0000-0000D7220000}"/>
    <cellStyle name="_MOR - Gurgaon -12+0_MOR - Revised Package_Revised MOR Package - Latest_II.4. RawMaterials_P&amp;L Rec Qtr" xfId="8921" xr:uid="{00000000-0005-0000-0000-0000D8220000}"/>
    <cellStyle name="_MOR - Gurgaon -12+0_MOR - Revised Package_Revised MOR Package - Latest_II.4. RawMaterials_Sheet1" xfId="8922" xr:uid="{00000000-0005-0000-0000-0000D9220000}"/>
    <cellStyle name="_MOR - Gurgaon -12+0_MOR - Revised Package_Revised MOR Package - Latest_II.4. RawMaterials_Sheet2" xfId="8923" xr:uid="{00000000-0005-0000-0000-0000DA220000}"/>
    <cellStyle name="_MOR - Gurgaon -12+0_MOR - Revised Package_Revised MOR Package - Latest_II.4. RawMaterials_Sheet3" xfId="8924" xr:uid="{00000000-0005-0000-0000-0000DB220000}"/>
    <cellStyle name="_MOR - Gurgaon -12+0_MOR - Revised Package_Revised MOR Package - Latest_II.4. RawMaterials_Sheet4" xfId="8925" xr:uid="{00000000-0005-0000-0000-0000DC220000}"/>
    <cellStyle name="_MOR - Gurgaon -12+0_MOR - Revised Package_Revised MOR Package - Latest_II.5. RawMaterials" xfId="8926" xr:uid="{00000000-0005-0000-0000-0000DD220000}"/>
    <cellStyle name="_MOR - Gurgaon -12+0_MOR - Revised Package_Revised MOR Package - Latest_II.5. RawMaterials 2" xfId="8927" xr:uid="{00000000-0005-0000-0000-0000DE220000}"/>
    <cellStyle name="_MOR - Gurgaon -12+0_MOR - Revised Package_Revised MOR Package - Latest_II.5. RawMaterials_BS retrieve" xfId="8928" xr:uid="{00000000-0005-0000-0000-0000DF220000}"/>
    <cellStyle name="_MOR - Gurgaon -12+0_MOR - Revised Package_Revised MOR Package - Latest_II.5. RawMaterials_Free CF" xfId="8929" xr:uid="{00000000-0005-0000-0000-0000E0220000}"/>
    <cellStyle name="_MOR - Gurgaon -12+0_MOR - Revised Package_Revised MOR Package - Latest_II.5. RawMaterials_P&amp;L Rec Qtr" xfId="8930" xr:uid="{00000000-0005-0000-0000-0000E1220000}"/>
    <cellStyle name="_MOR - Gurgaon -12+0_MOR - Revised Package_Revised MOR Package - Latest_II.5. RawMaterials_Sheet1" xfId="8931" xr:uid="{00000000-0005-0000-0000-0000E2220000}"/>
    <cellStyle name="_MOR - Gurgaon -12+0_MOR - Revised Package_Revised MOR Package - Latest_II.5. RawMaterials_Sheet2" xfId="8932" xr:uid="{00000000-0005-0000-0000-0000E3220000}"/>
    <cellStyle name="_MOR - Gurgaon -12+0_MOR - Revised Package_Revised MOR Package - Latest_II.5. RawMaterials_Sheet3" xfId="8933" xr:uid="{00000000-0005-0000-0000-0000E4220000}"/>
    <cellStyle name="_MOR - Gurgaon -12+0_MOR - Revised Package_Revised MOR Package - Latest_II.5. RawMaterials_Sheet4" xfId="8934" xr:uid="{00000000-0005-0000-0000-0000E5220000}"/>
    <cellStyle name="_MOR - Gurgaon -12+0_MOR - Revised Package_Revised MOR Package - Latest_II.5. RM Volume Sensitivities" xfId="8935" xr:uid="{00000000-0005-0000-0000-0000E6220000}"/>
    <cellStyle name="_MOR - Gurgaon -12+0_MOR - Revised Package_Revised MOR Package - Latest_II.5. RM Volume Sensitivities 2" xfId="8936" xr:uid="{00000000-0005-0000-0000-0000E7220000}"/>
    <cellStyle name="_MOR - Gurgaon -12+0_MOR - Revised Package_Revised MOR Package - Latest_II.5. RM Volume Sensitivities_BS retrieve" xfId="8937" xr:uid="{00000000-0005-0000-0000-0000E8220000}"/>
    <cellStyle name="_MOR - Gurgaon -12+0_MOR - Revised Package_Revised MOR Package - Latest_II.5. RM Volume Sensitivities_Free CF" xfId="8938" xr:uid="{00000000-0005-0000-0000-0000E9220000}"/>
    <cellStyle name="_MOR - Gurgaon -12+0_MOR - Revised Package_Revised MOR Package - Latest_II.5. RM Volume Sensitivities_P&amp;L Rec Qtr" xfId="8939" xr:uid="{00000000-0005-0000-0000-0000EA220000}"/>
    <cellStyle name="_MOR - Gurgaon -12+0_MOR - Revised Package_Revised MOR Package - Latest_II.5. RM Volume Sensitivities_Sheet1" xfId="8940" xr:uid="{00000000-0005-0000-0000-0000EB220000}"/>
    <cellStyle name="_MOR - Gurgaon -12+0_MOR - Revised Package_Revised MOR Package - Latest_II.5. RM Volume Sensitivities_Sheet2" xfId="8941" xr:uid="{00000000-0005-0000-0000-0000EC220000}"/>
    <cellStyle name="_MOR - Gurgaon -12+0_MOR - Revised Package_Revised MOR Package - Latest_II.5. RM Volume Sensitivities_Sheet3" xfId="8942" xr:uid="{00000000-0005-0000-0000-0000ED220000}"/>
    <cellStyle name="_MOR - Gurgaon -12+0_MOR - Revised Package_Revised MOR Package - Latest_II.5. RM Volume Sensitivities_Sheet4" xfId="8943" xr:uid="{00000000-0005-0000-0000-0000EE220000}"/>
    <cellStyle name="_MOR - Gurgaon -12+0_MOR - Revised Package_Revised MOR Package - Latest_II.8. Sep&amp;Discrete" xfId="8944" xr:uid="{00000000-0005-0000-0000-0000EF220000}"/>
    <cellStyle name="_MOR - Gurgaon -12+0_MOR - Revised Package_Revised MOR Package - Latest_Restructuring &amp; Separation" xfId="8945" xr:uid="{00000000-0005-0000-0000-0000F0220000}"/>
    <cellStyle name="_MOR - Gurgaon -12+0_MOR - Revised Package_Revised MOR Package - Latest_Restructuring_Separation_TAX_JuneFC2010 tf" xfId="8946" xr:uid="{00000000-0005-0000-0000-0000F1220000}"/>
    <cellStyle name="_MOR - Gurgaon -12+0_MOR - Revised Package_Revised MOR Package - Latest_Restructuring_Separation_TAX_JuneFC2010 tf_BS_Separation_TaxResIndem_Q12412 tf" xfId="8947" xr:uid="{00000000-0005-0000-0000-0000F2220000}"/>
    <cellStyle name="_MOR - Gurgaon -12+0_MOR - Revised Package_Revised MOR Package - Latest_Restructuring_Separation_TAX_JuneFC2010 tf_BS_Separation_TaxResIndem_Q12412 tf_Restructuring &amp; Separation" xfId="8948" xr:uid="{00000000-0005-0000-0000-0000F3220000}"/>
    <cellStyle name="_MOR - Gurgaon -12+0_MOR - Revised Package_Revised MOR Package - Latest_Restructuring_Separation_TAX_JuneFC2010 tf_II.8. Sep&amp;Discrete" xfId="8949" xr:uid="{00000000-0005-0000-0000-0000F4220000}"/>
    <cellStyle name="_MOR - Gurgaon -12+0_MOR - Revised Package_Revised MOR Package - Latest_Restructuring_Separation_TAX_JuneFC2010 tf_Restructuring &amp; Separation" xfId="8950" xr:uid="{00000000-0005-0000-0000-0000F5220000}"/>
    <cellStyle name="_MOR - Gurgaon -12+0_Restructuring &amp; Separation" xfId="8951" xr:uid="{00000000-0005-0000-0000-0000F6220000}"/>
    <cellStyle name="_MOR - Gurgaon -12+0_Restructuring_Separation_TAX_JuneFC2010 tf" xfId="8952" xr:uid="{00000000-0005-0000-0000-0000F7220000}"/>
    <cellStyle name="_MOR - Gurgaon -12+0_Restructuring_Separation_TAX_JuneFC2010 tf_BS_Separation_TaxResIndem_Q12412 tf" xfId="8953" xr:uid="{00000000-0005-0000-0000-0000F8220000}"/>
    <cellStyle name="_MOR - Gurgaon -12+0_Restructuring_Separation_TAX_JuneFC2010 tf_BS_Separation_TaxResIndem_Q12412 tf_Restructuring &amp; Separation" xfId="8954" xr:uid="{00000000-0005-0000-0000-0000F9220000}"/>
    <cellStyle name="_MOR - Gurgaon -12+0_Restructuring_Separation_TAX_JuneFC2010 tf_II.8. Sep&amp;Discrete" xfId="8955" xr:uid="{00000000-0005-0000-0000-0000FA220000}"/>
    <cellStyle name="_MOR - Gurgaon -12+0_Restructuring_Separation_TAX_JuneFC2010 tf_Restructuring &amp; Separation" xfId="8956" xr:uid="{00000000-0005-0000-0000-0000FB220000}"/>
    <cellStyle name="_MOR - Gurgaon -12+0_Revised MOR Package" xfId="8957" xr:uid="{00000000-0005-0000-0000-0000FC220000}"/>
    <cellStyle name="_MOR - Gurgaon -12+0_Revised MOR Package - Latest" xfId="8958" xr:uid="{00000000-0005-0000-0000-0000FD220000}"/>
    <cellStyle name="_MOR - Gurgaon -12+0_Revised MOR Package - Latest_BS_Separation_TaxResIndem_Q12412 tf" xfId="8959" xr:uid="{00000000-0005-0000-0000-0000FE220000}"/>
    <cellStyle name="_MOR - Gurgaon -12+0_Revised MOR Package - Latest_BS_Separation_TaxResIndem_Q12412 tf_Restructuring &amp; Separation" xfId="8960" xr:uid="{00000000-0005-0000-0000-0000FF220000}"/>
    <cellStyle name="_MOR - Gurgaon -12+0_Revised MOR Package - Latest_By Country Detail 1Q10 041410pm FIN 18 revised per disc w Mary" xfId="8961" xr:uid="{00000000-0005-0000-0000-000000230000}"/>
    <cellStyle name="_MOR - Gurgaon -12+0_Revised MOR Package - Latest_By Country Detail 1Q10 041410pm FIN 18 revised per disc w Mary_BS_Separation_TaxResIndem_Q12412 tf" xfId="8962" xr:uid="{00000000-0005-0000-0000-000001230000}"/>
    <cellStyle name="_MOR - Gurgaon -12+0_Revised MOR Package - Latest_By Country Detail 1Q10 041410pm FIN 18 revised per disc w Mary_BS_Separation_TaxResIndem_Q12412 tf_Restructuring &amp; Separation" xfId="8963" xr:uid="{00000000-0005-0000-0000-000002230000}"/>
    <cellStyle name="_MOR - Gurgaon -12+0_Revised MOR Package - Latest_By Country Detail 1Q10 041410pm FIN 18 revised per disc w Mary_II.8. Sep&amp;Discrete" xfId="8964" xr:uid="{00000000-0005-0000-0000-000003230000}"/>
    <cellStyle name="_MOR - Gurgaon -12+0_Revised MOR Package - Latest_By Country Detail 1Q10 041410pm FIN 18 revised per disc w Mary_Restructuring &amp; Separation" xfId="8965" xr:uid="{00000000-0005-0000-0000-000004230000}"/>
    <cellStyle name="_MOR - Gurgaon -12+0_Revised MOR Package - Latest_II.4. RawMaterials" xfId="8966" xr:uid="{00000000-0005-0000-0000-000005230000}"/>
    <cellStyle name="_MOR - Gurgaon -12+0_Revised MOR Package - Latest_II.4. RawMaterials 2" xfId="8967" xr:uid="{00000000-0005-0000-0000-000006230000}"/>
    <cellStyle name="_MOR - Gurgaon -12+0_Revised MOR Package - Latest_II.4. RawMaterials_BS retrieve" xfId="8968" xr:uid="{00000000-0005-0000-0000-000007230000}"/>
    <cellStyle name="_MOR - Gurgaon -12+0_Revised MOR Package - Latest_II.4. RawMaterials_Free CF" xfId="8969" xr:uid="{00000000-0005-0000-0000-000008230000}"/>
    <cellStyle name="_MOR - Gurgaon -12+0_Revised MOR Package - Latest_II.4. RawMaterials_P&amp;L Rec Qtr" xfId="8970" xr:uid="{00000000-0005-0000-0000-000009230000}"/>
    <cellStyle name="_MOR - Gurgaon -12+0_Revised MOR Package - Latest_II.4. RawMaterials_Sheet1" xfId="8971" xr:uid="{00000000-0005-0000-0000-00000A230000}"/>
    <cellStyle name="_MOR - Gurgaon -12+0_Revised MOR Package - Latest_II.4. RawMaterials_Sheet2" xfId="8972" xr:uid="{00000000-0005-0000-0000-00000B230000}"/>
    <cellStyle name="_MOR - Gurgaon -12+0_Revised MOR Package - Latest_II.4. RawMaterials_Sheet3" xfId="8973" xr:uid="{00000000-0005-0000-0000-00000C230000}"/>
    <cellStyle name="_MOR - Gurgaon -12+0_Revised MOR Package - Latest_II.4. RawMaterials_Sheet4" xfId="8974" xr:uid="{00000000-0005-0000-0000-00000D230000}"/>
    <cellStyle name="_MOR - Gurgaon -12+0_Revised MOR Package - Latest_II.5. RawMaterials" xfId="8975" xr:uid="{00000000-0005-0000-0000-00000E230000}"/>
    <cellStyle name="_MOR - Gurgaon -12+0_Revised MOR Package - Latest_II.5. RawMaterials 2" xfId="8976" xr:uid="{00000000-0005-0000-0000-00000F230000}"/>
    <cellStyle name="_MOR - Gurgaon -12+0_Revised MOR Package - Latest_II.5. RawMaterials_BS retrieve" xfId="8977" xr:uid="{00000000-0005-0000-0000-000010230000}"/>
    <cellStyle name="_MOR - Gurgaon -12+0_Revised MOR Package - Latest_II.5. RawMaterials_Free CF" xfId="8978" xr:uid="{00000000-0005-0000-0000-000011230000}"/>
    <cellStyle name="_MOR - Gurgaon -12+0_Revised MOR Package - Latest_II.5. RawMaterials_P&amp;L Rec Qtr" xfId="8979" xr:uid="{00000000-0005-0000-0000-000012230000}"/>
    <cellStyle name="_MOR - Gurgaon -12+0_Revised MOR Package - Latest_II.5. RawMaterials_Sheet1" xfId="8980" xr:uid="{00000000-0005-0000-0000-000013230000}"/>
    <cellStyle name="_MOR - Gurgaon -12+0_Revised MOR Package - Latest_II.5. RawMaterials_Sheet2" xfId="8981" xr:uid="{00000000-0005-0000-0000-000014230000}"/>
    <cellStyle name="_MOR - Gurgaon -12+0_Revised MOR Package - Latest_II.5. RawMaterials_Sheet3" xfId="8982" xr:uid="{00000000-0005-0000-0000-000015230000}"/>
    <cellStyle name="_MOR - Gurgaon -12+0_Revised MOR Package - Latest_II.5. RawMaterials_Sheet4" xfId="8983" xr:uid="{00000000-0005-0000-0000-000016230000}"/>
    <cellStyle name="_MOR - Gurgaon -12+0_Revised MOR Package - Latest_II.5. RM Volume Sensitivities" xfId="8984" xr:uid="{00000000-0005-0000-0000-000017230000}"/>
    <cellStyle name="_MOR - Gurgaon -12+0_Revised MOR Package - Latest_II.5. RM Volume Sensitivities 2" xfId="8985" xr:uid="{00000000-0005-0000-0000-000018230000}"/>
    <cellStyle name="_MOR - Gurgaon -12+0_Revised MOR Package - Latest_II.5. RM Volume Sensitivities_BS retrieve" xfId="8986" xr:uid="{00000000-0005-0000-0000-000019230000}"/>
    <cellStyle name="_MOR - Gurgaon -12+0_Revised MOR Package - Latest_II.5. RM Volume Sensitivities_Free CF" xfId="8987" xr:uid="{00000000-0005-0000-0000-00001A230000}"/>
    <cellStyle name="_MOR - Gurgaon -12+0_Revised MOR Package - Latest_II.5. RM Volume Sensitivities_P&amp;L Rec Qtr" xfId="8988" xr:uid="{00000000-0005-0000-0000-00001B230000}"/>
    <cellStyle name="_MOR - Gurgaon -12+0_Revised MOR Package - Latest_II.5. RM Volume Sensitivities_Sheet1" xfId="8989" xr:uid="{00000000-0005-0000-0000-00001C230000}"/>
    <cellStyle name="_MOR - Gurgaon -12+0_Revised MOR Package - Latest_II.5. RM Volume Sensitivities_Sheet2" xfId="8990" xr:uid="{00000000-0005-0000-0000-00001D230000}"/>
    <cellStyle name="_MOR - Gurgaon -12+0_Revised MOR Package - Latest_II.5. RM Volume Sensitivities_Sheet3" xfId="8991" xr:uid="{00000000-0005-0000-0000-00001E230000}"/>
    <cellStyle name="_MOR - Gurgaon -12+0_Revised MOR Package - Latest_II.5. RM Volume Sensitivities_Sheet4" xfId="8992" xr:uid="{00000000-0005-0000-0000-00001F230000}"/>
    <cellStyle name="_MOR - Gurgaon -12+0_Revised MOR Package - Latest_II.8. Sep&amp;Discrete" xfId="8993" xr:uid="{00000000-0005-0000-0000-000020230000}"/>
    <cellStyle name="_MOR - Gurgaon -12+0_Revised MOR Package - Latest_Restructuring &amp; Separation" xfId="8994" xr:uid="{00000000-0005-0000-0000-000021230000}"/>
    <cellStyle name="_MOR - Gurgaon -12+0_Revised MOR Package - Latest_Restructuring_Separation_TAX_JuneFC2010 tf" xfId="8995" xr:uid="{00000000-0005-0000-0000-000022230000}"/>
    <cellStyle name="_MOR - Gurgaon -12+0_Revised MOR Package - Latest_Restructuring_Separation_TAX_JuneFC2010 tf_BS_Separation_TaxResIndem_Q12412 tf" xfId="8996" xr:uid="{00000000-0005-0000-0000-000023230000}"/>
    <cellStyle name="_MOR - Gurgaon -12+0_Revised MOR Package - Latest_Restructuring_Separation_TAX_JuneFC2010 tf_BS_Separation_TaxResIndem_Q12412 tf_Restructuring &amp; Separation" xfId="8997" xr:uid="{00000000-0005-0000-0000-000024230000}"/>
    <cellStyle name="_MOR - Gurgaon -12+0_Revised MOR Package - Latest_Restructuring_Separation_TAX_JuneFC2010 tf_II.8. Sep&amp;Discrete" xfId="8998" xr:uid="{00000000-0005-0000-0000-000025230000}"/>
    <cellStyle name="_MOR - Gurgaon -12+0_Revised MOR Package - Latest_Restructuring_Separation_TAX_JuneFC2010 tf_Restructuring &amp; Separation" xfId="8999" xr:uid="{00000000-0005-0000-0000-000026230000}"/>
    <cellStyle name="_MOR - Gurgaon -12+0_Revised MOR Package_~0039877" xfId="9000" xr:uid="{00000000-0005-0000-0000-000027230000}"/>
    <cellStyle name="_MOR - Gurgaon -12+0_Revised MOR Package_~0039877_BS_Separation_TaxResIndem_Q12412 tf" xfId="9001" xr:uid="{00000000-0005-0000-0000-000028230000}"/>
    <cellStyle name="_MOR - Gurgaon -12+0_Revised MOR Package_~0039877_BS_Separation_TaxResIndem_Q12412 tf_Restructuring &amp; Separation" xfId="9002" xr:uid="{00000000-0005-0000-0000-000029230000}"/>
    <cellStyle name="_MOR - Gurgaon -12+0_Revised MOR Package_~0039877_By Country Detail 1Q10 041410pm FIN 18 revised per disc w Mary" xfId="9003" xr:uid="{00000000-0005-0000-0000-00002A230000}"/>
    <cellStyle name="_MOR - Gurgaon -12+0_Revised MOR Package_~0039877_By Country Detail 1Q10 041410pm FIN 18 revised per disc w Mary_BS_Separation_TaxResIndem_Q12412 tf" xfId="9004" xr:uid="{00000000-0005-0000-0000-00002B230000}"/>
    <cellStyle name="_MOR - Gurgaon -12+0_Revised MOR Package_~0039877_By Country Detail 1Q10 041410pm FIN 18 revised per disc w Mary_BS_Separation_TaxResIndem_Q12412 tf_Restructuring &amp; Separation" xfId="9005" xr:uid="{00000000-0005-0000-0000-00002C230000}"/>
    <cellStyle name="_MOR - Gurgaon -12+0_Revised MOR Package_~0039877_By Country Detail 1Q10 041410pm FIN 18 revised per disc w Mary_II.8. Sep&amp;Discrete" xfId="9006" xr:uid="{00000000-0005-0000-0000-00002D230000}"/>
    <cellStyle name="_MOR - Gurgaon -12+0_Revised MOR Package_~0039877_By Country Detail 1Q10 041410pm FIN 18 revised per disc w Mary_Restructuring &amp; Separation" xfId="9007" xr:uid="{00000000-0005-0000-0000-00002E230000}"/>
    <cellStyle name="_MOR - Gurgaon -12+0_Revised MOR Package_~0039877_II.4. RawMaterials" xfId="9008" xr:uid="{00000000-0005-0000-0000-00002F230000}"/>
    <cellStyle name="_MOR - Gurgaon -12+0_Revised MOR Package_~0039877_II.4. RawMaterials 2" xfId="9009" xr:uid="{00000000-0005-0000-0000-000030230000}"/>
    <cellStyle name="_MOR - Gurgaon -12+0_Revised MOR Package_~0039877_II.4. RawMaterials_BS retrieve" xfId="9010" xr:uid="{00000000-0005-0000-0000-000031230000}"/>
    <cellStyle name="_MOR - Gurgaon -12+0_Revised MOR Package_~0039877_II.4. RawMaterials_Free CF" xfId="9011" xr:uid="{00000000-0005-0000-0000-000032230000}"/>
    <cellStyle name="_MOR - Gurgaon -12+0_Revised MOR Package_~0039877_II.4. RawMaterials_P&amp;L Rec Qtr" xfId="9012" xr:uid="{00000000-0005-0000-0000-000033230000}"/>
    <cellStyle name="_MOR - Gurgaon -12+0_Revised MOR Package_~0039877_II.4. RawMaterials_Sheet1" xfId="9013" xr:uid="{00000000-0005-0000-0000-000034230000}"/>
    <cellStyle name="_MOR - Gurgaon -12+0_Revised MOR Package_~0039877_II.4. RawMaterials_Sheet2" xfId="9014" xr:uid="{00000000-0005-0000-0000-000035230000}"/>
    <cellStyle name="_MOR - Gurgaon -12+0_Revised MOR Package_~0039877_II.4. RawMaterials_Sheet3" xfId="9015" xr:uid="{00000000-0005-0000-0000-000036230000}"/>
    <cellStyle name="_MOR - Gurgaon -12+0_Revised MOR Package_~0039877_II.4. RawMaterials_Sheet4" xfId="9016" xr:uid="{00000000-0005-0000-0000-000037230000}"/>
    <cellStyle name="_MOR - Gurgaon -12+0_Revised MOR Package_~0039877_II.5. RawMaterials" xfId="9017" xr:uid="{00000000-0005-0000-0000-000038230000}"/>
    <cellStyle name="_MOR - Gurgaon -12+0_Revised MOR Package_~0039877_II.5. RawMaterials 2" xfId="9018" xr:uid="{00000000-0005-0000-0000-000039230000}"/>
    <cellStyle name="_MOR - Gurgaon -12+0_Revised MOR Package_~0039877_II.5. RawMaterials_BS retrieve" xfId="9019" xr:uid="{00000000-0005-0000-0000-00003A230000}"/>
    <cellStyle name="_MOR - Gurgaon -12+0_Revised MOR Package_~0039877_II.5. RawMaterials_Free CF" xfId="9020" xr:uid="{00000000-0005-0000-0000-00003B230000}"/>
    <cellStyle name="_MOR - Gurgaon -12+0_Revised MOR Package_~0039877_II.5. RawMaterials_P&amp;L Rec Qtr" xfId="9021" xr:uid="{00000000-0005-0000-0000-00003C230000}"/>
    <cellStyle name="_MOR - Gurgaon -12+0_Revised MOR Package_~0039877_II.5. RawMaterials_Sheet1" xfId="9022" xr:uid="{00000000-0005-0000-0000-00003D230000}"/>
    <cellStyle name="_MOR - Gurgaon -12+0_Revised MOR Package_~0039877_II.5. RawMaterials_Sheet2" xfId="9023" xr:uid="{00000000-0005-0000-0000-00003E230000}"/>
    <cellStyle name="_MOR - Gurgaon -12+0_Revised MOR Package_~0039877_II.5. RawMaterials_Sheet3" xfId="9024" xr:uid="{00000000-0005-0000-0000-00003F230000}"/>
    <cellStyle name="_MOR - Gurgaon -12+0_Revised MOR Package_~0039877_II.5. RawMaterials_Sheet4" xfId="9025" xr:uid="{00000000-0005-0000-0000-000040230000}"/>
    <cellStyle name="_MOR - Gurgaon -12+0_Revised MOR Package_~0039877_II.5. RM Volume Sensitivities" xfId="9026" xr:uid="{00000000-0005-0000-0000-000041230000}"/>
    <cellStyle name="_MOR - Gurgaon -12+0_Revised MOR Package_~0039877_II.5. RM Volume Sensitivities 2" xfId="9027" xr:uid="{00000000-0005-0000-0000-000042230000}"/>
    <cellStyle name="_MOR - Gurgaon -12+0_Revised MOR Package_~0039877_II.5. RM Volume Sensitivities_BS retrieve" xfId="9028" xr:uid="{00000000-0005-0000-0000-000043230000}"/>
    <cellStyle name="_MOR - Gurgaon -12+0_Revised MOR Package_~0039877_II.5. RM Volume Sensitivities_Free CF" xfId="9029" xr:uid="{00000000-0005-0000-0000-000044230000}"/>
    <cellStyle name="_MOR - Gurgaon -12+0_Revised MOR Package_~0039877_II.5. RM Volume Sensitivities_P&amp;L Rec Qtr" xfId="9030" xr:uid="{00000000-0005-0000-0000-000045230000}"/>
    <cellStyle name="_MOR - Gurgaon -12+0_Revised MOR Package_~0039877_II.5. RM Volume Sensitivities_Sheet1" xfId="9031" xr:uid="{00000000-0005-0000-0000-000046230000}"/>
    <cellStyle name="_MOR - Gurgaon -12+0_Revised MOR Package_~0039877_II.5. RM Volume Sensitivities_Sheet2" xfId="9032" xr:uid="{00000000-0005-0000-0000-000047230000}"/>
    <cellStyle name="_MOR - Gurgaon -12+0_Revised MOR Package_~0039877_II.5. RM Volume Sensitivities_Sheet3" xfId="9033" xr:uid="{00000000-0005-0000-0000-000048230000}"/>
    <cellStyle name="_MOR - Gurgaon -12+0_Revised MOR Package_~0039877_II.5. RM Volume Sensitivities_Sheet4" xfId="9034" xr:uid="{00000000-0005-0000-0000-000049230000}"/>
    <cellStyle name="_MOR - Gurgaon -12+0_Revised MOR Package_~0039877_II.8. Sep&amp;Discrete" xfId="9035" xr:uid="{00000000-0005-0000-0000-00004A230000}"/>
    <cellStyle name="_MOR - Gurgaon -12+0_Revised MOR Package_~0039877_Restructuring &amp; Separation" xfId="9036" xr:uid="{00000000-0005-0000-0000-00004B230000}"/>
    <cellStyle name="_MOR - Gurgaon -12+0_Revised MOR Package_~0039877_Restructuring_Separation_TAX_JuneFC2010 tf" xfId="9037" xr:uid="{00000000-0005-0000-0000-00004C230000}"/>
    <cellStyle name="_MOR - Gurgaon -12+0_Revised MOR Package_~0039877_Restructuring_Separation_TAX_JuneFC2010 tf_BS_Separation_TaxResIndem_Q12412 tf" xfId="9038" xr:uid="{00000000-0005-0000-0000-00004D230000}"/>
    <cellStyle name="_MOR - Gurgaon -12+0_Revised MOR Package_~0039877_Restructuring_Separation_TAX_JuneFC2010 tf_BS_Separation_TaxResIndem_Q12412 tf_Restructuring &amp; Separation" xfId="9039" xr:uid="{00000000-0005-0000-0000-00004E230000}"/>
    <cellStyle name="_MOR - Gurgaon -12+0_Revised MOR Package_~0039877_Restructuring_Separation_TAX_JuneFC2010 tf_II.8. Sep&amp;Discrete" xfId="9040" xr:uid="{00000000-0005-0000-0000-00004F230000}"/>
    <cellStyle name="_MOR - Gurgaon -12+0_Revised MOR Package_~0039877_Restructuring_Separation_TAX_JuneFC2010 tf_Restructuring &amp; Separation" xfId="9041" xr:uid="{00000000-0005-0000-0000-000050230000}"/>
    <cellStyle name="_MOR - Gurgaon -12+0_Revised MOR Package_BS_Separation_TaxResIndem_Q12412 tf" xfId="9042" xr:uid="{00000000-0005-0000-0000-000051230000}"/>
    <cellStyle name="_MOR - Gurgaon -12+0_Revised MOR Package_BS_Separation_TaxResIndem_Q12412 tf_Restructuring &amp; Separation" xfId="9043" xr:uid="{00000000-0005-0000-0000-000052230000}"/>
    <cellStyle name="_MOR - Gurgaon -12+0_Revised MOR Package_By Country Detail 1Q10 041410pm FIN 18 revised per disc w Mary" xfId="9044" xr:uid="{00000000-0005-0000-0000-000053230000}"/>
    <cellStyle name="_MOR - Gurgaon -12+0_Revised MOR Package_By Country Detail 1Q10 041410pm FIN 18 revised per disc w Mary_BS_Separation_TaxResIndem_Q12412 tf" xfId="9045" xr:uid="{00000000-0005-0000-0000-000054230000}"/>
    <cellStyle name="_MOR - Gurgaon -12+0_Revised MOR Package_By Country Detail 1Q10 041410pm FIN 18 revised per disc w Mary_BS_Separation_TaxResIndem_Q12412 tf_Restructuring &amp; Separation" xfId="9046" xr:uid="{00000000-0005-0000-0000-000055230000}"/>
    <cellStyle name="_MOR - Gurgaon -12+0_Revised MOR Package_By Country Detail 1Q10 041410pm FIN 18 revised per disc w Mary_II.8. Sep&amp;Discrete" xfId="9047" xr:uid="{00000000-0005-0000-0000-000056230000}"/>
    <cellStyle name="_MOR - Gurgaon -12+0_Revised MOR Package_By Country Detail 1Q10 041410pm FIN 18 revised per disc w Mary_Restructuring &amp; Separation" xfId="9048" xr:uid="{00000000-0005-0000-0000-000057230000}"/>
    <cellStyle name="_MOR - Gurgaon -12+0_Revised MOR Package_II.4. RawMaterials" xfId="9049" xr:uid="{00000000-0005-0000-0000-000058230000}"/>
    <cellStyle name="_MOR - Gurgaon -12+0_Revised MOR Package_II.4. RawMaterials 2" xfId="9050" xr:uid="{00000000-0005-0000-0000-000059230000}"/>
    <cellStyle name="_MOR - Gurgaon -12+0_Revised MOR Package_II.4. RawMaterials_BS retrieve" xfId="9051" xr:uid="{00000000-0005-0000-0000-00005A230000}"/>
    <cellStyle name="_MOR - Gurgaon -12+0_Revised MOR Package_II.4. RawMaterials_Free CF" xfId="9052" xr:uid="{00000000-0005-0000-0000-00005B230000}"/>
    <cellStyle name="_MOR - Gurgaon -12+0_Revised MOR Package_II.4. RawMaterials_P&amp;L Rec Qtr" xfId="9053" xr:uid="{00000000-0005-0000-0000-00005C230000}"/>
    <cellStyle name="_MOR - Gurgaon -12+0_Revised MOR Package_II.4. RawMaterials_Sheet1" xfId="9054" xr:uid="{00000000-0005-0000-0000-00005D230000}"/>
    <cellStyle name="_MOR - Gurgaon -12+0_Revised MOR Package_II.4. RawMaterials_Sheet2" xfId="9055" xr:uid="{00000000-0005-0000-0000-00005E230000}"/>
    <cellStyle name="_MOR - Gurgaon -12+0_Revised MOR Package_II.4. RawMaterials_Sheet3" xfId="9056" xr:uid="{00000000-0005-0000-0000-00005F230000}"/>
    <cellStyle name="_MOR - Gurgaon -12+0_Revised MOR Package_II.4. RawMaterials_Sheet4" xfId="9057" xr:uid="{00000000-0005-0000-0000-000060230000}"/>
    <cellStyle name="_MOR - Gurgaon -12+0_Revised MOR Package_II.5. RawMaterials" xfId="9058" xr:uid="{00000000-0005-0000-0000-000061230000}"/>
    <cellStyle name="_MOR - Gurgaon -12+0_Revised MOR Package_II.5. RawMaterials 2" xfId="9059" xr:uid="{00000000-0005-0000-0000-000062230000}"/>
    <cellStyle name="_MOR - Gurgaon -12+0_Revised MOR Package_II.5. RawMaterials_BS retrieve" xfId="9060" xr:uid="{00000000-0005-0000-0000-000063230000}"/>
    <cellStyle name="_MOR - Gurgaon -12+0_Revised MOR Package_II.5. RawMaterials_Free CF" xfId="9061" xr:uid="{00000000-0005-0000-0000-000064230000}"/>
    <cellStyle name="_MOR - Gurgaon -12+0_Revised MOR Package_II.5. RawMaterials_P&amp;L Rec Qtr" xfId="9062" xr:uid="{00000000-0005-0000-0000-000065230000}"/>
    <cellStyle name="_MOR - Gurgaon -12+0_Revised MOR Package_II.5. RawMaterials_Sheet1" xfId="9063" xr:uid="{00000000-0005-0000-0000-000066230000}"/>
    <cellStyle name="_MOR - Gurgaon -12+0_Revised MOR Package_II.5. RawMaterials_Sheet2" xfId="9064" xr:uid="{00000000-0005-0000-0000-000067230000}"/>
    <cellStyle name="_MOR - Gurgaon -12+0_Revised MOR Package_II.5. RawMaterials_Sheet3" xfId="9065" xr:uid="{00000000-0005-0000-0000-000068230000}"/>
    <cellStyle name="_MOR - Gurgaon -12+0_Revised MOR Package_II.5. RawMaterials_Sheet4" xfId="9066" xr:uid="{00000000-0005-0000-0000-000069230000}"/>
    <cellStyle name="_MOR - Gurgaon -12+0_Revised MOR Package_II.5. RM Volume Sensitivities" xfId="9067" xr:uid="{00000000-0005-0000-0000-00006A230000}"/>
    <cellStyle name="_MOR - Gurgaon -12+0_Revised MOR Package_II.5. RM Volume Sensitivities 2" xfId="9068" xr:uid="{00000000-0005-0000-0000-00006B230000}"/>
    <cellStyle name="_MOR - Gurgaon -12+0_Revised MOR Package_II.5. RM Volume Sensitivities_BS retrieve" xfId="9069" xr:uid="{00000000-0005-0000-0000-00006C230000}"/>
    <cellStyle name="_MOR - Gurgaon -12+0_Revised MOR Package_II.5. RM Volume Sensitivities_Free CF" xfId="9070" xr:uid="{00000000-0005-0000-0000-00006D230000}"/>
    <cellStyle name="_MOR - Gurgaon -12+0_Revised MOR Package_II.5. RM Volume Sensitivities_P&amp;L Rec Qtr" xfId="9071" xr:uid="{00000000-0005-0000-0000-00006E230000}"/>
    <cellStyle name="_MOR - Gurgaon -12+0_Revised MOR Package_II.5. RM Volume Sensitivities_Sheet1" xfId="9072" xr:uid="{00000000-0005-0000-0000-00006F230000}"/>
    <cellStyle name="_MOR - Gurgaon -12+0_Revised MOR Package_II.5. RM Volume Sensitivities_Sheet2" xfId="9073" xr:uid="{00000000-0005-0000-0000-000070230000}"/>
    <cellStyle name="_MOR - Gurgaon -12+0_Revised MOR Package_II.5. RM Volume Sensitivities_Sheet3" xfId="9074" xr:uid="{00000000-0005-0000-0000-000071230000}"/>
    <cellStyle name="_MOR - Gurgaon -12+0_Revised MOR Package_II.5. RM Volume Sensitivities_Sheet4" xfId="9075" xr:uid="{00000000-0005-0000-0000-000072230000}"/>
    <cellStyle name="_MOR - Gurgaon -12+0_Revised MOR Package_II.8. Sep&amp;Discrete" xfId="9076" xr:uid="{00000000-0005-0000-0000-000073230000}"/>
    <cellStyle name="_MOR - Gurgaon -12+0_Revised MOR Package_Restructuring &amp; Separation" xfId="9077" xr:uid="{00000000-0005-0000-0000-000074230000}"/>
    <cellStyle name="_MOR - Gurgaon -12+0_Revised MOR Package_Restructuring_Separation_TAX_JuneFC2010 tf" xfId="9078" xr:uid="{00000000-0005-0000-0000-000075230000}"/>
    <cellStyle name="_MOR - Gurgaon -12+0_Revised MOR Package_Restructuring_Separation_TAX_JuneFC2010 tf_BS_Separation_TaxResIndem_Q12412 tf" xfId="9079" xr:uid="{00000000-0005-0000-0000-000076230000}"/>
    <cellStyle name="_MOR - Gurgaon -12+0_Revised MOR Package_Restructuring_Separation_TAX_JuneFC2010 tf_BS_Separation_TaxResIndem_Q12412 tf_Restructuring &amp; Separation" xfId="9080" xr:uid="{00000000-0005-0000-0000-000077230000}"/>
    <cellStyle name="_MOR - Gurgaon -12+0_Revised MOR Package_Restructuring_Separation_TAX_JuneFC2010 tf_II.8. Sep&amp;Discrete" xfId="9081" xr:uid="{00000000-0005-0000-0000-000078230000}"/>
    <cellStyle name="_MOR - Gurgaon -12+0_Revised MOR Package_Restructuring_Separation_TAX_JuneFC2010 tf_Restructuring &amp; Separation" xfId="9082" xr:uid="{00000000-0005-0000-0000-000079230000}"/>
    <cellStyle name="_MOR - Gurgaon -12+0_Revised MOR Package_Revised MOR Package - Latest" xfId="9083" xr:uid="{00000000-0005-0000-0000-00007A230000}"/>
    <cellStyle name="_MOR - Gurgaon -12+0_Revised MOR Package_Revised MOR Package - Latest_BS_Separation_TaxResIndem_Q12412 tf" xfId="9084" xr:uid="{00000000-0005-0000-0000-00007B230000}"/>
    <cellStyle name="_MOR - Gurgaon -12+0_Revised MOR Package_Revised MOR Package - Latest_BS_Separation_TaxResIndem_Q12412 tf_Restructuring &amp; Separation" xfId="9085" xr:uid="{00000000-0005-0000-0000-00007C230000}"/>
    <cellStyle name="_MOR - Gurgaon -12+0_Revised MOR Package_Revised MOR Package - Latest_By Country Detail 1Q10 041410pm FIN 18 revised per disc w Mary" xfId="9086" xr:uid="{00000000-0005-0000-0000-00007D230000}"/>
    <cellStyle name="_MOR - Gurgaon -12+0_Revised MOR Package_Revised MOR Package - Latest_By Country Detail 1Q10 041410pm FIN 18 revised per disc w Mary_BS_Separation_TaxResIndem_Q12412 tf" xfId="9087" xr:uid="{00000000-0005-0000-0000-00007E230000}"/>
    <cellStyle name="_MOR - Gurgaon -12+0_Revised MOR Package_Revised MOR Package - Latest_By Country Detail 1Q10 041410pm FIN 18 revised per disc w Mary_BS_Separation_TaxResIndem_Q12412 tf_Restructuring &amp; Separation" xfId="9088" xr:uid="{00000000-0005-0000-0000-00007F230000}"/>
    <cellStyle name="_MOR - Gurgaon -12+0_Revised MOR Package_Revised MOR Package - Latest_By Country Detail 1Q10 041410pm FIN 18 revised per disc w Mary_II.8. Sep&amp;Discrete" xfId="9089" xr:uid="{00000000-0005-0000-0000-000080230000}"/>
    <cellStyle name="_MOR - Gurgaon -12+0_Revised MOR Package_Revised MOR Package - Latest_By Country Detail 1Q10 041410pm FIN 18 revised per disc w Mary_Restructuring &amp; Separation" xfId="9090" xr:uid="{00000000-0005-0000-0000-000081230000}"/>
    <cellStyle name="_MOR - Gurgaon -12+0_Revised MOR Package_Revised MOR Package - Latest_II.4. RawMaterials" xfId="9091" xr:uid="{00000000-0005-0000-0000-000082230000}"/>
    <cellStyle name="_MOR - Gurgaon -12+0_Revised MOR Package_Revised MOR Package - Latest_II.4. RawMaterials 2" xfId="9092" xr:uid="{00000000-0005-0000-0000-000083230000}"/>
    <cellStyle name="_MOR - Gurgaon -12+0_Revised MOR Package_Revised MOR Package - Latest_II.4. RawMaterials_BS retrieve" xfId="9093" xr:uid="{00000000-0005-0000-0000-000084230000}"/>
    <cellStyle name="_MOR - Gurgaon -12+0_Revised MOR Package_Revised MOR Package - Latest_II.4. RawMaterials_Free CF" xfId="9094" xr:uid="{00000000-0005-0000-0000-000085230000}"/>
    <cellStyle name="_MOR - Gurgaon -12+0_Revised MOR Package_Revised MOR Package - Latest_II.4. RawMaterials_P&amp;L Rec Qtr" xfId="9095" xr:uid="{00000000-0005-0000-0000-000086230000}"/>
    <cellStyle name="_MOR - Gurgaon -12+0_Revised MOR Package_Revised MOR Package - Latest_II.4. RawMaterials_Sheet1" xfId="9096" xr:uid="{00000000-0005-0000-0000-000087230000}"/>
    <cellStyle name="_MOR - Gurgaon -12+0_Revised MOR Package_Revised MOR Package - Latest_II.4. RawMaterials_Sheet2" xfId="9097" xr:uid="{00000000-0005-0000-0000-000088230000}"/>
    <cellStyle name="_MOR - Gurgaon -12+0_Revised MOR Package_Revised MOR Package - Latest_II.4. RawMaterials_Sheet3" xfId="9098" xr:uid="{00000000-0005-0000-0000-000089230000}"/>
    <cellStyle name="_MOR - Gurgaon -12+0_Revised MOR Package_Revised MOR Package - Latest_II.4. RawMaterials_Sheet4" xfId="9099" xr:uid="{00000000-0005-0000-0000-00008A230000}"/>
    <cellStyle name="_MOR - Gurgaon -12+0_Revised MOR Package_Revised MOR Package - Latest_II.5. RawMaterials" xfId="9100" xr:uid="{00000000-0005-0000-0000-00008B230000}"/>
    <cellStyle name="_MOR - Gurgaon -12+0_Revised MOR Package_Revised MOR Package - Latest_II.5. RawMaterials 2" xfId="9101" xr:uid="{00000000-0005-0000-0000-00008C230000}"/>
    <cellStyle name="_MOR - Gurgaon -12+0_Revised MOR Package_Revised MOR Package - Latest_II.5. RawMaterials_BS retrieve" xfId="9102" xr:uid="{00000000-0005-0000-0000-00008D230000}"/>
    <cellStyle name="_MOR - Gurgaon -12+0_Revised MOR Package_Revised MOR Package - Latest_II.5. RawMaterials_Free CF" xfId="9103" xr:uid="{00000000-0005-0000-0000-00008E230000}"/>
    <cellStyle name="_MOR - Gurgaon -12+0_Revised MOR Package_Revised MOR Package - Latest_II.5. RawMaterials_P&amp;L Rec Qtr" xfId="9104" xr:uid="{00000000-0005-0000-0000-00008F230000}"/>
    <cellStyle name="_MOR - Gurgaon -12+0_Revised MOR Package_Revised MOR Package - Latest_II.5. RawMaterials_Sheet1" xfId="9105" xr:uid="{00000000-0005-0000-0000-000090230000}"/>
    <cellStyle name="_MOR - Gurgaon -12+0_Revised MOR Package_Revised MOR Package - Latest_II.5. RawMaterials_Sheet2" xfId="9106" xr:uid="{00000000-0005-0000-0000-000091230000}"/>
    <cellStyle name="_MOR - Gurgaon -12+0_Revised MOR Package_Revised MOR Package - Latest_II.5. RawMaterials_Sheet3" xfId="9107" xr:uid="{00000000-0005-0000-0000-000092230000}"/>
    <cellStyle name="_MOR - Gurgaon -12+0_Revised MOR Package_Revised MOR Package - Latest_II.5. RawMaterials_Sheet4" xfId="9108" xr:uid="{00000000-0005-0000-0000-000093230000}"/>
    <cellStyle name="_MOR - Gurgaon -12+0_Revised MOR Package_Revised MOR Package - Latest_II.5. RM Volume Sensitivities" xfId="9109" xr:uid="{00000000-0005-0000-0000-000094230000}"/>
    <cellStyle name="_MOR - Gurgaon -12+0_Revised MOR Package_Revised MOR Package - Latest_II.5. RM Volume Sensitivities 2" xfId="9110" xr:uid="{00000000-0005-0000-0000-000095230000}"/>
    <cellStyle name="_MOR - Gurgaon -12+0_Revised MOR Package_Revised MOR Package - Latest_II.5. RM Volume Sensitivities_BS retrieve" xfId="9111" xr:uid="{00000000-0005-0000-0000-000096230000}"/>
    <cellStyle name="_MOR - Gurgaon -12+0_Revised MOR Package_Revised MOR Package - Latest_II.5. RM Volume Sensitivities_Free CF" xfId="9112" xr:uid="{00000000-0005-0000-0000-000097230000}"/>
    <cellStyle name="_MOR - Gurgaon -12+0_Revised MOR Package_Revised MOR Package - Latest_II.5. RM Volume Sensitivities_P&amp;L Rec Qtr" xfId="9113" xr:uid="{00000000-0005-0000-0000-000098230000}"/>
    <cellStyle name="_MOR - Gurgaon -12+0_Revised MOR Package_Revised MOR Package - Latest_II.5. RM Volume Sensitivities_Sheet1" xfId="9114" xr:uid="{00000000-0005-0000-0000-000099230000}"/>
    <cellStyle name="_MOR - Gurgaon -12+0_Revised MOR Package_Revised MOR Package - Latest_II.5. RM Volume Sensitivities_Sheet2" xfId="9115" xr:uid="{00000000-0005-0000-0000-00009A230000}"/>
    <cellStyle name="_MOR - Gurgaon -12+0_Revised MOR Package_Revised MOR Package - Latest_II.5. RM Volume Sensitivities_Sheet3" xfId="9116" xr:uid="{00000000-0005-0000-0000-00009B230000}"/>
    <cellStyle name="_MOR - Gurgaon -12+0_Revised MOR Package_Revised MOR Package - Latest_II.5. RM Volume Sensitivities_Sheet4" xfId="9117" xr:uid="{00000000-0005-0000-0000-00009C230000}"/>
    <cellStyle name="_MOR - Gurgaon -12+0_Revised MOR Package_Revised MOR Package - Latest_II.8. Sep&amp;Discrete" xfId="9118" xr:uid="{00000000-0005-0000-0000-00009D230000}"/>
    <cellStyle name="_MOR - Gurgaon -12+0_Revised MOR Package_Revised MOR Package - Latest_Restructuring &amp; Separation" xfId="9119" xr:uid="{00000000-0005-0000-0000-00009E230000}"/>
    <cellStyle name="_MOR - Gurgaon -12+0_Revised MOR Package_Revised MOR Package - Latest_Restructuring_Separation_TAX_JuneFC2010 tf" xfId="9120" xr:uid="{00000000-0005-0000-0000-00009F230000}"/>
    <cellStyle name="_MOR - Gurgaon -12+0_Revised MOR Package_Revised MOR Package - Latest_Restructuring_Separation_TAX_JuneFC2010 tf_BS_Separation_TaxResIndem_Q12412 tf" xfId="9121" xr:uid="{00000000-0005-0000-0000-0000A0230000}"/>
    <cellStyle name="_MOR - Gurgaon -12+0_Revised MOR Package_Revised MOR Package - Latest_Restructuring_Separation_TAX_JuneFC2010 tf_BS_Separation_TaxResIndem_Q12412 tf_Restructuring &amp; Separation" xfId="9122" xr:uid="{00000000-0005-0000-0000-0000A1230000}"/>
    <cellStyle name="_MOR - Gurgaon -12+0_Revised MOR Package_Revised MOR Package - Latest_Restructuring_Separation_TAX_JuneFC2010 tf_II.8. Sep&amp;Discrete" xfId="9123" xr:uid="{00000000-0005-0000-0000-0000A2230000}"/>
    <cellStyle name="_MOR - Gurgaon -12+0_Revised MOR Package_Revised MOR Package - Latest_Restructuring_Separation_TAX_JuneFC2010 tf_Restructuring &amp; Separation" xfId="9124" xr:uid="{00000000-0005-0000-0000-0000A3230000}"/>
    <cellStyle name="_MOR - Revised Package" xfId="9125" xr:uid="{00000000-0005-0000-0000-0000A4230000}"/>
    <cellStyle name="_MOR - Revised Package_~0039877" xfId="9126" xr:uid="{00000000-0005-0000-0000-0000A5230000}"/>
    <cellStyle name="_MOR - Revised Package_~0039877_BS_Separation_TaxResIndem_Q12412 tf" xfId="9127" xr:uid="{00000000-0005-0000-0000-0000A6230000}"/>
    <cellStyle name="_MOR - Revised Package_~0039877_BS_Separation_TaxResIndem_Q12412 tf_Restructuring &amp; Separation" xfId="9128" xr:uid="{00000000-0005-0000-0000-0000A7230000}"/>
    <cellStyle name="_MOR - Revised Package_~0039877_By Country Detail 1Q10 041410pm FIN 18 revised per disc w Mary" xfId="9129" xr:uid="{00000000-0005-0000-0000-0000A8230000}"/>
    <cellStyle name="_MOR - Revised Package_~0039877_By Country Detail 1Q10 041410pm FIN 18 revised per disc w Mary_BS_Separation_TaxResIndem_Q12412 tf" xfId="9130" xr:uid="{00000000-0005-0000-0000-0000A9230000}"/>
    <cellStyle name="_MOR - Revised Package_~0039877_By Country Detail 1Q10 041410pm FIN 18 revised per disc w Mary_BS_Separation_TaxResIndem_Q12412 tf_Restructuring &amp; Separation" xfId="9131" xr:uid="{00000000-0005-0000-0000-0000AA230000}"/>
    <cellStyle name="_MOR - Revised Package_~0039877_By Country Detail 1Q10 041410pm FIN 18 revised per disc w Mary_II.8. Sep&amp;Discrete" xfId="9132" xr:uid="{00000000-0005-0000-0000-0000AB230000}"/>
    <cellStyle name="_MOR - Revised Package_~0039877_By Country Detail 1Q10 041410pm FIN 18 revised per disc w Mary_Restructuring &amp; Separation" xfId="9133" xr:uid="{00000000-0005-0000-0000-0000AC230000}"/>
    <cellStyle name="_MOR - Revised Package_~0039877_II.4. RawMaterials" xfId="9134" xr:uid="{00000000-0005-0000-0000-0000AD230000}"/>
    <cellStyle name="_MOR - Revised Package_~0039877_II.4. RawMaterials 2" xfId="9135" xr:uid="{00000000-0005-0000-0000-0000AE230000}"/>
    <cellStyle name="_MOR - Revised Package_~0039877_II.4. RawMaterials_BS retrieve" xfId="9136" xr:uid="{00000000-0005-0000-0000-0000AF230000}"/>
    <cellStyle name="_MOR - Revised Package_~0039877_II.4. RawMaterials_Free CF" xfId="9137" xr:uid="{00000000-0005-0000-0000-0000B0230000}"/>
    <cellStyle name="_MOR - Revised Package_~0039877_II.4. RawMaterials_P&amp;L Rec Qtr" xfId="9138" xr:uid="{00000000-0005-0000-0000-0000B1230000}"/>
    <cellStyle name="_MOR - Revised Package_~0039877_II.4. RawMaterials_Sheet1" xfId="9139" xr:uid="{00000000-0005-0000-0000-0000B2230000}"/>
    <cellStyle name="_MOR - Revised Package_~0039877_II.4. RawMaterials_Sheet2" xfId="9140" xr:uid="{00000000-0005-0000-0000-0000B3230000}"/>
    <cellStyle name="_MOR - Revised Package_~0039877_II.4. RawMaterials_Sheet3" xfId="9141" xr:uid="{00000000-0005-0000-0000-0000B4230000}"/>
    <cellStyle name="_MOR - Revised Package_~0039877_II.4. RawMaterials_Sheet4" xfId="9142" xr:uid="{00000000-0005-0000-0000-0000B5230000}"/>
    <cellStyle name="_MOR - Revised Package_~0039877_II.5. RawMaterials" xfId="9143" xr:uid="{00000000-0005-0000-0000-0000B6230000}"/>
    <cellStyle name="_MOR - Revised Package_~0039877_II.5. RawMaterials 2" xfId="9144" xr:uid="{00000000-0005-0000-0000-0000B7230000}"/>
    <cellStyle name="_MOR - Revised Package_~0039877_II.5. RawMaterials_BS retrieve" xfId="9145" xr:uid="{00000000-0005-0000-0000-0000B8230000}"/>
    <cellStyle name="_MOR - Revised Package_~0039877_II.5. RawMaterials_Free CF" xfId="9146" xr:uid="{00000000-0005-0000-0000-0000B9230000}"/>
    <cellStyle name="_MOR - Revised Package_~0039877_II.5. RawMaterials_P&amp;L Rec Qtr" xfId="9147" xr:uid="{00000000-0005-0000-0000-0000BA230000}"/>
    <cellStyle name="_MOR - Revised Package_~0039877_II.5. RawMaterials_Sheet1" xfId="9148" xr:uid="{00000000-0005-0000-0000-0000BB230000}"/>
    <cellStyle name="_MOR - Revised Package_~0039877_II.5. RawMaterials_Sheet2" xfId="9149" xr:uid="{00000000-0005-0000-0000-0000BC230000}"/>
    <cellStyle name="_MOR - Revised Package_~0039877_II.5. RawMaterials_Sheet3" xfId="9150" xr:uid="{00000000-0005-0000-0000-0000BD230000}"/>
    <cellStyle name="_MOR - Revised Package_~0039877_II.5. RawMaterials_Sheet4" xfId="9151" xr:uid="{00000000-0005-0000-0000-0000BE230000}"/>
    <cellStyle name="_MOR - Revised Package_~0039877_II.5. RM Volume Sensitivities" xfId="9152" xr:uid="{00000000-0005-0000-0000-0000BF230000}"/>
    <cellStyle name="_MOR - Revised Package_~0039877_II.5. RM Volume Sensitivities 2" xfId="9153" xr:uid="{00000000-0005-0000-0000-0000C0230000}"/>
    <cellStyle name="_MOR - Revised Package_~0039877_II.5. RM Volume Sensitivities_BS retrieve" xfId="9154" xr:uid="{00000000-0005-0000-0000-0000C1230000}"/>
    <cellStyle name="_MOR - Revised Package_~0039877_II.5. RM Volume Sensitivities_Free CF" xfId="9155" xr:uid="{00000000-0005-0000-0000-0000C2230000}"/>
    <cellStyle name="_MOR - Revised Package_~0039877_II.5. RM Volume Sensitivities_P&amp;L Rec Qtr" xfId="9156" xr:uid="{00000000-0005-0000-0000-0000C3230000}"/>
    <cellStyle name="_MOR - Revised Package_~0039877_II.5. RM Volume Sensitivities_Sheet1" xfId="9157" xr:uid="{00000000-0005-0000-0000-0000C4230000}"/>
    <cellStyle name="_MOR - Revised Package_~0039877_II.5. RM Volume Sensitivities_Sheet2" xfId="9158" xr:uid="{00000000-0005-0000-0000-0000C5230000}"/>
    <cellStyle name="_MOR - Revised Package_~0039877_II.5. RM Volume Sensitivities_Sheet3" xfId="9159" xr:uid="{00000000-0005-0000-0000-0000C6230000}"/>
    <cellStyle name="_MOR - Revised Package_~0039877_II.5. RM Volume Sensitivities_Sheet4" xfId="9160" xr:uid="{00000000-0005-0000-0000-0000C7230000}"/>
    <cellStyle name="_MOR - Revised Package_~0039877_II.8. Sep&amp;Discrete" xfId="9161" xr:uid="{00000000-0005-0000-0000-0000C8230000}"/>
    <cellStyle name="_MOR - Revised Package_~0039877_Restructuring &amp; Separation" xfId="9162" xr:uid="{00000000-0005-0000-0000-0000C9230000}"/>
    <cellStyle name="_MOR - Revised Package_~0039877_Restructuring_Separation_TAX_JuneFC2010 tf" xfId="9163" xr:uid="{00000000-0005-0000-0000-0000CA230000}"/>
    <cellStyle name="_MOR - Revised Package_~0039877_Restructuring_Separation_TAX_JuneFC2010 tf_BS_Separation_TaxResIndem_Q12412 tf" xfId="9164" xr:uid="{00000000-0005-0000-0000-0000CB230000}"/>
    <cellStyle name="_MOR - Revised Package_~0039877_Restructuring_Separation_TAX_JuneFC2010 tf_BS_Separation_TaxResIndem_Q12412 tf_Restructuring &amp; Separation" xfId="9165" xr:uid="{00000000-0005-0000-0000-0000CC230000}"/>
    <cellStyle name="_MOR - Revised Package_~0039877_Restructuring_Separation_TAX_JuneFC2010 tf_II.8. Sep&amp;Discrete" xfId="9166" xr:uid="{00000000-0005-0000-0000-0000CD230000}"/>
    <cellStyle name="_MOR - Revised Package_~0039877_Restructuring_Separation_TAX_JuneFC2010 tf_Restructuring &amp; Separation" xfId="9167" xr:uid="{00000000-0005-0000-0000-0000CE230000}"/>
    <cellStyle name="_MOR - Revised Package_BS_Separation_TaxResIndem_Q12412 tf" xfId="9168" xr:uid="{00000000-0005-0000-0000-0000CF230000}"/>
    <cellStyle name="_MOR - Revised Package_BS_Separation_TaxResIndem_Q12412 tf_Restructuring &amp; Separation" xfId="9169" xr:uid="{00000000-0005-0000-0000-0000D0230000}"/>
    <cellStyle name="_MOR - Revised Package_By Country Detail 1Q10 041410pm FIN 18 revised per disc w Mary" xfId="9170" xr:uid="{00000000-0005-0000-0000-0000D1230000}"/>
    <cellStyle name="_MOR - Revised Package_By Country Detail 1Q10 041410pm FIN 18 revised per disc w Mary_BS_Separation_TaxResIndem_Q12412 tf" xfId="9171" xr:uid="{00000000-0005-0000-0000-0000D2230000}"/>
    <cellStyle name="_MOR - Revised Package_By Country Detail 1Q10 041410pm FIN 18 revised per disc w Mary_BS_Separation_TaxResIndem_Q12412 tf_Restructuring &amp; Separation" xfId="9172" xr:uid="{00000000-0005-0000-0000-0000D3230000}"/>
    <cellStyle name="_MOR - Revised Package_By Country Detail 1Q10 041410pm FIN 18 revised per disc w Mary_II.8. Sep&amp;Discrete" xfId="9173" xr:uid="{00000000-0005-0000-0000-0000D4230000}"/>
    <cellStyle name="_MOR - Revised Package_By Country Detail 1Q10 041410pm FIN 18 revised per disc w Mary_Restructuring &amp; Separation" xfId="9174" xr:uid="{00000000-0005-0000-0000-0000D5230000}"/>
    <cellStyle name="_MOR - Revised Package_II.4. RawMaterials" xfId="9175" xr:uid="{00000000-0005-0000-0000-0000D6230000}"/>
    <cellStyle name="_MOR - Revised Package_II.4. RawMaterials 2" xfId="9176" xr:uid="{00000000-0005-0000-0000-0000D7230000}"/>
    <cellStyle name="_MOR - Revised Package_II.4. RawMaterials_BS retrieve" xfId="9177" xr:uid="{00000000-0005-0000-0000-0000D8230000}"/>
    <cellStyle name="_MOR - Revised Package_II.4. RawMaterials_Free CF" xfId="9178" xr:uid="{00000000-0005-0000-0000-0000D9230000}"/>
    <cellStyle name="_MOR - Revised Package_II.4. RawMaterials_P&amp;L Rec Qtr" xfId="9179" xr:uid="{00000000-0005-0000-0000-0000DA230000}"/>
    <cellStyle name="_MOR - Revised Package_II.4. RawMaterials_Sheet1" xfId="9180" xr:uid="{00000000-0005-0000-0000-0000DB230000}"/>
    <cellStyle name="_MOR - Revised Package_II.4. RawMaterials_Sheet2" xfId="9181" xr:uid="{00000000-0005-0000-0000-0000DC230000}"/>
    <cellStyle name="_MOR - Revised Package_II.4. RawMaterials_Sheet3" xfId="9182" xr:uid="{00000000-0005-0000-0000-0000DD230000}"/>
    <cellStyle name="_MOR - Revised Package_II.4. RawMaterials_Sheet4" xfId="9183" xr:uid="{00000000-0005-0000-0000-0000DE230000}"/>
    <cellStyle name="_MOR - Revised Package_II.5. RawMaterials" xfId="9184" xr:uid="{00000000-0005-0000-0000-0000DF230000}"/>
    <cellStyle name="_MOR - Revised Package_II.5. RawMaterials 2" xfId="9185" xr:uid="{00000000-0005-0000-0000-0000E0230000}"/>
    <cellStyle name="_MOR - Revised Package_II.5. RawMaterials_BS retrieve" xfId="9186" xr:uid="{00000000-0005-0000-0000-0000E1230000}"/>
    <cellStyle name="_MOR - Revised Package_II.5. RawMaterials_Free CF" xfId="9187" xr:uid="{00000000-0005-0000-0000-0000E2230000}"/>
    <cellStyle name="_MOR - Revised Package_II.5. RawMaterials_P&amp;L Rec Qtr" xfId="9188" xr:uid="{00000000-0005-0000-0000-0000E3230000}"/>
    <cellStyle name="_MOR - Revised Package_II.5. RawMaterials_Sheet1" xfId="9189" xr:uid="{00000000-0005-0000-0000-0000E4230000}"/>
    <cellStyle name="_MOR - Revised Package_II.5. RawMaterials_Sheet2" xfId="9190" xr:uid="{00000000-0005-0000-0000-0000E5230000}"/>
    <cellStyle name="_MOR - Revised Package_II.5. RawMaterials_Sheet3" xfId="9191" xr:uid="{00000000-0005-0000-0000-0000E6230000}"/>
    <cellStyle name="_MOR - Revised Package_II.5. RawMaterials_Sheet4" xfId="9192" xr:uid="{00000000-0005-0000-0000-0000E7230000}"/>
    <cellStyle name="_MOR - Revised Package_II.5. RM Volume Sensitivities" xfId="9193" xr:uid="{00000000-0005-0000-0000-0000E8230000}"/>
    <cellStyle name="_MOR - Revised Package_II.5. RM Volume Sensitivities 2" xfId="9194" xr:uid="{00000000-0005-0000-0000-0000E9230000}"/>
    <cellStyle name="_MOR - Revised Package_II.5. RM Volume Sensitivities_BS retrieve" xfId="9195" xr:uid="{00000000-0005-0000-0000-0000EA230000}"/>
    <cellStyle name="_MOR - Revised Package_II.5. RM Volume Sensitivities_Free CF" xfId="9196" xr:uid="{00000000-0005-0000-0000-0000EB230000}"/>
    <cellStyle name="_MOR - Revised Package_II.5. RM Volume Sensitivities_P&amp;L Rec Qtr" xfId="9197" xr:uid="{00000000-0005-0000-0000-0000EC230000}"/>
    <cellStyle name="_MOR - Revised Package_II.5. RM Volume Sensitivities_Sheet1" xfId="9198" xr:uid="{00000000-0005-0000-0000-0000ED230000}"/>
    <cellStyle name="_MOR - Revised Package_II.5. RM Volume Sensitivities_Sheet2" xfId="9199" xr:uid="{00000000-0005-0000-0000-0000EE230000}"/>
    <cellStyle name="_MOR - Revised Package_II.5. RM Volume Sensitivities_Sheet3" xfId="9200" xr:uid="{00000000-0005-0000-0000-0000EF230000}"/>
    <cellStyle name="_MOR - Revised Package_II.5. RM Volume Sensitivities_Sheet4" xfId="9201" xr:uid="{00000000-0005-0000-0000-0000F0230000}"/>
    <cellStyle name="_MOR - Revised Package_II.8. Sep&amp;Discrete" xfId="9202" xr:uid="{00000000-0005-0000-0000-0000F1230000}"/>
    <cellStyle name="_MOR - Revised Package_Restructuring &amp; Separation" xfId="9203" xr:uid="{00000000-0005-0000-0000-0000F2230000}"/>
    <cellStyle name="_MOR - Revised Package_Restructuring_Separation_TAX_JuneFC2010 tf" xfId="9204" xr:uid="{00000000-0005-0000-0000-0000F3230000}"/>
    <cellStyle name="_MOR - Revised Package_Restructuring_Separation_TAX_JuneFC2010 tf_BS_Separation_TaxResIndem_Q12412 tf" xfId="9205" xr:uid="{00000000-0005-0000-0000-0000F4230000}"/>
    <cellStyle name="_MOR - Revised Package_Restructuring_Separation_TAX_JuneFC2010 tf_BS_Separation_TaxResIndem_Q12412 tf_Restructuring &amp; Separation" xfId="9206" xr:uid="{00000000-0005-0000-0000-0000F5230000}"/>
    <cellStyle name="_MOR - Revised Package_Restructuring_Separation_TAX_JuneFC2010 tf_II.8. Sep&amp;Discrete" xfId="9207" xr:uid="{00000000-0005-0000-0000-0000F6230000}"/>
    <cellStyle name="_MOR - Revised Package_Restructuring_Separation_TAX_JuneFC2010 tf_Restructuring &amp; Separation" xfId="9208" xr:uid="{00000000-0005-0000-0000-0000F7230000}"/>
    <cellStyle name="_MOR - Revised Package_Revised MOR Package - Latest" xfId="9209" xr:uid="{00000000-0005-0000-0000-0000F8230000}"/>
    <cellStyle name="_MOR - Revised Package_Revised MOR Package - Latest_BS_Separation_TaxResIndem_Q12412 tf" xfId="9210" xr:uid="{00000000-0005-0000-0000-0000F9230000}"/>
    <cellStyle name="_MOR - Revised Package_Revised MOR Package - Latest_BS_Separation_TaxResIndem_Q12412 tf_Restructuring &amp; Separation" xfId="9211" xr:uid="{00000000-0005-0000-0000-0000FA230000}"/>
    <cellStyle name="_MOR - Revised Package_Revised MOR Package - Latest_By Country Detail 1Q10 041410pm FIN 18 revised per disc w Mary" xfId="9212" xr:uid="{00000000-0005-0000-0000-0000FB230000}"/>
    <cellStyle name="_MOR - Revised Package_Revised MOR Package - Latest_By Country Detail 1Q10 041410pm FIN 18 revised per disc w Mary_BS_Separation_TaxResIndem_Q12412 tf" xfId="9213" xr:uid="{00000000-0005-0000-0000-0000FC230000}"/>
    <cellStyle name="_MOR - Revised Package_Revised MOR Package - Latest_By Country Detail 1Q10 041410pm FIN 18 revised per disc w Mary_BS_Separation_TaxResIndem_Q12412 tf_Restructuring &amp; Separation" xfId="9214" xr:uid="{00000000-0005-0000-0000-0000FD230000}"/>
    <cellStyle name="_MOR - Revised Package_Revised MOR Package - Latest_By Country Detail 1Q10 041410pm FIN 18 revised per disc w Mary_II.8. Sep&amp;Discrete" xfId="9215" xr:uid="{00000000-0005-0000-0000-0000FE230000}"/>
    <cellStyle name="_MOR - Revised Package_Revised MOR Package - Latest_By Country Detail 1Q10 041410pm FIN 18 revised per disc w Mary_Restructuring &amp; Separation" xfId="9216" xr:uid="{00000000-0005-0000-0000-0000FF230000}"/>
    <cellStyle name="_MOR - Revised Package_Revised MOR Package - Latest_II.4. RawMaterials" xfId="9217" xr:uid="{00000000-0005-0000-0000-000000240000}"/>
    <cellStyle name="_MOR - Revised Package_Revised MOR Package - Latest_II.4. RawMaterials 2" xfId="9218" xr:uid="{00000000-0005-0000-0000-000001240000}"/>
    <cellStyle name="_MOR - Revised Package_Revised MOR Package - Latest_II.4. RawMaterials_BS retrieve" xfId="9219" xr:uid="{00000000-0005-0000-0000-000002240000}"/>
    <cellStyle name="_MOR - Revised Package_Revised MOR Package - Latest_II.4. RawMaterials_Free CF" xfId="9220" xr:uid="{00000000-0005-0000-0000-000003240000}"/>
    <cellStyle name="_MOR - Revised Package_Revised MOR Package - Latest_II.4. RawMaterials_P&amp;L Rec Qtr" xfId="9221" xr:uid="{00000000-0005-0000-0000-000004240000}"/>
    <cellStyle name="_MOR - Revised Package_Revised MOR Package - Latest_II.4. RawMaterials_Sheet1" xfId="9222" xr:uid="{00000000-0005-0000-0000-000005240000}"/>
    <cellStyle name="_MOR - Revised Package_Revised MOR Package - Latest_II.4. RawMaterials_Sheet2" xfId="9223" xr:uid="{00000000-0005-0000-0000-000006240000}"/>
    <cellStyle name="_MOR - Revised Package_Revised MOR Package - Latest_II.4. RawMaterials_Sheet3" xfId="9224" xr:uid="{00000000-0005-0000-0000-000007240000}"/>
    <cellStyle name="_MOR - Revised Package_Revised MOR Package - Latest_II.4. RawMaterials_Sheet4" xfId="9225" xr:uid="{00000000-0005-0000-0000-000008240000}"/>
    <cellStyle name="_MOR - Revised Package_Revised MOR Package - Latest_II.5. RawMaterials" xfId="9226" xr:uid="{00000000-0005-0000-0000-000009240000}"/>
    <cellStyle name="_MOR - Revised Package_Revised MOR Package - Latest_II.5. RawMaterials 2" xfId="9227" xr:uid="{00000000-0005-0000-0000-00000A240000}"/>
    <cellStyle name="_MOR - Revised Package_Revised MOR Package - Latest_II.5. RawMaterials_BS retrieve" xfId="9228" xr:uid="{00000000-0005-0000-0000-00000B240000}"/>
    <cellStyle name="_MOR - Revised Package_Revised MOR Package - Latest_II.5. RawMaterials_Free CF" xfId="9229" xr:uid="{00000000-0005-0000-0000-00000C240000}"/>
    <cellStyle name="_MOR - Revised Package_Revised MOR Package - Latest_II.5. RawMaterials_P&amp;L Rec Qtr" xfId="9230" xr:uid="{00000000-0005-0000-0000-00000D240000}"/>
    <cellStyle name="_MOR - Revised Package_Revised MOR Package - Latest_II.5. RawMaterials_Sheet1" xfId="9231" xr:uid="{00000000-0005-0000-0000-00000E240000}"/>
    <cellStyle name="_MOR - Revised Package_Revised MOR Package - Latest_II.5. RawMaterials_Sheet2" xfId="9232" xr:uid="{00000000-0005-0000-0000-00000F240000}"/>
    <cellStyle name="_MOR - Revised Package_Revised MOR Package - Latest_II.5. RawMaterials_Sheet3" xfId="9233" xr:uid="{00000000-0005-0000-0000-000010240000}"/>
    <cellStyle name="_MOR - Revised Package_Revised MOR Package - Latest_II.5. RawMaterials_Sheet4" xfId="9234" xr:uid="{00000000-0005-0000-0000-000011240000}"/>
    <cellStyle name="_MOR - Revised Package_Revised MOR Package - Latest_II.5. RM Volume Sensitivities" xfId="9235" xr:uid="{00000000-0005-0000-0000-000012240000}"/>
    <cellStyle name="_MOR - Revised Package_Revised MOR Package - Latest_II.5. RM Volume Sensitivities 2" xfId="9236" xr:uid="{00000000-0005-0000-0000-000013240000}"/>
    <cellStyle name="_MOR - Revised Package_Revised MOR Package - Latest_II.5. RM Volume Sensitivities_BS retrieve" xfId="9237" xr:uid="{00000000-0005-0000-0000-000014240000}"/>
    <cellStyle name="_MOR - Revised Package_Revised MOR Package - Latest_II.5. RM Volume Sensitivities_Free CF" xfId="9238" xr:uid="{00000000-0005-0000-0000-000015240000}"/>
    <cellStyle name="_MOR - Revised Package_Revised MOR Package - Latest_II.5. RM Volume Sensitivities_P&amp;L Rec Qtr" xfId="9239" xr:uid="{00000000-0005-0000-0000-000016240000}"/>
    <cellStyle name="_MOR - Revised Package_Revised MOR Package - Latest_II.5. RM Volume Sensitivities_Sheet1" xfId="9240" xr:uid="{00000000-0005-0000-0000-000017240000}"/>
    <cellStyle name="_MOR - Revised Package_Revised MOR Package - Latest_II.5. RM Volume Sensitivities_Sheet2" xfId="9241" xr:uid="{00000000-0005-0000-0000-000018240000}"/>
    <cellStyle name="_MOR - Revised Package_Revised MOR Package - Latest_II.5. RM Volume Sensitivities_Sheet3" xfId="9242" xr:uid="{00000000-0005-0000-0000-000019240000}"/>
    <cellStyle name="_MOR - Revised Package_Revised MOR Package - Latest_II.5. RM Volume Sensitivities_Sheet4" xfId="9243" xr:uid="{00000000-0005-0000-0000-00001A240000}"/>
    <cellStyle name="_MOR - Revised Package_Revised MOR Package - Latest_II.8. Sep&amp;Discrete" xfId="9244" xr:uid="{00000000-0005-0000-0000-00001B240000}"/>
    <cellStyle name="_MOR - Revised Package_Revised MOR Package - Latest_Restructuring &amp; Separation" xfId="9245" xr:uid="{00000000-0005-0000-0000-00001C240000}"/>
    <cellStyle name="_MOR - Revised Package_Revised MOR Package - Latest_Restructuring_Separation_TAX_JuneFC2010 tf" xfId="9246" xr:uid="{00000000-0005-0000-0000-00001D240000}"/>
    <cellStyle name="_MOR - Revised Package_Revised MOR Package - Latest_Restructuring_Separation_TAX_JuneFC2010 tf_BS_Separation_TaxResIndem_Q12412 tf" xfId="9247" xr:uid="{00000000-0005-0000-0000-00001E240000}"/>
    <cellStyle name="_MOR - Revised Package_Revised MOR Package - Latest_Restructuring_Separation_TAX_JuneFC2010 tf_BS_Separation_TaxResIndem_Q12412 tf_Restructuring &amp; Separation" xfId="9248" xr:uid="{00000000-0005-0000-0000-00001F240000}"/>
    <cellStyle name="_MOR - Revised Package_Revised MOR Package - Latest_Restructuring_Separation_TAX_JuneFC2010 tf_II.8. Sep&amp;Discrete" xfId="9249" xr:uid="{00000000-0005-0000-0000-000020240000}"/>
    <cellStyle name="_MOR - Revised Package_Revised MOR Package - Latest_Restructuring_Separation_TAX_JuneFC2010 tf_Restructuring &amp; Separation" xfId="9250" xr:uid="{00000000-0005-0000-0000-000021240000}"/>
    <cellStyle name="_MOR-BDW" xfId="9251" xr:uid="{00000000-0005-0000-0000-000022240000}"/>
    <cellStyle name="_MOR-BDW_BS_Separation_TaxResIndem_Q12412 tf" xfId="9252" xr:uid="{00000000-0005-0000-0000-000023240000}"/>
    <cellStyle name="_MOR-BDW_BS_Separation_TaxResIndem_Q12412 tf_Restructuring &amp; Separation" xfId="9253" xr:uid="{00000000-0005-0000-0000-000024240000}"/>
    <cellStyle name="_MOR-BDW_By Country Detail 1Q10 041410pm FIN 18 revised per disc w Mary" xfId="9254" xr:uid="{00000000-0005-0000-0000-000025240000}"/>
    <cellStyle name="_MOR-BDW_By Country Detail 1Q10 041410pm FIN 18 revised per disc w Mary_BS_Separation_TaxResIndem_Q12412 tf" xfId="9255" xr:uid="{00000000-0005-0000-0000-000026240000}"/>
    <cellStyle name="_MOR-BDW_By Country Detail 1Q10 041410pm FIN 18 revised per disc w Mary_BS_Separation_TaxResIndem_Q12412 tf_Restructuring &amp; Separation" xfId="9256" xr:uid="{00000000-0005-0000-0000-000027240000}"/>
    <cellStyle name="_MOR-BDW_By Country Detail 1Q10 041410pm FIN 18 revised per disc w Mary_II.8. Sep&amp;Discrete" xfId="9257" xr:uid="{00000000-0005-0000-0000-000028240000}"/>
    <cellStyle name="_MOR-BDW_By Country Detail 1Q10 041410pm FIN 18 revised per disc w Mary_Restructuring &amp; Separation" xfId="9258" xr:uid="{00000000-0005-0000-0000-000029240000}"/>
    <cellStyle name="_MOR-BDW_II.4. RawMaterials" xfId="9259" xr:uid="{00000000-0005-0000-0000-00002A240000}"/>
    <cellStyle name="_MOR-BDW_II.4. RawMaterials 2" xfId="9260" xr:uid="{00000000-0005-0000-0000-00002B240000}"/>
    <cellStyle name="_MOR-BDW_II.4. RawMaterials_BS retrieve" xfId="9261" xr:uid="{00000000-0005-0000-0000-00002C240000}"/>
    <cellStyle name="_MOR-BDW_II.4. RawMaterials_Free CF" xfId="9262" xr:uid="{00000000-0005-0000-0000-00002D240000}"/>
    <cellStyle name="_MOR-BDW_II.4. RawMaterials_P&amp;L Rec Qtr" xfId="9263" xr:uid="{00000000-0005-0000-0000-00002E240000}"/>
    <cellStyle name="_MOR-BDW_II.4. RawMaterials_Sheet1" xfId="9264" xr:uid="{00000000-0005-0000-0000-00002F240000}"/>
    <cellStyle name="_MOR-BDW_II.4. RawMaterials_Sheet2" xfId="9265" xr:uid="{00000000-0005-0000-0000-000030240000}"/>
    <cellStyle name="_MOR-BDW_II.4. RawMaterials_Sheet3" xfId="9266" xr:uid="{00000000-0005-0000-0000-000031240000}"/>
    <cellStyle name="_MOR-BDW_II.4. RawMaterials_Sheet4" xfId="9267" xr:uid="{00000000-0005-0000-0000-000032240000}"/>
    <cellStyle name="_MOR-BDW_II.5. RawMaterials" xfId="9268" xr:uid="{00000000-0005-0000-0000-000033240000}"/>
    <cellStyle name="_MOR-BDW_II.5. RawMaterials 2" xfId="9269" xr:uid="{00000000-0005-0000-0000-000034240000}"/>
    <cellStyle name="_MOR-BDW_II.5. RawMaterials_BS retrieve" xfId="9270" xr:uid="{00000000-0005-0000-0000-000035240000}"/>
    <cellStyle name="_MOR-BDW_II.5. RawMaterials_Free CF" xfId="9271" xr:uid="{00000000-0005-0000-0000-000036240000}"/>
    <cellStyle name="_MOR-BDW_II.5. RawMaterials_P&amp;L Rec Qtr" xfId="9272" xr:uid="{00000000-0005-0000-0000-000037240000}"/>
    <cellStyle name="_MOR-BDW_II.5. RawMaterials_Sheet1" xfId="9273" xr:uid="{00000000-0005-0000-0000-000038240000}"/>
    <cellStyle name="_MOR-BDW_II.5. RawMaterials_Sheet2" xfId="9274" xr:uid="{00000000-0005-0000-0000-000039240000}"/>
    <cellStyle name="_MOR-BDW_II.5. RawMaterials_Sheet3" xfId="9275" xr:uid="{00000000-0005-0000-0000-00003A240000}"/>
    <cellStyle name="_MOR-BDW_II.5. RawMaterials_Sheet4" xfId="9276" xr:uid="{00000000-0005-0000-0000-00003B240000}"/>
    <cellStyle name="_MOR-BDW_II.5. RM Volume Sensitivities" xfId="9277" xr:uid="{00000000-0005-0000-0000-00003C240000}"/>
    <cellStyle name="_MOR-BDW_II.5. RM Volume Sensitivities 2" xfId="9278" xr:uid="{00000000-0005-0000-0000-00003D240000}"/>
    <cellStyle name="_MOR-BDW_II.5. RM Volume Sensitivities_BS retrieve" xfId="9279" xr:uid="{00000000-0005-0000-0000-00003E240000}"/>
    <cellStyle name="_MOR-BDW_II.5. RM Volume Sensitivities_Free CF" xfId="9280" xr:uid="{00000000-0005-0000-0000-00003F240000}"/>
    <cellStyle name="_MOR-BDW_II.5. RM Volume Sensitivities_P&amp;L Rec Qtr" xfId="9281" xr:uid="{00000000-0005-0000-0000-000040240000}"/>
    <cellStyle name="_MOR-BDW_II.5. RM Volume Sensitivities_Sheet1" xfId="9282" xr:uid="{00000000-0005-0000-0000-000041240000}"/>
    <cellStyle name="_MOR-BDW_II.5. RM Volume Sensitivities_Sheet2" xfId="9283" xr:uid="{00000000-0005-0000-0000-000042240000}"/>
    <cellStyle name="_MOR-BDW_II.5. RM Volume Sensitivities_Sheet3" xfId="9284" xr:uid="{00000000-0005-0000-0000-000043240000}"/>
    <cellStyle name="_MOR-BDW_II.5. RM Volume Sensitivities_Sheet4" xfId="9285" xr:uid="{00000000-0005-0000-0000-000044240000}"/>
    <cellStyle name="_MOR-BDW_II.8. Sep&amp;Discrete" xfId="9286" xr:uid="{00000000-0005-0000-0000-000045240000}"/>
    <cellStyle name="_MOR-BDW_MOR - BDWY - 1+11" xfId="9287" xr:uid="{00000000-0005-0000-0000-000046240000}"/>
    <cellStyle name="_MOR-BDW_MOR - BDWY - 1+11_~0039877" xfId="9288" xr:uid="{00000000-0005-0000-0000-000047240000}"/>
    <cellStyle name="_MOR-BDW_MOR - BDWY - 1+11_~0039877_BS_Separation_TaxResIndem_Q12412 tf" xfId="9289" xr:uid="{00000000-0005-0000-0000-000048240000}"/>
    <cellStyle name="_MOR-BDW_MOR - BDWY - 1+11_~0039877_BS_Separation_TaxResIndem_Q12412 tf_Restructuring &amp; Separation" xfId="9290" xr:uid="{00000000-0005-0000-0000-000049240000}"/>
    <cellStyle name="_MOR-BDW_MOR - BDWY - 1+11_~0039877_By Country Detail 1Q10 041410pm FIN 18 revised per disc w Mary" xfId="9291" xr:uid="{00000000-0005-0000-0000-00004A240000}"/>
    <cellStyle name="_MOR-BDW_MOR - BDWY - 1+11_~0039877_By Country Detail 1Q10 041410pm FIN 18 revised per disc w Mary_BS_Separation_TaxResIndem_Q12412 tf" xfId="9292" xr:uid="{00000000-0005-0000-0000-00004B240000}"/>
    <cellStyle name="_MOR-BDW_MOR - BDWY - 1+11_~0039877_By Country Detail 1Q10 041410pm FIN 18 revised per disc w Mary_BS_Separation_TaxResIndem_Q12412 tf_Restructuring &amp; Separation" xfId="9293" xr:uid="{00000000-0005-0000-0000-00004C240000}"/>
    <cellStyle name="_MOR-BDW_MOR - BDWY - 1+11_~0039877_By Country Detail 1Q10 041410pm FIN 18 revised per disc w Mary_II.8. Sep&amp;Discrete" xfId="9294" xr:uid="{00000000-0005-0000-0000-00004D240000}"/>
    <cellStyle name="_MOR-BDW_MOR - BDWY - 1+11_~0039877_By Country Detail 1Q10 041410pm FIN 18 revised per disc w Mary_Restructuring &amp; Separation" xfId="9295" xr:uid="{00000000-0005-0000-0000-00004E240000}"/>
    <cellStyle name="_MOR-BDW_MOR - BDWY - 1+11_~0039877_II.4. RawMaterials" xfId="9296" xr:uid="{00000000-0005-0000-0000-00004F240000}"/>
    <cellStyle name="_MOR-BDW_MOR - BDWY - 1+11_~0039877_II.4. RawMaterials 2" xfId="9297" xr:uid="{00000000-0005-0000-0000-000050240000}"/>
    <cellStyle name="_MOR-BDW_MOR - BDWY - 1+11_~0039877_II.4. RawMaterials_BS retrieve" xfId="9298" xr:uid="{00000000-0005-0000-0000-000051240000}"/>
    <cellStyle name="_MOR-BDW_MOR - BDWY - 1+11_~0039877_II.4. RawMaterials_Free CF" xfId="9299" xr:uid="{00000000-0005-0000-0000-000052240000}"/>
    <cellStyle name="_MOR-BDW_MOR - BDWY - 1+11_~0039877_II.4. RawMaterials_P&amp;L Rec Qtr" xfId="9300" xr:uid="{00000000-0005-0000-0000-000053240000}"/>
    <cellStyle name="_MOR-BDW_MOR - BDWY - 1+11_~0039877_II.4. RawMaterials_Sheet1" xfId="9301" xr:uid="{00000000-0005-0000-0000-000054240000}"/>
    <cellStyle name="_MOR-BDW_MOR - BDWY - 1+11_~0039877_II.4. RawMaterials_Sheet2" xfId="9302" xr:uid="{00000000-0005-0000-0000-000055240000}"/>
    <cellStyle name="_MOR-BDW_MOR - BDWY - 1+11_~0039877_II.4. RawMaterials_Sheet3" xfId="9303" xr:uid="{00000000-0005-0000-0000-000056240000}"/>
    <cellStyle name="_MOR-BDW_MOR - BDWY - 1+11_~0039877_II.4. RawMaterials_Sheet4" xfId="9304" xr:uid="{00000000-0005-0000-0000-000057240000}"/>
    <cellStyle name="_MOR-BDW_MOR - BDWY - 1+11_~0039877_II.5. RawMaterials" xfId="9305" xr:uid="{00000000-0005-0000-0000-000058240000}"/>
    <cellStyle name="_MOR-BDW_MOR - BDWY - 1+11_~0039877_II.5. RawMaterials 2" xfId="9306" xr:uid="{00000000-0005-0000-0000-000059240000}"/>
    <cellStyle name="_MOR-BDW_MOR - BDWY - 1+11_~0039877_II.5. RawMaterials_BS retrieve" xfId="9307" xr:uid="{00000000-0005-0000-0000-00005A240000}"/>
    <cellStyle name="_MOR-BDW_MOR - BDWY - 1+11_~0039877_II.5. RawMaterials_Free CF" xfId="9308" xr:uid="{00000000-0005-0000-0000-00005B240000}"/>
    <cellStyle name="_MOR-BDW_MOR - BDWY - 1+11_~0039877_II.5. RawMaterials_P&amp;L Rec Qtr" xfId="9309" xr:uid="{00000000-0005-0000-0000-00005C240000}"/>
    <cellStyle name="_MOR-BDW_MOR - BDWY - 1+11_~0039877_II.5. RawMaterials_Sheet1" xfId="9310" xr:uid="{00000000-0005-0000-0000-00005D240000}"/>
    <cellStyle name="_MOR-BDW_MOR - BDWY - 1+11_~0039877_II.5. RawMaterials_Sheet2" xfId="9311" xr:uid="{00000000-0005-0000-0000-00005E240000}"/>
    <cellStyle name="_MOR-BDW_MOR - BDWY - 1+11_~0039877_II.5. RawMaterials_Sheet3" xfId="9312" xr:uid="{00000000-0005-0000-0000-00005F240000}"/>
    <cellStyle name="_MOR-BDW_MOR - BDWY - 1+11_~0039877_II.5. RawMaterials_Sheet4" xfId="9313" xr:uid="{00000000-0005-0000-0000-000060240000}"/>
    <cellStyle name="_MOR-BDW_MOR - BDWY - 1+11_~0039877_II.5. RM Volume Sensitivities" xfId="9314" xr:uid="{00000000-0005-0000-0000-000061240000}"/>
    <cellStyle name="_MOR-BDW_MOR - BDWY - 1+11_~0039877_II.5. RM Volume Sensitivities 2" xfId="9315" xr:uid="{00000000-0005-0000-0000-000062240000}"/>
    <cellStyle name="_MOR-BDW_MOR - BDWY - 1+11_~0039877_II.5. RM Volume Sensitivities_BS retrieve" xfId="9316" xr:uid="{00000000-0005-0000-0000-000063240000}"/>
    <cellStyle name="_MOR-BDW_MOR - BDWY - 1+11_~0039877_II.5. RM Volume Sensitivities_Free CF" xfId="9317" xr:uid="{00000000-0005-0000-0000-000064240000}"/>
    <cellStyle name="_MOR-BDW_MOR - BDWY - 1+11_~0039877_II.5. RM Volume Sensitivities_P&amp;L Rec Qtr" xfId="9318" xr:uid="{00000000-0005-0000-0000-000065240000}"/>
    <cellStyle name="_MOR-BDW_MOR - BDWY - 1+11_~0039877_II.5. RM Volume Sensitivities_Sheet1" xfId="9319" xr:uid="{00000000-0005-0000-0000-000066240000}"/>
    <cellStyle name="_MOR-BDW_MOR - BDWY - 1+11_~0039877_II.5. RM Volume Sensitivities_Sheet2" xfId="9320" xr:uid="{00000000-0005-0000-0000-000067240000}"/>
    <cellStyle name="_MOR-BDW_MOR - BDWY - 1+11_~0039877_II.5. RM Volume Sensitivities_Sheet3" xfId="9321" xr:uid="{00000000-0005-0000-0000-000068240000}"/>
    <cellStyle name="_MOR-BDW_MOR - BDWY - 1+11_~0039877_II.5. RM Volume Sensitivities_Sheet4" xfId="9322" xr:uid="{00000000-0005-0000-0000-000069240000}"/>
    <cellStyle name="_MOR-BDW_MOR - BDWY - 1+11_~0039877_II.8. Sep&amp;Discrete" xfId="9323" xr:uid="{00000000-0005-0000-0000-00006A240000}"/>
    <cellStyle name="_MOR-BDW_MOR - BDWY - 1+11_~0039877_Restructuring &amp; Separation" xfId="9324" xr:uid="{00000000-0005-0000-0000-00006B240000}"/>
    <cellStyle name="_MOR-BDW_MOR - BDWY - 1+11_~0039877_Restructuring_Separation_TAX_JuneFC2010 tf" xfId="9325" xr:uid="{00000000-0005-0000-0000-00006C240000}"/>
    <cellStyle name="_MOR-BDW_MOR - BDWY - 1+11_~0039877_Restructuring_Separation_TAX_JuneFC2010 tf_BS_Separation_TaxResIndem_Q12412 tf" xfId="9326" xr:uid="{00000000-0005-0000-0000-00006D240000}"/>
    <cellStyle name="_MOR-BDW_MOR - BDWY - 1+11_~0039877_Restructuring_Separation_TAX_JuneFC2010 tf_BS_Separation_TaxResIndem_Q12412 tf_Restructuring &amp; Separation" xfId="9327" xr:uid="{00000000-0005-0000-0000-00006E240000}"/>
    <cellStyle name="_MOR-BDW_MOR - BDWY - 1+11_~0039877_Restructuring_Separation_TAX_JuneFC2010 tf_II.8. Sep&amp;Discrete" xfId="9328" xr:uid="{00000000-0005-0000-0000-00006F240000}"/>
    <cellStyle name="_MOR-BDW_MOR - BDWY - 1+11_~0039877_Restructuring_Separation_TAX_JuneFC2010 tf_Restructuring &amp; Separation" xfId="9329" xr:uid="{00000000-0005-0000-0000-000070240000}"/>
    <cellStyle name="_MOR-BDW_MOR - BDWY - 1+11_BS_Separation_TaxResIndem_Q12412 tf" xfId="9330" xr:uid="{00000000-0005-0000-0000-000071240000}"/>
    <cellStyle name="_MOR-BDW_MOR - BDWY - 1+11_BS_Separation_TaxResIndem_Q12412 tf_Restructuring &amp; Separation" xfId="9331" xr:uid="{00000000-0005-0000-0000-000072240000}"/>
    <cellStyle name="_MOR-BDW_MOR - BDWY - 1+11_By Country Detail 1Q10 041410pm FIN 18 revised per disc w Mary" xfId="9332" xr:uid="{00000000-0005-0000-0000-000073240000}"/>
    <cellStyle name="_MOR-BDW_MOR - BDWY - 1+11_By Country Detail 1Q10 041410pm FIN 18 revised per disc w Mary_BS_Separation_TaxResIndem_Q12412 tf" xfId="9333" xr:uid="{00000000-0005-0000-0000-000074240000}"/>
    <cellStyle name="_MOR-BDW_MOR - BDWY - 1+11_By Country Detail 1Q10 041410pm FIN 18 revised per disc w Mary_BS_Separation_TaxResIndem_Q12412 tf_Restructuring &amp; Separation" xfId="9334" xr:uid="{00000000-0005-0000-0000-000075240000}"/>
    <cellStyle name="_MOR-BDW_MOR - BDWY - 1+11_By Country Detail 1Q10 041410pm FIN 18 revised per disc w Mary_II.8. Sep&amp;Discrete" xfId="9335" xr:uid="{00000000-0005-0000-0000-000076240000}"/>
    <cellStyle name="_MOR-BDW_MOR - BDWY - 1+11_By Country Detail 1Q10 041410pm FIN 18 revised per disc w Mary_Restructuring &amp; Separation" xfId="9336" xr:uid="{00000000-0005-0000-0000-000077240000}"/>
    <cellStyle name="_MOR-BDW_MOR - BDWY - 1+11_II.4. RawMaterials" xfId="9337" xr:uid="{00000000-0005-0000-0000-000078240000}"/>
    <cellStyle name="_MOR-BDW_MOR - BDWY - 1+11_II.4. RawMaterials 2" xfId="9338" xr:uid="{00000000-0005-0000-0000-000079240000}"/>
    <cellStyle name="_MOR-BDW_MOR - BDWY - 1+11_II.4. RawMaterials_BS retrieve" xfId="9339" xr:uid="{00000000-0005-0000-0000-00007A240000}"/>
    <cellStyle name="_MOR-BDW_MOR - BDWY - 1+11_II.4. RawMaterials_Free CF" xfId="9340" xr:uid="{00000000-0005-0000-0000-00007B240000}"/>
    <cellStyle name="_MOR-BDW_MOR - BDWY - 1+11_II.4. RawMaterials_P&amp;L Rec Qtr" xfId="9341" xr:uid="{00000000-0005-0000-0000-00007C240000}"/>
    <cellStyle name="_MOR-BDW_MOR - BDWY - 1+11_II.4. RawMaterials_Sheet1" xfId="9342" xr:uid="{00000000-0005-0000-0000-00007D240000}"/>
    <cellStyle name="_MOR-BDW_MOR - BDWY - 1+11_II.4. RawMaterials_Sheet2" xfId="9343" xr:uid="{00000000-0005-0000-0000-00007E240000}"/>
    <cellStyle name="_MOR-BDW_MOR - BDWY - 1+11_II.4. RawMaterials_Sheet3" xfId="9344" xr:uid="{00000000-0005-0000-0000-00007F240000}"/>
    <cellStyle name="_MOR-BDW_MOR - BDWY - 1+11_II.4. RawMaterials_Sheet4" xfId="9345" xr:uid="{00000000-0005-0000-0000-000080240000}"/>
    <cellStyle name="_MOR-BDW_MOR - BDWY - 1+11_II.5. RawMaterials" xfId="9346" xr:uid="{00000000-0005-0000-0000-000081240000}"/>
    <cellStyle name="_MOR-BDW_MOR - BDWY - 1+11_II.5. RawMaterials 2" xfId="9347" xr:uid="{00000000-0005-0000-0000-000082240000}"/>
    <cellStyle name="_MOR-BDW_MOR - BDWY - 1+11_II.5. RawMaterials_BS retrieve" xfId="9348" xr:uid="{00000000-0005-0000-0000-000083240000}"/>
    <cellStyle name="_MOR-BDW_MOR - BDWY - 1+11_II.5. RawMaterials_Free CF" xfId="9349" xr:uid="{00000000-0005-0000-0000-000084240000}"/>
    <cellStyle name="_MOR-BDW_MOR - BDWY - 1+11_II.5. RawMaterials_P&amp;L Rec Qtr" xfId="9350" xr:uid="{00000000-0005-0000-0000-000085240000}"/>
    <cellStyle name="_MOR-BDW_MOR - BDWY - 1+11_II.5. RawMaterials_Sheet1" xfId="9351" xr:uid="{00000000-0005-0000-0000-000086240000}"/>
    <cellStyle name="_MOR-BDW_MOR - BDWY - 1+11_II.5. RawMaterials_Sheet2" xfId="9352" xr:uid="{00000000-0005-0000-0000-000087240000}"/>
    <cellStyle name="_MOR-BDW_MOR - BDWY - 1+11_II.5. RawMaterials_Sheet3" xfId="9353" xr:uid="{00000000-0005-0000-0000-000088240000}"/>
    <cellStyle name="_MOR-BDW_MOR - BDWY - 1+11_II.5. RawMaterials_Sheet4" xfId="9354" xr:uid="{00000000-0005-0000-0000-000089240000}"/>
    <cellStyle name="_MOR-BDW_MOR - BDWY - 1+11_II.5. RM Volume Sensitivities" xfId="9355" xr:uid="{00000000-0005-0000-0000-00008A240000}"/>
    <cellStyle name="_MOR-BDW_MOR - BDWY - 1+11_II.5. RM Volume Sensitivities 2" xfId="9356" xr:uid="{00000000-0005-0000-0000-00008B240000}"/>
    <cellStyle name="_MOR-BDW_MOR - BDWY - 1+11_II.5. RM Volume Sensitivities_BS retrieve" xfId="9357" xr:uid="{00000000-0005-0000-0000-00008C240000}"/>
    <cellStyle name="_MOR-BDW_MOR - BDWY - 1+11_II.5. RM Volume Sensitivities_Free CF" xfId="9358" xr:uid="{00000000-0005-0000-0000-00008D240000}"/>
    <cellStyle name="_MOR-BDW_MOR - BDWY - 1+11_II.5. RM Volume Sensitivities_P&amp;L Rec Qtr" xfId="9359" xr:uid="{00000000-0005-0000-0000-00008E240000}"/>
    <cellStyle name="_MOR-BDW_MOR - BDWY - 1+11_II.5. RM Volume Sensitivities_Sheet1" xfId="9360" xr:uid="{00000000-0005-0000-0000-00008F240000}"/>
    <cellStyle name="_MOR-BDW_MOR - BDWY - 1+11_II.5. RM Volume Sensitivities_Sheet2" xfId="9361" xr:uid="{00000000-0005-0000-0000-000090240000}"/>
    <cellStyle name="_MOR-BDW_MOR - BDWY - 1+11_II.5. RM Volume Sensitivities_Sheet3" xfId="9362" xr:uid="{00000000-0005-0000-0000-000091240000}"/>
    <cellStyle name="_MOR-BDW_MOR - BDWY - 1+11_II.5. RM Volume Sensitivities_Sheet4" xfId="9363" xr:uid="{00000000-0005-0000-0000-000092240000}"/>
    <cellStyle name="_MOR-BDW_MOR - BDWY - 1+11_II.8. Sep&amp;Discrete" xfId="9364" xr:uid="{00000000-0005-0000-0000-000093240000}"/>
    <cellStyle name="_MOR-BDW_MOR - BDWY - 1+11_MOR - Australia -  EC - 1+11" xfId="9365" xr:uid="{00000000-0005-0000-0000-000094240000}"/>
    <cellStyle name="_MOR-BDW_MOR - BDWY - 1+11_MOR - Australia -  EC - 1+11_BS_Separation_TaxResIndem_Q12412 tf" xfId="9366" xr:uid="{00000000-0005-0000-0000-000095240000}"/>
    <cellStyle name="_MOR-BDW_MOR - BDWY - 1+11_MOR - Australia -  EC - 1+11_BS_Separation_TaxResIndem_Q12412 tf_Restructuring &amp; Separation" xfId="9367" xr:uid="{00000000-0005-0000-0000-000096240000}"/>
    <cellStyle name="_MOR-BDW_MOR - BDWY - 1+11_MOR - Australia -  EC - 1+11_By Country Detail 1Q10 041410pm FIN 18 revised per disc w Mary" xfId="9368" xr:uid="{00000000-0005-0000-0000-000097240000}"/>
    <cellStyle name="_MOR-BDW_MOR - BDWY - 1+11_MOR - Australia -  EC - 1+11_By Country Detail 1Q10 041410pm FIN 18 revised per disc w Mary_BS_Separation_TaxResIndem_Q12412 tf" xfId="9369" xr:uid="{00000000-0005-0000-0000-000098240000}"/>
    <cellStyle name="_MOR-BDW_MOR - BDWY - 1+11_MOR - Australia -  EC - 1+11_By Country Detail 1Q10 041410pm FIN 18 revised per disc w Mary_BS_Separation_TaxResIndem_Q12412 tf_Restructuring &amp; Separation" xfId="9370" xr:uid="{00000000-0005-0000-0000-000099240000}"/>
    <cellStyle name="_MOR-BDW_MOR - BDWY - 1+11_MOR - Australia -  EC - 1+11_By Country Detail 1Q10 041410pm FIN 18 revised per disc w Mary_II.8. Sep&amp;Discrete" xfId="9371" xr:uid="{00000000-0005-0000-0000-00009A240000}"/>
    <cellStyle name="_MOR-BDW_MOR - BDWY - 1+11_MOR - Australia -  EC - 1+11_By Country Detail 1Q10 041410pm FIN 18 revised per disc w Mary_Restructuring &amp; Separation" xfId="9372" xr:uid="{00000000-0005-0000-0000-00009B240000}"/>
    <cellStyle name="_MOR-BDW_MOR - BDWY - 1+11_MOR - Australia -  EC - 1+11_II.4. RawMaterials" xfId="9373" xr:uid="{00000000-0005-0000-0000-00009C240000}"/>
    <cellStyle name="_MOR-BDW_MOR - BDWY - 1+11_MOR - Australia -  EC - 1+11_II.4. RawMaterials 2" xfId="9374" xr:uid="{00000000-0005-0000-0000-00009D240000}"/>
    <cellStyle name="_MOR-BDW_MOR - BDWY - 1+11_MOR - Australia -  EC - 1+11_II.4. RawMaterials_BS retrieve" xfId="9375" xr:uid="{00000000-0005-0000-0000-00009E240000}"/>
    <cellStyle name="_MOR-BDW_MOR - BDWY - 1+11_MOR - Australia -  EC - 1+11_II.4. RawMaterials_Free CF" xfId="9376" xr:uid="{00000000-0005-0000-0000-00009F240000}"/>
    <cellStyle name="_MOR-BDW_MOR - BDWY - 1+11_MOR - Australia -  EC - 1+11_II.4. RawMaterials_P&amp;L Rec Qtr" xfId="9377" xr:uid="{00000000-0005-0000-0000-0000A0240000}"/>
    <cellStyle name="_MOR-BDW_MOR - BDWY - 1+11_MOR - Australia -  EC - 1+11_II.4. RawMaterials_Sheet1" xfId="9378" xr:uid="{00000000-0005-0000-0000-0000A1240000}"/>
    <cellStyle name="_MOR-BDW_MOR - BDWY - 1+11_MOR - Australia -  EC - 1+11_II.4. RawMaterials_Sheet2" xfId="9379" xr:uid="{00000000-0005-0000-0000-0000A2240000}"/>
    <cellStyle name="_MOR-BDW_MOR - BDWY - 1+11_MOR - Australia -  EC - 1+11_II.4. RawMaterials_Sheet3" xfId="9380" xr:uid="{00000000-0005-0000-0000-0000A3240000}"/>
    <cellStyle name="_MOR-BDW_MOR - BDWY - 1+11_MOR - Australia -  EC - 1+11_II.4. RawMaterials_Sheet4" xfId="9381" xr:uid="{00000000-0005-0000-0000-0000A4240000}"/>
    <cellStyle name="_MOR-BDW_MOR - BDWY - 1+11_MOR - Australia -  EC - 1+11_II.5. RawMaterials" xfId="9382" xr:uid="{00000000-0005-0000-0000-0000A5240000}"/>
    <cellStyle name="_MOR-BDW_MOR - BDWY - 1+11_MOR - Australia -  EC - 1+11_II.5. RawMaterials 2" xfId="9383" xr:uid="{00000000-0005-0000-0000-0000A6240000}"/>
    <cellStyle name="_MOR-BDW_MOR - BDWY - 1+11_MOR - Australia -  EC - 1+11_II.5. RawMaterials_BS retrieve" xfId="9384" xr:uid="{00000000-0005-0000-0000-0000A7240000}"/>
    <cellStyle name="_MOR-BDW_MOR - BDWY - 1+11_MOR - Australia -  EC - 1+11_II.5. RawMaterials_Free CF" xfId="9385" xr:uid="{00000000-0005-0000-0000-0000A8240000}"/>
    <cellStyle name="_MOR-BDW_MOR - BDWY - 1+11_MOR - Australia -  EC - 1+11_II.5. RawMaterials_P&amp;L Rec Qtr" xfId="9386" xr:uid="{00000000-0005-0000-0000-0000A9240000}"/>
    <cellStyle name="_MOR-BDW_MOR - BDWY - 1+11_MOR - Australia -  EC - 1+11_II.5. RawMaterials_Sheet1" xfId="9387" xr:uid="{00000000-0005-0000-0000-0000AA240000}"/>
    <cellStyle name="_MOR-BDW_MOR - BDWY - 1+11_MOR - Australia -  EC - 1+11_II.5. RawMaterials_Sheet2" xfId="9388" xr:uid="{00000000-0005-0000-0000-0000AB240000}"/>
    <cellStyle name="_MOR-BDW_MOR - BDWY - 1+11_MOR - Australia -  EC - 1+11_II.5. RawMaterials_Sheet3" xfId="9389" xr:uid="{00000000-0005-0000-0000-0000AC240000}"/>
    <cellStyle name="_MOR-BDW_MOR - BDWY - 1+11_MOR - Australia -  EC - 1+11_II.5. RawMaterials_Sheet4" xfId="9390" xr:uid="{00000000-0005-0000-0000-0000AD240000}"/>
    <cellStyle name="_MOR-BDW_MOR - BDWY - 1+11_MOR - Australia -  EC - 1+11_II.5. RM Volume Sensitivities" xfId="9391" xr:uid="{00000000-0005-0000-0000-0000AE240000}"/>
    <cellStyle name="_MOR-BDW_MOR - BDWY - 1+11_MOR - Australia -  EC - 1+11_II.5. RM Volume Sensitivities 2" xfId="9392" xr:uid="{00000000-0005-0000-0000-0000AF240000}"/>
    <cellStyle name="_MOR-BDW_MOR - BDWY - 1+11_MOR - Australia -  EC - 1+11_II.5. RM Volume Sensitivities_BS retrieve" xfId="9393" xr:uid="{00000000-0005-0000-0000-0000B0240000}"/>
    <cellStyle name="_MOR-BDW_MOR - BDWY - 1+11_MOR - Australia -  EC - 1+11_II.5. RM Volume Sensitivities_Free CF" xfId="9394" xr:uid="{00000000-0005-0000-0000-0000B1240000}"/>
    <cellStyle name="_MOR-BDW_MOR - BDWY - 1+11_MOR - Australia -  EC - 1+11_II.5. RM Volume Sensitivities_P&amp;L Rec Qtr" xfId="9395" xr:uid="{00000000-0005-0000-0000-0000B2240000}"/>
    <cellStyle name="_MOR-BDW_MOR - BDWY - 1+11_MOR - Australia -  EC - 1+11_II.5. RM Volume Sensitivities_Sheet1" xfId="9396" xr:uid="{00000000-0005-0000-0000-0000B3240000}"/>
    <cellStyle name="_MOR-BDW_MOR - BDWY - 1+11_MOR - Australia -  EC - 1+11_II.5. RM Volume Sensitivities_Sheet2" xfId="9397" xr:uid="{00000000-0005-0000-0000-0000B4240000}"/>
    <cellStyle name="_MOR-BDW_MOR - BDWY - 1+11_MOR - Australia -  EC - 1+11_II.5. RM Volume Sensitivities_Sheet3" xfId="9398" xr:uid="{00000000-0005-0000-0000-0000B5240000}"/>
    <cellStyle name="_MOR-BDW_MOR - BDWY - 1+11_MOR - Australia -  EC - 1+11_II.5. RM Volume Sensitivities_Sheet4" xfId="9399" xr:uid="{00000000-0005-0000-0000-0000B6240000}"/>
    <cellStyle name="_MOR-BDW_MOR - BDWY - 1+11_MOR - Australia -  EC - 1+11_II.8. Sep&amp;Discrete" xfId="9400" xr:uid="{00000000-0005-0000-0000-0000B7240000}"/>
    <cellStyle name="_MOR-BDW_MOR - BDWY - 1+11_MOR - Australia -  EC - 1+11_Restructuring &amp; Separation" xfId="9401" xr:uid="{00000000-0005-0000-0000-0000B8240000}"/>
    <cellStyle name="_MOR-BDW_MOR - BDWY - 1+11_MOR - Australia -  EC - 1+11_Restructuring_Separation_TAX_JuneFC2010 tf" xfId="9402" xr:uid="{00000000-0005-0000-0000-0000B9240000}"/>
    <cellStyle name="_MOR-BDW_MOR - BDWY - 1+11_MOR - Australia -  EC - 1+11_Restructuring_Separation_TAX_JuneFC2010 tf_BS_Separation_TaxResIndem_Q12412 tf" xfId="9403" xr:uid="{00000000-0005-0000-0000-0000BA240000}"/>
    <cellStyle name="_MOR-BDW_MOR - BDWY - 1+11_MOR - Australia -  EC - 1+11_Restructuring_Separation_TAX_JuneFC2010 tf_BS_Separation_TaxResIndem_Q12412 tf_Restructuring &amp; Separation" xfId="9404" xr:uid="{00000000-0005-0000-0000-0000BB240000}"/>
    <cellStyle name="_MOR-BDW_MOR - BDWY - 1+11_MOR - Australia -  EC - 1+11_Restructuring_Separation_TAX_JuneFC2010 tf_II.8. Sep&amp;Discrete" xfId="9405" xr:uid="{00000000-0005-0000-0000-0000BC240000}"/>
    <cellStyle name="_MOR-BDW_MOR - BDWY - 1+11_MOR - Australia -  EC - 1+11_Restructuring_Separation_TAX_JuneFC2010 tf_Restructuring &amp; Separation" xfId="9406" xr:uid="{00000000-0005-0000-0000-0000BD240000}"/>
    <cellStyle name="_MOR-BDW_MOR - BDWY - 1+11_MOR - Australia -  EC - 2+10" xfId="9407" xr:uid="{00000000-0005-0000-0000-0000BE240000}"/>
    <cellStyle name="_MOR-BDW_MOR - BDWY - 1+11_MOR - Australia -  EC - 2+10_BS_Separation_TaxResIndem_Q12412 tf" xfId="9408" xr:uid="{00000000-0005-0000-0000-0000BF240000}"/>
    <cellStyle name="_MOR-BDW_MOR - BDWY - 1+11_MOR - Australia -  EC - 2+10_BS_Separation_TaxResIndem_Q12412 tf_Restructuring &amp; Separation" xfId="9409" xr:uid="{00000000-0005-0000-0000-0000C0240000}"/>
    <cellStyle name="_MOR-BDW_MOR - BDWY - 1+11_MOR - Australia -  EC - 2+10_By Country Detail 1Q10 041410pm FIN 18 revised per disc w Mary" xfId="9410" xr:uid="{00000000-0005-0000-0000-0000C1240000}"/>
    <cellStyle name="_MOR-BDW_MOR - BDWY - 1+11_MOR - Australia -  EC - 2+10_By Country Detail 1Q10 041410pm FIN 18 revised per disc w Mary_BS_Separation_TaxResIndem_Q12412 tf" xfId="9411" xr:uid="{00000000-0005-0000-0000-0000C2240000}"/>
    <cellStyle name="_MOR-BDW_MOR - BDWY - 1+11_MOR - Australia -  EC - 2+10_By Country Detail 1Q10 041410pm FIN 18 revised per disc w Mary_BS_Separation_TaxResIndem_Q12412 tf_Restructuring &amp; Separation" xfId="9412" xr:uid="{00000000-0005-0000-0000-0000C3240000}"/>
    <cellStyle name="_MOR-BDW_MOR - BDWY - 1+11_MOR - Australia -  EC - 2+10_By Country Detail 1Q10 041410pm FIN 18 revised per disc w Mary_II.8. Sep&amp;Discrete" xfId="9413" xr:uid="{00000000-0005-0000-0000-0000C4240000}"/>
    <cellStyle name="_MOR-BDW_MOR - BDWY - 1+11_MOR - Australia -  EC - 2+10_By Country Detail 1Q10 041410pm FIN 18 revised per disc w Mary_Restructuring &amp; Separation" xfId="9414" xr:uid="{00000000-0005-0000-0000-0000C5240000}"/>
    <cellStyle name="_MOR-BDW_MOR - BDWY - 1+11_MOR - Australia -  EC - 2+10_II.4. RawMaterials" xfId="9415" xr:uid="{00000000-0005-0000-0000-0000C6240000}"/>
    <cellStyle name="_MOR-BDW_MOR - BDWY - 1+11_MOR - Australia -  EC - 2+10_II.4. RawMaterials 2" xfId="9416" xr:uid="{00000000-0005-0000-0000-0000C7240000}"/>
    <cellStyle name="_MOR-BDW_MOR - BDWY - 1+11_MOR - Australia -  EC - 2+10_II.4. RawMaterials_BS retrieve" xfId="9417" xr:uid="{00000000-0005-0000-0000-0000C8240000}"/>
    <cellStyle name="_MOR-BDW_MOR - BDWY - 1+11_MOR - Australia -  EC - 2+10_II.4. RawMaterials_Free CF" xfId="9418" xr:uid="{00000000-0005-0000-0000-0000C9240000}"/>
    <cellStyle name="_MOR-BDW_MOR - BDWY - 1+11_MOR - Australia -  EC - 2+10_II.4. RawMaterials_P&amp;L Rec Qtr" xfId="9419" xr:uid="{00000000-0005-0000-0000-0000CA240000}"/>
    <cellStyle name="_MOR-BDW_MOR - BDWY - 1+11_MOR - Australia -  EC - 2+10_II.4. RawMaterials_Sheet1" xfId="9420" xr:uid="{00000000-0005-0000-0000-0000CB240000}"/>
    <cellStyle name="_MOR-BDW_MOR - BDWY - 1+11_MOR - Australia -  EC - 2+10_II.4. RawMaterials_Sheet2" xfId="9421" xr:uid="{00000000-0005-0000-0000-0000CC240000}"/>
    <cellStyle name="_MOR-BDW_MOR - BDWY - 1+11_MOR - Australia -  EC - 2+10_II.4. RawMaterials_Sheet3" xfId="9422" xr:uid="{00000000-0005-0000-0000-0000CD240000}"/>
    <cellStyle name="_MOR-BDW_MOR - BDWY - 1+11_MOR - Australia -  EC - 2+10_II.4. RawMaterials_Sheet4" xfId="9423" xr:uid="{00000000-0005-0000-0000-0000CE240000}"/>
    <cellStyle name="_MOR-BDW_MOR - BDWY - 1+11_MOR - Australia -  EC - 2+10_II.5. RawMaterials" xfId="9424" xr:uid="{00000000-0005-0000-0000-0000CF240000}"/>
    <cellStyle name="_MOR-BDW_MOR - BDWY - 1+11_MOR - Australia -  EC - 2+10_II.5. RawMaterials 2" xfId="9425" xr:uid="{00000000-0005-0000-0000-0000D0240000}"/>
    <cellStyle name="_MOR-BDW_MOR - BDWY - 1+11_MOR - Australia -  EC - 2+10_II.5. RawMaterials_BS retrieve" xfId="9426" xr:uid="{00000000-0005-0000-0000-0000D1240000}"/>
    <cellStyle name="_MOR-BDW_MOR - BDWY - 1+11_MOR - Australia -  EC - 2+10_II.5. RawMaterials_Free CF" xfId="9427" xr:uid="{00000000-0005-0000-0000-0000D2240000}"/>
    <cellStyle name="_MOR-BDW_MOR - BDWY - 1+11_MOR - Australia -  EC - 2+10_II.5. RawMaterials_P&amp;L Rec Qtr" xfId="9428" xr:uid="{00000000-0005-0000-0000-0000D3240000}"/>
    <cellStyle name="_MOR-BDW_MOR - BDWY - 1+11_MOR - Australia -  EC - 2+10_II.5. RawMaterials_Sheet1" xfId="9429" xr:uid="{00000000-0005-0000-0000-0000D4240000}"/>
    <cellStyle name="_MOR-BDW_MOR - BDWY - 1+11_MOR - Australia -  EC - 2+10_II.5. RawMaterials_Sheet2" xfId="9430" xr:uid="{00000000-0005-0000-0000-0000D5240000}"/>
    <cellStyle name="_MOR-BDW_MOR - BDWY - 1+11_MOR - Australia -  EC - 2+10_II.5. RawMaterials_Sheet3" xfId="9431" xr:uid="{00000000-0005-0000-0000-0000D6240000}"/>
    <cellStyle name="_MOR-BDW_MOR - BDWY - 1+11_MOR - Australia -  EC - 2+10_II.5. RawMaterials_Sheet4" xfId="9432" xr:uid="{00000000-0005-0000-0000-0000D7240000}"/>
    <cellStyle name="_MOR-BDW_MOR - BDWY - 1+11_MOR - Australia -  EC - 2+10_II.5. RM Volume Sensitivities" xfId="9433" xr:uid="{00000000-0005-0000-0000-0000D8240000}"/>
    <cellStyle name="_MOR-BDW_MOR - BDWY - 1+11_MOR - Australia -  EC - 2+10_II.5. RM Volume Sensitivities 2" xfId="9434" xr:uid="{00000000-0005-0000-0000-0000D9240000}"/>
    <cellStyle name="_MOR-BDW_MOR - BDWY - 1+11_MOR - Australia -  EC - 2+10_II.5. RM Volume Sensitivities_BS retrieve" xfId="9435" xr:uid="{00000000-0005-0000-0000-0000DA240000}"/>
    <cellStyle name="_MOR-BDW_MOR - BDWY - 1+11_MOR - Australia -  EC - 2+10_II.5. RM Volume Sensitivities_Free CF" xfId="9436" xr:uid="{00000000-0005-0000-0000-0000DB240000}"/>
    <cellStyle name="_MOR-BDW_MOR - BDWY - 1+11_MOR - Australia -  EC - 2+10_II.5. RM Volume Sensitivities_P&amp;L Rec Qtr" xfId="9437" xr:uid="{00000000-0005-0000-0000-0000DC240000}"/>
    <cellStyle name="_MOR-BDW_MOR - BDWY - 1+11_MOR - Australia -  EC - 2+10_II.5. RM Volume Sensitivities_Sheet1" xfId="9438" xr:uid="{00000000-0005-0000-0000-0000DD240000}"/>
    <cellStyle name="_MOR-BDW_MOR - BDWY - 1+11_MOR - Australia -  EC - 2+10_II.5. RM Volume Sensitivities_Sheet2" xfId="9439" xr:uid="{00000000-0005-0000-0000-0000DE240000}"/>
    <cellStyle name="_MOR-BDW_MOR - BDWY - 1+11_MOR - Australia -  EC - 2+10_II.5. RM Volume Sensitivities_Sheet3" xfId="9440" xr:uid="{00000000-0005-0000-0000-0000DF240000}"/>
    <cellStyle name="_MOR-BDW_MOR - BDWY - 1+11_MOR - Australia -  EC - 2+10_II.5. RM Volume Sensitivities_Sheet4" xfId="9441" xr:uid="{00000000-0005-0000-0000-0000E0240000}"/>
    <cellStyle name="_MOR-BDW_MOR - BDWY - 1+11_MOR - Australia -  EC - 2+10_II.8. Sep&amp;Discrete" xfId="9442" xr:uid="{00000000-0005-0000-0000-0000E1240000}"/>
    <cellStyle name="_MOR-BDW_MOR - BDWY - 1+11_MOR - Australia -  EC - 2+10_Restructuring &amp; Separation" xfId="9443" xr:uid="{00000000-0005-0000-0000-0000E2240000}"/>
    <cellStyle name="_MOR-BDW_MOR - BDWY - 1+11_MOR - Australia -  EC - 2+10_Restructuring_Separation_TAX_JuneFC2010 tf" xfId="9444" xr:uid="{00000000-0005-0000-0000-0000E3240000}"/>
    <cellStyle name="_MOR-BDW_MOR - BDWY - 1+11_MOR - Australia -  EC - 2+10_Restructuring_Separation_TAX_JuneFC2010 tf_BS_Separation_TaxResIndem_Q12412 tf" xfId="9445" xr:uid="{00000000-0005-0000-0000-0000E4240000}"/>
    <cellStyle name="_MOR-BDW_MOR - BDWY - 1+11_MOR - Australia -  EC - 2+10_Restructuring_Separation_TAX_JuneFC2010 tf_BS_Separation_TaxResIndem_Q12412 tf_Restructuring &amp; Separation" xfId="9446" xr:uid="{00000000-0005-0000-0000-0000E5240000}"/>
    <cellStyle name="_MOR-BDW_MOR - BDWY - 1+11_MOR - Australia -  EC - 2+10_Restructuring_Separation_TAX_JuneFC2010 tf_II.8. Sep&amp;Discrete" xfId="9447" xr:uid="{00000000-0005-0000-0000-0000E6240000}"/>
    <cellStyle name="_MOR-BDW_MOR - BDWY - 1+11_MOR - Australia -  EC - 2+10_Restructuring_Separation_TAX_JuneFC2010 tf_Restructuring &amp; Separation" xfId="9448" xr:uid="{00000000-0005-0000-0000-0000E7240000}"/>
    <cellStyle name="_MOR-BDW_MOR - BDWY - 1+11_MOR - Australia -  EC - 3+9" xfId="9449" xr:uid="{00000000-0005-0000-0000-0000E8240000}"/>
    <cellStyle name="_MOR-BDW_MOR - BDWY - 1+11_MOR - Australia -  EC - 3+9_BS_Separation_TaxResIndem_Q12412 tf" xfId="9450" xr:uid="{00000000-0005-0000-0000-0000E9240000}"/>
    <cellStyle name="_MOR-BDW_MOR - BDWY - 1+11_MOR - Australia -  EC - 3+9_BS_Separation_TaxResIndem_Q12412 tf_Restructuring &amp; Separation" xfId="9451" xr:uid="{00000000-0005-0000-0000-0000EA240000}"/>
    <cellStyle name="_MOR-BDW_MOR - BDWY - 1+11_MOR - Australia -  EC - 3+9_By Country Detail 1Q10 041410pm FIN 18 revised per disc w Mary" xfId="9452" xr:uid="{00000000-0005-0000-0000-0000EB240000}"/>
    <cellStyle name="_MOR-BDW_MOR - BDWY - 1+11_MOR - Australia -  EC - 3+9_By Country Detail 1Q10 041410pm FIN 18 revised per disc w Mary_BS_Separation_TaxResIndem_Q12412 tf" xfId="9453" xr:uid="{00000000-0005-0000-0000-0000EC240000}"/>
    <cellStyle name="_MOR-BDW_MOR - BDWY - 1+11_MOR - Australia -  EC - 3+9_By Country Detail 1Q10 041410pm FIN 18 revised per disc w Mary_BS_Separation_TaxResIndem_Q12412 tf_Restructuring &amp; Separation" xfId="9454" xr:uid="{00000000-0005-0000-0000-0000ED240000}"/>
    <cellStyle name="_MOR-BDW_MOR - BDWY - 1+11_MOR - Australia -  EC - 3+9_By Country Detail 1Q10 041410pm FIN 18 revised per disc w Mary_II.8. Sep&amp;Discrete" xfId="9455" xr:uid="{00000000-0005-0000-0000-0000EE240000}"/>
    <cellStyle name="_MOR-BDW_MOR - BDWY - 1+11_MOR - Australia -  EC - 3+9_By Country Detail 1Q10 041410pm FIN 18 revised per disc w Mary_Restructuring &amp; Separation" xfId="9456" xr:uid="{00000000-0005-0000-0000-0000EF240000}"/>
    <cellStyle name="_MOR-BDW_MOR - BDWY - 1+11_MOR - Australia -  EC - 3+9_II.4. RawMaterials" xfId="9457" xr:uid="{00000000-0005-0000-0000-0000F0240000}"/>
    <cellStyle name="_MOR-BDW_MOR - BDWY - 1+11_MOR - Australia -  EC - 3+9_II.4. RawMaterials 2" xfId="9458" xr:uid="{00000000-0005-0000-0000-0000F1240000}"/>
    <cellStyle name="_MOR-BDW_MOR - BDWY - 1+11_MOR - Australia -  EC - 3+9_II.4. RawMaterials_BS retrieve" xfId="9459" xr:uid="{00000000-0005-0000-0000-0000F2240000}"/>
    <cellStyle name="_MOR-BDW_MOR - BDWY - 1+11_MOR - Australia -  EC - 3+9_II.4. RawMaterials_Free CF" xfId="9460" xr:uid="{00000000-0005-0000-0000-0000F3240000}"/>
    <cellStyle name="_MOR-BDW_MOR - BDWY - 1+11_MOR - Australia -  EC - 3+9_II.4. RawMaterials_P&amp;L Rec Qtr" xfId="9461" xr:uid="{00000000-0005-0000-0000-0000F4240000}"/>
    <cellStyle name="_MOR-BDW_MOR - BDWY - 1+11_MOR - Australia -  EC - 3+9_II.4. RawMaterials_Sheet1" xfId="9462" xr:uid="{00000000-0005-0000-0000-0000F5240000}"/>
    <cellStyle name="_MOR-BDW_MOR - BDWY - 1+11_MOR - Australia -  EC - 3+9_II.4. RawMaterials_Sheet2" xfId="9463" xr:uid="{00000000-0005-0000-0000-0000F6240000}"/>
    <cellStyle name="_MOR-BDW_MOR - BDWY - 1+11_MOR - Australia -  EC - 3+9_II.4. RawMaterials_Sheet3" xfId="9464" xr:uid="{00000000-0005-0000-0000-0000F7240000}"/>
    <cellStyle name="_MOR-BDW_MOR - BDWY - 1+11_MOR - Australia -  EC - 3+9_II.4. RawMaterials_Sheet4" xfId="9465" xr:uid="{00000000-0005-0000-0000-0000F8240000}"/>
    <cellStyle name="_MOR-BDW_MOR - BDWY - 1+11_MOR - Australia -  EC - 3+9_II.5. RawMaterials" xfId="9466" xr:uid="{00000000-0005-0000-0000-0000F9240000}"/>
    <cellStyle name="_MOR-BDW_MOR - BDWY - 1+11_MOR - Australia -  EC - 3+9_II.5. RawMaterials 2" xfId="9467" xr:uid="{00000000-0005-0000-0000-0000FA240000}"/>
    <cellStyle name="_MOR-BDW_MOR - BDWY - 1+11_MOR - Australia -  EC - 3+9_II.5. RawMaterials_BS retrieve" xfId="9468" xr:uid="{00000000-0005-0000-0000-0000FB240000}"/>
    <cellStyle name="_MOR-BDW_MOR - BDWY - 1+11_MOR - Australia -  EC - 3+9_II.5. RawMaterials_Free CF" xfId="9469" xr:uid="{00000000-0005-0000-0000-0000FC240000}"/>
    <cellStyle name="_MOR-BDW_MOR - BDWY - 1+11_MOR - Australia -  EC - 3+9_II.5. RawMaterials_P&amp;L Rec Qtr" xfId="9470" xr:uid="{00000000-0005-0000-0000-0000FD240000}"/>
    <cellStyle name="_MOR-BDW_MOR - BDWY - 1+11_MOR - Australia -  EC - 3+9_II.5. RawMaterials_Sheet1" xfId="9471" xr:uid="{00000000-0005-0000-0000-0000FE240000}"/>
    <cellStyle name="_MOR-BDW_MOR - BDWY - 1+11_MOR - Australia -  EC - 3+9_II.5. RawMaterials_Sheet2" xfId="9472" xr:uid="{00000000-0005-0000-0000-0000FF240000}"/>
    <cellStyle name="_MOR-BDW_MOR - BDWY - 1+11_MOR - Australia -  EC - 3+9_II.5. RawMaterials_Sheet3" xfId="9473" xr:uid="{00000000-0005-0000-0000-000000250000}"/>
    <cellStyle name="_MOR-BDW_MOR - BDWY - 1+11_MOR - Australia -  EC - 3+9_II.5. RawMaterials_Sheet4" xfId="9474" xr:uid="{00000000-0005-0000-0000-000001250000}"/>
    <cellStyle name="_MOR-BDW_MOR - BDWY - 1+11_MOR - Australia -  EC - 3+9_II.5. RM Volume Sensitivities" xfId="9475" xr:uid="{00000000-0005-0000-0000-000002250000}"/>
    <cellStyle name="_MOR-BDW_MOR - BDWY - 1+11_MOR - Australia -  EC - 3+9_II.5. RM Volume Sensitivities 2" xfId="9476" xr:uid="{00000000-0005-0000-0000-000003250000}"/>
    <cellStyle name="_MOR-BDW_MOR - BDWY - 1+11_MOR - Australia -  EC - 3+9_II.5. RM Volume Sensitivities_BS retrieve" xfId="9477" xr:uid="{00000000-0005-0000-0000-000004250000}"/>
    <cellStyle name="_MOR-BDW_MOR - BDWY - 1+11_MOR - Australia -  EC - 3+9_II.5. RM Volume Sensitivities_Free CF" xfId="9478" xr:uid="{00000000-0005-0000-0000-000005250000}"/>
    <cellStyle name="_MOR-BDW_MOR - BDWY - 1+11_MOR - Australia -  EC - 3+9_II.5. RM Volume Sensitivities_P&amp;L Rec Qtr" xfId="9479" xr:uid="{00000000-0005-0000-0000-000006250000}"/>
    <cellStyle name="_MOR-BDW_MOR - BDWY - 1+11_MOR - Australia -  EC - 3+9_II.5. RM Volume Sensitivities_Sheet1" xfId="9480" xr:uid="{00000000-0005-0000-0000-000007250000}"/>
    <cellStyle name="_MOR-BDW_MOR - BDWY - 1+11_MOR - Australia -  EC - 3+9_II.5. RM Volume Sensitivities_Sheet2" xfId="9481" xr:uid="{00000000-0005-0000-0000-000008250000}"/>
    <cellStyle name="_MOR-BDW_MOR - BDWY - 1+11_MOR - Australia -  EC - 3+9_II.5. RM Volume Sensitivities_Sheet3" xfId="9482" xr:uid="{00000000-0005-0000-0000-000009250000}"/>
    <cellStyle name="_MOR-BDW_MOR - BDWY - 1+11_MOR - Australia -  EC - 3+9_II.5. RM Volume Sensitivities_Sheet4" xfId="9483" xr:uid="{00000000-0005-0000-0000-00000A250000}"/>
    <cellStyle name="_MOR-BDW_MOR - BDWY - 1+11_MOR - Australia -  EC - 3+9_II.8. Sep&amp;Discrete" xfId="9484" xr:uid="{00000000-0005-0000-0000-00000B250000}"/>
    <cellStyle name="_MOR-BDW_MOR - BDWY - 1+11_MOR - Australia -  EC - 3+9_Restructuring &amp; Separation" xfId="9485" xr:uid="{00000000-0005-0000-0000-00000C250000}"/>
    <cellStyle name="_MOR-BDW_MOR - BDWY - 1+11_MOR - Australia -  EC - 3+9_Restructuring_Separation_TAX_JuneFC2010 tf" xfId="9486" xr:uid="{00000000-0005-0000-0000-00000D250000}"/>
    <cellStyle name="_MOR-BDW_MOR - BDWY - 1+11_MOR - Australia -  EC - 3+9_Restructuring_Separation_TAX_JuneFC2010 tf_BS_Separation_TaxResIndem_Q12412 tf" xfId="9487" xr:uid="{00000000-0005-0000-0000-00000E250000}"/>
    <cellStyle name="_MOR-BDW_MOR - BDWY - 1+11_MOR - Australia -  EC - 3+9_Restructuring_Separation_TAX_JuneFC2010 tf_BS_Separation_TaxResIndem_Q12412 tf_Restructuring &amp; Separation" xfId="9488" xr:uid="{00000000-0005-0000-0000-00000F250000}"/>
    <cellStyle name="_MOR-BDW_MOR - BDWY - 1+11_MOR - Australia -  EC - 3+9_Restructuring_Separation_TAX_JuneFC2010 tf_II.8. Sep&amp;Discrete" xfId="9489" xr:uid="{00000000-0005-0000-0000-000010250000}"/>
    <cellStyle name="_MOR-BDW_MOR - BDWY - 1+11_MOR - Australia -  EC - 3+9_Restructuring_Separation_TAX_JuneFC2010 tf_Restructuring &amp; Separation" xfId="9490" xr:uid="{00000000-0005-0000-0000-000011250000}"/>
    <cellStyle name="_MOR-BDW_MOR - BDWY - 1+11_MOR - Australia -  EC - 4+8" xfId="9491" xr:uid="{00000000-0005-0000-0000-000012250000}"/>
    <cellStyle name="_MOR-BDW_MOR - BDWY - 1+11_MOR - Australia -  EC - 4+8_BS_Separation_TaxResIndem_Q12412 tf" xfId="9492" xr:uid="{00000000-0005-0000-0000-000013250000}"/>
    <cellStyle name="_MOR-BDW_MOR - BDWY - 1+11_MOR - Australia -  EC - 4+8_BS_Separation_TaxResIndem_Q12412 tf_Restructuring &amp; Separation" xfId="9493" xr:uid="{00000000-0005-0000-0000-000014250000}"/>
    <cellStyle name="_MOR-BDW_MOR - BDWY - 1+11_MOR - Australia -  EC - 4+8_By Country Detail 1Q10 041410pm FIN 18 revised per disc w Mary" xfId="9494" xr:uid="{00000000-0005-0000-0000-000015250000}"/>
    <cellStyle name="_MOR-BDW_MOR - BDWY - 1+11_MOR - Australia -  EC - 4+8_By Country Detail 1Q10 041410pm FIN 18 revised per disc w Mary_BS_Separation_TaxResIndem_Q12412 tf" xfId="9495" xr:uid="{00000000-0005-0000-0000-000016250000}"/>
    <cellStyle name="_MOR-BDW_MOR - BDWY - 1+11_MOR - Australia -  EC - 4+8_By Country Detail 1Q10 041410pm FIN 18 revised per disc w Mary_BS_Separation_TaxResIndem_Q12412 tf_Restructuring &amp; Separation" xfId="9496" xr:uid="{00000000-0005-0000-0000-000017250000}"/>
    <cellStyle name="_MOR-BDW_MOR - BDWY - 1+11_MOR - Australia -  EC - 4+8_By Country Detail 1Q10 041410pm FIN 18 revised per disc w Mary_II.8. Sep&amp;Discrete" xfId="9497" xr:uid="{00000000-0005-0000-0000-000018250000}"/>
    <cellStyle name="_MOR-BDW_MOR - BDWY - 1+11_MOR - Australia -  EC - 4+8_By Country Detail 1Q10 041410pm FIN 18 revised per disc w Mary_Restructuring &amp; Separation" xfId="9498" xr:uid="{00000000-0005-0000-0000-000019250000}"/>
    <cellStyle name="_MOR-BDW_MOR - BDWY - 1+11_MOR - Australia -  EC - 4+8_II.4. RawMaterials" xfId="9499" xr:uid="{00000000-0005-0000-0000-00001A250000}"/>
    <cellStyle name="_MOR-BDW_MOR - BDWY - 1+11_MOR - Australia -  EC - 4+8_II.4. RawMaterials 2" xfId="9500" xr:uid="{00000000-0005-0000-0000-00001B250000}"/>
    <cellStyle name="_MOR-BDW_MOR - BDWY - 1+11_MOR - Australia -  EC - 4+8_II.4. RawMaterials_BS retrieve" xfId="9501" xr:uid="{00000000-0005-0000-0000-00001C250000}"/>
    <cellStyle name="_MOR-BDW_MOR - BDWY - 1+11_MOR - Australia -  EC - 4+8_II.4. RawMaterials_Free CF" xfId="9502" xr:uid="{00000000-0005-0000-0000-00001D250000}"/>
    <cellStyle name="_MOR-BDW_MOR - BDWY - 1+11_MOR - Australia -  EC - 4+8_II.4. RawMaterials_P&amp;L Rec Qtr" xfId="9503" xr:uid="{00000000-0005-0000-0000-00001E250000}"/>
    <cellStyle name="_MOR-BDW_MOR - BDWY - 1+11_MOR - Australia -  EC - 4+8_II.4. RawMaterials_Sheet1" xfId="9504" xr:uid="{00000000-0005-0000-0000-00001F250000}"/>
    <cellStyle name="_MOR-BDW_MOR - BDWY - 1+11_MOR - Australia -  EC - 4+8_II.4. RawMaterials_Sheet2" xfId="9505" xr:uid="{00000000-0005-0000-0000-000020250000}"/>
    <cellStyle name="_MOR-BDW_MOR - BDWY - 1+11_MOR - Australia -  EC - 4+8_II.4. RawMaterials_Sheet3" xfId="9506" xr:uid="{00000000-0005-0000-0000-000021250000}"/>
    <cellStyle name="_MOR-BDW_MOR - BDWY - 1+11_MOR - Australia -  EC - 4+8_II.4. RawMaterials_Sheet4" xfId="9507" xr:uid="{00000000-0005-0000-0000-000022250000}"/>
    <cellStyle name="_MOR-BDW_MOR - BDWY - 1+11_MOR - Australia -  EC - 4+8_II.5. RawMaterials" xfId="9508" xr:uid="{00000000-0005-0000-0000-000023250000}"/>
    <cellStyle name="_MOR-BDW_MOR - BDWY - 1+11_MOR - Australia -  EC - 4+8_II.5. RawMaterials 2" xfId="9509" xr:uid="{00000000-0005-0000-0000-000024250000}"/>
    <cellStyle name="_MOR-BDW_MOR - BDWY - 1+11_MOR - Australia -  EC - 4+8_II.5. RawMaterials_BS retrieve" xfId="9510" xr:uid="{00000000-0005-0000-0000-000025250000}"/>
    <cellStyle name="_MOR-BDW_MOR - BDWY - 1+11_MOR - Australia -  EC - 4+8_II.5. RawMaterials_Free CF" xfId="9511" xr:uid="{00000000-0005-0000-0000-000026250000}"/>
    <cellStyle name="_MOR-BDW_MOR - BDWY - 1+11_MOR - Australia -  EC - 4+8_II.5. RawMaterials_P&amp;L Rec Qtr" xfId="9512" xr:uid="{00000000-0005-0000-0000-000027250000}"/>
    <cellStyle name="_MOR-BDW_MOR - BDWY - 1+11_MOR - Australia -  EC - 4+8_II.5. RawMaterials_Sheet1" xfId="9513" xr:uid="{00000000-0005-0000-0000-000028250000}"/>
    <cellStyle name="_MOR-BDW_MOR - BDWY - 1+11_MOR - Australia -  EC - 4+8_II.5. RawMaterials_Sheet2" xfId="9514" xr:uid="{00000000-0005-0000-0000-000029250000}"/>
    <cellStyle name="_MOR-BDW_MOR - BDWY - 1+11_MOR - Australia -  EC - 4+8_II.5. RawMaterials_Sheet3" xfId="9515" xr:uid="{00000000-0005-0000-0000-00002A250000}"/>
    <cellStyle name="_MOR-BDW_MOR - BDWY - 1+11_MOR - Australia -  EC - 4+8_II.5. RawMaterials_Sheet4" xfId="9516" xr:uid="{00000000-0005-0000-0000-00002B250000}"/>
    <cellStyle name="_MOR-BDW_MOR - BDWY - 1+11_MOR - Australia -  EC - 4+8_II.5. RM Volume Sensitivities" xfId="9517" xr:uid="{00000000-0005-0000-0000-00002C250000}"/>
    <cellStyle name="_MOR-BDW_MOR - BDWY - 1+11_MOR - Australia -  EC - 4+8_II.5. RM Volume Sensitivities 2" xfId="9518" xr:uid="{00000000-0005-0000-0000-00002D250000}"/>
    <cellStyle name="_MOR-BDW_MOR - BDWY - 1+11_MOR - Australia -  EC - 4+8_II.5. RM Volume Sensitivities_BS retrieve" xfId="9519" xr:uid="{00000000-0005-0000-0000-00002E250000}"/>
    <cellStyle name="_MOR-BDW_MOR - BDWY - 1+11_MOR - Australia -  EC - 4+8_II.5. RM Volume Sensitivities_Free CF" xfId="9520" xr:uid="{00000000-0005-0000-0000-00002F250000}"/>
    <cellStyle name="_MOR-BDW_MOR - BDWY - 1+11_MOR - Australia -  EC - 4+8_II.5. RM Volume Sensitivities_P&amp;L Rec Qtr" xfId="9521" xr:uid="{00000000-0005-0000-0000-000030250000}"/>
    <cellStyle name="_MOR-BDW_MOR - BDWY - 1+11_MOR - Australia -  EC - 4+8_II.5. RM Volume Sensitivities_Sheet1" xfId="9522" xr:uid="{00000000-0005-0000-0000-000031250000}"/>
    <cellStyle name="_MOR-BDW_MOR - BDWY - 1+11_MOR - Australia -  EC - 4+8_II.5. RM Volume Sensitivities_Sheet2" xfId="9523" xr:uid="{00000000-0005-0000-0000-000032250000}"/>
    <cellStyle name="_MOR-BDW_MOR - BDWY - 1+11_MOR - Australia -  EC - 4+8_II.5. RM Volume Sensitivities_Sheet3" xfId="9524" xr:uid="{00000000-0005-0000-0000-000033250000}"/>
    <cellStyle name="_MOR-BDW_MOR - BDWY - 1+11_MOR - Australia -  EC - 4+8_II.5. RM Volume Sensitivities_Sheet4" xfId="9525" xr:uid="{00000000-0005-0000-0000-000034250000}"/>
    <cellStyle name="_MOR-BDW_MOR - BDWY - 1+11_MOR - Australia -  EC - 4+8_II.8. Sep&amp;Discrete" xfId="9526" xr:uid="{00000000-0005-0000-0000-000035250000}"/>
    <cellStyle name="_MOR-BDW_MOR - BDWY - 1+11_MOR - Australia -  EC - 4+8_Restructuring &amp; Separation" xfId="9527" xr:uid="{00000000-0005-0000-0000-000036250000}"/>
    <cellStyle name="_MOR-BDW_MOR - BDWY - 1+11_MOR - Australia -  EC - 4+8_Restructuring_Separation_TAX_JuneFC2010 tf" xfId="9528" xr:uid="{00000000-0005-0000-0000-000037250000}"/>
    <cellStyle name="_MOR-BDW_MOR - BDWY - 1+11_MOR - Australia -  EC - 4+8_Restructuring_Separation_TAX_JuneFC2010 tf_BS_Separation_TaxResIndem_Q12412 tf" xfId="9529" xr:uid="{00000000-0005-0000-0000-000038250000}"/>
    <cellStyle name="_MOR-BDW_MOR - BDWY - 1+11_MOR - Australia -  EC - 4+8_Restructuring_Separation_TAX_JuneFC2010 tf_BS_Separation_TaxResIndem_Q12412 tf_Restructuring &amp; Separation" xfId="9530" xr:uid="{00000000-0005-0000-0000-000039250000}"/>
    <cellStyle name="_MOR-BDW_MOR - BDWY - 1+11_MOR - Australia -  EC - 4+8_Restructuring_Separation_TAX_JuneFC2010 tf_II.8. Sep&amp;Discrete" xfId="9531" xr:uid="{00000000-0005-0000-0000-00003A250000}"/>
    <cellStyle name="_MOR-BDW_MOR - BDWY - 1+11_MOR - Australia -  EC - 4+8_Restructuring_Separation_TAX_JuneFC2010 tf_Restructuring &amp; Separation" xfId="9532" xr:uid="{00000000-0005-0000-0000-00003B250000}"/>
    <cellStyle name="_MOR-BDW_MOR - BDWY - 1+11_MOR - Gurgaon - 3+9(R)" xfId="9533" xr:uid="{00000000-0005-0000-0000-00003C250000}"/>
    <cellStyle name="_MOR-BDW_MOR - BDWY - 1+11_MOR - Gurgaon - 3+9(R)_BS_Separation_TaxResIndem_Q12412 tf" xfId="9534" xr:uid="{00000000-0005-0000-0000-00003D250000}"/>
    <cellStyle name="_MOR-BDW_MOR - BDWY - 1+11_MOR - Gurgaon - 3+9(R)_BS_Separation_TaxResIndem_Q12412 tf_Restructuring &amp; Separation" xfId="9535" xr:uid="{00000000-0005-0000-0000-00003E250000}"/>
    <cellStyle name="_MOR-BDW_MOR - BDWY - 1+11_MOR - Gurgaon - 3+9(R)_By Country Detail 1Q10 041410pm FIN 18 revised per disc w Mary" xfId="9536" xr:uid="{00000000-0005-0000-0000-00003F250000}"/>
    <cellStyle name="_MOR-BDW_MOR - BDWY - 1+11_MOR - Gurgaon - 3+9(R)_By Country Detail 1Q10 041410pm FIN 18 revised per disc w Mary_BS_Separation_TaxResIndem_Q12412 tf" xfId="9537" xr:uid="{00000000-0005-0000-0000-000040250000}"/>
    <cellStyle name="_MOR-BDW_MOR - BDWY - 1+11_MOR - Gurgaon - 3+9(R)_By Country Detail 1Q10 041410pm FIN 18 revised per disc w Mary_BS_Separation_TaxResIndem_Q12412 tf_Restructuring &amp; Separation" xfId="9538" xr:uid="{00000000-0005-0000-0000-000041250000}"/>
    <cellStyle name="_MOR-BDW_MOR - BDWY - 1+11_MOR - Gurgaon - 3+9(R)_By Country Detail 1Q10 041410pm FIN 18 revised per disc w Mary_II.8. Sep&amp;Discrete" xfId="9539" xr:uid="{00000000-0005-0000-0000-000042250000}"/>
    <cellStyle name="_MOR-BDW_MOR - BDWY - 1+11_MOR - Gurgaon - 3+9(R)_By Country Detail 1Q10 041410pm FIN 18 revised per disc w Mary_Restructuring &amp; Separation" xfId="9540" xr:uid="{00000000-0005-0000-0000-000043250000}"/>
    <cellStyle name="_MOR-BDW_MOR - BDWY - 1+11_MOR - Gurgaon - 3+9(R)_II.4. RawMaterials" xfId="9541" xr:uid="{00000000-0005-0000-0000-000044250000}"/>
    <cellStyle name="_MOR-BDW_MOR - BDWY - 1+11_MOR - Gurgaon - 3+9(R)_II.4. RawMaterials 2" xfId="9542" xr:uid="{00000000-0005-0000-0000-000045250000}"/>
    <cellStyle name="_MOR-BDW_MOR - BDWY - 1+11_MOR - Gurgaon - 3+9(R)_II.4. RawMaterials_BS retrieve" xfId="9543" xr:uid="{00000000-0005-0000-0000-000046250000}"/>
    <cellStyle name="_MOR-BDW_MOR - BDWY - 1+11_MOR - Gurgaon - 3+9(R)_II.4. RawMaterials_Free CF" xfId="9544" xr:uid="{00000000-0005-0000-0000-000047250000}"/>
    <cellStyle name="_MOR-BDW_MOR - BDWY - 1+11_MOR - Gurgaon - 3+9(R)_II.4. RawMaterials_P&amp;L Rec Qtr" xfId="9545" xr:uid="{00000000-0005-0000-0000-000048250000}"/>
    <cellStyle name="_MOR-BDW_MOR - BDWY - 1+11_MOR - Gurgaon - 3+9(R)_II.4. RawMaterials_Sheet1" xfId="9546" xr:uid="{00000000-0005-0000-0000-000049250000}"/>
    <cellStyle name="_MOR-BDW_MOR - BDWY - 1+11_MOR - Gurgaon - 3+9(R)_II.4. RawMaterials_Sheet2" xfId="9547" xr:uid="{00000000-0005-0000-0000-00004A250000}"/>
    <cellStyle name="_MOR-BDW_MOR - BDWY - 1+11_MOR - Gurgaon - 3+9(R)_II.4. RawMaterials_Sheet3" xfId="9548" xr:uid="{00000000-0005-0000-0000-00004B250000}"/>
    <cellStyle name="_MOR-BDW_MOR - BDWY - 1+11_MOR - Gurgaon - 3+9(R)_II.4. RawMaterials_Sheet4" xfId="9549" xr:uid="{00000000-0005-0000-0000-00004C250000}"/>
    <cellStyle name="_MOR-BDW_MOR - BDWY - 1+11_MOR - Gurgaon - 3+9(R)_II.5. RawMaterials" xfId="9550" xr:uid="{00000000-0005-0000-0000-00004D250000}"/>
    <cellStyle name="_MOR-BDW_MOR - BDWY - 1+11_MOR - Gurgaon - 3+9(R)_II.5. RawMaterials 2" xfId="9551" xr:uid="{00000000-0005-0000-0000-00004E250000}"/>
    <cellStyle name="_MOR-BDW_MOR - BDWY - 1+11_MOR - Gurgaon - 3+9(R)_II.5. RawMaterials_BS retrieve" xfId="9552" xr:uid="{00000000-0005-0000-0000-00004F250000}"/>
    <cellStyle name="_MOR-BDW_MOR - BDWY - 1+11_MOR - Gurgaon - 3+9(R)_II.5. RawMaterials_Free CF" xfId="9553" xr:uid="{00000000-0005-0000-0000-000050250000}"/>
    <cellStyle name="_MOR-BDW_MOR - BDWY - 1+11_MOR - Gurgaon - 3+9(R)_II.5. RawMaterials_P&amp;L Rec Qtr" xfId="9554" xr:uid="{00000000-0005-0000-0000-000051250000}"/>
    <cellStyle name="_MOR-BDW_MOR - BDWY - 1+11_MOR - Gurgaon - 3+9(R)_II.5. RawMaterials_Sheet1" xfId="9555" xr:uid="{00000000-0005-0000-0000-000052250000}"/>
    <cellStyle name="_MOR-BDW_MOR - BDWY - 1+11_MOR - Gurgaon - 3+9(R)_II.5. RawMaterials_Sheet2" xfId="9556" xr:uid="{00000000-0005-0000-0000-000053250000}"/>
    <cellStyle name="_MOR-BDW_MOR - BDWY - 1+11_MOR - Gurgaon - 3+9(R)_II.5. RawMaterials_Sheet3" xfId="9557" xr:uid="{00000000-0005-0000-0000-000054250000}"/>
    <cellStyle name="_MOR-BDW_MOR - BDWY - 1+11_MOR - Gurgaon - 3+9(R)_II.5. RawMaterials_Sheet4" xfId="9558" xr:uid="{00000000-0005-0000-0000-000055250000}"/>
    <cellStyle name="_MOR-BDW_MOR - BDWY - 1+11_MOR - Gurgaon - 3+9(R)_II.5. RM Volume Sensitivities" xfId="9559" xr:uid="{00000000-0005-0000-0000-000056250000}"/>
    <cellStyle name="_MOR-BDW_MOR - BDWY - 1+11_MOR - Gurgaon - 3+9(R)_II.5. RM Volume Sensitivities 2" xfId="9560" xr:uid="{00000000-0005-0000-0000-000057250000}"/>
    <cellStyle name="_MOR-BDW_MOR - BDWY - 1+11_MOR - Gurgaon - 3+9(R)_II.5. RM Volume Sensitivities_BS retrieve" xfId="9561" xr:uid="{00000000-0005-0000-0000-000058250000}"/>
    <cellStyle name="_MOR-BDW_MOR - BDWY - 1+11_MOR - Gurgaon - 3+9(R)_II.5. RM Volume Sensitivities_Free CF" xfId="9562" xr:uid="{00000000-0005-0000-0000-000059250000}"/>
    <cellStyle name="_MOR-BDW_MOR - BDWY - 1+11_MOR - Gurgaon - 3+9(R)_II.5. RM Volume Sensitivities_P&amp;L Rec Qtr" xfId="9563" xr:uid="{00000000-0005-0000-0000-00005A250000}"/>
    <cellStyle name="_MOR-BDW_MOR - BDWY - 1+11_MOR - Gurgaon - 3+9(R)_II.5. RM Volume Sensitivities_Sheet1" xfId="9564" xr:uid="{00000000-0005-0000-0000-00005B250000}"/>
    <cellStyle name="_MOR-BDW_MOR - BDWY - 1+11_MOR - Gurgaon - 3+9(R)_II.5. RM Volume Sensitivities_Sheet2" xfId="9565" xr:uid="{00000000-0005-0000-0000-00005C250000}"/>
    <cellStyle name="_MOR-BDW_MOR - BDWY - 1+11_MOR - Gurgaon - 3+9(R)_II.5. RM Volume Sensitivities_Sheet3" xfId="9566" xr:uid="{00000000-0005-0000-0000-00005D250000}"/>
    <cellStyle name="_MOR-BDW_MOR - BDWY - 1+11_MOR - Gurgaon - 3+9(R)_II.5. RM Volume Sensitivities_Sheet4" xfId="9567" xr:uid="{00000000-0005-0000-0000-00005E250000}"/>
    <cellStyle name="_MOR-BDW_MOR - BDWY - 1+11_MOR - Gurgaon - 3+9(R)_II.8. Sep&amp;Discrete" xfId="9568" xr:uid="{00000000-0005-0000-0000-00005F250000}"/>
    <cellStyle name="_MOR-BDW_MOR - BDWY - 1+11_MOR - Gurgaon - 3+9(R)_MOR - Revised Package" xfId="9569" xr:uid="{00000000-0005-0000-0000-000060250000}"/>
    <cellStyle name="_MOR-BDW_MOR - BDWY - 1+11_MOR - Gurgaon - 3+9(R)_MOR - Revised Package_~0039877" xfId="9570" xr:uid="{00000000-0005-0000-0000-000061250000}"/>
    <cellStyle name="_MOR-BDW_MOR - BDWY - 1+11_MOR - Gurgaon - 3+9(R)_MOR - Revised Package_~0039877_BS_Separation_TaxResIndem_Q12412 tf" xfId="9571" xr:uid="{00000000-0005-0000-0000-000062250000}"/>
    <cellStyle name="_MOR-BDW_MOR - BDWY - 1+11_MOR - Gurgaon - 3+9(R)_MOR - Revised Package_~0039877_BS_Separation_TaxResIndem_Q12412 tf_Restructuring &amp; Separation" xfId="9572" xr:uid="{00000000-0005-0000-0000-000063250000}"/>
    <cellStyle name="_MOR-BDW_MOR - BDWY - 1+11_MOR - Gurgaon - 3+9(R)_MOR - Revised Package_~0039877_By Country Detail 1Q10 041410pm FIN 18 revised per disc w Mary" xfId="9573" xr:uid="{00000000-0005-0000-0000-000064250000}"/>
    <cellStyle name="_MOR-BDW_MOR - BDWY - 1+11_MOR - Gurgaon - 3+9(R)_MOR - Revised Package_~0039877_By Country Detail 1Q10 041410pm FIN 18 revised per disc w Mary_BS_Separation_TaxResIndem_Q12412 tf" xfId="9574" xr:uid="{00000000-0005-0000-0000-000065250000}"/>
    <cellStyle name="_MOR-BDW_MOR - BDWY - 1+11_MOR - Gurgaon - 3+9(R)_MOR - Revised Package_~0039877_By Country Detail 1Q10 041410pm FIN 18 revised per disc w Mary_BS_Separation_TaxResIndem_Q12412 tf_Restructuring &amp; Separation" xfId="9575" xr:uid="{00000000-0005-0000-0000-000066250000}"/>
    <cellStyle name="_MOR-BDW_MOR - BDWY - 1+11_MOR - Gurgaon - 3+9(R)_MOR - Revised Package_~0039877_By Country Detail 1Q10 041410pm FIN 18 revised per disc w Mary_II.8. Sep&amp;Discrete" xfId="9576" xr:uid="{00000000-0005-0000-0000-000067250000}"/>
    <cellStyle name="_MOR-BDW_MOR - BDWY - 1+11_MOR - Gurgaon - 3+9(R)_MOR - Revised Package_~0039877_By Country Detail 1Q10 041410pm FIN 18 revised per disc w Mary_Restructuring &amp; Separation" xfId="9577" xr:uid="{00000000-0005-0000-0000-000068250000}"/>
    <cellStyle name="_MOR-BDW_MOR - BDWY - 1+11_MOR - Gurgaon - 3+9(R)_MOR - Revised Package_~0039877_II.4. RawMaterials" xfId="9578" xr:uid="{00000000-0005-0000-0000-000069250000}"/>
    <cellStyle name="_MOR-BDW_MOR - BDWY - 1+11_MOR - Gurgaon - 3+9(R)_MOR - Revised Package_~0039877_II.4. RawMaterials 2" xfId="9579" xr:uid="{00000000-0005-0000-0000-00006A250000}"/>
    <cellStyle name="_MOR-BDW_MOR - BDWY - 1+11_MOR - Gurgaon - 3+9(R)_MOR - Revised Package_~0039877_II.4. RawMaterials_BS retrieve" xfId="9580" xr:uid="{00000000-0005-0000-0000-00006B250000}"/>
    <cellStyle name="_MOR-BDW_MOR - BDWY - 1+11_MOR - Gurgaon - 3+9(R)_MOR - Revised Package_~0039877_II.4. RawMaterials_Free CF" xfId="9581" xr:uid="{00000000-0005-0000-0000-00006C250000}"/>
    <cellStyle name="_MOR-BDW_MOR - BDWY - 1+11_MOR - Gurgaon - 3+9(R)_MOR - Revised Package_~0039877_II.4. RawMaterials_P&amp;L Rec Qtr" xfId="9582" xr:uid="{00000000-0005-0000-0000-00006D250000}"/>
    <cellStyle name="_MOR-BDW_MOR - BDWY - 1+11_MOR - Gurgaon - 3+9(R)_MOR - Revised Package_~0039877_II.4. RawMaterials_Sheet1" xfId="9583" xr:uid="{00000000-0005-0000-0000-00006E250000}"/>
    <cellStyle name="_MOR-BDW_MOR - BDWY - 1+11_MOR - Gurgaon - 3+9(R)_MOR - Revised Package_~0039877_II.4. RawMaterials_Sheet2" xfId="9584" xr:uid="{00000000-0005-0000-0000-00006F250000}"/>
    <cellStyle name="_MOR-BDW_MOR - BDWY - 1+11_MOR - Gurgaon - 3+9(R)_MOR - Revised Package_~0039877_II.4. RawMaterials_Sheet3" xfId="9585" xr:uid="{00000000-0005-0000-0000-000070250000}"/>
    <cellStyle name="_MOR-BDW_MOR - BDWY - 1+11_MOR - Gurgaon - 3+9(R)_MOR - Revised Package_~0039877_II.4. RawMaterials_Sheet4" xfId="9586" xr:uid="{00000000-0005-0000-0000-000071250000}"/>
    <cellStyle name="_MOR-BDW_MOR - BDWY - 1+11_MOR - Gurgaon - 3+9(R)_MOR - Revised Package_~0039877_II.5. RawMaterials" xfId="9587" xr:uid="{00000000-0005-0000-0000-000072250000}"/>
    <cellStyle name="_MOR-BDW_MOR - BDWY - 1+11_MOR - Gurgaon - 3+9(R)_MOR - Revised Package_~0039877_II.5. RawMaterials 2" xfId="9588" xr:uid="{00000000-0005-0000-0000-000073250000}"/>
    <cellStyle name="_MOR-BDW_MOR - BDWY - 1+11_MOR - Gurgaon - 3+9(R)_MOR - Revised Package_~0039877_II.5. RawMaterials_BS retrieve" xfId="9589" xr:uid="{00000000-0005-0000-0000-000074250000}"/>
    <cellStyle name="_MOR-BDW_MOR - BDWY - 1+11_MOR - Gurgaon - 3+9(R)_MOR - Revised Package_~0039877_II.5. RawMaterials_Free CF" xfId="9590" xr:uid="{00000000-0005-0000-0000-000075250000}"/>
    <cellStyle name="_MOR-BDW_MOR - BDWY - 1+11_MOR - Gurgaon - 3+9(R)_MOR - Revised Package_~0039877_II.5. RawMaterials_P&amp;L Rec Qtr" xfId="9591" xr:uid="{00000000-0005-0000-0000-000076250000}"/>
    <cellStyle name="_MOR-BDW_MOR - BDWY - 1+11_MOR - Gurgaon - 3+9(R)_MOR - Revised Package_~0039877_II.5. RawMaterials_Sheet1" xfId="9592" xr:uid="{00000000-0005-0000-0000-000077250000}"/>
    <cellStyle name="_MOR-BDW_MOR - BDWY - 1+11_MOR - Gurgaon - 3+9(R)_MOR - Revised Package_~0039877_II.5. RawMaterials_Sheet2" xfId="9593" xr:uid="{00000000-0005-0000-0000-000078250000}"/>
    <cellStyle name="_MOR-BDW_MOR - BDWY - 1+11_MOR - Gurgaon - 3+9(R)_MOR - Revised Package_~0039877_II.5. RawMaterials_Sheet3" xfId="9594" xr:uid="{00000000-0005-0000-0000-000079250000}"/>
    <cellStyle name="_MOR-BDW_MOR - BDWY - 1+11_MOR - Gurgaon - 3+9(R)_MOR - Revised Package_~0039877_II.5. RawMaterials_Sheet4" xfId="9595" xr:uid="{00000000-0005-0000-0000-00007A250000}"/>
    <cellStyle name="_MOR-BDW_MOR - BDWY - 1+11_MOR - Gurgaon - 3+9(R)_MOR - Revised Package_~0039877_II.5. RM Volume Sensitivities" xfId="9596" xr:uid="{00000000-0005-0000-0000-00007B250000}"/>
    <cellStyle name="_MOR-BDW_MOR - BDWY - 1+11_MOR - Gurgaon - 3+9(R)_MOR - Revised Package_~0039877_II.5. RM Volume Sensitivities 2" xfId="9597" xr:uid="{00000000-0005-0000-0000-00007C250000}"/>
    <cellStyle name="_MOR-BDW_MOR - BDWY - 1+11_MOR - Gurgaon - 3+9(R)_MOR - Revised Package_~0039877_II.5. RM Volume Sensitivities_BS retrieve" xfId="9598" xr:uid="{00000000-0005-0000-0000-00007D250000}"/>
    <cellStyle name="_MOR-BDW_MOR - BDWY - 1+11_MOR - Gurgaon - 3+9(R)_MOR - Revised Package_~0039877_II.5. RM Volume Sensitivities_Free CF" xfId="9599" xr:uid="{00000000-0005-0000-0000-00007E250000}"/>
    <cellStyle name="_MOR-BDW_MOR - BDWY - 1+11_MOR - Gurgaon - 3+9(R)_MOR - Revised Package_~0039877_II.5. RM Volume Sensitivities_P&amp;L Rec Qtr" xfId="9600" xr:uid="{00000000-0005-0000-0000-00007F250000}"/>
    <cellStyle name="_MOR-BDW_MOR - BDWY - 1+11_MOR - Gurgaon - 3+9(R)_MOR - Revised Package_~0039877_II.5. RM Volume Sensitivities_Sheet1" xfId="9601" xr:uid="{00000000-0005-0000-0000-000080250000}"/>
    <cellStyle name="_MOR-BDW_MOR - BDWY - 1+11_MOR - Gurgaon - 3+9(R)_MOR - Revised Package_~0039877_II.5. RM Volume Sensitivities_Sheet2" xfId="9602" xr:uid="{00000000-0005-0000-0000-000081250000}"/>
    <cellStyle name="_MOR-BDW_MOR - BDWY - 1+11_MOR - Gurgaon - 3+9(R)_MOR - Revised Package_~0039877_II.5. RM Volume Sensitivities_Sheet3" xfId="9603" xr:uid="{00000000-0005-0000-0000-000082250000}"/>
    <cellStyle name="_MOR-BDW_MOR - BDWY - 1+11_MOR - Gurgaon - 3+9(R)_MOR - Revised Package_~0039877_II.5. RM Volume Sensitivities_Sheet4" xfId="9604" xr:uid="{00000000-0005-0000-0000-000083250000}"/>
    <cellStyle name="_MOR-BDW_MOR - BDWY - 1+11_MOR - Gurgaon - 3+9(R)_MOR - Revised Package_~0039877_II.8. Sep&amp;Discrete" xfId="9605" xr:uid="{00000000-0005-0000-0000-000084250000}"/>
    <cellStyle name="_MOR-BDW_MOR - BDWY - 1+11_MOR - Gurgaon - 3+9(R)_MOR - Revised Package_~0039877_Restructuring &amp; Separation" xfId="9606" xr:uid="{00000000-0005-0000-0000-000085250000}"/>
    <cellStyle name="_MOR-BDW_MOR - BDWY - 1+11_MOR - Gurgaon - 3+9(R)_MOR - Revised Package_~0039877_Restructuring_Separation_TAX_JuneFC2010 tf" xfId="9607" xr:uid="{00000000-0005-0000-0000-000086250000}"/>
    <cellStyle name="_MOR-BDW_MOR - BDWY - 1+11_MOR - Gurgaon - 3+9(R)_MOR - Revised Package_~0039877_Restructuring_Separation_TAX_JuneFC2010 tf_BS_Separation_TaxResIndem_Q12412 tf" xfId="9608" xr:uid="{00000000-0005-0000-0000-000087250000}"/>
    <cellStyle name="_MOR-BDW_MOR - BDWY - 1+11_MOR - Gurgaon - 3+9(R)_MOR - Revised Package_~0039877_Restructuring_Separation_TAX_JuneFC2010 tf_BS_Separation_TaxResIndem_Q12412 tf_Restructuring &amp; Separation" xfId="9609" xr:uid="{00000000-0005-0000-0000-000088250000}"/>
    <cellStyle name="_MOR-BDW_MOR - BDWY - 1+11_MOR - Gurgaon - 3+9(R)_MOR - Revised Package_~0039877_Restructuring_Separation_TAX_JuneFC2010 tf_II.8. Sep&amp;Discrete" xfId="9610" xr:uid="{00000000-0005-0000-0000-000089250000}"/>
    <cellStyle name="_MOR-BDW_MOR - BDWY - 1+11_MOR - Gurgaon - 3+9(R)_MOR - Revised Package_~0039877_Restructuring_Separation_TAX_JuneFC2010 tf_Restructuring &amp; Separation" xfId="9611" xr:uid="{00000000-0005-0000-0000-00008A250000}"/>
    <cellStyle name="_MOR-BDW_MOR - BDWY - 1+11_MOR - Gurgaon - 3+9(R)_MOR - Revised Package_BS_Separation_TaxResIndem_Q12412 tf" xfId="9612" xr:uid="{00000000-0005-0000-0000-00008B250000}"/>
    <cellStyle name="_MOR-BDW_MOR - BDWY - 1+11_MOR - Gurgaon - 3+9(R)_MOR - Revised Package_BS_Separation_TaxResIndem_Q12412 tf_Restructuring &amp; Separation" xfId="9613" xr:uid="{00000000-0005-0000-0000-00008C250000}"/>
    <cellStyle name="_MOR-BDW_MOR - BDWY - 1+11_MOR - Gurgaon - 3+9(R)_MOR - Revised Package_By Country Detail 1Q10 041410pm FIN 18 revised per disc w Mary" xfId="9614" xr:uid="{00000000-0005-0000-0000-00008D250000}"/>
    <cellStyle name="_MOR-BDW_MOR - BDWY - 1+11_MOR - Gurgaon - 3+9(R)_MOR - Revised Package_By Country Detail 1Q10 041410pm FIN 18 revised per disc w Mary_BS_Separation_TaxResIndem_Q12412 tf" xfId="9615" xr:uid="{00000000-0005-0000-0000-00008E250000}"/>
    <cellStyle name="_MOR-BDW_MOR - BDWY - 1+11_MOR - Gurgaon - 3+9(R)_MOR - Revised Package_By Country Detail 1Q10 041410pm FIN 18 revised per disc w Mary_BS_Separation_TaxResIndem_Q12412 tf_Restructuring &amp; Separation" xfId="9616" xr:uid="{00000000-0005-0000-0000-00008F250000}"/>
    <cellStyle name="_MOR-BDW_MOR - BDWY - 1+11_MOR - Gurgaon - 3+9(R)_MOR - Revised Package_By Country Detail 1Q10 041410pm FIN 18 revised per disc w Mary_II.8. Sep&amp;Discrete" xfId="9617" xr:uid="{00000000-0005-0000-0000-000090250000}"/>
    <cellStyle name="_MOR-BDW_MOR - BDWY - 1+11_MOR - Gurgaon - 3+9(R)_MOR - Revised Package_By Country Detail 1Q10 041410pm FIN 18 revised per disc w Mary_Restructuring &amp; Separation" xfId="9618" xr:uid="{00000000-0005-0000-0000-000091250000}"/>
    <cellStyle name="_MOR-BDW_MOR - BDWY - 1+11_MOR - Gurgaon - 3+9(R)_MOR - Revised Package_II.4. RawMaterials" xfId="9619" xr:uid="{00000000-0005-0000-0000-000092250000}"/>
    <cellStyle name="_MOR-BDW_MOR - BDWY - 1+11_MOR - Gurgaon - 3+9(R)_MOR - Revised Package_II.4. RawMaterials 2" xfId="9620" xr:uid="{00000000-0005-0000-0000-000093250000}"/>
    <cellStyle name="_MOR-BDW_MOR - BDWY - 1+11_MOR - Gurgaon - 3+9(R)_MOR - Revised Package_II.4. RawMaterials_BS retrieve" xfId="9621" xr:uid="{00000000-0005-0000-0000-000094250000}"/>
    <cellStyle name="_MOR-BDW_MOR - BDWY - 1+11_MOR - Gurgaon - 3+9(R)_MOR - Revised Package_II.4. RawMaterials_Free CF" xfId="9622" xr:uid="{00000000-0005-0000-0000-000095250000}"/>
    <cellStyle name="_MOR-BDW_MOR - BDWY - 1+11_MOR - Gurgaon - 3+9(R)_MOR - Revised Package_II.4. RawMaterials_P&amp;L Rec Qtr" xfId="9623" xr:uid="{00000000-0005-0000-0000-000096250000}"/>
    <cellStyle name="_MOR-BDW_MOR - BDWY - 1+11_MOR - Gurgaon - 3+9(R)_MOR - Revised Package_II.4. RawMaterials_Sheet1" xfId="9624" xr:uid="{00000000-0005-0000-0000-000097250000}"/>
    <cellStyle name="_MOR-BDW_MOR - BDWY - 1+11_MOR - Gurgaon - 3+9(R)_MOR - Revised Package_II.4. RawMaterials_Sheet2" xfId="9625" xr:uid="{00000000-0005-0000-0000-000098250000}"/>
    <cellStyle name="_MOR-BDW_MOR - BDWY - 1+11_MOR - Gurgaon - 3+9(R)_MOR - Revised Package_II.4. RawMaterials_Sheet3" xfId="9626" xr:uid="{00000000-0005-0000-0000-000099250000}"/>
    <cellStyle name="_MOR-BDW_MOR - BDWY - 1+11_MOR - Gurgaon - 3+9(R)_MOR - Revised Package_II.4. RawMaterials_Sheet4" xfId="9627" xr:uid="{00000000-0005-0000-0000-00009A250000}"/>
    <cellStyle name="_MOR-BDW_MOR - BDWY - 1+11_MOR - Gurgaon - 3+9(R)_MOR - Revised Package_II.5. RawMaterials" xfId="9628" xr:uid="{00000000-0005-0000-0000-00009B250000}"/>
    <cellStyle name="_MOR-BDW_MOR - BDWY - 1+11_MOR - Gurgaon - 3+9(R)_MOR - Revised Package_II.5. RawMaterials 2" xfId="9629" xr:uid="{00000000-0005-0000-0000-00009C250000}"/>
    <cellStyle name="_MOR-BDW_MOR - BDWY - 1+11_MOR - Gurgaon - 3+9(R)_MOR - Revised Package_II.5. RawMaterials_BS retrieve" xfId="9630" xr:uid="{00000000-0005-0000-0000-00009D250000}"/>
    <cellStyle name="_MOR-BDW_MOR - BDWY - 1+11_MOR - Gurgaon - 3+9(R)_MOR - Revised Package_II.5. RawMaterials_Free CF" xfId="9631" xr:uid="{00000000-0005-0000-0000-00009E250000}"/>
    <cellStyle name="_MOR-BDW_MOR - BDWY - 1+11_MOR - Gurgaon - 3+9(R)_MOR - Revised Package_II.5. RawMaterials_P&amp;L Rec Qtr" xfId="9632" xr:uid="{00000000-0005-0000-0000-00009F250000}"/>
    <cellStyle name="_MOR-BDW_MOR - BDWY - 1+11_MOR - Gurgaon - 3+9(R)_MOR - Revised Package_II.5. RawMaterials_Sheet1" xfId="9633" xr:uid="{00000000-0005-0000-0000-0000A0250000}"/>
    <cellStyle name="_MOR-BDW_MOR - BDWY - 1+11_MOR - Gurgaon - 3+9(R)_MOR - Revised Package_II.5. RawMaterials_Sheet2" xfId="9634" xr:uid="{00000000-0005-0000-0000-0000A1250000}"/>
    <cellStyle name="_MOR-BDW_MOR - BDWY - 1+11_MOR - Gurgaon - 3+9(R)_MOR - Revised Package_II.5. RawMaterials_Sheet3" xfId="9635" xr:uid="{00000000-0005-0000-0000-0000A2250000}"/>
    <cellStyle name="_MOR-BDW_MOR - BDWY - 1+11_MOR - Gurgaon - 3+9(R)_MOR - Revised Package_II.5. RawMaterials_Sheet4" xfId="9636" xr:uid="{00000000-0005-0000-0000-0000A3250000}"/>
    <cellStyle name="_MOR-BDW_MOR - BDWY - 1+11_MOR - Gurgaon - 3+9(R)_MOR - Revised Package_II.5. RM Volume Sensitivities" xfId="9637" xr:uid="{00000000-0005-0000-0000-0000A4250000}"/>
    <cellStyle name="_MOR-BDW_MOR - BDWY - 1+11_MOR - Gurgaon - 3+9(R)_MOR - Revised Package_II.5. RM Volume Sensitivities 2" xfId="9638" xr:uid="{00000000-0005-0000-0000-0000A5250000}"/>
    <cellStyle name="_MOR-BDW_MOR - BDWY - 1+11_MOR - Gurgaon - 3+9(R)_MOR - Revised Package_II.5. RM Volume Sensitivities_BS retrieve" xfId="9639" xr:uid="{00000000-0005-0000-0000-0000A6250000}"/>
    <cellStyle name="_MOR-BDW_MOR - BDWY - 1+11_MOR - Gurgaon - 3+9(R)_MOR - Revised Package_II.5. RM Volume Sensitivities_Free CF" xfId="9640" xr:uid="{00000000-0005-0000-0000-0000A7250000}"/>
    <cellStyle name="_MOR-BDW_MOR - BDWY - 1+11_MOR - Gurgaon - 3+9(R)_MOR - Revised Package_II.5. RM Volume Sensitivities_P&amp;L Rec Qtr" xfId="9641" xr:uid="{00000000-0005-0000-0000-0000A8250000}"/>
    <cellStyle name="_MOR-BDW_MOR - BDWY - 1+11_MOR - Gurgaon - 3+9(R)_MOR - Revised Package_II.5. RM Volume Sensitivities_Sheet1" xfId="9642" xr:uid="{00000000-0005-0000-0000-0000A9250000}"/>
    <cellStyle name="_MOR-BDW_MOR - BDWY - 1+11_MOR - Gurgaon - 3+9(R)_MOR - Revised Package_II.5. RM Volume Sensitivities_Sheet2" xfId="9643" xr:uid="{00000000-0005-0000-0000-0000AA250000}"/>
    <cellStyle name="_MOR-BDW_MOR - BDWY - 1+11_MOR - Gurgaon - 3+9(R)_MOR - Revised Package_II.5. RM Volume Sensitivities_Sheet3" xfId="9644" xr:uid="{00000000-0005-0000-0000-0000AB250000}"/>
    <cellStyle name="_MOR-BDW_MOR - BDWY - 1+11_MOR - Gurgaon - 3+9(R)_MOR - Revised Package_II.5. RM Volume Sensitivities_Sheet4" xfId="9645" xr:uid="{00000000-0005-0000-0000-0000AC250000}"/>
    <cellStyle name="_MOR-BDW_MOR - BDWY - 1+11_MOR - Gurgaon - 3+9(R)_MOR - Revised Package_II.8. Sep&amp;Discrete" xfId="9646" xr:uid="{00000000-0005-0000-0000-0000AD250000}"/>
    <cellStyle name="_MOR-BDW_MOR - BDWY - 1+11_MOR - Gurgaon - 3+9(R)_MOR - Revised Package_Restructuring &amp; Separation" xfId="9647" xr:uid="{00000000-0005-0000-0000-0000AE250000}"/>
    <cellStyle name="_MOR-BDW_MOR - BDWY - 1+11_MOR - Gurgaon - 3+9(R)_MOR - Revised Package_Restructuring_Separation_TAX_JuneFC2010 tf" xfId="9648" xr:uid="{00000000-0005-0000-0000-0000AF250000}"/>
    <cellStyle name="_MOR-BDW_MOR - BDWY - 1+11_MOR - Gurgaon - 3+9(R)_MOR - Revised Package_Restructuring_Separation_TAX_JuneFC2010 tf_BS_Separation_TaxResIndem_Q12412 tf" xfId="9649" xr:uid="{00000000-0005-0000-0000-0000B0250000}"/>
    <cellStyle name="_MOR-BDW_MOR - BDWY - 1+11_MOR - Gurgaon - 3+9(R)_MOR - Revised Package_Restructuring_Separation_TAX_JuneFC2010 tf_BS_Separation_TaxResIndem_Q12412 tf_Restructuring &amp; Separation" xfId="9650" xr:uid="{00000000-0005-0000-0000-0000B1250000}"/>
    <cellStyle name="_MOR-BDW_MOR - BDWY - 1+11_MOR - Gurgaon - 3+9(R)_MOR - Revised Package_Restructuring_Separation_TAX_JuneFC2010 tf_II.8. Sep&amp;Discrete" xfId="9651" xr:uid="{00000000-0005-0000-0000-0000B2250000}"/>
    <cellStyle name="_MOR-BDW_MOR - BDWY - 1+11_MOR - Gurgaon - 3+9(R)_MOR - Revised Package_Restructuring_Separation_TAX_JuneFC2010 tf_Restructuring &amp; Separation" xfId="9652" xr:uid="{00000000-0005-0000-0000-0000B3250000}"/>
    <cellStyle name="_MOR-BDW_MOR - BDWY - 1+11_MOR - Gurgaon - 3+9(R)_MOR - Revised Package_Revised MOR Package - Latest" xfId="9653" xr:uid="{00000000-0005-0000-0000-0000B4250000}"/>
    <cellStyle name="_MOR-BDW_MOR - BDWY - 1+11_MOR - Gurgaon - 3+9(R)_MOR - Revised Package_Revised MOR Package - Latest_BS_Separation_TaxResIndem_Q12412 tf" xfId="9654" xr:uid="{00000000-0005-0000-0000-0000B5250000}"/>
    <cellStyle name="_MOR-BDW_MOR - BDWY - 1+11_MOR - Gurgaon - 3+9(R)_MOR - Revised Package_Revised MOR Package - Latest_BS_Separation_TaxResIndem_Q12412 tf_Restructuring &amp; Separation" xfId="9655" xr:uid="{00000000-0005-0000-0000-0000B6250000}"/>
    <cellStyle name="_MOR-BDW_MOR - BDWY - 1+11_MOR - Gurgaon - 3+9(R)_MOR - Revised Package_Revised MOR Package - Latest_By Country Detail 1Q10 041410pm FIN 18 revised per disc w Mary" xfId="9656" xr:uid="{00000000-0005-0000-0000-0000B7250000}"/>
    <cellStyle name="_MOR-BDW_MOR - BDWY - 1+11_MOR - Gurgaon - 3+9(R)_MOR - Revised Package_Revised MOR Package - Latest_By Country Detail 1Q10 041410pm FIN 18 revised per disc w Mary_BS_Separation_TaxResIndem_Q12412 tf" xfId="9657" xr:uid="{00000000-0005-0000-0000-0000B8250000}"/>
    <cellStyle name="_MOR-BDW_MOR - BDWY - 1+11_MOR - Gurgaon - 3+9(R)_MOR - Revised Package_Revised MOR Package - Latest_By Country Detail 1Q10 041410pm FIN 18 revised per disc w Mary_BS_Separation_TaxResIndem_Q12412 tf_Restructuring &amp; Separation" xfId="9658" xr:uid="{00000000-0005-0000-0000-0000B9250000}"/>
    <cellStyle name="_MOR-BDW_MOR - BDWY - 1+11_MOR - Gurgaon - 3+9(R)_MOR - Revised Package_Revised MOR Package - Latest_By Country Detail 1Q10 041410pm FIN 18 revised per disc w Mary_II.8. Sep&amp;Discrete" xfId="9659" xr:uid="{00000000-0005-0000-0000-0000BA250000}"/>
    <cellStyle name="_MOR-BDW_MOR - BDWY - 1+11_MOR - Gurgaon - 3+9(R)_MOR - Revised Package_Revised MOR Package - Latest_By Country Detail 1Q10 041410pm FIN 18 revised per disc w Mary_Restructuring &amp; Separation" xfId="9660" xr:uid="{00000000-0005-0000-0000-0000BB250000}"/>
    <cellStyle name="_MOR-BDW_MOR - BDWY - 1+11_MOR - Gurgaon - 3+9(R)_MOR - Revised Package_Revised MOR Package - Latest_II.4. RawMaterials" xfId="9661" xr:uid="{00000000-0005-0000-0000-0000BC250000}"/>
    <cellStyle name="_MOR-BDW_MOR - BDWY - 1+11_MOR - Gurgaon - 3+9(R)_MOR - Revised Package_Revised MOR Package - Latest_II.4. RawMaterials 2" xfId="9662" xr:uid="{00000000-0005-0000-0000-0000BD250000}"/>
    <cellStyle name="_MOR-BDW_MOR - BDWY - 1+11_MOR - Gurgaon - 3+9(R)_MOR - Revised Package_Revised MOR Package - Latest_II.4. RawMaterials_BS retrieve" xfId="9663" xr:uid="{00000000-0005-0000-0000-0000BE250000}"/>
    <cellStyle name="_MOR-BDW_MOR - BDWY - 1+11_MOR - Gurgaon - 3+9(R)_MOR - Revised Package_Revised MOR Package - Latest_II.4. RawMaterials_Free CF" xfId="9664" xr:uid="{00000000-0005-0000-0000-0000BF250000}"/>
    <cellStyle name="_MOR-BDW_MOR - BDWY - 1+11_MOR - Gurgaon - 3+9(R)_MOR - Revised Package_Revised MOR Package - Latest_II.4. RawMaterials_P&amp;L Rec Qtr" xfId="9665" xr:uid="{00000000-0005-0000-0000-0000C0250000}"/>
    <cellStyle name="_MOR-BDW_MOR - BDWY - 1+11_MOR - Gurgaon - 3+9(R)_MOR - Revised Package_Revised MOR Package - Latest_II.4. RawMaterials_Sheet1" xfId="9666" xr:uid="{00000000-0005-0000-0000-0000C1250000}"/>
    <cellStyle name="_MOR-BDW_MOR - BDWY - 1+11_MOR - Gurgaon - 3+9(R)_MOR - Revised Package_Revised MOR Package - Latest_II.4. RawMaterials_Sheet2" xfId="9667" xr:uid="{00000000-0005-0000-0000-0000C2250000}"/>
    <cellStyle name="_MOR-BDW_MOR - BDWY - 1+11_MOR - Gurgaon - 3+9(R)_MOR - Revised Package_Revised MOR Package - Latest_II.4. RawMaterials_Sheet3" xfId="9668" xr:uid="{00000000-0005-0000-0000-0000C3250000}"/>
    <cellStyle name="_MOR-BDW_MOR - BDWY - 1+11_MOR - Gurgaon - 3+9(R)_MOR - Revised Package_Revised MOR Package - Latest_II.4. RawMaterials_Sheet4" xfId="9669" xr:uid="{00000000-0005-0000-0000-0000C4250000}"/>
    <cellStyle name="_MOR-BDW_MOR - BDWY - 1+11_MOR - Gurgaon - 3+9(R)_MOR - Revised Package_Revised MOR Package - Latest_II.5. RawMaterials" xfId="9670" xr:uid="{00000000-0005-0000-0000-0000C5250000}"/>
    <cellStyle name="_MOR-BDW_MOR - BDWY - 1+11_MOR - Gurgaon - 3+9(R)_MOR - Revised Package_Revised MOR Package - Latest_II.5. RawMaterials 2" xfId="9671" xr:uid="{00000000-0005-0000-0000-0000C6250000}"/>
    <cellStyle name="_MOR-BDW_MOR - BDWY - 1+11_MOR - Gurgaon - 3+9(R)_MOR - Revised Package_Revised MOR Package - Latest_II.5. RawMaterials_BS retrieve" xfId="9672" xr:uid="{00000000-0005-0000-0000-0000C7250000}"/>
    <cellStyle name="_MOR-BDW_MOR - BDWY - 1+11_MOR - Gurgaon - 3+9(R)_MOR - Revised Package_Revised MOR Package - Latest_II.5. RawMaterials_Free CF" xfId="9673" xr:uid="{00000000-0005-0000-0000-0000C8250000}"/>
    <cellStyle name="_MOR-BDW_MOR - BDWY - 1+11_MOR - Gurgaon - 3+9(R)_MOR - Revised Package_Revised MOR Package - Latest_II.5. RawMaterials_P&amp;L Rec Qtr" xfId="9674" xr:uid="{00000000-0005-0000-0000-0000C9250000}"/>
    <cellStyle name="_MOR-BDW_MOR - BDWY - 1+11_MOR - Gurgaon - 3+9(R)_MOR - Revised Package_Revised MOR Package - Latest_II.5. RawMaterials_Sheet1" xfId="9675" xr:uid="{00000000-0005-0000-0000-0000CA250000}"/>
    <cellStyle name="_MOR-BDW_MOR - BDWY - 1+11_MOR - Gurgaon - 3+9(R)_MOR - Revised Package_Revised MOR Package - Latest_II.5. RawMaterials_Sheet2" xfId="9676" xr:uid="{00000000-0005-0000-0000-0000CB250000}"/>
    <cellStyle name="_MOR-BDW_MOR - BDWY - 1+11_MOR - Gurgaon - 3+9(R)_MOR - Revised Package_Revised MOR Package - Latest_II.5. RawMaterials_Sheet3" xfId="9677" xr:uid="{00000000-0005-0000-0000-0000CC250000}"/>
    <cellStyle name="_MOR-BDW_MOR - BDWY - 1+11_MOR - Gurgaon - 3+9(R)_MOR - Revised Package_Revised MOR Package - Latest_II.5. RawMaterials_Sheet4" xfId="9678" xr:uid="{00000000-0005-0000-0000-0000CD250000}"/>
    <cellStyle name="_MOR-BDW_MOR - BDWY - 1+11_MOR - Gurgaon - 3+9(R)_MOR - Revised Package_Revised MOR Package - Latest_II.5. RM Volume Sensitivities" xfId="9679" xr:uid="{00000000-0005-0000-0000-0000CE250000}"/>
    <cellStyle name="_MOR-BDW_MOR - BDWY - 1+11_MOR - Gurgaon - 3+9(R)_MOR - Revised Package_Revised MOR Package - Latest_II.5. RM Volume Sensitivities 2" xfId="9680" xr:uid="{00000000-0005-0000-0000-0000CF250000}"/>
    <cellStyle name="_MOR-BDW_MOR - BDWY - 1+11_MOR - Gurgaon - 3+9(R)_MOR - Revised Package_Revised MOR Package - Latest_II.5. RM Volume Sensitivities_BS retrieve" xfId="9681" xr:uid="{00000000-0005-0000-0000-0000D0250000}"/>
    <cellStyle name="_MOR-BDW_MOR - BDWY - 1+11_MOR - Gurgaon - 3+9(R)_MOR - Revised Package_Revised MOR Package - Latest_II.5. RM Volume Sensitivities_Free CF" xfId="9682" xr:uid="{00000000-0005-0000-0000-0000D1250000}"/>
    <cellStyle name="_MOR-BDW_MOR - BDWY - 1+11_MOR - Gurgaon - 3+9(R)_MOR - Revised Package_Revised MOR Package - Latest_II.5. RM Volume Sensitivities_P&amp;L Rec Qtr" xfId="9683" xr:uid="{00000000-0005-0000-0000-0000D2250000}"/>
    <cellStyle name="_MOR-BDW_MOR - BDWY - 1+11_MOR - Gurgaon - 3+9(R)_MOR - Revised Package_Revised MOR Package - Latest_II.5. RM Volume Sensitivities_Sheet1" xfId="9684" xr:uid="{00000000-0005-0000-0000-0000D3250000}"/>
    <cellStyle name="_MOR-BDW_MOR - BDWY - 1+11_MOR - Gurgaon - 3+9(R)_MOR - Revised Package_Revised MOR Package - Latest_II.5. RM Volume Sensitivities_Sheet2" xfId="9685" xr:uid="{00000000-0005-0000-0000-0000D4250000}"/>
    <cellStyle name="_MOR-BDW_MOR - BDWY - 1+11_MOR - Gurgaon - 3+9(R)_MOR - Revised Package_Revised MOR Package - Latest_II.5. RM Volume Sensitivities_Sheet3" xfId="9686" xr:uid="{00000000-0005-0000-0000-0000D5250000}"/>
    <cellStyle name="_MOR-BDW_MOR - BDWY - 1+11_MOR - Gurgaon - 3+9(R)_MOR - Revised Package_Revised MOR Package - Latest_II.5. RM Volume Sensitivities_Sheet4" xfId="9687" xr:uid="{00000000-0005-0000-0000-0000D6250000}"/>
    <cellStyle name="_MOR-BDW_MOR - BDWY - 1+11_MOR - Gurgaon - 3+9(R)_MOR - Revised Package_Revised MOR Package - Latest_II.8. Sep&amp;Discrete" xfId="9688" xr:uid="{00000000-0005-0000-0000-0000D7250000}"/>
    <cellStyle name="_MOR-BDW_MOR - BDWY - 1+11_MOR - Gurgaon - 3+9(R)_MOR - Revised Package_Revised MOR Package - Latest_Restructuring &amp; Separation" xfId="9689" xr:uid="{00000000-0005-0000-0000-0000D8250000}"/>
    <cellStyle name="_MOR-BDW_MOR - BDWY - 1+11_MOR - Gurgaon - 3+9(R)_MOR - Revised Package_Revised MOR Package - Latest_Restructuring_Separation_TAX_JuneFC2010 tf" xfId="9690" xr:uid="{00000000-0005-0000-0000-0000D9250000}"/>
    <cellStyle name="_MOR-BDW_MOR - BDWY - 1+11_MOR - Gurgaon - 3+9(R)_MOR - Revised Package_Revised MOR Package - Latest_Restructuring_Separation_TAX_JuneFC2010 tf_BS_Separation_TaxResIndem_Q12412 tf" xfId="9691" xr:uid="{00000000-0005-0000-0000-0000DA250000}"/>
    <cellStyle name="_MOR-BDW_MOR - BDWY - 1+11_MOR - Gurgaon - 3+9(R)_MOR - Revised Package_Revised MOR Package - Latest_Restructuring_Separation_TAX_JuneFC2010 tf_BS_Separation_TaxResIndem_Q12412 tf_Restructuring &amp; Separation" xfId="9692" xr:uid="{00000000-0005-0000-0000-0000DB250000}"/>
    <cellStyle name="_MOR-BDW_MOR - BDWY - 1+11_MOR - Gurgaon - 3+9(R)_MOR - Revised Package_Revised MOR Package - Latest_Restructuring_Separation_TAX_JuneFC2010 tf_II.8. Sep&amp;Discrete" xfId="9693" xr:uid="{00000000-0005-0000-0000-0000DC250000}"/>
    <cellStyle name="_MOR-BDW_MOR - BDWY - 1+11_MOR - Gurgaon - 3+9(R)_MOR - Revised Package_Revised MOR Package - Latest_Restructuring_Separation_TAX_JuneFC2010 tf_Restructuring &amp; Separation" xfId="9694" xr:uid="{00000000-0005-0000-0000-0000DD250000}"/>
    <cellStyle name="_MOR-BDW_MOR - BDWY - 1+11_MOR - Gurgaon - 3+9(R)_Restructuring &amp; Separation" xfId="9695" xr:uid="{00000000-0005-0000-0000-0000DE250000}"/>
    <cellStyle name="_MOR-BDW_MOR - BDWY - 1+11_MOR - Gurgaon - 3+9(R)_Restructuring_Separation_TAX_JuneFC2010 tf" xfId="9696" xr:uid="{00000000-0005-0000-0000-0000DF250000}"/>
    <cellStyle name="_MOR-BDW_MOR - BDWY - 1+11_MOR - Gurgaon - 3+9(R)_Restructuring_Separation_TAX_JuneFC2010 tf_BS_Separation_TaxResIndem_Q12412 tf" xfId="9697" xr:uid="{00000000-0005-0000-0000-0000E0250000}"/>
    <cellStyle name="_MOR-BDW_MOR - BDWY - 1+11_MOR - Gurgaon - 3+9(R)_Restructuring_Separation_TAX_JuneFC2010 tf_BS_Separation_TaxResIndem_Q12412 tf_Restructuring &amp; Separation" xfId="9698" xr:uid="{00000000-0005-0000-0000-0000E1250000}"/>
    <cellStyle name="_MOR-BDW_MOR - BDWY - 1+11_MOR - Gurgaon - 3+9(R)_Restructuring_Separation_TAX_JuneFC2010 tf_II.8. Sep&amp;Discrete" xfId="9699" xr:uid="{00000000-0005-0000-0000-0000E2250000}"/>
    <cellStyle name="_MOR-BDW_MOR - BDWY - 1+11_MOR - Gurgaon - 3+9(R)_Restructuring_Separation_TAX_JuneFC2010 tf_Restructuring &amp; Separation" xfId="9700" xr:uid="{00000000-0005-0000-0000-0000E3250000}"/>
    <cellStyle name="_MOR-BDW_MOR - BDWY - 1+11_MOR - Gurgaon - 3+9(R)_Revised MOR Package" xfId="9701" xr:uid="{00000000-0005-0000-0000-0000E4250000}"/>
    <cellStyle name="_MOR-BDW_MOR - BDWY - 1+11_MOR - Gurgaon - 3+9(R)_Revised MOR Package_~0039877" xfId="9702" xr:uid="{00000000-0005-0000-0000-0000E5250000}"/>
    <cellStyle name="_MOR-BDW_MOR - BDWY - 1+11_MOR - Gurgaon - 3+9(R)_Revised MOR Package_~0039877_BS_Separation_TaxResIndem_Q12412 tf" xfId="9703" xr:uid="{00000000-0005-0000-0000-0000E6250000}"/>
    <cellStyle name="_MOR-BDW_MOR - BDWY - 1+11_MOR - Gurgaon - 3+9(R)_Revised MOR Package_~0039877_BS_Separation_TaxResIndem_Q12412 tf_Restructuring &amp; Separation" xfId="9704" xr:uid="{00000000-0005-0000-0000-0000E7250000}"/>
    <cellStyle name="_MOR-BDW_MOR - BDWY - 1+11_MOR - Gurgaon - 3+9(R)_Revised MOR Package_~0039877_By Country Detail 1Q10 041410pm FIN 18 revised per disc w Mary" xfId="9705" xr:uid="{00000000-0005-0000-0000-0000E8250000}"/>
    <cellStyle name="_MOR-BDW_MOR - BDWY - 1+11_MOR - Gurgaon - 3+9(R)_Revised MOR Package_~0039877_By Country Detail 1Q10 041410pm FIN 18 revised per disc w Mary_BS_Separation_TaxResIndem_Q12412 tf" xfId="9706" xr:uid="{00000000-0005-0000-0000-0000E9250000}"/>
    <cellStyle name="_MOR-BDW_MOR - BDWY - 1+11_MOR - Gurgaon - 3+9(R)_Revised MOR Package_~0039877_By Country Detail 1Q10 041410pm FIN 18 revised per disc w Mary_BS_Separation_TaxResIndem_Q12412 tf_Restructuring &amp; Separation" xfId="9707" xr:uid="{00000000-0005-0000-0000-0000EA250000}"/>
    <cellStyle name="_MOR-BDW_MOR - BDWY - 1+11_MOR - Gurgaon - 3+9(R)_Revised MOR Package_~0039877_By Country Detail 1Q10 041410pm FIN 18 revised per disc w Mary_II.8. Sep&amp;Discrete" xfId="9708" xr:uid="{00000000-0005-0000-0000-0000EB250000}"/>
    <cellStyle name="_MOR-BDW_MOR - BDWY - 1+11_MOR - Gurgaon - 3+9(R)_Revised MOR Package_~0039877_By Country Detail 1Q10 041410pm FIN 18 revised per disc w Mary_Restructuring &amp; Separation" xfId="9709" xr:uid="{00000000-0005-0000-0000-0000EC250000}"/>
    <cellStyle name="_MOR-BDW_MOR - BDWY - 1+11_MOR - Gurgaon - 3+9(R)_Revised MOR Package_~0039877_II.4. RawMaterials" xfId="9710" xr:uid="{00000000-0005-0000-0000-0000ED250000}"/>
    <cellStyle name="_MOR-BDW_MOR - BDWY - 1+11_MOR - Gurgaon - 3+9(R)_Revised MOR Package_~0039877_II.4. RawMaterials 2" xfId="9711" xr:uid="{00000000-0005-0000-0000-0000EE250000}"/>
    <cellStyle name="_MOR-BDW_MOR - BDWY - 1+11_MOR - Gurgaon - 3+9(R)_Revised MOR Package_~0039877_II.4. RawMaterials_BS retrieve" xfId="9712" xr:uid="{00000000-0005-0000-0000-0000EF250000}"/>
    <cellStyle name="_MOR-BDW_MOR - BDWY - 1+11_MOR - Gurgaon - 3+9(R)_Revised MOR Package_~0039877_II.4. RawMaterials_Free CF" xfId="9713" xr:uid="{00000000-0005-0000-0000-0000F0250000}"/>
    <cellStyle name="_MOR-BDW_MOR - BDWY - 1+11_MOR - Gurgaon - 3+9(R)_Revised MOR Package_~0039877_II.4. RawMaterials_P&amp;L Rec Qtr" xfId="9714" xr:uid="{00000000-0005-0000-0000-0000F1250000}"/>
    <cellStyle name="_MOR-BDW_MOR - BDWY - 1+11_MOR - Gurgaon - 3+9(R)_Revised MOR Package_~0039877_II.4. RawMaterials_Sheet1" xfId="9715" xr:uid="{00000000-0005-0000-0000-0000F2250000}"/>
    <cellStyle name="_MOR-BDW_MOR - BDWY - 1+11_MOR - Gurgaon - 3+9(R)_Revised MOR Package_~0039877_II.4. RawMaterials_Sheet2" xfId="9716" xr:uid="{00000000-0005-0000-0000-0000F3250000}"/>
    <cellStyle name="_MOR-BDW_MOR - BDWY - 1+11_MOR - Gurgaon - 3+9(R)_Revised MOR Package_~0039877_II.4. RawMaterials_Sheet3" xfId="9717" xr:uid="{00000000-0005-0000-0000-0000F4250000}"/>
    <cellStyle name="_MOR-BDW_MOR - BDWY - 1+11_MOR - Gurgaon - 3+9(R)_Revised MOR Package_~0039877_II.4. RawMaterials_Sheet4" xfId="9718" xr:uid="{00000000-0005-0000-0000-0000F5250000}"/>
    <cellStyle name="_MOR-BDW_MOR - BDWY - 1+11_MOR - Gurgaon - 3+9(R)_Revised MOR Package_~0039877_II.5. RawMaterials" xfId="9719" xr:uid="{00000000-0005-0000-0000-0000F6250000}"/>
    <cellStyle name="_MOR-BDW_MOR - BDWY - 1+11_MOR - Gurgaon - 3+9(R)_Revised MOR Package_~0039877_II.5. RawMaterials 2" xfId="9720" xr:uid="{00000000-0005-0000-0000-0000F7250000}"/>
    <cellStyle name="_MOR-BDW_MOR - BDWY - 1+11_MOR - Gurgaon - 3+9(R)_Revised MOR Package_~0039877_II.5. RawMaterials_BS retrieve" xfId="9721" xr:uid="{00000000-0005-0000-0000-0000F8250000}"/>
    <cellStyle name="_MOR-BDW_MOR - BDWY - 1+11_MOR - Gurgaon - 3+9(R)_Revised MOR Package_~0039877_II.5. RawMaterials_Free CF" xfId="9722" xr:uid="{00000000-0005-0000-0000-0000F9250000}"/>
    <cellStyle name="_MOR-BDW_MOR - BDWY - 1+11_MOR - Gurgaon - 3+9(R)_Revised MOR Package_~0039877_II.5. RawMaterials_P&amp;L Rec Qtr" xfId="9723" xr:uid="{00000000-0005-0000-0000-0000FA250000}"/>
    <cellStyle name="_MOR-BDW_MOR - BDWY - 1+11_MOR - Gurgaon - 3+9(R)_Revised MOR Package_~0039877_II.5. RawMaterials_Sheet1" xfId="9724" xr:uid="{00000000-0005-0000-0000-0000FB250000}"/>
    <cellStyle name="_MOR-BDW_MOR - BDWY - 1+11_MOR - Gurgaon - 3+9(R)_Revised MOR Package_~0039877_II.5. RawMaterials_Sheet2" xfId="9725" xr:uid="{00000000-0005-0000-0000-0000FC250000}"/>
    <cellStyle name="_MOR-BDW_MOR - BDWY - 1+11_MOR - Gurgaon - 3+9(R)_Revised MOR Package_~0039877_II.5. RawMaterials_Sheet3" xfId="9726" xr:uid="{00000000-0005-0000-0000-0000FD250000}"/>
    <cellStyle name="_MOR-BDW_MOR - BDWY - 1+11_MOR - Gurgaon - 3+9(R)_Revised MOR Package_~0039877_II.5. RawMaterials_Sheet4" xfId="9727" xr:uid="{00000000-0005-0000-0000-0000FE250000}"/>
    <cellStyle name="_MOR-BDW_MOR - BDWY - 1+11_MOR - Gurgaon - 3+9(R)_Revised MOR Package_~0039877_II.5. RM Volume Sensitivities" xfId="9728" xr:uid="{00000000-0005-0000-0000-0000FF250000}"/>
    <cellStyle name="_MOR-BDW_MOR - BDWY - 1+11_MOR - Gurgaon - 3+9(R)_Revised MOR Package_~0039877_II.5. RM Volume Sensitivities 2" xfId="9729" xr:uid="{00000000-0005-0000-0000-000000260000}"/>
    <cellStyle name="_MOR-BDW_MOR - BDWY - 1+11_MOR - Gurgaon - 3+9(R)_Revised MOR Package_~0039877_II.5. RM Volume Sensitivities_BS retrieve" xfId="9730" xr:uid="{00000000-0005-0000-0000-000001260000}"/>
    <cellStyle name="_MOR-BDW_MOR - BDWY - 1+11_MOR - Gurgaon - 3+9(R)_Revised MOR Package_~0039877_II.5. RM Volume Sensitivities_Free CF" xfId="9731" xr:uid="{00000000-0005-0000-0000-000002260000}"/>
    <cellStyle name="_MOR-BDW_MOR - BDWY - 1+11_MOR - Gurgaon - 3+9(R)_Revised MOR Package_~0039877_II.5. RM Volume Sensitivities_P&amp;L Rec Qtr" xfId="9732" xr:uid="{00000000-0005-0000-0000-000003260000}"/>
    <cellStyle name="_MOR-BDW_MOR - BDWY - 1+11_MOR - Gurgaon - 3+9(R)_Revised MOR Package_~0039877_II.5. RM Volume Sensitivities_Sheet1" xfId="9733" xr:uid="{00000000-0005-0000-0000-000004260000}"/>
    <cellStyle name="_MOR-BDW_MOR - BDWY - 1+11_MOR - Gurgaon - 3+9(R)_Revised MOR Package_~0039877_II.5. RM Volume Sensitivities_Sheet2" xfId="9734" xr:uid="{00000000-0005-0000-0000-000005260000}"/>
    <cellStyle name="_MOR-BDW_MOR - BDWY - 1+11_MOR - Gurgaon - 3+9(R)_Revised MOR Package_~0039877_II.5. RM Volume Sensitivities_Sheet3" xfId="9735" xr:uid="{00000000-0005-0000-0000-000006260000}"/>
    <cellStyle name="_MOR-BDW_MOR - BDWY - 1+11_MOR - Gurgaon - 3+9(R)_Revised MOR Package_~0039877_II.5. RM Volume Sensitivities_Sheet4" xfId="9736" xr:uid="{00000000-0005-0000-0000-000007260000}"/>
    <cellStyle name="_MOR-BDW_MOR - BDWY - 1+11_MOR - Gurgaon - 3+9(R)_Revised MOR Package_~0039877_II.8. Sep&amp;Discrete" xfId="9737" xr:uid="{00000000-0005-0000-0000-000008260000}"/>
    <cellStyle name="_MOR-BDW_MOR - BDWY - 1+11_MOR - Gurgaon - 3+9(R)_Revised MOR Package_~0039877_Restructuring &amp; Separation" xfId="9738" xr:uid="{00000000-0005-0000-0000-000009260000}"/>
    <cellStyle name="_MOR-BDW_MOR - BDWY - 1+11_MOR - Gurgaon - 3+9(R)_Revised MOR Package_~0039877_Restructuring_Separation_TAX_JuneFC2010 tf" xfId="9739" xr:uid="{00000000-0005-0000-0000-00000A260000}"/>
    <cellStyle name="_MOR-BDW_MOR - BDWY - 1+11_MOR - Gurgaon - 3+9(R)_Revised MOR Package_~0039877_Restructuring_Separation_TAX_JuneFC2010 tf_BS_Separation_TaxResIndem_Q12412 tf" xfId="9740" xr:uid="{00000000-0005-0000-0000-00000B260000}"/>
    <cellStyle name="_MOR-BDW_MOR - BDWY - 1+11_MOR - Gurgaon - 3+9(R)_Revised MOR Package_~0039877_Restructuring_Separation_TAX_JuneFC2010 tf_BS_Separation_TaxResIndem_Q12412 tf_Restructuring &amp; Separation" xfId="9741" xr:uid="{00000000-0005-0000-0000-00000C260000}"/>
    <cellStyle name="_MOR-BDW_MOR - BDWY - 1+11_MOR - Gurgaon - 3+9(R)_Revised MOR Package_~0039877_Restructuring_Separation_TAX_JuneFC2010 tf_II.8. Sep&amp;Discrete" xfId="9742" xr:uid="{00000000-0005-0000-0000-00000D260000}"/>
    <cellStyle name="_MOR-BDW_MOR - BDWY - 1+11_MOR - Gurgaon - 3+9(R)_Revised MOR Package_~0039877_Restructuring_Separation_TAX_JuneFC2010 tf_Restructuring &amp; Separation" xfId="9743" xr:uid="{00000000-0005-0000-0000-00000E260000}"/>
    <cellStyle name="_MOR-BDW_MOR - BDWY - 1+11_MOR - Gurgaon - 3+9(R)_Revised MOR Package_BS_Separation_TaxResIndem_Q12412 tf" xfId="9744" xr:uid="{00000000-0005-0000-0000-00000F260000}"/>
    <cellStyle name="_MOR-BDW_MOR - BDWY - 1+11_MOR - Gurgaon - 3+9(R)_Revised MOR Package_BS_Separation_TaxResIndem_Q12412 tf_Restructuring &amp; Separation" xfId="9745" xr:uid="{00000000-0005-0000-0000-000010260000}"/>
    <cellStyle name="_MOR-BDW_MOR - BDWY - 1+11_MOR - Gurgaon - 3+9(R)_Revised MOR Package_By Country Detail 1Q10 041410pm FIN 18 revised per disc w Mary" xfId="9746" xr:uid="{00000000-0005-0000-0000-000011260000}"/>
    <cellStyle name="_MOR-BDW_MOR - BDWY - 1+11_MOR - Gurgaon - 3+9(R)_Revised MOR Package_By Country Detail 1Q10 041410pm FIN 18 revised per disc w Mary_BS_Separation_TaxResIndem_Q12412 tf" xfId="9747" xr:uid="{00000000-0005-0000-0000-000012260000}"/>
    <cellStyle name="_MOR-BDW_MOR - BDWY - 1+11_MOR - Gurgaon - 3+9(R)_Revised MOR Package_By Country Detail 1Q10 041410pm FIN 18 revised per disc w Mary_BS_Separation_TaxResIndem_Q12412 tf_Restructuring &amp; Separation" xfId="9748" xr:uid="{00000000-0005-0000-0000-000013260000}"/>
    <cellStyle name="_MOR-BDW_MOR - BDWY - 1+11_MOR - Gurgaon - 3+9(R)_Revised MOR Package_By Country Detail 1Q10 041410pm FIN 18 revised per disc w Mary_II.8. Sep&amp;Discrete" xfId="9749" xr:uid="{00000000-0005-0000-0000-000014260000}"/>
    <cellStyle name="_MOR-BDW_MOR - BDWY - 1+11_MOR - Gurgaon - 3+9(R)_Revised MOR Package_By Country Detail 1Q10 041410pm FIN 18 revised per disc w Mary_Restructuring &amp; Separation" xfId="9750" xr:uid="{00000000-0005-0000-0000-000015260000}"/>
    <cellStyle name="_MOR-BDW_MOR - BDWY - 1+11_MOR - Gurgaon - 3+9(R)_Revised MOR Package_II.4. RawMaterials" xfId="9751" xr:uid="{00000000-0005-0000-0000-000016260000}"/>
    <cellStyle name="_MOR-BDW_MOR - BDWY - 1+11_MOR - Gurgaon - 3+9(R)_Revised MOR Package_II.4. RawMaterials 2" xfId="9752" xr:uid="{00000000-0005-0000-0000-000017260000}"/>
    <cellStyle name="_MOR-BDW_MOR - BDWY - 1+11_MOR - Gurgaon - 3+9(R)_Revised MOR Package_II.4. RawMaterials_BS retrieve" xfId="9753" xr:uid="{00000000-0005-0000-0000-000018260000}"/>
    <cellStyle name="_MOR-BDW_MOR - BDWY - 1+11_MOR - Gurgaon - 3+9(R)_Revised MOR Package_II.4. RawMaterials_Free CF" xfId="9754" xr:uid="{00000000-0005-0000-0000-000019260000}"/>
    <cellStyle name="_MOR-BDW_MOR - BDWY - 1+11_MOR - Gurgaon - 3+9(R)_Revised MOR Package_II.4. RawMaterials_P&amp;L Rec Qtr" xfId="9755" xr:uid="{00000000-0005-0000-0000-00001A260000}"/>
    <cellStyle name="_MOR-BDW_MOR - BDWY - 1+11_MOR - Gurgaon - 3+9(R)_Revised MOR Package_II.4. RawMaterials_Sheet1" xfId="9756" xr:uid="{00000000-0005-0000-0000-00001B260000}"/>
    <cellStyle name="_MOR-BDW_MOR - BDWY - 1+11_MOR - Gurgaon - 3+9(R)_Revised MOR Package_II.4. RawMaterials_Sheet2" xfId="9757" xr:uid="{00000000-0005-0000-0000-00001C260000}"/>
    <cellStyle name="_MOR-BDW_MOR - BDWY - 1+11_MOR - Gurgaon - 3+9(R)_Revised MOR Package_II.4. RawMaterials_Sheet3" xfId="9758" xr:uid="{00000000-0005-0000-0000-00001D260000}"/>
    <cellStyle name="_MOR-BDW_MOR - BDWY - 1+11_MOR - Gurgaon - 3+9(R)_Revised MOR Package_II.4. RawMaterials_Sheet4" xfId="9759" xr:uid="{00000000-0005-0000-0000-00001E260000}"/>
    <cellStyle name="_MOR-BDW_MOR - BDWY - 1+11_MOR - Gurgaon - 3+9(R)_Revised MOR Package_II.5. RawMaterials" xfId="9760" xr:uid="{00000000-0005-0000-0000-00001F260000}"/>
    <cellStyle name="_MOR-BDW_MOR - BDWY - 1+11_MOR - Gurgaon - 3+9(R)_Revised MOR Package_II.5. RawMaterials 2" xfId="9761" xr:uid="{00000000-0005-0000-0000-000020260000}"/>
    <cellStyle name="_MOR-BDW_MOR - BDWY - 1+11_MOR - Gurgaon - 3+9(R)_Revised MOR Package_II.5. RawMaterials_BS retrieve" xfId="9762" xr:uid="{00000000-0005-0000-0000-000021260000}"/>
    <cellStyle name="_MOR-BDW_MOR - BDWY - 1+11_MOR - Gurgaon - 3+9(R)_Revised MOR Package_II.5. RawMaterials_Free CF" xfId="9763" xr:uid="{00000000-0005-0000-0000-000022260000}"/>
    <cellStyle name="_MOR-BDW_MOR - BDWY - 1+11_MOR - Gurgaon - 3+9(R)_Revised MOR Package_II.5. RawMaterials_P&amp;L Rec Qtr" xfId="9764" xr:uid="{00000000-0005-0000-0000-000023260000}"/>
    <cellStyle name="_MOR-BDW_MOR - BDWY - 1+11_MOR - Gurgaon - 3+9(R)_Revised MOR Package_II.5. RawMaterials_Sheet1" xfId="9765" xr:uid="{00000000-0005-0000-0000-000024260000}"/>
    <cellStyle name="_MOR-BDW_MOR - BDWY - 1+11_MOR - Gurgaon - 3+9(R)_Revised MOR Package_II.5. RawMaterials_Sheet2" xfId="9766" xr:uid="{00000000-0005-0000-0000-000025260000}"/>
    <cellStyle name="_MOR-BDW_MOR - BDWY - 1+11_MOR - Gurgaon - 3+9(R)_Revised MOR Package_II.5. RawMaterials_Sheet3" xfId="9767" xr:uid="{00000000-0005-0000-0000-000026260000}"/>
    <cellStyle name="_MOR-BDW_MOR - BDWY - 1+11_MOR - Gurgaon - 3+9(R)_Revised MOR Package_II.5. RawMaterials_Sheet4" xfId="9768" xr:uid="{00000000-0005-0000-0000-000027260000}"/>
    <cellStyle name="_MOR-BDW_MOR - BDWY - 1+11_MOR - Gurgaon - 3+9(R)_Revised MOR Package_II.5. RM Volume Sensitivities" xfId="9769" xr:uid="{00000000-0005-0000-0000-000028260000}"/>
    <cellStyle name="_MOR-BDW_MOR - BDWY - 1+11_MOR - Gurgaon - 3+9(R)_Revised MOR Package_II.5. RM Volume Sensitivities 2" xfId="9770" xr:uid="{00000000-0005-0000-0000-000029260000}"/>
    <cellStyle name="_MOR-BDW_MOR - BDWY - 1+11_MOR - Gurgaon - 3+9(R)_Revised MOR Package_II.5. RM Volume Sensitivities_BS retrieve" xfId="9771" xr:uid="{00000000-0005-0000-0000-00002A260000}"/>
    <cellStyle name="_MOR-BDW_MOR - BDWY - 1+11_MOR - Gurgaon - 3+9(R)_Revised MOR Package_II.5. RM Volume Sensitivities_Free CF" xfId="9772" xr:uid="{00000000-0005-0000-0000-00002B260000}"/>
    <cellStyle name="_MOR-BDW_MOR - BDWY - 1+11_MOR - Gurgaon - 3+9(R)_Revised MOR Package_II.5. RM Volume Sensitivities_P&amp;L Rec Qtr" xfId="9773" xr:uid="{00000000-0005-0000-0000-00002C260000}"/>
    <cellStyle name="_MOR-BDW_MOR - BDWY - 1+11_MOR - Gurgaon - 3+9(R)_Revised MOR Package_II.5. RM Volume Sensitivities_Sheet1" xfId="9774" xr:uid="{00000000-0005-0000-0000-00002D260000}"/>
    <cellStyle name="_MOR-BDW_MOR - BDWY - 1+11_MOR - Gurgaon - 3+9(R)_Revised MOR Package_II.5. RM Volume Sensitivities_Sheet2" xfId="9775" xr:uid="{00000000-0005-0000-0000-00002E260000}"/>
    <cellStyle name="_MOR-BDW_MOR - BDWY - 1+11_MOR - Gurgaon - 3+9(R)_Revised MOR Package_II.5. RM Volume Sensitivities_Sheet3" xfId="9776" xr:uid="{00000000-0005-0000-0000-00002F260000}"/>
    <cellStyle name="_MOR-BDW_MOR - BDWY - 1+11_MOR - Gurgaon - 3+9(R)_Revised MOR Package_II.5. RM Volume Sensitivities_Sheet4" xfId="9777" xr:uid="{00000000-0005-0000-0000-000030260000}"/>
    <cellStyle name="_MOR-BDW_MOR - BDWY - 1+11_MOR - Gurgaon - 3+9(R)_Revised MOR Package_II.8. Sep&amp;Discrete" xfId="9778" xr:uid="{00000000-0005-0000-0000-000031260000}"/>
    <cellStyle name="_MOR-BDW_MOR - BDWY - 1+11_MOR - Gurgaon - 3+9(R)_Revised MOR Package_Restructuring &amp; Separation" xfId="9779" xr:uid="{00000000-0005-0000-0000-000032260000}"/>
    <cellStyle name="_MOR-BDW_MOR - BDWY - 1+11_MOR - Gurgaon - 3+9(R)_Revised MOR Package_Restructuring_Separation_TAX_JuneFC2010 tf" xfId="9780" xr:uid="{00000000-0005-0000-0000-000033260000}"/>
    <cellStyle name="_MOR-BDW_MOR - BDWY - 1+11_MOR - Gurgaon - 3+9(R)_Revised MOR Package_Restructuring_Separation_TAX_JuneFC2010 tf_BS_Separation_TaxResIndem_Q12412 tf" xfId="9781" xr:uid="{00000000-0005-0000-0000-000034260000}"/>
    <cellStyle name="_MOR-BDW_MOR - BDWY - 1+11_MOR - Gurgaon - 3+9(R)_Revised MOR Package_Restructuring_Separation_TAX_JuneFC2010 tf_BS_Separation_TaxResIndem_Q12412 tf_Restructuring &amp; Separation" xfId="9782" xr:uid="{00000000-0005-0000-0000-000035260000}"/>
    <cellStyle name="_MOR-BDW_MOR - BDWY - 1+11_MOR - Gurgaon - 3+9(R)_Revised MOR Package_Restructuring_Separation_TAX_JuneFC2010 tf_II.8. Sep&amp;Discrete" xfId="9783" xr:uid="{00000000-0005-0000-0000-000036260000}"/>
    <cellStyle name="_MOR-BDW_MOR - BDWY - 1+11_MOR - Gurgaon - 3+9(R)_Revised MOR Package_Restructuring_Separation_TAX_JuneFC2010 tf_Restructuring &amp; Separation" xfId="9784" xr:uid="{00000000-0005-0000-0000-000037260000}"/>
    <cellStyle name="_MOR-BDW_MOR - BDWY - 1+11_MOR - Gurgaon - 3+9(R)_Revised MOR Package_Revised MOR Package - Latest" xfId="9785" xr:uid="{00000000-0005-0000-0000-000038260000}"/>
    <cellStyle name="_MOR-BDW_MOR - BDWY - 1+11_MOR - Gurgaon - 3+9(R)_Revised MOR Package_Revised MOR Package - Latest_BS_Separation_TaxResIndem_Q12412 tf" xfId="9786" xr:uid="{00000000-0005-0000-0000-000039260000}"/>
    <cellStyle name="_MOR-BDW_MOR - BDWY - 1+11_MOR - Gurgaon - 3+9(R)_Revised MOR Package_Revised MOR Package - Latest_BS_Separation_TaxResIndem_Q12412 tf_Restructuring &amp; Separation" xfId="9787" xr:uid="{00000000-0005-0000-0000-00003A260000}"/>
    <cellStyle name="_MOR-BDW_MOR - BDWY - 1+11_MOR - Gurgaon - 3+9(R)_Revised MOR Package_Revised MOR Package - Latest_By Country Detail 1Q10 041410pm FIN 18 revised per disc w Mary" xfId="9788" xr:uid="{00000000-0005-0000-0000-00003B260000}"/>
    <cellStyle name="_MOR-BDW_MOR - BDWY - 1+11_MOR - Gurgaon - 3+9(R)_Revised MOR Package_Revised MOR Package - Latest_By Country Detail 1Q10 041410pm FIN 18 revised per disc w Mary_BS_Separation_TaxResIndem_Q12412 tf" xfId="9789" xr:uid="{00000000-0005-0000-0000-00003C260000}"/>
    <cellStyle name="_MOR-BDW_MOR - BDWY - 1+11_MOR - Gurgaon - 3+9(R)_Revised MOR Package_Revised MOR Package - Latest_By Country Detail 1Q10 041410pm FIN 18 revised per disc w Mary_BS_Separation_TaxResIndem_Q12412 tf_Restructuring &amp; Separation" xfId="9790" xr:uid="{00000000-0005-0000-0000-00003D260000}"/>
    <cellStyle name="_MOR-BDW_MOR - BDWY - 1+11_MOR - Gurgaon - 3+9(R)_Revised MOR Package_Revised MOR Package - Latest_By Country Detail 1Q10 041410pm FIN 18 revised per disc w Mary_II.8. Sep&amp;Discrete" xfId="9791" xr:uid="{00000000-0005-0000-0000-00003E260000}"/>
    <cellStyle name="_MOR-BDW_MOR - BDWY - 1+11_MOR - Gurgaon - 3+9(R)_Revised MOR Package_Revised MOR Package - Latest_By Country Detail 1Q10 041410pm FIN 18 revised per disc w Mary_Restructuring &amp; Separation" xfId="9792" xr:uid="{00000000-0005-0000-0000-00003F260000}"/>
    <cellStyle name="_MOR-BDW_MOR - BDWY - 1+11_MOR - Gurgaon - 3+9(R)_Revised MOR Package_Revised MOR Package - Latest_II.4. RawMaterials" xfId="9793" xr:uid="{00000000-0005-0000-0000-000040260000}"/>
    <cellStyle name="_MOR-BDW_MOR - BDWY - 1+11_MOR - Gurgaon - 3+9(R)_Revised MOR Package_Revised MOR Package - Latest_II.4. RawMaterials 2" xfId="9794" xr:uid="{00000000-0005-0000-0000-000041260000}"/>
    <cellStyle name="_MOR-BDW_MOR - BDWY - 1+11_MOR - Gurgaon - 3+9(R)_Revised MOR Package_Revised MOR Package - Latest_II.4. RawMaterials_BS retrieve" xfId="9795" xr:uid="{00000000-0005-0000-0000-000042260000}"/>
    <cellStyle name="_MOR-BDW_MOR - BDWY - 1+11_MOR - Gurgaon - 3+9(R)_Revised MOR Package_Revised MOR Package - Latest_II.4. RawMaterials_Free CF" xfId="9796" xr:uid="{00000000-0005-0000-0000-000043260000}"/>
    <cellStyle name="_MOR-BDW_MOR - BDWY - 1+11_MOR - Gurgaon - 3+9(R)_Revised MOR Package_Revised MOR Package - Latest_II.4. RawMaterials_P&amp;L Rec Qtr" xfId="9797" xr:uid="{00000000-0005-0000-0000-000044260000}"/>
    <cellStyle name="_MOR-BDW_MOR - BDWY - 1+11_MOR - Gurgaon - 3+9(R)_Revised MOR Package_Revised MOR Package - Latest_II.4. RawMaterials_Sheet1" xfId="9798" xr:uid="{00000000-0005-0000-0000-000045260000}"/>
    <cellStyle name="_MOR-BDW_MOR - BDWY - 1+11_MOR - Gurgaon - 3+9(R)_Revised MOR Package_Revised MOR Package - Latest_II.4. RawMaterials_Sheet2" xfId="9799" xr:uid="{00000000-0005-0000-0000-000046260000}"/>
    <cellStyle name="_MOR-BDW_MOR - BDWY - 1+11_MOR - Gurgaon - 3+9(R)_Revised MOR Package_Revised MOR Package - Latest_II.4. RawMaterials_Sheet3" xfId="9800" xr:uid="{00000000-0005-0000-0000-000047260000}"/>
    <cellStyle name="_MOR-BDW_MOR - BDWY - 1+11_MOR - Gurgaon - 3+9(R)_Revised MOR Package_Revised MOR Package - Latest_II.4. RawMaterials_Sheet4" xfId="9801" xr:uid="{00000000-0005-0000-0000-000048260000}"/>
    <cellStyle name="_MOR-BDW_MOR - BDWY - 1+11_MOR - Gurgaon - 3+9(R)_Revised MOR Package_Revised MOR Package - Latest_II.5. RawMaterials" xfId="9802" xr:uid="{00000000-0005-0000-0000-000049260000}"/>
    <cellStyle name="_MOR-BDW_MOR - BDWY - 1+11_MOR - Gurgaon - 3+9(R)_Revised MOR Package_Revised MOR Package - Latest_II.5. RawMaterials 2" xfId="9803" xr:uid="{00000000-0005-0000-0000-00004A260000}"/>
    <cellStyle name="_MOR-BDW_MOR - BDWY - 1+11_MOR - Gurgaon - 3+9(R)_Revised MOR Package_Revised MOR Package - Latest_II.5. RawMaterials_BS retrieve" xfId="9804" xr:uid="{00000000-0005-0000-0000-00004B260000}"/>
    <cellStyle name="_MOR-BDW_MOR - BDWY - 1+11_MOR - Gurgaon - 3+9(R)_Revised MOR Package_Revised MOR Package - Latest_II.5. RawMaterials_Free CF" xfId="9805" xr:uid="{00000000-0005-0000-0000-00004C260000}"/>
    <cellStyle name="_MOR-BDW_MOR - BDWY - 1+11_MOR - Gurgaon - 3+9(R)_Revised MOR Package_Revised MOR Package - Latest_II.5. RawMaterials_P&amp;L Rec Qtr" xfId="9806" xr:uid="{00000000-0005-0000-0000-00004D260000}"/>
    <cellStyle name="_MOR-BDW_MOR - BDWY - 1+11_MOR - Gurgaon - 3+9(R)_Revised MOR Package_Revised MOR Package - Latest_II.5. RawMaterials_Sheet1" xfId="9807" xr:uid="{00000000-0005-0000-0000-00004E260000}"/>
    <cellStyle name="_MOR-BDW_MOR - BDWY - 1+11_MOR - Gurgaon - 3+9(R)_Revised MOR Package_Revised MOR Package - Latest_II.5. RawMaterials_Sheet2" xfId="9808" xr:uid="{00000000-0005-0000-0000-00004F260000}"/>
    <cellStyle name="_MOR-BDW_MOR - BDWY - 1+11_MOR - Gurgaon - 3+9(R)_Revised MOR Package_Revised MOR Package - Latest_II.5. RawMaterials_Sheet3" xfId="9809" xr:uid="{00000000-0005-0000-0000-000050260000}"/>
    <cellStyle name="_MOR-BDW_MOR - BDWY - 1+11_MOR - Gurgaon - 3+9(R)_Revised MOR Package_Revised MOR Package - Latest_II.5. RawMaterials_Sheet4" xfId="9810" xr:uid="{00000000-0005-0000-0000-000051260000}"/>
    <cellStyle name="_MOR-BDW_MOR - BDWY - 1+11_MOR - Gurgaon - 3+9(R)_Revised MOR Package_Revised MOR Package - Latest_II.5. RM Volume Sensitivities" xfId="9811" xr:uid="{00000000-0005-0000-0000-000052260000}"/>
    <cellStyle name="_MOR-BDW_MOR - BDWY - 1+11_MOR - Gurgaon - 3+9(R)_Revised MOR Package_Revised MOR Package - Latest_II.5. RM Volume Sensitivities 2" xfId="9812" xr:uid="{00000000-0005-0000-0000-000053260000}"/>
    <cellStyle name="_MOR-BDW_MOR - BDWY - 1+11_MOR - Gurgaon - 3+9(R)_Revised MOR Package_Revised MOR Package - Latest_II.5. RM Volume Sensitivities_BS retrieve" xfId="9813" xr:uid="{00000000-0005-0000-0000-000054260000}"/>
    <cellStyle name="_MOR-BDW_MOR - BDWY - 1+11_MOR - Gurgaon - 3+9(R)_Revised MOR Package_Revised MOR Package - Latest_II.5. RM Volume Sensitivities_Free CF" xfId="9814" xr:uid="{00000000-0005-0000-0000-000055260000}"/>
    <cellStyle name="_MOR-BDW_MOR - BDWY - 1+11_MOR - Gurgaon - 3+9(R)_Revised MOR Package_Revised MOR Package - Latest_II.5. RM Volume Sensitivities_P&amp;L Rec Qtr" xfId="9815" xr:uid="{00000000-0005-0000-0000-000056260000}"/>
    <cellStyle name="_MOR-BDW_MOR - BDWY - 1+11_MOR - Gurgaon - 3+9(R)_Revised MOR Package_Revised MOR Package - Latest_II.5. RM Volume Sensitivities_Sheet1" xfId="9816" xr:uid="{00000000-0005-0000-0000-000057260000}"/>
    <cellStyle name="_MOR-BDW_MOR - BDWY - 1+11_MOR - Gurgaon - 3+9(R)_Revised MOR Package_Revised MOR Package - Latest_II.5. RM Volume Sensitivities_Sheet2" xfId="9817" xr:uid="{00000000-0005-0000-0000-000058260000}"/>
    <cellStyle name="_MOR-BDW_MOR - BDWY - 1+11_MOR - Gurgaon - 3+9(R)_Revised MOR Package_Revised MOR Package - Latest_II.5. RM Volume Sensitivities_Sheet3" xfId="9818" xr:uid="{00000000-0005-0000-0000-000059260000}"/>
    <cellStyle name="_MOR-BDW_MOR - BDWY - 1+11_MOR - Gurgaon - 3+9(R)_Revised MOR Package_Revised MOR Package - Latest_II.5. RM Volume Sensitivities_Sheet4" xfId="9819" xr:uid="{00000000-0005-0000-0000-00005A260000}"/>
    <cellStyle name="_MOR-BDW_MOR - BDWY - 1+11_MOR - Gurgaon - 3+9(R)_Revised MOR Package_Revised MOR Package - Latest_II.8. Sep&amp;Discrete" xfId="9820" xr:uid="{00000000-0005-0000-0000-00005B260000}"/>
    <cellStyle name="_MOR-BDW_MOR - BDWY - 1+11_MOR - Gurgaon - 3+9(R)_Revised MOR Package_Revised MOR Package - Latest_Restructuring &amp; Separation" xfId="9821" xr:uid="{00000000-0005-0000-0000-00005C260000}"/>
    <cellStyle name="_MOR-BDW_MOR - BDWY - 1+11_MOR - Gurgaon - 3+9(R)_Revised MOR Package_Revised MOR Package - Latest_Restructuring_Separation_TAX_JuneFC2010 tf" xfId="9822" xr:uid="{00000000-0005-0000-0000-00005D260000}"/>
    <cellStyle name="_MOR-BDW_MOR - BDWY - 1+11_MOR - Gurgaon - 3+9(R)_Revised MOR Package_Revised MOR Package - Latest_Restructuring_Separation_TAX_JuneFC2010 tf_BS_Separation_TaxResIndem_Q12412 tf" xfId="9823" xr:uid="{00000000-0005-0000-0000-00005E260000}"/>
    <cellStyle name="_MOR-BDW_MOR - BDWY - 1+11_MOR - Gurgaon - 3+9(R)_Revised MOR Package_Revised MOR Package - Latest_Restructuring_Separation_TAX_JuneFC2010 tf_BS_Separation_TaxResIndem_Q12412 tf_Restructuring &amp; Separation" xfId="9824" xr:uid="{00000000-0005-0000-0000-00005F260000}"/>
    <cellStyle name="_MOR-BDW_MOR - BDWY - 1+11_MOR - Gurgaon - 3+9(R)_Revised MOR Package_Revised MOR Package - Latest_Restructuring_Separation_TAX_JuneFC2010 tf_II.8. Sep&amp;Discrete" xfId="9825" xr:uid="{00000000-0005-0000-0000-000060260000}"/>
    <cellStyle name="_MOR-BDW_MOR - BDWY - 1+11_MOR - Gurgaon - 3+9(R)_Revised MOR Package_Revised MOR Package - Latest_Restructuring_Separation_TAX_JuneFC2010 tf_Restructuring &amp; Separation" xfId="9826" xr:uid="{00000000-0005-0000-0000-000061260000}"/>
    <cellStyle name="_MOR-BDW_MOR - BDWY - 1+11_MOR - Gurgaon - 3+9(R)-1" xfId="9827" xr:uid="{00000000-0005-0000-0000-000062260000}"/>
    <cellStyle name="_MOR-BDW_MOR - BDWY - 1+11_MOR - Gurgaon - 3+9(R)-1_BS_Separation_TaxResIndem_Q12412 tf" xfId="9828" xr:uid="{00000000-0005-0000-0000-000063260000}"/>
    <cellStyle name="_MOR-BDW_MOR - BDWY - 1+11_MOR - Gurgaon - 3+9(R)-1_BS_Separation_TaxResIndem_Q12412 tf_Restructuring &amp; Separation" xfId="9829" xr:uid="{00000000-0005-0000-0000-000064260000}"/>
    <cellStyle name="_MOR-BDW_MOR - BDWY - 1+11_MOR - Gurgaon - 3+9(R)-1_By Country Detail 1Q10 041410pm FIN 18 revised per disc w Mary" xfId="9830" xr:uid="{00000000-0005-0000-0000-000065260000}"/>
    <cellStyle name="_MOR-BDW_MOR - BDWY - 1+11_MOR - Gurgaon - 3+9(R)-1_By Country Detail 1Q10 041410pm FIN 18 revised per disc w Mary_BS_Separation_TaxResIndem_Q12412 tf" xfId="9831" xr:uid="{00000000-0005-0000-0000-000066260000}"/>
    <cellStyle name="_MOR-BDW_MOR - BDWY - 1+11_MOR - Gurgaon - 3+9(R)-1_By Country Detail 1Q10 041410pm FIN 18 revised per disc w Mary_BS_Separation_TaxResIndem_Q12412 tf_Restructuring &amp; Separation" xfId="9832" xr:uid="{00000000-0005-0000-0000-000067260000}"/>
    <cellStyle name="_MOR-BDW_MOR - BDWY - 1+11_MOR - Gurgaon - 3+9(R)-1_By Country Detail 1Q10 041410pm FIN 18 revised per disc w Mary_II.8. Sep&amp;Discrete" xfId="9833" xr:uid="{00000000-0005-0000-0000-000068260000}"/>
    <cellStyle name="_MOR-BDW_MOR - BDWY - 1+11_MOR - Gurgaon - 3+9(R)-1_By Country Detail 1Q10 041410pm FIN 18 revised per disc w Mary_Restructuring &amp; Separation" xfId="9834" xr:uid="{00000000-0005-0000-0000-000069260000}"/>
    <cellStyle name="_MOR-BDW_MOR - BDWY - 1+11_MOR - Gurgaon - 3+9(R)-1_II.4. RawMaterials" xfId="9835" xr:uid="{00000000-0005-0000-0000-00006A260000}"/>
    <cellStyle name="_MOR-BDW_MOR - BDWY - 1+11_MOR - Gurgaon - 3+9(R)-1_II.4. RawMaterials 2" xfId="9836" xr:uid="{00000000-0005-0000-0000-00006B260000}"/>
    <cellStyle name="_MOR-BDW_MOR - BDWY - 1+11_MOR - Gurgaon - 3+9(R)-1_II.4. RawMaterials_BS retrieve" xfId="9837" xr:uid="{00000000-0005-0000-0000-00006C260000}"/>
    <cellStyle name="_MOR-BDW_MOR - BDWY - 1+11_MOR - Gurgaon - 3+9(R)-1_II.4. RawMaterials_Free CF" xfId="9838" xr:uid="{00000000-0005-0000-0000-00006D260000}"/>
    <cellStyle name="_MOR-BDW_MOR - BDWY - 1+11_MOR - Gurgaon - 3+9(R)-1_II.4. RawMaterials_P&amp;L Rec Qtr" xfId="9839" xr:uid="{00000000-0005-0000-0000-00006E260000}"/>
    <cellStyle name="_MOR-BDW_MOR - BDWY - 1+11_MOR - Gurgaon - 3+9(R)-1_II.4. RawMaterials_Sheet1" xfId="9840" xr:uid="{00000000-0005-0000-0000-00006F260000}"/>
    <cellStyle name="_MOR-BDW_MOR - BDWY - 1+11_MOR - Gurgaon - 3+9(R)-1_II.4. RawMaterials_Sheet2" xfId="9841" xr:uid="{00000000-0005-0000-0000-000070260000}"/>
    <cellStyle name="_MOR-BDW_MOR - BDWY - 1+11_MOR - Gurgaon - 3+9(R)-1_II.4. RawMaterials_Sheet3" xfId="9842" xr:uid="{00000000-0005-0000-0000-000071260000}"/>
    <cellStyle name="_MOR-BDW_MOR - BDWY - 1+11_MOR - Gurgaon - 3+9(R)-1_II.4. RawMaterials_Sheet4" xfId="9843" xr:uid="{00000000-0005-0000-0000-000072260000}"/>
    <cellStyle name="_MOR-BDW_MOR - BDWY - 1+11_MOR - Gurgaon - 3+9(R)-1_II.5. RawMaterials" xfId="9844" xr:uid="{00000000-0005-0000-0000-000073260000}"/>
    <cellStyle name="_MOR-BDW_MOR - BDWY - 1+11_MOR - Gurgaon - 3+9(R)-1_II.5. RawMaterials 2" xfId="9845" xr:uid="{00000000-0005-0000-0000-000074260000}"/>
    <cellStyle name="_MOR-BDW_MOR - BDWY - 1+11_MOR - Gurgaon - 3+9(R)-1_II.5. RawMaterials_BS retrieve" xfId="9846" xr:uid="{00000000-0005-0000-0000-000075260000}"/>
    <cellStyle name="_MOR-BDW_MOR - BDWY - 1+11_MOR - Gurgaon - 3+9(R)-1_II.5. RawMaterials_Free CF" xfId="9847" xr:uid="{00000000-0005-0000-0000-000076260000}"/>
    <cellStyle name="_MOR-BDW_MOR - BDWY - 1+11_MOR - Gurgaon - 3+9(R)-1_II.5. RawMaterials_P&amp;L Rec Qtr" xfId="9848" xr:uid="{00000000-0005-0000-0000-000077260000}"/>
    <cellStyle name="_MOR-BDW_MOR - BDWY - 1+11_MOR - Gurgaon - 3+9(R)-1_II.5. RawMaterials_Sheet1" xfId="9849" xr:uid="{00000000-0005-0000-0000-000078260000}"/>
    <cellStyle name="_MOR-BDW_MOR - BDWY - 1+11_MOR - Gurgaon - 3+9(R)-1_II.5. RawMaterials_Sheet2" xfId="9850" xr:uid="{00000000-0005-0000-0000-000079260000}"/>
    <cellStyle name="_MOR-BDW_MOR - BDWY - 1+11_MOR - Gurgaon - 3+9(R)-1_II.5. RawMaterials_Sheet3" xfId="9851" xr:uid="{00000000-0005-0000-0000-00007A260000}"/>
    <cellStyle name="_MOR-BDW_MOR - BDWY - 1+11_MOR - Gurgaon - 3+9(R)-1_II.5. RawMaterials_Sheet4" xfId="9852" xr:uid="{00000000-0005-0000-0000-00007B260000}"/>
    <cellStyle name="_MOR-BDW_MOR - BDWY - 1+11_MOR - Gurgaon - 3+9(R)-1_II.5. RM Volume Sensitivities" xfId="9853" xr:uid="{00000000-0005-0000-0000-00007C260000}"/>
    <cellStyle name="_MOR-BDW_MOR - BDWY - 1+11_MOR - Gurgaon - 3+9(R)-1_II.5. RM Volume Sensitivities 2" xfId="9854" xr:uid="{00000000-0005-0000-0000-00007D260000}"/>
    <cellStyle name="_MOR-BDW_MOR - BDWY - 1+11_MOR - Gurgaon - 3+9(R)-1_II.5. RM Volume Sensitivities_BS retrieve" xfId="9855" xr:uid="{00000000-0005-0000-0000-00007E260000}"/>
    <cellStyle name="_MOR-BDW_MOR - BDWY - 1+11_MOR - Gurgaon - 3+9(R)-1_II.5. RM Volume Sensitivities_Free CF" xfId="9856" xr:uid="{00000000-0005-0000-0000-00007F260000}"/>
    <cellStyle name="_MOR-BDW_MOR - BDWY - 1+11_MOR - Gurgaon - 3+9(R)-1_II.5. RM Volume Sensitivities_P&amp;L Rec Qtr" xfId="9857" xr:uid="{00000000-0005-0000-0000-000080260000}"/>
    <cellStyle name="_MOR-BDW_MOR - BDWY - 1+11_MOR - Gurgaon - 3+9(R)-1_II.5. RM Volume Sensitivities_Sheet1" xfId="9858" xr:uid="{00000000-0005-0000-0000-000081260000}"/>
    <cellStyle name="_MOR-BDW_MOR - BDWY - 1+11_MOR - Gurgaon - 3+9(R)-1_II.5. RM Volume Sensitivities_Sheet2" xfId="9859" xr:uid="{00000000-0005-0000-0000-000082260000}"/>
    <cellStyle name="_MOR-BDW_MOR - BDWY - 1+11_MOR - Gurgaon - 3+9(R)-1_II.5. RM Volume Sensitivities_Sheet3" xfId="9860" xr:uid="{00000000-0005-0000-0000-000083260000}"/>
    <cellStyle name="_MOR-BDW_MOR - BDWY - 1+11_MOR - Gurgaon - 3+9(R)-1_II.5. RM Volume Sensitivities_Sheet4" xfId="9861" xr:uid="{00000000-0005-0000-0000-000084260000}"/>
    <cellStyle name="_MOR-BDW_MOR - BDWY - 1+11_MOR - Gurgaon - 3+9(R)-1_II.8. Sep&amp;Discrete" xfId="9862" xr:uid="{00000000-0005-0000-0000-000085260000}"/>
    <cellStyle name="_MOR-BDW_MOR - BDWY - 1+11_MOR - Gurgaon - 3+9(R)-1_Restructuring &amp; Separation" xfId="9863" xr:uid="{00000000-0005-0000-0000-000086260000}"/>
    <cellStyle name="_MOR-BDW_MOR - BDWY - 1+11_MOR - Gurgaon - 3+9(R)-1_Restructuring_Separation_TAX_JuneFC2010 tf" xfId="9864" xr:uid="{00000000-0005-0000-0000-000087260000}"/>
    <cellStyle name="_MOR-BDW_MOR - BDWY - 1+11_MOR - Gurgaon - 3+9(R)-1_Restructuring_Separation_TAX_JuneFC2010 tf_BS_Separation_TaxResIndem_Q12412 tf" xfId="9865" xr:uid="{00000000-0005-0000-0000-000088260000}"/>
    <cellStyle name="_MOR-BDW_MOR - BDWY - 1+11_MOR - Gurgaon - 3+9(R)-1_Restructuring_Separation_TAX_JuneFC2010 tf_BS_Separation_TaxResIndem_Q12412 tf_Restructuring &amp; Separation" xfId="9866" xr:uid="{00000000-0005-0000-0000-000089260000}"/>
    <cellStyle name="_MOR-BDW_MOR - BDWY - 1+11_MOR - Gurgaon - 3+9(R)-1_Restructuring_Separation_TAX_JuneFC2010 tf_II.8. Sep&amp;Discrete" xfId="9867" xr:uid="{00000000-0005-0000-0000-00008A260000}"/>
    <cellStyle name="_MOR-BDW_MOR - BDWY - 1+11_MOR - Gurgaon - 3+9(R)-1_Restructuring_Separation_TAX_JuneFC2010 tf_Restructuring &amp; Separation" xfId="9868" xr:uid="{00000000-0005-0000-0000-00008B260000}"/>
    <cellStyle name="_MOR-BDW_MOR - BDWY - 1+11_MOR - Gurgaon - 3+9(R)-1_Revised MOR Package" xfId="9869" xr:uid="{00000000-0005-0000-0000-00008C260000}"/>
    <cellStyle name="_MOR-BDW_MOR - BDWY - 1+11_MOR - Gurgaon - 3+9(R)-1_Revised MOR Package_~0039877" xfId="9870" xr:uid="{00000000-0005-0000-0000-00008D260000}"/>
    <cellStyle name="_MOR-BDW_MOR - BDWY - 1+11_MOR - Gurgaon - 3+9(R)-1_Revised MOR Package_~0039877_BS_Separation_TaxResIndem_Q12412 tf" xfId="9871" xr:uid="{00000000-0005-0000-0000-00008E260000}"/>
    <cellStyle name="_MOR-BDW_MOR - BDWY - 1+11_MOR - Gurgaon - 3+9(R)-1_Revised MOR Package_~0039877_BS_Separation_TaxResIndem_Q12412 tf_Restructuring &amp; Separation" xfId="9872" xr:uid="{00000000-0005-0000-0000-00008F260000}"/>
    <cellStyle name="_MOR-BDW_MOR - BDWY - 1+11_MOR - Gurgaon - 3+9(R)-1_Revised MOR Package_~0039877_By Country Detail 1Q10 041410pm FIN 18 revised per disc w Mary" xfId="9873" xr:uid="{00000000-0005-0000-0000-000090260000}"/>
    <cellStyle name="_MOR-BDW_MOR - BDWY - 1+11_MOR - Gurgaon - 3+9(R)-1_Revised MOR Package_~0039877_By Country Detail 1Q10 041410pm FIN 18 revised per disc w Mary_BS_Separation_TaxResIndem_Q12412 tf" xfId="9874" xr:uid="{00000000-0005-0000-0000-000091260000}"/>
    <cellStyle name="_MOR-BDW_MOR - BDWY - 1+11_MOR - Gurgaon - 3+9(R)-1_Revised MOR Package_~0039877_By Country Detail 1Q10 041410pm FIN 18 revised per disc w Mary_BS_Separation_TaxResIndem_Q12412 tf_Restructuring &amp; Separation" xfId="9875" xr:uid="{00000000-0005-0000-0000-000092260000}"/>
    <cellStyle name="_MOR-BDW_MOR - BDWY - 1+11_MOR - Gurgaon - 3+9(R)-1_Revised MOR Package_~0039877_By Country Detail 1Q10 041410pm FIN 18 revised per disc w Mary_II.8. Sep&amp;Discrete" xfId="9876" xr:uid="{00000000-0005-0000-0000-000093260000}"/>
    <cellStyle name="_MOR-BDW_MOR - BDWY - 1+11_MOR - Gurgaon - 3+9(R)-1_Revised MOR Package_~0039877_By Country Detail 1Q10 041410pm FIN 18 revised per disc w Mary_Restructuring &amp; Separation" xfId="9877" xr:uid="{00000000-0005-0000-0000-000094260000}"/>
    <cellStyle name="_MOR-BDW_MOR - BDWY - 1+11_MOR - Gurgaon - 3+9(R)-1_Revised MOR Package_~0039877_II.4. RawMaterials" xfId="9878" xr:uid="{00000000-0005-0000-0000-000095260000}"/>
    <cellStyle name="_MOR-BDW_MOR - BDWY - 1+11_MOR - Gurgaon - 3+9(R)-1_Revised MOR Package_~0039877_II.4. RawMaterials 2" xfId="9879" xr:uid="{00000000-0005-0000-0000-000096260000}"/>
    <cellStyle name="_MOR-BDW_MOR - BDWY - 1+11_MOR - Gurgaon - 3+9(R)-1_Revised MOR Package_~0039877_II.4. RawMaterials_BS retrieve" xfId="9880" xr:uid="{00000000-0005-0000-0000-000097260000}"/>
    <cellStyle name="_MOR-BDW_MOR - BDWY - 1+11_MOR - Gurgaon - 3+9(R)-1_Revised MOR Package_~0039877_II.4. RawMaterials_Free CF" xfId="9881" xr:uid="{00000000-0005-0000-0000-000098260000}"/>
    <cellStyle name="_MOR-BDW_MOR - BDWY - 1+11_MOR - Gurgaon - 3+9(R)-1_Revised MOR Package_~0039877_II.4. RawMaterials_P&amp;L Rec Qtr" xfId="9882" xr:uid="{00000000-0005-0000-0000-000099260000}"/>
    <cellStyle name="_MOR-BDW_MOR - BDWY - 1+11_MOR - Gurgaon - 3+9(R)-1_Revised MOR Package_~0039877_II.4. RawMaterials_Sheet1" xfId="9883" xr:uid="{00000000-0005-0000-0000-00009A260000}"/>
    <cellStyle name="_MOR-BDW_MOR - BDWY - 1+11_MOR - Gurgaon - 3+9(R)-1_Revised MOR Package_~0039877_II.4. RawMaterials_Sheet2" xfId="9884" xr:uid="{00000000-0005-0000-0000-00009B260000}"/>
    <cellStyle name="_MOR-BDW_MOR - BDWY - 1+11_MOR - Gurgaon - 3+9(R)-1_Revised MOR Package_~0039877_II.4. RawMaterials_Sheet3" xfId="9885" xr:uid="{00000000-0005-0000-0000-00009C260000}"/>
    <cellStyle name="_MOR-BDW_MOR - BDWY - 1+11_MOR - Gurgaon - 3+9(R)-1_Revised MOR Package_~0039877_II.4. RawMaterials_Sheet4" xfId="9886" xr:uid="{00000000-0005-0000-0000-00009D260000}"/>
    <cellStyle name="_MOR-BDW_MOR - BDWY - 1+11_MOR - Gurgaon - 3+9(R)-1_Revised MOR Package_~0039877_II.5. RawMaterials" xfId="9887" xr:uid="{00000000-0005-0000-0000-00009E260000}"/>
    <cellStyle name="_MOR-BDW_MOR - BDWY - 1+11_MOR - Gurgaon - 3+9(R)-1_Revised MOR Package_~0039877_II.5. RawMaterials 2" xfId="9888" xr:uid="{00000000-0005-0000-0000-00009F260000}"/>
    <cellStyle name="_MOR-BDW_MOR - BDWY - 1+11_MOR - Gurgaon - 3+9(R)-1_Revised MOR Package_~0039877_II.5. RawMaterials_BS retrieve" xfId="9889" xr:uid="{00000000-0005-0000-0000-0000A0260000}"/>
    <cellStyle name="_MOR-BDW_MOR - BDWY - 1+11_MOR - Gurgaon - 3+9(R)-1_Revised MOR Package_~0039877_II.5. RawMaterials_Free CF" xfId="9890" xr:uid="{00000000-0005-0000-0000-0000A1260000}"/>
    <cellStyle name="_MOR-BDW_MOR - BDWY - 1+11_MOR - Gurgaon - 3+9(R)-1_Revised MOR Package_~0039877_II.5. RawMaterials_P&amp;L Rec Qtr" xfId="9891" xr:uid="{00000000-0005-0000-0000-0000A2260000}"/>
    <cellStyle name="_MOR-BDW_MOR - BDWY - 1+11_MOR - Gurgaon - 3+9(R)-1_Revised MOR Package_~0039877_II.5. RawMaterials_Sheet1" xfId="9892" xr:uid="{00000000-0005-0000-0000-0000A3260000}"/>
    <cellStyle name="_MOR-BDW_MOR - BDWY - 1+11_MOR - Gurgaon - 3+9(R)-1_Revised MOR Package_~0039877_II.5. RawMaterials_Sheet2" xfId="9893" xr:uid="{00000000-0005-0000-0000-0000A4260000}"/>
    <cellStyle name="_MOR-BDW_MOR - BDWY - 1+11_MOR - Gurgaon - 3+9(R)-1_Revised MOR Package_~0039877_II.5. RawMaterials_Sheet3" xfId="9894" xr:uid="{00000000-0005-0000-0000-0000A5260000}"/>
    <cellStyle name="_MOR-BDW_MOR - BDWY - 1+11_MOR - Gurgaon - 3+9(R)-1_Revised MOR Package_~0039877_II.5. RawMaterials_Sheet4" xfId="9895" xr:uid="{00000000-0005-0000-0000-0000A6260000}"/>
    <cellStyle name="_MOR-BDW_MOR - BDWY - 1+11_MOR - Gurgaon - 3+9(R)-1_Revised MOR Package_~0039877_II.5. RM Volume Sensitivities" xfId="9896" xr:uid="{00000000-0005-0000-0000-0000A7260000}"/>
    <cellStyle name="_MOR-BDW_MOR - BDWY - 1+11_MOR - Gurgaon - 3+9(R)-1_Revised MOR Package_~0039877_II.5. RM Volume Sensitivities 2" xfId="9897" xr:uid="{00000000-0005-0000-0000-0000A8260000}"/>
    <cellStyle name="_MOR-BDW_MOR - BDWY - 1+11_MOR - Gurgaon - 3+9(R)-1_Revised MOR Package_~0039877_II.5. RM Volume Sensitivities_BS retrieve" xfId="9898" xr:uid="{00000000-0005-0000-0000-0000A9260000}"/>
    <cellStyle name="_MOR-BDW_MOR - BDWY - 1+11_MOR - Gurgaon - 3+9(R)-1_Revised MOR Package_~0039877_II.5. RM Volume Sensitivities_Free CF" xfId="9899" xr:uid="{00000000-0005-0000-0000-0000AA260000}"/>
    <cellStyle name="_MOR-BDW_MOR - BDWY - 1+11_MOR - Gurgaon - 3+9(R)-1_Revised MOR Package_~0039877_II.5. RM Volume Sensitivities_P&amp;L Rec Qtr" xfId="9900" xr:uid="{00000000-0005-0000-0000-0000AB260000}"/>
    <cellStyle name="_MOR-BDW_MOR - BDWY - 1+11_MOR - Gurgaon - 3+9(R)-1_Revised MOR Package_~0039877_II.5. RM Volume Sensitivities_Sheet1" xfId="9901" xr:uid="{00000000-0005-0000-0000-0000AC260000}"/>
    <cellStyle name="_MOR-BDW_MOR - BDWY - 1+11_MOR - Gurgaon - 3+9(R)-1_Revised MOR Package_~0039877_II.5. RM Volume Sensitivities_Sheet2" xfId="9902" xr:uid="{00000000-0005-0000-0000-0000AD260000}"/>
    <cellStyle name="_MOR-BDW_MOR - BDWY - 1+11_MOR - Gurgaon - 3+9(R)-1_Revised MOR Package_~0039877_II.5. RM Volume Sensitivities_Sheet3" xfId="9903" xr:uid="{00000000-0005-0000-0000-0000AE260000}"/>
    <cellStyle name="_MOR-BDW_MOR - BDWY - 1+11_MOR - Gurgaon - 3+9(R)-1_Revised MOR Package_~0039877_II.5. RM Volume Sensitivities_Sheet4" xfId="9904" xr:uid="{00000000-0005-0000-0000-0000AF260000}"/>
    <cellStyle name="_MOR-BDW_MOR - BDWY - 1+11_MOR - Gurgaon - 3+9(R)-1_Revised MOR Package_~0039877_II.8. Sep&amp;Discrete" xfId="9905" xr:uid="{00000000-0005-0000-0000-0000B0260000}"/>
    <cellStyle name="_MOR-BDW_MOR - BDWY - 1+11_MOR - Gurgaon - 3+9(R)-1_Revised MOR Package_~0039877_Restructuring &amp; Separation" xfId="9906" xr:uid="{00000000-0005-0000-0000-0000B1260000}"/>
    <cellStyle name="_MOR-BDW_MOR - BDWY - 1+11_MOR - Gurgaon - 3+9(R)-1_Revised MOR Package_~0039877_Restructuring_Separation_TAX_JuneFC2010 tf" xfId="9907" xr:uid="{00000000-0005-0000-0000-0000B2260000}"/>
    <cellStyle name="_MOR-BDW_MOR - BDWY - 1+11_MOR - Gurgaon - 3+9(R)-1_Revised MOR Package_~0039877_Restructuring_Separation_TAX_JuneFC2010 tf_BS_Separation_TaxResIndem_Q12412 tf" xfId="9908" xr:uid="{00000000-0005-0000-0000-0000B3260000}"/>
    <cellStyle name="_MOR-BDW_MOR - BDWY - 1+11_MOR - Gurgaon - 3+9(R)-1_Revised MOR Package_~0039877_Restructuring_Separation_TAX_JuneFC2010 tf_BS_Separation_TaxResIndem_Q12412 tf_Restructuring &amp; Separation" xfId="9909" xr:uid="{00000000-0005-0000-0000-0000B4260000}"/>
    <cellStyle name="_MOR-BDW_MOR - BDWY - 1+11_MOR - Gurgaon - 3+9(R)-1_Revised MOR Package_~0039877_Restructuring_Separation_TAX_JuneFC2010 tf_II.8. Sep&amp;Discrete" xfId="9910" xr:uid="{00000000-0005-0000-0000-0000B5260000}"/>
    <cellStyle name="_MOR-BDW_MOR - BDWY - 1+11_MOR - Gurgaon - 3+9(R)-1_Revised MOR Package_~0039877_Restructuring_Separation_TAX_JuneFC2010 tf_Restructuring &amp; Separation" xfId="9911" xr:uid="{00000000-0005-0000-0000-0000B6260000}"/>
    <cellStyle name="_MOR-BDW_MOR - BDWY - 1+11_MOR - Gurgaon - 3+9(R)-1_Revised MOR Package_BS_Separation_TaxResIndem_Q12412 tf" xfId="9912" xr:uid="{00000000-0005-0000-0000-0000B7260000}"/>
    <cellStyle name="_MOR-BDW_MOR - BDWY - 1+11_MOR - Gurgaon - 3+9(R)-1_Revised MOR Package_BS_Separation_TaxResIndem_Q12412 tf_Restructuring &amp; Separation" xfId="9913" xr:uid="{00000000-0005-0000-0000-0000B8260000}"/>
    <cellStyle name="_MOR-BDW_MOR - BDWY - 1+11_MOR - Gurgaon - 3+9(R)-1_Revised MOR Package_By Country Detail 1Q10 041410pm FIN 18 revised per disc w Mary" xfId="9914" xr:uid="{00000000-0005-0000-0000-0000B9260000}"/>
    <cellStyle name="_MOR-BDW_MOR - BDWY - 1+11_MOR - Gurgaon - 3+9(R)-1_Revised MOR Package_By Country Detail 1Q10 041410pm FIN 18 revised per disc w Mary_BS_Separation_TaxResIndem_Q12412 tf" xfId="9915" xr:uid="{00000000-0005-0000-0000-0000BA260000}"/>
    <cellStyle name="_MOR-BDW_MOR - BDWY - 1+11_MOR - Gurgaon - 3+9(R)-1_Revised MOR Package_By Country Detail 1Q10 041410pm FIN 18 revised per disc w Mary_BS_Separation_TaxResIndem_Q12412 tf_Restructuring &amp; Separation" xfId="9916" xr:uid="{00000000-0005-0000-0000-0000BB260000}"/>
    <cellStyle name="_MOR-BDW_MOR - BDWY - 1+11_MOR - Gurgaon - 3+9(R)-1_Revised MOR Package_By Country Detail 1Q10 041410pm FIN 18 revised per disc w Mary_II.8. Sep&amp;Discrete" xfId="9917" xr:uid="{00000000-0005-0000-0000-0000BC260000}"/>
    <cellStyle name="_MOR-BDW_MOR - BDWY - 1+11_MOR - Gurgaon - 3+9(R)-1_Revised MOR Package_By Country Detail 1Q10 041410pm FIN 18 revised per disc w Mary_Restructuring &amp; Separation" xfId="9918" xr:uid="{00000000-0005-0000-0000-0000BD260000}"/>
    <cellStyle name="_MOR-BDW_MOR - BDWY - 1+11_MOR - Gurgaon - 3+9(R)-1_Revised MOR Package_II.4. RawMaterials" xfId="9919" xr:uid="{00000000-0005-0000-0000-0000BE260000}"/>
    <cellStyle name="_MOR-BDW_MOR - BDWY - 1+11_MOR - Gurgaon - 3+9(R)-1_Revised MOR Package_II.4. RawMaterials 2" xfId="9920" xr:uid="{00000000-0005-0000-0000-0000BF260000}"/>
    <cellStyle name="_MOR-BDW_MOR - BDWY - 1+11_MOR - Gurgaon - 3+9(R)-1_Revised MOR Package_II.4. RawMaterials_BS retrieve" xfId="9921" xr:uid="{00000000-0005-0000-0000-0000C0260000}"/>
    <cellStyle name="_MOR-BDW_MOR - BDWY - 1+11_MOR - Gurgaon - 3+9(R)-1_Revised MOR Package_II.4. RawMaterials_Free CF" xfId="9922" xr:uid="{00000000-0005-0000-0000-0000C1260000}"/>
    <cellStyle name="_MOR-BDW_MOR - BDWY - 1+11_MOR - Gurgaon - 3+9(R)-1_Revised MOR Package_II.4. RawMaterials_P&amp;L Rec Qtr" xfId="9923" xr:uid="{00000000-0005-0000-0000-0000C2260000}"/>
    <cellStyle name="_MOR-BDW_MOR - BDWY - 1+11_MOR - Gurgaon - 3+9(R)-1_Revised MOR Package_II.4. RawMaterials_Sheet1" xfId="9924" xr:uid="{00000000-0005-0000-0000-0000C3260000}"/>
    <cellStyle name="_MOR-BDW_MOR - BDWY - 1+11_MOR - Gurgaon - 3+9(R)-1_Revised MOR Package_II.4. RawMaterials_Sheet2" xfId="9925" xr:uid="{00000000-0005-0000-0000-0000C4260000}"/>
    <cellStyle name="_MOR-BDW_MOR - BDWY - 1+11_MOR - Gurgaon - 3+9(R)-1_Revised MOR Package_II.4. RawMaterials_Sheet3" xfId="9926" xr:uid="{00000000-0005-0000-0000-0000C5260000}"/>
    <cellStyle name="_MOR-BDW_MOR - BDWY - 1+11_MOR - Gurgaon - 3+9(R)-1_Revised MOR Package_II.4. RawMaterials_Sheet4" xfId="9927" xr:uid="{00000000-0005-0000-0000-0000C6260000}"/>
    <cellStyle name="_MOR-BDW_MOR - BDWY - 1+11_MOR - Gurgaon - 3+9(R)-1_Revised MOR Package_II.5. RawMaterials" xfId="9928" xr:uid="{00000000-0005-0000-0000-0000C7260000}"/>
    <cellStyle name="_MOR-BDW_MOR - BDWY - 1+11_MOR - Gurgaon - 3+9(R)-1_Revised MOR Package_II.5. RawMaterials 2" xfId="9929" xr:uid="{00000000-0005-0000-0000-0000C8260000}"/>
    <cellStyle name="_MOR-BDW_MOR - BDWY - 1+11_MOR - Gurgaon - 3+9(R)-1_Revised MOR Package_II.5. RawMaterials_BS retrieve" xfId="9930" xr:uid="{00000000-0005-0000-0000-0000C9260000}"/>
    <cellStyle name="_MOR-BDW_MOR - BDWY - 1+11_MOR - Gurgaon - 3+9(R)-1_Revised MOR Package_II.5. RawMaterials_Free CF" xfId="9931" xr:uid="{00000000-0005-0000-0000-0000CA260000}"/>
    <cellStyle name="_MOR-BDW_MOR - BDWY - 1+11_MOR - Gurgaon - 3+9(R)-1_Revised MOR Package_II.5. RawMaterials_P&amp;L Rec Qtr" xfId="9932" xr:uid="{00000000-0005-0000-0000-0000CB260000}"/>
    <cellStyle name="_MOR-BDW_MOR - BDWY - 1+11_MOR - Gurgaon - 3+9(R)-1_Revised MOR Package_II.5. RawMaterials_Sheet1" xfId="9933" xr:uid="{00000000-0005-0000-0000-0000CC260000}"/>
    <cellStyle name="_MOR-BDW_MOR - BDWY - 1+11_MOR - Gurgaon - 3+9(R)-1_Revised MOR Package_II.5. RawMaterials_Sheet2" xfId="9934" xr:uid="{00000000-0005-0000-0000-0000CD260000}"/>
    <cellStyle name="_MOR-BDW_MOR - BDWY - 1+11_MOR - Gurgaon - 3+9(R)-1_Revised MOR Package_II.5. RawMaterials_Sheet3" xfId="9935" xr:uid="{00000000-0005-0000-0000-0000CE260000}"/>
    <cellStyle name="_MOR-BDW_MOR - BDWY - 1+11_MOR - Gurgaon - 3+9(R)-1_Revised MOR Package_II.5. RawMaterials_Sheet4" xfId="9936" xr:uid="{00000000-0005-0000-0000-0000CF260000}"/>
    <cellStyle name="_MOR-BDW_MOR - BDWY - 1+11_MOR - Gurgaon - 3+9(R)-1_Revised MOR Package_II.5. RM Volume Sensitivities" xfId="9937" xr:uid="{00000000-0005-0000-0000-0000D0260000}"/>
    <cellStyle name="_MOR-BDW_MOR - BDWY - 1+11_MOR - Gurgaon - 3+9(R)-1_Revised MOR Package_II.5. RM Volume Sensitivities 2" xfId="9938" xr:uid="{00000000-0005-0000-0000-0000D1260000}"/>
    <cellStyle name="_MOR-BDW_MOR - BDWY - 1+11_MOR - Gurgaon - 3+9(R)-1_Revised MOR Package_II.5. RM Volume Sensitivities_BS retrieve" xfId="9939" xr:uid="{00000000-0005-0000-0000-0000D2260000}"/>
    <cellStyle name="_MOR-BDW_MOR - BDWY - 1+11_MOR - Gurgaon - 3+9(R)-1_Revised MOR Package_II.5. RM Volume Sensitivities_Free CF" xfId="9940" xr:uid="{00000000-0005-0000-0000-0000D3260000}"/>
    <cellStyle name="_MOR-BDW_MOR - BDWY - 1+11_MOR - Gurgaon - 3+9(R)-1_Revised MOR Package_II.5. RM Volume Sensitivities_P&amp;L Rec Qtr" xfId="9941" xr:uid="{00000000-0005-0000-0000-0000D4260000}"/>
    <cellStyle name="_MOR-BDW_MOR - BDWY - 1+11_MOR - Gurgaon - 3+9(R)-1_Revised MOR Package_II.5. RM Volume Sensitivities_Sheet1" xfId="9942" xr:uid="{00000000-0005-0000-0000-0000D5260000}"/>
    <cellStyle name="_MOR-BDW_MOR - BDWY - 1+11_MOR - Gurgaon - 3+9(R)-1_Revised MOR Package_II.5. RM Volume Sensitivities_Sheet2" xfId="9943" xr:uid="{00000000-0005-0000-0000-0000D6260000}"/>
    <cellStyle name="_MOR-BDW_MOR - BDWY - 1+11_MOR - Gurgaon - 3+9(R)-1_Revised MOR Package_II.5. RM Volume Sensitivities_Sheet3" xfId="9944" xr:uid="{00000000-0005-0000-0000-0000D7260000}"/>
    <cellStyle name="_MOR-BDW_MOR - BDWY - 1+11_MOR - Gurgaon - 3+9(R)-1_Revised MOR Package_II.5. RM Volume Sensitivities_Sheet4" xfId="9945" xr:uid="{00000000-0005-0000-0000-0000D8260000}"/>
    <cellStyle name="_MOR-BDW_MOR - BDWY - 1+11_MOR - Gurgaon - 3+9(R)-1_Revised MOR Package_II.8. Sep&amp;Discrete" xfId="9946" xr:uid="{00000000-0005-0000-0000-0000D9260000}"/>
    <cellStyle name="_MOR-BDW_MOR - BDWY - 1+11_MOR - Gurgaon - 3+9(R)-1_Revised MOR Package_Restructuring &amp; Separation" xfId="9947" xr:uid="{00000000-0005-0000-0000-0000DA260000}"/>
    <cellStyle name="_MOR-BDW_MOR - BDWY - 1+11_MOR - Gurgaon - 3+9(R)-1_Revised MOR Package_Restructuring_Separation_TAX_JuneFC2010 tf" xfId="9948" xr:uid="{00000000-0005-0000-0000-0000DB260000}"/>
    <cellStyle name="_MOR-BDW_MOR - BDWY - 1+11_MOR - Gurgaon - 3+9(R)-1_Revised MOR Package_Restructuring_Separation_TAX_JuneFC2010 tf_BS_Separation_TaxResIndem_Q12412 tf" xfId="9949" xr:uid="{00000000-0005-0000-0000-0000DC260000}"/>
    <cellStyle name="_MOR-BDW_MOR - BDWY - 1+11_MOR - Gurgaon - 3+9(R)-1_Revised MOR Package_Restructuring_Separation_TAX_JuneFC2010 tf_BS_Separation_TaxResIndem_Q12412 tf_Restructuring &amp; Separation" xfId="9950" xr:uid="{00000000-0005-0000-0000-0000DD260000}"/>
    <cellStyle name="_MOR-BDW_MOR - BDWY - 1+11_MOR - Gurgaon - 3+9(R)-1_Revised MOR Package_Restructuring_Separation_TAX_JuneFC2010 tf_II.8. Sep&amp;Discrete" xfId="9951" xr:uid="{00000000-0005-0000-0000-0000DE260000}"/>
    <cellStyle name="_MOR-BDW_MOR - BDWY - 1+11_MOR - Gurgaon - 3+9(R)-1_Revised MOR Package_Restructuring_Separation_TAX_JuneFC2010 tf_Restructuring &amp; Separation" xfId="9952" xr:uid="{00000000-0005-0000-0000-0000DF260000}"/>
    <cellStyle name="_MOR-BDW_MOR - BDWY - 1+11_MOR - Gurgaon - 3+9(R)-1_Revised MOR Package_Revised MOR Package - Latest" xfId="9953" xr:uid="{00000000-0005-0000-0000-0000E0260000}"/>
    <cellStyle name="_MOR-BDW_MOR - BDWY - 1+11_MOR - Gurgaon - 3+9(R)-1_Revised MOR Package_Revised MOR Package - Latest_BS_Separation_TaxResIndem_Q12412 tf" xfId="9954" xr:uid="{00000000-0005-0000-0000-0000E1260000}"/>
    <cellStyle name="_MOR-BDW_MOR - BDWY - 1+11_MOR - Gurgaon - 3+9(R)-1_Revised MOR Package_Revised MOR Package - Latest_BS_Separation_TaxResIndem_Q12412 tf_Restructuring &amp; Separation" xfId="9955" xr:uid="{00000000-0005-0000-0000-0000E2260000}"/>
    <cellStyle name="_MOR-BDW_MOR - BDWY - 1+11_MOR - Gurgaon - 3+9(R)-1_Revised MOR Package_Revised MOR Package - Latest_By Country Detail 1Q10 041410pm FIN 18 revised per disc w Mary" xfId="9956" xr:uid="{00000000-0005-0000-0000-0000E3260000}"/>
    <cellStyle name="_MOR-BDW_MOR - BDWY - 1+11_MOR - Gurgaon - 3+9(R)-1_Revised MOR Package_Revised MOR Package - Latest_By Country Detail 1Q10 041410pm FIN 18 revised per disc w Mary_BS_Separation_TaxResIndem_Q12412 tf" xfId="9957" xr:uid="{00000000-0005-0000-0000-0000E4260000}"/>
    <cellStyle name="_MOR-BDW_MOR - BDWY - 1+11_MOR - Gurgaon - 3+9(R)-1_Revised MOR Package_Revised MOR Package - Latest_By Country Detail 1Q10 041410pm FIN 18 revised per disc w Mary_BS_Separation_TaxResIndem_Q12412 tf_Restructuring &amp; Separation" xfId="9958" xr:uid="{00000000-0005-0000-0000-0000E5260000}"/>
    <cellStyle name="_MOR-BDW_MOR - BDWY - 1+11_MOR - Gurgaon - 3+9(R)-1_Revised MOR Package_Revised MOR Package - Latest_By Country Detail 1Q10 041410pm FIN 18 revised per disc w Mary_II.8. Sep&amp;Discrete" xfId="9959" xr:uid="{00000000-0005-0000-0000-0000E6260000}"/>
    <cellStyle name="_MOR-BDW_MOR - BDWY - 1+11_MOR - Gurgaon - 3+9(R)-1_Revised MOR Package_Revised MOR Package - Latest_By Country Detail 1Q10 041410pm FIN 18 revised per disc w Mary_Restructuring &amp; Separation" xfId="9960" xr:uid="{00000000-0005-0000-0000-0000E7260000}"/>
    <cellStyle name="_MOR-BDW_MOR - BDWY - 1+11_MOR - Gurgaon - 3+9(R)-1_Revised MOR Package_Revised MOR Package - Latest_II.4. RawMaterials" xfId="9961" xr:uid="{00000000-0005-0000-0000-0000E8260000}"/>
    <cellStyle name="_MOR-BDW_MOR - BDWY - 1+11_MOR - Gurgaon - 3+9(R)-1_Revised MOR Package_Revised MOR Package - Latest_II.4. RawMaterials 2" xfId="9962" xr:uid="{00000000-0005-0000-0000-0000E9260000}"/>
    <cellStyle name="_MOR-BDW_MOR - BDWY - 1+11_MOR - Gurgaon - 3+9(R)-1_Revised MOR Package_Revised MOR Package - Latest_II.4. RawMaterials_BS retrieve" xfId="9963" xr:uid="{00000000-0005-0000-0000-0000EA260000}"/>
    <cellStyle name="_MOR-BDW_MOR - BDWY - 1+11_MOR - Gurgaon - 3+9(R)-1_Revised MOR Package_Revised MOR Package - Latest_II.4. RawMaterials_Free CF" xfId="9964" xr:uid="{00000000-0005-0000-0000-0000EB260000}"/>
    <cellStyle name="_MOR-BDW_MOR - BDWY - 1+11_MOR - Gurgaon - 3+9(R)-1_Revised MOR Package_Revised MOR Package - Latest_II.4. RawMaterials_P&amp;L Rec Qtr" xfId="9965" xr:uid="{00000000-0005-0000-0000-0000EC260000}"/>
    <cellStyle name="_MOR-BDW_MOR - BDWY - 1+11_MOR - Gurgaon - 3+9(R)-1_Revised MOR Package_Revised MOR Package - Latest_II.4. RawMaterials_Sheet1" xfId="9966" xr:uid="{00000000-0005-0000-0000-0000ED260000}"/>
    <cellStyle name="_MOR-BDW_MOR - BDWY - 1+11_MOR - Gurgaon - 3+9(R)-1_Revised MOR Package_Revised MOR Package - Latest_II.4. RawMaterials_Sheet2" xfId="9967" xr:uid="{00000000-0005-0000-0000-0000EE260000}"/>
    <cellStyle name="_MOR-BDW_MOR - BDWY - 1+11_MOR - Gurgaon - 3+9(R)-1_Revised MOR Package_Revised MOR Package - Latest_II.4. RawMaterials_Sheet3" xfId="9968" xr:uid="{00000000-0005-0000-0000-0000EF260000}"/>
    <cellStyle name="_MOR-BDW_MOR - BDWY - 1+11_MOR - Gurgaon - 3+9(R)-1_Revised MOR Package_Revised MOR Package - Latest_II.4. RawMaterials_Sheet4" xfId="9969" xr:uid="{00000000-0005-0000-0000-0000F0260000}"/>
    <cellStyle name="_MOR-BDW_MOR - BDWY - 1+11_MOR - Gurgaon - 3+9(R)-1_Revised MOR Package_Revised MOR Package - Latest_II.5. RawMaterials" xfId="9970" xr:uid="{00000000-0005-0000-0000-0000F1260000}"/>
    <cellStyle name="_MOR-BDW_MOR - BDWY - 1+11_MOR - Gurgaon - 3+9(R)-1_Revised MOR Package_Revised MOR Package - Latest_II.5. RawMaterials 2" xfId="9971" xr:uid="{00000000-0005-0000-0000-0000F2260000}"/>
    <cellStyle name="_MOR-BDW_MOR - BDWY - 1+11_MOR - Gurgaon - 3+9(R)-1_Revised MOR Package_Revised MOR Package - Latest_II.5. RawMaterials_BS retrieve" xfId="9972" xr:uid="{00000000-0005-0000-0000-0000F3260000}"/>
    <cellStyle name="_MOR-BDW_MOR - BDWY - 1+11_MOR - Gurgaon - 3+9(R)-1_Revised MOR Package_Revised MOR Package - Latest_II.5. RawMaterials_Free CF" xfId="9973" xr:uid="{00000000-0005-0000-0000-0000F4260000}"/>
    <cellStyle name="_MOR-BDW_MOR - BDWY - 1+11_MOR - Gurgaon - 3+9(R)-1_Revised MOR Package_Revised MOR Package - Latest_II.5. RawMaterials_P&amp;L Rec Qtr" xfId="9974" xr:uid="{00000000-0005-0000-0000-0000F5260000}"/>
    <cellStyle name="_MOR-BDW_MOR - BDWY - 1+11_MOR - Gurgaon - 3+9(R)-1_Revised MOR Package_Revised MOR Package - Latest_II.5. RawMaterials_Sheet1" xfId="9975" xr:uid="{00000000-0005-0000-0000-0000F6260000}"/>
    <cellStyle name="_MOR-BDW_MOR - BDWY - 1+11_MOR - Gurgaon - 3+9(R)-1_Revised MOR Package_Revised MOR Package - Latest_II.5. RawMaterials_Sheet2" xfId="9976" xr:uid="{00000000-0005-0000-0000-0000F7260000}"/>
    <cellStyle name="_MOR-BDW_MOR - BDWY - 1+11_MOR - Gurgaon - 3+9(R)-1_Revised MOR Package_Revised MOR Package - Latest_II.5. RawMaterials_Sheet3" xfId="9977" xr:uid="{00000000-0005-0000-0000-0000F8260000}"/>
    <cellStyle name="_MOR-BDW_MOR - BDWY - 1+11_MOR - Gurgaon - 3+9(R)-1_Revised MOR Package_Revised MOR Package - Latest_II.5. RawMaterials_Sheet4" xfId="9978" xr:uid="{00000000-0005-0000-0000-0000F9260000}"/>
    <cellStyle name="_MOR-BDW_MOR - BDWY - 1+11_MOR - Gurgaon - 3+9(R)-1_Revised MOR Package_Revised MOR Package - Latest_II.5. RM Volume Sensitivities" xfId="9979" xr:uid="{00000000-0005-0000-0000-0000FA260000}"/>
    <cellStyle name="_MOR-BDW_MOR - BDWY - 1+11_MOR - Gurgaon - 3+9(R)-1_Revised MOR Package_Revised MOR Package - Latest_II.5. RM Volume Sensitivities 2" xfId="9980" xr:uid="{00000000-0005-0000-0000-0000FB260000}"/>
    <cellStyle name="_MOR-BDW_MOR - BDWY - 1+11_MOR - Gurgaon - 3+9(R)-1_Revised MOR Package_Revised MOR Package - Latest_II.5. RM Volume Sensitivities_BS retrieve" xfId="9981" xr:uid="{00000000-0005-0000-0000-0000FC260000}"/>
    <cellStyle name="_MOR-BDW_MOR - BDWY - 1+11_MOR - Gurgaon - 3+9(R)-1_Revised MOR Package_Revised MOR Package - Latest_II.5. RM Volume Sensitivities_Free CF" xfId="9982" xr:uid="{00000000-0005-0000-0000-0000FD260000}"/>
    <cellStyle name="_MOR-BDW_MOR - BDWY - 1+11_MOR - Gurgaon - 3+9(R)-1_Revised MOR Package_Revised MOR Package - Latest_II.5. RM Volume Sensitivities_P&amp;L Rec Qtr" xfId="9983" xr:uid="{00000000-0005-0000-0000-0000FE260000}"/>
    <cellStyle name="_MOR-BDW_MOR - BDWY - 1+11_MOR - Gurgaon - 3+9(R)-1_Revised MOR Package_Revised MOR Package - Latest_II.5. RM Volume Sensitivities_Sheet1" xfId="9984" xr:uid="{00000000-0005-0000-0000-0000FF260000}"/>
    <cellStyle name="_MOR-BDW_MOR - BDWY - 1+11_MOR - Gurgaon - 3+9(R)-1_Revised MOR Package_Revised MOR Package - Latest_II.5. RM Volume Sensitivities_Sheet2" xfId="9985" xr:uid="{00000000-0005-0000-0000-000000270000}"/>
    <cellStyle name="_MOR-BDW_MOR - BDWY - 1+11_MOR - Gurgaon - 3+9(R)-1_Revised MOR Package_Revised MOR Package - Latest_II.5. RM Volume Sensitivities_Sheet3" xfId="9986" xr:uid="{00000000-0005-0000-0000-000001270000}"/>
    <cellStyle name="_MOR-BDW_MOR - BDWY - 1+11_MOR - Gurgaon - 3+9(R)-1_Revised MOR Package_Revised MOR Package - Latest_II.5. RM Volume Sensitivities_Sheet4" xfId="9987" xr:uid="{00000000-0005-0000-0000-000002270000}"/>
    <cellStyle name="_MOR-BDW_MOR - BDWY - 1+11_MOR - Gurgaon - 3+9(R)-1_Revised MOR Package_Revised MOR Package - Latest_II.8. Sep&amp;Discrete" xfId="9988" xr:uid="{00000000-0005-0000-0000-000003270000}"/>
    <cellStyle name="_MOR-BDW_MOR - BDWY - 1+11_MOR - Gurgaon - 3+9(R)-1_Revised MOR Package_Revised MOR Package - Latest_Restructuring &amp; Separation" xfId="9989" xr:uid="{00000000-0005-0000-0000-000004270000}"/>
    <cellStyle name="_MOR-BDW_MOR - BDWY - 1+11_MOR - Gurgaon - 3+9(R)-1_Revised MOR Package_Revised MOR Package - Latest_Restructuring_Separation_TAX_JuneFC2010 tf" xfId="9990" xr:uid="{00000000-0005-0000-0000-000005270000}"/>
    <cellStyle name="_MOR-BDW_MOR - BDWY - 1+11_MOR - Gurgaon - 3+9(R)-1_Revised MOR Package_Revised MOR Package - Latest_Restructuring_Separation_TAX_JuneFC2010 tf_BS_Separation_TaxResIndem_Q12412 tf" xfId="9991" xr:uid="{00000000-0005-0000-0000-000006270000}"/>
    <cellStyle name="_MOR-BDW_MOR - BDWY - 1+11_MOR - Gurgaon - 3+9(R)-1_Revised MOR Package_Revised MOR Package - Latest_Restructuring_Separation_TAX_JuneFC2010 tf_BS_Separation_TaxResIndem_Q12412 tf_Restructuring &amp; Separation" xfId="9992" xr:uid="{00000000-0005-0000-0000-000007270000}"/>
    <cellStyle name="_MOR-BDW_MOR - BDWY - 1+11_MOR - Gurgaon - 3+9(R)-1_Revised MOR Package_Revised MOR Package - Latest_Restructuring_Separation_TAX_JuneFC2010 tf_II.8. Sep&amp;Discrete" xfId="9993" xr:uid="{00000000-0005-0000-0000-000008270000}"/>
    <cellStyle name="_MOR-BDW_MOR - BDWY - 1+11_MOR - Gurgaon - 3+9(R)-1_Revised MOR Package_Revised MOR Package - Latest_Restructuring_Separation_TAX_JuneFC2010 tf_Restructuring &amp; Separation" xfId="9994" xr:uid="{00000000-0005-0000-0000-000009270000}"/>
    <cellStyle name="_MOR-BDW_MOR - BDWY - 1+11_Restructuring &amp; Separation" xfId="9995" xr:uid="{00000000-0005-0000-0000-00000A270000}"/>
    <cellStyle name="_MOR-BDW_MOR - BDWY - 1+11_Restructuring_Separation_TAX_JuneFC2010 tf" xfId="9996" xr:uid="{00000000-0005-0000-0000-00000B270000}"/>
    <cellStyle name="_MOR-BDW_MOR - BDWY - 1+11_Restructuring_Separation_TAX_JuneFC2010 tf_BS_Separation_TaxResIndem_Q12412 tf" xfId="9997" xr:uid="{00000000-0005-0000-0000-00000C270000}"/>
    <cellStyle name="_MOR-BDW_MOR - BDWY - 1+11_Restructuring_Separation_TAX_JuneFC2010 tf_BS_Separation_TaxResIndem_Q12412 tf_Restructuring &amp; Separation" xfId="9998" xr:uid="{00000000-0005-0000-0000-00000D270000}"/>
    <cellStyle name="_MOR-BDW_MOR - BDWY - 1+11_Restructuring_Separation_TAX_JuneFC2010 tf_II.8. Sep&amp;Discrete" xfId="9999" xr:uid="{00000000-0005-0000-0000-00000E270000}"/>
    <cellStyle name="_MOR-BDW_MOR - BDWY - 1+11_Restructuring_Separation_TAX_JuneFC2010 tf_Restructuring &amp; Separation" xfId="10000" xr:uid="{00000000-0005-0000-0000-00000F270000}"/>
    <cellStyle name="_MOR-BDW_MOR - BDWY - 1+11_Revised MOR - Australia -  EC - 4+8" xfId="10001" xr:uid="{00000000-0005-0000-0000-000010270000}"/>
    <cellStyle name="_MOR-BDW_MOR - BDWY - 1+11_Revised MOR - Australia -  EC - 4+8_BS_Separation_TaxResIndem_Q12412 tf" xfId="10002" xr:uid="{00000000-0005-0000-0000-000011270000}"/>
    <cellStyle name="_MOR-BDW_MOR - BDWY - 1+11_Revised MOR - Australia -  EC - 4+8_BS_Separation_TaxResIndem_Q12412 tf_Restructuring &amp; Separation" xfId="10003" xr:uid="{00000000-0005-0000-0000-000012270000}"/>
    <cellStyle name="_MOR-BDW_MOR - BDWY - 1+11_Revised MOR - Australia -  EC - 4+8_By Country Detail 1Q10 041410pm FIN 18 revised per disc w Mary" xfId="10004" xr:uid="{00000000-0005-0000-0000-000013270000}"/>
    <cellStyle name="_MOR-BDW_MOR - BDWY - 1+11_Revised MOR - Australia -  EC - 4+8_By Country Detail 1Q10 041410pm FIN 18 revised per disc w Mary_BS_Separation_TaxResIndem_Q12412 tf" xfId="10005" xr:uid="{00000000-0005-0000-0000-000014270000}"/>
    <cellStyle name="_MOR-BDW_MOR - BDWY - 1+11_Revised MOR - Australia -  EC - 4+8_By Country Detail 1Q10 041410pm FIN 18 revised per disc w Mary_BS_Separation_TaxResIndem_Q12412 tf_Restructuring &amp; Separation" xfId="10006" xr:uid="{00000000-0005-0000-0000-000015270000}"/>
    <cellStyle name="_MOR-BDW_MOR - BDWY - 1+11_Revised MOR - Australia -  EC - 4+8_By Country Detail 1Q10 041410pm FIN 18 revised per disc w Mary_II.8. Sep&amp;Discrete" xfId="10007" xr:uid="{00000000-0005-0000-0000-000016270000}"/>
    <cellStyle name="_MOR-BDW_MOR - BDWY - 1+11_Revised MOR - Australia -  EC - 4+8_By Country Detail 1Q10 041410pm FIN 18 revised per disc w Mary_Restructuring &amp; Separation" xfId="10008" xr:uid="{00000000-0005-0000-0000-000017270000}"/>
    <cellStyle name="_MOR-BDW_MOR - BDWY - 1+11_Revised MOR - Australia -  EC - 4+8_II.4. RawMaterials" xfId="10009" xr:uid="{00000000-0005-0000-0000-000018270000}"/>
    <cellStyle name="_MOR-BDW_MOR - BDWY - 1+11_Revised MOR - Australia -  EC - 4+8_II.4. RawMaterials 2" xfId="10010" xr:uid="{00000000-0005-0000-0000-000019270000}"/>
    <cellStyle name="_MOR-BDW_MOR - BDWY - 1+11_Revised MOR - Australia -  EC - 4+8_II.4. RawMaterials_BS retrieve" xfId="10011" xr:uid="{00000000-0005-0000-0000-00001A270000}"/>
    <cellStyle name="_MOR-BDW_MOR - BDWY - 1+11_Revised MOR - Australia -  EC - 4+8_II.4. RawMaterials_Free CF" xfId="10012" xr:uid="{00000000-0005-0000-0000-00001B270000}"/>
    <cellStyle name="_MOR-BDW_MOR - BDWY - 1+11_Revised MOR - Australia -  EC - 4+8_II.4. RawMaterials_P&amp;L Rec Qtr" xfId="10013" xr:uid="{00000000-0005-0000-0000-00001C270000}"/>
    <cellStyle name="_MOR-BDW_MOR - BDWY - 1+11_Revised MOR - Australia -  EC - 4+8_II.4. RawMaterials_Sheet1" xfId="10014" xr:uid="{00000000-0005-0000-0000-00001D270000}"/>
    <cellStyle name="_MOR-BDW_MOR - BDWY - 1+11_Revised MOR - Australia -  EC - 4+8_II.4. RawMaterials_Sheet2" xfId="10015" xr:uid="{00000000-0005-0000-0000-00001E270000}"/>
    <cellStyle name="_MOR-BDW_MOR - BDWY - 1+11_Revised MOR - Australia -  EC - 4+8_II.4. RawMaterials_Sheet3" xfId="10016" xr:uid="{00000000-0005-0000-0000-00001F270000}"/>
    <cellStyle name="_MOR-BDW_MOR - BDWY - 1+11_Revised MOR - Australia -  EC - 4+8_II.4. RawMaterials_Sheet4" xfId="10017" xr:uid="{00000000-0005-0000-0000-000020270000}"/>
    <cellStyle name="_MOR-BDW_MOR - BDWY - 1+11_Revised MOR - Australia -  EC - 4+8_II.5. RawMaterials" xfId="10018" xr:uid="{00000000-0005-0000-0000-000021270000}"/>
    <cellStyle name="_MOR-BDW_MOR - BDWY - 1+11_Revised MOR - Australia -  EC - 4+8_II.5. RawMaterials 2" xfId="10019" xr:uid="{00000000-0005-0000-0000-000022270000}"/>
    <cellStyle name="_MOR-BDW_MOR - BDWY - 1+11_Revised MOR - Australia -  EC - 4+8_II.5. RawMaterials_BS retrieve" xfId="10020" xr:uid="{00000000-0005-0000-0000-000023270000}"/>
    <cellStyle name="_MOR-BDW_MOR - BDWY - 1+11_Revised MOR - Australia -  EC - 4+8_II.5. RawMaterials_Free CF" xfId="10021" xr:uid="{00000000-0005-0000-0000-000024270000}"/>
    <cellStyle name="_MOR-BDW_MOR - BDWY - 1+11_Revised MOR - Australia -  EC - 4+8_II.5. RawMaterials_P&amp;L Rec Qtr" xfId="10022" xr:uid="{00000000-0005-0000-0000-000025270000}"/>
    <cellStyle name="_MOR-BDW_MOR - BDWY - 1+11_Revised MOR - Australia -  EC - 4+8_II.5. RawMaterials_Sheet1" xfId="10023" xr:uid="{00000000-0005-0000-0000-000026270000}"/>
    <cellStyle name="_MOR-BDW_MOR - BDWY - 1+11_Revised MOR - Australia -  EC - 4+8_II.5. RawMaterials_Sheet2" xfId="10024" xr:uid="{00000000-0005-0000-0000-000027270000}"/>
    <cellStyle name="_MOR-BDW_MOR - BDWY - 1+11_Revised MOR - Australia -  EC - 4+8_II.5. RawMaterials_Sheet3" xfId="10025" xr:uid="{00000000-0005-0000-0000-000028270000}"/>
    <cellStyle name="_MOR-BDW_MOR - BDWY - 1+11_Revised MOR - Australia -  EC - 4+8_II.5. RawMaterials_Sheet4" xfId="10026" xr:uid="{00000000-0005-0000-0000-000029270000}"/>
    <cellStyle name="_MOR-BDW_MOR - BDWY - 1+11_Revised MOR - Australia -  EC - 4+8_II.5. RM Volume Sensitivities" xfId="10027" xr:uid="{00000000-0005-0000-0000-00002A270000}"/>
    <cellStyle name="_MOR-BDW_MOR - BDWY - 1+11_Revised MOR - Australia -  EC - 4+8_II.5. RM Volume Sensitivities 2" xfId="10028" xr:uid="{00000000-0005-0000-0000-00002B270000}"/>
    <cellStyle name="_MOR-BDW_MOR - BDWY - 1+11_Revised MOR - Australia -  EC - 4+8_II.5. RM Volume Sensitivities_BS retrieve" xfId="10029" xr:uid="{00000000-0005-0000-0000-00002C270000}"/>
    <cellStyle name="_MOR-BDW_MOR - BDWY - 1+11_Revised MOR - Australia -  EC - 4+8_II.5. RM Volume Sensitivities_Free CF" xfId="10030" xr:uid="{00000000-0005-0000-0000-00002D270000}"/>
    <cellStyle name="_MOR-BDW_MOR - BDWY - 1+11_Revised MOR - Australia -  EC - 4+8_II.5. RM Volume Sensitivities_P&amp;L Rec Qtr" xfId="10031" xr:uid="{00000000-0005-0000-0000-00002E270000}"/>
    <cellStyle name="_MOR-BDW_MOR - BDWY - 1+11_Revised MOR - Australia -  EC - 4+8_II.5. RM Volume Sensitivities_Sheet1" xfId="10032" xr:uid="{00000000-0005-0000-0000-00002F270000}"/>
    <cellStyle name="_MOR-BDW_MOR - BDWY - 1+11_Revised MOR - Australia -  EC - 4+8_II.5. RM Volume Sensitivities_Sheet2" xfId="10033" xr:uid="{00000000-0005-0000-0000-000030270000}"/>
    <cellStyle name="_MOR-BDW_MOR - BDWY - 1+11_Revised MOR - Australia -  EC - 4+8_II.5. RM Volume Sensitivities_Sheet3" xfId="10034" xr:uid="{00000000-0005-0000-0000-000031270000}"/>
    <cellStyle name="_MOR-BDW_MOR - BDWY - 1+11_Revised MOR - Australia -  EC - 4+8_II.5. RM Volume Sensitivities_Sheet4" xfId="10035" xr:uid="{00000000-0005-0000-0000-000032270000}"/>
    <cellStyle name="_MOR-BDW_MOR - BDWY - 1+11_Revised MOR - Australia -  EC - 4+8_II.8. Sep&amp;Discrete" xfId="10036" xr:uid="{00000000-0005-0000-0000-000033270000}"/>
    <cellStyle name="_MOR-BDW_MOR - BDWY - 1+11_Revised MOR - Australia -  EC - 4+8_Restructuring &amp; Separation" xfId="10037" xr:uid="{00000000-0005-0000-0000-000034270000}"/>
    <cellStyle name="_MOR-BDW_MOR - BDWY - 1+11_Revised MOR - Australia -  EC - 4+8_Restructuring_Separation_TAX_JuneFC2010 tf" xfId="10038" xr:uid="{00000000-0005-0000-0000-000035270000}"/>
    <cellStyle name="_MOR-BDW_MOR - BDWY - 1+11_Revised MOR - Australia -  EC - 4+8_Restructuring_Separation_TAX_JuneFC2010 tf_BS_Separation_TaxResIndem_Q12412 tf" xfId="10039" xr:uid="{00000000-0005-0000-0000-000036270000}"/>
    <cellStyle name="_MOR-BDW_MOR - BDWY - 1+11_Revised MOR - Australia -  EC - 4+8_Restructuring_Separation_TAX_JuneFC2010 tf_BS_Separation_TaxResIndem_Q12412 tf_Restructuring &amp; Separation" xfId="10040" xr:uid="{00000000-0005-0000-0000-000037270000}"/>
    <cellStyle name="_MOR-BDW_MOR - BDWY - 1+11_Revised MOR - Australia -  EC - 4+8_Restructuring_Separation_TAX_JuneFC2010 tf_II.8. Sep&amp;Discrete" xfId="10041" xr:uid="{00000000-0005-0000-0000-000038270000}"/>
    <cellStyle name="_MOR-BDW_MOR - BDWY - 1+11_Revised MOR - Australia -  EC - 4+8_Restructuring_Separation_TAX_JuneFC2010 tf_Restructuring &amp; Separation" xfId="10042" xr:uid="{00000000-0005-0000-0000-000039270000}"/>
    <cellStyle name="_MOR-BDW_MOR - BDWY - 1+11_Revised MOR Package - Latest" xfId="10043" xr:uid="{00000000-0005-0000-0000-00003A270000}"/>
    <cellStyle name="_MOR-BDW_MOR - BDWY - 1+11_Revised MOR Package - Latest_BS_Separation_TaxResIndem_Q12412 tf" xfId="10044" xr:uid="{00000000-0005-0000-0000-00003B270000}"/>
    <cellStyle name="_MOR-BDW_MOR - BDWY - 1+11_Revised MOR Package - Latest_BS_Separation_TaxResIndem_Q12412 tf_Restructuring &amp; Separation" xfId="10045" xr:uid="{00000000-0005-0000-0000-00003C270000}"/>
    <cellStyle name="_MOR-BDW_MOR - BDWY - 1+11_Revised MOR Package - Latest_By Country Detail 1Q10 041410pm FIN 18 revised per disc w Mary" xfId="10046" xr:uid="{00000000-0005-0000-0000-00003D270000}"/>
    <cellStyle name="_MOR-BDW_MOR - BDWY - 1+11_Revised MOR Package - Latest_By Country Detail 1Q10 041410pm FIN 18 revised per disc w Mary_BS_Separation_TaxResIndem_Q12412 tf" xfId="10047" xr:uid="{00000000-0005-0000-0000-00003E270000}"/>
    <cellStyle name="_MOR-BDW_MOR - BDWY - 1+11_Revised MOR Package - Latest_By Country Detail 1Q10 041410pm FIN 18 revised per disc w Mary_BS_Separation_TaxResIndem_Q12412 tf_Restructuring &amp; Separation" xfId="10048" xr:uid="{00000000-0005-0000-0000-00003F270000}"/>
    <cellStyle name="_MOR-BDW_MOR - BDWY - 1+11_Revised MOR Package - Latest_By Country Detail 1Q10 041410pm FIN 18 revised per disc w Mary_II.8. Sep&amp;Discrete" xfId="10049" xr:uid="{00000000-0005-0000-0000-000040270000}"/>
    <cellStyle name="_MOR-BDW_MOR - BDWY - 1+11_Revised MOR Package - Latest_By Country Detail 1Q10 041410pm FIN 18 revised per disc w Mary_Restructuring &amp; Separation" xfId="10050" xr:uid="{00000000-0005-0000-0000-000041270000}"/>
    <cellStyle name="_MOR-BDW_MOR - BDWY - 1+11_Revised MOR Package - Latest_II.4. RawMaterials" xfId="10051" xr:uid="{00000000-0005-0000-0000-000042270000}"/>
    <cellStyle name="_MOR-BDW_MOR - BDWY - 1+11_Revised MOR Package - Latest_II.4. RawMaterials 2" xfId="10052" xr:uid="{00000000-0005-0000-0000-000043270000}"/>
    <cellStyle name="_MOR-BDW_MOR - BDWY - 1+11_Revised MOR Package - Latest_II.4. RawMaterials_BS retrieve" xfId="10053" xr:uid="{00000000-0005-0000-0000-000044270000}"/>
    <cellStyle name="_MOR-BDW_MOR - BDWY - 1+11_Revised MOR Package - Latest_II.4. RawMaterials_Free CF" xfId="10054" xr:uid="{00000000-0005-0000-0000-000045270000}"/>
    <cellStyle name="_MOR-BDW_MOR - BDWY - 1+11_Revised MOR Package - Latest_II.4. RawMaterials_P&amp;L Rec Qtr" xfId="10055" xr:uid="{00000000-0005-0000-0000-000046270000}"/>
    <cellStyle name="_MOR-BDW_MOR - BDWY - 1+11_Revised MOR Package - Latest_II.4. RawMaterials_Sheet1" xfId="10056" xr:uid="{00000000-0005-0000-0000-000047270000}"/>
    <cellStyle name="_MOR-BDW_MOR - BDWY - 1+11_Revised MOR Package - Latest_II.4. RawMaterials_Sheet2" xfId="10057" xr:uid="{00000000-0005-0000-0000-000048270000}"/>
    <cellStyle name="_MOR-BDW_MOR - BDWY - 1+11_Revised MOR Package - Latest_II.4. RawMaterials_Sheet3" xfId="10058" xr:uid="{00000000-0005-0000-0000-000049270000}"/>
    <cellStyle name="_MOR-BDW_MOR - BDWY - 1+11_Revised MOR Package - Latest_II.4. RawMaterials_Sheet4" xfId="10059" xr:uid="{00000000-0005-0000-0000-00004A270000}"/>
    <cellStyle name="_MOR-BDW_MOR - BDWY - 1+11_Revised MOR Package - Latest_II.5. RawMaterials" xfId="10060" xr:uid="{00000000-0005-0000-0000-00004B270000}"/>
    <cellStyle name="_MOR-BDW_MOR - BDWY - 1+11_Revised MOR Package - Latest_II.5. RawMaterials 2" xfId="10061" xr:uid="{00000000-0005-0000-0000-00004C270000}"/>
    <cellStyle name="_MOR-BDW_MOR - BDWY - 1+11_Revised MOR Package - Latest_II.5. RawMaterials_BS retrieve" xfId="10062" xr:uid="{00000000-0005-0000-0000-00004D270000}"/>
    <cellStyle name="_MOR-BDW_MOR - BDWY - 1+11_Revised MOR Package - Latest_II.5. RawMaterials_Free CF" xfId="10063" xr:uid="{00000000-0005-0000-0000-00004E270000}"/>
    <cellStyle name="_MOR-BDW_MOR - BDWY - 1+11_Revised MOR Package - Latest_II.5. RawMaterials_P&amp;L Rec Qtr" xfId="10064" xr:uid="{00000000-0005-0000-0000-00004F270000}"/>
    <cellStyle name="_MOR-BDW_MOR - BDWY - 1+11_Revised MOR Package - Latest_II.5. RawMaterials_Sheet1" xfId="10065" xr:uid="{00000000-0005-0000-0000-000050270000}"/>
    <cellStyle name="_MOR-BDW_MOR - BDWY - 1+11_Revised MOR Package - Latest_II.5. RawMaterials_Sheet2" xfId="10066" xr:uid="{00000000-0005-0000-0000-000051270000}"/>
    <cellStyle name="_MOR-BDW_MOR - BDWY - 1+11_Revised MOR Package - Latest_II.5. RawMaterials_Sheet3" xfId="10067" xr:uid="{00000000-0005-0000-0000-000052270000}"/>
    <cellStyle name="_MOR-BDW_MOR - BDWY - 1+11_Revised MOR Package - Latest_II.5. RawMaterials_Sheet4" xfId="10068" xr:uid="{00000000-0005-0000-0000-000053270000}"/>
    <cellStyle name="_MOR-BDW_MOR - BDWY - 1+11_Revised MOR Package - Latest_II.5. RM Volume Sensitivities" xfId="10069" xr:uid="{00000000-0005-0000-0000-000054270000}"/>
    <cellStyle name="_MOR-BDW_MOR - BDWY - 1+11_Revised MOR Package - Latest_II.5. RM Volume Sensitivities 2" xfId="10070" xr:uid="{00000000-0005-0000-0000-000055270000}"/>
    <cellStyle name="_MOR-BDW_MOR - BDWY - 1+11_Revised MOR Package - Latest_II.5. RM Volume Sensitivities_BS retrieve" xfId="10071" xr:uid="{00000000-0005-0000-0000-000056270000}"/>
    <cellStyle name="_MOR-BDW_MOR - BDWY - 1+11_Revised MOR Package - Latest_II.5. RM Volume Sensitivities_Free CF" xfId="10072" xr:uid="{00000000-0005-0000-0000-000057270000}"/>
    <cellStyle name="_MOR-BDW_MOR - BDWY - 1+11_Revised MOR Package - Latest_II.5. RM Volume Sensitivities_P&amp;L Rec Qtr" xfId="10073" xr:uid="{00000000-0005-0000-0000-000058270000}"/>
    <cellStyle name="_MOR-BDW_MOR - BDWY - 1+11_Revised MOR Package - Latest_II.5. RM Volume Sensitivities_Sheet1" xfId="10074" xr:uid="{00000000-0005-0000-0000-000059270000}"/>
    <cellStyle name="_MOR-BDW_MOR - BDWY - 1+11_Revised MOR Package - Latest_II.5. RM Volume Sensitivities_Sheet2" xfId="10075" xr:uid="{00000000-0005-0000-0000-00005A270000}"/>
    <cellStyle name="_MOR-BDW_MOR - BDWY - 1+11_Revised MOR Package - Latest_II.5. RM Volume Sensitivities_Sheet3" xfId="10076" xr:uid="{00000000-0005-0000-0000-00005B270000}"/>
    <cellStyle name="_MOR-BDW_MOR - BDWY - 1+11_Revised MOR Package - Latest_II.5. RM Volume Sensitivities_Sheet4" xfId="10077" xr:uid="{00000000-0005-0000-0000-00005C270000}"/>
    <cellStyle name="_MOR-BDW_MOR - BDWY - 1+11_Revised MOR Package - Latest_II.8. Sep&amp;Discrete" xfId="10078" xr:uid="{00000000-0005-0000-0000-00005D270000}"/>
    <cellStyle name="_MOR-BDW_MOR - BDWY - 1+11_Revised MOR Package - Latest_Restructuring &amp; Separation" xfId="10079" xr:uid="{00000000-0005-0000-0000-00005E270000}"/>
    <cellStyle name="_MOR-BDW_MOR - BDWY - 1+11_Revised MOR Package - Latest_Restructuring_Separation_TAX_JuneFC2010 tf" xfId="10080" xr:uid="{00000000-0005-0000-0000-00005F270000}"/>
    <cellStyle name="_MOR-BDW_MOR - BDWY - 1+11_Revised MOR Package - Latest_Restructuring_Separation_TAX_JuneFC2010 tf_BS_Separation_TaxResIndem_Q12412 tf" xfId="10081" xr:uid="{00000000-0005-0000-0000-000060270000}"/>
    <cellStyle name="_MOR-BDW_MOR - BDWY - 1+11_Revised MOR Package - Latest_Restructuring_Separation_TAX_JuneFC2010 tf_BS_Separation_TaxResIndem_Q12412 tf_Restructuring &amp; Separation" xfId="10082" xr:uid="{00000000-0005-0000-0000-000061270000}"/>
    <cellStyle name="_MOR-BDW_MOR - BDWY - 1+11_Revised MOR Package - Latest_Restructuring_Separation_TAX_JuneFC2010 tf_II.8. Sep&amp;Discrete" xfId="10083" xr:uid="{00000000-0005-0000-0000-000062270000}"/>
    <cellStyle name="_MOR-BDW_MOR - BDWY - 1+11_Revised MOR Package - Latest_Restructuring_Separation_TAX_JuneFC2010 tf_Restructuring &amp; Separation" xfId="10084" xr:uid="{00000000-0005-0000-0000-000063270000}"/>
    <cellStyle name="_MOR-BDW_MOR - Revised Package" xfId="10085" xr:uid="{00000000-0005-0000-0000-000064270000}"/>
    <cellStyle name="_MOR-BDW_MOR - Revised Package_~0039877" xfId="10086" xr:uid="{00000000-0005-0000-0000-000065270000}"/>
    <cellStyle name="_MOR-BDW_MOR - Revised Package_~0039877_BS_Separation_TaxResIndem_Q12412 tf" xfId="10087" xr:uid="{00000000-0005-0000-0000-000066270000}"/>
    <cellStyle name="_MOR-BDW_MOR - Revised Package_~0039877_BS_Separation_TaxResIndem_Q12412 tf_Restructuring &amp; Separation" xfId="10088" xr:uid="{00000000-0005-0000-0000-000067270000}"/>
    <cellStyle name="_MOR-BDW_MOR - Revised Package_~0039877_By Country Detail 1Q10 041410pm FIN 18 revised per disc w Mary" xfId="10089" xr:uid="{00000000-0005-0000-0000-000068270000}"/>
    <cellStyle name="_MOR-BDW_MOR - Revised Package_~0039877_By Country Detail 1Q10 041410pm FIN 18 revised per disc w Mary_BS_Separation_TaxResIndem_Q12412 tf" xfId="10090" xr:uid="{00000000-0005-0000-0000-000069270000}"/>
    <cellStyle name="_MOR-BDW_MOR - Revised Package_~0039877_By Country Detail 1Q10 041410pm FIN 18 revised per disc w Mary_BS_Separation_TaxResIndem_Q12412 tf_Restructuring &amp; Separation" xfId="10091" xr:uid="{00000000-0005-0000-0000-00006A270000}"/>
    <cellStyle name="_MOR-BDW_MOR - Revised Package_~0039877_By Country Detail 1Q10 041410pm FIN 18 revised per disc w Mary_II.8. Sep&amp;Discrete" xfId="10092" xr:uid="{00000000-0005-0000-0000-00006B270000}"/>
    <cellStyle name="_MOR-BDW_MOR - Revised Package_~0039877_By Country Detail 1Q10 041410pm FIN 18 revised per disc w Mary_Restructuring &amp; Separation" xfId="10093" xr:uid="{00000000-0005-0000-0000-00006C270000}"/>
    <cellStyle name="_MOR-BDW_MOR - Revised Package_~0039877_II.4. RawMaterials" xfId="10094" xr:uid="{00000000-0005-0000-0000-00006D270000}"/>
    <cellStyle name="_MOR-BDW_MOR - Revised Package_~0039877_II.4. RawMaterials 2" xfId="10095" xr:uid="{00000000-0005-0000-0000-00006E270000}"/>
    <cellStyle name="_MOR-BDW_MOR - Revised Package_~0039877_II.4. RawMaterials_BS retrieve" xfId="10096" xr:uid="{00000000-0005-0000-0000-00006F270000}"/>
    <cellStyle name="_MOR-BDW_MOR - Revised Package_~0039877_II.4. RawMaterials_Free CF" xfId="10097" xr:uid="{00000000-0005-0000-0000-000070270000}"/>
    <cellStyle name="_MOR-BDW_MOR - Revised Package_~0039877_II.4. RawMaterials_P&amp;L Rec Qtr" xfId="10098" xr:uid="{00000000-0005-0000-0000-000071270000}"/>
    <cellStyle name="_MOR-BDW_MOR - Revised Package_~0039877_II.4. RawMaterials_Sheet1" xfId="10099" xr:uid="{00000000-0005-0000-0000-000072270000}"/>
    <cellStyle name="_MOR-BDW_MOR - Revised Package_~0039877_II.4. RawMaterials_Sheet2" xfId="10100" xr:uid="{00000000-0005-0000-0000-000073270000}"/>
    <cellStyle name="_MOR-BDW_MOR - Revised Package_~0039877_II.4. RawMaterials_Sheet3" xfId="10101" xr:uid="{00000000-0005-0000-0000-000074270000}"/>
    <cellStyle name="_MOR-BDW_MOR - Revised Package_~0039877_II.4. RawMaterials_Sheet4" xfId="10102" xr:uid="{00000000-0005-0000-0000-000075270000}"/>
    <cellStyle name="_MOR-BDW_MOR - Revised Package_~0039877_II.5. RawMaterials" xfId="10103" xr:uid="{00000000-0005-0000-0000-000076270000}"/>
    <cellStyle name="_MOR-BDW_MOR - Revised Package_~0039877_II.5. RawMaterials 2" xfId="10104" xr:uid="{00000000-0005-0000-0000-000077270000}"/>
    <cellStyle name="_MOR-BDW_MOR - Revised Package_~0039877_II.5. RawMaterials_BS retrieve" xfId="10105" xr:uid="{00000000-0005-0000-0000-000078270000}"/>
    <cellStyle name="_MOR-BDW_MOR - Revised Package_~0039877_II.5. RawMaterials_Free CF" xfId="10106" xr:uid="{00000000-0005-0000-0000-000079270000}"/>
    <cellStyle name="_MOR-BDW_MOR - Revised Package_~0039877_II.5. RawMaterials_P&amp;L Rec Qtr" xfId="10107" xr:uid="{00000000-0005-0000-0000-00007A270000}"/>
    <cellStyle name="_MOR-BDW_MOR - Revised Package_~0039877_II.5. RawMaterials_Sheet1" xfId="10108" xr:uid="{00000000-0005-0000-0000-00007B270000}"/>
    <cellStyle name="_MOR-BDW_MOR - Revised Package_~0039877_II.5. RawMaterials_Sheet2" xfId="10109" xr:uid="{00000000-0005-0000-0000-00007C270000}"/>
    <cellStyle name="_MOR-BDW_MOR - Revised Package_~0039877_II.5. RawMaterials_Sheet3" xfId="10110" xr:uid="{00000000-0005-0000-0000-00007D270000}"/>
    <cellStyle name="_MOR-BDW_MOR - Revised Package_~0039877_II.5. RawMaterials_Sheet4" xfId="10111" xr:uid="{00000000-0005-0000-0000-00007E270000}"/>
    <cellStyle name="_MOR-BDW_MOR - Revised Package_~0039877_II.5. RM Volume Sensitivities" xfId="10112" xr:uid="{00000000-0005-0000-0000-00007F270000}"/>
    <cellStyle name="_MOR-BDW_MOR - Revised Package_~0039877_II.5. RM Volume Sensitivities 2" xfId="10113" xr:uid="{00000000-0005-0000-0000-000080270000}"/>
    <cellStyle name="_MOR-BDW_MOR - Revised Package_~0039877_II.5. RM Volume Sensitivities_BS retrieve" xfId="10114" xr:uid="{00000000-0005-0000-0000-000081270000}"/>
    <cellStyle name="_MOR-BDW_MOR - Revised Package_~0039877_II.5. RM Volume Sensitivities_Free CF" xfId="10115" xr:uid="{00000000-0005-0000-0000-000082270000}"/>
    <cellStyle name="_MOR-BDW_MOR - Revised Package_~0039877_II.5. RM Volume Sensitivities_P&amp;L Rec Qtr" xfId="10116" xr:uid="{00000000-0005-0000-0000-000083270000}"/>
    <cellStyle name="_MOR-BDW_MOR - Revised Package_~0039877_II.5. RM Volume Sensitivities_Sheet1" xfId="10117" xr:uid="{00000000-0005-0000-0000-000084270000}"/>
    <cellStyle name="_MOR-BDW_MOR - Revised Package_~0039877_II.5. RM Volume Sensitivities_Sheet2" xfId="10118" xr:uid="{00000000-0005-0000-0000-000085270000}"/>
    <cellStyle name="_MOR-BDW_MOR - Revised Package_~0039877_II.5. RM Volume Sensitivities_Sheet3" xfId="10119" xr:uid="{00000000-0005-0000-0000-000086270000}"/>
    <cellStyle name="_MOR-BDW_MOR - Revised Package_~0039877_II.5. RM Volume Sensitivities_Sheet4" xfId="10120" xr:uid="{00000000-0005-0000-0000-000087270000}"/>
    <cellStyle name="_MOR-BDW_MOR - Revised Package_~0039877_II.8. Sep&amp;Discrete" xfId="10121" xr:uid="{00000000-0005-0000-0000-000088270000}"/>
    <cellStyle name="_MOR-BDW_MOR - Revised Package_~0039877_Restructuring &amp; Separation" xfId="10122" xr:uid="{00000000-0005-0000-0000-000089270000}"/>
    <cellStyle name="_MOR-BDW_MOR - Revised Package_~0039877_Restructuring_Separation_TAX_JuneFC2010 tf" xfId="10123" xr:uid="{00000000-0005-0000-0000-00008A270000}"/>
    <cellStyle name="_MOR-BDW_MOR - Revised Package_~0039877_Restructuring_Separation_TAX_JuneFC2010 tf_BS_Separation_TaxResIndem_Q12412 tf" xfId="10124" xr:uid="{00000000-0005-0000-0000-00008B270000}"/>
    <cellStyle name="_MOR-BDW_MOR - Revised Package_~0039877_Restructuring_Separation_TAX_JuneFC2010 tf_BS_Separation_TaxResIndem_Q12412 tf_Restructuring &amp; Separation" xfId="10125" xr:uid="{00000000-0005-0000-0000-00008C270000}"/>
    <cellStyle name="_MOR-BDW_MOR - Revised Package_~0039877_Restructuring_Separation_TAX_JuneFC2010 tf_II.8. Sep&amp;Discrete" xfId="10126" xr:uid="{00000000-0005-0000-0000-00008D270000}"/>
    <cellStyle name="_MOR-BDW_MOR - Revised Package_~0039877_Restructuring_Separation_TAX_JuneFC2010 tf_Restructuring &amp; Separation" xfId="10127" xr:uid="{00000000-0005-0000-0000-00008E270000}"/>
    <cellStyle name="_MOR-BDW_MOR - Revised Package_BS_Separation_TaxResIndem_Q12412 tf" xfId="10128" xr:uid="{00000000-0005-0000-0000-00008F270000}"/>
    <cellStyle name="_MOR-BDW_MOR - Revised Package_BS_Separation_TaxResIndem_Q12412 tf_Restructuring &amp; Separation" xfId="10129" xr:uid="{00000000-0005-0000-0000-000090270000}"/>
    <cellStyle name="_MOR-BDW_MOR - Revised Package_By Country Detail 1Q10 041410pm FIN 18 revised per disc w Mary" xfId="10130" xr:uid="{00000000-0005-0000-0000-000091270000}"/>
    <cellStyle name="_MOR-BDW_MOR - Revised Package_By Country Detail 1Q10 041410pm FIN 18 revised per disc w Mary_BS_Separation_TaxResIndem_Q12412 tf" xfId="10131" xr:uid="{00000000-0005-0000-0000-000092270000}"/>
    <cellStyle name="_MOR-BDW_MOR - Revised Package_By Country Detail 1Q10 041410pm FIN 18 revised per disc w Mary_BS_Separation_TaxResIndem_Q12412 tf_Restructuring &amp; Separation" xfId="10132" xr:uid="{00000000-0005-0000-0000-000093270000}"/>
    <cellStyle name="_MOR-BDW_MOR - Revised Package_By Country Detail 1Q10 041410pm FIN 18 revised per disc w Mary_II.8. Sep&amp;Discrete" xfId="10133" xr:uid="{00000000-0005-0000-0000-000094270000}"/>
    <cellStyle name="_MOR-BDW_MOR - Revised Package_By Country Detail 1Q10 041410pm FIN 18 revised per disc w Mary_Restructuring &amp; Separation" xfId="10134" xr:uid="{00000000-0005-0000-0000-000095270000}"/>
    <cellStyle name="_MOR-BDW_MOR - Revised Package_II.4. RawMaterials" xfId="10135" xr:uid="{00000000-0005-0000-0000-000096270000}"/>
    <cellStyle name="_MOR-BDW_MOR - Revised Package_II.4. RawMaterials 2" xfId="10136" xr:uid="{00000000-0005-0000-0000-000097270000}"/>
    <cellStyle name="_MOR-BDW_MOR - Revised Package_II.4. RawMaterials_BS retrieve" xfId="10137" xr:uid="{00000000-0005-0000-0000-000098270000}"/>
    <cellStyle name="_MOR-BDW_MOR - Revised Package_II.4. RawMaterials_Free CF" xfId="10138" xr:uid="{00000000-0005-0000-0000-000099270000}"/>
    <cellStyle name="_MOR-BDW_MOR - Revised Package_II.4. RawMaterials_P&amp;L Rec Qtr" xfId="10139" xr:uid="{00000000-0005-0000-0000-00009A270000}"/>
    <cellStyle name="_MOR-BDW_MOR - Revised Package_II.4. RawMaterials_Sheet1" xfId="10140" xr:uid="{00000000-0005-0000-0000-00009B270000}"/>
    <cellStyle name="_MOR-BDW_MOR - Revised Package_II.4. RawMaterials_Sheet2" xfId="10141" xr:uid="{00000000-0005-0000-0000-00009C270000}"/>
    <cellStyle name="_MOR-BDW_MOR - Revised Package_II.4. RawMaterials_Sheet3" xfId="10142" xr:uid="{00000000-0005-0000-0000-00009D270000}"/>
    <cellStyle name="_MOR-BDW_MOR - Revised Package_II.4. RawMaterials_Sheet4" xfId="10143" xr:uid="{00000000-0005-0000-0000-00009E270000}"/>
    <cellStyle name="_MOR-BDW_MOR - Revised Package_II.5. RawMaterials" xfId="10144" xr:uid="{00000000-0005-0000-0000-00009F270000}"/>
    <cellStyle name="_MOR-BDW_MOR - Revised Package_II.5. RawMaterials 2" xfId="10145" xr:uid="{00000000-0005-0000-0000-0000A0270000}"/>
    <cellStyle name="_MOR-BDW_MOR - Revised Package_II.5. RawMaterials_BS retrieve" xfId="10146" xr:uid="{00000000-0005-0000-0000-0000A1270000}"/>
    <cellStyle name="_MOR-BDW_MOR - Revised Package_II.5. RawMaterials_Free CF" xfId="10147" xr:uid="{00000000-0005-0000-0000-0000A2270000}"/>
    <cellStyle name="_MOR-BDW_MOR - Revised Package_II.5. RawMaterials_P&amp;L Rec Qtr" xfId="10148" xr:uid="{00000000-0005-0000-0000-0000A3270000}"/>
    <cellStyle name="_MOR-BDW_MOR - Revised Package_II.5. RawMaterials_Sheet1" xfId="10149" xr:uid="{00000000-0005-0000-0000-0000A4270000}"/>
    <cellStyle name="_MOR-BDW_MOR - Revised Package_II.5. RawMaterials_Sheet2" xfId="10150" xr:uid="{00000000-0005-0000-0000-0000A5270000}"/>
    <cellStyle name="_MOR-BDW_MOR - Revised Package_II.5. RawMaterials_Sheet3" xfId="10151" xr:uid="{00000000-0005-0000-0000-0000A6270000}"/>
    <cellStyle name="_MOR-BDW_MOR - Revised Package_II.5. RawMaterials_Sheet4" xfId="10152" xr:uid="{00000000-0005-0000-0000-0000A7270000}"/>
    <cellStyle name="_MOR-BDW_MOR - Revised Package_II.5. RM Volume Sensitivities" xfId="10153" xr:uid="{00000000-0005-0000-0000-0000A8270000}"/>
    <cellStyle name="_MOR-BDW_MOR - Revised Package_II.5. RM Volume Sensitivities 2" xfId="10154" xr:uid="{00000000-0005-0000-0000-0000A9270000}"/>
    <cellStyle name="_MOR-BDW_MOR - Revised Package_II.5. RM Volume Sensitivities_BS retrieve" xfId="10155" xr:uid="{00000000-0005-0000-0000-0000AA270000}"/>
    <cellStyle name="_MOR-BDW_MOR - Revised Package_II.5. RM Volume Sensitivities_Free CF" xfId="10156" xr:uid="{00000000-0005-0000-0000-0000AB270000}"/>
    <cellStyle name="_MOR-BDW_MOR - Revised Package_II.5. RM Volume Sensitivities_P&amp;L Rec Qtr" xfId="10157" xr:uid="{00000000-0005-0000-0000-0000AC270000}"/>
    <cellStyle name="_MOR-BDW_MOR - Revised Package_II.5. RM Volume Sensitivities_Sheet1" xfId="10158" xr:uid="{00000000-0005-0000-0000-0000AD270000}"/>
    <cellStyle name="_MOR-BDW_MOR - Revised Package_II.5. RM Volume Sensitivities_Sheet2" xfId="10159" xr:uid="{00000000-0005-0000-0000-0000AE270000}"/>
    <cellStyle name="_MOR-BDW_MOR - Revised Package_II.5. RM Volume Sensitivities_Sheet3" xfId="10160" xr:uid="{00000000-0005-0000-0000-0000AF270000}"/>
    <cellStyle name="_MOR-BDW_MOR - Revised Package_II.5. RM Volume Sensitivities_Sheet4" xfId="10161" xr:uid="{00000000-0005-0000-0000-0000B0270000}"/>
    <cellStyle name="_MOR-BDW_MOR - Revised Package_II.8. Sep&amp;Discrete" xfId="10162" xr:uid="{00000000-0005-0000-0000-0000B1270000}"/>
    <cellStyle name="_MOR-BDW_MOR - Revised Package_Restructuring &amp; Separation" xfId="10163" xr:uid="{00000000-0005-0000-0000-0000B2270000}"/>
    <cellStyle name="_MOR-BDW_MOR - Revised Package_Restructuring_Separation_TAX_JuneFC2010 tf" xfId="10164" xr:uid="{00000000-0005-0000-0000-0000B3270000}"/>
    <cellStyle name="_MOR-BDW_MOR - Revised Package_Restructuring_Separation_TAX_JuneFC2010 tf_BS_Separation_TaxResIndem_Q12412 tf" xfId="10165" xr:uid="{00000000-0005-0000-0000-0000B4270000}"/>
    <cellStyle name="_MOR-BDW_MOR - Revised Package_Restructuring_Separation_TAX_JuneFC2010 tf_BS_Separation_TaxResIndem_Q12412 tf_Restructuring &amp; Separation" xfId="10166" xr:uid="{00000000-0005-0000-0000-0000B5270000}"/>
    <cellStyle name="_MOR-BDW_MOR - Revised Package_Restructuring_Separation_TAX_JuneFC2010 tf_II.8. Sep&amp;Discrete" xfId="10167" xr:uid="{00000000-0005-0000-0000-0000B6270000}"/>
    <cellStyle name="_MOR-BDW_MOR - Revised Package_Restructuring_Separation_TAX_JuneFC2010 tf_Restructuring &amp; Separation" xfId="10168" xr:uid="{00000000-0005-0000-0000-0000B7270000}"/>
    <cellStyle name="_MOR-BDW_MOR - Revised Package_Revised MOR Package - Latest" xfId="10169" xr:uid="{00000000-0005-0000-0000-0000B8270000}"/>
    <cellStyle name="_MOR-BDW_MOR - Revised Package_Revised MOR Package - Latest_BS_Separation_TaxResIndem_Q12412 tf" xfId="10170" xr:uid="{00000000-0005-0000-0000-0000B9270000}"/>
    <cellStyle name="_MOR-BDW_MOR - Revised Package_Revised MOR Package - Latest_BS_Separation_TaxResIndem_Q12412 tf_Restructuring &amp; Separation" xfId="10171" xr:uid="{00000000-0005-0000-0000-0000BA270000}"/>
    <cellStyle name="_MOR-BDW_MOR - Revised Package_Revised MOR Package - Latest_By Country Detail 1Q10 041410pm FIN 18 revised per disc w Mary" xfId="10172" xr:uid="{00000000-0005-0000-0000-0000BB270000}"/>
    <cellStyle name="_MOR-BDW_MOR - Revised Package_Revised MOR Package - Latest_By Country Detail 1Q10 041410pm FIN 18 revised per disc w Mary_BS_Separation_TaxResIndem_Q12412 tf" xfId="10173" xr:uid="{00000000-0005-0000-0000-0000BC270000}"/>
    <cellStyle name="_MOR-BDW_MOR - Revised Package_Revised MOR Package - Latest_By Country Detail 1Q10 041410pm FIN 18 revised per disc w Mary_BS_Separation_TaxResIndem_Q12412 tf_Restructuring &amp; Separation" xfId="10174" xr:uid="{00000000-0005-0000-0000-0000BD270000}"/>
    <cellStyle name="_MOR-BDW_MOR - Revised Package_Revised MOR Package - Latest_By Country Detail 1Q10 041410pm FIN 18 revised per disc w Mary_II.8. Sep&amp;Discrete" xfId="10175" xr:uid="{00000000-0005-0000-0000-0000BE270000}"/>
    <cellStyle name="_MOR-BDW_MOR - Revised Package_Revised MOR Package - Latest_By Country Detail 1Q10 041410pm FIN 18 revised per disc w Mary_Restructuring &amp; Separation" xfId="10176" xr:uid="{00000000-0005-0000-0000-0000BF270000}"/>
    <cellStyle name="_MOR-BDW_MOR - Revised Package_Revised MOR Package - Latest_II.4. RawMaterials" xfId="10177" xr:uid="{00000000-0005-0000-0000-0000C0270000}"/>
    <cellStyle name="_MOR-BDW_MOR - Revised Package_Revised MOR Package - Latest_II.4. RawMaterials 2" xfId="10178" xr:uid="{00000000-0005-0000-0000-0000C1270000}"/>
    <cellStyle name="_MOR-BDW_MOR - Revised Package_Revised MOR Package - Latest_II.4. RawMaterials_BS retrieve" xfId="10179" xr:uid="{00000000-0005-0000-0000-0000C2270000}"/>
    <cellStyle name="_MOR-BDW_MOR - Revised Package_Revised MOR Package - Latest_II.4. RawMaterials_Free CF" xfId="10180" xr:uid="{00000000-0005-0000-0000-0000C3270000}"/>
    <cellStyle name="_MOR-BDW_MOR - Revised Package_Revised MOR Package - Latest_II.4. RawMaterials_P&amp;L Rec Qtr" xfId="10181" xr:uid="{00000000-0005-0000-0000-0000C4270000}"/>
    <cellStyle name="_MOR-BDW_MOR - Revised Package_Revised MOR Package - Latest_II.4. RawMaterials_Sheet1" xfId="10182" xr:uid="{00000000-0005-0000-0000-0000C5270000}"/>
    <cellStyle name="_MOR-BDW_MOR - Revised Package_Revised MOR Package - Latest_II.4. RawMaterials_Sheet2" xfId="10183" xr:uid="{00000000-0005-0000-0000-0000C6270000}"/>
    <cellStyle name="_MOR-BDW_MOR - Revised Package_Revised MOR Package - Latest_II.4. RawMaterials_Sheet3" xfId="10184" xr:uid="{00000000-0005-0000-0000-0000C7270000}"/>
    <cellStyle name="_MOR-BDW_MOR - Revised Package_Revised MOR Package - Latest_II.4. RawMaterials_Sheet4" xfId="10185" xr:uid="{00000000-0005-0000-0000-0000C8270000}"/>
    <cellStyle name="_MOR-BDW_MOR - Revised Package_Revised MOR Package - Latest_II.5. RawMaterials" xfId="10186" xr:uid="{00000000-0005-0000-0000-0000C9270000}"/>
    <cellStyle name="_MOR-BDW_MOR - Revised Package_Revised MOR Package - Latest_II.5. RawMaterials 2" xfId="10187" xr:uid="{00000000-0005-0000-0000-0000CA270000}"/>
    <cellStyle name="_MOR-BDW_MOR - Revised Package_Revised MOR Package - Latest_II.5. RawMaterials_BS retrieve" xfId="10188" xr:uid="{00000000-0005-0000-0000-0000CB270000}"/>
    <cellStyle name="_MOR-BDW_MOR - Revised Package_Revised MOR Package - Latest_II.5. RawMaterials_Free CF" xfId="10189" xr:uid="{00000000-0005-0000-0000-0000CC270000}"/>
    <cellStyle name="_MOR-BDW_MOR - Revised Package_Revised MOR Package - Latest_II.5. RawMaterials_P&amp;L Rec Qtr" xfId="10190" xr:uid="{00000000-0005-0000-0000-0000CD270000}"/>
    <cellStyle name="_MOR-BDW_MOR - Revised Package_Revised MOR Package - Latest_II.5. RawMaterials_Sheet1" xfId="10191" xr:uid="{00000000-0005-0000-0000-0000CE270000}"/>
    <cellStyle name="_MOR-BDW_MOR - Revised Package_Revised MOR Package - Latest_II.5. RawMaterials_Sheet2" xfId="10192" xr:uid="{00000000-0005-0000-0000-0000CF270000}"/>
    <cellStyle name="_MOR-BDW_MOR - Revised Package_Revised MOR Package - Latest_II.5. RawMaterials_Sheet3" xfId="10193" xr:uid="{00000000-0005-0000-0000-0000D0270000}"/>
    <cellStyle name="_MOR-BDW_MOR - Revised Package_Revised MOR Package - Latest_II.5. RawMaterials_Sheet4" xfId="10194" xr:uid="{00000000-0005-0000-0000-0000D1270000}"/>
    <cellStyle name="_MOR-BDW_MOR - Revised Package_Revised MOR Package - Latest_II.5. RM Volume Sensitivities" xfId="10195" xr:uid="{00000000-0005-0000-0000-0000D2270000}"/>
    <cellStyle name="_MOR-BDW_MOR - Revised Package_Revised MOR Package - Latest_II.5. RM Volume Sensitivities 2" xfId="10196" xr:uid="{00000000-0005-0000-0000-0000D3270000}"/>
    <cellStyle name="_MOR-BDW_MOR - Revised Package_Revised MOR Package - Latest_II.5. RM Volume Sensitivities_BS retrieve" xfId="10197" xr:uid="{00000000-0005-0000-0000-0000D4270000}"/>
    <cellStyle name="_MOR-BDW_MOR - Revised Package_Revised MOR Package - Latest_II.5. RM Volume Sensitivities_Free CF" xfId="10198" xr:uid="{00000000-0005-0000-0000-0000D5270000}"/>
    <cellStyle name="_MOR-BDW_MOR - Revised Package_Revised MOR Package - Latest_II.5. RM Volume Sensitivities_P&amp;L Rec Qtr" xfId="10199" xr:uid="{00000000-0005-0000-0000-0000D6270000}"/>
    <cellStyle name="_MOR-BDW_MOR - Revised Package_Revised MOR Package - Latest_II.5. RM Volume Sensitivities_Sheet1" xfId="10200" xr:uid="{00000000-0005-0000-0000-0000D7270000}"/>
    <cellStyle name="_MOR-BDW_MOR - Revised Package_Revised MOR Package - Latest_II.5. RM Volume Sensitivities_Sheet2" xfId="10201" xr:uid="{00000000-0005-0000-0000-0000D8270000}"/>
    <cellStyle name="_MOR-BDW_MOR - Revised Package_Revised MOR Package - Latest_II.5. RM Volume Sensitivities_Sheet3" xfId="10202" xr:uid="{00000000-0005-0000-0000-0000D9270000}"/>
    <cellStyle name="_MOR-BDW_MOR - Revised Package_Revised MOR Package - Latest_II.5. RM Volume Sensitivities_Sheet4" xfId="10203" xr:uid="{00000000-0005-0000-0000-0000DA270000}"/>
    <cellStyle name="_MOR-BDW_MOR - Revised Package_Revised MOR Package - Latest_II.8. Sep&amp;Discrete" xfId="10204" xr:uid="{00000000-0005-0000-0000-0000DB270000}"/>
    <cellStyle name="_MOR-BDW_MOR - Revised Package_Revised MOR Package - Latest_Restructuring &amp; Separation" xfId="10205" xr:uid="{00000000-0005-0000-0000-0000DC270000}"/>
    <cellStyle name="_MOR-BDW_MOR - Revised Package_Revised MOR Package - Latest_Restructuring_Separation_TAX_JuneFC2010 tf" xfId="10206" xr:uid="{00000000-0005-0000-0000-0000DD270000}"/>
    <cellStyle name="_MOR-BDW_MOR - Revised Package_Revised MOR Package - Latest_Restructuring_Separation_TAX_JuneFC2010 tf_BS_Separation_TaxResIndem_Q12412 tf" xfId="10207" xr:uid="{00000000-0005-0000-0000-0000DE270000}"/>
    <cellStyle name="_MOR-BDW_MOR - Revised Package_Revised MOR Package - Latest_Restructuring_Separation_TAX_JuneFC2010 tf_BS_Separation_TaxResIndem_Q12412 tf_Restructuring &amp; Separation" xfId="10208" xr:uid="{00000000-0005-0000-0000-0000DF270000}"/>
    <cellStyle name="_MOR-BDW_MOR - Revised Package_Revised MOR Package - Latest_Restructuring_Separation_TAX_JuneFC2010 tf_II.8. Sep&amp;Discrete" xfId="10209" xr:uid="{00000000-0005-0000-0000-0000E0270000}"/>
    <cellStyle name="_MOR-BDW_MOR - Revised Package_Revised MOR Package - Latest_Restructuring_Separation_TAX_JuneFC2010 tf_Restructuring &amp; Separation" xfId="10210" xr:uid="{00000000-0005-0000-0000-0000E1270000}"/>
    <cellStyle name="_MOR-BDW_Restructuring &amp; Separation" xfId="10211" xr:uid="{00000000-0005-0000-0000-0000E2270000}"/>
    <cellStyle name="_MOR-BDW_Restructuring_Separation_TAX_JuneFC2010 tf" xfId="10212" xr:uid="{00000000-0005-0000-0000-0000E3270000}"/>
    <cellStyle name="_MOR-BDW_Restructuring_Separation_TAX_JuneFC2010 tf_BS_Separation_TaxResIndem_Q12412 tf" xfId="10213" xr:uid="{00000000-0005-0000-0000-0000E4270000}"/>
    <cellStyle name="_MOR-BDW_Restructuring_Separation_TAX_JuneFC2010 tf_BS_Separation_TaxResIndem_Q12412 tf_Restructuring &amp; Separation" xfId="10214" xr:uid="{00000000-0005-0000-0000-0000E5270000}"/>
    <cellStyle name="_MOR-BDW_Restructuring_Separation_TAX_JuneFC2010 tf_II.8. Sep&amp;Discrete" xfId="10215" xr:uid="{00000000-0005-0000-0000-0000E6270000}"/>
    <cellStyle name="_MOR-BDW_Restructuring_Separation_TAX_JuneFC2010 tf_Restructuring &amp; Separation" xfId="10216" xr:uid="{00000000-0005-0000-0000-0000E7270000}"/>
    <cellStyle name="_MOR-BDW_Revised MOR Package" xfId="10217" xr:uid="{00000000-0005-0000-0000-0000E8270000}"/>
    <cellStyle name="_MOR-BDW_Revised MOR Package_~0039877" xfId="10218" xr:uid="{00000000-0005-0000-0000-0000E9270000}"/>
    <cellStyle name="_MOR-BDW_Revised MOR Package_~0039877_BS_Separation_TaxResIndem_Q12412 tf" xfId="10219" xr:uid="{00000000-0005-0000-0000-0000EA270000}"/>
    <cellStyle name="_MOR-BDW_Revised MOR Package_~0039877_BS_Separation_TaxResIndem_Q12412 tf_Restructuring &amp; Separation" xfId="10220" xr:uid="{00000000-0005-0000-0000-0000EB270000}"/>
    <cellStyle name="_MOR-BDW_Revised MOR Package_~0039877_By Country Detail 1Q10 041410pm FIN 18 revised per disc w Mary" xfId="10221" xr:uid="{00000000-0005-0000-0000-0000EC270000}"/>
    <cellStyle name="_MOR-BDW_Revised MOR Package_~0039877_By Country Detail 1Q10 041410pm FIN 18 revised per disc w Mary_BS_Separation_TaxResIndem_Q12412 tf" xfId="10222" xr:uid="{00000000-0005-0000-0000-0000ED270000}"/>
    <cellStyle name="_MOR-BDW_Revised MOR Package_~0039877_By Country Detail 1Q10 041410pm FIN 18 revised per disc w Mary_BS_Separation_TaxResIndem_Q12412 tf_Restructuring &amp; Separation" xfId="10223" xr:uid="{00000000-0005-0000-0000-0000EE270000}"/>
    <cellStyle name="_MOR-BDW_Revised MOR Package_~0039877_By Country Detail 1Q10 041410pm FIN 18 revised per disc w Mary_II.8. Sep&amp;Discrete" xfId="10224" xr:uid="{00000000-0005-0000-0000-0000EF270000}"/>
    <cellStyle name="_MOR-BDW_Revised MOR Package_~0039877_By Country Detail 1Q10 041410pm FIN 18 revised per disc w Mary_Restructuring &amp; Separation" xfId="10225" xr:uid="{00000000-0005-0000-0000-0000F0270000}"/>
    <cellStyle name="_MOR-BDW_Revised MOR Package_~0039877_II.4. RawMaterials" xfId="10226" xr:uid="{00000000-0005-0000-0000-0000F1270000}"/>
    <cellStyle name="_MOR-BDW_Revised MOR Package_~0039877_II.4. RawMaterials 2" xfId="10227" xr:uid="{00000000-0005-0000-0000-0000F2270000}"/>
    <cellStyle name="_MOR-BDW_Revised MOR Package_~0039877_II.4. RawMaterials_BS retrieve" xfId="10228" xr:uid="{00000000-0005-0000-0000-0000F3270000}"/>
    <cellStyle name="_MOR-BDW_Revised MOR Package_~0039877_II.4. RawMaterials_Free CF" xfId="10229" xr:uid="{00000000-0005-0000-0000-0000F4270000}"/>
    <cellStyle name="_MOR-BDW_Revised MOR Package_~0039877_II.4. RawMaterials_P&amp;L Rec Qtr" xfId="10230" xr:uid="{00000000-0005-0000-0000-0000F5270000}"/>
    <cellStyle name="_MOR-BDW_Revised MOR Package_~0039877_II.4. RawMaterials_Sheet1" xfId="10231" xr:uid="{00000000-0005-0000-0000-0000F6270000}"/>
    <cellStyle name="_MOR-BDW_Revised MOR Package_~0039877_II.4. RawMaterials_Sheet2" xfId="10232" xr:uid="{00000000-0005-0000-0000-0000F7270000}"/>
    <cellStyle name="_MOR-BDW_Revised MOR Package_~0039877_II.4. RawMaterials_Sheet3" xfId="10233" xr:uid="{00000000-0005-0000-0000-0000F8270000}"/>
    <cellStyle name="_MOR-BDW_Revised MOR Package_~0039877_II.4. RawMaterials_Sheet4" xfId="10234" xr:uid="{00000000-0005-0000-0000-0000F9270000}"/>
    <cellStyle name="_MOR-BDW_Revised MOR Package_~0039877_II.5. RawMaterials" xfId="10235" xr:uid="{00000000-0005-0000-0000-0000FA270000}"/>
    <cellStyle name="_MOR-BDW_Revised MOR Package_~0039877_II.5. RawMaterials 2" xfId="10236" xr:uid="{00000000-0005-0000-0000-0000FB270000}"/>
    <cellStyle name="_MOR-BDW_Revised MOR Package_~0039877_II.5. RawMaterials_BS retrieve" xfId="10237" xr:uid="{00000000-0005-0000-0000-0000FC270000}"/>
    <cellStyle name="_MOR-BDW_Revised MOR Package_~0039877_II.5. RawMaterials_Free CF" xfId="10238" xr:uid="{00000000-0005-0000-0000-0000FD270000}"/>
    <cellStyle name="_MOR-BDW_Revised MOR Package_~0039877_II.5. RawMaterials_P&amp;L Rec Qtr" xfId="10239" xr:uid="{00000000-0005-0000-0000-0000FE270000}"/>
    <cellStyle name="_MOR-BDW_Revised MOR Package_~0039877_II.5. RawMaterials_Sheet1" xfId="10240" xr:uid="{00000000-0005-0000-0000-0000FF270000}"/>
    <cellStyle name="_MOR-BDW_Revised MOR Package_~0039877_II.5. RawMaterials_Sheet2" xfId="10241" xr:uid="{00000000-0005-0000-0000-000000280000}"/>
    <cellStyle name="_MOR-BDW_Revised MOR Package_~0039877_II.5. RawMaterials_Sheet3" xfId="10242" xr:uid="{00000000-0005-0000-0000-000001280000}"/>
    <cellStyle name="_MOR-BDW_Revised MOR Package_~0039877_II.5. RawMaterials_Sheet4" xfId="10243" xr:uid="{00000000-0005-0000-0000-000002280000}"/>
    <cellStyle name="_MOR-BDW_Revised MOR Package_~0039877_II.5. RM Volume Sensitivities" xfId="10244" xr:uid="{00000000-0005-0000-0000-000003280000}"/>
    <cellStyle name="_MOR-BDW_Revised MOR Package_~0039877_II.5. RM Volume Sensitivities 2" xfId="10245" xr:uid="{00000000-0005-0000-0000-000004280000}"/>
    <cellStyle name="_MOR-BDW_Revised MOR Package_~0039877_II.5. RM Volume Sensitivities_BS retrieve" xfId="10246" xr:uid="{00000000-0005-0000-0000-000005280000}"/>
    <cellStyle name="_MOR-BDW_Revised MOR Package_~0039877_II.5. RM Volume Sensitivities_Free CF" xfId="10247" xr:uid="{00000000-0005-0000-0000-000006280000}"/>
    <cellStyle name="_MOR-BDW_Revised MOR Package_~0039877_II.5. RM Volume Sensitivities_P&amp;L Rec Qtr" xfId="10248" xr:uid="{00000000-0005-0000-0000-000007280000}"/>
    <cellStyle name="_MOR-BDW_Revised MOR Package_~0039877_II.5. RM Volume Sensitivities_Sheet1" xfId="10249" xr:uid="{00000000-0005-0000-0000-000008280000}"/>
    <cellStyle name="_MOR-BDW_Revised MOR Package_~0039877_II.5. RM Volume Sensitivities_Sheet2" xfId="10250" xr:uid="{00000000-0005-0000-0000-000009280000}"/>
    <cellStyle name="_MOR-BDW_Revised MOR Package_~0039877_II.5. RM Volume Sensitivities_Sheet3" xfId="10251" xr:uid="{00000000-0005-0000-0000-00000A280000}"/>
    <cellStyle name="_MOR-BDW_Revised MOR Package_~0039877_II.5. RM Volume Sensitivities_Sheet4" xfId="10252" xr:uid="{00000000-0005-0000-0000-00000B280000}"/>
    <cellStyle name="_MOR-BDW_Revised MOR Package_~0039877_II.8. Sep&amp;Discrete" xfId="10253" xr:uid="{00000000-0005-0000-0000-00000C280000}"/>
    <cellStyle name="_MOR-BDW_Revised MOR Package_~0039877_Restructuring &amp; Separation" xfId="10254" xr:uid="{00000000-0005-0000-0000-00000D280000}"/>
    <cellStyle name="_MOR-BDW_Revised MOR Package_~0039877_Restructuring_Separation_TAX_JuneFC2010 tf" xfId="10255" xr:uid="{00000000-0005-0000-0000-00000E280000}"/>
    <cellStyle name="_MOR-BDW_Revised MOR Package_~0039877_Restructuring_Separation_TAX_JuneFC2010 tf_BS_Separation_TaxResIndem_Q12412 tf" xfId="10256" xr:uid="{00000000-0005-0000-0000-00000F280000}"/>
    <cellStyle name="_MOR-BDW_Revised MOR Package_~0039877_Restructuring_Separation_TAX_JuneFC2010 tf_BS_Separation_TaxResIndem_Q12412 tf_Restructuring &amp; Separation" xfId="10257" xr:uid="{00000000-0005-0000-0000-000010280000}"/>
    <cellStyle name="_MOR-BDW_Revised MOR Package_~0039877_Restructuring_Separation_TAX_JuneFC2010 tf_II.8. Sep&amp;Discrete" xfId="10258" xr:uid="{00000000-0005-0000-0000-000011280000}"/>
    <cellStyle name="_MOR-BDW_Revised MOR Package_~0039877_Restructuring_Separation_TAX_JuneFC2010 tf_Restructuring &amp; Separation" xfId="10259" xr:uid="{00000000-0005-0000-0000-000012280000}"/>
    <cellStyle name="_MOR-BDW_Revised MOR Package_BS_Separation_TaxResIndem_Q12412 tf" xfId="10260" xr:uid="{00000000-0005-0000-0000-000013280000}"/>
    <cellStyle name="_MOR-BDW_Revised MOR Package_BS_Separation_TaxResIndem_Q12412 tf_Restructuring &amp; Separation" xfId="10261" xr:uid="{00000000-0005-0000-0000-000014280000}"/>
    <cellStyle name="_MOR-BDW_Revised MOR Package_By Country Detail 1Q10 041410pm FIN 18 revised per disc w Mary" xfId="10262" xr:uid="{00000000-0005-0000-0000-000015280000}"/>
    <cellStyle name="_MOR-BDW_Revised MOR Package_By Country Detail 1Q10 041410pm FIN 18 revised per disc w Mary_BS_Separation_TaxResIndem_Q12412 tf" xfId="10263" xr:uid="{00000000-0005-0000-0000-000016280000}"/>
    <cellStyle name="_MOR-BDW_Revised MOR Package_By Country Detail 1Q10 041410pm FIN 18 revised per disc w Mary_BS_Separation_TaxResIndem_Q12412 tf_Restructuring &amp; Separation" xfId="10264" xr:uid="{00000000-0005-0000-0000-000017280000}"/>
    <cellStyle name="_MOR-BDW_Revised MOR Package_By Country Detail 1Q10 041410pm FIN 18 revised per disc w Mary_II.8. Sep&amp;Discrete" xfId="10265" xr:uid="{00000000-0005-0000-0000-000018280000}"/>
    <cellStyle name="_MOR-BDW_Revised MOR Package_By Country Detail 1Q10 041410pm FIN 18 revised per disc w Mary_Restructuring &amp; Separation" xfId="10266" xr:uid="{00000000-0005-0000-0000-000019280000}"/>
    <cellStyle name="_MOR-BDW_Revised MOR Package_II.4. RawMaterials" xfId="10267" xr:uid="{00000000-0005-0000-0000-00001A280000}"/>
    <cellStyle name="_MOR-BDW_Revised MOR Package_II.4. RawMaterials 2" xfId="10268" xr:uid="{00000000-0005-0000-0000-00001B280000}"/>
    <cellStyle name="_MOR-BDW_Revised MOR Package_II.4. RawMaterials_BS retrieve" xfId="10269" xr:uid="{00000000-0005-0000-0000-00001C280000}"/>
    <cellStyle name="_MOR-BDW_Revised MOR Package_II.4. RawMaterials_Free CF" xfId="10270" xr:uid="{00000000-0005-0000-0000-00001D280000}"/>
    <cellStyle name="_MOR-BDW_Revised MOR Package_II.4. RawMaterials_P&amp;L Rec Qtr" xfId="10271" xr:uid="{00000000-0005-0000-0000-00001E280000}"/>
    <cellStyle name="_MOR-BDW_Revised MOR Package_II.4. RawMaterials_Sheet1" xfId="10272" xr:uid="{00000000-0005-0000-0000-00001F280000}"/>
    <cellStyle name="_MOR-BDW_Revised MOR Package_II.4. RawMaterials_Sheet2" xfId="10273" xr:uid="{00000000-0005-0000-0000-000020280000}"/>
    <cellStyle name="_MOR-BDW_Revised MOR Package_II.4. RawMaterials_Sheet3" xfId="10274" xr:uid="{00000000-0005-0000-0000-000021280000}"/>
    <cellStyle name="_MOR-BDW_Revised MOR Package_II.4. RawMaterials_Sheet4" xfId="10275" xr:uid="{00000000-0005-0000-0000-000022280000}"/>
    <cellStyle name="_MOR-BDW_Revised MOR Package_II.5. RawMaterials" xfId="10276" xr:uid="{00000000-0005-0000-0000-000023280000}"/>
    <cellStyle name="_MOR-BDW_Revised MOR Package_II.5. RawMaterials 2" xfId="10277" xr:uid="{00000000-0005-0000-0000-000024280000}"/>
    <cellStyle name="_MOR-BDW_Revised MOR Package_II.5. RawMaterials_BS retrieve" xfId="10278" xr:uid="{00000000-0005-0000-0000-000025280000}"/>
    <cellStyle name="_MOR-BDW_Revised MOR Package_II.5. RawMaterials_Free CF" xfId="10279" xr:uid="{00000000-0005-0000-0000-000026280000}"/>
    <cellStyle name="_MOR-BDW_Revised MOR Package_II.5. RawMaterials_P&amp;L Rec Qtr" xfId="10280" xr:uid="{00000000-0005-0000-0000-000027280000}"/>
    <cellStyle name="_MOR-BDW_Revised MOR Package_II.5. RawMaterials_Sheet1" xfId="10281" xr:uid="{00000000-0005-0000-0000-000028280000}"/>
    <cellStyle name="_MOR-BDW_Revised MOR Package_II.5. RawMaterials_Sheet2" xfId="10282" xr:uid="{00000000-0005-0000-0000-000029280000}"/>
    <cellStyle name="_MOR-BDW_Revised MOR Package_II.5. RawMaterials_Sheet3" xfId="10283" xr:uid="{00000000-0005-0000-0000-00002A280000}"/>
    <cellStyle name="_MOR-BDW_Revised MOR Package_II.5. RawMaterials_Sheet4" xfId="10284" xr:uid="{00000000-0005-0000-0000-00002B280000}"/>
    <cellStyle name="_MOR-BDW_Revised MOR Package_II.5. RM Volume Sensitivities" xfId="10285" xr:uid="{00000000-0005-0000-0000-00002C280000}"/>
    <cellStyle name="_MOR-BDW_Revised MOR Package_II.5. RM Volume Sensitivities 2" xfId="10286" xr:uid="{00000000-0005-0000-0000-00002D280000}"/>
    <cellStyle name="_MOR-BDW_Revised MOR Package_II.5. RM Volume Sensitivities_BS retrieve" xfId="10287" xr:uid="{00000000-0005-0000-0000-00002E280000}"/>
    <cellStyle name="_MOR-BDW_Revised MOR Package_II.5. RM Volume Sensitivities_Free CF" xfId="10288" xr:uid="{00000000-0005-0000-0000-00002F280000}"/>
    <cellStyle name="_MOR-BDW_Revised MOR Package_II.5. RM Volume Sensitivities_P&amp;L Rec Qtr" xfId="10289" xr:uid="{00000000-0005-0000-0000-000030280000}"/>
    <cellStyle name="_MOR-BDW_Revised MOR Package_II.5. RM Volume Sensitivities_Sheet1" xfId="10290" xr:uid="{00000000-0005-0000-0000-000031280000}"/>
    <cellStyle name="_MOR-BDW_Revised MOR Package_II.5. RM Volume Sensitivities_Sheet2" xfId="10291" xr:uid="{00000000-0005-0000-0000-000032280000}"/>
    <cellStyle name="_MOR-BDW_Revised MOR Package_II.5. RM Volume Sensitivities_Sheet3" xfId="10292" xr:uid="{00000000-0005-0000-0000-000033280000}"/>
    <cellStyle name="_MOR-BDW_Revised MOR Package_II.5. RM Volume Sensitivities_Sheet4" xfId="10293" xr:uid="{00000000-0005-0000-0000-000034280000}"/>
    <cellStyle name="_MOR-BDW_Revised MOR Package_II.8. Sep&amp;Discrete" xfId="10294" xr:uid="{00000000-0005-0000-0000-000035280000}"/>
    <cellStyle name="_MOR-BDW_Revised MOR Package_Restructuring &amp; Separation" xfId="10295" xr:uid="{00000000-0005-0000-0000-000036280000}"/>
    <cellStyle name="_MOR-BDW_Revised MOR Package_Restructuring_Separation_TAX_JuneFC2010 tf" xfId="10296" xr:uid="{00000000-0005-0000-0000-000037280000}"/>
    <cellStyle name="_MOR-BDW_Revised MOR Package_Restructuring_Separation_TAX_JuneFC2010 tf_BS_Separation_TaxResIndem_Q12412 tf" xfId="10297" xr:uid="{00000000-0005-0000-0000-000038280000}"/>
    <cellStyle name="_MOR-BDW_Revised MOR Package_Restructuring_Separation_TAX_JuneFC2010 tf_BS_Separation_TaxResIndem_Q12412 tf_Restructuring &amp; Separation" xfId="10298" xr:uid="{00000000-0005-0000-0000-000039280000}"/>
    <cellStyle name="_MOR-BDW_Revised MOR Package_Restructuring_Separation_TAX_JuneFC2010 tf_II.8. Sep&amp;Discrete" xfId="10299" xr:uid="{00000000-0005-0000-0000-00003A280000}"/>
    <cellStyle name="_MOR-BDW_Revised MOR Package_Restructuring_Separation_TAX_JuneFC2010 tf_Restructuring &amp; Separation" xfId="10300" xr:uid="{00000000-0005-0000-0000-00003B280000}"/>
    <cellStyle name="_MOR-BDW_Revised MOR Package_Revised MOR Package - Latest" xfId="10301" xr:uid="{00000000-0005-0000-0000-00003C280000}"/>
    <cellStyle name="_MOR-BDW_Revised MOR Package_Revised MOR Package - Latest_BS_Separation_TaxResIndem_Q12412 tf" xfId="10302" xr:uid="{00000000-0005-0000-0000-00003D280000}"/>
    <cellStyle name="_MOR-BDW_Revised MOR Package_Revised MOR Package - Latest_BS_Separation_TaxResIndem_Q12412 tf_Restructuring &amp; Separation" xfId="10303" xr:uid="{00000000-0005-0000-0000-00003E280000}"/>
    <cellStyle name="_MOR-BDW_Revised MOR Package_Revised MOR Package - Latest_By Country Detail 1Q10 041410pm FIN 18 revised per disc w Mary" xfId="10304" xr:uid="{00000000-0005-0000-0000-00003F280000}"/>
    <cellStyle name="_MOR-BDW_Revised MOR Package_Revised MOR Package - Latest_By Country Detail 1Q10 041410pm FIN 18 revised per disc w Mary_BS_Separation_TaxResIndem_Q12412 tf" xfId="10305" xr:uid="{00000000-0005-0000-0000-000040280000}"/>
    <cellStyle name="_MOR-BDW_Revised MOR Package_Revised MOR Package - Latest_By Country Detail 1Q10 041410pm FIN 18 revised per disc w Mary_BS_Separation_TaxResIndem_Q12412 tf_Restructuring &amp; Separation" xfId="10306" xr:uid="{00000000-0005-0000-0000-000041280000}"/>
    <cellStyle name="_MOR-BDW_Revised MOR Package_Revised MOR Package - Latest_By Country Detail 1Q10 041410pm FIN 18 revised per disc w Mary_II.8. Sep&amp;Discrete" xfId="10307" xr:uid="{00000000-0005-0000-0000-000042280000}"/>
    <cellStyle name="_MOR-BDW_Revised MOR Package_Revised MOR Package - Latest_By Country Detail 1Q10 041410pm FIN 18 revised per disc w Mary_Restructuring &amp; Separation" xfId="10308" xr:uid="{00000000-0005-0000-0000-000043280000}"/>
    <cellStyle name="_MOR-BDW_Revised MOR Package_Revised MOR Package - Latest_II.4. RawMaterials" xfId="10309" xr:uid="{00000000-0005-0000-0000-000044280000}"/>
    <cellStyle name="_MOR-BDW_Revised MOR Package_Revised MOR Package - Latest_II.4. RawMaterials 2" xfId="10310" xr:uid="{00000000-0005-0000-0000-000045280000}"/>
    <cellStyle name="_MOR-BDW_Revised MOR Package_Revised MOR Package - Latest_II.4. RawMaterials_BS retrieve" xfId="10311" xr:uid="{00000000-0005-0000-0000-000046280000}"/>
    <cellStyle name="_MOR-BDW_Revised MOR Package_Revised MOR Package - Latest_II.4. RawMaterials_Free CF" xfId="10312" xr:uid="{00000000-0005-0000-0000-000047280000}"/>
    <cellStyle name="_MOR-BDW_Revised MOR Package_Revised MOR Package - Latest_II.4. RawMaterials_P&amp;L Rec Qtr" xfId="10313" xr:uid="{00000000-0005-0000-0000-000048280000}"/>
    <cellStyle name="_MOR-BDW_Revised MOR Package_Revised MOR Package - Latest_II.4. RawMaterials_Sheet1" xfId="10314" xr:uid="{00000000-0005-0000-0000-000049280000}"/>
    <cellStyle name="_MOR-BDW_Revised MOR Package_Revised MOR Package - Latest_II.4. RawMaterials_Sheet2" xfId="10315" xr:uid="{00000000-0005-0000-0000-00004A280000}"/>
    <cellStyle name="_MOR-BDW_Revised MOR Package_Revised MOR Package - Latest_II.4. RawMaterials_Sheet3" xfId="10316" xr:uid="{00000000-0005-0000-0000-00004B280000}"/>
    <cellStyle name="_MOR-BDW_Revised MOR Package_Revised MOR Package - Latest_II.4. RawMaterials_Sheet4" xfId="10317" xr:uid="{00000000-0005-0000-0000-00004C280000}"/>
    <cellStyle name="_MOR-BDW_Revised MOR Package_Revised MOR Package - Latest_II.5. RawMaterials" xfId="10318" xr:uid="{00000000-0005-0000-0000-00004D280000}"/>
    <cellStyle name="_MOR-BDW_Revised MOR Package_Revised MOR Package - Latest_II.5. RawMaterials 2" xfId="10319" xr:uid="{00000000-0005-0000-0000-00004E280000}"/>
    <cellStyle name="_MOR-BDW_Revised MOR Package_Revised MOR Package - Latest_II.5. RawMaterials_BS retrieve" xfId="10320" xr:uid="{00000000-0005-0000-0000-00004F280000}"/>
    <cellStyle name="_MOR-BDW_Revised MOR Package_Revised MOR Package - Latest_II.5. RawMaterials_Free CF" xfId="10321" xr:uid="{00000000-0005-0000-0000-000050280000}"/>
    <cellStyle name="_MOR-BDW_Revised MOR Package_Revised MOR Package - Latest_II.5. RawMaterials_P&amp;L Rec Qtr" xfId="10322" xr:uid="{00000000-0005-0000-0000-000051280000}"/>
    <cellStyle name="_MOR-BDW_Revised MOR Package_Revised MOR Package - Latest_II.5. RawMaterials_Sheet1" xfId="10323" xr:uid="{00000000-0005-0000-0000-000052280000}"/>
    <cellStyle name="_MOR-BDW_Revised MOR Package_Revised MOR Package - Latest_II.5. RawMaterials_Sheet2" xfId="10324" xr:uid="{00000000-0005-0000-0000-000053280000}"/>
    <cellStyle name="_MOR-BDW_Revised MOR Package_Revised MOR Package - Latest_II.5. RawMaterials_Sheet3" xfId="10325" xr:uid="{00000000-0005-0000-0000-000054280000}"/>
    <cellStyle name="_MOR-BDW_Revised MOR Package_Revised MOR Package - Latest_II.5. RawMaterials_Sheet4" xfId="10326" xr:uid="{00000000-0005-0000-0000-000055280000}"/>
    <cellStyle name="_MOR-BDW_Revised MOR Package_Revised MOR Package - Latest_II.5. RM Volume Sensitivities" xfId="10327" xr:uid="{00000000-0005-0000-0000-000056280000}"/>
    <cellStyle name="_MOR-BDW_Revised MOR Package_Revised MOR Package - Latest_II.5. RM Volume Sensitivities 2" xfId="10328" xr:uid="{00000000-0005-0000-0000-000057280000}"/>
    <cellStyle name="_MOR-BDW_Revised MOR Package_Revised MOR Package - Latest_II.5. RM Volume Sensitivities_BS retrieve" xfId="10329" xr:uid="{00000000-0005-0000-0000-000058280000}"/>
    <cellStyle name="_MOR-BDW_Revised MOR Package_Revised MOR Package - Latest_II.5. RM Volume Sensitivities_Free CF" xfId="10330" xr:uid="{00000000-0005-0000-0000-000059280000}"/>
    <cellStyle name="_MOR-BDW_Revised MOR Package_Revised MOR Package - Latest_II.5. RM Volume Sensitivities_P&amp;L Rec Qtr" xfId="10331" xr:uid="{00000000-0005-0000-0000-00005A280000}"/>
    <cellStyle name="_MOR-BDW_Revised MOR Package_Revised MOR Package - Latest_II.5. RM Volume Sensitivities_Sheet1" xfId="10332" xr:uid="{00000000-0005-0000-0000-00005B280000}"/>
    <cellStyle name="_MOR-BDW_Revised MOR Package_Revised MOR Package - Latest_II.5. RM Volume Sensitivities_Sheet2" xfId="10333" xr:uid="{00000000-0005-0000-0000-00005C280000}"/>
    <cellStyle name="_MOR-BDW_Revised MOR Package_Revised MOR Package - Latest_II.5. RM Volume Sensitivities_Sheet3" xfId="10334" xr:uid="{00000000-0005-0000-0000-00005D280000}"/>
    <cellStyle name="_MOR-BDW_Revised MOR Package_Revised MOR Package - Latest_II.5. RM Volume Sensitivities_Sheet4" xfId="10335" xr:uid="{00000000-0005-0000-0000-00005E280000}"/>
    <cellStyle name="_MOR-BDW_Revised MOR Package_Revised MOR Package - Latest_II.8. Sep&amp;Discrete" xfId="10336" xr:uid="{00000000-0005-0000-0000-00005F280000}"/>
    <cellStyle name="_MOR-BDW_Revised MOR Package_Revised MOR Package - Latest_Restructuring &amp; Separation" xfId="10337" xr:uid="{00000000-0005-0000-0000-000060280000}"/>
    <cellStyle name="_MOR-BDW_Revised MOR Package_Revised MOR Package - Latest_Restructuring_Separation_TAX_JuneFC2010 tf" xfId="10338" xr:uid="{00000000-0005-0000-0000-000061280000}"/>
    <cellStyle name="_MOR-BDW_Revised MOR Package_Revised MOR Package - Latest_Restructuring_Separation_TAX_JuneFC2010 tf_BS_Separation_TaxResIndem_Q12412 tf" xfId="10339" xr:uid="{00000000-0005-0000-0000-000062280000}"/>
    <cellStyle name="_MOR-BDW_Revised MOR Package_Revised MOR Package - Latest_Restructuring_Separation_TAX_JuneFC2010 tf_BS_Separation_TaxResIndem_Q12412 tf_Restructuring &amp; Separation" xfId="10340" xr:uid="{00000000-0005-0000-0000-000063280000}"/>
    <cellStyle name="_MOR-BDW_Revised MOR Package_Revised MOR Package - Latest_Restructuring_Separation_TAX_JuneFC2010 tf_II.8. Sep&amp;Discrete" xfId="10341" xr:uid="{00000000-0005-0000-0000-000064280000}"/>
    <cellStyle name="_MOR-BDW_Revised MOR Package_Revised MOR Package - Latest_Restructuring_Separation_TAX_JuneFC2010 tf_Restructuring &amp; Separation" xfId="10342" xr:uid="{00000000-0005-0000-0000-000065280000}"/>
    <cellStyle name="_ODE Transaction Model_India_v2" xfId="10343" xr:uid="{00000000-0005-0000-0000-000066280000}"/>
    <cellStyle name="_OPEX- PPT Revert" xfId="10344" xr:uid="{00000000-0005-0000-0000-000067280000}"/>
    <cellStyle name="_OPEX_analyze aft Jun closing (with Q2 Pyplr)" xfId="10345" xr:uid="{00000000-0005-0000-0000-000068280000}"/>
    <cellStyle name="_OPEX_analyze aft Jun closing (with Q2 Pyplr)_BS_Separation_TaxResIndem_Q12412 tf" xfId="10346" xr:uid="{00000000-0005-0000-0000-000069280000}"/>
    <cellStyle name="_OPEX_analyze aft Jun closing (with Q2 Pyplr)_BS_Separation_TaxResIndem_Q12412 tf_Restructuring &amp; Separation" xfId="10347" xr:uid="{00000000-0005-0000-0000-00006A280000}"/>
    <cellStyle name="_OPEX_analyze aft Jun closing (with Q2 Pyplr)_By Country Detail 1Q10 041410pm FIN 18 revised per disc w Mary" xfId="10348" xr:uid="{00000000-0005-0000-0000-00006B280000}"/>
    <cellStyle name="_OPEX_analyze aft Jun closing (with Q2 Pyplr)_By Country Detail 1Q10 041410pm FIN 18 revised per disc w Mary_BS_Separation_TaxResIndem_Q12412 tf" xfId="10349" xr:uid="{00000000-0005-0000-0000-00006C280000}"/>
    <cellStyle name="_OPEX_analyze aft Jun closing (with Q2 Pyplr)_By Country Detail 1Q10 041410pm FIN 18 revised per disc w Mary_BS_Separation_TaxResIndem_Q12412 tf_Restructuring &amp; Separation" xfId="10350" xr:uid="{00000000-0005-0000-0000-00006D280000}"/>
    <cellStyle name="_OPEX_analyze aft Jun closing (with Q2 Pyplr)_By Country Detail 1Q10 041410pm FIN 18 revised per disc w Mary_II.8. Sep&amp;Discrete" xfId="10351" xr:uid="{00000000-0005-0000-0000-00006E280000}"/>
    <cellStyle name="_OPEX_analyze aft Jun closing (with Q2 Pyplr)_By Country Detail 1Q10 041410pm FIN 18 revised per disc w Mary_Restructuring &amp; Separation" xfId="10352" xr:uid="{00000000-0005-0000-0000-00006F280000}"/>
    <cellStyle name="_OPEX_analyze aft Jun closing (with Q2 Pyplr)_II.4. RawMaterials" xfId="10353" xr:uid="{00000000-0005-0000-0000-000070280000}"/>
    <cellStyle name="_OPEX_analyze aft Jun closing (with Q2 Pyplr)_II.4. RawMaterials 2" xfId="10354" xr:uid="{00000000-0005-0000-0000-000071280000}"/>
    <cellStyle name="_OPEX_analyze aft Jun closing (with Q2 Pyplr)_II.4. RawMaterials_BS retrieve" xfId="10355" xr:uid="{00000000-0005-0000-0000-000072280000}"/>
    <cellStyle name="_OPEX_analyze aft Jun closing (with Q2 Pyplr)_II.4. RawMaterials_Free CF" xfId="10356" xr:uid="{00000000-0005-0000-0000-000073280000}"/>
    <cellStyle name="_OPEX_analyze aft Jun closing (with Q2 Pyplr)_II.4. RawMaterials_P&amp;L Rec Qtr" xfId="10357" xr:uid="{00000000-0005-0000-0000-000074280000}"/>
    <cellStyle name="_OPEX_analyze aft Jun closing (with Q2 Pyplr)_II.4. RawMaterials_Sheet1" xfId="10358" xr:uid="{00000000-0005-0000-0000-000075280000}"/>
    <cellStyle name="_OPEX_analyze aft Jun closing (with Q2 Pyplr)_II.4. RawMaterials_Sheet2" xfId="10359" xr:uid="{00000000-0005-0000-0000-000076280000}"/>
    <cellStyle name="_OPEX_analyze aft Jun closing (with Q2 Pyplr)_II.4. RawMaterials_Sheet3" xfId="10360" xr:uid="{00000000-0005-0000-0000-000077280000}"/>
    <cellStyle name="_OPEX_analyze aft Jun closing (with Q2 Pyplr)_II.4. RawMaterials_Sheet4" xfId="10361" xr:uid="{00000000-0005-0000-0000-000078280000}"/>
    <cellStyle name="_OPEX_analyze aft Jun closing (with Q2 Pyplr)_II.5. RawMaterials" xfId="10362" xr:uid="{00000000-0005-0000-0000-000079280000}"/>
    <cellStyle name="_OPEX_analyze aft Jun closing (with Q2 Pyplr)_II.5. RawMaterials 2" xfId="10363" xr:uid="{00000000-0005-0000-0000-00007A280000}"/>
    <cellStyle name="_OPEX_analyze aft Jun closing (with Q2 Pyplr)_II.5. RawMaterials_BS retrieve" xfId="10364" xr:uid="{00000000-0005-0000-0000-00007B280000}"/>
    <cellStyle name="_OPEX_analyze aft Jun closing (with Q2 Pyplr)_II.5. RawMaterials_Free CF" xfId="10365" xr:uid="{00000000-0005-0000-0000-00007C280000}"/>
    <cellStyle name="_OPEX_analyze aft Jun closing (with Q2 Pyplr)_II.5. RawMaterials_P&amp;L Rec Qtr" xfId="10366" xr:uid="{00000000-0005-0000-0000-00007D280000}"/>
    <cellStyle name="_OPEX_analyze aft Jun closing (with Q2 Pyplr)_II.5. RawMaterials_Sheet1" xfId="10367" xr:uid="{00000000-0005-0000-0000-00007E280000}"/>
    <cellStyle name="_OPEX_analyze aft Jun closing (with Q2 Pyplr)_II.5. RawMaterials_Sheet2" xfId="10368" xr:uid="{00000000-0005-0000-0000-00007F280000}"/>
    <cellStyle name="_OPEX_analyze aft Jun closing (with Q2 Pyplr)_II.5. RawMaterials_Sheet3" xfId="10369" xr:uid="{00000000-0005-0000-0000-000080280000}"/>
    <cellStyle name="_OPEX_analyze aft Jun closing (with Q2 Pyplr)_II.5. RawMaterials_Sheet4" xfId="10370" xr:uid="{00000000-0005-0000-0000-000081280000}"/>
    <cellStyle name="_OPEX_analyze aft Jun closing (with Q2 Pyplr)_II.5. RM Volume Sensitivities" xfId="10371" xr:uid="{00000000-0005-0000-0000-000082280000}"/>
    <cellStyle name="_OPEX_analyze aft Jun closing (with Q2 Pyplr)_II.5. RM Volume Sensitivities 2" xfId="10372" xr:uid="{00000000-0005-0000-0000-000083280000}"/>
    <cellStyle name="_OPEX_analyze aft Jun closing (with Q2 Pyplr)_II.5. RM Volume Sensitivities_BS retrieve" xfId="10373" xr:uid="{00000000-0005-0000-0000-000084280000}"/>
    <cellStyle name="_OPEX_analyze aft Jun closing (with Q2 Pyplr)_II.5. RM Volume Sensitivities_Free CF" xfId="10374" xr:uid="{00000000-0005-0000-0000-000085280000}"/>
    <cellStyle name="_OPEX_analyze aft Jun closing (with Q2 Pyplr)_II.5. RM Volume Sensitivities_P&amp;L Rec Qtr" xfId="10375" xr:uid="{00000000-0005-0000-0000-000086280000}"/>
    <cellStyle name="_OPEX_analyze aft Jun closing (with Q2 Pyplr)_II.5. RM Volume Sensitivities_Sheet1" xfId="10376" xr:uid="{00000000-0005-0000-0000-000087280000}"/>
    <cellStyle name="_OPEX_analyze aft Jun closing (with Q2 Pyplr)_II.5. RM Volume Sensitivities_Sheet2" xfId="10377" xr:uid="{00000000-0005-0000-0000-000088280000}"/>
    <cellStyle name="_OPEX_analyze aft Jun closing (with Q2 Pyplr)_II.5. RM Volume Sensitivities_Sheet3" xfId="10378" xr:uid="{00000000-0005-0000-0000-000089280000}"/>
    <cellStyle name="_OPEX_analyze aft Jun closing (with Q2 Pyplr)_II.5. RM Volume Sensitivities_Sheet4" xfId="10379" xr:uid="{00000000-0005-0000-0000-00008A280000}"/>
    <cellStyle name="_OPEX_analyze aft Jun closing (with Q2 Pyplr)_II.8. Sep&amp;Discrete" xfId="10380" xr:uid="{00000000-0005-0000-0000-00008B280000}"/>
    <cellStyle name="_OPEX_analyze aft Jun closing (with Q2 Pyplr)_Restructuring &amp; Separation" xfId="10381" xr:uid="{00000000-0005-0000-0000-00008C280000}"/>
    <cellStyle name="_OPEX_analyze aft Jun closing (with Q2 Pyplr)_Restructuring_Separation_TAX_JuneFC2010 tf" xfId="10382" xr:uid="{00000000-0005-0000-0000-00008D280000}"/>
    <cellStyle name="_OPEX_analyze aft Jun closing (with Q2 Pyplr)_Restructuring_Separation_TAX_JuneFC2010 tf_BS_Separation_TaxResIndem_Q12412 tf" xfId="10383" xr:uid="{00000000-0005-0000-0000-00008E280000}"/>
    <cellStyle name="_OPEX_analyze aft Jun closing (with Q2 Pyplr)_Restructuring_Separation_TAX_JuneFC2010 tf_BS_Separation_TaxResIndem_Q12412 tf_Restructuring &amp; Separation" xfId="10384" xr:uid="{00000000-0005-0000-0000-00008F280000}"/>
    <cellStyle name="_OPEX_analyze aft Jun closing (with Q2 Pyplr)_Restructuring_Separation_TAX_JuneFC2010 tf_II.8. Sep&amp;Discrete" xfId="10385" xr:uid="{00000000-0005-0000-0000-000090280000}"/>
    <cellStyle name="_OPEX_analyze aft Jun closing (with Q2 Pyplr)_Restructuring_Separation_TAX_JuneFC2010 tf_Restructuring &amp; Separation" xfId="10386" xr:uid="{00000000-0005-0000-0000-000091280000}"/>
    <cellStyle name="_OU Sheet (2)" xfId="10387" xr:uid="{00000000-0005-0000-0000-000092280000}"/>
    <cellStyle name="_raw material graphs (version 1)" xfId="10388" xr:uid="{00000000-0005-0000-0000-000093280000}"/>
    <cellStyle name="_raw material graphs (version 1) 2" xfId="10389" xr:uid="{00000000-0005-0000-0000-000094280000}"/>
    <cellStyle name="_raw material graphs (version 1)_BS retrieve" xfId="10390" xr:uid="{00000000-0005-0000-0000-000095280000}"/>
    <cellStyle name="_raw material graphs (version 1)_Free CF" xfId="10391" xr:uid="{00000000-0005-0000-0000-000096280000}"/>
    <cellStyle name="_raw material graphs (version 1)_P&amp;L Rec Qtr" xfId="10392" xr:uid="{00000000-0005-0000-0000-000097280000}"/>
    <cellStyle name="_raw material graphs (version 1)_Sheet1" xfId="10393" xr:uid="{00000000-0005-0000-0000-000098280000}"/>
    <cellStyle name="_raw material graphs (version 1)_Sheet2" xfId="10394" xr:uid="{00000000-0005-0000-0000-000099280000}"/>
    <cellStyle name="_raw material graphs (version 1)_Sheet3" xfId="10395" xr:uid="{00000000-0005-0000-0000-00009A280000}"/>
    <cellStyle name="_raw material graphs (version 1)_Sheet4" xfId="10396" xr:uid="{00000000-0005-0000-0000-00009B280000}"/>
    <cellStyle name="_Restructuring &amp; Separation" xfId="10397" xr:uid="{00000000-0005-0000-0000-00009C280000}"/>
    <cellStyle name="_RESTRUCTURING and separation" xfId="10398" xr:uid="{00000000-0005-0000-0000-00009D280000}"/>
    <cellStyle name="_Revised MOR - Australia -  EC - 4+8" xfId="10399" xr:uid="{00000000-0005-0000-0000-00009E280000}"/>
    <cellStyle name="_Revised MOR - Australia -  EC - 4+8_BS_Separation_TaxResIndem_Q12412 tf" xfId="10400" xr:uid="{00000000-0005-0000-0000-00009F280000}"/>
    <cellStyle name="_Revised MOR - Australia -  EC - 4+8_BS_Separation_TaxResIndem_Q12412 tf_Restructuring &amp; Separation" xfId="10401" xr:uid="{00000000-0005-0000-0000-0000A0280000}"/>
    <cellStyle name="_Revised MOR - Australia -  EC - 4+8_By Country Detail 1Q10 041410pm FIN 18 revised per disc w Mary" xfId="10402" xr:uid="{00000000-0005-0000-0000-0000A1280000}"/>
    <cellStyle name="_Revised MOR - Australia -  EC - 4+8_By Country Detail 1Q10 041410pm FIN 18 revised per disc w Mary_BS_Separation_TaxResIndem_Q12412 tf" xfId="10403" xr:uid="{00000000-0005-0000-0000-0000A2280000}"/>
    <cellStyle name="_Revised MOR - Australia -  EC - 4+8_By Country Detail 1Q10 041410pm FIN 18 revised per disc w Mary_BS_Separation_TaxResIndem_Q12412 tf_Restructuring &amp; Separation" xfId="10404" xr:uid="{00000000-0005-0000-0000-0000A3280000}"/>
    <cellStyle name="_Revised MOR - Australia -  EC - 4+8_By Country Detail 1Q10 041410pm FIN 18 revised per disc w Mary_II.8. Sep&amp;Discrete" xfId="10405" xr:uid="{00000000-0005-0000-0000-0000A4280000}"/>
    <cellStyle name="_Revised MOR - Australia -  EC - 4+8_By Country Detail 1Q10 041410pm FIN 18 revised per disc w Mary_Restructuring &amp; Separation" xfId="10406" xr:uid="{00000000-0005-0000-0000-0000A5280000}"/>
    <cellStyle name="_Revised MOR - Australia -  EC - 4+8_II.4. RawMaterials" xfId="10407" xr:uid="{00000000-0005-0000-0000-0000A6280000}"/>
    <cellStyle name="_Revised MOR - Australia -  EC - 4+8_II.4. RawMaterials 2" xfId="10408" xr:uid="{00000000-0005-0000-0000-0000A7280000}"/>
    <cellStyle name="_Revised MOR - Australia -  EC - 4+8_II.4. RawMaterials_BS retrieve" xfId="10409" xr:uid="{00000000-0005-0000-0000-0000A8280000}"/>
    <cellStyle name="_Revised MOR - Australia -  EC - 4+8_II.4. RawMaterials_Free CF" xfId="10410" xr:uid="{00000000-0005-0000-0000-0000A9280000}"/>
    <cellStyle name="_Revised MOR - Australia -  EC - 4+8_II.4. RawMaterials_P&amp;L Rec Qtr" xfId="10411" xr:uid="{00000000-0005-0000-0000-0000AA280000}"/>
    <cellStyle name="_Revised MOR - Australia -  EC - 4+8_II.4. RawMaterials_Sheet1" xfId="10412" xr:uid="{00000000-0005-0000-0000-0000AB280000}"/>
    <cellStyle name="_Revised MOR - Australia -  EC - 4+8_II.4. RawMaterials_Sheet2" xfId="10413" xr:uid="{00000000-0005-0000-0000-0000AC280000}"/>
    <cellStyle name="_Revised MOR - Australia -  EC - 4+8_II.4. RawMaterials_Sheet3" xfId="10414" xr:uid="{00000000-0005-0000-0000-0000AD280000}"/>
    <cellStyle name="_Revised MOR - Australia -  EC - 4+8_II.4. RawMaterials_Sheet4" xfId="10415" xr:uid="{00000000-0005-0000-0000-0000AE280000}"/>
    <cellStyle name="_Revised MOR - Australia -  EC - 4+8_II.5. RawMaterials" xfId="10416" xr:uid="{00000000-0005-0000-0000-0000AF280000}"/>
    <cellStyle name="_Revised MOR - Australia -  EC - 4+8_II.5. RawMaterials 2" xfId="10417" xr:uid="{00000000-0005-0000-0000-0000B0280000}"/>
    <cellStyle name="_Revised MOR - Australia -  EC - 4+8_II.5. RawMaterials_BS retrieve" xfId="10418" xr:uid="{00000000-0005-0000-0000-0000B1280000}"/>
    <cellStyle name="_Revised MOR - Australia -  EC - 4+8_II.5. RawMaterials_Free CF" xfId="10419" xr:uid="{00000000-0005-0000-0000-0000B2280000}"/>
    <cellStyle name="_Revised MOR - Australia -  EC - 4+8_II.5. RawMaterials_P&amp;L Rec Qtr" xfId="10420" xr:uid="{00000000-0005-0000-0000-0000B3280000}"/>
    <cellStyle name="_Revised MOR - Australia -  EC - 4+8_II.5. RawMaterials_Sheet1" xfId="10421" xr:uid="{00000000-0005-0000-0000-0000B4280000}"/>
    <cellStyle name="_Revised MOR - Australia -  EC - 4+8_II.5. RawMaterials_Sheet2" xfId="10422" xr:uid="{00000000-0005-0000-0000-0000B5280000}"/>
    <cellStyle name="_Revised MOR - Australia -  EC - 4+8_II.5. RawMaterials_Sheet3" xfId="10423" xr:uid="{00000000-0005-0000-0000-0000B6280000}"/>
    <cellStyle name="_Revised MOR - Australia -  EC - 4+8_II.5. RawMaterials_Sheet4" xfId="10424" xr:uid="{00000000-0005-0000-0000-0000B7280000}"/>
    <cellStyle name="_Revised MOR - Australia -  EC - 4+8_II.5. RM Volume Sensitivities" xfId="10425" xr:uid="{00000000-0005-0000-0000-0000B8280000}"/>
    <cellStyle name="_Revised MOR - Australia -  EC - 4+8_II.5. RM Volume Sensitivities 2" xfId="10426" xr:uid="{00000000-0005-0000-0000-0000B9280000}"/>
    <cellStyle name="_Revised MOR - Australia -  EC - 4+8_II.5. RM Volume Sensitivities_BS retrieve" xfId="10427" xr:uid="{00000000-0005-0000-0000-0000BA280000}"/>
    <cellStyle name="_Revised MOR - Australia -  EC - 4+8_II.5. RM Volume Sensitivities_Free CF" xfId="10428" xr:uid="{00000000-0005-0000-0000-0000BB280000}"/>
    <cellStyle name="_Revised MOR - Australia -  EC - 4+8_II.5. RM Volume Sensitivities_P&amp;L Rec Qtr" xfId="10429" xr:uid="{00000000-0005-0000-0000-0000BC280000}"/>
    <cellStyle name="_Revised MOR - Australia -  EC - 4+8_II.5. RM Volume Sensitivities_Sheet1" xfId="10430" xr:uid="{00000000-0005-0000-0000-0000BD280000}"/>
    <cellStyle name="_Revised MOR - Australia -  EC - 4+8_II.5. RM Volume Sensitivities_Sheet2" xfId="10431" xr:uid="{00000000-0005-0000-0000-0000BE280000}"/>
    <cellStyle name="_Revised MOR - Australia -  EC - 4+8_II.5. RM Volume Sensitivities_Sheet3" xfId="10432" xr:uid="{00000000-0005-0000-0000-0000BF280000}"/>
    <cellStyle name="_Revised MOR - Australia -  EC - 4+8_II.5. RM Volume Sensitivities_Sheet4" xfId="10433" xr:uid="{00000000-0005-0000-0000-0000C0280000}"/>
    <cellStyle name="_Revised MOR - Australia -  EC - 4+8_II.8. Sep&amp;Discrete" xfId="10434" xr:uid="{00000000-0005-0000-0000-0000C1280000}"/>
    <cellStyle name="_Revised MOR - Australia -  EC - 4+8_Restructuring &amp; Separation" xfId="10435" xr:uid="{00000000-0005-0000-0000-0000C2280000}"/>
    <cellStyle name="_Revised MOR - Australia -  EC - 4+8_Restructuring_Separation_TAX_JuneFC2010 tf" xfId="10436" xr:uid="{00000000-0005-0000-0000-0000C3280000}"/>
    <cellStyle name="_Revised MOR - Australia -  EC - 4+8_Restructuring_Separation_TAX_JuneFC2010 tf_BS_Separation_TaxResIndem_Q12412 tf" xfId="10437" xr:uid="{00000000-0005-0000-0000-0000C4280000}"/>
    <cellStyle name="_Revised MOR - Australia -  EC - 4+8_Restructuring_Separation_TAX_JuneFC2010 tf_BS_Separation_TaxResIndem_Q12412 tf_Restructuring &amp; Separation" xfId="10438" xr:uid="{00000000-0005-0000-0000-0000C5280000}"/>
    <cellStyle name="_Revised MOR - Australia -  EC - 4+8_Restructuring_Separation_TAX_JuneFC2010 tf_II.8. Sep&amp;Discrete" xfId="10439" xr:uid="{00000000-0005-0000-0000-0000C6280000}"/>
    <cellStyle name="_Revised MOR - Australia -  EC - 4+8_Restructuring_Separation_TAX_JuneFC2010 tf_Restructuring &amp; Separation" xfId="10440" xr:uid="{00000000-0005-0000-0000-0000C7280000}"/>
    <cellStyle name="_Revised MOR 2004" xfId="10441" xr:uid="{00000000-0005-0000-0000-0000C8280000}"/>
    <cellStyle name="_Revised MOR 2004_BS_Separation_TaxResIndem_Q12412 tf" xfId="10442" xr:uid="{00000000-0005-0000-0000-0000C9280000}"/>
    <cellStyle name="_Revised MOR 2004_BS_Separation_TaxResIndem_Q12412 tf_Restructuring &amp; Separation" xfId="10443" xr:uid="{00000000-0005-0000-0000-0000CA280000}"/>
    <cellStyle name="_Revised MOR 2004_By Country Detail 1Q10 041410pm FIN 18 revised per disc w Mary" xfId="10444" xr:uid="{00000000-0005-0000-0000-0000CB280000}"/>
    <cellStyle name="_Revised MOR 2004_By Country Detail 1Q10 041410pm FIN 18 revised per disc w Mary_BS_Separation_TaxResIndem_Q12412 tf" xfId="10445" xr:uid="{00000000-0005-0000-0000-0000CC280000}"/>
    <cellStyle name="_Revised MOR 2004_By Country Detail 1Q10 041410pm FIN 18 revised per disc w Mary_BS_Separation_TaxResIndem_Q12412 tf_Restructuring &amp; Separation" xfId="10446" xr:uid="{00000000-0005-0000-0000-0000CD280000}"/>
    <cellStyle name="_Revised MOR 2004_By Country Detail 1Q10 041410pm FIN 18 revised per disc w Mary_II.8. Sep&amp;Discrete" xfId="10447" xr:uid="{00000000-0005-0000-0000-0000CE280000}"/>
    <cellStyle name="_Revised MOR 2004_By Country Detail 1Q10 041410pm FIN 18 revised per disc w Mary_Restructuring &amp; Separation" xfId="10448" xr:uid="{00000000-0005-0000-0000-0000CF280000}"/>
    <cellStyle name="_Revised MOR 2004_II.4. RawMaterials" xfId="10449" xr:uid="{00000000-0005-0000-0000-0000D0280000}"/>
    <cellStyle name="_Revised MOR 2004_II.4. RawMaterials 2" xfId="10450" xr:uid="{00000000-0005-0000-0000-0000D1280000}"/>
    <cellStyle name="_Revised MOR 2004_II.4. RawMaterials_BS retrieve" xfId="10451" xr:uid="{00000000-0005-0000-0000-0000D2280000}"/>
    <cellStyle name="_Revised MOR 2004_II.4. RawMaterials_Free CF" xfId="10452" xr:uid="{00000000-0005-0000-0000-0000D3280000}"/>
    <cellStyle name="_Revised MOR 2004_II.4. RawMaterials_P&amp;L Rec Qtr" xfId="10453" xr:uid="{00000000-0005-0000-0000-0000D4280000}"/>
    <cellStyle name="_Revised MOR 2004_II.4. RawMaterials_Sheet1" xfId="10454" xr:uid="{00000000-0005-0000-0000-0000D5280000}"/>
    <cellStyle name="_Revised MOR 2004_II.4. RawMaterials_Sheet2" xfId="10455" xr:uid="{00000000-0005-0000-0000-0000D6280000}"/>
    <cellStyle name="_Revised MOR 2004_II.4. RawMaterials_Sheet3" xfId="10456" xr:uid="{00000000-0005-0000-0000-0000D7280000}"/>
    <cellStyle name="_Revised MOR 2004_II.4. RawMaterials_Sheet4" xfId="10457" xr:uid="{00000000-0005-0000-0000-0000D8280000}"/>
    <cellStyle name="_Revised MOR 2004_II.5. RawMaterials" xfId="10458" xr:uid="{00000000-0005-0000-0000-0000D9280000}"/>
    <cellStyle name="_Revised MOR 2004_II.5. RawMaterials 2" xfId="10459" xr:uid="{00000000-0005-0000-0000-0000DA280000}"/>
    <cellStyle name="_Revised MOR 2004_II.5. RawMaterials_BS retrieve" xfId="10460" xr:uid="{00000000-0005-0000-0000-0000DB280000}"/>
    <cellStyle name="_Revised MOR 2004_II.5. RawMaterials_Free CF" xfId="10461" xr:uid="{00000000-0005-0000-0000-0000DC280000}"/>
    <cellStyle name="_Revised MOR 2004_II.5. RawMaterials_P&amp;L Rec Qtr" xfId="10462" xr:uid="{00000000-0005-0000-0000-0000DD280000}"/>
    <cellStyle name="_Revised MOR 2004_II.5. RawMaterials_Sheet1" xfId="10463" xr:uid="{00000000-0005-0000-0000-0000DE280000}"/>
    <cellStyle name="_Revised MOR 2004_II.5. RawMaterials_Sheet2" xfId="10464" xr:uid="{00000000-0005-0000-0000-0000DF280000}"/>
    <cellStyle name="_Revised MOR 2004_II.5. RawMaterials_Sheet3" xfId="10465" xr:uid="{00000000-0005-0000-0000-0000E0280000}"/>
    <cellStyle name="_Revised MOR 2004_II.5. RawMaterials_Sheet4" xfId="10466" xr:uid="{00000000-0005-0000-0000-0000E1280000}"/>
    <cellStyle name="_Revised MOR 2004_II.5. RM Volume Sensitivities" xfId="10467" xr:uid="{00000000-0005-0000-0000-0000E2280000}"/>
    <cellStyle name="_Revised MOR 2004_II.5. RM Volume Sensitivities 2" xfId="10468" xr:uid="{00000000-0005-0000-0000-0000E3280000}"/>
    <cellStyle name="_Revised MOR 2004_II.5. RM Volume Sensitivities_BS retrieve" xfId="10469" xr:uid="{00000000-0005-0000-0000-0000E4280000}"/>
    <cellStyle name="_Revised MOR 2004_II.5. RM Volume Sensitivities_Free CF" xfId="10470" xr:uid="{00000000-0005-0000-0000-0000E5280000}"/>
    <cellStyle name="_Revised MOR 2004_II.5. RM Volume Sensitivities_P&amp;L Rec Qtr" xfId="10471" xr:uid="{00000000-0005-0000-0000-0000E6280000}"/>
    <cellStyle name="_Revised MOR 2004_II.5. RM Volume Sensitivities_Sheet1" xfId="10472" xr:uid="{00000000-0005-0000-0000-0000E7280000}"/>
    <cellStyle name="_Revised MOR 2004_II.5. RM Volume Sensitivities_Sheet2" xfId="10473" xr:uid="{00000000-0005-0000-0000-0000E8280000}"/>
    <cellStyle name="_Revised MOR 2004_II.5. RM Volume Sensitivities_Sheet3" xfId="10474" xr:uid="{00000000-0005-0000-0000-0000E9280000}"/>
    <cellStyle name="_Revised MOR 2004_II.5. RM Volume Sensitivities_Sheet4" xfId="10475" xr:uid="{00000000-0005-0000-0000-0000EA280000}"/>
    <cellStyle name="_Revised MOR 2004_II.8. Sep&amp;Discrete" xfId="10476" xr:uid="{00000000-0005-0000-0000-0000EB280000}"/>
    <cellStyle name="_Revised MOR 2004_MOR - BDWY - 1+11" xfId="10477" xr:uid="{00000000-0005-0000-0000-0000EC280000}"/>
    <cellStyle name="_Revised MOR 2004_MOR - BDWY - 1+11_~0039877" xfId="10478" xr:uid="{00000000-0005-0000-0000-0000ED280000}"/>
    <cellStyle name="_Revised MOR 2004_MOR - BDWY - 1+11_~0039877_BS_Separation_TaxResIndem_Q12412 tf" xfId="10479" xr:uid="{00000000-0005-0000-0000-0000EE280000}"/>
    <cellStyle name="_Revised MOR 2004_MOR - BDWY - 1+11_~0039877_BS_Separation_TaxResIndem_Q12412 tf_Restructuring &amp; Separation" xfId="10480" xr:uid="{00000000-0005-0000-0000-0000EF280000}"/>
    <cellStyle name="_Revised MOR 2004_MOR - BDWY - 1+11_~0039877_By Country Detail 1Q10 041410pm FIN 18 revised per disc w Mary" xfId="10481" xr:uid="{00000000-0005-0000-0000-0000F0280000}"/>
    <cellStyle name="_Revised MOR 2004_MOR - BDWY - 1+11_~0039877_By Country Detail 1Q10 041410pm FIN 18 revised per disc w Mary_BS_Separation_TaxResIndem_Q12412 tf" xfId="10482" xr:uid="{00000000-0005-0000-0000-0000F1280000}"/>
    <cellStyle name="_Revised MOR 2004_MOR - BDWY - 1+11_~0039877_By Country Detail 1Q10 041410pm FIN 18 revised per disc w Mary_BS_Separation_TaxResIndem_Q12412 tf_Restructuring &amp; Separation" xfId="10483" xr:uid="{00000000-0005-0000-0000-0000F2280000}"/>
    <cellStyle name="_Revised MOR 2004_MOR - BDWY - 1+11_~0039877_By Country Detail 1Q10 041410pm FIN 18 revised per disc w Mary_II.8. Sep&amp;Discrete" xfId="10484" xr:uid="{00000000-0005-0000-0000-0000F3280000}"/>
    <cellStyle name="_Revised MOR 2004_MOR - BDWY - 1+11_~0039877_By Country Detail 1Q10 041410pm FIN 18 revised per disc w Mary_Restructuring &amp; Separation" xfId="10485" xr:uid="{00000000-0005-0000-0000-0000F4280000}"/>
    <cellStyle name="_Revised MOR 2004_MOR - BDWY - 1+11_~0039877_II.4. RawMaterials" xfId="10486" xr:uid="{00000000-0005-0000-0000-0000F5280000}"/>
    <cellStyle name="_Revised MOR 2004_MOR - BDWY - 1+11_~0039877_II.4. RawMaterials 2" xfId="10487" xr:uid="{00000000-0005-0000-0000-0000F6280000}"/>
    <cellStyle name="_Revised MOR 2004_MOR - BDWY - 1+11_~0039877_II.4. RawMaterials_BS retrieve" xfId="10488" xr:uid="{00000000-0005-0000-0000-0000F7280000}"/>
    <cellStyle name="_Revised MOR 2004_MOR - BDWY - 1+11_~0039877_II.4. RawMaterials_Free CF" xfId="10489" xr:uid="{00000000-0005-0000-0000-0000F8280000}"/>
    <cellStyle name="_Revised MOR 2004_MOR - BDWY - 1+11_~0039877_II.4. RawMaterials_P&amp;L Rec Qtr" xfId="10490" xr:uid="{00000000-0005-0000-0000-0000F9280000}"/>
    <cellStyle name="_Revised MOR 2004_MOR - BDWY - 1+11_~0039877_II.4. RawMaterials_Sheet1" xfId="10491" xr:uid="{00000000-0005-0000-0000-0000FA280000}"/>
    <cellStyle name="_Revised MOR 2004_MOR - BDWY - 1+11_~0039877_II.4. RawMaterials_Sheet2" xfId="10492" xr:uid="{00000000-0005-0000-0000-0000FB280000}"/>
    <cellStyle name="_Revised MOR 2004_MOR - BDWY - 1+11_~0039877_II.4. RawMaterials_Sheet3" xfId="10493" xr:uid="{00000000-0005-0000-0000-0000FC280000}"/>
    <cellStyle name="_Revised MOR 2004_MOR - BDWY - 1+11_~0039877_II.4. RawMaterials_Sheet4" xfId="10494" xr:uid="{00000000-0005-0000-0000-0000FD280000}"/>
    <cellStyle name="_Revised MOR 2004_MOR - BDWY - 1+11_~0039877_II.5. RawMaterials" xfId="10495" xr:uid="{00000000-0005-0000-0000-0000FE280000}"/>
    <cellStyle name="_Revised MOR 2004_MOR - BDWY - 1+11_~0039877_II.5. RawMaterials 2" xfId="10496" xr:uid="{00000000-0005-0000-0000-0000FF280000}"/>
    <cellStyle name="_Revised MOR 2004_MOR - BDWY - 1+11_~0039877_II.5. RawMaterials_BS retrieve" xfId="10497" xr:uid="{00000000-0005-0000-0000-000000290000}"/>
    <cellStyle name="_Revised MOR 2004_MOR - BDWY - 1+11_~0039877_II.5. RawMaterials_Free CF" xfId="10498" xr:uid="{00000000-0005-0000-0000-000001290000}"/>
    <cellStyle name="_Revised MOR 2004_MOR - BDWY - 1+11_~0039877_II.5. RawMaterials_P&amp;L Rec Qtr" xfId="10499" xr:uid="{00000000-0005-0000-0000-000002290000}"/>
    <cellStyle name="_Revised MOR 2004_MOR - BDWY - 1+11_~0039877_II.5. RawMaterials_Sheet1" xfId="10500" xr:uid="{00000000-0005-0000-0000-000003290000}"/>
    <cellStyle name="_Revised MOR 2004_MOR - BDWY - 1+11_~0039877_II.5. RawMaterials_Sheet2" xfId="10501" xr:uid="{00000000-0005-0000-0000-000004290000}"/>
    <cellStyle name="_Revised MOR 2004_MOR - BDWY - 1+11_~0039877_II.5. RawMaterials_Sheet3" xfId="10502" xr:uid="{00000000-0005-0000-0000-000005290000}"/>
    <cellStyle name="_Revised MOR 2004_MOR - BDWY - 1+11_~0039877_II.5. RawMaterials_Sheet4" xfId="10503" xr:uid="{00000000-0005-0000-0000-000006290000}"/>
    <cellStyle name="_Revised MOR 2004_MOR - BDWY - 1+11_~0039877_II.5. RM Volume Sensitivities" xfId="10504" xr:uid="{00000000-0005-0000-0000-000007290000}"/>
    <cellStyle name="_Revised MOR 2004_MOR - BDWY - 1+11_~0039877_II.5. RM Volume Sensitivities 2" xfId="10505" xr:uid="{00000000-0005-0000-0000-000008290000}"/>
    <cellStyle name="_Revised MOR 2004_MOR - BDWY - 1+11_~0039877_II.5. RM Volume Sensitivities_BS retrieve" xfId="10506" xr:uid="{00000000-0005-0000-0000-000009290000}"/>
    <cellStyle name="_Revised MOR 2004_MOR - BDWY - 1+11_~0039877_II.5. RM Volume Sensitivities_Free CF" xfId="10507" xr:uid="{00000000-0005-0000-0000-00000A290000}"/>
    <cellStyle name="_Revised MOR 2004_MOR - BDWY - 1+11_~0039877_II.5. RM Volume Sensitivities_P&amp;L Rec Qtr" xfId="10508" xr:uid="{00000000-0005-0000-0000-00000B290000}"/>
    <cellStyle name="_Revised MOR 2004_MOR - BDWY - 1+11_~0039877_II.5. RM Volume Sensitivities_Sheet1" xfId="10509" xr:uid="{00000000-0005-0000-0000-00000C290000}"/>
    <cellStyle name="_Revised MOR 2004_MOR - BDWY - 1+11_~0039877_II.5. RM Volume Sensitivities_Sheet2" xfId="10510" xr:uid="{00000000-0005-0000-0000-00000D290000}"/>
    <cellStyle name="_Revised MOR 2004_MOR - BDWY - 1+11_~0039877_II.5. RM Volume Sensitivities_Sheet3" xfId="10511" xr:uid="{00000000-0005-0000-0000-00000E290000}"/>
    <cellStyle name="_Revised MOR 2004_MOR - BDWY - 1+11_~0039877_II.5. RM Volume Sensitivities_Sheet4" xfId="10512" xr:uid="{00000000-0005-0000-0000-00000F290000}"/>
    <cellStyle name="_Revised MOR 2004_MOR - BDWY - 1+11_~0039877_II.8. Sep&amp;Discrete" xfId="10513" xr:uid="{00000000-0005-0000-0000-000010290000}"/>
    <cellStyle name="_Revised MOR 2004_MOR - BDWY - 1+11_~0039877_Restructuring &amp; Separation" xfId="10514" xr:uid="{00000000-0005-0000-0000-000011290000}"/>
    <cellStyle name="_Revised MOR 2004_MOR - BDWY - 1+11_~0039877_Restructuring_Separation_TAX_JuneFC2010 tf" xfId="10515" xr:uid="{00000000-0005-0000-0000-000012290000}"/>
    <cellStyle name="_Revised MOR 2004_MOR - BDWY - 1+11_~0039877_Restructuring_Separation_TAX_JuneFC2010 tf_BS_Separation_TaxResIndem_Q12412 tf" xfId="10516" xr:uid="{00000000-0005-0000-0000-000013290000}"/>
    <cellStyle name="_Revised MOR 2004_MOR - BDWY - 1+11_~0039877_Restructuring_Separation_TAX_JuneFC2010 tf_BS_Separation_TaxResIndem_Q12412 tf_Restructuring &amp; Separation" xfId="10517" xr:uid="{00000000-0005-0000-0000-000014290000}"/>
    <cellStyle name="_Revised MOR 2004_MOR - BDWY - 1+11_~0039877_Restructuring_Separation_TAX_JuneFC2010 tf_II.8. Sep&amp;Discrete" xfId="10518" xr:uid="{00000000-0005-0000-0000-000015290000}"/>
    <cellStyle name="_Revised MOR 2004_MOR - BDWY - 1+11_~0039877_Restructuring_Separation_TAX_JuneFC2010 tf_Restructuring &amp; Separation" xfId="10519" xr:uid="{00000000-0005-0000-0000-000016290000}"/>
    <cellStyle name="_Revised MOR 2004_MOR - BDWY - 1+11_BS_Separation_TaxResIndem_Q12412 tf" xfId="10520" xr:uid="{00000000-0005-0000-0000-000017290000}"/>
    <cellStyle name="_Revised MOR 2004_MOR - BDWY - 1+11_BS_Separation_TaxResIndem_Q12412 tf_Restructuring &amp; Separation" xfId="10521" xr:uid="{00000000-0005-0000-0000-000018290000}"/>
    <cellStyle name="_Revised MOR 2004_MOR - BDWY - 1+11_By Country Detail 1Q10 041410pm FIN 18 revised per disc w Mary" xfId="10522" xr:uid="{00000000-0005-0000-0000-000019290000}"/>
    <cellStyle name="_Revised MOR 2004_MOR - BDWY - 1+11_By Country Detail 1Q10 041410pm FIN 18 revised per disc w Mary_BS_Separation_TaxResIndem_Q12412 tf" xfId="10523" xr:uid="{00000000-0005-0000-0000-00001A290000}"/>
    <cellStyle name="_Revised MOR 2004_MOR - BDWY - 1+11_By Country Detail 1Q10 041410pm FIN 18 revised per disc w Mary_BS_Separation_TaxResIndem_Q12412 tf_Restructuring &amp; Separation" xfId="10524" xr:uid="{00000000-0005-0000-0000-00001B290000}"/>
    <cellStyle name="_Revised MOR 2004_MOR - BDWY - 1+11_By Country Detail 1Q10 041410pm FIN 18 revised per disc w Mary_II.8. Sep&amp;Discrete" xfId="10525" xr:uid="{00000000-0005-0000-0000-00001C290000}"/>
    <cellStyle name="_Revised MOR 2004_MOR - BDWY - 1+11_By Country Detail 1Q10 041410pm FIN 18 revised per disc w Mary_Restructuring &amp; Separation" xfId="10526" xr:uid="{00000000-0005-0000-0000-00001D290000}"/>
    <cellStyle name="_Revised MOR 2004_MOR - BDWY - 1+11_II.4. RawMaterials" xfId="10527" xr:uid="{00000000-0005-0000-0000-00001E290000}"/>
    <cellStyle name="_Revised MOR 2004_MOR - BDWY - 1+11_II.4. RawMaterials 2" xfId="10528" xr:uid="{00000000-0005-0000-0000-00001F290000}"/>
    <cellStyle name="_Revised MOR 2004_MOR - BDWY - 1+11_II.4. RawMaterials_BS retrieve" xfId="10529" xr:uid="{00000000-0005-0000-0000-000020290000}"/>
    <cellStyle name="_Revised MOR 2004_MOR - BDWY - 1+11_II.4. RawMaterials_Free CF" xfId="10530" xr:uid="{00000000-0005-0000-0000-000021290000}"/>
    <cellStyle name="_Revised MOR 2004_MOR - BDWY - 1+11_II.4. RawMaterials_P&amp;L Rec Qtr" xfId="10531" xr:uid="{00000000-0005-0000-0000-000022290000}"/>
    <cellStyle name="_Revised MOR 2004_MOR - BDWY - 1+11_II.4. RawMaterials_Sheet1" xfId="10532" xr:uid="{00000000-0005-0000-0000-000023290000}"/>
    <cellStyle name="_Revised MOR 2004_MOR - BDWY - 1+11_II.4. RawMaterials_Sheet2" xfId="10533" xr:uid="{00000000-0005-0000-0000-000024290000}"/>
    <cellStyle name="_Revised MOR 2004_MOR - BDWY - 1+11_II.4. RawMaterials_Sheet3" xfId="10534" xr:uid="{00000000-0005-0000-0000-000025290000}"/>
    <cellStyle name="_Revised MOR 2004_MOR - BDWY - 1+11_II.4. RawMaterials_Sheet4" xfId="10535" xr:uid="{00000000-0005-0000-0000-000026290000}"/>
    <cellStyle name="_Revised MOR 2004_MOR - BDWY - 1+11_II.5. RawMaterials" xfId="10536" xr:uid="{00000000-0005-0000-0000-000027290000}"/>
    <cellStyle name="_Revised MOR 2004_MOR - BDWY - 1+11_II.5. RawMaterials 2" xfId="10537" xr:uid="{00000000-0005-0000-0000-000028290000}"/>
    <cellStyle name="_Revised MOR 2004_MOR - BDWY - 1+11_II.5. RawMaterials_BS retrieve" xfId="10538" xr:uid="{00000000-0005-0000-0000-000029290000}"/>
    <cellStyle name="_Revised MOR 2004_MOR - BDWY - 1+11_II.5. RawMaterials_Free CF" xfId="10539" xr:uid="{00000000-0005-0000-0000-00002A290000}"/>
    <cellStyle name="_Revised MOR 2004_MOR - BDWY - 1+11_II.5. RawMaterials_P&amp;L Rec Qtr" xfId="10540" xr:uid="{00000000-0005-0000-0000-00002B290000}"/>
    <cellStyle name="_Revised MOR 2004_MOR - BDWY - 1+11_II.5. RawMaterials_Sheet1" xfId="10541" xr:uid="{00000000-0005-0000-0000-00002C290000}"/>
    <cellStyle name="_Revised MOR 2004_MOR - BDWY - 1+11_II.5. RawMaterials_Sheet2" xfId="10542" xr:uid="{00000000-0005-0000-0000-00002D290000}"/>
    <cellStyle name="_Revised MOR 2004_MOR - BDWY - 1+11_II.5. RawMaterials_Sheet3" xfId="10543" xr:uid="{00000000-0005-0000-0000-00002E290000}"/>
    <cellStyle name="_Revised MOR 2004_MOR - BDWY - 1+11_II.5. RawMaterials_Sheet4" xfId="10544" xr:uid="{00000000-0005-0000-0000-00002F290000}"/>
    <cellStyle name="_Revised MOR 2004_MOR - BDWY - 1+11_II.5. RM Volume Sensitivities" xfId="10545" xr:uid="{00000000-0005-0000-0000-000030290000}"/>
    <cellStyle name="_Revised MOR 2004_MOR - BDWY - 1+11_II.5. RM Volume Sensitivities 2" xfId="10546" xr:uid="{00000000-0005-0000-0000-000031290000}"/>
    <cellStyle name="_Revised MOR 2004_MOR - BDWY - 1+11_II.5. RM Volume Sensitivities_BS retrieve" xfId="10547" xr:uid="{00000000-0005-0000-0000-000032290000}"/>
    <cellStyle name="_Revised MOR 2004_MOR - BDWY - 1+11_II.5. RM Volume Sensitivities_Free CF" xfId="10548" xr:uid="{00000000-0005-0000-0000-000033290000}"/>
    <cellStyle name="_Revised MOR 2004_MOR - BDWY - 1+11_II.5. RM Volume Sensitivities_P&amp;L Rec Qtr" xfId="10549" xr:uid="{00000000-0005-0000-0000-000034290000}"/>
    <cellStyle name="_Revised MOR 2004_MOR - BDWY - 1+11_II.5. RM Volume Sensitivities_Sheet1" xfId="10550" xr:uid="{00000000-0005-0000-0000-000035290000}"/>
    <cellStyle name="_Revised MOR 2004_MOR - BDWY - 1+11_II.5. RM Volume Sensitivities_Sheet2" xfId="10551" xr:uid="{00000000-0005-0000-0000-000036290000}"/>
    <cellStyle name="_Revised MOR 2004_MOR - BDWY - 1+11_II.5. RM Volume Sensitivities_Sheet3" xfId="10552" xr:uid="{00000000-0005-0000-0000-000037290000}"/>
    <cellStyle name="_Revised MOR 2004_MOR - BDWY - 1+11_II.5. RM Volume Sensitivities_Sheet4" xfId="10553" xr:uid="{00000000-0005-0000-0000-000038290000}"/>
    <cellStyle name="_Revised MOR 2004_MOR - BDWY - 1+11_II.8. Sep&amp;Discrete" xfId="10554" xr:uid="{00000000-0005-0000-0000-000039290000}"/>
    <cellStyle name="_Revised MOR 2004_MOR - BDWY - 1+11_MOR - Australia -  EC - 1+11" xfId="10555" xr:uid="{00000000-0005-0000-0000-00003A290000}"/>
    <cellStyle name="_Revised MOR 2004_MOR - BDWY - 1+11_MOR - Australia -  EC - 1+11_BS_Separation_TaxResIndem_Q12412 tf" xfId="10556" xr:uid="{00000000-0005-0000-0000-00003B290000}"/>
    <cellStyle name="_Revised MOR 2004_MOR - BDWY - 1+11_MOR - Australia -  EC - 1+11_BS_Separation_TaxResIndem_Q12412 tf_Restructuring &amp; Separation" xfId="10557" xr:uid="{00000000-0005-0000-0000-00003C290000}"/>
    <cellStyle name="_Revised MOR 2004_MOR - BDWY - 1+11_MOR - Australia -  EC - 1+11_By Country Detail 1Q10 041410pm FIN 18 revised per disc w Mary" xfId="10558" xr:uid="{00000000-0005-0000-0000-00003D290000}"/>
    <cellStyle name="_Revised MOR 2004_MOR - BDWY - 1+11_MOR - Australia -  EC - 1+11_By Country Detail 1Q10 041410pm FIN 18 revised per disc w Mary_BS_Separation_TaxResIndem_Q12412 tf" xfId="10559" xr:uid="{00000000-0005-0000-0000-00003E290000}"/>
    <cellStyle name="_Revised MOR 2004_MOR - BDWY - 1+11_MOR - Australia -  EC - 1+11_By Country Detail 1Q10 041410pm FIN 18 revised per disc w Mary_BS_Separation_TaxResIndem_Q12412 tf_Restructuring &amp; Separation" xfId="10560" xr:uid="{00000000-0005-0000-0000-00003F290000}"/>
    <cellStyle name="_Revised MOR 2004_MOR - BDWY - 1+11_MOR - Australia -  EC - 1+11_By Country Detail 1Q10 041410pm FIN 18 revised per disc w Mary_II.8. Sep&amp;Discrete" xfId="10561" xr:uid="{00000000-0005-0000-0000-000040290000}"/>
    <cellStyle name="_Revised MOR 2004_MOR - BDWY - 1+11_MOR - Australia -  EC - 1+11_By Country Detail 1Q10 041410pm FIN 18 revised per disc w Mary_Restructuring &amp; Separation" xfId="10562" xr:uid="{00000000-0005-0000-0000-000041290000}"/>
    <cellStyle name="_Revised MOR 2004_MOR - BDWY - 1+11_MOR - Australia -  EC - 1+11_II.4. RawMaterials" xfId="10563" xr:uid="{00000000-0005-0000-0000-000042290000}"/>
    <cellStyle name="_Revised MOR 2004_MOR - BDWY - 1+11_MOR - Australia -  EC - 1+11_II.4. RawMaterials 2" xfId="10564" xr:uid="{00000000-0005-0000-0000-000043290000}"/>
    <cellStyle name="_Revised MOR 2004_MOR - BDWY - 1+11_MOR - Australia -  EC - 1+11_II.4. RawMaterials_BS retrieve" xfId="10565" xr:uid="{00000000-0005-0000-0000-000044290000}"/>
    <cellStyle name="_Revised MOR 2004_MOR - BDWY - 1+11_MOR - Australia -  EC - 1+11_II.4. RawMaterials_Free CF" xfId="10566" xr:uid="{00000000-0005-0000-0000-000045290000}"/>
    <cellStyle name="_Revised MOR 2004_MOR - BDWY - 1+11_MOR - Australia -  EC - 1+11_II.4. RawMaterials_P&amp;L Rec Qtr" xfId="10567" xr:uid="{00000000-0005-0000-0000-000046290000}"/>
    <cellStyle name="_Revised MOR 2004_MOR - BDWY - 1+11_MOR - Australia -  EC - 1+11_II.4. RawMaterials_Sheet1" xfId="10568" xr:uid="{00000000-0005-0000-0000-000047290000}"/>
    <cellStyle name="_Revised MOR 2004_MOR - BDWY - 1+11_MOR - Australia -  EC - 1+11_II.4. RawMaterials_Sheet2" xfId="10569" xr:uid="{00000000-0005-0000-0000-000048290000}"/>
    <cellStyle name="_Revised MOR 2004_MOR - BDWY - 1+11_MOR - Australia -  EC - 1+11_II.4. RawMaterials_Sheet3" xfId="10570" xr:uid="{00000000-0005-0000-0000-000049290000}"/>
    <cellStyle name="_Revised MOR 2004_MOR - BDWY - 1+11_MOR - Australia -  EC - 1+11_II.4. RawMaterials_Sheet4" xfId="10571" xr:uid="{00000000-0005-0000-0000-00004A290000}"/>
    <cellStyle name="_Revised MOR 2004_MOR - BDWY - 1+11_MOR - Australia -  EC - 1+11_II.5. RawMaterials" xfId="10572" xr:uid="{00000000-0005-0000-0000-00004B290000}"/>
    <cellStyle name="_Revised MOR 2004_MOR - BDWY - 1+11_MOR - Australia -  EC - 1+11_II.5. RawMaterials 2" xfId="10573" xr:uid="{00000000-0005-0000-0000-00004C290000}"/>
    <cellStyle name="_Revised MOR 2004_MOR - BDWY - 1+11_MOR - Australia -  EC - 1+11_II.5. RawMaterials_BS retrieve" xfId="10574" xr:uid="{00000000-0005-0000-0000-00004D290000}"/>
    <cellStyle name="_Revised MOR 2004_MOR - BDWY - 1+11_MOR - Australia -  EC - 1+11_II.5. RawMaterials_Free CF" xfId="10575" xr:uid="{00000000-0005-0000-0000-00004E290000}"/>
    <cellStyle name="_Revised MOR 2004_MOR - BDWY - 1+11_MOR - Australia -  EC - 1+11_II.5. RawMaterials_P&amp;L Rec Qtr" xfId="10576" xr:uid="{00000000-0005-0000-0000-00004F290000}"/>
    <cellStyle name="_Revised MOR 2004_MOR - BDWY - 1+11_MOR - Australia -  EC - 1+11_II.5. RawMaterials_Sheet1" xfId="10577" xr:uid="{00000000-0005-0000-0000-000050290000}"/>
    <cellStyle name="_Revised MOR 2004_MOR - BDWY - 1+11_MOR - Australia -  EC - 1+11_II.5. RawMaterials_Sheet2" xfId="10578" xr:uid="{00000000-0005-0000-0000-000051290000}"/>
    <cellStyle name="_Revised MOR 2004_MOR - BDWY - 1+11_MOR - Australia -  EC - 1+11_II.5. RawMaterials_Sheet3" xfId="10579" xr:uid="{00000000-0005-0000-0000-000052290000}"/>
    <cellStyle name="_Revised MOR 2004_MOR - BDWY - 1+11_MOR - Australia -  EC - 1+11_II.5. RawMaterials_Sheet4" xfId="10580" xr:uid="{00000000-0005-0000-0000-000053290000}"/>
    <cellStyle name="_Revised MOR 2004_MOR - BDWY - 1+11_MOR - Australia -  EC - 1+11_II.5. RM Volume Sensitivities" xfId="10581" xr:uid="{00000000-0005-0000-0000-000054290000}"/>
    <cellStyle name="_Revised MOR 2004_MOR - BDWY - 1+11_MOR - Australia -  EC - 1+11_II.5. RM Volume Sensitivities 2" xfId="10582" xr:uid="{00000000-0005-0000-0000-000055290000}"/>
    <cellStyle name="_Revised MOR 2004_MOR - BDWY - 1+11_MOR - Australia -  EC - 1+11_II.5. RM Volume Sensitivities_BS retrieve" xfId="10583" xr:uid="{00000000-0005-0000-0000-000056290000}"/>
    <cellStyle name="_Revised MOR 2004_MOR - BDWY - 1+11_MOR - Australia -  EC - 1+11_II.5. RM Volume Sensitivities_Free CF" xfId="10584" xr:uid="{00000000-0005-0000-0000-000057290000}"/>
    <cellStyle name="_Revised MOR 2004_MOR - BDWY - 1+11_MOR - Australia -  EC - 1+11_II.5. RM Volume Sensitivities_P&amp;L Rec Qtr" xfId="10585" xr:uid="{00000000-0005-0000-0000-000058290000}"/>
    <cellStyle name="_Revised MOR 2004_MOR - BDWY - 1+11_MOR - Australia -  EC - 1+11_II.5. RM Volume Sensitivities_Sheet1" xfId="10586" xr:uid="{00000000-0005-0000-0000-000059290000}"/>
    <cellStyle name="_Revised MOR 2004_MOR - BDWY - 1+11_MOR - Australia -  EC - 1+11_II.5. RM Volume Sensitivities_Sheet2" xfId="10587" xr:uid="{00000000-0005-0000-0000-00005A290000}"/>
    <cellStyle name="_Revised MOR 2004_MOR - BDWY - 1+11_MOR - Australia -  EC - 1+11_II.5. RM Volume Sensitivities_Sheet3" xfId="10588" xr:uid="{00000000-0005-0000-0000-00005B290000}"/>
    <cellStyle name="_Revised MOR 2004_MOR - BDWY - 1+11_MOR - Australia -  EC - 1+11_II.5. RM Volume Sensitivities_Sheet4" xfId="10589" xr:uid="{00000000-0005-0000-0000-00005C290000}"/>
    <cellStyle name="_Revised MOR 2004_MOR - BDWY - 1+11_MOR - Australia -  EC - 1+11_II.8. Sep&amp;Discrete" xfId="10590" xr:uid="{00000000-0005-0000-0000-00005D290000}"/>
    <cellStyle name="_Revised MOR 2004_MOR - BDWY - 1+11_MOR - Australia -  EC - 1+11_Restructuring &amp; Separation" xfId="10591" xr:uid="{00000000-0005-0000-0000-00005E290000}"/>
    <cellStyle name="_Revised MOR 2004_MOR - BDWY - 1+11_MOR - Australia -  EC - 1+11_Restructuring_Separation_TAX_JuneFC2010 tf" xfId="10592" xr:uid="{00000000-0005-0000-0000-00005F290000}"/>
    <cellStyle name="_Revised MOR 2004_MOR - BDWY - 1+11_MOR - Australia -  EC - 1+11_Restructuring_Separation_TAX_JuneFC2010 tf_BS_Separation_TaxResIndem_Q12412 tf" xfId="10593" xr:uid="{00000000-0005-0000-0000-000060290000}"/>
    <cellStyle name="_Revised MOR 2004_MOR - BDWY - 1+11_MOR - Australia -  EC - 1+11_Restructuring_Separation_TAX_JuneFC2010 tf_BS_Separation_TaxResIndem_Q12412 tf_Restructuring &amp; Separation" xfId="10594" xr:uid="{00000000-0005-0000-0000-000061290000}"/>
    <cellStyle name="_Revised MOR 2004_MOR - BDWY - 1+11_MOR - Australia -  EC - 1+11_Restructuring_Separation_TAX_JuneFC2010 tf_II.8. Sep&amp;Discrete" xfId="10595" xr:uid="{00000000-0005-0000-0000-000062290000}"/>
    <cellStyle name="_Revised MOR 2004_MOR - BDWY - 1+11_MOR - Australia -  EC - 1+11_Restructuring_Separation_TAX_JuneFC2010 tf_Restructuring &amp; Separation" xfId="10596" xr:uid="{00000000-0005-0000-0000-000063290000}"/>
    <cellStyle name="_Revised MOR 2004_MOR - BDWY - 1+11_MOR - Australia -  EC - 2+10" xfId="10597" xr:uid="{00000000-0005-0000-0000-000064290000}"/>
    <cellStyle name="_Revised MOR 2004_MOR - BDWY - 1+11_MOR - Australia -  EC - 2+10_BS_Separation_TaxResIndem_Q12412 tf" xfId="10598" xr:uid="{00000000-0005-0000-0000-000065290000}"/>
    <cellStyle name="_Revised MOR 2004_MOR - BDWY - 1+11_MOR - Australia -  EC - 2+10_BS_Separation_TaxResIndem_Q12412 tf_Restructuring &amp; Separation" xfId="10599" xr:uid="{00000000-0005-0000-0000-000066290000}"/>
    <cellStyle name="_Revised MOR 2004_MOR - BDWY - 1+11_MOR - Australia -  EC - 2+10_By Country Detail 1Q10 041410pm FIN 18 revised per disc w Mary" xfId="10600" xr:uid="{00000000-0005-0000-0000-000067290000}"/>
    <cellStyle name="_Revised MOR 2004_MOR - BDWY - 1+11_MOR - Australia -  EC - 2+10_By Country Detail 1Q10 041410pm FIN 18 revised per disc w Mary_BS_Separation_TaxResIndem_Q12412 tf" xfId="10601" xr:uid="{00000000-0005-0000-0000-000068290000}"/>
    <cellStyle name="_Revised MOR 2004_MOR - BDWY - 1+11_MOR - Australia -  EC - 2+10_By Country Detail 1Q10 041410pm FIN 18 revised per disc w Mary_BS_Separation_TaxResIndem_Q12412 tf_Restructuring &amp; Separation" xfId="10602" xr:uid="{00000000-0005-0000-0000-000069290000}"/>
    <cellStyle name="_Revised MOR 2004_MOR - BDWY - 1+11_MOR - Australia -  EC - 2+10_By Country Detail 1Q10 041410pm FIN 18 revised per disc w Mary_II.8. Sep&amp;Discrete" xfId="10603" xr:uid="{00000000-0005-0000-0000-00006A290000}"/>
    <cellStyle name="_Revised MOR 2004_MOR - BDWY - 1+11_MOR - Australia -  EC - 2+10_By Country Detail 1Q10 041410pm FIN 18 revised per disc w Mary_Restructuring &amp; Separation" xfId="10604" xr:uid="{00000000-0005-0000-0000-00006B290000}"/>
    <cellStyle name="_Revised MOR 2004_MOR - BDWY - 1+11_MOR - Australia -  EC - 2+10_II.4. RawMaterials" xfId="10605" xr:uid="{00000000-0005-0000-0000-00006C290000}"/>
    <cellStyle name="_Revised MOR 2004_MOR - BDWY - 1+11_MOR - Australia -  EC - 2+10_II.4. RawMaterials 2" xfId="10606" xr:uid="{00000000-0005-0000-0000-00006D290000}"/>
    <cellStyle name="_Revised MOR 2004_MOR - BDWY - 1+11_MOR - Australia -  EC - 2+10_II.4. RawMaterials_BS retrieve" xfId="10607" xr:uid="{00000000-0005-0000-0000-00006E290000}"/>
    <cellStyle name="_Revised MOR 2004_MOR - BDWY - 1+11_MOR - Australia -  EC - 2+10_II.4. RawMaterials_Free CF" xfId="10608" xr:uid="{00000000-0005-0000-0000-00006F290000}"/>
    <cellStyle name="_Revised MOR 2004_MOR - BDWY - 1+11_MOR - Australia -  EC - 2+10_II.4. RawMaterials_P&amp;L Rec Qtr" xfId="10609" xr:uid="{00000000-0005-0000-0000-000070290000}"/>
    <cellStyle name="_Revised MOR 2004_MOR - BDWY - 1+11_MOR - Australia -  EC - 2+10_II.4. RawMaterials_Sheet1" xfId="10610" xr:uid="{00000000-0005-0000-0000-000071290000}"/>
    <cellStyle name="_Revised MOR 2004_MOR - BDWY - 1+11_MOR - Australia -  EC - 2+10_II.4. RawMaterials_Sheet2" xfId="10611" xr:uid="{00000000-0005-0000-0000-000072290000}"/>
    <cellStyle name="_Revised MOR 2004_MOR - BDWY - 1+11_MOR - Australia -  EC - 2+10_II.4. RawMaterials_Sheet3" xfId="10612" xr:uid="{00000000-0005-0000-0000-000073290000}"/>
    <cellStyle name="_Revised MOR 2004_MOR - BDWY - 1+11_MOR - Australia -  EC - 2+10_II.4. RawMaterials_Sheet4" xfId="10613" xr:uid="{00000000-0005-0000-0000-000074290000}"/>
    <cellStyle name="_Revised MOR 2004_MOR - BDWY - 1+11_MOR - Australia -  EC - 2+10_II.5. RawMaterials" xfId="10614" xr:uid="{00000000-0005-0000-0000-000075290000}"/>
    <cellStyle name="_Revised MOR 2004_MOR - BDWY - 1+11_MOR - Australia -  EC - 2+10_II.5. RawMaterials 2" xfId="10615" xr:uid="{00000000-0005-0000-0000-000076290000}"/>
    <cellStyle name="_Revised MOR 2004_MOR - BDWY - 1+11_MOR - Australia -  EC - 2+10_II.5. RawMaterials_BS retrieve" xfId="10616" xr:uid="{00000000-0005-0000-0000-000077290000}"/>
    <cellStyle name="_Revised MOR 2004_MOR - BDWY - 1+11_MOR - Australia -  EC - 2+10_II.5. RawMaterials_Free CF" xfId="10617" xr:uid="{00000000-0005-0000-0000-000078290000}"/>
    <cellStyle name="_Revised MOR 2004_MOR - BDWY - 1+11_MOR - Australia -  EC - 2+10_II.5. RawMaterials_P&amp;L Rec Qtr" xfId="10618" xr:uid="{00000000-0005-0000-0000-000079290000}"/>
    <cellStyle name="_Revised MOR 2004_MOR - BDWY - 1+11_MOR - Australia -  EC - 2+10_II.5. RawMaterials_Sheet1" xfId="10619" xr:uid="{00000000-0005-0000-0000-00007A290000}"/>
    <cellStyle name="_Revised MOR 2004_MOR - BDWY - 1+11_MOR - Australia -  EC - 2+10_II.5. RawMaterials_Sheet2" xfId="10620" xr:uid="{00000000-0005-0000-0000-00007B290000}"/>
    <cellStyle name="_Revised MOR 2004_MOR - BDWY - 1+11_MOR - Australia -  EC - 2+10_II.5. RawMaterials_Sheet3" xfId="10621" xr:uid="{00000000-0005-0000-0000-00007C290000}"/>
    <cellStyle name="_Revised MOR 2004_MOR - BDWY - 1+11_MOR - Australia -  EC - 2+10_II.5. RawMaterials_Sheet4" xfId="10622" xr:uid="{00000000-0005-0000-0000-00007D290000}"/>
    <cellStyle name="_Revised MOR 2004_MOR - BDWY - 1+11_MOR - Australia -  EC - 2+10_II.5. RM Volume Sensitivities" xfId="10623" xr:uid="{00000000-0005-0000-0000-00007E290000}"/>
    <cellStyle name="_Revised MOR 2004_MOR - BDWY - 1+11_MOR - Australia -  EC - 2+10_II.5. RM Volume Sensitivities 2" xfId="10624" xr:uid="{00000000-0005-0000-0000-00007F290000}"/>
    <cellStyle name="_Revised MOR 2004_MOR - BDWY - 1+11_MOR - Australia -  EC - 2+10_II.5. RM Volume Sensitivities_BS retrieve" xfId="10625" xr:uid="{00000000-0005-0000-0000-000080290000}"/>
    <cellStyle name="_Revised MOR 2004_MOR - BDWY - 1+11_MOR - Australia -  EC - 2+10_II.5. RM Volume Sensitivities_Free CF" xfId="10626" xr:uid="{00000000-0005-0000-0000-000081290000}"/>
    <cellStyle name="_Revised MOR 2004_MOR - BDWY - 1+11_MOR - Australia -  EC - 2+10_II.5. RM Volume Sensitivities_P&amp;L Rec Qtr" xfId="10627" xr:uid="{00000000-0005-0000-0000-000082290000}"/>
    <cellStyle name="_Revised MOR 2004_MOR - BDWY - 1+11_MOR - Australia -  EC - 2+10_II.5. RM Volume Sensitivities_Sheet1" xfId="10628" xr:uid="{00000000-0005-0000-0000-000083290000}"/>
    <cellStyle name="_Revised MOR 2004_MOR - BDWY - 1+11_MOR - Australia -  EC - 2+10_II.5. RM Volume Sensitivities_Sheet2" xfId="10629" xr:uid="{00000000-0005-0000-0000-000084290000}"/>
    <cellStyle name="_Revised MOR 2004_MOR - BDWY - 1+11_MOR - Australia -  EC - 2+10_II.5. RM Volume Sensitivities_Sheet3" xfId="10630" xr:uid="{00000000-0005-0000-0000-000085290000}"/>
    <cellStyle name="_Revised MOR 2004_MOR - BDWY - 1+11_MOR - Australia -  EC - 2+10_II.5. RM Volume Sensitivities_Sheet4" xfId="10631" xr:uid="{00000000-0005-0000-0000-000086290000}"/>
    <cellStyle name="_Revised MOR 2004_MOR - BDWY - 1+11_MOR - Australia -  EC - 2+10_II.8. Sep&amp;Discrete" xfId="10632" xr:uid="{00000000-0005-0000-0000-000087290000}"/>
    <cellStyle name="_Revised MOR 2004_MOR - BDWY - 1+11_MOR - Australia -  EC - 2+10_Restructuring &amp; Separation" xfId="10633" xr:uid="{00000000-0005-0000-0000-000088290000}"/>
    <cellStyle name="_Revised MOR 2004_MOR - BDWY - 1+11_MOR - Australia -  EC - 2+10_Restructuring_Separation_TAX_JuneFC2010 tf" xfId="10634" xr:uid="{00000000-0005-0000-0000-000089290000}"/>
    <cellStyle name="_Revised MOR 2004_MOR - BDWY - 1+11_MOR - Australia -  EC - 2+10_Restructuring_Separation_TAX_JuneFC2010 tf_BS_Separation_TaxResIndem_Q12412 tf" xfId="10635" xr:uid="{00000000-0005-0000-0000-00008A290000}"/>
    <cellStyle name="_Revised MOR 2004_MOR - BDWY - 1+11_MOR - Australia -  EC - 2+10_Restructuring_Separation_TAX_JuneFC2010 tf_BS_Separation_TaxResIndem_Q12412 tf_Restructuring &amp; Separation" xfId="10636" xr:uid="{00000000-0005-0000-0000-00008B290000}"/>
    <cellStyle name="_Revised MOR 2004_MOR - BDWY - 1+11_MOR - Australia -  EC - 2+10_Restructuring_Separation_TAX_JuneFC2010 tf_II.8. Sep&amp;Discrete" xfId="10637" xr:uid="{00000000-0005-0000-0000-00008C290000}"/>
    <cellStyle name="_Revised MOR 2004_MOR - BDWY - 1+11_MOR - Australia -  EC - 2+10_Restructuring_Separation_TAX_JuneFC2010 tf_Restructuring &amp; Separation" xfId="10638" xr:uid="{00000000-0005-0000-0000-00008D290000}"/>
    <cellStyle name="_Revised MOR 2004_MOR - BDWY - 1+11_MOR - Australia -  EC - 3+9" xfId="10639" xr:uid="{00000000-0005-0000-0000-00008E290000}"/>
    <cellStyle name="_Revised MOR 2004_MOR - BDWY - 1+11_MOR - Australia -  EC - 3+9_BS_Separation_TaxResIndem_Q12412 tf" xfId="10640" xr:uid="{00000000-0005-0000-0000-00008F290000}"/>
    <cellStyle name="_Revised MOR 2004_MOR - BDWY - 1+11_MOR - Australia -  EC - 3+9_BS_Separation_TaxResIndem_Q12412 tf_Restructuring &amp; Separation" xfId="10641" xr:uid="{00000000-0005-0000-0000-000090290000}"/>
    <cellStyle name="_Revised MOR 2004_MOR - BDWY - 1+11_MOR - Australia -  EC - 3+9_By Country Detail 1Q10 041410pm FIN 18 revised per disc w Mary" xfId="10642" xr:uid="{00000000-0005-0000-0000-000091290000}"/>
    <cellStyle name="_Revised MOR 2004_MOR - BDWY - 1+11_MOR - Australia -  EC - 3+9_By Country Detail 1Q10 041410pm FIN 18 revised per disc w Mary_BS_Separation_TaxResIndem_Q12412 tf" xfId="10643" xr:uid="{00000000-0005-0000-0000-000092290000}"/>
    <cellStyle name="_Revised MOR 2004_MOR - BDWY - 1+11_MOR - Australia -  EC - 3+9_By Country Detail 1Q10 041410pm FIN 18 revised per disc w Mary_BS_Separation_TaxResIndem_Q12412 tf_Restructuring &amp; Separation" xfId="10644" xr:uid="{00000000-0005-0000-0000-000093290000}"/>
    <cellStyle name="_Revised MOR 2004_MOR - BDWY - 1+11_MOR - Australia -  EC - 3+9_By Country Detail 1Q10 041410pm FIN 18 revised per disc w Mary_II.8. Sep&amp;Discrete" xfId="10645" xr:uid="{00000000-0005-0000-0000-000094290000}"/>
    <cellStyle name="_Revised MOR 2004_MOR - BDWY - 1+11_MOR - Australia -  EC - 3+9_By Country Detail 1Q10 041410pm FIN 18 revised per disc w Mary_Restructuring &amp; Separation" xfId="10646" xr:uid="{00000000-0005-0000-0000-000095290000}"/>
    <cellStyle name="_Revised MOR 2004_MOR - BDWY - 1+11_MOR - Australia -  EC - 3+9_II.4. RawMaterials" xfId="10647" xr:uid="{00000000-0005-0000-0000-000096290000}"/>
    <cellStyle name="_Revised MOR 2004_MOR - BDWY - 1+11_MOR - Australia -  EC - 3+9_II.4. RawMaterials 2" xfId="10648" xr:uid="{00000000-0005-0000-0000-000097290000}"/>
    <cellStyle name="_Revised MOR 2004_MOR - BDWY - 1+11_MOR - Australia -  EC - 3+9_II.4. RawMaterials_BS retrieve" xfId="10649" xr:uid="{00000000-0005-0000-0000-000098290000}"/>
    <cellStyle name="_Revised MOR 2004_MOR - BDWY - 1+11_MOR - Australia -  EC - 3+9_II.4. RawMaterials_Free CF" xfId="10650" xr:uid="{00000000-0005-0000-0000-000099290000}"/>
    <cellStyle name="_Revised MOR 2004_MOR - BDWY - 1+11_MOR - Australia -  EC - 3+9_II.4. RawMaterials_P&amp;L Rec Qtr" xfId="10651" xr:uid="{00000000-0005-0000-0000-00009A290000}"/>
    <cellStyle name="_Revised MOR 2004_MOR - BDWY - 1+11_MOR - Australia -  EC - 3+9_II.4. RawMaterials_Sheet1" xfId="10652" xr:uid="{00000000-0005-0000-0000-00009B290000}"/>
    <cellStyle name="_Revised MOR 2004_MOR - BDWY - 1+11_MOR - Australia -  EC - 3+9_II.4. RawMaterials_Sheet2" xfId="10653" xr:uid="{00000000-0005-0000-0000-00009C290000}"/>
    <cellStyle name="_Revised MOR 2004_MOR - BDWY - 1+11_MOR - Australia -  EC - 3+9_II.4. RawMaterials_Sheet3" xfId="10654" xr:uid="{00000000-0005-0000-0000-00009D290000}"/>
    <cellStyle name="_Revised MOR 2004_MOR - BDWY - 1+11_MOR - Australia -  EC - 3+9_II.4. RawMaterials_Sheet4" xfId="10655" xr:uid="{00000000-0005-0000-0000-00009E290000}"/>
    <cellStyle name="_Revised MOR 2004_MOR - BDWY - 1+11_MOR - Australia -  EC - 3+9_II.5. RawMaterials" xfId="10656" xr:uid="{00000000-0005-0000-0000-00009F290000}"/>
    <cellStyle name="_Revised MOR 2004_MOR - BDWY - 1+11_MOR - Australia -  EC - 3+9_II.5. RawMaterials 2" xfId="10657" xr:uid="{00000000-0005-0000-0000-0000A0290000}"/>
    <cellStyle name="_Revised MOR 2004_MOR - BDWY - 1+11_MOR - Australia -  EC - 3+9_II.5. RawMaterials_BS retrieve" xfId="10658" xr:uid="{00000000-0005-0000-0000-0000A1290000}"/>
    <cellStyle name="_Revised MOR 2004_MOR - BDWY - 1+11_MOR - Australia -  EC - 3+9_II.5. RawMaterials_Free CF" xfId="10659" xr:uid="{00000000-0005-0000-0000-0000A2290000}"/>
    <cellStyle name="_Revised MOR 2004_MOR - BDWY - 1+11_MOR - Australia -  EC - 3+9_II.5. RawMaterials_P&amp;L Rec Qtr" xfId="10660" xr:uid="{00000000-0005-0000-0000-0000A3290000}"/>
    <cellStyle name="_Revised MOR 2004_MOR - BDWY - 1+11_MOR - Australia -  EC - 3+9_II.5. RawMaterials_Sheet1" xfId="10661" xr:uid="{00000000-0005-0000-0000-0000A4290000}"/>
    <cellStyle name="_Revised MOR 2004_MOR - BDWY - 1+11_MOR - Australia -  EC - 3+9_II.5. RawMaterials_Sheet2" xfId="10662" xr:uid="{00000000-0005-0000-0000-0000A5290000}"/>
    <cellStyle name="_Revised MOR 2004_MOR - BDWY - 1+11_MOR - Australia -  EC - 3+9_II.5. RawMaterials_Sheet3" xfId="10663" xr:uid="{00000000-0005-0000-0000-0000A6290000}"/>
    <cellStyle name="_Revised MOR 2004_MOR - BDWY - 1+11_MOR - Australia -  EC - 3+9_II.5. RawMaterials_Sheet4" xfId="10664" xr:uid="{00000000-0005-0000-0000-0000A7290000}"/>
    <cellStyle name="_Revised MOR 2004_MOR - BDWY - 1+11_MOR - Australia -  EC - 3+9_II.5. RM Volume Sensitivities" xfId="10665" xr:uid="{00000000-0005-0000-0000-0000A8290000}"/>
    <cellStyle name="_Revised MOR 2004_MOR - BDWY - 1+11_MOR - Australia -  EC - 3+9_II.5. RM Volume Sensitivities 2" xfId="10666" xr:uid="{00000000-0005-0000-0000-0000A9290000}"/>
    <cellStyle name="_Revised MOR 2004_MOR - BDWY - 1+11_MOR - Australia -  EC - 3+9_II.5. RM Volume Sensitivities_BS retrieve" xfId="10667" xr:uid="{00000000-0005-0000-0000-0000AA290000}"/>
    <cellStyle name="_Revised MOR 2004_MOR - BDWY - 1+11_MOR - Australia -  EC - 3+9_II.5. RM Volume Sensitivities_Free CF" xfId="10668" xr:uid="{00000000-0005-0000-0000-0000AB290000}"/>
    <cellStyle name="_Revised MOR 2004_MOR - BDWY - 1+11_MOR - Australia -  EC - 3+9_II.5. RM Volume Sensitivities_P&amp;L Rec Qtr" xfId="10669" xr:uid="{00000000-0005-0000-0000-0000AC290000}"/>
    <cellStyle name="_Revised MOR 2004_MOR - BDWY - 1+11_MOR - Australia -  EC - 3+9_II.5. RM Volume Sensitivities_Sheet1" xfId="10670" xr:uid="{00000000-0005-0000-0000-0000AD290000}"/>
    <cellStyle name="_Revised MOR 2004_MOR - BDWY - 1+11_MOR - Australia -  EC - 3+9_II.5. RM Volume Sensitivities_Sheet2" xfId="10671" xr:uid="{00000000-0005-0000-0000-0000AE290000}"/>
    <cellStyle name="_Revised MOR 2004_MOR - BDWY - 1+11_MOR - Australia -  EC - 3+9_II.5. RM Volume Sensitivities_Sheet3" xfId="10672" xr:uid="{00000000-0005-0000-0000-0000AF290000}"/>
    <cellStyle name="_Revised MOR 2004_MOR - BDWY - 1+11_MOR - Australia -  EC - 3+9_II.5. RM Volume Sensitivities_Sheet4" xfId="10673" xr:uid="{00000000-0005-0000-0000-0000B0290000}"/>
    <cellStyle name="_Revised MOR 2004_MOR - BDWY - 1+11_MOR - Australia -  EC - 3+9_II.8. Sep&amp;Discrete" xfId="10674" xr:uid="{00000000-0005-0000-0000-0000B1290000}"/>
    <cellStyle name="_Revised MOR 2004_MOR - BDWY - 1+11_MOR - Australia -  EC - 3+9_Restructuring &amp; Separation" xfId="10675" xr:uid="{00000000-0005-0000-0000-0000B2290000}"/>
    <cellStyle name="_Revised MOR 2004_MOR - BDWY - 1+11_MOR - Australia -  EC - 3+9_Restructuring_Separation_TAX_JuneFC2010 tf" xfId="10676" xr:uid="{00000000-0005-0000-0000-0000B3290000}"/>
    <cellStyle name="_Revised MOR 2004_MOR - BDWY - 1+11_MOR - Australia -  EC - 3+9_Restructuring_Separation_TAX_JuneFC2010 tf_BS_Separation_TaxResIndem_Q12412 tf" xfId="10677" xr:uid="{00000000-0005-0000-0000-0000B4290000}"/>
    <cellStyle name="_Revised MOR 2004_MOR - BDWY - 1+11_MOR - Australia -  EC - 3+9_Restructuring_Separation_TAX_JuneFC2010 tf_BS_Separation_TaxResIndem_Q12412 tf_Restructuring &amp; Separation" xfId="10678" xr:uid="{00000000-0005-0000-0000-0000B5290000}"/>
    <cellStyle name="_Revised MOR 2004_MOR - BDWY - 1+11_MOR - Australia -  EC - 3+9_Restructuring_Separation_TAX_JuneFC2010 tf_II.8. Sep&amp;Discrete" xfId="10679" xr:uid="{00000000-0005-0000-0000-0000B6290000}"/>
    <cellStyle name="_Revised MOR 2004_MOR - BDWY - 1+11_MOR - Australia -  EC - 3+9_Restructuring_Separation_TAX_JuneFC2010 tf_Restructuring &amp; Separation" xfId="10680" xr:uid="{00000000-0005-0000-0000-0000B7290000}"/>
    <cellStyle name="_Revised MOR 2004_MOR - BDWY - 1+11_MOR - Australia -  EC - 4+8" xfId="10681" xr:uid="{00000000-0005-0000-0000-0000B8290000}"/>
    <cellStyle name="_Revised MOR 2004_MOR - BDWY - 1+11_MOR - Australia -  EC - 4+8_BS_Separation_TaxResIndem_Q12412 tf" xfId="10682" xr:uid="{00000000-0005-0000-0000-0000B9290000}"/>
    <cellStyle name="_Revised MOR 2004_MOR - BDWY - 1+11_MOR - Australia -  EC - 4+8_BS_Separation_TaxResIndem_Q12412 tf_Restructuring &amp; Separation" xfId="10683" xr:uid="{00000000-0005-0000-0000-0000BA290000}"/>
    <cellStyle name="_Revised MOR 2004_MOR - BDWY - 1+11_MOR - Australia -  EC - 4+8_By Country Detail 1Q10 041410pm FIN 18 revised per disc w Mary" xfId="10684" xr:uid="{00000000-0005-0000-0000-0000BB290000}"/>
    <cellStyle name="_Revised MOR 2004_MOR - BDWY - 1+11_MOR - Australia -  EC - 4+8_By Country Detail 1Q10 041410pm FIN 18 revised per disc w Mary_BS_Separation_TaxResIndem_Q12412 tf" xfId="10685" xr:uid="{00000000-0005-0000-0000-0000BC290000}"/>
    <cellStyle name="_Revised MOR 2004_MOR - BDWY - 1+11_MOR - Australia -  EC - 4+8_By Country Detail 1Q10 041410pm FIN 18 revised per disc w Mary_BS_Separation_TaxResIndem_Q12412 tf_Restructuring &amp; Separation" xfId="10686" xr:uid="{00000000-0005-0000-0000-0000BD290000}"/>
    <cellStyle name="_Revised MOR 2004_MOR - BDWY - 1+11_MOR - Australia -  EC - 4+8_By Country Detail 1Q10 041410pm FIN 18 revised per disc w Mary_II.8. Sep&amp;Discrete" xfId="10687" xr:uid="{00000000-0005-0000-0000-0000BE290000}"/>
    <cellStyle name="_Revised MOR 2004_MOR - BDWY - 1+11_MOR - Australia -  EC - 4+8_By Country Detail 1Q10 041410pm FIN 18 revised per disc w Mary_Restructuring &amp; Separation" xfId="10688" xr:uid="{00000000-0005-0000-0000-0000BF290000}"/>
    <cellStyle name="_Revised MOR 2004_MOR - BDWY - 1+11_MOR - Australia -  EC - 4+8_II.4. RawMaterials" xfId="10689" xr:uid="{00000000-0005-0000-0000-0000C0290000}"/>
    <cellStyle name="_Revised MOR 2004_MOR - BDWY - 1+11_MOR - Australia -  EC - 4+8_II.4. RawMaterials 2" xfId="10690" xr:uid="{00000000-0005-0000-0000-0000C1290000}"/>
    <cellStyle name="_Revised MOR 2004_MOR - BDWY - 1+11_MOR - Australia -  EC - 4+8_II.4. RawMaterials_BS retrieve" xfId="10691" xr:uid="{00000000-0005-0000-0000-0000C2290000}"/>
    <cellStyle name="_Revised MOR 2004_MOR - BDWY - 1+11_MOR - Australia -  EC - 4+8_II.4. RawMaterials_Free CF" xfId="10692" xr:uid="{00000000-0005-0000-0000-0000C3290000}"/>
    <cellStyle name="_Revised MOR 2004_MOR - BDWY - 1+11_MOR - Australia -  EC - 4+8_II.4. RawMaterials_P&amp;L Rec Qtr" xfId="10693" xr:uid="{00000000-0005-0000-0000-0000C4290000}"/>
    <cellStyle name="_Revised MOR 2004_MOR - BDWY - 1+11_MOR - Australia -  EC - 4+8_II.4. RawMaterials_Sheet1" xfId="10694" xr:uid="{00000000-0005-0000-0000-0000C5290000}"/>
    <cellStyle name="_Revised MOR 2004_MOR - BDWY - 1+11_MOR - Australia -  EC - 4+8_II.4. RawMaterials_Sheet2" xfId="10695" xr:uid="{00000000-0005-0000-0000-0000C6290000}"/>
    <cellStyle name="_Revised MOR 2004_MOR - BDWY - 1+11_MOR - Australia -  EC - 4+8_II.4. RawMaterials_Sheet3" xfId="10696" xr:uid="{00000000-0005-0000-0000-0000C7290000}"/>
    <cellStyle name="_Revised MOR 2004_MOR - BDWY - 1+11_MOR - Australia -  EC - 4+8_II.4. RawMaterials_Sheet4" xfId="10697" xr:uid="{00000000-0005-0000-0000-0000C8290000}"/>
    <cellStyle name="_Revised MOR 2004_MOR - BDWY - 1+11_MOR - Australia -  EC - 4+8_II.5. RawMaterials" xfId="10698" xr:uid="{00000000-0005-0000-0000-0000C9290000}"/>
    <cellStyle name="_Revised MOR 2004_MOR - BDWY - 1+11_MOR - Australia -  EC - 4+8_II.5. RawMaterials 2" xfId="10699" xr:uid="{00000000-0005-0000-0000-0000CA290000}"/>
    <cellStyle name="_Revised MOR 2004_MOR - BDWY - 1+11_MOR - Australia -  EC - 4+8_II.5. RawMaterials_BS retrieve" xfId="10700" xr:uid="{00000000-0005-0000-0000-0000CB290000}"/>
    <cellStyle name="_Revised MOR 2004_MOR - BDWY - 1+11_MOR - Australia -  EC - 4+8_II.5. RawMaterials_Free CF" xfId="10701" xr:uid="{00000000-0005-0000-0000-0000CC290000}"/>
    <cellStyle name="_Revised MOR 2004_MOR - BDWY - 1+11_MOR - Australia -  EC - 4+8_II.5. RawMaterials_P&amp;L Rec Qtr" xfId="10702" xr:uid="{00000000-0005-0000-0000-0000CD290000}"/>
    <cellStyle name="_Revised MOR 2004_MOR - BDWY - 1+11_MOR - Australia -  EC - 4+8_II.5. RawMaterials_Sheet1" xfId="10703" xr:uid="{00000000-0005-0000-0000-0000CE290000}"/>
    <cellStyle name="_Revised MOR 2004_MOR - BDWY - 1+11_MOR - Australia -  EC - 4+8_II.5. RawMaterials_Sheet2" xfId="10704" xr:uid="{00000000-0005-0000-0000-0000CF290000}"/>
    <cellStyle name="_Revised MOR 2004_MOR - BDWY - 1+11_MOR - Australia -  EC - 4+8_II.5. RawMaterials_Sheet3" xfId="10705" xr:uid="{00000000-0005-0000-0000-0000D0290000}"/>
    <cellStyle name="_Revised MOR 2004_MOR - BDWY - 1+11_MOR - Australia -  EC - 4+8_II.5. RawMaterials_Sheet4" xfId="10706" xr:uid="{00000000-0005-0000-0000-0000D1290000}"/>
    <cellStyle name="_Revised MOR 2004_MOR - BDWY - 1+11_MOR - Australia -  EC - 4+8_II.5. RM Volume Sensitivities" xfId="10707" xr:uid="{00000000-0005-0000-0000-0000D2290000}"/>
    <cellStyle name="_Revised MOR 2004_MOR - BDWY - 1+11_MOR - Australia -  EC - 4+8_II.5. RM Volume Sensitivities 2" xfId="10708" xr:uid="{00000000-0005-0000-0000-0000D3290000}"/>
    <cellStyle name="_Revised MOR 2004_MOR - BDWY - 1+11_MOR - Australia -  EC - 4+8_II.5. RM Volume Sensitivities_BS retrieve" xfId="10709" xr:uid="{00000000-0005-0000-0000-0000D4290000}"/>
    <cellStyle name="_Revised MOR 2004_MOR - BDWY - 1+11_MOR - Australia -  EC - 4+8_II.5. RM Volume Sensitivities_Free CF" xfId="10710" xr:uid="{00000000-0005-0000-0000-0000D5290000}"/>
    <cellStyle name="_Revised MOR 2004_MOR - BDWY - 1+11_MOR - Australia -  EC - 4+8_II.5. RM Volume Sensitivities_P&amp;L Rec Qtr" xfId="10711" xr:uid="{00000000-0005-0000-0000-0000D6290000}"/>
    <cellStyle name="_Revised MOR 2004_MOR - BDWY - 1+11_MOR - Australia -  EC - 4+8_II.5. RM Volume Sensitivities_Sheet1" xfId="10712" xr:uid="{00000000-0005-0000-0000-0000D7290000}"/>
    <cellStyle name="_Revised MOR 2004_MOR - BDWY - 1+11_MOR - Australia -  EC - 4+8_II.5. RM Volume Sensitivities_Sheet2" xfId="10713" xr:uid="{00000000-0005-0000-0000-0000D8290000}"/>
    <cellStyle name="_Revised MOR 2004_MOR - BDWY - 1+11_MOR - Australia -  EC - 4+8_II.5. RM Volume Sensitivities_Sheet3" xfId="10714" xr:uid="{00000000-0005-0000-0000-0000D9290000}"/>
    <cellStyle name="_Revised MOR 2004_MOR - BDWY - 1+11_MOR - Australia -  EC - 4+8_II.5. RM Volume Sensitivities_Sheet4" xfId="10715" xr:uid="{00000000-0005-0000-0000-0000DA290000}"/>
    <cellStyle name="_Revised MOR 2004_MOR - BDWY - 1+11_MOR - Australia -  EC - 4+8_II.8. Sep&amp;Discrete" xfId="10716" xr:uid="{00000000-0005-0000-0000-0000DB290000}"/>
    <cellStyle name="_Revised MOR 2004_MOR - BDWY - 1+11_MOR - Australia -  EC - 4+8_Restructuring &amp; Separation" xfId="10717" xr:uid="{00000000-0005-0000-0000-0000DC290000}"/>
    <cellStyle name="_Revised MOR 2004_MOR - BDWY - 1+11_MOR - Australia -  EC - 4+8_Restructuring_Separation_TAX_JuneFC2010 tf" xfId="10718" xr:uid="{00000000-0005-0000-0000-0000DD290000}"/>
    <cellStyle name="_Revised MOR 2004_MOR - BDWY - 1+11_MOR - Australia -  EC - 4+8_Restructuring_Separation_TAX_JuneFC2010 tf_BS_Separation_TaxResIndem_Q12412 tf" xfId="10719" xr:uid="{00000000-0005-0000-0000-0000DE290000}"/>
    <cellStyle name="_Revised MOR 2004_MOR - BDWY - 1+11_MOR - Australia -  EC - 4+8_Restructuring_Separation_TAX_JuneFC2010 tf_BS_Separation_TaxResIndem_Q12412 tf_Restructuring &amp; Separation" xfId="10720" xr:uid="{00000000-0005-0000-0000-0000DF290000}"/>
    <cellStyle name="_Revised MOR 2004_MOR - BDWY - 1+11_MOR - Australia -  EC - 4+8_Restructuring_Separation_TAX_JuneFC2010 tf_II.8. Sep&amp;Discrete" xfId="10721" xr:uid="{00000000-0005-0000-0000-0000E0290000}"/>
    <cellStyle name="_Revised MOR 2004_MOR - BDWY - 1+11_MOR - Australia -  EC - 4+8_Restructuring_Separation_TAX_JuneFC2010 tf_Restructuring &amp; Separation" xfId="10722" xr:uid="{00000000-0005-0000-0000-0000E1290000}"/>
    <cellStyle name="_Revised MOR 2004_MOR - BDWY - 1+11_MOR - Gurgaon - 3+9(R)" xfId="10723" xr:uid="{00000000-0005-0000-0000-0000E2290000}"/>
    <cellStyle name="_Revised MOR 2004_MOR - BDWY - 1+11_MOR - Gurgaon - 3+9(R)_BS_Separation_TaxResIndem_Q12412 tf" xfId="10724" xr:uid="{00000000-0005-0000-0000-0000E3290000}"/>
    <cellStyle name="_Revised MOR 2004_MOR - BDWY - 1+11_MOR - Gurgaon - 3+9(R)_BS_Separation_TaxResIndem_Q12412 tf_Restructuring &amp; Separation" xfId="10725" xr:uid="{00000000-0005-0000-0000-0000E4290000}"/>
    <cellStyle name="_Revised MOR 2004_MOR - BDWY - 1+11_MOR - Gurgaon - 3+9(R)_By Country Detail 1Q10 041410pm FIN 18 revised per disc w Mary" xfId="10726" xr:uid="{00000000-0005-0000-0000-0000E5290000}"/>
    <cellStyle name="_Revised MOR 2004_MOR - BDWY - 1+11_MOR - Gurgaon - 3+9(R)_By Country Detail 1Q10 041410pm FIN 18 revised per disc w Mary_BS_Separation_TaxResIndem_Q12412 tf" xfId="10727" xr:uid="{00000000-0005-0000-0000-0000E6290000}"/>
    <cellStyle name="_Revised MOR 2004_MOR - BDWY - 1+11_MOR - Gurgaon - 3+9(R)_By Country Detail 1Q10 041410pm FIN 18 revised per disc w Mary_BS_Separation_TaxResIndem_Q12412 tf_Restructuring &amp; Separation" xfId="10728" xr:uid="{00000000-0005-0000-0000-0000E7290000}"/>
    <cellStyle name="_Revised MOR 2004_MOR - BDWY - 1+11_MOR - Gurgaon - 3+9(R)_By Country Detail 1Q10 041410pm FIN 18 revised per disc w Mary_II.8. Sep&amp;Discrete" xfId="10729" xr:uid="{00000000-0005-0000-0000-0000E8290000}"/>
    <cellStyle name="_Revised MOR 2004_MOR - BDWY - 1+11_MOR - Gurgaon - 3+9(R)_By Country Detail 1Q10 041410pm FIN 18 revised per disc w Mary_Restructuring &amp; Separation" xfId="10730" xr:uid="{00000000-0005-0000-0000-0000E9290000}"/>
    <cellStyle name="_Revised MOR 2004_MOR - BDWY - 1+11_MOR - Gurgaon - 3+9(R)_II.4. RawMaterials" xfId="10731" xr:uid="{00000000-0005-0000-0000-0000EA290000}"/>
    <cellStyle name="_Revised MOR 2004_MOR - BDWY - 1+11_MOR - Gurgaon - 3+9(R)_II.4. RawMaterials 2" xfId="10732" xr:uid="{00000000-0005-0000-0000-0000EB290000}"/>
    <cellStyle name="_Revised MOR 2004_MOR - BDWY - 1+11_MOR - Gurgaon - 3+9(R)_II.4. RawMaterials_BS retrieve" xfId="10733" xr:uid="{00000000-0005-0000-0000-0000EC290000}"/>
    <cellStyle name="_Revised MOR 2004_MOR - BDWY - 1+11_MOR - Gurgaon - 3+9(R)_II.4. RawMaterials_Free CF" xfId="10734" xr:uid="{00000000-0005-0000-0000-0000ED290000}"/>
    <cellStyle name="_Revised MOR 2004_MOR - BDWY - 1+11_MOR - Gurgaon - 3+9(R)_II.4. RawMaterials_P&amp;L Rec Qtr" xfId="10735" xr:uid="{00000000-0005-0000-0000-0000EE290000}"/>
    <cellStyle name="_Revised MOR 2004_MOR - BDWY - 1+11_MOR - Gurgaon - 3+9(R)_II.4. RawMaterials_Sheet1" xfId="10736" xr:uid="{00000000-0005-0000-0000-0000EF290000}"/>
    <cellStyle name="_Revised MOR 2004_MOR - BDWY - 1+11_MOR - Gurgaon - 3+9(R)_II.4. RawMaterials_Sheet2" xfId="10737" xr:uid="{00000000-0005-0000-0000-0000F0290000}"/>
    <cellStyle name="_Revised MOR 2004_MOR - BDWY - 1+11_MOR - Gurgaon - 3+9(R)_II.4. RawMaterials_Sheet3" xfId="10738" xr:uid="{00000000-0005-0000-0000-0000F1290000}"/>
    <cellStyle name="_Revised MOR 2004_MOR - BDWY - 1+11_MOR - Gurgaon - 3+9(R)_II.4. RawMaterials_Sheet4" xfId="10739" xr:uid="{00000000-0005-0000-0000-0000F2290000}"/>
    <cellStyle name="_Revised MOR 2004_MOR - BDWY - 1+11_MOR - Gurgaon - 3+9(R)_II.5. RawMaterials" xfId="10740" xr:uid="{00000000-0005-0000-0000-0000F3290000}"/>
    <cellStyle name="_Revised MOR 2004_MOR - BDWY - 1+11_MOR - Gurgaon - 3+9(R)_II.5. RawMaterials 2" xfId="10741" xr:uid="{00000000-0005-0000-0000-0000F4290000}"/>
    <cellStyle name="_Revised MOR 2004_MOR - BDWY - 1+11_MOR - Gurgaon - 3+9(R)_II.5. RawMaterials_BS retrieve" xfId="10742" xr:uid="{00000000-0005-0000-0000-0000F5290000}"/>
    <cellStyle name="_Revised MOR 2004_MOR - BDWY - 1+11_MOR - Gurgaon - 3+9(R)_II.5. RawMaterials_Free CF" xfId="10743" xr:uid="{00000000-0005-0000-0000-0000F6290000}"/>
    <cellStyle name="_Revised MOR 2004_MOR - BDWY - 1+11_MOR - Gurgaon - 3+9(R)_II.5. RawMaterials_P&amp;L Rec Qtr" xfId="10744" xr:uid="{00000000-0005-0000-0000-0000F7290000}"/>
    <cellStyle name="_Revised MOR 2004_MOR - BDWY - 1+11_MOR - Gurgaon - 3+9(R)_II.5. RawMaterials_Sheet1" xfId="10745" xr:uid="{00000000-0005-0000-0000-0000F8290000}"/>
    <cellStyle name="_Revised MOR 2004_MOR - BDWY - 1+11_MOR - Gurgaon - 3+9(R)_II.5. RawMaterials_Sheet2" xfId="10746" xr:uid="{00000000-0005-0000-0000-0000F9290000}"/>
    <cellStyle name="_Revised MOR 2004_MOR - BDWY - 1+11_MOR - Gurgaon - 3+9(R)_II.5. RawMaterials_Sheet3" xfId="10747" xr:uid="{00000000-0005-0000-0000-0000FA290000}"/>
    <cellStyle name="_Revised MOR 2004_MOR - BDWY - 1+11_MOR - Gurgaon - 3+9(R)_II.5. RawMaterials_Sheet4" xfId="10748" xr:uid="{00000000-0005-0000-0000-0000FB290000}"/>
    <cellStyle name="_Revised MOR 2004_MOR - BDWY - 1+11_MOR - Gurgaon - 3+9(R)_II.5. RM Volume Sensitivities" xfId="10749" xr:uid="{00000000-0005-0000-0000-0000FC290000}"/>
    <cellStyle name="_Revised MOR 2004_MOR - BDWY - 1+11_MOR - Gurgaon - 3+9(R)_II.5. RM Volume Sensitivities 2" xfId="10750" xr:uid="{00000000-0005-0000-0000-0000FD290000}"/>
    <cellStyle name="_Revised MOR 2004_MOR - BDWY - 1+11_MOR - Gurgaon - 3+9(R)_II.5. RM Volume Sensitivities_BS retrieve" xfId="10751" xr:uid="{00000000-0005-0000-0000-0000FE290000}"/>
    <cellStyle name="_Revised MOR 2004_MOR - BDWY - 1+11_MOR - Gurgaon - 3+9(R)_II.5. RM Volume Sensitivities_Free CF" xfId="10752" xr:uid="{00000000-0005-0000-0000-0000FF290000}"/>
    <cellStyle name="_Revised MOR 2004_MOR - BDWY - 1+11_MOR - Gurgaon - 3+9(R)_II.5. RM Volume Sensitivities_P&amp;L Rec Qtr" xfId="10753" xr:uid="{00000000-0005-0000-0000-0000002A0000}"/>
    <cellStyle name="_Revised MOR 2004_MOR - BDWY - 1+11_MOR - Gurgaon - 3+9(R)_II.5. RM Volume Sensitivities_Sheet1" xfId="10754" xr:uid="{00000000-0005-0000-0000-0000012A0000}"/>
    <cellStyle name="_Revised MOR 2004_MOR - BDWY - 1+11_MOR - Gurgaon - 3+9(R)_II.5. RM Volume Sensitivities_Sheet2" xfId="10755" xr:uid="{00000000-0005-0000-0000-0000022A0000}"/>
    <cellStyle name="_Revised MOR 2004_MOR - BDWY - 1+11_MOR - Gurgaon - 3+9(R)_II.5. RM Volume Sensitivities_Sheet3" xfId="10756" xr:uid="{00000000-0005-0000-0000-0000032A0000}"/>
    <cellStyle name="_Revised MOR 2004_MOR - BDWY - 1+11_MOR - Gurgaon - 3+9(R)_II.5. RM Volume Sensitivities_Sheet4" xfId="10757" xr:uid="{00000000-0005-0000-0000-0000042A0000}"/>
    <cellStyle name="_Revised MOR 2004_MOR - BDWY - 1+11_MOR - Gurgaon - 3+9(R)_II.8. Sep&amp;Discrete" xfId="10758" xr:uid="{00000000-0005-0000-0000-0000052A0000}"/>
    <cellStyle name="_Revised MOR 2004_MOR - BDWY - 1+11_MOR - Gurgaon - 3+9(R)_MOR - Revised Package" xfId="10759" xr:uid="{00000000-0005-0000-0000-0000062A0000}"/>
    <cellStyle name="_Revised MOR 2004_MOR - BDWY - 1+11_MOR - Gurgaon - 3+9(R)_MOR - Revised Package_~0039877" xfId="10760" xr:uid="{00000000-0005-0000-0000-0000072A0000}"/>
    <cellStyle name="_Revised MOR 2004_MOR - BDWY - 1+11_MOR - Gurgaon - 3+9(R)_MOR - Revised Package_~0039877_BS_Separation_TaxResIndem_Q12412 tf" xfId="10761" xr:uid="{00000000-0005-0000-0000-0000082A0000}"/>
    <cellStyle name="_Revised MOR 2004_MOR - BDWY - 1+11_MOR - Gurgaon - 3+9(R)_MOR - Revised Package_~0039877_BS_Separation_TaxResIndem_Q12412 tf_Restructuring &amp; Separation" xfId="10762" xr:uid="{00000000-0005-0000-0000-0000092A0000}"/>
    <cellStyle name="_Revised MOR 2004_MOR - BDWY - 1+11_MOR - Gurgaon - 3+9(R)_MOR - Revised Package_~0039877_By Country Detail 1Q10 041410pm FIN 18 revised per disc w Mary" xfId="10763" xr:uid="{00000000-0005-0000-0000-00000A2A0000}"/>
    <cellStyle name="_Revised MOR 2004_MOR - BDWY - 1+11_MOR - Gurgaon - 3+9(R)_MOR - Revised Package_~0039877_By Country Detail 1Q10 041410pm FIN 18 revised per disc w Mary_BS_Separation_TaxResIndem_Q12412 tf" xfId="10764" xr:uid="{00000000-0005-0000-0000-00000B2A0000}"/>
    <cellStyle name="_Revised MOR 2004_MOR - BDWY - 1+11_MOR - Gurgaon - 3+9(R)_MOR - Revised Package_~0039877_By Country Detail 1Q10 041410pm FIN 18 revised per disc w Mary_BS_Separation_TaxResIndem_Q12412 tf_Restructuring &amp; Separation" xfId="10765" xr:uid="{00000000-0005-0000-0000-00000C2A0000}"/>
    <cellStyle name="_Revised MOR 2004_MOR - BDWY - 1+11_MOR - Gurgaon - 3+9(R)_MOR - Revised Package_~0039877_By Country Detail 1Q10 041410pm FIN 18 revised per disc w Mary_II.8. Sep&amp;Discrete" xfId="10766" xr:uid="{00000000-0005-0000-0000-00000D2A0000}"/>
    <cellStyle name="_Revised MOR 2004_MOR - BDWY - 1+11_MOR - Gurgaon - 3+9(R)_MOR - Revised Package_~0039877_By Country Detail 1Q10 041410pm FIN 18 revised per disc w Mary_Restructuring &amp; Separation" xfId="10767" xr:uid="{00000000-0005-0000-0000-00000E2A0000}"/>
    <cellStyle name="_Revised MOR 2004_MOR - BDWY - 1+11_MOR - Gurgaon - 3+9(R)_MOR - Revised Package_~0039877_II.4. RawMaterials" xfId="10768" xr:uid="{00000000-0005-0000-0000-00000F2A0000}"/>
    <cellStyle name="_Revised MOR 2004_MOR - BDWY - 1+11_MOR - Gurgaon - 3+9(R)_MOR - Revised Package_~0039877_II.4. RawMaterials 2" xfId="10769" xr:uid="{00000000-0005-0000-0000-0000102A0000}"/>
    <cellStyle name="_Revised MOR 2004_MOR - BDWY - 1+11_MOR - Gurgaon - 3+9(R)_MOR - Revised Package_~0039877_II.4. RawMaterials_BS retrieve" xfId="10770" xr:uid="{00000000-0005-0000-0000-0000112A0000}"/>
    <cellStyle name="_Revised MOR 2004_MOR - BDWY - 1+11_MOR - Gurgaon - 3+9(R)_MOR - Revised Package_~0039877_II.4. RawMaterials_Free CF" xfId="10771" xr:uid="{00000000-0005-0000-0000-0000122A0000}"/>
    <cellStyle name="_Revised MOR 2004_MOR - BDWY - 1+11_MOR - Gurgaon - 3+9(R)_MOR - Revised Package_~0039877_II.4. RawMaterials_P&amp;L Rec Qtr" xfId="10772" xr:uid="{00000000-0005-0000-0000-0000132A0000}"/>
    <cellStyle name="_Revised MOR 2004_MOR - BDWY - 1+11_MOR - Gurgaon - 3+9(R)_MOR - Revised Package_~0039877_II.4. RawMaterials_Sheet1" xfId="10773" xr:uid="{00000000-0005-0000-0000-0000142A0000}"/>
    <cellStyle name="_Revised MOR 2004_MOR - BDWY - 1+11_MOR - Gurgaon - 3+9(R)_MOR - Revised Package_~0039877_II.4. RawMaterials_Sheet2" xfId="10774" xr:uid="{00000000-0005-0000-0000-0000152A0000}"/>
    <cellStyle name="_Revised MOR 2004_MOR - BDWY - 1+11_MOR - Gurgaon - 3+9(R)_MOR - Revised Package_~0039877_II.4. RawMaterials_Sheet3" xfId="10775" xr:uid="{00000000-0005-0000-0000-0000162A0000}"/>
    <cellStyle name="_Revised MOR 2004_MOR - BDWY - 1+11_MOR - Gurgaon - 3+9(R)_MOR - Revised Package_~0039877_II.4. RawMaterials_Sheet4" xfId="10776" xr:uid="{00000000-0005-0000-0000-0000172A0000}"/>
    <cellStyle name="_Revised MOR 2004_MOR - BDWY - 1+11_MOR - Gurgaon - 3+9(R)_MOR - Revised Package_~0039877_II.5. RawMaterials" xfId="10777" xr:uid="{00000000-0005-0000-0000-0000182A0000}"/>
    <cellStyle name="_Revised MOR 2004_MOR - BDWY - 1+11_MOR - Gurgaon - 3+9(R)_MOR - Revised Package_~0039877_II.5. RawMaterials 2" xfId="10778" xr:uid="{00000000-0005-0000-0000-0000192A0000}"/>
    <cellStyle name="_Revised MOR 2004_MOR - BDWY - 1+11_MOR - Gurgaon - 3+9(R)_MOR - Revised Package_~0039877_II.5. RawMaterials_BS retrieve" xfId="10779" xr:uid="{00000000-0005-0000-0000-00001A2A0000}"/>
    <cellStyle name="_Revised MOR 2004_MOR - BDWY - 1+11_MOR - Gurgaon - 3+9(R)_MOR - Revised Package_~0039877_II.5. RawMaterials_Free CF" xfId="10780" xr:uid="{00000000-0005-0000-0000-00001B2A0000}"/>
    <cellStyle name="_Revised MOR 2004_MOR - BDWY - 1+11_MOR - Gurgaon - 3+9(R)_MOR - Revised Package_~0039877_II.5. RawMaterials_P&amp;L Rec Qtr" xfId="10781" xr:uid="{00000000-0005-0000-0000-00001C2A0000}"/>
    <cellStyle name="_Revised MOR 2004_MOR - BDWY - 1+11_MOR - Gurgaon - 3+9(R)_MOR - Revised Package_~0039877_II.5. RawMaterials_Sheet1" xfId="10782" xr:uid="{00000000-0005-0000-0000-00001D2A0000}"/>
    <cellStyle name="_Revised MOR 2004_MOR - BDWY - 1+11_MOR - Gurgaon - 3+9(R)_MOR - Revised Package_~0039877_II.5. RawMaterials_Sheet2" xfId="10783" xr:uid="{00000000-0005-0000-0000-00001E2A0000}"/>
    <cellStyle name="_Revised MOR 2004_MOR - BDWY - 1+11_MOR - Gurgaon - 3+9(R)_MOR - Revised Package_~0039877_II.5. RawMaterials_Sheet3" xfId="10784" xr:uid="{00000000-0005-0000-0000-00001F2A0000}"/>
    <cellStyle name="_Revised MOR 2004_MOR - BDWY - 1+11_MOR - Gurgaon - 3+9(R)_MOR - Revised Package_~0039877_II.5. RawMaterials_Sheet4" xfId="10785" xr:uid="{00000000-0005-0000-0000-0000202A0000}"/>
    <cellStyle name="_Revised MOR 2004_MOR - BDWY - 1+11_MOR - Gurgaon - 3+9(R)_MOR - Revised Package_~0039877_II.5. RM Volume Sensitivities" xfId="10786" xr:uid="{00000000-0005-0000-0000-0000212A0000}"/>
    <cellStyle name="_Revised MOR 2004_MOR - BDWY - 1+11_MOR - Gurgaon - 3+9(R)_MOR - Revised Package_~0039877_II.5. RM Volume Sensitivities 2" xfId="10787" xr:uid="{00000000-0005-0000-0000-0000222A0000}"/>
    <cellStyle name="_Revised MOR 2004_MOR - BDWY - 1+11_MOR - Gurgaon - 3+9(R)_MOR - Revised Package_~0039877_II.5. RM Volume Sensitivities_BS retrieve" xfId="10788" xr:uid="{00000000-0005-0000-0000-0000232A0000}"/>
    <cellStyle name="_Revised MOR 2004_MOR - BDWY - 1+11_MOR - Gurgaon - 3+9(R)_MOR - Revised Package_~0039877_II.5. RM Volume Sensitivities_Free CF" xfId="10789" xr:uid="{00000000-0005-0000-0000-0000242A0000}"/>
    <cellStyle name="_Revised MOR 2004_MOR - BDWY - 1+11_MOR - Gurgaon - 3+9(R)_MOR - Revised Package_~0039877_II.5. RM Volume Sensitivities_P&amp;L Rec Qtr" xfId="10790" xr:uid="{00000000-0005-0000-0000-0000252A0000}"/>
    <cellStyle name="_Revised MOR 2004_MOR - BDWY - 1+11_MOR - Gurgaon - 3+9(R)_MOR - Revised Package_~0039877_II.5. RM Volume Sensitivities_Sheet1" xfId="10791" xr:uid="{00000000-0005-0000-0000-0000262A0000}"/>
    <cellStyle name="_Revised MOR 2004_MOR - BDWY - 1+11_MOR - Gurgaon - 3+9(R)_MOR - Revised Package_~0039877_II.5. RM Volume Sensitivities_Sheet2" xfId="10792" xr:uid="{00000000-0005-0000-0000-0000272A0000}"/>
    <cellStyle name="_Revised MOR 2004_MOR - BDWY - 1+11_MOR - Gurgaon - 3+9(R)_MOR - Revised Package_~0039877_II.5. RM Volume Sensitivities_Sheet3" xfId="10793" xr:uid="{00000000-0005-0000-0000-0000282A0000}"/>
    <cellStyle name="_Revised MOR 2004_MOR - BDWY - 1+11_MOR - Gurgaon - 3+9(R)_MOR - Revised Package_~0039877_II.5. RM Volume Sensitivities_Sheet4" xfId="10794" xr:uid="{00000000-0005-0000-0000-0000292A0000}"/>
    <cellStyle name="_Revised MOR 2004_MOR - BDWY - 1+11_MOR - Gurgaon - 3+9(R)_MOR - Revised Package_~0039877_II.8. Sep&amp;Discrete" xfId="10795" xr:uid="{00000000-0005-0000-0000-00002A2A0000}"/>
    <cellStyle name="_Revised MOR 2004_MOR - BDWY - 1+11_MOR - Gurgaon - 3+9(R)_MOR - Revised Package_~0039877_Restructuring &amp; Separation" xfId="10796" xr:uid="{00000000-0005-0000-0000-00002B2A0000}"/>
    <cellStyle name="_Revised MOR 2004_MOR - BDWY - 1+11_MOR - Gurgaon - 3+9(R)_MOR - Revised Package_~0039877_Restructuring_Separation_TAX_JuneFC2010 tf" xfId="10797" xr:uid="{00000000-0005-0000-0000-00002C2A0000}"/>
    <cellStyle name="_Revised MOR 2004_MOR - BDWY - 1+11_MOR - Gurgaon - 3+9(R)_MOR - Revised Package_~0039877_Restructuring_Separation_TAX_JuneFC2010 tf_BS_Separation_TaxResIndem_Q12412 tf" xfId="10798" xr:uid="{00000000-0005-0000-0000-00002D2A0000}"/>
    <cellStyle name="_Revised MOR 2004_MOR - BDWY - 1+11_MOR - Gurgaon - 3+9(R)_MOR - Revised Package_~0039877_Restructuring_Separation_TAX_JuneFC2010 tf_BS_Separation_TaxResIndem_Q12412 tf_Restructuring &amp; Separation" xfId="10799" xr:uid="{00000000-0005-0000-0000-00002E2A0000}"/>
    <cellStyle name="_Revised MOR 2004_MOR - BDWY - 1+11_MOR - Gurgaon - 3+9(R)_MOR - Revised Package_~0039877_Restructuring_Separation_TAX_JuneFC2010 tf_II.8. Sep&amp;Discrete" xfId="10800" xr:uid="{00000000-0005-0000-0000-00002F2A0000}"/>
    <cellStyle name="_Revised MOR 2004_MOR - BDWY - 1+11_MOR - Gurgaon - 3+9(R)_MOR - Revised Package_~0039877_Restructuring_Separation_TAX_JuneFC2010 tf_Restructuring &amp; Separation" xfId="10801" xr:uid="{00000000-0005-0000-0000-0000302A0000}"/>
    <cellStyle name="_Revised MOR 2004_MOR - BDWY - 1+11_MOR - Gurgaon - 3+9(R)_MOR - Revised Package_BS_Separation_TaxResIndem_Q12412 tf" xfId="10802" xr:uid="{00000000-0005-0000-0000-0000312A0000}"/>
    <cellStyle name="_Revised MOR 2004_MOR - BDWY - 1+11_MOR - Gurgaon - 3+9(R)_MOR - Revised Package_BS_Separation_TaxResIndem_Q12412 tf_Restructuring &amp; Separation" xfId="10803" xr:uid="{00000000-0005-0000-0000-0000322A0000}"/>
    <cellStyle name="_Revised MOR 2004_MOR - BDWY - 1+11_MOR - Gurgaon - 3+9(R)_MOR - Revised Package_By Country Detail 1Q10 041410pm FIN 18 revised per disc w Mary" xfId="10804" xr:uid="{00000000-0005-0000-0000-0000332A0000}"/>
    <cellStyle name="_Revised MOR 2004_MOR - BDWY - 1+11_MOR - Gurgaon - 3+9(R)_MOR - Revised Package_By Country Detail 1Q10 041410pm FIN 18 revised per disc w Mary_BS_Separation_TaxResIndem_Q12412 tf" xfId="10805" xr:uid="{00000000-0005-0000-0000-0000342A0000}"/>
    <cellStyle name="_Revised MOR 2004_MOR - BDWY - 1+11_MOR - Gurgaon - 3+9(R)_MOR - Revised Package_By Country Detail 1Q10 041410pm FIN 18 revised per disc w Mary_BS_Separation_TaxResIndem_Q12412 tf_Restructuring &amp; Separation" xfId="10806" xr:uid="{00000000-0005-0000-0000-0000352A0000}"/>
    <cellStyle name="_Revised MOR 2004_MOR - BDWY - 1+11_MOR - Gurgaon - 3+9(R)_MOR - Revised Package_By Country Detail 1Q10 041410pm FIN 18 revised per disc w Mary_II.8. Sep&amp;Discrete" xfId="10807" xr:uid="{00000000-0005-0000-0000-0000362A0000}"/>
    <cellStyle name="_Revised MOR 2004_MOR - BDWY - 1+11_MOR - Gurgaon - 3+9(R)_MOR - Revised Package_By Country Detail 1Q10 041410pm FIN 18 revised per disc w Mary_Restructuring &amp; Separation" xfId="10808" xr:uid="{00000000-0005-0000-0000-0000372A0000}"/>
    <cellStyle name="_Revised MOR 2004_MOR - BDWY - 1+11_MOR - Gurgaon - 3+9(R)_MOR - Revised Package_II.4. RawMaterials" xfId="10809" xr:uid="{00000000-0005-0000-0000-0000382A0000}"/>
    <cellStyle name="_Revised MOR 2004_MOR - BDWY - 1+11_MOR - Gurgaon - 3+9(R)_MOR - Revised Package_II.4. RawMaterials 2" xfId="10810" xr:uid="{00000000-0005-0000-0000-0000392A0000}"/>
    <cellStyle name="_Revised MOR 2004_MOR - BDWY - 1+11_MOR - Gurgaon - 3+9(R)_MOR - Revised Package_II.4. RawMaterials_BS retrieve" xfId="10811" xr:uid="{00000000-0005-0000-0000-00003A2A0000}"/>
    <cellStyle name="_Revised MOR 2004_MOR - BDWY - 1+11_MOR - Gurgaon - 3+9(R)_MOR - Revised Package_II.4. RawMaterials_Free CF" xfId="10812" xr:uid="{00000000-0005-0000-0000-00003B2A0000}"/>
    <cellStyle name="_Revised MOR 2004_MOR - BDWY - 1+11_MOR - Gurgaon - 3+9(R)_MOR - Revised Package_II.4. RawMaterials_P&amp;L Rec Qtr" xfId="10813" xr:uid="{00000000-0005-0000-0000-00003C2A0000}"/>
    <cellStyle name="_Revised MOR 2004_MOR - BDWY - 1+11_MOR - Gurgaon - 3+9(R)_MOR - Revised Package_II.4. RawMaterials_Sheet1" xfId="10814" xr:uid="{00000000-0005-0000-0000-00003D2A0000}"/>
    <cellStyle name="_Revised MOR 2004_MOR - BDWY - 1+11_MOR - Gurgaon - 3+9(R)_MOR - Revised Package_II.4. RawMaterials_Sheet2" xfId="10815" xr:uid="{00000000-0005-0000-0000-00003E2A0000}"/>
    <cellStyle name="_Revised MOR 2004_MOR - BDWY - 1+11_MOR - Gurgaon - 3+9(R)_MOR - Revised Package_II.4. RawMaterials_Sheet3" xfId="10816" xr:uid="{00000000-0005-0000-0000-00003F2A0000}"/>
    <cellStyle name="_Revised MOR 2004_MOR - BDWY - 1+11_MOR - Gurgaon - 3+9(R)_MOR - Revised Package_II.4. RawMaterials_Sheet4" xfId="10817" xr:uid="{00000000-0005-0000-0000-0000402A0000}"/>
    <cellStyle name="_Revised MOR 2004_MOR - BDWY - 1+11_MOR - Gurgaon - 3+9(R)_MOR - Revised Package_II.5. RawMaterials" xfId="10818" xr:uid="{00000000-0005-0000-0000-0000412A0000}"/>
    <cellStyle name="_Revised MOR 2004_MOR - BDWY - 1+11_MOR - Gurgaon - 3+9(R)_MOR - Revised Package_II.5. RawMaterials 2" xfId="10819" xr:uid="{00000000-0005-0000-0000-0000422A0000}"/>
    <cellStyle name="_Revised MOR 2004_MOR - BDWY - 1+11_MOR - Gurgaon - 3+9(R)_MOR - Revised Package_II.5. RawMaterials_BS retrieve" xfId="10820" xr:uid="{00000000-0005-0000-0000-0000432A0000}"/>
    <cellStyle name="_Revised MOR 2004_MOR - BDWY - 1+11_MOR - Gurgaon - 3+9(R)_MOR - Revised Package_II.5. RawMaterials_Free CF" xfId="10821" xr:uid="{00000000-0005-0000-0000-0000442A0000}"/>
    <cellStyle name="_Revised MOR 2004_MOR - BDWY - 1+11_MOR - Gurgaon - 3+9(R)_MOR - Revised Package_II.5. RawMaterials_P&amp;L Rec Qtr" xfId="10822" xr:uid="{00000000-0005-0000-0000-0000452A0000}"/>
    <cellStyle name="_Revised MOR 2004_MOR - BDWY - 1+11_MOR - Gurgaon - 3+9(R)_MOR - Revised Package_II.5. RawMaterials_Sheet1" xfId="10823" xr:uid="{00000000-0005-0000-0000-0000462A0000}"/>
    <cellStyle name="_Revised MOR 2004_MOR - BDWY - 1+11_MOR - Gurgaon - 3+9(R)_MOR - Revised Package_II.5. RawMaterials_Sheet2" xfId="10824" xr:uid="{00000000-0005-0000-0000-0000472A0000}"/>
    <cellStyle name="_Revised MOR 2004_MOR - BDWY - 1+11_MOR - Gurgaon - 3+9(R)_MOR - Revised Package_II.5. RawMaterials_Sheet3" xfId="10825" xr:uid="{00000000-0005-0000-0000-0000482A0000}"/>
    <cellStyle name="_Revised MOR 2004_MOR - BDWY - 1+11_MOR - Gurgaon - 3+9(R)_MOR - Revised Package_II.5. RawMaterials_Sheet4" xfId="10826" xr:uid="{00000000-0005-0000-0000-0000492A0000}"/>
    <cellStyle name="_Revised MOR 2004_MOR - BDWY - 1+11_MOR - Gurgaon - 3+9(R)_MOR - Revised Package_II.5. RM Volume Sensitivities" xfId="10827" xr:uid="{00000000-0005-0000-0000-00004A2A0000}"/>
    <cellStyle name="_Revised MOR 2004_MOR - BDWY - 1+11_MOR - Gurgaon - 3+9(R)_MOR - Revised Package_II.5. RM Volume Sensitivities 2" xfId="10828" xr:uid="{00000000-0005-0000-0000-00004B2A0000}"/>
    <cellStyle name="_Revised MOR 2004_MOR - BDWY - 1+11_MOR - Gurgaon - 3+9(R)_MOR - Revised Package_II.5. RM Volume Sensitivities_BS retrieve" xfId="10829" xr:uid="{00000000-0005-0000-0000-00004C2A0000}"/>
    <cellStyle name="_Revised MOR 2004_MOR - BDWY - 1+11_MOR - Gurgaon - 3+9(R)_MOR - Revised Package_II.5. RM Volume Sensitivities_Free CF" xfId="10830" xr:uid="{00000000-0005-0000-0000-00004D2A0000}"/>
    <cellStyle name="_Revised MOR 2004_MOR - BDWY - 1+11_MOR - Gurgaon - 3+9(R)_MOR - Revised Package_II.5. RM Volume Sensitivities_P&amp;L Rec Qtr" xfId="10831" xr:uid="{00000000-0005-0000-0000-00004E2A0000}"/>
    <cellStyle name="_Revised MOR 2004_MOR - BDWY - 1+11_MOR - Gurgaon - 3+9(R)_MOR - Revised Package_II.5. RM Volume Sensitivities_Sheet1" xfId="10832" xr:uid="{00000000-0005-0000-0000-00004F2A0000}"/>
    <cellStyle name="_Revised MOR 2004_MOR - BDWY - 1+11_MOR - Gurgaon - 3+9(R)_MOR - Revised Package_II.5. RM Volume Sensitivities_Sheet2" xfId="10833" xr:uid="{00000000-0005-0000-0000-0000502A0000}"/>
    <cellStyle name="_Revised MOR 2004_MOR - BDWY - 1+11_MOR - Gurgaon - 3+9(R)_MOR - Revised Package_II.5. RM Volume Sensitivities_Sheet3" xfId="10834" xr:uid="{00000000-0005-0000-0000-0000512A0000}"/>
    <cellStyle name="_Revised MOR 2004_MOR - BDWY - 1+11_MOR - Gurgaon - 3+9(R)_MOR - Revised Package_II.5. RM Volume Sensitivities_Sheet4" xfId="10835" xr:uid="{00000000-0005-0000-0000-0000522A0000}"/>
    <cellStyle name="_Revised MOR 2004_MOR - BDWY - 1+11_MOR - Gurgaon - 3+9(R)_MOR - Revised Package_II.8. Sep&amp;Discrete" xfId="10836" xr:uid="{00000000-0005-0000-0000-0000532A0000}"/>
    <cellStyle name="_Revised MOR 2004_MOR - BDWY - 1+11_MOR - Gurgaon - 3+9(R)_MOR - Revised Package_Restructuring &amp; Separation" xfId="10837" xr:uid="{00000000-0005-0000-0000-0000542A0000}"/>
    <cellStyle name="_Revised MOR 2004_MOR - BDWY - 1+11_MOR - Gurgaon - 3+9(R)_MOR - Revised Package_Restructuring_Separation_TAX_JuneFC2010 tf" xfId="10838" xr:uid="{00000000-0005-0000-0000-0000552A0000}"/>
    <cellStyle name="_Revised MOR 2004_MOR - BDWY - 1+11_MOR - Gurgaon - 3+9(R)_MOR - Revised Package_Restructuring_Separation_TAX_JuneFC2010 tf_BS_Separation_TaxResIndem_Q12412 tf" xfId="10839" xr:uid="{00000000-0005-0000-0000-0000562A0000}"/>
    <cellStyle name="_Revised MOR 2004_MOR - BDWY - 1+11_MOR - Gurgaon - 3+9(R)_MOR - Revised Package_Restructuring_Separation_TAX_JuneFC2010 tf_BS_Separation_TaxResIndem_Q12412 tf_Restructuring &amp; Separation" xfId="10840" xr:uid="{00000000-0005-0000-0000-0000572A0000}"/>
    <cellStyle name="_Revised MOR 2004_MOR - BDWY - 1+11_MOR - Gurgaon - 3+9(R)_MOR - Revised Package_Restructuring_Separation_TAX_JuneFC2010 tf_II.8. Sep&amp;Discrete" xfId="10841" xr:uid="{00000000-0005-0000-0000-0000582A0000}"/>
    <cellStyle name="_Revised MOR 2004_MOR - BDWY - 1+11_MOR - Gurgaon - 3+9(R)_MOR - Revised Package_Restructuring_Separation_TAX_JuneFC2010 tf_Restructuring &amp; Separation" xfId="10842" xr:uid="{00000000-0005-0000-0000-0000592A0000}"/>
    <cellStyle name="_Revised MOR 2004_MOR - BDWY - 1+11_MOR - Gurgaon - 3+9(R)_MOR - Revised Package_Revised MOR Package - Latest" xfId="10843" xr:uid="{00000000-0005-0000-0000-00005A2A0000}"/>
    <cellStyle name="_Revised MOR 2004_MOR - BDWY - 1+11_MOR - Gurgaon - 3+9(R)_MOR - Revised Package_Revised MOR Package - Latest_BS_Separation_TaxResIndem_Q12412 tf" xfId="10844" xr:uid="{00000000-0005-0000-0000-00005B2A0000}"/>
    <cellStyle name="_Revised MOR 2004_MOR - BDWY - 1+11_MOR - Gurgaon - 3+9(R)_MOR - Revised Package_Revised MOR Package - Latest_BS_Separation_TaxResIndem_Q12412 tf_Restructuring &amp; Separation" xfId="10845" xr:uid="{00000000-0005-0000-0000-00005C2A0000}"/>
    <cellStyle name="_Revised MOR 2004_MOR - BDWY - 1+11_MOR - Gurgaon - 3+9(R)_MOR - Revised Package_Revised MOR Package - Latest_By Country Detail 1Q10 041410pm FIN 18 revised per disc w Mary" xfId="10846" xr:uid="{00000000-0005-0000-0000-00005D2A0000}"/>
    <cellStyle name="_Revised MOR 2004_MOR - BDWY - 1+11_MOR - Gurgaon - 3+9(R)_MOR - Revised Package_Revised MOR Package - Latest_By Country Detail 1Q10 041410pm FIN 18 revised per disc w Mary_BS_Separation_TaxResIndem_Q12412 tf" xfId="10847" xr:uid="{00000000-0005-0000-0000-00005E2A0000}"/>
    <cellStyle name="_Revised MOR 2004_MOR - BDWY - 1+11_MOR - Gurgaon - 3+9(R)_MOR - Revised Package_Revised MOR Package - Latest_By Country Detail 1Q10 041410pm FIN 18 revised per disc w Mary_BS_Separation_TaxResIndem_Q12412 tf_Restructuring &amp; Separation" xfId="10848" xr:uid="{00000000-0005-0000-0000-00005F2A0000}"/>
    <cellStyle name="_Revised MOR 2004_MOR - BDWY - 1+11_MOR - Gurgaon - 3+9(R)_MOR - Revised Package_Revised MOR Package - Latest_By Country Detail 1Q10 041410pm FIN 18 revised per disc w Mary_II.8. Sep&amp;Discrete" xfId="10849" xr:uid="{00000000-0005-0000-0000-0000602A0000}"/>
    <cellStyle name="_Revised MOR 2004_MOR - BDWY - 1+11_MOR - Gurgaon - 3+9(R)_MOR - Revised Package_Revised MOR Package - Latest_By Country Detail 1Q10 041410pm FIN 18 revised per disc w Mary_Restructuring &amp; Separation" xfId="10850" xr:uid="{00000000-0005-0000-0000-0000612A0000}"/>
    <cellStyle name="_Revised MOR 2004_MOR - BDWY - 1+11_MOR - Gurgaon - 3+9(R)_MOR - Revised Package_Revised MOR Package - Latest_II.4. RawMaterials" xfId="10851" xr:uid="{00000000-0005-0000-0000-0000622A0000}"/>
    <cellStyle name="_Revised MOR 2004_MOR - BDWY - 1+11_MOR - Gurgaon - 3+9(R)_MOR - Revised Package_Revised MOR Package - Latest_II.4. RawMaterials 2" xfId="10852" xr:uid="{00000000-0005-0000-0000-0000632A0000}"/>
    <cellStyle name="_Revised MOR 2004_MOR - BDWY - 1+11_MOR - Gurgaon - 3+9(R)_MOR - Revised Package_Revised MOR Package - Latest_II.4. RawMaterials_BS retrieve" xfId="10853" xr:uid="{00000000-0005-0000-0000-0000642A0000}"/>
    <cellStyle name="_Revised MOR 2004_MOR - BDWY - 1+11_MOR - Gurgaon - 3+9(R)_MOR - Revised Package_Revised MOR Package - Latest_II.4. RawMaterials_Free CF" xfId="10854" xr:uid="{00000000-0005-0000-0000-0000652A0000}"/>
    <cellStyle name="_Revised MOR 2004_MOR - BDWY - 1+11_MOR - Gurgaon - 3+9(R)_MOR - Revised Package_Revised MOR Package - Latest_II.4. RawMaterials_P&amp;L Rec Qtr" xfId="10855" xr:uid="{00000000-0005-0000-0000-0000662A0000}"/>
    <cellStyle name="_Revised MOR 2004_MOR - BDWY - 1+11_MOR - Gurgaon - 3+9(R)_MOR - Revised Package_Revised MOR Package - Latest_II.4. RawMaterials_Sheet1" xfId="10856" xr:uid="{00000000-0005-0000-0000-0000672A0000}"/>
    <cellStyle name="_Revised MOR 2004_MOR - BDWY - 1+11_MOR - Gurgaon - 3+9(R)_MOR - Revised Package_Revised MOR Package - Latest_II.4. RawMaterials_Sheet2" xfId="10857" xr:uid="{00000000-0005-0000-0000-0000682A0000}"/>
    <cellStyle name="_Revised MOR 2004_MOR - BDWY - 1+11_MOR - Gurgaon - 3+9(R)_MOR - Revised Package_Revised MOR Package - Latest_II.4. RawMaterials_Sheet3" xfId="10858" xr:uid="{00000000-0005-0000-0000-0000692A0000}"/>
    <cellStyle name="_Revised MOR 2004_MOR - BDWY - 1+11_MOR - Gurgaon - 3+9(R)_MOR - Revised Package_Revised MOR Package - Latest_II.4. RawMaterials_Sheet4" xfId="10859" xr:uid="{00000000-0005-0000-0000-00006A2A0000}"/>
    <cellStyle name="_Revised MOR 2004_MOR - BDWY - 1+11_MOR - Gurgaon - 3+9(R)_MOR - Revised Package_Revised MOR Package - Latest_II.5. RawMaterials" xfId="10860" xr:uid="{00000000-0005-0000-0000-00006B2A0000}"/>
    <cellStyle name="_Revised MOR 2004_MOR - BDWY - 1+11_MOR - Gurgaon - 3+9(R)_MOR - Revised Package_Revised MOR Package - Latest_II.5. RawMaterials 2" xfId="10861" xr:uid="{00000000-0005-0000-0000-00006C2A0000}"/>
    <cellStyle name="_Revised MOR 2004_MOR - BDWY - 1+11_MOR - Gurgaon - 3+9(R)_MOR - Revised Package_Revised MOR Package - Latest_II.5. RawMaterials_BS retrieve" xfId="10862" xr:uid="{00000000-0005-0000-0000-00006D2A0000}"/>
    <cellStyle name="_Revised MOR 2004_MOR - BDWY - 1+11_MOR - Gurgaon - 3+9(R)_MOR - Revised Package_Revised MOR Package - Latest_II.5. RawMaterials_Free CF" xfId="10863" xr:uid="{00000000-0005-0000-0000-00006E2A0000}"/>
    <cellStyle name="_Revised MOR 2004_MOR - BDWY - 1+11_MOR - Gurgaon - 3+9(R)_MOR - Revised Package_Revised MOR Package - Latest_II.5. RawMaterials_P&amp;L Rec Qtr" xfId="10864" xr:uid="{00000000-0005-0000-0000-00006F2A0000}"/>
    <cellStyle name="_Revised MOR 2004_MOR - BDWY - 1+11_MOR - Gurgaon - 3+9(R)_MOR - Revised Package_Revised MOR Package - Latest_II.5. RawMaterials_Sheet1" xfId="10865" xr:uid="{00000000-0005-0000-0000-0000702A0000}"/>
    <cellStyle name="_Revised MOR 2004_MOR - BDWY - 1+11_MOR - Gurgaon - 3+9(R)_MOR - Revised Package_Revised MOR Package - Latest_II.5. RawMaterials_Sheet2" xfId="10866" xr:uid="{00000000-0005-0000-0000-0000712A0000}"/>
    <cellStyle name="_Revised MOR 2004_MOR - BDWY - 1+11_MOR - Gurgaon - 3+9(R)_MOR - Revised Package_Revised MOR Package - Latest_II.5. RawMaterials_Sheet3" xfId="10867" xr:uid="{00000000-0005-0000-0000-0000722A0000}"/>
    <cellStyle name="_Revised MOR 2004_MOR - BDWY - 1+11_MOR - Gurgaon - 3+9(R)_MOR - Revised Package_Revised MOR Package - Latest_II.5. RawMaterials_Sheet4" xfId="10868" xr:uid="{00000000-0005-0000-0000-0000732A0000}"/>
    <cellStyle name="_Revised MOR 2004_MOR - BDWY - 1+11_MOR - Gurgaon - 3+9(R)_MOR - Revised Package_Revised MOR Package - Latest_II.5. RM Volume Sensitivities" xfId="10869" xr:uid="{00000000-0005-0000-0000-0000742A0000}"/>
    <cellStyle name="_Revised MOR 2004_MOR - BDWY - 1+11_MOR - Gurgaon - 3+9(R)_MOR - Revised Package_Revised MOR Package - Latest_II.5. RM Volume Sensitivities 2" xfId="10870" xr:uid="{00000000-0005-0000-0000-0000752A0000}"/>
    <cellStyle name="_Revised MOR 2004_MOR - BDWY - 1+11_MOR - Gurgaon - 3+9(R)_MOR - Revised Package_Revised MOR Package - Latest_II.5. RM Volume Sensitivities_BS retrieve" xfId="10871" xr:uid="{00000000-0005-0000-0000-0000762A0000}"/>
    <cellStyle name="_Revised MOR 2004_MOR - BDWY - 1+11_MOR - Gurgaon - 3+9(R)_MOR - Revised Package_Revised MOR Package - Latest_II.5. RM Volume Sensitivities_Free CF" xfId="10872" xr:uid="{00000000-0005-0000-0000-0000772A0000}"/>
    <cellStyle name="_Revised MOR 2004_MOR - BDWY - 1+11_MOR - Gurgaon - 3+9(R)_MOR - Revised Package_Revised MOR Package - Latest_II.5. RM Volume Sensitivities_P&amp;L Rec Qtr" xfId="10873" xr:uid="{00000000-0005-0000-0000-0000782A0000}"/>
    <cellStyle name="_Revised MOR 2004_MOR - BDWY - 1+11_MOR - Gurgaon - 3+9(R)_MOR - Revised Package_Revised MOR Package - Latest_II.5. RM Volume Sensitivities_Sheet1" xfId="10874" xr:uid="{00000000-0005-0000-0000-0000792A0000}"/>
    <cellStyle name="_Revised MOR 2004_MOR - BDWY - 1+11_MOR - Gurgaon - 3+9(R)_MOR - Revised Package_Revised MOR Package - Latest_II.5. RM Volume Sensitivities_Sheet2" xfId="10875" xr:uid="{00000000-0005-0000-0000-00007A2A0000}"/>
    <cellStyle name="_Revised MOR 2004_MOR - BDWY - 1+11_MOR - Gurgaon - 3+9(R)_MOR - Revised Package_Revised MOR Package - Latest_II.5. RM Volume Sensitivities_Sheet3" xfId="10876" xr:uid="{00000000-0005-0000-0000-00007B2A0000}"/>
    <cellStyle name="_Revised MOR 2004_MOR - BDWY - 1+11_MOR - Gurgaon - 3+9(R)_MOR - Revised Package_Revised MOR Package - Latest_II.5. RM Volume Sensitivities_Sheet4" xfId="10877" xr:uid="{00000000-0005-0000-0000-00007C2A0000}"/>
    <cellStyle name="_Revised MOR 2004_MOR - BDWY - 1+11_MOR - Gurgaon - 3+9(R)_MOR - Revised Package_Revised MOR Package - Latest_II.8. Sep&amp;Discrete" xfId="10878" xr:uid="{00000000-0005-0000-0000-00007D2A0000}"/>
    <cellStyle name="_Revised MOR 2004_MOR - BDWY - 1+11_MOR - Gurgaon - 3+9(R)_MOR - Revised Package_Revised MOR Package - Latest_Restructuring &amp; Separation" xfId="10879" xr:uid="{00000000-0005-0000-0000-00007E2A0000}"/>
    <cellStyle name="_Revised MOR 2004_MOR - BDWY - 1+11_MOR - Gurgaon - 3+9(R)_MOR - Revised Package_Revised MOR Package - Latest_Restructuring_Separation_TAX_JuneFC2010 tf" xfId="10880" xr:uid="{00000000-0005-0000-0000-00007F2A0000}"/>
    <cellStyle name="_Revised MOR 2004_MOR - BDWY - 1+11_MOR - Gurgaon - 3+9(R)_MOR - Revised Package_Revised MOR Package - Latest_Restructuring_Separation_TAX_JuneFC2010 tf_BS_Separation_TaxResIndem_Q12412 tf" xfId="10881" xr:uid="{00000000-0005-0000-0000-0000802A0000}"/>
    <cellStyle name="_Revised MOR 2004_MOR - BDWY - 1+11_MOR - Gurgaon - 3+9(R)_MOR - Revised Package_Revised MOR Package - Latest_Restructuring_Separation_TAX_JuneFC2010 tf_BS_Separation_TaxResIndem_Q12412 tf_Restructuring &amp; Separation" xfId="10882" xr:uid="{00000000-0005-0000-0000-0000812A0000}"/>
    <cellStyle name="_Revised MOR 2004_MOR - BDWY - 1+11_MOR - Gurgaon - 3+9(R)_MOR - Revised Package_Revised MOR Package - Latest_Restructuring_Separation_TAX_JuneFC2010 tf_II.8. Sep&amp;Discrete" xfId="10883" xr:uid="{00000000-0005-0000-0000-0000822A0000}"/>
    <cellStyle name="_Revised MOR 2004_MOR - BDWY - 1+11_MOR - Gurgaon - 3+9(R)_MOR - Revised Package_Revised MOR Package - Latest_Restructuring_Separation_TAX_JuneFC2010 tf_Restructuring &amp; Separation" xfId="10884" xr:uid="{00000000-0005-0000-0000-0000832A0000}"/>
    <cellStyle name="_Revised MOR 2004_MOR - BDWY - 1+11_MOR - Gurgaon - 3+9(R)_Restructuring &amp; Separation" xfId="10885" xr:uid="{00000000-0005-0000-0000-0000842A0000}"/>
    <cellStyle name="_Revised MOR 2004_MOR - BDWY - 1+11_MOR - Gurgaon - 3+9(R)_Restructuring_Separation_TAX_JuneFC2010 tf" xfId="10886" xr:uid="{00000000-0005-0000-0000-0000852A0000}"/>
    <cellStyle name="_Revised MOR 2004_MOR - BDWY - 1+11_MOR - Gurgaon - 3+9(R)_Restructuring_Separation_TAX_JuneFC2010 tf_BS_Separation_TaxResIndem_Q12412 tf" xfId="10887" xr:uid="{00000000-0005-0000-0000-0000862A0000}"/>
    <cellStyle name="_Revised MOR 2004_MOR - BDWY - 1+11_MOR - Gurgaon - 3+9(R)_Restructuring_Separation_TAX_JuneFC2010 tf_BS_Separation_TaxResIndem_Q12412 tf_Restructuring &amp; Separation" xfId="10888" xr:uid="{00000000-0005-0000-0000-0000872A0000}"/>
    <cellStyle name="_Revised MOR 2004_MOR - BDWY - 1+11_MOR - Gurgaon - 3+9(R)_Restructuring_Separation_TAX_JuneFC2010 tf_II.8. Sep&amp;Discrete" xfId="10889" xr:uid="{00000000-0005-0000-0000-0000882A0000}"/>
    <cellStyle name="_Revised MOR 2004_MOR - BDWY - 1+11_MOR - Gurgaon - 3+9(R)_Restructuring_Separation_TAX_JuneFC2010 tf_Restructuring &amp; Separation" xfId="10890" xr:uid="{00000000-0005-0000-0000-0000892A0000}"/>
    <cellStyle name="_Revised MOR 2004_MOR - BDWY - 1+11_MOR - Gurgaon - 3+9(R)_Revised MOR Package" xfId="10891" xr:uid="{00000000-0005-0000-0000-00008A2A0000}"/>
    <cellStyle name="_Revised MOR 2004_MOR - BDWY - 1+11_MOR - Gurgaon - 3+9(R)_Revised MOR Package_~0039877" xfId="10892" xr:uid="{00000000-0005-0000-0000-00008B2A0000}"/>
    <cellStyle name="_Revised MOR 2004_MOR - BDWY - 1+11_MOR - Gurgaon - 3+9(R)_Revised MOR Package_~0039877_BS_Separation_TaxResIndem_Q12412 tf" xfId="10893" xr:uid="{00000000-0005-0000-0000-00008C2A0000}"/>
    <cellStyle name="_Revised MOR 2004_MOR - BDWY - 1+11_MOR - Gurgaon - 3+9(R)_Revised MOR Package_~0039877_BS_Separation_TaxResIndem_Q12412 tf_Restructuring &amp; Separation" xfId="10894" xr:uid="{00000000-0005-0000-0000-00008D2A0000}"/>
    <cellStyle name="_Revised MOR 2004_MOR - BDWY - 1+11_MOR - Gurgaon - 3+9(R)_Revised MOR Package_~0039877_By Country Detail 1Q10 041410pm FIN 18 revised per disc w Mary" xfId="10895" xr:uid="{00000000-0005-0000-0000-00008E2A0000}"/>
    <cellStyle name="_Revised MOR 2004_MOR - BDWY - 1+11_MOR - Gurgaon - 3+9(R)_Revised MOR Package_~0039877_By Country Detail 1Q10 041410pm FIN 18 revised per disc w Mary_BS_Separation_TaxResIndem_Q12412 tf" xfId="10896" xr:uid="{00000000-0005-0000-0000-00008F2A0000}"/>
    <cellStyle name="_Revised MOR 2004_MOR - BDWY - 1+11_MOR - Gurgaon - 3+9(R)_Revised MOR Package_~0039877_By Country Detail 1Q10 041410pm FIN 18 revised per disc w Mary_BS_Separation_TaxResIndem_Q12412 tf_Restructuring &amp; Separation" xfId="10897" xr:uid="{00000000-0005-0000-0000-0000902A0000}"/>
    <cellStyle name="_Revised MOR 2004_MOR - BDWY - 1+11_MOR - Gurgaon - 3+9(R)_Revised MOR Package_~0039877_By Country Detail 1Q10 041410pm FIN 18 revised per disc w Mary_II.8. Sep&amp;Discrete" xfId="10898" xr:uid="{00000000-0005-0000-0000-0000912A0000}"/>
    <cellStyle name="_Revised MOR 2004_MOR - BDWY - 1+11_MOR - Gurgaon - 3+9(R)_Revised MOR Package_~0039877_By Country Detail 1Q10 041410pm FIN 18 revised per disc w Mary_Restructuring &amp; Separation" xfId="10899" xr:uid="{00000000-0005-0000-0000-0000922A0000}"/>
    <cellStyle name="_Revised MOR 2004_MOR - BDWY - 1+11_MOR - Gurgaon - 3+9(R)_Revised MOR Package_~0039877_II.4. RawMaterials" xfId="10900" xr:uid="{00000000-0005-0000-0000-0000932A0000}"/>
    <cellStyle name="_Revised MOR 2004_MOR - BDWY - 1+11_MOR - Gurgaon - 3+9(R)_Revised MOR Package_~0039877_II.4. RawMaterials 2" xfId="10901" xr:uid="{00000000-0005-0000-0000-0000942A0000}"/>
    <cellStyle name="_Revised MOR 2004_MOR - BDWY - 1+11_MOR - Gurgaon - 3+9(R)_Revised MOR Package_~0039877_II.4. RawMaterials_BS retrieve" xfId="10902" xr:uid="{00000000-0005-0000-0000-0000952A0000}"/>
    <cellStyle name="_Revised MOR 2004_MOR - BDWY - 1+11_MOR - Gurgaon - 3+9(R)_Revised MOR Package_~0039877_II.4. RawMaterials_Free CF" xfId="10903" xr:uid="{00000000-0005-0000-0000-0000962A0000}"/>
    <cellStyle name="_Revised MOR 2004_MOR - BDWY - 1+11_MOR - Gurgaon - 3+9(R)_Revised MOR Package_~0039877_II.4. RawMaterials_P&amp;L Rec Qtr" xfId="10904" xr:uid="{00000000-0005-0000-0000-0000972A0000}"/>
    <cellStyle name="_Revised MOR 2004_MOR - BDWY - 1+11_MOR - Gurgaon - 3+9(R)_Revised MOR Package_~0039877_II.4. RawMaterials_Sheet1" xfId="10905" xr:uid="{00000000-0005-0000-0000-0000982A0000}"/>
    <cellStyle name="_Revised MOR 2004_MOR - BDWY - 1+11_MOR - Gurgaon - 3+9(R)_Revised MOR Package_~0039877_II.4. RawMaterials_Sheet2" xfId="10906" xr:uid="{00000000-0005-0000-0000-0000992A0000}"/>
    <cellStyle name="_Revised MOR 2004_MOR - BDWY - 1+11_MOR - Gurgaon - 3+9(R)_Revised MOR Package_~0039877_II.4. RawMaterials_Sheet3" xfId="10907" xr:uid="{00000000-0005-0000-0000-00009A2A0000}"/>
    <cellStyle name="_Revised MOR 2004_MOR - BDWY - 1+11_MOR - Gurgaon - 3+9(R)_Revised MOR Package_~0039877_II.4. RawMaterials_Sheet4" xfId="10908" xr:uid="{00000000-0005-0000-0000-00009B2A0000}"/>
    <cellStyle name="_Revised MOR 2004_MOR - BDWY - 1+11_MOR - Gurgaon - 3+9(R)_Revised MOR Package_~0039877_II.5. RawMaterials" xfId="10909" xr:uid="{00000000-0005-0000-0000-00009C2A0000}"/>
    <cellStyle name="_Revised MOR 2004_MOR - BDWY - 1+11_MOR - Gurgaon - 3+9(R)_Revised MOR Package_~0039877_II.5. RawMaterials 2" xfId="10910" xr:uid="{00000000-0005-0000-0000-00009D2A0000}"/>
    <cellStyle name="_Revised MOR 2004_MOR - BDWY - 1+11_MOR - Gurgaon - 3+9(R)_Revised MOR Package_~0039877_II.5. RawMaterials_BS retrieve" xfId="10911" xr:uid="{00000000-0005-0000-0000-00009E2A0000}"/>
    <cellStyle name="_Revised MOR 2004_MOR - BDWY - 1+11_MOR - Gurgaon - 3+9(R)_Revised MOR Package_~0039877_II.5. RawMaterials_Free CF" xfId="10912" xr:uid="{00000000-0005-0000-0000-00009F2A0000}"/>
    <cellStyle name="_Revised MOR 2004_MOR - BDWY - 1+11_MOR - Gurgaon - 3+9(R)_Revised MOR Package_~0039877_II.5. RawMaterials_P&amp;L Rec Qtr" xfId="10913" xr:uid="{00000000-0005-0000-0000-0000A02A0000}"/>
    <cellStyle name="_Revised MOR 2004_MOR - BDWY - 1+11_MOR - Gurgaon - 3+9(R)_Revised MOR Package_~0039877_II.5. RawMaterials_Sheet1" xfId="10914" xr:uid="{00000000-0005-0000-0000-0000A12A0000}"/>
    <cellStyle name="_Revised MOR 2004_MOR - BDWY - 1+11_MOR - Gurgaon - 3+9(R)_Revised MOR Package_~0039877_II.5. RawMaterials_Sheet2" xfId="10915" xr:uid="{00000000-0005-0000-0000-0000A22A0000}"/>
    <cellStyle name="_Revised MOR 2004_MOR - BDWY - 1+11_MOR - Gurgaon - 3+9(R)_Revised MOR Package_~0039877_II.5. RawMaterials_Sheet3" xfId="10916" xr:uid="{00000000-0005-0000-0000-0000A32A0000}"/>
    <cellStyle name="_Revised MOR 2004_MOR - BDWY - 1+11_MOR - Gurgaon - 3+9(R)_Revised MOR Package_~0039877_II.5. RawMaterials_Sheet4" xfId="10917" xr:uid="{00000000-0005-0000-0000-0000A42A0000}"/>
    <cellStyle name="_Revised MOR 2004_MOR - BDWY - 1+11_MOR - Gurgaon - 3+9(R)_Revised MOR Package_~0039877_II.5. RM Volume Sensitivities" xfId="10918" xr:uid="{00000000-0005-0000-0000-0000A52A0000}"/>
    <cellStyle name="_Revised MOR 2004_MOR - BDWY - 1+11_MOR - Gurgaon - 3+9(R)_Revised MOR Package_~0039877_II.5. RM Volume Sensitivities 2" xfId="10919" xr:uid="{00000000-0005-0000-0000-0000A62A0000}"/>
    <cellStyle name="_Revised MOR 2004_MOR - BDWY - 1+11_MOR - Gurgaon - 3+9(R)_Revised MOR Package_~0039877_II.5. RM Volume Sensitivities_BS retrieve" xfId="10920" xr:uid="{00000000-0005-0000-0000-0000A72A0000}"/>
    <cellStyle name="_Revised MOR 2004_MOR - BDWY - 1+11_MOR - Gurgaon - 3+9(R)_Revised MOR Package_~0039877_II.5. RM Volume Sensitivities_Free CF" xfId="10921" xr:uid="{00000000-0005-0000-0000-0000A82A0000}"/>
    <cellStyle name="_Revised MOR 2004_MOR - BDWY - 1+11_MOR - Gurgaon - 3+9(R)_Revised MOR Package_~0039877_II.5. RM Volume Sensitivities_P&amp;L Rec Qtr" xfId="10922" xr:uid="{00000000-0005-0000-0000-0000A92A0000}"/>
    <cellStyle name="_Revised MOR 2004_MOR - BDWY - 1+11_MOR - Gurgaon - 3+9(R)_Revised MOR Package_~0039877_II.5. RM Volume Sensitivities_Sheet1" xfId="10923" xr:uid="{00000000-0005-0000-0000-0000AA2A0000}"/>
    <cellStyle name="_Revised MOR 2004_MOR - BDWY - 1+11_MOR - Gurgaon - 3+9(R)_Revised MOR Package_~0039877_II.5. RM Volume Sensitivities_Sheet2" xfId="10924" xr:uid="{00000000-0005-0000-0000-0000AB2A0000}"/>
    <cellStyle name="_Revised MOR 2004_MOR - BDWY - 1+11_MOR - Gurgaon - 3+9(R)_Revised MOR Package_~0039877_II.5. RM Volume Sensitivities_Sheet3" xfId="10925" xr:uid="{00000000-0005-0000-0000-0000AC2A0000}"/>
    <cellStyle name="_Revised MOR 2004_MOR - BDWY - 1+11_MOR - Gurgaon - 3+9(R)_Revised MOR Package_~0039877_II.5. RM Volume Sensitivities_Sheet4" xfId="10926" xr:uid="{00000000-0005-0000-0000-0000AD2A0000}"/>
    <cellStyle name="_Revised MOR 2004_MOR - BDWY - 1+11_MOR - Gurgaon - 3+9(R)_Revised MOR Package_~0039877_II.8. Sep&amp;Discrete" xfId="10927" xr:uid="{00000000-0005-0000-0000-0000AE2A0000}"/>
    <cellStyle name="_Revised MOR 2004_MOR - BDWY - 1+11_MOR - Gurgaon - 3+9(R)_Revised MOR Package_~0039877_Restructuring &amp; Separation" xfId="10928" xr:uid="{00000000-0005-0000-0000-0000AF2A0000}"/>
    <cellStyle name="_Revised MOR 2004_MOR - BDWY - 1+11_MOR - Gurgaon - 3+9(R)_Revised MOR Package_~0039877_Restructuring_Separation_TAX_JuneFC2010 tf" xfId="10929" xr:uid="{00000000-0005-0000-0000-0000B02A0000}"/>
    <cellStyle name="_Revised MOR 2004_MOR - BDWY - 1+11_MOR - Gurgaon - 3+9(R)_Revised MOR Package_~0039877_Restructuring_Separation_TAX_JuneFC2010 tf_BS_Separation_TaxResIndem_Q12412 tf" xfId="10930" xr:uid="{00000000-0005-0000-0000-0000B12A0000}"/>
    <cellStyle name="_Revised MOR 2004_MOR - BDWY - 1+11_MOR - Gurgaon - 3+9(R)_Revised MOR Package_~0039877_Restructuring_Separation_TAX_JuneFC2010 tf_BS_Separation_TaxResIndem_Q12412 tf_Restructuring &amp; Separation" xfId="10931" xr:uid="{00000000-0005-0000-0000-0000B22A0000}"/>
    <cellStyle name="_Revised MOR 2004_MOR - BDWY - 1+11_MOR - Gurgaon - 3+9(R)_Revised MOR Package_~0039877_Restructuring_Separation_TAX_JuneFC2010 tf_II.8. Sep&amp;Discrete" xfId="10932" xr:uid="{00000000-0005-0000-0000-0000B32A0000}"/>
    <cellStyle name="_Revised MOR 2004_MOR - BDWY - 1+11_MOR - Gurgaon - 3+9(R)_Revised MOR Package_~0039877_Restructuring_Separation_TAX_JuneFC2010 tf_Restructuring &amp; Separation" xfId="10933" xr:uid="{00000000-0005-0000-0000-0000B42A0000}"/>
    <cellStyle name="_Revised MOR 2004_MOR - BDWY - 1+11_MOR - Gurgaon - 3+9(R)_Revised MOR Package_BS_Separation_TaxResIndem_Q12412 tf" xfId="10934" xr:uid="{00000000-0005-0000-0000-0000B52A0000}"/>
    <cellStyle name="_Revised MOR 2004_MOR - BDWY - 1+11_MOR - Gurgaon - 3+9(R)_Revised MOR Package_BS_Separation_TaxResIndem_Q12412 tf_Restructuring &amp; Separation" xfId="10935" xr:uid="{00000000-0005-0000-0000-0000B62A0000}"/>
    <cellStyle name="_Revised MOR 2004_MOR - BDWY - 1+11_MOR - Gurgaon - 3+9(R)_Revised MOR Package_By Country Detail 1Q10 041410pm FIN 18 revised per disc w Mary" xfId="10936" xr:uid="{00000000-0005-0000-0000-0000B72A0000}"/>
    <cellStyle name="_Revised MOR 2004_MOR - BDWY - 1+11_MOR - Gurgaon - 3+9(R)_Revised MOR Package_By Country Detail 1Q10 041410pm FIN 18 revised per disc w Mary_BS_Separation_TaxResIndem_Q12412 tf" xfId="10937" xr:uid="{00000000-0005-0000-0000-0000B82A0000}"/>
    <cellStyle name="_Revised MOR 2004_MOR - BDWY - 1+11_MOR - Gurgaon - 3+9(R)_Revised MOR Package_By Country Detail 1Q10 041410pm FIN 18 revised per disc w Mary_BS_Separation_TaxResIndem_Q12412 tf_Restructuring &amp; Separation" xfId="10938" xr:uid="{00000000-0005-0000-0000-0000B92A0000}"/>
    <cellStyle name="_Revised MOR 2004_MOR - BDWY - 1+11_MOR - Gurgaon - 3+9(R)_Revised MOR Package_By Country Detail 1Q10 041410pm FIN 18 revised per disc w Mary_II.8. Sep&amp;Discrete" xfId="10939" xr:uid="{00000000-0005-0000-0000-0000BA2A0000}"/>
    <cellStyle name="_Revised MOR 2004_MOR - BDWY - 1+11_MOR - Gurgaon - 3+9(R)_Revised MOR Package_By Country Detail 1Q10 041410pm FIN 18 revised per disc w Mary_Restructuring &amp; Separation" xfId="10940" xr:uid="{00000000-0005-0000-0000-0000BB2A0000}"/>
    <cellStyle name="_Revised MOR 2004_MOR - BDWY - 1+11_MOR - Gurgaon - 3+9(R)_Revised MOR Package_II.4. RawMaterials" xfId="10941" xr:uid="{00000000-0005-0000-0000-0000BC2A0000}"/>
    <cellStyle name="_Revised MOR 2004_MOR - BDWY - 1+11_MOR - Gurgaon - 3+9(R)_Revised MOR Package_II.4. RawMaterials 2" xfId="10942" xr:uid="{00000000-0005-0000-0000-0000BD2A0000}"/>
    <cellStyle name="_Revised MOR 2004_MOR - BDWY - 1+11_MOR - Gurgaon - 3+9(R)_Revised MOR Package_II.4. RawMaterials_BS retrieve" xfId="10943" xr:uid="{00000000-0005-0000-0000-0000BE2A0000}"/>
    <cellStyle name="_Revised MOR 2004_MOR - BDWY - 1+11_MOR - Gurgaon - 3+9(R)_Revised MOR Package_II.4. RawMaterials_Free CF" xfId="10944" xr:uid="{00000000-0005-0000-0000-0000BF2A0000}"/>
    <cellStyle name="_Revised MOR 2004_MOR - BDWY - 1+11_MOR - Gurgaon - 3+9(R)_Revised MOR Package_II.4. RawMaterials_P&amp;L Rec Qtr" xfId="10945" xr:uid="{00000000-0005-0000-0000-0000C02A0000}"/>
    <cellStyle name="_Revised MOR 2004_MOR - BDWY - 1+11_MOR - Gurgaon - 3+9(R)_Revised MOR Package_II.4. RawMaterials_Sheet1" xfId="10946" xr:uid="{00000000-0005-0000-0000-0000C12A0000}"/>
    <cellStyle name="_Revised MOR 2004_MOR - BDWY - 1+11_MOR - Gurgaon - 3+9(R)_Revised MOR Package_II.4. RawMaterials_Sheet2" xfId="10947" xr:uid="{00000000-0005-0000-0000-0000C22A0000}"/>
    <cellStyle name="_Revised MOR 2004_MOR - BDWY - 1+11_MOR - Gurgaon - 3+9(R)_Revised MOR Package_II.4. RawMaterials_Sheet3" xfId="10948" xr:uid="{00000000-0005-0000-0000-0000C32A0000}"/>
    <cellStyle name="_Revised MOR 2004_MOR - BDWY - 1+11_MOR - Gurgaon - 3+9(R)_Revised MOR Package_II.4. RawMaterials_Sheet4" xfId="10949" xr:uid="{00000000-0005-0000-0000-0000C42A0000}"/>
    <cellStyle name="_Revised MOR 2004_MOR - BDWY - 1+11_MOR - Gurgaon - 3+9(R)_Revised MOR Package_II.5. RawMaterials" xfId="10950" xr:uid="{00000000-0005-0000-0000-0000C52A0000}"/>
    <cellStyle name="_Revised MOR 2004_MOR - BDWY - 1+11_MOR - Gurgaon - 3+9(R)_Revised MOR Package_II.5. RawMaterials 2" xfId="10951" xr:uid="{00000000-0005-0000-0000-0000C62A0000}"/>
    <cellStyle name="_Revised MOR 2004_MOR - BDWY - 1+11_MOR - Gurgaon - 3+9(R)_Revised MOR Package_II.5. RawMaterials_BS retrieve" xfId="10952" xr:uid="{00000000-0005-0000-0000-0000C72A0000}"/>
    <cellStyle name="_Revised MOR 2004_MOR - BDWY - 1+11_MOR - Gurgaon - 3+9(R)_Revised MOR Package_II.5. RawMaterials_Free CF" xfId="10953" xr:uid="{00000000-0005-0000-0000-0000C82A0000}"/>
    <cellStyle name="_Revised MOR 2004_MOR - BDWY - 1+11_MOR - Gurgaon - 3+9(R)_Revised MOR Package_II.5. RawMaterials_P&amp;L Rec Qtr" xfId="10954" xr:uid="{00000000-0005-0000-0000-0000C92A0000}"/>
    <cellStyle name="_Revised MOR 2004_MOR - BDWY - 1+11_MOR - Gurgaon - 3+9(R)_Revised MOR Package_II.5. RawMaterials_Sheet1" xfId="10955" xr:uid="{00000000-0005-0000-0000-0000CA2A0000}"/>
    <cellStyle name="_Revised MOR 2004_MOR - BDWY - 1+11_MOR - Gurgaon - 3+9(R)_Revised MOR Package_II.5. RawMaterials_Sheet2" xfId="10956" xr:uid="{00000000-0005-0000-0000-0000CB2A0000}"/>
    <cellStyle name="_Revised MOR 2004_MOR - BDWY - 1+11_MOR - Gurgaon - 3+9(R)_Revised MOR Package_II.5. RawMaterials_Sheet3" xfId="10957" xr:uid="{00000000-0005-0000-0000-0000CC2A0000}"/>
    <cellStyle name="_Revised MOR 2004_MOR - BDWY - 1+11_MOR - Gurgaon - 3+9(R)_Revised MOR Package_II.5. RawMaterials_Sheet4" xfId="10958" xr:uid="{00000000-0005-0000-0000-0000CD2A0000}"/>
    <cellStyle name="_Revised MOR 2004_MOR - BDWY - 1+11_MOR - Gurgaon - 3+9(R)_Revised MOR Package_II.5. RM Volume Sensitivities" xfId="10959" xr:uid="{00000000-0005-0000-0000-0000CE2A0000}"/>
    <cellStyle name="_Revised MOR 2004_MOR - BDWY - 1+11_MOR - Gurgaon - 3+9(R)_Revised MOR Package_II.5. RM Volume Sensitivities 2" xfId="10960" xr:uid="{00000000-0005-0000-0000-0000CF2A0000}"/>
    <cellStyle name="_Revised MOR 2004_MOR - BDWY - 1+11_MOR - Gurgaon - 3+9(R)_Revised MOR Package_II.5. RM Volume Sensitivities_BS retrieve" xfId="10961" xr:uid="{00000000-0005-0000-0000-0000D02A0000}"/>
    <cellStyle name="_Revised MOR 2004_MOR - BDWY - 1+11_MOR - Gurgaon - 3+9(R)_Revised MOR Package_II.5. RM Volume Sensitivities_Free CF" xfId="10962" xr:uid="{00000000-0005-0000-0000-0000D12A0000}"/>
    <cellStyle name="_Revised MOR 2004_MOR - BDWY - 1+11_MOR - Gurgaon - 3+9(R)_Revised MOR Package_II.5. RM Volume Sensitivities_P&amp;L Rec Qtr" xfId="10963" xr:uid="{00000000-0005-0000-0000-0000D22A0000}"/>
    <cellStyle name="_Revised MOR 2004_MOR - BDWY - 1+11_MOR - Gurgaon - 3+9(R)_Revised MOR Package_II.5. RM Volume Sensitivities_Sheet1" xfId="10964" xr:uid="{00000000-0005-0000-0000-0000D32A0000}"/>
    <cellStyle name="_Revised MOR 2004_MOR - BDWY - 1+11_MOR - Gurgaon - 3+9(R)_Revised MOR Package_II.5. RM Volume Sensitivities_Sheet2" xfId="10965" xr:uid="{00000000-0005-0000-0000-0000D42A0000}"/>
    <cellStyle name="_Revised MOR 2004_MOR - BDWY - 1+11_MOR - Gurgaon - 3+9(R)_Revised MOR Package_II.5. RM Volume Sensitivities_Sheet3" xfId="10966" xr:uid="{00000000-0005-0000-0000-0000D52A0000}"/>
    <cellStyle name="_Revised MOR 2004_MOR - BDWY - 1+11_MOR - Gurgaon - 3+9(R)_Revised MOR Package_II.5. RM Volume Sensitivities_Sheet4" xfId="10967" xr:uid="{00000000-0005-0000-0000-0000D62A0000}"/>
    <cellStyle name="_Revised MOR 2004_MOR - BDWY - 1+11_MOR - Gurgaon - 3+9(R)_Revised MOR Package_II.8. Sep&amp;Discrete" xfId="10968" xr:uid="{00000000-0005-0000-0000-0000D72A0000}"/>
    <cellStyle name="_Revised MOR 2004_MOR - BDWY - 1+11_MOR - Gurgaon - 3+9(R)_Revised MOR Package_Restructuring &amp; Separation" xfId="10969" xr:uid="{00000000-0005-0000-0000-0000D82A0000}"/>
    <cellStyle name="_Revised MOR 2004_MOR - BDWY - 1+11_MOR - Gurgaon - 3+9(R)_Revised MOR Package_Restructuring_Separation_TAX_JuneFC2010 tf" xfId="10970" xr:uid="{00000000-0005-0000-0000-0000D92A0000}"/>
    <cellStyle name="_Revised MOR 2004_MOR - BDWY - 1+11_MOR - Gurgaon - 3+9(R)_Revised MOR Package_Restructuring_Separation_TAX_JuneFC2010 tf_BS_Separation_TaxResIndem_Q12412 tf" xfId="10971" xr:uid="{00000000-0005-0000-0000-0000DA2A0000}"/>
    <cellStyle name="_Revised MOR 2004_MOR - BDWY - 1+11_MOR - Gurgaon - 3+9(R)_Revised MOR Package_Restructuring_Separation_TAX_JuneFC2010 tf_BS_Separation_TaxResIndem_Q12412 tf_Restructuring &amp; Separation" xfId="10972" xr:uid="{00000000-0005-0000-0000-0000DB2A0000}"/>
    <cellStyle name="_Revised MOR 2004_MOR - BDWY - 1+11_MOR - Gurgaon - 3+9(R)_Revised MOR Package_Restructuring_Separation_TAX_JuneFC2010 tf_II.8. Sep&amp;Discrete" xfId="10973" xr:uid="{00000000-0005-0000-0000-0000DC2A0000}"/>
    <cellStyle name="_Revised MOR 2004_MOR - BDWY - 1+11_MOR - Gurgaon - 3+9(R)_Revised MOR Package_Restructuring_Separation_TAX_JuneFC2010 tf_Restructuring &amp; Separation" xfId="10974" xr:uid="{00000000-0005-0000-0000-0000DD2A0000}"/>
    <cellStyle name="_Revised MOR 2004_MOR - BDWY - 1+11_MOR - Gurgaon - 3+9(R)_Revised MOR Package_Revised MOR Package - Latest" xfId="10975" xr:uid="{00000000-0005-0000-0000-0000DE2A0000}"/>
    <cellStyle name="_Revised MOR 2004_MOR - BDWY - 1+11_MOR - Gurgaon - 3+9(R)_Revised MOR Package_Revised MOR Package - Latest_BS_Separation_TaxResIndem_Q12412 tf" xfId="10976" xr:uid="{00000000-0005-0000-0000-0000DF2A0000}"/>
    <cellStyle name="_Revised MOR 2004_MOR - BDWY - 1+11_MOR - Gurgaon - 3+9(R)_Revised MOR Package_Revised MOR Package - Latest_BS_Separation_TaxResIndem_Q12412 tf_Restructuring &amp; Separation" xfId="10977" xr:uid="{00000000-0005-0000-0000-0000E02A0000}"/>
    <cellStyle name="_Revised MOR 2004_MOR - BDWY - 1+11_MOR - Gurgaon - 3+9(R)_Revised MOR Package_Revised MOR Package - Latest_By Country Detail 1Q10 041410pm FIN 18 revised per disc w Mary" xfId="10978" xr:uid="{00000000-0005-0000-0000-0000E12A0000}"/>
    <cellStyle name="_Revised MOR 2004_MOR - BDWY - 1+11_MOR - Gurgaon - 3+9(R)_Revised MOR Package_Revised MOR Package - Latest_By Country Detail 1Q10 041410pm FIN 18 revised per disc w Mary_BS_Separation_TaxResIndem_Q12412 tf" xfId="10979" xr:uid="{00000000-0005-0000-0000-0000E22A0000}"/>
    <cellStyle name="_Revised MOR 2004_MOR - BDWY - 1+11_MOR - Gurgaon - 3+9(R)_Revised MOR Package_Revised MOR Package - Latest_By Country Detail 1Q10 041410pm FIN 18 revised per disc w Mary_BS_Separation_TaxResIndem_Q12412 tf_Restructuring &amp; Separation" xfId="10980" xr:uid="{00000000-0005-0000-0000-0000E32A0000}"/>
    <cellStyle name="_Revised MOR 2004_MOR - BDWY - 1+11_MOR - Gurgaon - 3+9(R)_Revised MOR Package_Revised MOR Package - Latest_By Country Detail 1Q10 041410pm FIN 18 revised per disc w Mary_II.8. Sep&amp;Discrete" xfId="10981" xr:uid="{00000000-0005-0000-0000-0000E42A0000}"/>
    <cellStyle name="_Revised MOR 2004_MOR - BDWY - 1+11_MOR - Gurgaon - 3+9(R)_Revised MOR Package_Revised MOR Package - Latest_By Country Detail 1Q10 041410pm FIN 18 revised per disc w Mary_Restructuring &amp; Separation" xfId="10982" xr:uid="{00000000-0005-0000-0000-0000E52A0000}"/>
    <cellStyle name="_Revised MOR 2004_MOR - BDWY - 1+11_MOR - Gurgaon - 3+9(R)_Revised MOR Package_Revised MOR Package - Latest_II.4. RawMaterials" xfId="10983" xr:uid="{00000000-0005-0000-0000-0000E62A0000}"/>
    <cellStyle name="_Revised MOR 2004_MOR - BDWY - 1+11_MOR - Gurgaon - 3+9(R)_Revised MOR Package_Revised MOR Package - Latest_II.4. RawMaterials 2" xfId="10984" xr:uid="{00000000-0005-0000-0000-0000E72A0000}"/>
    <cellStyle name="_Revised MOR 2004_MOR - BDWY - 1+11_MOR - Gurgaon - 3+9(R)_Revised MOR Package_Revised MOR Package - Latest_II.4. RawMaterials_BS retrieve" xfId="10985" xr:uid="{00000000-0005-0000-0000-0000E82A0000}"/>
    <cellStyle name="_Revised MOR 2004_MOR - BDWY - 1+11_MOR - Gurgaon - 3+9(R)_Revised MOR Package_Revised MOR Package - Latest_II.4. RawMaterials_Free CF" xfId="10986" xr:uid="{00000000-0005-0000-0000-0000E92A0000}"/>
    <cellStyle name="_Revised MOR 2004_MOR - BDWY - 1+11_MOR - Gurgaon - 3+9(R)_Revised MOR Package_Revised MOR Package - Latest_II.4. RawMaterials_P&amp;L Rec Qtr" xfId="10987" xr:uid="{00000000-0005-0000-0000-0000EA2A0000}"/>
    <cellStyle name="_Revised MOR 2004_MOR - BDWY - 1+11_MOR - Gurgaon - 3+9(R)_Revised MOR Package_Revised MOR Package - Latest_II.4. RawMaterials_Sheet1" xfId="10988" xr:uid="{00000000-0005-0000-0000-0000EB2A0000}"/>
    <cellStyle name="_Revised MOR 2004_MOR - BDWY - 1+11_MOR - Gurgaon - 3+9(R)_Revised MOR Package_Revised MOR Package - Latest_II.4. RawMaterials_Sheet2" xfId="10989" xr:uid="{00000000-0005-0000-0000-0000EC2A0000}"/>
    <cellStyle name="_Revised MOR 2004_MOR - BDWY - 1+11_MOR - Gurgaon - 3+9(R)_Revised MOR Package_Revised MOR Package - Latest_II.4. RawMaterials_Sheet3" xfId="10990" xr:uid="{00000000-0005-0000-0000-0000ED2A0000}"/>
    <cellStyle name="_Revised MOR 2004_MOR - BDWY - 1+11_MOR - Gurgaon - 3+9(R)_Revised MOR Package_Revised MOR Package - Latest_II.4. RawMaterials_Sheet4" xfId="10991" xr:uid="{00000000-0005-0000-0000-0000EE2A0000}"/>
    <cellStyle name="_Revised MOR 2004_MOR - BDWY - 1+11_MOR - Gurgaon - 3+9(R)_Revised MOR Package_Revised MOR Package - Latest_II.5. RawMaterials" xfId="10992" xr:uid="{00000000-0005-0000-0000-0000EF2A0000}"/>
    <cellStyle name="_Revised MOR 2004_MOR - BDWY - 1+11_MOR - Gurgaon - 3+9(R)_Revised MOR Package_Revised MOR Package - Latest_II.5. RawMaterials 2" xfId="10993" xr:uid="{00000000-0005-0000-0000-0000F02A0000}"/>
    <cellStyle name="_Revised MOR 2004_MOR - BDWY - 1+11_MOR - Gurgaon - 3+9(R)_Revised MOR Package_Revised MOR Package - Latest_II.5. RawMaterials_BS retrieve" xfId="10994" xr:uid="{00000000-0005-0000-0000-0000F12A0000}"/>
    <cellStyle name="_Revised MOR 2004_MOR - BDWY - 1+11_MOR - Gurgaon - 3+9(R)_Revised MOR Package_Revised MOR Package - Latest_II.5. RawMaterials_Free CF" xfId="10995" xr:uid="{00000000-0005-0000-0000-0000F22A0000}"/>
    <cellStyle name="_Revised MOR 2004_MOR - BDWY - 1+11_MOR - Gurgaon - 3+9(R)_Revised MOR Package_Revised MOR Package - Latest_II.5. RawMaterials_P&amp;L Rec Qtr" xfId="10996" xr:uid="{00000000-0005-0000-0000-0000F32A0000}"/>
    <cellStyle name="_Revised MOR 2004_MOR - BDWY - 1+11_MOR - Gurgaon - 3+9(R)_Revised MOR Package_Revised MOR Package - Latest_II.5. RawMaterials_Sheet1" xfId="10997" xr:uid="{00000000-0005-0000-0000-0000F42A0000}"/>
    <cellStyle name="_Revised MOR 2004_MOR - BDWY - 1+11_MOR - Gurgaon - 3+9(R)_Revised MOR Package_Revised MOR Package - Latest_II.5. RawMaterials_Sheet2" xfId="10998" xr:uid="{00000000-0005-0000-0000-0000F52A0000}"/>
    <cellStyle name="_Revised MOR 2004_MOR - BDWY - 1+11_MOR - Gurgaon - 3+9(R)_Revised MOR Package_Revised MOR Package - Latest_II.5. RawMaterials_Sheet3" xfId="10999" xr:uid="{00000000-0005-0000-0000-0000F62A0000}"/>
    <cellStyle name="_Revised MOR 2004_MOR - BDWY - 1+11_MOR - Gurgaon - 3+9(R)_Revised MOR Package_Revised MOR Package - Latest_II.5. RawMaterials_Sheet4" xfId="11000" xr:uid="{00000000-0005-0000-0000-0000F72A0000}"/>
    <cellStyle name="_Revised MOR 2004_MOR - BDWY - 1+11_MOR - Gurgaon - 3+9(R)_Revised MOR Package_Revised MOR Package - Latest_II.5. RM Volume Sensitivities" xfId="11001" xr:uid="{00000000-0005-0000-0000-0000F82A0000}"/>
    <cellStyle name="_Revised MOR 2004_MOR - BDWY - 1+11_MOR - Gurgaon - 3+9(R)_Revised MOR Package_Revised MOR Package - Latest_II.5. RM Volume Sensitivities 2" xfId="11002" xr:uid="{00000000-0005-0000-0000-0000F92A0000}"/>
    <cellStyle name="_Revised MOR 2004_MOR - BDWY - 1+11_MOR - Gurgaon - 3+9(R)_Revised MOR Package_Revised MOR Package - Latest_II.5. RM Volume Sensitivities_BS retrieve" xfId="11003" xr:uid="{00000000-0005-0000-0000-0000FA2A0000}"/>
    <cellStyle name="_Revised MOR 2004_MOR - BDWY - 1+11_MOR - Gurgaon - 3+9(R)_Revised MOR Package_Revised MOR Package - Latest_II.5. RM Volume Sensitivities_Free CF" xfId="11004" xr:uid="{00000000-0005-0000-0000-0000FB2A0000}"/>
    <cellStyle name="_Revised MOR 2004_MOR - BDWY - 1+11_MOR - Gurgaon - 3+9(R)_Revised MOR Package_Revised MOR Package - Latest_II.5. RM Volume Sensitivities_P&amp;L Rec Qtr" xfId="11005" xr:uid="{00000000-0005-0000-0000-0000FC2A0000}"/>
    <cellStyle name="_Revised MOR 2004_MOR - BDWY - 1+11_MOR - Gurgaon - 3+9(R)_Revised MOR Package_Revised MOR Package - Latest_II.5. RM Volume Sensitivities_Sheet1" xfId="11006" xr:uid="{00000000-0005-0000-0000-0000FD2A0000}"/>
    <cellStyle name="_Revised MOR 2004_MOR - BDWY - 1+11_MOR - Gurgaon - 3+9(R)_Revised MOR Package_Revised MOR Package - Latest_II.5. RM Volume Sensitivities_Sheet2" xfId="11007" xr:uid="{00000000-0005-0000-0000-0000FE2A0000}"/>
    <cellStyle name="_Revised MOR 2004_MOR - BDWY - 1+11_MOR - Gurgaon - 3+9(R)_Revised MOR Package_Revised MOR Package - Latest_II.5. RM Volume Sensitivities_Sheet3" xfId="11008" xr:uid="{00000000-0005-0000-0000-0000FF2A0000}"/>
    <cellStyle name="_Revised MOR 2004_MOR - BDWY - 1+11_MOR - Gurgaon - 3+9(R)_Revised MOR Package_Revised MOR Package - Latest_II.5. RM Volume Sensitivities_Sheet4" xfId="11009" xr:uid="{00000000-0005-0000-0000-0000002B0000}"/>
    <cellStyle name="_Revised MOR 2004_MOR - BDWY - 1+11_MOR - Gurgaon - 3+9(R)_Revised MOR Package_Revised MOR Package - Latest_II.8. Sep&amp;Discrete" xfId="11010" xr:uid="{00000000-0005-0000-0000-0000012B0000}"/>
    <cellStyle name="_Revised MOR 2004_MOR - BDWY - 1+11_MOR - Gurgaon - 3+9(R)_Revised MOR Package_Revised MOR Package - Latest_Restructuring &amp; Separation" xfId="11011" xr:uid="{00000000-0005-0000-0000-0000022B0000}"/>
    <cellStyle name="_Revised MOR 2004_MOR - BDWY - 1+11_MOR - Gurgaon - 3+9(R)_Revised MOR Package_Revised MOR Package - Latest_Restructuring_Separation_TAX_JuneFC2010 tf" xfId="11012" xr:uid="{00000000-0005-0000-0000-0000032B0000}"/>
    <cellStyle name="_Revised MOR 2004_MOR - BDWY - 1+11_MOR - Gurgaon - 3+9(R)_Revised MOR Package_Revised MOR Package - Latest_Restructuring_Separation_TAX_JuneFC2010 tf_BS_Separation_TaxResIndem_Q12412 tf" xfId="11013" xr:uid="{00000000-0005-0000-0000-0000042B0000}"/>
    <cellStyle name="_Revised MOR 2004_MOR - BDWY - 1+11_MOR - Gurgaon - 3+9(R)_Revised MOR Package_Revised MOR Package - Latest_Restructuring_Separation_TAX_JuneFC2010 tf_BS_Separation_TaxResIndem_Q12412 tf_Restructuring &amp; Separation" xfId="11014" xr:uid="{00000000-0005-0000-0000-0000052B0000}"/>
    <cellStyle name="_Revised MOR 2004_MOR - BDWY - 1+11_MOR - Gurgaon - 3+9(R)_Revised MOR Package_Revised MOR Package - Latest_Restructuring_Separation_TAX_JuneFC2010 tf_II.8. Sep&amp;Discrete" xfId="11015" xr:uid="{00000000-0005-0000-0000-0000062B0000}"/>
    <cellStyle name="_Revised MOR 2004_MOR - BDWY - 1+11_MOR - Gurgaon - 3+9(R)_Revised MOR Package_Revised MOR Package - Latest_Restructuring_Separation_TAX_JuneFC2010 tf_Restructuring &amp; Separation" xfId="11016" xr:uid="{00000000-0005-0000-0000-0000072B0000}"/>
    <cellStyle name="_Revised MOR 2004_MOR - BDWY - 1+11_MOR - Gurgaon - 3+9(R)-1" xfId="11017" xr:uid="{00000000-0005-0000-0000-0000082B0000}"/>
    <cellStyle name="_Revised MOR 2004_MOR - BDWY - 1+11_MOR - Gurgaon - 3+9(R)-1_BS_Separation_TaxResIndem_Q12412 tf" xfId="11018" xr:uid="{00000000-0005-0000-0000-0000092B0000}"/>
    <cellStyle name="_Revised MOR 2004_MOR - BDWY - 1+11_MOR - Gurgaon - 3+9(R)-1_BS_Separation_TaxResIndem_Q12412 tf_Restructuring &amp; Separation" xfId="11019" xr:uid="{00000000-0005-0000-0000-00000A2B0000}"/>
    <cellStyle name="_Revised MOR 2004_MOR - BDWY - 1+11_MOR - Gurgaon - 3+9(R)-1_By Country Detail 1Q10 041410pm FIN 18 revised per disc w Mary" xfId="11020" xr:uid="{00000000-0005-0000-0000-00000B2B0000}"/>
    <cellStyle name="_Revised MOR 2004_MOR - BDWY - 1+11_MOR - Gurgaon - 3+9(R)-1_By Country Detail 1Q10 041410pm FIN 18 revised per disc w Mary_BS_Separation_TaxResIndem_Q12412 tf" xfId="11021" xr:uid="{00000000-0005-0000-0000-00000C2B0000}"/>
    <cellStyle name="_Revised MOR 2004_MOR - BDWY - 1+11_MOR - Gurgaon - 3+9(R)-1_By Country Detail 1Q10 041410pm FIN 18 revised per disc w Mary_BS_Separation_TaxResIndem_Q12412 tf_Restructuring &amp; Separation" xfId="11022" xr:uid="{00000000-0005-0000-0000-00000D2B0000}"/>
    <cellStyle name="_Revised MOR 2004_MOR - BDWY - 1+11_MOR - Gurgaon - 3+9(R)-1_By Country Detail 1Q10 041410pm FIN 18 revised per disc w Mary_II.8. Sep&amp;Discrete" xfId="11023" xr:uid="{00000000-0005-0000-0000-00000E2B0000}"/>
    <cellStyle name="_Revised MOR 2004_MOR - BDWY - 1+11_MOR - Gurgaon - 3+9(R)-1_By Country Detail 1Q10 041410pm FIN 18 revised per disc w Mary_Restructuring &amp; Separation" xfId="11024" xr:uid="{00000000-0005-0000-0000-00000F2B0000}"/>
    <cellStyle name="_Revised MOR 2004_MOR - BDWY - 1+11_MOR - Gurgaon - 3+9(R)-1_II.4. RawMaterials" xfId="11025" xr:uid="{00000000-0005-0000-0000-0000102B0000}"/>
    <cellStyle name="_Revised MOR 2004_MOR - BDWY - 1+11_MOR - Gurgaon - 3+9(R)-1_II.4. RawMaterials 2" xfId="11026" xr:uid="{00000000-0005-0000-0000-0000112B0000}"/>
    <cellStyle name="_Revised MOR 2004_MOR - BDWY - 1+11_MOR - Gurgaon - 3+9(R)-1_II.4. RawMaterials_BS retrieve" xfId="11027" xr:uid="{00000000-0005-0000-0000-0000122B0000}"/>
    <cellStyle name="_Revised MOR 2004_MOR - BDWY - 1+11_MOR - Gurgaon - 3+9(R)-1_II.4. RawMaterials_Free CF" xfId="11028" xr:uid="{00000000-0005-0000-0000-0000132B0000}"/>
    <cellStyle name="_Revised MOR 2004_MOR - BDWY - 1+11_MOR - Gurgaon - 3+9(R)-1_II.4. RawMaterials_P&amp;L Rec Qtr" xfId="11029" xr:uid="{00000000-0005-0000-0000-0000142B0000}"/>
    <cellStyle name="_Revised MOR 2004_MOR - BDWY - 1+11_MOR - Gurgaon - 3+9(R)-1_II.4. RawMaterials_Sheet1" xfId="11030" xr:uid="{00000000-0005-0000-0000-0000152B0000}"/>
    <cellStyle name="_Revised MOR 2004_MOR - BDWY - 1+11_MOR - Gurgaon - 3+9(R)-1_II.4. RawMaterials_Sheet2" xfId="11031" xr:uid="{00000000-0005-0000-0000-0000162B0000}"/>
    <cellStyle name="_Revised MOR 2004_MOR - BDWY - 1+11_MOR - Gurgaon - 3+9(R)-1_II.4. RawMaterials_Sheet3" xfId="11032" xr:uid="{00000000-0005-0000-0000-0000172B0000}"/>
    <cellStyle name="_Revised MOR 2004_MOR - BDWY - 1+11_MOR - Gurgaon - 3+9(R)-1_II.4. RawMaterials_Sheet4" xfId="11033" xr:uid="{00000000-0005-0000-0000-0000182B0000}"/>
    <cellStyle name="_Revised MOR 2004_MOR - BDWY - 1+11_MOR - Gurgaon - 3+9(R)-1_II.5. RawMaterials" xfId="11034" xr:uid="{00000000-0005-0000-0000-0000192B0000}"/>
    <cellStyle name="_Revised MOR 2004_MOR - BDWY - 1+11_MOR - Gurgaon - 3+9(R)-1_II.5. RawMaterials 2" xfId="11035" xr:uid="{00000000-0005-0000-0000-00001A2B0000}"/>
    <cellStyle name="_Revised MOR 2004_MOR - BDWY - 1+11_MOR - Gurgaon - 3+9(R)-1_II.5. RawMaterials_BS retrieve" xfId="11036" xr:uid="{00000000-0005-0000-0000-00001B2B0000}"/>
    <cellStyle name="_Revised MOR 2004_MOR - BDWY - 1+11_MOR - Gurgaon - 3+9(R)-1_II.5. RawMaterials_Free CF" xfId="11037" xr:uid="{00000000-0005-0000-0000-00001C2B0000}"/>
    <cellStyle name="_Revised MOR 2004_MOR - BDWY - 1+11_MOR - Gurgaon - 3+9(R)-1_II.5. RawMaterials_P&amp;L Rec Qtr" xfId="11038" xr:uid="{00000000-0005-0000-0000-00001D2B0000}"/>
    <cellStyle name="_Revised MOR 2004_MOR - BDWY - 1+11_MOR - Gurgaon - 3+9(R)-1_II.5. RawMaterials_Sheet1" xfId="11039" xr:uid="{00000000-0005-0000-0000-00001E2B0000}"/>
    <cellStyle name="_Revised MOR 2004_MOR - BDWY - 1+11_MOR - Gurgaon - 3+9(R)-1_II.5. RawMaterials_Sheet2" xfId="11040" xr:uid="{00000000-0005-0000-0000-00001F2B0000}"/>
    <cellStyle name="_Revised MOR 2004_MOR - BDWY - 1+11_MOR - Gurgaon - 3+9(R)-1_II.5. RawMaterials_Sheet3" xfId="11041" xr:uid="{00000000-0005-0000-0000-0000202B0000}"/>
    <cellStyle name="_Revised MOR 2004_MOR - BDWY - 1+11_MOR - Gurgaon - 3+9(R)-1_II.5. RawMaterials_Sheet4" xfId="11042" xr:uid="{00000000-0005-0000-0000-0000212B0000}"/>
    <cellStyle name="_Revised MOR 2004_MOR - BDWY - 1+11_MOR - Gurgaon - 3+9(R)-1_II.5. RM Volume Sensitivities" xfId="11043" xr:uid="{00000000-0005-0000-0000-0000222B0000}"/>
    <cellStyle name="_Revised MOR 2004_MOR - BDWY - 1+11_MOR - Gurgaon - 3+9(R)-1_II.5. RM Volume Sensitivities 2" xfId="11044" xr:uid="{00000000-0005-0000-0000-0000232B0000}"/>
    <cellStyle name="_Revised MOR 2004_MOR - BDWY - 1+11_MOR - Gurgaon - 3+9(R)-1_II.5. RM Volume Sensitivities_BS retrieve" xfId="11045" xr:uid="{00000000-0005-0000-0000-0000242B0000}"/>
    <cellStyle name="_Revised MOR 2004_MOR - BDWY - 1+11_MOR - Gurgaon - 3+9(R)-1_II.5. RM Volume Sensitivities_Free CF" xfId="11046" xr:uid="{00000000-0005-0000-0000-0000252B0000}"/>
    <cellStyle name="_Revised MOR 2004_MOR - BDWY - 1+11_MOR - Gurgaon - 3+9(R)-1_II.5. RM Volume Sensitivities_P&amp;L Rec Qtr" xfId="11047" xr:uid="{00000000-0005-0000-0000-0000262B0000}"/>
    <cellStyle name="_Revised MOR 2004_MOR - BDWY - 1+11_MOR - Gurgaon - 3+9(R)-1_II.5. RM Volume Sensitivities_Sheet1" xfId="11048" xr:uid="{00000000-0005-0000-0000-0000272B0000}"/>
    <cellStyle name="_Revised MOR 2004_MOR - BDWY - 1+11_MOR - Gurgaon - 3+9(R)-1_II.5. RM Volume Sensitivities_Sheet2" xfId="11049" xr:uid="{00000000-0005-0000-0000-0000282B0000}"/>
    <cellStyle name="_Revised MOR 2004_MOR - BDWY - 1+11_MOR - Gurgaon - 3+9(R)-1_II.5. RM Volume Sensitivities_Sheet3" xfId="11050" xr:uid="{00000000-0005-0000-0000-0000292B0000}"/>
    <cellStyle name="_Revised MOR 2004_MOR - BDWY - 1+11_MOR - Gurgaon - 3+9(R)-1_II.5. RM Volume Sensitivities_Sheet4" xfId="11051" xr:uid="{00000000-0005-0000-0000-00002A2B0000}"/>
    <cellStyle name="_Revised MOR 2004_MOR - BDWY - 1+11_MOR - Gurgaon - 3+9(R)-1_II.8. Sep&amp;Discrete" xfId="11052" xr:uid="{00000000-0005-0000-0000-00002B2B0000}"/>
    <cellStyle name="_Revised MOR 2004_MOR - BDWY - 1+11_MOR - Gurgaon - 3+9(R)-1_Restructuring &amp; Separation" xfId="11053" xr:uid="{00000000-0005-0000-0000-00002C2B0000}"/>
    <cellStyle name="_Revised MOR 2004_MOR - BDWY - 1+11_MOR - Gurgaon - 3+9(R)-1_Restructuring_Separation_TAX_JuneFC2010 tf" xfId="11054" xr:uid="{00000000-0005-0000-0000-00002D2B0000}"/>
    <cellStyle name="_Revised MOR 2004_MOR - BDWY - 1+11_MOR - Gurgaon - 3+9(R)-1_Restructuring_Separation_TAX_JuneFC2010 tf_BS_Separation_TaxResIndem_Q12412 tf" xfId="11055" xr:uid="{00000000-0005-0000-0000-00002E2B0000}"/>
    <cellStyle name="_Revised MOR 2004_MOR - BDWY - 1+11_MOR - Gurgaon - 3+9(R)-1_Restructuring_Separation_TAX_JuneFC2010 tf_BS_Separation_TaxResIndem_Q12412 tf_Restructuring &amp; Separation" xfId="11056" xr:uid="{00000000-0005-0000-0000-00002F2B0000}"/>
    <cellStyle name="_Revised MOR 2004_MOR - BDWY - 1+11_MOR - Gurgaon - 3+9(R)-1_Restructuring_Separation_TAX_JuneFC2010 tf_II.8. Sep&amp;Discrete" xfId="11057" xr:uid="{00000000-0005-0000-0000-0000302B0000}"/>
    <cellStyle name="_Revised MOR 2004_MOR - BDWY - 1+11_MOR - Gurgaon - 3+9(R)-1_Restructuring_Separation_TAX_JuneFC2010 tf_Restructuring &amp; Separation" xfId="11058" xr:uid="{00000000-0005-0000-0000-0000312B0000}"/>
    <cellStyle name="_Revised MOR 2004_MOR - BDWY - 1+11_MOR - Gurgaon - 3+9(R)-1_Revised MOR Package" xfId="11059" xr:uid="{00000000-0005-0000-0000-0000322B0000}"/>
    <cellStyle name="_Revised MOR 2004_MOR - BDWY - 1+11_MOR - Gurgaon - 3+9(R)-1_Revised MOR Package_~0039877" xfId="11060" xr:uid="{00000000-0005-0000-0000-0000332B0000}"/>
    <cellStyle name="_Revised MOR 2004_MOR - BDWY - 1+11_MOR - Gurgaon - 3+9(R)-1_Revised MOR Package_~0039877_BS_Separation_TaxResIndem_Q12412 tf" xfId="11061" xr:uid="{00000000-0005-0000-0000-0000342B0000}"/>
    <cellStyle name="_Revised MOR 2004_MOR - BDWY - 1+11_MOR - Gurgaon - 3+9(R)-1_Revised MOR Package_~0039877_BS_Separation_TaxResIndem_Q12412 tf_Restructuring &amp; Separation" xfId="11062" xr:uid="{00000000-0005-0000-0000-0000352B0000}"/>
    <cellStyle name="_Revised MOR 2004_MOR - BDWY - 1+11_MOR - Gurgaon - 3+9(R)-1_Revised MOR Package_~0039877_By Country Detail 1Q10 041410pm FIN 18 revised per disc w Mary" xfId="11063" xr:uid="{00000000-0005-0000-0000-0000362B0000}"/>
    <cellStyle name="_Revised MOR 2004_MOR - BDWY - 1+11_MOR - Gurgaon - 3+9(R)-1_Revised MOR Package_~0039877_By Country Detail 1Q10 041410pm FIN 18 revised per disc w Mary_BS_Separation_TaxResIndem_Q12412 tf" xfId="11064" xr:uid="{00000000-0005-0000-0000-0000372B0000}"/>
    <cellStyle name="_Revised MOR 2004_MOR - BDWY - 1+11_MOR - Gurgaon - 3+9(R)-1_Revised MOR Package_~0039877_By Country Detail 1Q10 041410pm FIN 18 revised per disc w Mary_BS_Separation_TaxResIndem_Q12412 tf_Restructuring &amp; Separation" xfId="11065" xr:uid="{00000000-0005-0000-0000-0000382B0000}"/>
    <cellStyle name="_Revised MOR 2004_MOR - BDWY - 1+11_MOR - Gurgaon - 3+9(R)-1_Revised MOR Package_~0039877_By Country Detail 1Q10 041410pm FIN 18 revised per disc w Mary_II.8. Sep&amp;Discrete" xfId="11066" xr:uid="{00000000-0005-0000-0000-0000392B0000}"/>
    <cellStyle name="_Revised MOR 2004_MOR - BDWY - 1+11_MOR - Gurgaon - 3+9(R)-1_Revised MOR Package_~0039877_By Country Detail 1Q10 041410pm FIN 18 revised per disc w Mary_Restructuring &amp; Separation" xfId="11067" xr:uid="{00000000-0005-0000-0000-00003A2B0000}"/>
    <cellStyle name="_Revised MOR 2004_MOR - BDWY - 1+11_MOR - Gurgaon - 3+9(R)-1_Revised MOR Package_~0039877_II.4. RawMaterials" xfId="11068" xr:uid="{00000000-0005-0000-0000-00003B2B0000}"/>
    <cellStyle name="_Revised MOR 2004_MOR - BDWY - 1+11_MOR - Gurgaon - 3+9(R)-1_Revised MOR Package_~0039877_II.4. RawMaterials 2" xfId="11069" xr:uid="{00000000-0005-0000-0000-00003C2B0000}"/>
    <cellStyle name="_Revised MOR 2004_MOR - BDWY - 1+11_MOR - Gurgaon - 3+9(R)-1_Revised MOR Package_~0039877_II.4. RawMaterials_BS retrieve" xfId="11070" xr:uid="{00000000-0005-0000-0000-00003D2B0000}"/>
    <cellStyle name="_Revised MOR 2004_MOR - BDWY - 1+11_MOR - Gurgaon - 3+9(R)-1_Revised MOR Package_~0039877_II.4. RawMaterials_Free CF" xfId="11071" xr:uid="{00000000-0005-0000-0000-00003E2B0000}"/>
    <cellStyle name="_Revised MOR 2004_MOR - BDWY - 1+11_MOR - Gurgaon - 3+9(R)-1_Revised MOR Package_~0039877_II.4. RawMaterials_P&amp;L Rec Qtr" xfId="11072" xr:uid="{00000000-0005-0000-0000-00003F2B0000}"/>
    <cellStyle name="_Revised MOR 2004_MOR - BDWY - 1+11_MOR - Gurgaon - 3+9(R)-1_Revised MOR Package_~0039877_II.4. RawMaterials_Sheet1" xfId="11073" xr:uid="{00000000-0005-0000-0000-0000402B0000}"/>
    <cellStyle name="_Revised MOR 2004_MOR - BDWY - 1+11_MOR - Gurgaon - 3+9(R)-1_Revised MOR Package_~0039877_II.4. RawMaterials_Sheet2" xfId="11074" xr:uid="{00000000-0005-0000-0000-0000412B0000}"/>
    <cellStyle name="_Revised MOR 2004_MOR - BDWY - 1+11_MOR - Gurgaon - 3+9(R)-1_Revised MOR Package_~0039877_II.4. RawMaterials_Sheet3" xfId="11075" xr:uid="{00000000-0005-0000-0000-0000422B0000}"/>
    <cellStyle name="_Revised MOR 2004_MOR - BDWY - 1+11_MOR - Gurgaon - 3+9(R)-1_Revised MOR Package_~0039877_II.4. RawMaterials_Sheet4" xfId="11076" xr:uid="{00000000-0005-0000-0000-0000432B0000}"/>
    <cellStyle name="_Revised MOR 2004_MOR - BDWY - 1+11_MOR - Gurgaon - 3+9(R)-1_Revised MOR Package_~0039877_II.5. RawMaterials" xfId="11077" xr:uid="{00000000-0005-0000-0000-0000442B0000}"/>
    <cellStyle name="_Revised MOR 2004_MOR - BDWY - 1+11_MOR - Gurgaon - 3+9(R)-1_Revised MOR Package_~0039877_II.5. RawMaterials 2" xfId="11078" xr:uid="{00000000-0005-0000-0000-0000452B0000}"/>
    <cellStyle name="_Revised MOR 2004_MOR - BDWY - 1+11_MOR - Gurgaon - 3+9(R)-1_Revised MOR Package_~0039877_II.5. RawMaterials_BS retrieve" xfId="11079" xr:uid="{00000000-0005-0000-0000-0000462B0000}"/>
    <cellStyle name="_Revised MOR 2004_MOR - BDWY - 1+11_MOR - Gurgaon - 3+9(R)-1_Revised MOR Package_~0039877_II.5. RawMaterials_Free CF" xfId="11080" xr:uid="{00000000-0005-0000-0000-0000472B0000}"/>
    <cellStyle name="_Revised MOR 2004_MOR - BDWY - 1+11_MOR - Gurgaon - 3+9(R)-1_Revised MOR Package_~0039877_II.5. RawMaterials_P&amp;L Rec Qtr" xfId="11081" xr:uid="{00000000-0005-0000-0000-0000482B0000}"/>
    <cellStyle name="_Revised MOR 2004_MOR - BDWY - 1+11_MOR - Gurgaon - 3+9(R)-1_Revised MOR Package_~0039877_II.5. RawMaterials_Sheet1" xfId="11082" xr:uid="{00000000-0005-0000-0000-0000492B0000}"/>
    <cellStyle name="_Revised MOR 2004_MOR - BDWY - 1+11_MOR - Gurgaon - 3+9(R)-1_Revised MOR Package_~0039877_II.5. RawMaterials_Sheet2" xfId="11083" xr:uid="{00000000-0005-0000-0000-00004A2B0000}"/>
    <cellStyle name="_Revised MOR 2004_MOR - BDWY - 1+11_MOR - Gurgaon - 3+9(R)-1_Revised MOR Package_~0039877_II.5. RawMaterials_Sheet3" xfId="11084" xr:uid="{00000000-0005-0000-0000-00004B2B0000}"/>
    <cellStyle name="_Revised MOR 2004_MOR - BDWY - 1+11_MOR - Gurgaon - 3+9(R)-1_Revised MOR Package_~0039877_II.5. RawMaterials_Sheet4" xfId="11085" xr:uid="{00000000-0005-0000-0000-00004C2B0000}"/>
    <cellStyle name="_Revised MOR 2004_MOR - BDWY - 1+11_MOR - Gurgaon - 3+9(R)-1_Revised MOR Package_~0039877_II.5. RM Volume Sensitivities" xfId="11086" xr:uid="{00000000-0005-0000-0000-00004D2B0000}"/>
    <cellStyle name="_Revised MOR 2004_MOR - BDWY - 1+11_MOR - Gurgaon - 3+9(R)-1_Revised MOR Package_~0039877_II.5. RM Volume Sensitivities 2" xfId="11087" xr:uid="{00000000-0005-0000-0000-00004E2B0000}"/>
    <cellStyle name="_Revised MOR 2004_MOR - BDWY - 1+11_MOR - Gurgaon - 3+9(R)-1_Revised MOR Package_~0039877_II.5. RM Volume Sensitivities_BS retrieve" xfId="11088" xr:uid="{00000000-0005-0000-0000-00004F2B0000}"/>
    <cellStyle name="_Revised MOR 2004_MOR - BDWY - 1+11_MOR - Gurgaon - 3+9(R)-1_Revised MOR Package_~0039877_II.5. RM Volume Sensitivities_Free CF" xfId="11089" xr:uid="{00000000-0005-0000-0000-0000502B0000}"/>
    <cellStyle name="_Revised MOR 2004_MOR - BDWY - 1+11_MOR - Gurgaon - 3+9(R)-1_Revised MOR Package_~0039877_II.5. RM Volume Sensitivities_P&amp;L Rec Qtr" xfId="11090" xr:uid="{00000000-0005-0000-0000-0000512B0000}"/>
    <cellStyle name="_Revised MOR 2004_MOR - BDWY - 1+11_MOR - Gurgaon - 3+9(R)-1_Revised MOR Package_~0039877_II.5. RM Volume Sensitivities_Sheet1" xfId="11091" xr:uid="{00000000-0005-0000-0000-0000522B0000}"/>
    <cellStyle name="_Revised MOR 2004_MOR - BDWY - 1+11_MOR - Gurgaon - 3+9(R)-1_Revised MOR Package_~0039877_II.5. RM Volume Sensitivities_Sheet2" xfId="11092" xr:uid="{00000000-0005-0000-0000-0000532B0000}"/>
    <cellStyle name="_Revised MOR 2004_MOR - BDWY - 1+11_MOR - Gurgaon - 3+9(R)-1_Revised MOR Package_~0039877_II.5. RM Volume Sensitivities_Sheet3" xfId="11093" xr:uid="{00000000-0005-0000-0000-0000542B0000}"/>
    <cellStyle name="_Revised MOR 2004_MOR - BDWY - 1+11_MOR - Gurgaon - 3+9(R)-1_Revised MOR Package_~0039877_II.5. RM Volume Sensitivities_Sheet4" xfId="11094" xr:uid="{00000000-0005-0000-0000-0000552B0000}"/>
    <cellStyle name="_Revised MOR 2004_MOR - BDWY - 1+11_MOR - Gurgaon - 3+9(R)-1_Revised MOR Package_~0039877_II.8. Sep&amp;Discrete" xfId="11095" xr:uid="{00000000-0005-0000-0000-0000562B0000}"/>
    <cellStyle name="_Revised MOR 2004_MOR - BDWY - 1+11_MOR - Gurgaon - 3+9(R)-1_Revised MOR Package_~0039877_Restructuring &amp; Separation" xfId="11096" xr:uid="{00000000-0005-0000-0000-0000572B0000}"/>
    <cellStyle name="_Revised MOR 2004_MOR - BDWY - 1+11_MOR - Gurgaon - 3+9(R)-1_Revised MOR Package_~0039877_Restructuring_Separation_TAX_JuneFC2010 tf" xfId="11097" xr:uid="{00000000-0005-0000-0000-0000582B0000}"/>
    <cellStyle name="_Revised MOR 2004_MOR - BDWY - 1+11_MOR - Gurgaon - 3+9(R)-1_Revised MOR Package_~0039877_Restructuring_Separation_TAX_JuneFC2010 tf_BS_Separation_TaxResIndem_Q12412 tf" xfId="11098" xr:uid="{00000000-0005-0000-0000-0000592B0000}"/>
    <cellStyle name="_Revised MOR 2004_MOR - BDWY - 1+11_MOR - Gurgaon - 3+9(R)-1_Revised MOR Package_~0039877_Restructuring_Separation_TAX_JuneFC2010 tf_BS_Separation_TaxResIndem_Q12412 tf_Restructuring &amp; Separation" xfId="11099" xr:uid="{00000000-0005-0000-0000-00005A2B0000}"/>
    <cellStyle name="_Revised MOR 2004_MOR - BDWY - 1+11_MOR - Gurgaon - 3+9(R)-1_Revised MOR Package_~0039877_Restructuring_Separation_TAX_JuneFC2010 tf_II.8. Sep&amp;Discrete" xfId="11100" xr:uid="{00000000-0005-0000-0000-00005B2B0000}"/>
    <cellStyle name="_Revised MOR 2004_MOR - BDWY - 1+11_MOR - Gurgaon - 3+9(R)-1_Revised MOR Package_~0039877_Restructuring_Separation_TAX_JuneFC2010 tf_Restructuring &amp; Separation" xfId="11101" xr:uid="{00000000-0005-0000-0000-00005C2B0000}"/>
    <cellStyle name="_Revised MOR 2004_MOR - BDWY - 1+11_MOR - Gurgaon - 3+9(R)-1_Revised MOR Package_BS_Separation_TaxResIndem_Q12412 tf" xfId="11102" xr:uid="{00000000-0005-0000-0000-00005D2B0000}"/>
    <cellStyle name="_Revised MOR 2004_MOR - BDWY - 1+11_MOR - Gurgaon - 3+9(R)-1_Revised MOR Package_BS_Separation_TaxResIndem_Q12412 tf_Restructuring &amp; Separation" xfId="11103" xr:uid="{00000000-0005-0000-0000-00005E2B0000}"/>
    <cellStyle name="_Revised MOR 2004_MOR - BDWY - 1+11_MOR - Gurgaon - 3+9(R)-1_Revised MOR Package_By Country Detail 1Q10 041410pm FIN 18 revised per disc w Mary" xfId="11104" xr:uid="{00000000-0005-0000-0000-00005F2B0000}"/>
    <cellStyle name="_Revised MOR 2004_MOR - BDWY - 1+11_MOR - Gurgaon - 3+9(R)-1_Revised MOR Package_By Country Detail 1Q10 041410pm FIN 18 revised per disc w Mary_BS_Separation_TaxResIndem_Q12412 tf" xfId="11105" xr:uid="{00000000-0005-0000-0000-0000602B0000}"/>
    <cellStyle name="_Revised MOR 2004_MOR - BDWY - 1+11_MOR - Gurgaon - 3+9(R)-1_Revised MOR Package_By Country Detail 1Q10 041410pm FIN 18 revised per disc w Mary_BS_Separation_TaxResIndem_Q12412 tf_Restructuring &amp; Separation" xfId="11106" xr:uid="{00000000-0005-0000-0000-0000612B0000}"/>
    <cellStyle name="_Revised MOR 2004_MOR - BDWY - 1+11_MOR - Gurgaon - 3+9(R)-1_Revised MOR Package_By Country Detail 1Q10 041410pm FIN 18 revised per disc w Mary_II.8. Sep&amp;Discrete" xfId="11107" xr:uid="{00000000-0005-0000-0000-0000622B0000}"/>
    <cellStyle name="_Revised MOR 2004_MOR - BDWY - 1+11_MOR - Gurgaon - 3+9(R)-1_Revised MOR Package_By Country Detail 1Q10 041410pm FIN 18 revised per disc w Mary_Restructuring &amp; Separation" xfId="11108" xr:uid="{00000000-0005-0000-0000-0000632B0000}"/>
    <cellStyle name="_Revised MOR 2004_MOR - BDWY - 1+11_MOR - Gurgaon - 3+9(R)-1_Revised MOR Package_II.4. RawMaterials" xfId="11109" xr:uid="{00000000-0005-0000-0000-0000642B0000}"/>
    <cellStyle name="_Revised MOR 2004_MOR - BDWY - 1+11_MOR - Gurgaon - 3+9(R)-1_Revised MOR Package_II.4. RawMaterials 2" xfId="11110" xr:uid="{00000000-0005-0000-0000-0000652B0000}"/>
    <cellStyle name="_Revised MOR 2004_MOR - BDWY - 1+11_MOR - Gurgaon - 3+9(R)-1_Revised MOR Package_II.4. RawMaterials_BS retrieve" xfId="11111" xr:uid="{00000000-0005-0000-0000-0000662B0000}"/>
    <cellStyle name="_Revised MOR 2004_MOR - BDWY - 1+11_MOR - Gurgaon - 3+9(R)-1_Revised MOR Package_II.4. RawMaterials_Free CF" xfId="11112" xr:uid="{00000000-0005-0000-0000-0000672B0000}"/>
    <cellStyle name="_Revised MOR 2004_MOR - BDWY - 1+11_MOR - Gurgaon - 3+9(R)-1_Revised MOR Package_II.4. RawMaterials_P&amp;L Rec Qtr" xfId="11113" xr:uid="{00000000-0005-0000-0000-0000682B0000}"/>
    <cellStyle name="_Revised MOR 2004_MOR - BDWY - 1+11_MOR - Gurgaon - 3+9(R)-1_Revised MOR Package_II.4. RawMaterials_Sheet1" xfId="11114" xr:uid="{00000000-0005-0000-0000-0000692B0000}"/>
    <cellStyle name="_Revised MOR 2004_MOR - BDWY - 1+11_MOR - Gurgaon - 3+9(R)-1_Revised MOR Package_II.4. RawMaterials_Sheet2" xfId="11115" xr:uid="{00000000-0005-0000-0000-00006A2B0000}"/>
    <cellStyle name="_Revised MOR 2004_MOR - BDWY - 1+11_MOR - Gurgaon - 3+9(R)-1_Revised MOR Package_II.4. RawMaterials_Sheet3" xfId="11116" xr:uid="{00000000-0005-0000-0000-00006B2B0000}"/>
    <cellStyle name="_Revised MOR 2004_MOR - BDWY - 1+11_MOR - Gurgaon - 3+9(R)-1_Revised MOR Package_II.4. RawMaterials_Sheet4" xfId="11117" xr:uid="{00000000-0005-0000-0000-00006C2B0000}"/>
    <cellStyle name="_Revised MOR 2004_MOR - BDWY - 1+11_MOR - Gurgaon - 3+9(R)-1_Revised MOR Package_II.5. RawMaterials" xfId="11118" xr:uid="{00000000-0005-0000-0000-00006D2B0000}"/>
    <cellStyle name="_Revised MOR 2004_MOR - BDWY - 1+11_MOR - Gurgaon - 3+9(R)-1_Revised MOR Package_II.5. RawMaterials 2" xfId="11119" xr:uid="{00000000-0005-0000-0000-00006E2B0000}"/>
    <cellStyle name="_Revised MOR 2004_MOR - BDWY - 1+11_MOR - Gurgaon - 3+9(R)-1_Revised MOR Package_II.5. RawMaterials_BS retrieve" xfId="11120" xr:uid="{00000000-0005-0000-0000-00006F2B0000}"/>
    <cellStyle name="_Revised MOR 2004_MOR - BDWY - 1+11_MOR - Gurgaon - 3+9(R)-1_Revised MOR Package_II.5. RawMaterials_Free CF" xfId="11121" xr:uid="{00000000-0005-0000-0000-0000702B0000}"/>
    <cellStyle name="_Revised MOR 2004_MOR - BDWY - 1+11_MOR - Gurgaon - 3+9(R)-1_Revised MOR Package_II.5. RawMaterials_P&amp;L Rec Qtr" xfId="11122" xr:uid="{00000000-0005-0000-0000-0000712B0000}"/>
    <cellStyle name="_Revised MOR 2004_MOR - BDWY - 1+11_MOR - Gurgaon - 3+9(R)-1_Revised MOR Package_II.5. RawMaterials_Sheet1" xfId="11123" xr:uid="{00000000-0005-0000-0000-0000722B0000}"/>
    <cellStyle name="_Revised MOR 2004_MOR - BDWY - 1+11_MOR - Gurgaon - 3+9(R)-1_Revised MOR Package_II.5. RawMaterials_Sheet2" xfId="11124" xr:uid="{00000000-0005-0000-0000-0000732B0000}"/>
    <cellStyle name="_Revised MOR 2004_MOR - BDWY - 1+11_MOR - Gurgaon - 3+9(R)-1_Revised MOR Package_II.5. RawMaterials_Sheet3" xfId="11125" xr:uid="{00000000-0005-0000-0000-0000742B0000}"/>
    <cellStyle name="_Revised MOR 2004_MOR - BDWY - 1+11_MOR - Gurgaon - 3+9(R)-1_Revised MOR Package_II.5. RawMaterials_Sheet4" xfId="11126" xr:uid="{00000000-0005-0000-0000-0000752B0000}"/>
    <cellStyle name="_Revised MOR 2004_MOR - BDWY - 1+11_MOR - Gurgaon - 3+9(R)-1_Revised MOR Package_II.5. RM Volume Sensitivities" xfId="11127" xr:uid="{00000000-0005-0000-0000-0000762B0000}"/>
    <cellStyle name="_Revised MOR 2004_MOR - BDWY - 1+11_MOR - Gurgaon - 3+9(R)-1_Revised MOR Package_II.5. RM Volume Sensitivities 2" xfId="11128" xr:uid="{00000000-0005-0000-0000-0000772B0000}"/>
    <cellStyle name="_Revised MOR 2004_MOR - BDWY - 1+11_MOR - Gurgaon - 3+9(R)-1_Revised MOR Package_II.5. RM Volume Sensitivities_BS retrieve" xfId="11129" xr:uid="{00000000-0005-0000-0000-0000782B0000}"/>
    <cellStyle name="_Revised MOR 2004_MOR - BDWY - 1+11_MOR - Gurgaon - 3+9(R)-1_Revised MOR Package_II.5. RM Volume Sensitivities_Free CF" xfId="11130" xr:uid="{00000000-0005-0000-0000-0000792B0000}"/>
    <cellStyle name="_Revised MOR 2004_MOR - BDWY - 1+11_MOR - Gurgaon - 3+9(R)-1_Revised MOR Package_II.5. RM Volume Sensitivities_P&amp;L Rec Qtr" xfId="11131" xr:uid="{00000000-0005-0000-0000-00007A2B0000}"/>
    <cellStyle name="_Revised MOR 2004_MOR - BDWY - 1+11_MOR - Gurgaon - 3+9(R)-1_Revised MOR Package_II.5. RM Volume Sensitivities_Sheet1" xfId="11132" xr:uid="{00000000-0005-0000-0000-00007B2B0000}"/>
    <cellStyle name="_Revised MOR 2004_MOR - BDWY - 1+11_MOR - Gurgaon - 3+9(R)-1_Revised MOR Package_II.5. RM Volume Sensitivities_Sheet2" xfId="11133" xr:uid="{00000000-0005-0000-0000-00007C2B0000}"/>
    <cellStyle name="_Revised MOR 2004_MOR - BDWY - 1+11_MOR - Gurgaon - 3+9(R)-1_Revised MOR Package_II.5. RM Volume Sensitivities_Sheet3" xfId="11134" xr:uid="{00000000-0005-0000-0000-00007D2B0000}"/>
    <cellStyle name="_Revised MOR 2004_MOR - BDWY - 1+11_MOR - Gurgaon - 3+9(R)-1_Revised MOR Package_II.5. RM Volume Sensitivities_Sheet4" xfId="11135" xr:uid="{00000000-0005-0000-0000-00007E2B0000}"/>
    <cellStyle name="_Revised MOR 2004_MOR - BDWY - 1+11_MOR - Gurgaon - 3+9(R)-1_Revised MOR Package_II.8. Sep&amp;Discrete" xfId="11136" xr:uid="{00000000-0005-0000-0000-00007F2B0000}"/>
    <cellStyle name="_Revised MOR 2004_MOR - BDWY - 1+11_MOR - Gurgaon - 3+9(R)-1_Revised MOR Package_Restructuring &amp; Separation" xfId="11137" xr:uid="{00000000-0005-0000-0000-0000802B0000}"/>
    <cellStyle name="_Revised MOR 2004_MOR - BDWY - 1+11_MOR - Gurgaon - 3+9(R)-1_Revised MOR Package_Restructuring_Separation_TAX_JuneFC2010 tf" xfId="11138" xr:uid="{00000000-0005-0000-0000-0000812B0000}"/>
    <cellStyle name="_Revised MOR 2004_MOR - BDWY - 1+11_MOR - Gurgaon - 3+9(R)-1_Revised MOR Package_Restructuring_Separation_TAX_JuneFC2010 tf_BS_Separation_TaxResIndem_Q12412 tf" xfId="11139" xr:uid="{00000000-0005-0000-0000-0000822B0000}"/>
    <cellStyle name="_Revised MOR 2004_MOR - BDWY - 1+11_MOR - Gurgaon - 3+9(R)-1_Revised MOR Package_Restructuring_Separation_TAX_JuneFC2010 tf_BS_Separation_TaxResIndem_Q12412 tf_Restructuring &amp; Separation" xfId="11140" xr:uid="{00000000-0005-0000-0000-0000832B0000}"/>
    <cellStyle name="_Revised MOR 2004_MOR - BDWY - 1+11_MOR - Gurgaon - 3+9(R)-1_Revised MOR Package_Restructuring_Separation_TAX_JuneFC2010 tf_II.8. Sep&amp;Discrete" xfId="11141" xr:uid="{00000000-0005-0000-0000-0000842B0000}"/>
    <cellStyle name="_Revised MOR 2004_MOR - BDWY - 1+11_MOR - Gurgaon - 3+9(R)-1_Revised MOR Package_Restructuring_Separation_TAX_JuneFC2010 tf_Restructuring &amp; Separation" xfId="11142" xr:uid="{00000000-0005-0000-0000-0000852B0000}"/>
    <cellStyle name="_Revised MOR 2004_MOR - BDWY - 1+11_MOR - Gurgaon - 3+9(R)-1_Revised MOR Package_Revised MOR Package - Latest" xfId="11143" xr:uid="{00000000-0005-0000-0000-0000862B0000}"/>
    <cellStyle name="_Revised MOR 2004_MOR - BDWY - 1+11_MOR - Gurgaon - 3+9(R)-1_Revised MOR Package_Revised MOR Package - Latest_BS_Separation_TaxResIndem_Q12412 tf" xfId="11144" xr:uid="{00000000-0005-0000-0000-0000872B0000}"/>
    <cellStyle name="_Revised MOR 2004_MOR - BDWY - 1+11_MOR - Gurgaon - 3+9(R)-1_Revised MOR Package_Revised MOR Package - Latest_BS_Separation_TaxResIndem_Q12412 tf_Restructuring &amp; Separation" xfId="11145" xr:uid="{00000000-0005-0000-0000-0000882B0000}"/>
    <cellStyle name="_Revised MOR 2004_MOR - BDWY - 1+11_MOR - Gurgaon - 3+9(R)-1_Revised MOR Package_Revised MOR Package - Latest_By Country Detail 1Q10 041410pm FIN 18 revised per disc w Mary" xfId="11146" xr:uid="{00000000-0005-0000-0000-0000892B0000}"/>
    <cellStyle name="_Revised MOR 2004_MOR - BDWY - 1+11_MOR - Gurgaon - 3+9(R)-1_Revised MOR Package_Revised MOR Package - Latest_By Country Detail 1Q10 041410pm FIN 18 revised per disc w Mary_BS_Separation_TaxResIndem_Q12412 tf" xfId="11147" xr:uid="{00000000-0005-0000-0000-00008A2B0000}"/>
    <cellStyle name="_Revised MOR 2004_MOR - BDWY - 1+11_MOR - Gurgaon - 3+9(R)-1_Revised MOR Package_Revised MOR Package - Latest_By Country Detail 1Q10 041410pm FIN 18 revised per disc w Mary_BS_Separation_TaxResIndem_Q12412 tf_Restructuring &amp; Separation" xfId="11148" xr:uid="{00000000-0005-0000-0000-00008B2B0000}"/>
    <cellStyle name="_Revised MOR 2004_MOR - BDWY - 1+11_MOR - Gurgaon - 3+9(R)-1_Revised MOR Package_Revised MOR Package - Latest_By Country Detail 1Q10 041410pm FIN 18 revised per disc w Mary_II.8. Sep&amp;Discrete" xfId="11149" xr:uid="{00000000-0005-0000-0000-00008C2B0000}"/>
    <cellStyle name="_Revised MOR 2004_MOR - BDWY - 1+11_MOR - Gurgaon - 3+9(R)-1_Revised MOR Package_Revised MOR Package - Latest_By Country Detail 1Q10 041410pm FIN 18 revised per disc w Mary_Restructuring &amp; Separation" xfId="11150" xr:uid="{00000000-0005-0000-0000-00008D2B0000}"/>
    <cellStyle name="_Revised MOR 2004_MOR - BDWY - 1+11_MOR - Gurgaon - 3+9(R)-1_Revised MOR Package_Revised MOR Package - Latest_II.4. RawMaterials" xfId="11151" xr:uid="{00000000-0005-0000-0000-00008E2B0000}"/>
    <cellStyle name="_Revised MOR 2004_MOR - BDWY - 1+11_MOR - Gurgaon - 3+9(R)-1_Revised MOR Package_Revised MOR Package - Latest_II.4. RawMaterials 2" xfId="11152" xr:uid="{00000000-0005-0000-0000-00008F2B0000}"/>
    <cellStyle name="_Revised MOR 2004_MOR - BDWY - 1+11_MOR - Gurgaon - 3+9(R)-1_Revised MOR Package_Revised MOR Package - Latest_II.4. RawMaterials_BS retrieve" xfId="11153" xr:uid="{00000000-0005-0000-0000-0000902B0000}"/>
    <cellStyle name="_Revised MOR 2004_MOR - BDWY - 1+11_MOR - Gurgaon - 3+9(R)-1_Revised MOR Package_Revised MOR Package - Latest_II.4. RawMaterials_Free CF" xfId="11154" xr:uid="{00000000-0005-0000-0000-0000912B0000}"/>
    <cellStyle name="_Revised MOR 2004_MOR - BDWY - 1+11_MOR - Gurgaon - 3+9(R)-1_Revised MOR Package_Revised MOR Package - Latest_II.4. RawMaterials_P&amp;L Rec Qtr" xfId="11155" xr:uid="{00000000-0005-0000-0000-0000922B0000}"/>
    <cellStyle name="_Revised MOR 2004_MOR - BDWY - 1+11_MOR - Gurgaon - 3+9(R)-1_Revised MOR Package_Revised MOR Package - Latest_II.4. RawMaterials_Sheet1" xfId="11156" xr:uid="{00000000-0005-0000-0000-0000932B0000}"/>
    <cellStyle name="_Revised MOR 2004_MOR - BDWY - 1+11_MOR - Gurgaon - 3+9(R)-1_Revised MOR Package_Revised MOR Package - Latest_II.4. RawMaterials_Sheet2" xfId="11157" xr:uid="{00000000-0005-0000-0000-0000942B0000}"/>
    <cellStyle name="_Revised MOR 2004_MOR - BDWY - 1+11_MOR - Gurgaon - 3+9(R)-1_Revised MOR Package_Revised MOR Package - Latest_II.4. RawMaterials_Sheet3" xfId="11158" xr:uid="{00000000-0005-0000-0000-0000952B0000}"/>
    <cellStyle name="_Revised MOR 2004_MOR - BDWY - 1+11_MOR - Gurgaon - 3+9(R)-1_Revised MOR Package_Revised MOR Package - Latest_II.4. RawMaterials_Sheet4" xfId="11159" xr:uid="{00000000-0005-0000-0000-0000962B0000}"/>
    <cellStyle name="_Revised MOR 2004_MOR - BDWY - 1+11_MOR - Gurgaon - 3+9(R)-1_Revised MOR Package_Revised MOR Package - Latest_II.5. RawMaterials" xfId="11160" xr:uid="{00000000-0005-0000-0000-0000972B0000}"/>
    <cellStyle name="_Revised MOR 2004_MOR - BDWY - 1+11_MOR - Gurgaon - 3+9(R)-1_Revised MOR Package_Revised MOR Package - Latest_II.5. RawMaterials 2" xfId="11161" xr:uid="{00000000-0005-0000-0000-0000982B0000}"/>
    <cellStyle name="_Revised MOR 2004_MOR - BDWY - 1+11_MOR - Gurgaon - 3+9(R)-1_Revised MOR Package_Revised MOR Package - Latest_II.5. RawMaterials_BS retrieve" xfId="11162" xr:uid="{00000000-0005-0000-0000-0000992B0000}"/>
    <cellStyle name="_Revised MOR 2004_MOR - BDWY - 1+11_MOR - Gurgaon - 3+9(R)-1_Revised MOR Package_Revised MOR Package - Latest_II.5. RawMaterials_Free CF" xfId="11163" xr:uid="{00000000-0005-0000-0000-00009A2B0000}"/>
    <cellStyle name="_Revised MOR 2004_MOR - BDWY - 1+11_MOR - Gurgaon - 3+9(R)-1_Revised MOR Package_Revised MOR Package - Latest_II.5. RawMaterials_P&amp;L Rec Qtr" xfId="11164" xr:uid="{00000000-0005-0000-0000-00009B2B0000}"/>
    <cellStyle name="_Revised MOR 2004_MOR - BDWY - 1+11_MOR - Gurgaon - 3+9(R)-1_Revised MOR Package_Revised MOR Package - Latest_II.5. RawMaterials_Sheet1" xfId="11165" xr:uid="{00000000-0005-0000-0000-00009C2B0000}"/>
    <cellStyle name="_Revised MOR 2004_MOR - BDWY - 1+11_MOR - Gurgaon - 3+9(R)-1_Revised MOR Package_Revised MOR Package - Latest_II.5. RawMaterials_Sheet2" xfId="11166" xr:uid="{00000000-0005-0000-0000-00009D2B0000}"/>
    <cellStyle name="_Revised MOR 2004_MOR - BDWY - 1+11_MOR - Gurgaon - 3+9(R)-1_Revised MOR Package_Revised MOR Package - Latest_II.5. RawMaterials_Sheet3" xfId="11167" xr:uid="{00000000-0005-0000-0000-00009E2B0000}"/>
    <cellStyle name="_Revised MOR 2004_MOR - BDWY - 1+11_MOR - Gurgaon - 3+9(R)-1_Revised MOR Package_Revised MOR Package - Latest_II.5. RawMaterials_Sheet4" xfId="11168" xr:uid="{00000000-0005-0000-0000-00009F2B0000}"/>
    <cellStyle name="_Revised MOR 2004_MOR - BDWY - 1+11_MOR - Gurgaon - 3+9(R)-1_Revised MOR Package_Revised MOR Package - Latest_II.5. RM Volume Sensitivities" xfId="11169" xr:uid="{00000000-0005-0000-0000-0000A02B0000}"/>
    <cellStyle name="_Revised MOR 2004_MOR - BDWY - 1+11_MOR - Gurgaon - 3+9(R)-1_Revised MOR Package_Revised MOR Package - Latest_II.5. RM Volume Sensitivities 2" xfId="11170" xr:uid="{00000000-0005-0000-0000-0000A12B0000}"/>
    <cellStyle name="_Revised MOR 2004_MOR - BDWY - 1+11_MOR - Gurgaon - 3+9(R)-1_Revised MOR Package_Revised MOR Package - Latest_II.5. RM Volume Sensitivities_BS retrieve" xfId="11171" xr:uid="{00000000-0005-0000-0000-0000A22B0000}"/>
    <cellStyle name="_Revised MOR 2004_MOR - BDWY - 1+11_MOR - Gurgaon - 3+9(R)-1_Revised MOR Package_Revised MOR Package - Latest_II.5. RM Volume Sensitivities_Free CF" xfId="11172" xr:uid="{00000000-0005-0000-0000-0000A32B0000}"/>
    <cellStyle name="_Revised MOR 2004_MOR - BDWY - 1+11_MOR - Gurgaon - 3+9(R)-1_Revised MOR Package_Revised MOR Package - Latest_II.5. RM Volume Sensitivities_P&amp;L Rec Qtr" xfId="11173" xr:uid="{00000000-0005-0000-0000-0000A42B0000}"/>
    <cellStyle name="_Revised MOR 2004_MOR - BDWY - 1+11_MOR - Gurgaon - 3+9(R)-1_Revised MOR Package_Revised MOR Package - Latest_II.5. RM Volume Sensitivities_Sheet1" xfId="11174" xr:uid="{00000000-0005-0000-0000-0000A52B0000}"/>
    <cellStyle name="_Revised MOR 2004_MOR - BDWY - 1+11_MOR - Gurgaon - 3+9(R)-1_Revised MOR Package_Revised MOR Package - Latest_II.5. RM Volume Sensitivities_Sheet2" xfId="11175" xr:uid="{00000000-0005-0000-0000-0000A62B0000}"/>
    <cellStyle name="_Revised MOR 2004_MOR - BDWY - 1+11_MOR - Gurgaon - 3+9(R)-1_Revised MOR Package_Revised MOR Package - Latest_II.5. RM Volume Sensitivities_Sheet3" xfId="11176" xr:uid="{00000000-0005-0000-0000-0000A72B0000}"/>
    <cellStyle name="_Revised MOR 2004_MOR - BDWY - 1+11_MOR - Gurgaon - 3+9(R)-1_Revised MOR Package_Revised MOR Package - Latest_II.5. RM Volume Sensitivities_Sheet4" xfId="11177" xr:uid="{00000000-0005-0000-0000-0000A82B0000}"/>
    <cellStyle name="_Revised MOR 2004_MOR - BDWY - 1+11_MOR - Gurgaon - 3+9(R)-1_Revised MOR Package_Revised MOR Package - Latest_II.8. Sep&amp;Discrete" xfId="11178" xr:uid="{00000000-0005-0000-0000-0000A92B0000}"/>
    <cellStyle name="_Revised MOR 2004_MOR - BDWY - 1+11_MOR - Gurgaon - 3+9(R)-1_Revised MOR Package_Revised MOR Package - Latest_Restructuring &amp; Separation" xfId="11179" xr:uid="{00000000-0005-0000-0000-0000AA2B0000}"/>
    <cellStyle name="_Revised MOR 2004_MOR - BDWY - 1+11_MOR - Gurgaon - 3+9(R)-1_Revised MOR Package_Revised MOR Package - Latest_Restructuring_Separation_TAX_JuneFC2010 tf" xfId="11180" xr:uid="{00000000-0005-0000-0000-0000AB2B0000}"/>
    <cellStyle name="_Revised MOR 2004_MOR - BDWY - 1+11_MOR - Gurgaon - 3+9(R)-1_Revised MOR Package_Revised MOR Package - Latest_Restructuring_Separation_TAX_JuneFC2010 tf_BS_Separation_TaxResIndem_Q12412 tf" xfId="11181" xr:uid="{00000000-0005-0000-0000-0000AC2B0000}"/>
    <cellStyle name="_Revised MOR 2004_MOR - BDWY - 1+11_MOR - Gurgaon - 3+9(R)-1_Revised MOR Package_Revised MOR Package - Latest_Restructuring_Separation_TAX_JuneFC2010 tf_BS_Separation_TaxResIndem_Q12412 tf_Restructuring &amp; Separation" xfId="11182" xr:uid="{00000000-0005-0000-0000-0000AD2B0000}"/>
    <cellStyle name="_Revised MOR 2004_MOR - BDWY - 1+11_MOR - Gurgaon - 3+9(R)-1_Revised MOR Package_Revised MOR Package - Latest_Restructuring_Separation_TAX_JuneFC2010 tf_II.8. Sep&amp;Discrete" xfId="11183" xr:uid="{00000000-0005-0000-0000-0000AE2B0000}"/>
    <cellStyle name="_Revised MOR 2004_MOR - BDWY - 1+11_MOR - Gurgaon - 3+9(R)-1_Revised MOR Package_Revised MOR Package - Latest_Restructuring_Separation_TAX_JuneFC2010 tf_Restructuring &amp; Separation" xfId="11184" xr:uid="{00000000-0005-0000-0000-0000AF2B0000}"/>
    <cellStyle name="_Revised MOR 2004_MOR - BDWY - 1+11_Restructuring &amp; Separation" xfId="11185" xr:uid="{00000000-0005-0000-0000-0000B02B0000}"/>
    <cellStyle name="_Revised MOR 2004_MOR - BDWY - 1+11_Restructuring_Separation_TAX_JuneFC2010 tf" xfId="11186" xr:uid="{00000000-0005-0000-0000-0000B12B0000}"/>
    <cellStyle name="_Revised MOR 2004_MOR - BDWY - 1+11_Restructuring_Separation_TAX_JuneFC2010 tf_BS_Separation_TaxResIndem_Q12412 tf" xfId="11187" xr:uid="{00000000-0005-0000-0000-0000B22B0000}"/>
    <cellStyle name="_Revised MOR 2004_MOR - BDWY - 1+11_Restructuring_Separation_TAX_JuneFC2010 tf_BS_Separation_TaxResIndem_Q12412 tf_Restructuring &amp; Separation" xfId="11188" xr:uid="{00000000-0005-0000-0000-0000B32B0000}"/>
    <cellStyle name="_Revised MOR 2004_MOR - BDWY - 1+11_Restructuring_Separation_TAX_JuneFC2010 tf_II.8. Sep&amp;Discrete" xfId="11189" xr:uid="{00000000-0005-0000-0000-0000B42B0000}"/>
    <cellStyle name="_Revised MOR 2004_MOR - BDWY - 1+11_Restructuring_Separation_TAX_JuneFC2010 tf_Restructuring &amp; Separation" xfId="11190" xr:uid="{00000000-0005-0000-0000-0000B52B0000}"/>
    <cellStyle name="_Revised MOR 2004_MOR - BDWY - 1+11_Revised MOR - Australia -  EC - 4+8" xfId="11191" xr:uid="{00000000-0005-0000-0000-0000B62B0000}"/>
    <cellStyle name="_Revised MOR 2004_MOR - BDWY - 1+11_Revised MOR - Australia -  EC - 4+8_BS_Separation_TaxResIndem_Q12412 tf" xfId="11192" xr:uid="{00000000-0005-0000-0000-0000B72B0000}"/>
    <cellStyle name="_Revised MOR 2004_MOR - BDWY - 1+11_Revised MOR - Australia -  EC - 4+8_BS_Separation_TaxResIndem_Q12412 tf_Restructuring &amp; Separation" xfId="11193" xr:uid="{00000000-0005-0000-0000-0000B82B0000}"/>
    <cellStyle name="_Revised MOR 2004_MOR - BDWY - 1+11_Revised MOR - Australia -  EC - 4+8_By Country Detail 1Q10 041410pm FIN 18 revised per disc w Mary" xfId="11194" xr:uid="{00000000-0005-0000-0000-0000B92B0000}"/>
    <cellStyle name="_Revised MOR 2004_MOR - BDWY - 1+11_Revised MOR - Australia -  EC - 4+8_By Country Detail 1Q10 041410pm FIN 18 revised per disc w Mary_BS_Separation_TaxResIndem_Q12412 tf" xfId="11195" xr:uid="{00000000-0005-0000-0000-0000BA2B0000}"/>
    <cellStyle name="_Revised MOR 2004_MOR - BDWY - 1+11_Revised MOR - Australia -  EC - 4+8_By Country Detail 1Q10 041410pm FIN 18 revised per disc w Mary_BS_Separation_TaxResIndem_Q12412 tf_Restructuring &amp; Separation" xfId="11196" xr:uid="{00000000-0005-0000-0000-0000BB2B0000}"/>
    <cellStyle name="_Revised MOR 2004_MOR - BDWY - 1+11_Revised MOR - Australia -  EC - 4+8_By Country Detail 1Q10 041410pm FIN 18 revised per disc w Mary_II.8. Sep&amp;Discrete" xfId="11197" xr:uid="{00000000-0005-0000-0000-0000BC2B0000}"/>
    <cellStyle name="_Revised MOR 2004_MOR - BDWY - 1+11_Revised MOR - Australia -  EC - 4+8_By Country Detail 1Q10 041410pm FIN 18 revised per disc w Mary_Restructuring &amp; Separation" xfId="11198" xr:uid="{00000000-0005-0000-0000-0000BD2B0000}"/>
    <cellStyle name="_Revised MOR 2004_MOR - BDWY - 1+11_Revised MOR - Australia -  EC - 4+8_II.4. RawMaterials" xfId="11199" xr:uid="{00000000-0005-0000-0000-0000BE2B0000}"/>
    <cellStyle name="_Revised MOR 2004_MOR - BDWY - 1+11_Revised MOR - Australia -  EC - 4+8_II.4. RawMaterials 2" xfId="11200" xr:uid="{00000000-0005-0000-0000-0000BF2B0000}"/>
    <cellStyle name="_Revised MOR 2004_MOR - BDWY - 1+11_Revised MOR - Australia -  EC - 4+8_II.4. RawMaterials_BS retrieve" xfId="11201" xr:uid="{00000000-0005-0000-0000-0000C02B0000}"/>
    <cellStyle name="_Revised MOR 2004_MOR - BDWY - 1+11_Revised MOR - Australia -  EC - 4+8_II.4. RawMaterials_Free CF" xfId="11202" xr:uid="{00000000-0005-0000-0000-0000C12B0000}"/>
    <cellStyle name="_Revised MOR 2004_MOR - BDWY - 1+11_Revised MOR - Australia -  EC - 4+8_II.4. RawMaterials_P&amp;L Rec Qtr" xfId="11203" xr:uid="{00000000-0005-0000-0000-0000C22B0000}"/>
    <cellStyle name="_Revised MOR 2004_MOR - BDWY - 1+11_Revised MOR - Australia -  EC - 4+8_II.4. RawMaterials_Sheet1" xfId="11204" xr:uid="{00000000-0005-0000-0000-0000C32B0000}"/>
    <cellStyle name="_Revised MOR 2004_MOR - BDWY - 1+11_Revised MOR - Australia -  EC - 4+8_II.4. RawMaterials_Sheet2" xfId="11205" xr:uid="{00000000-0005-0000-0000-0000C42B0000}"/>
    <cellStyle name="_Revised MOR 2004_MOR - BDWY - 1+11_Revised MOR - Australia -  EC - 4+8_II.4. RawMaterials_Sheet3" xfId="11206" xr:uid="{00000000-0005-0000-0000-0000C52B0000}"/>
    <cellStyle name="_Revised MOR 2004_MOR - BDWY - 1+11_Revised MOR - Australia -  EC - 4+8_II.4. RawMaterials_Sheet4" xfId="11207" xr:uid="{00000000-0005-0000-0000-0000C62B0000}"/>
    <cellStyle name="_Revised MOR 2004_MOR - BDWY - 1+11_Revised MOR - Australia -  EC - 4+8_II.5. RawMaterials" xfId="11208" xr:uid="{00000000-0005-0000-0000-0000C72B0000}"/>
    <cellStyle name="_Revised MOR 2004_MOR - BDWY - 1+11_Revised MOR - Australia -  EC - 4+8_II.5. RawMaterials 2" xfId="11209" xr:uid="{00000000-0005-0000-0000-0000C82B0000}"/>
    <cellStyle name="_Revised MOR 2004_MOR - BDWY - 1+11_Revised MOR - Australia -  EC - 4+8_II.5. RawMaterials_BS retrieve" xfId="11210" xr:uid="{00000000-0005-0000-0000-0000C92B0000}"/>
    <cellStyle name="_Revised MOR 2004_MOR - BDWY - 1+11_Revised MOR - Australia -  EC - 4+8_II.5. RawMaterials_Free CF" xfId="11211" xr:uid="{00000000-0005-0000-0000-0000CA2B0000}"/>
    <cellStyle name="_Revised MOR 2004_MOR - BDWY - 1+11_Revised MOR - Australia -  EC - 4+8_II.5. RawMaterials_P&amp;L Rec Qtr" xfId="11212" xr:uid="{00000000-0005-0000-0000-0000CB2B0000}"/>
    <cellStyle name="_Revised MOR 2004_MOR - BDWY - 1+11_Revised MOR - Australia -  EC - 4+8_II.5. RawMaterials_Sheet1" xfId="11213" xr:uid="{00000000-0005-0000-0000-0000CC2B0000}"/>
    <cellStyle name="_Revised MOR 2004_MOR - BDWY - 1+11_Revised MOR - Australia -  EC - 4+8_II.5. RawMaterials_Sheet2" xfId="11214" xr:uid="{00000000-0005-0000-0000-0000CD2B0000}"/>
    <cellStyle name="_Revised MOR 2004_MOR - BDWY - 1+11_Revised MOR - Australia -  EC - 4+8_II.5. RawMaterials_Sheet3" xfId="11215" xr:uid="{00000000-0005-0000-0000-0000CE2B0000}"/>
    <cellStyle name="_Revised MOR 2004_MOR - BDWY - 1+11_Revised MOR - Australia -  EC - 4+8_II.5. RawMaterials_Sheet4" xfId="11216" xr:uid="{00000000-0005-0000-0000-0000CF2B0000}"/>
    <cellStyle name="_Revised MOR 2004_MOR - BDWY - 1+11_Revised MOR - Australia -  EC - 4+8_II.5. RM Volume Sensitivities" xfId="11217" xr:uid="{00000000-0005-0000-0000-0000D02B0000}"/>
    <cellStyle name="_Revised MOR 2004_MOR - BDWY - 1+11_Revised MOR - Australia -  EC - 4+8_II.5. RM Volume Sensitivities 2" xfId="11218" xr:uid="{00000000-0005-0000-0000-0000D12B0000}"/>
    <cellStyle name="_Revised MOR 2004_MOR - BDWY - 1+11_Revised MOR - Australia -  EC - 4+8_II.5. RM Volume Sensitivities_BS retrieve" xfId="11219" xr:uid="{00000000-0005-0000-0000-0000D22B0000}"/>
    <cellStyle name="_Revised MOR 2004_MOR - BDWY - 1+11_Revised MOR - Australia -  EC - 4+8_II.5. RM Volume Sensitivities_Free CF" xfId="11220" xr:uid="{00000000-0005-0000-0000-0000D32B0000}"/>
    <cellStyle name="_Revised MOR 2004_MOR - BDWY - 1+11_Revised MOR - Australia -  EC - 4+8_II.5. RM Volume Sensitivities_P&amp;L Rec Qtr" xfId="11221" xr:uid="{00000000-0005-0000-0000-0000D42B0000}"/>
    <cellStyle name="_Revised MOR 2004_MOR - BDWY - 1+11_Revised MOR - Australia -  EC - 4+8_II.5. RM Volume Sensitivities_Sheet1" xfId="11222" xr:uid="{00000000-0005-0000-0000-0000D52B0000}"/>
    <cellStyle name="_Revised MOR 2004_MOR - BDWY - 1+11_Revised MOR - Australia -  EC - 4+8_II.5. RM Volume Sensitivities_Sheet2" xfId="11223" xr:uid="{00000000-0005-0000-0000-0000D62B0000}"/>
    <cellStyle name="_Revised MOR 2004_MOR - BDWY - 1+11_Revised MOR - Australia -  EC - 4+8_II.5. RM Volume Sensitivities_Sheet3" xfId="11224" xr:uid="{00000000-0005-0000-0000-0000D72B0000}"/>
    <cellStyle name="_Revised MOR 2004_MOR - BDWY - 1+11_Revised MOR - Australia -  EC - 4+8_II.5. RM Volume Sensitivities_Sheet4" xfId="11225" xr:uid="{00000000-0005-0000-0000-0000D82B0000}"/>
    <cellStyle name="_Revised MOR 2004_MOR - BDWY - 1+11_Revised MOR - Australia -  EC - 4+8_II.8. Sep&amp;Discrete" xfId="11226" xr:uid="{00000000-0005-0000-0000-0000D92B0000}"/>
    <cellStyle name="_Revised MOR 2004_MOR - BDWY - 1+11_Revised MOR - Australia -  EC - 4+8_Restructuring &amp; Separation" xfId="11227" xr:uid="{00000000-0005-0000-0000-0000DA2B0000}"/>
    <cellStyle name="_Revised MOR 2004_MOR - BDWY - 1+11_Revised MOR - Australia -  EC - 4+8_Restructuring_Separation_TAX_JuneFC2010 tf" xfId="11228" xr:uid="{00000000-0005-0000-0000-0000DB2B0000}"/>
    <cellStyle name="_Revised MOR 2004_MOR - BDWY - 1+11_Revised MOR - Australia -  EC - 4+8_Restructuring_Separation_TAX_JuneFC2010 tf_BS_Separation_TaxResIndem_Q12412 tf" xfId="11229" xr:uid="{00000000-0005-0000-0000-0000DC2B0000}"/>
    <cellStyle name="_Revised MOR 2004_MOR - BDWY - 1+11_Revised MOR - Australia -  EC - 4+8_Restructuring_Separation_TAX_JuneFC2010 tf_BS_Separation_TaxResIndem_Q12412 tf_Restructuring &amp; Separation" xfId="11230" xr:uid="{00000000-0005-0000-0000-0000DD2B0000}"/>
    <cellStyle name="_Revised MOR 2004_MOR - BDWY - 1+11_Revised MOR - Australia -  EC - 4+8_Restructuring_Separation_TAX_JuneFC2010 tf_II.8. Sep&amp;Discrete" xfId="11231" xr:uid="{00000000-0005-0000-0000-0000DE2B0000}"/>
    <cellStyle name="_Revised MOR 2004_MOR - BDWY - 1+11_Revised MOR - Australia -  EC - 4+8_Restructuring_Separation_TAX_JuneFC2010 tf_Restructuring &amp; Separation" xfId="11232" xr:uid="{00000000-0005-0000-0000-0000DF2B0000}"/>
    <cellStyle name="_Revised MOR 2004_MOR - BDWY - 1+11_Revised MOR Package - Latest" xfId="11233" xr:uid="{00000000-0005-0000-0000-0000E02B0000}"/>
    <cellStyle name="_Revised MOR 2004_MOR - BDWY - 1+11_Revised MOR Package - Latest_BS_Separation_TaxResIndem_Q12412 tf" xfId="11234" xr:uid="{00000000-0005-0000-0000-0000E12B0000}"/>
    <cellStyle name="_Revised MOR 2004_MOR - BDWY - 1+11_Revised MOR Package - Latest_BS_Separation_TaxResIndem_Q12412 tf_Restructuring &amp; Separation" xfId="11235" xr:uid="{00000000-0005-0000-0000-0000E22B0000}"/>
    <cellStyle name="_Revised MOR 2004_MOR - BDWY - 1+11_Revised MOR Package - Latest_By Country Detail 1Q10 041410pm FIN 18 revised per disc w Mary" xfId="11236" xr:uid="{00000000-0005-0000-0000-0000E32B0000}"/>
    <cellStyle name="_Revised MOR 2004_MOR - BDWY - 1+11_Revised MOR Package - Latest_By Country Detail 1Q10 041410pm FIN 18 revised per disc w Mary_BS_Separation_TaxResIndem_Q12412 tf" xfId="11237" xr:uid="{00000000-0005-0000-0000-0000E42B0000}"/>
    <cellStyle name="_Revised MOR 2004_MOR - BDWY - 1+11_Revised MOR Package - Latest_By Country Detail 1Q10 041410pm FIN 18 revised per disc w Mary_BS_Separation_TaxResIndem_Q12412 tf_Restructuring &amp; Separation" xfId="11238" xr:uid="{00000000-0005-0000-0000-0000E52B0000}"/>
    <cellStyle name="_Revised MOR 2004_MOR - BDWY - 1+11_Revised MOR Package - Latest_By Country Detail 1Q10 041410pm FIN 18 revised per disc w Mary_II.8. Sep&amp;Discrete" xfId="11239" xr:uid="{00000000-0005-0000-0000-0000E62B0000}"/>
    <cellStyle name="_Revised MOR 2004_MOR - BDWY - 1+11_Revised MOR Package - Latest_By Country Detail 1Q10 041410pm FIN 18 revised per disc w Mary_Restructuring &amp; Separation" xfId="11240" xr:uid="{00000000-0005-0000-0000-0000E72B0000}"/>
    <cellStyle name="_Revised MOR 2004_MOR - BDWY - 1+11_Revised MOR Package - Latest_II.4. RawMaterials" xfId="11241" xr:uid="{00000000-0005-0000-0000-0000E82B0000}"/>
    <cellStyle name="_Revised MOR 2004_MOR - BDWY - 1+11_Revised MOR Package - Latest_II.4. RawMaterials 2" xfId="11242" xr:uid="{00000000-0005-0000-0000-0000E92B0000}"/>
    <cellStyle name="_Revised MOR 2004_MOR - BDWY - 1+11_Revised MOR Package - Latest_II.4. RawMaterials_BS retrieve" xfId="11243" xr:uid="{00000000-0005-0000-0000-0000EA2B0000}"/>
    <cellStyle name="_Revised MOR 2004_MOR - BDWY - 1+11_Revised MOR Package - Latest_II.4. RawMaterials_Free CF" xfId="11244" xr:uid="{00000000-0005-0000-0000-0000EB2B0000}"/>
    <cellStyle name="_Revised MOR 2004_MOR - BDWY - 1+11_Revised MOR Package - Latest_II.4. RawMaterials_P&amp;L Rec Qtr" xfId="11245" xr:uid="{00000000-0005-0000-0000-0000EC2B0000}"/>
    <cellStyle name="_Revised MOR 2004_MOR - BDWY - 1+11_Revised MOR Package - Latest_II.4. RawMaterials_Sheet1" xfId="11246" xr:uid="{00000000-0005-0000-0000-0000ED2B0000}"/>
    <cellStyle name="_Revised MOR 2004_MOR - BDWY - 1+11_Revised MOR Package - Latest_II.4. RawMaterials_Sheet2" xfId="11247" xr:uid="{00000000-0005-0000-0000-0000EE2B0000}"/>
    <cellStyle name="_Revised MOR 2004_MOR - BDWY - 1+11_Revised MOR Package - Latest_II.4. RawMaterials_Sheet3" xfId="11248" xr:uid="{00000000-0005-0000-0000-0000EF2B0000}"/>
    <cellStyle name="_Revised MOR 2004_MOR - BDWY - 1+11_Revised MOR Package - Latest_II.4. RawMaterials_Sheet4" xfId="11249" xr:uid="{00000000-0005-0000-0000-0000F02B0000}"/>
    <cellStyle name="_Revised MOR 2004_MOR - BDWY - 1+11_Revised MOR Package - Latest_II.5. RawMaterials" xfId="11250" xr:uid="{00000000-0005-0000-0000-0000F12B0000}"/>
    <cellStyle name="_Revised MOR 2004_MOR - BDWY - 1+11_Revised MOR Package - Latest_II.5. RawMaterials 2" xfId="11251" xr:uid="{00000000-0005-0000-0000-0000F22B0000}"/>
    <cellStyle name="_Revised MOR 2004_MOR - BDWY - 1+11_Revised MOR Package - Latest_II.5. RawMaterials_BS retrieve" xfId="11252" xr:uid="{00000000-0005-0000-0000-0000F32B0000}"/>
    <cellStyle name="_Revised MOR 2004_MOR - BDWY - 1+11_Revised MOR Package - Latest_II.5. RawMaterials_Free CF" xfId="11253" xr:uid="{00000000-0005-0000-0000-0000F42B0000}"/>
    <cellStyle name="_Revised MOR 2004_MOR - BDWY - 1+11_Revised MOR Package - Latest_II.5. RawMaterials_P&amp;L Rec Qtr" xfId="11254" xr:uid="{00000000-0005-0000-0000-0000F52B0000}"/>
    <cellStyle name="_Revised MOR 2004_MOR - BDWY - 1+11_Revised MOR Package - Latest_II.5. RawMaterials_Sheet1" xfId="11255" xr:uid="{00000000-0005-0000-0000-0000F62B0000}"/>
    <cellStyle name="_Revised MOR 2004_MOR - BDWY - 1+11_Revised MOR Package - Latest_II.5. RawMaterials_Sheet2" xfId="11256" xr:uid="{00000000-0005-0000-0000-0000F72B0000}"/>
    <cellStyle name="_Revised MOR 2004_MOR - BDWY - 1+11_Revised MOR Package - Latest_II.5. RawMaterials_Sheet3" xfId="11257" xr:uid="{00000000-0005-0000-0000-0000F82B0000}"/>
    <cellStyle name="_Revised MOR 2004_MOR - BDWY - 1+11_Revised MOR Package - Latest_II.5. RawMaterials_Sheet4" xfId="11258" xr:uid="{00000000-0005-0000-0000-0000F92B0000}"/>
    <cellStyle name="_Revised MOR 2004_MOR - BDWY - 1+11_Revised MOR Package - Latest_II.5. RM Volume Sensitivities" xfId="11259" xr:uid="{00000000-0005-0000-0000-0000FA2B0000}"/>
    <cellStyle name="_Revised MOR 2004_MOR - BDWY - 1+11_Revised MOR Package - Latest_II.5. RM Volume Sensitivities 2" xfId="11260" xr:uid="{00000000-0005-0000-0000-0000FB2B0000}"/>
    <cellStyle name="_Revised MOR 2004_MOR - BDWY - 1+11_Revised MOR Package - Latest_II.5. RM Volume Sensitivities_BS retrieve" xfId="11261" xr:uid="{00000000-0005-0000-0000-0000FC2B0000}"/>
    <cellStyle name="_Revised MOR 2004_MOR - BDWY - 1+11_Revised MOR Package - Latest_II.5. RM Volume Sensitivities_Free CF" xfId="11262" xr:uid="{00000000-0005-0000-0000-0000FD2B0000}"/>
    <cellStyle name="_Revised MOR 2004_MOR - BDWY - 1+11_Revised MOR Package - Latest_II.5. RM Volume Sensitivities_P&amp;L Rec Qtr" xfId="11263" xr:uid="{00000000-0005-0000-0000-0000FE2B0000}"/>
    <cellStyle name="_Revised MOR 2004_MOR - BDWY - 1+11_Revised MOR Package - Latest_II.5. RM Volume Sensitivities_Sheet1" xfId="11264" xr:uid="{00000000-0005-0000-0000-0000FF2B0000}"/>
    <cellStyle name="_Revised MOR 2004_MOR - BDWY - 1+11_Revised MOR Package - Latest_II.5. RM Volume Sensitivities_Sheet2" xfId="11265" xr:uid="{00000000-0005-0000-0000-0000002C0000}"/>
    <cellStyle name="_Revised MOR 2004_MOR - BDWY - 1+11_Revised MOR Package - Latest_II.5. RM Volume Sensitivities_Sheet3" xfId="11266" xr:uid="{00000000-0005-0000-0000-0000012C0000}"/>
    <cellStyle name="_Revised MOR 2004_MOR - BDWY - 1+11_Revised MOR Package - Latest_II.5. RM Volume Sensitivities_Sheet4" xfId="11267" xr:uid="{00000000-0005-0000-0000-0000022C0000}"/>
    <cellStyle name="_Revised MOR 2004_MOR - BDWY - 1+11_Revised MOR Package - Latest_II.8. Sep&amp;Discrete" xfId="11268" xr:uid="{00000000-0005-0000-0000-0000032C0000}"/>
    <cellStyle name="_Revised MOR 2004_MOR - BDWY - 1+11_Revised MOR Package - Latest_Restructuring &amp; Separation" xfId="11269" xr:uid="{00000000-0005-0000-0000-0000042C0000}"/>
    <cellStyle name="_Revised MOR 2004_MOR - BDWY - 1+11_Revised MOR Package - Latest_Restructuring_Separation_TAX_JuneFC2010 tf" xfId="11270" xr:uid="{00000000-0005-0000-0000-0000052C0000}"/>
    <cellStyle name="_Revised MOR 2004_MOR - BDWY - 1+11_Revised MOR Package - Latest_Restructuring_Separation_TAX_JuneFC2010 tf_BS_Separation_TaxResIndem_Q12412 tf" xfId="11271" xr:uid="{00000000-0005-0000-0000-0000062C0000}"/>
    <cellStyle name="_Revised MOR 2004_MOR - BDWY - 1+11_Revised MOR Package - Latest_Restructuring_Separation_TAX_JuneFC2010 tf_BS_Separation_TaxResIndem_Q12412 tf_Restructuring &amp; Separation" xfId="11272" xr:uid="{00000000-0005-0000-0000-0000072C0000}"/>
    <cellStyle name="_Revised MOR 2004_MOR - BDWY - 1+11_Revised MOR Package - Latest_Restructuring_Separation_TAX_JuneFC2010 tf_II.8. Sep&amp;Discrete" xfId="11273" xr:uid="{00000000-0005-0000-0000-0000082C0000}"/>
    <cellStyle name="_Revised MOR 2004_MOR - BDWY - 1+11_Revised MOR Package - Latest_Restructuring_Separation_TAX_JuneFC2010 tf_Restructuring &amp; Separation" xfId="11274" xr:uid="{00000000-0005-0000-0000-0000092C0000}"/>
    <cellStyle name="_Revised MOR 2004_MOR - Revised Package" xfId="11275" xr:uid="{00000000-0005-0000-0000-00000A2C0000}"/>
    <cellStyle name="_Revised MOR 2004_MOR - Revised Package_~0039877" xfId="11276" xr:uid="{00000000-0005-0000-0000-00000B2C0000}"/>
    <cellStyle name="_Revised MOR 2004_MOR - Revised Package_~0039877_BS_Separation_TaxResIndem_Q12412 tf" xfId="11277" xr:uid="{00000000-0005-0000-0000-00000C2C0000}"/>
    <cellStyle name="_Revised MOR 2004_MOR - Revised Package_~0039877_BS_Separation_TaxResIndem_Q12412 tf_Restructuring &amp; Separation" xfId="11278" xr:uid="{00000000-0005-0000-0000-00000D2C0000}"/>
    <cellStyle name="_Revised MOR 2004_MOR - Revised Package_~0039877_By Country Detail 1Q10 041410pm FIN 18 revised per disc w Mary" xfId="11279" xr:uid="{00000000-0005-0000-0000-00000E2C0000}"/>
    <cellStyle name="_Revised MOR 2004_MOR - Revised Package_~0039877_By Country Detail 1Q10 041410pm FIN 18 revised per disc w Mary_BS_Separation_TaxResIndem_Q12412 tf" xfId="11280" xr:uid="{00000000-0005-0000-0000-00000F2C0000}"/>
    <cellStyle name="_Revised MOR 2004_MOR - Revised Package_~0039877_By Country Detail 1Q10 041410pm FIN 18 revised per disc w Mary_BS_Separation_TaxResIndem_Q12412 tf_Restructuring &amp; Separation" xfId="11281" xr:uid="{00000000-0005-0000-0000-0000102C0000}"/>
    <cellStyle name="_Revised MOR 2004_MOR - Revised Package_~0039877_By Country Detail 1Q10 041410pm FIN 18 revised per disc w Mary_II.8. Sep&amp;Discrete" xfId="11282" xr:uid="{00000000-0005-0000-0000-0000112C0000}"/>
    <cellStyle name="_Revised MOR 2004_MOR - Revised Package_~0039877_By Country Detail 1Q10 041410pm FIN 18 revised per disc w Mary_Restructuring &amp; Separation" xfId="11283" xr:uid="{00000000-0005-0000-0000-0000122C0000}"/>
    <cellStyle name="_Revised MOR 2004_MOR - Revised Package_~0039877_II.4. RawMaterials" xfId="11284" xr:uid="{00000000-0005-0000-0000-0000132C0000}"/>
    <cellStyle name="_Revised MOR 2004_MOR - Revised Package_~0039877_II.4. RawMaterials 2" xfId="11285" xr:uid="{00000000-0005-0000-0000-0000142C0000}"/>
    <cellStyle name="_Revised MOR 2004_MOR - Revised Package_~0039877_II.4. RawMaterials_BS retrieve" xfId="11286" xr:uid="{00000000-0005-0000-0000-0000152C0000}"/>
    <cellStyle name="_Revised MOR 2004_MOR - Revised Package_~0039877_II.4. RawMaterials_Free CF" xfId="11287" xr:uid="{00000000-0005-0000-0000-0000162C0000}"/>
    <cellStyle name="_Revised MOR 2004_MOR - Revised Package_~0039877_II.4. RawMaterials_P&amp;L Rec Qtr" xfId="11288" xr:uid="{00000000-0005-0000-0000-0000172C0000}"/>
    <cellStyle name="_Revised MOR 2004_MOR - Revised Package_~0039877_II.4. RawMaterials_Sheet1" xfId="11289" xr:uid="{00000000-0005-0000-0000-0000182C0000}"/>
    <cellStyle name="_Revised MOR 2004_MOR - Revised Package_~0039877_II.4. RawMaterials_Sheet2" xfId="11290" xr:uid="{00000000-0005-0000-0000-0000192C0000}"/>
    <cellStyle name="_Revised MOR 2004_MOR - Revised Package_~0039877_II.4. RawMaterials_Sheet3" xfId="11291" xr:uid="{00000000-0005-0000-0000-00001A2C0000}"/>
    <cellStyle name="_Revised MOR 2004_MOR - Revised Package_~0039877_II.4. RawMaterials_Sheet4" xfId="11292" xr:uid="{00000000-0005-0000-0000-00001B2C0000}"/>
    <cellStyle name="_Revised MOR 2004_MOR - Revised Package_~0039877_II.5. RawMaterials" xfId="11293" xr:uid="{00000000-0005-0000-0000-00001C2C0000}"/>
    <cellStyle name="_Revised MOR 2004_MOR - Revised Package_~0039877_II.5. RawMaterials 2" xfId="11294" xr:uid="{00000000-0005-0000-0000-00001D2C0000}"/>
    <cellStyle name="_Revised MOR 2004_MOR - Revised Package_~0039877_II.5. RawMaterials_BS retrieve" xfId="11295" xr:uid="{00000000-0005-0000-0000-00001E2C0000}"/>
    <cellStyle name="_Revised MOR 2004_MOR - Revised Package_~0039877_II.5. RawMaterials_Free CF" xfId="11296" xr:uid="{00000000-0005-0000-0000-00001F2C0000}"/>
    <cellStyle name="_Revised MOR 2004_MOR - Revised Package_~0039877_II.5. RawMaterials_P&amp;L Rec Qtr" xfId="11297" xr:uid="{00000000-0005-0000-0000-0000202C0000}"/>
    <cellStyle name="_Revised MOR 2004_MOR - Revised Package_~0039877_II.5. RawMaterials_Sheet1" xfId="11298" xr:uid="{00000000-0005-0000-0000-0000212C0000}"/>
    <cellStyle name="_Revised MOR 2004_MOR - Revised Package_~0039877_II.5. RawMaterials_Sheet2" xfId="11299" xr:uid="{00000000-0005-0000-0000-0000222C0000}"/>
    <cellStyle name="_Revised MOR 2004_MOR - Revised Package_~0039877_II.5. RawMaterials_Sheet3" xfId="11300" xr:uid="{00000000-0005-0000-0000-0000232C0000}"/>
    <cellStyle name="_Revised MOR 2004_MOR - Revised Package_~0039877_II.5. RawMaterials_Sheet4" xfId="11301" xr:uid="{00000000-0005-0000-0000-0000242C0000}"/>
    <cellStyle name="_Revised MOR 2004_MOR - Revised Package_~0039877_II.5. RM Volume Sensitivities" xfId="11302" xr:uid="{00000000-0005-0000-0000-0000252C0000}"/>
    <cellStyle name="_Revised MOR 2004_MOR - Revised Package_~0039877_II.5. RM Volume Sensitivities 2" xfId="11303" xr:uid="{00000000-0005-0000-0000-0000262C0000}"/>
    <cellStyle name="_Revised MOR 2004_MOR - Revised Package_~0039877_II.5. RM Volume Sensitivities_BS retrieve" xfId="11304" xr:uid="{00000000-0005-0000-0000-0000272C0000}"/>
    <cellStyle name="_Revised MOR 2004_MOR - Revised Package_~0039877_II.5. RM Volume Sensitivities_Free CF" xfId="11305" xr:uid="{00000000-0005-0000-0000-0000282C0000}"/>
    <cellStyle name="_Revised MOR 2004_MOR - Revised Package_~0039877_II.5. RM Volume Sensitivities_P&amp;L Rec Qtr" xfId="11306" xr:uid="{00000000-0005-0000-0000-0000292C0000}"/>
    <cellStyle name="_Revised MOR 2004_MOR - Revised Package_~0039877_II.5. RM Volume Sensitivities_Sheet1" xfId="11307" xr:uid="{00000000-0005-0000-0000-00002A2C0000}"/>
    <cellStyle name="_Revised MOR 2004_MOR - Revised Package_~0039877_II.5. RM Volume Sensitivities_Sheet2" xfId="11308" xr:uid="{00000000-0005-0000-0000-00002B2C0000}"/>
    <cellStyle name="_Revised MOR 2004_MOR - Revised Package_~0039877_II.5. RM Volume Sensitivities_Sheet3" xfId="11309" xr:uid="{00000000-0005-0000-0000-00002C2C0000}"/>
    <cellStyle name="_Revised MOR 2004_MOR - Revised Package_~0039877_II.5. RM Volume Sensitivities_Sheet4" xfId="11310" xr:uid="{00000000-0005-0000-0000-00002D2C0000}"/>
    <cellStyle name="_Revised MOR 2004_MOR - Revised Package_~0039877_II.8. Sep&amp;Discrete" xfId="11311" xr:uid="{00000000-0005-0000-0000-00002E2C0000}"/>
    <cellStyle name="_Revised MOR 2004_MOR - Revised Package_~0039877_Restructuring &amp; Separation" xfId="11312" xr:uid="{00000000-0005-0000-0000-00002F2C0000}"/>
    <cellStyle name="_Revised MOR 2004_MOR - Revised Package_~0039877_Restructuring_Separation_TAX_JuneFC2010 tf" xfId="11313" xr:uid="{00000000-0005-0000-0000-0000302C0000}"/>
    <cellStyle name="_Revised MOR 2004_MOR - Revised Package_~0039877_Restructuring_Separation_TAX_JuneFC2010 tf_BS_Separation_TaxResIndem_Q12412 tf" xfId="11314" xr:uid="{00000000-0005-0000-0000-0000312C0000}"/>
    <cellStyle name="_Revised MOR 2004_MOR - Revised Package_~0039877_Restructuring_Separation_TAX_JuneFC2010 tf_BS_Separation_TaxResIndem_Q12412 tf_Restructuring &amp; Separation" xfId="11315" xr:uid="{00000000-0005-0000-0000-0000322C0000}"/>
    <cellStyle name="_Revised MOR 2004_MOR - Revised Package_~0039877_Restructuring_Separation_TAX_JuneFC2010 tf_II.8. Sep&amp;Discrete" xfId="11316" xr:uid="{00000000-0005-0000-0000-0000332C0000}"/>
    <cellStyle name="_Revised MOR 2004_MOR - Revised Package_~0039877_Restructuring_Separation_TAX_JuneFC2010 tf_Restructuring &amp; Separation" xfId="11317" xr:uid="{00000000-0005-0000-0000-0000342C0000}"/>
    <cellStyle name="_Revised MOR 2004_MOR - Revised Package_BS_Separation_TaxResIndem_Q12412 tf" xfId="11318" xr:uid="{00000000-0005-0000-0000-0000352C0000}"/>
    <cellStyle name="_Revised MOR 2004_MOR - Revised Package_BS_Separation_TaxResIndem_Q12412 tf_Restructuring &amp; Separation" xfId="11319" xr:uid="{00000000-0005-0000-0000-0000362C0000}"/>
    <cellStyle name="_Revised MOR 2004_MOR - Revised Package_By Country Detail 1Q10 041410pm FIN 18 revised per disc w Mary" xfId="11320" xr:uid="{00000000-0005-0000-0000-0000372C0000}"/>
    <cellStyle name="_Revised MOR 2004_MOR - Revised Package_By Country Detail 1Q10 041410pm FIN 18 revised per disc w Mary_BS_Separation_TaxResIndem_Q12412 tf" xfId="11321" xr:uid="{00000000-0005-0000-0000-0000382C0000}"/>
    <cellStyle name="_Revised MOR 2004_MOR - Revised Package_By Country Detail 1Q10 041410pm FIN 18 revised per disc w Mary_BS_Separation_TaxResIndem_Q12412 tf_Restructuring &amp; Separation" xfId="11322" xr:uid="{00000000-0005-0000-0000-0000392C0000}"/>
    <cellStyle name="_Revised MOR 2004_MOR - Revised Package_By Country Detail 1Q10 041410pm FIN 18 revised per disc w Mary_II.8. Sep&amp;Discrete" xfId="11323" xr:uid="{00000000-0005-0000-0000-00003A2C0000}"/>
    <cellStyle name="_Revised MOR 2004_MOR - Revised Package_By Country Detail 1Q10 041410pm FIN 18 revised per disc w Mary_Restructuring &amp; Separation" xfId="11324" xr:uid="{00000000-0005-0000-0000-00003B2C0000}"/>
    <cellStyle name="_Revised MOR 2004_MOR - Revised Package_II.4. RawMaterials" xfId="11325" xr:uid="{00000000-0005-0000-0000-00003C2C0000}"/>
    <cellStyle name="_Revised MOR 2004_MOR - Revised Package_II.4. RawMaterials 2" xfId="11326" xr:uid="{00000000-0005-0000-0000-00003D2C0000}"/>
    <cellStyle name="_Revised MOR 2004_MOR - Revised Package_II.4. RawMaterials_BS retrieve" xfId="11327" xr:uid="{00000000-0005-0000-0000-00003E2C0000}"/>
    <cellStyle name="_Revised MOR 2004_MOR - Revised Package_II.4. RawMaterials_Free CF" xfId="11328" xr:uid="{00000000-0005-0000-0000-00003F2C0000}"/>
    <cellStyle name="_Revised MOR 2004_MOR - Revised Package_II.4. RawMaterials_P&amp;L Rec Qtr" xfId="11329" xr:uid="{00000000-0005-0000-0000-0000402C0000}"/>
    <cellStyle name="_Revised MOR 2004_MOR - Revised Package_II.4. RawMaterials_Sheet1" xfId="11330" xr:uid="{00000000-0005-0000-0000-0000412C0000}"/>
    <cellStyle name="_Revised MOR 2004_MOR - Revised Package_II.4. RawMaterials_Sheet2" xfId="11331" xr:uid="{00000000-0005-0000-0000-0000422C0000}"/>
    <cellStyle name="_Revised MOR 2004_MOR - Revised Package_II.4. RawMaterials_Sheet3" xfId="11332" xr:uid="{00000000-0005-0000-0000-0000432C0000}"/>
    <cellStyle name="_Revised MOR 2004_MOR - Revised Package_II.4. RawMaterials_Sheet4" xfId="11333" xr:uid="{00000000-0005-0000-0000-0000442C0000}"/>
    <cellStyle name="_Revised MOR 2004_MOR - Revised Package_II.5. RawMaterials" xfId="11334" xr:uid="{00000000-0005-0000-0000-0000452C0000}"/>
    <cellStyle name="_Revised MOR 2004_MOR - Revised Package_II.5. RawMaterials 2" xfId="11335" xr:uid="{00000000-0005-0000-0000-0000462C0000}"/>
    <cellStyle name="_Revised MOR 2004_MOR - Revised Package_II.5. RawMaterials_BS retrieve" xfId="11336" xr:uid="{00000000-0005-0000-0000-0000472C0000}"/>
    <cellStyle name="_Revised MOR 2004_MOR - Revised Package_II.5. RawMaterials_Free CF" xfId="11337" xr:uid="{00000000-0005-0000-0000-0000482C0000}"/>
    <cellStyle name="_Revised MOR 2004_MOR - Revised Package_II.5. RawMaterials_P&amp;L Rec Qtr" xfId="11338" xr:uid="{00000000-0005-0000-0000-0000492C0000}"/>
    <cellStyle name="_Revised MOR 2004_MOR - Revised Package_II.5. RawMaterials_Sheet1" xfId="11339" xr:uid="{00000000-0005-0000-0000-00004A2C0000}"/>
    <cellStyle name="_Revised MOR 2004_MOR - Revised Package_II.5. RawMaterials_Sheet2" xfId="11340" xr:uid="{00000000-0005-0000-0000-00004B2C0000}"/>
    <cellStyle name="_Revised MOR 2004_MOR - Revised Package_II.5. RawMaterials_Sheet3" xfId="11341" xr:uid="{00000000-0005-0000-0000-00004C2C0000}"/>
    <cellStyle name="_Revised MOR 2004_MOR - Revised Package_II.5. RawMaterials_Sheet4" xfId="11342" xr:uid="{00000000-0005-0000-0000-00004D2C0000}"/>
    <cellStyle name="_Revised MOR 2004_MOR - Revised Package_II.5. RM Volume Sensitivities" xfId="11343" xr:uid="{00000000-0005-0000-0000-00004E2C0000}"/>
    <cellStyle name="_Revised MOR 2004_MOR - Revised Package_II.5. RM Volume Sensitivities 2" xfId="11344" xr:uid="{00000000-0005-0000-0000-00004F2C0000}"/>
    <cellStyle name="_Revised MOR 2004_MOR - Revised Package_II.5. RM Volume Sensitivities_BS retrieve" xfId="11345" xr:uid="{00000000-0005-0000-0000-0000502C0000}"/>
    <cellStyle name="_Revised MOR 2004_MOR - Revised Package_II.5. RM Volume Sensitivities_Free CF" xfId="11346" xr:uid="{00000000-0005-0000-0000-0000512C0000}"/>
    <cellStyle name="_Revised MOR 2004_MOR - Revised Package_II.5. RM Volume Sensitivities_P&amp;L Rec Qtr" xfId="11347" xr:uid="{00000000-0005-0000-0000-0000522C0000}"/>
    <cellStyle name="_Revised MOR 2004_MOR - Revised Package_II.5. RM Volume Sensitivities_Sheet1" xfId="11348" xr:uid="{00000000-0005-0000-0000-0000532C0000}"/>
    <cellStyle name="_Revised MOR 2004_MOR - Revised Package_II.5. RM Volume Sensitivities_Sheet2" xfId="11349" xr:uid="{00000000-0005-0000-0000-0000542C0000}"/>
    <cellStyle name="_Revised MOR 2004_MOR - Revised Package_II.5. RM Volume Sensitivities_Sheet3" xfId="11350" xr:uid="{00000000-0005-0000-0000-0000552C0000}"/>
    <cellStyle name="_Revised MOR 2004_MOR - Revised Package_II.5. RM Volume Sensitivities_Sheet4" xfId="11351" xr:uid="{00000000-0005-0000-0000-0000562C0000}"/>
    <cellStyle name="_Revised MOR 2004_MOR - Revised Package_II.8. Sep&amp;Discrete" xfId="11352" xr:uid="{00000000-0005-0000-0000-0000572C0000}"/>
    <cellStyle name="_Revised MOR 2004_MOR - Revised Package_Restructuring &amp; Separation" xfId="11353" xr:uid="{00000000-0005-0000-0000-0000582C0000}"/>
    <cellStyle name="_Revised MOR 2004_MOR - Revised Package_Restructuring_Separation_TAX_JuneFC2010 tf" xfId="11354" xr:uid="{00000000-0005-0000-0000-0000592C0000}"/>
    <cellStyle name="_Revised MOR 2004_MOR - Revised Package_Restructuring_Separation_TAX_JuneFC2010 tf_BS_Separation_TaxResIndem_Q12412 tf" xfId="11355" xr:uid="{00000000-0005-0000-0000-00005A2C0000}"/>
    <cellStyle name="_Revised MOR 2004_MOR - Revised Package_Restructuring_Separation_TAX_JuneFC2010 tf_BS_Separation_TaxResIndem_Q12412 tf_Restructuring &amp; Separation" xfId="11356" xr:uid="{00000000-0005-0000-0000-00005B2C0000}"/>
    <cellStyle name="_Revised MOR 2004_MOR - Revised Package_Restructuring_Separation_TAX_JuneFC2010 tf_II.8. Sep&amp;Discrete" xfId="11357" xr:uid="{00000000-0005-0000-0000-00005C2C0000}"/>
    <cellStyle name="_Revised MOR 2004_MOR - Revised Package_Restructuring_Separation_TAX_JuneFC2010 tf_Restructuring &amp; Separation" xfId="11358" xr:uid="{00000000-0005-0000-0000-00005D2C0000}"/>
    <cellStyle name="_Revised MOR 2004_MOR - Revised Package_Revised MOR Package - Latest" xfId="11359" xr:uid="{00000000-0005-0000-0000-00005E2C0000}"/>
    <cellStyle name="_Revised MOR 2004_MOR - Revised Package_Revised MOR Package - Latest_BS_Separation_TaxResIndem_Q12412 tf" xfId="11360" xr:uid="{00000000-0005-0000-0000-00005F2C0000}"/>
    <cellStyle name="_Revised MOR 2004_MOR - Revised Package_Revised MOR Package - Latest_BS_Separation_TaxResIndem_Q12412 tf_Restructuring &amp; Separation" xfId="11361" xr:uid="{00000000-0005-0000-0000-0000602C0000}"/>
    <cellStyle name="_Revised MOR 2004_MOR - Revised Package_Revised MOR Package - Latest_By Country Detail 1Q10 041410pm FIN 18 revised per disc w Mary" xfId="11362" xr:uid="{00000000-0005-0000-0000-0000612C0000}"/>
    <cellStyle name="_Revised MOR 2004_MOR - Revised Package_Revised MOR Package - Latest_By Country Detail 1Q10 041410pm FIN 18 revised per disc w Mary_BS_Separation_TaxResIndem_Q12412 tf" xfId="11363" xr:uid="{00000000-0005-0000-0000-0000622C0000}"/>
    <cellStyle name="_Revised MOR 2004_MOR - Revised Package_Revised MOR Package - Latest_By Country Detail 1Q10 041410pm FIN 18 revised per disc w Mary_BS_Separation_TaxResIndem_Q12412 tf_Restructuring &amp; Separation" xfId="11364" xr:uid="{00000000-0005-0000-0000-0000632C0000}"/>
    <cellStyle name="_Revised MOR 2004_MOR - Revised Package_Revised MOR Package - Latest_By Country Detail 1Q10 041410pm FIN 18 revised per disc w Mary_II.8. Sep&amp;Discrete" xfId="11365" xr:uid="{00000000-0005-0000-0000-0000642C0000}"/>
    <cellStyle name="_Revised MOR 2004_MOR - Revised Package_Revised MOR Package - Latest_By Country Detail 1Q10 041410pm FIN 18 revised per disc w Mary_Restructuring &amp; Separation" xfId="11366" xr:uid="{00000000-0005-0000-0000-0000652C0000}"/>
    <cellStyle name="_Revised MOR 2004_MOR - Revised Package_Revised MOR Package - Latest_II.4. RawMaterials" xfId="11367" xr:uid="{00000000-0005-0000-0000-0000662C0000}"/>
    <cellStyle name="_Revised MOR 2004_MOR - Revised Package_Revised MOR Package - Latest_II.4. RawMaterials 2" xfId="11368" xr:uid="{00000000-0005-0000-0000-0000672C0000}"/>
    <cellStyle name="_Revised MOR 2004_MOR - Revised Package_Revised MOR Package - Latest_II.4. RawMaterials_BS retrieve" xfId="11369" xr:uid="{00000000-0005-0000-0000-0000682C0000}"/>
    <cellStyle name="_Revised MOR 2004_MOR - Revised Package_Revised MOR Package - Latest_II.4. RawMaterials_Free CF" xfId="11370" xr:uid="{00000000-0005-0000-0000-0000692C0000}"/>
    <cellStyle name="_Revised MOR 2004_MOR - Revised Package_Revised MOR Package - Latest_II.4. RawMaterials_P&amp;L Rec Qtr" xfId="11371" xr:uid="{00000000-0005-0000-0000-00006A2C0000}"/>
    <cellStyle name="_Revised MOR 2004_MOR - Revised Package_Revised MOR Package - Latest_II.4. RawMaterials_Sheet1" xfId="11372" xr:uid="{00000000-0005-0000-0000-00006B2C0000}"/>
    <cellStyle name="_Revised MOR 2004_MOR - Revised Package_Revised MOR Package - Latest_II.4. RawMaterials_Sheet2" xfId="11373" xr:uid="{00000000-0005-0000-0000-00006C2C0000}"/>
    <cellStyle name="_Revised MOR 2004_MOR - Revised Package_Revised MOR Package - Latest_II.4. RawMaterials_Sheet3" xfId="11374" xr:uid="{00000000-0005-0000-0000-00006D2C0000}"/>
    <cellStyle name="_Revised MOR 2004_MOR - Revised Package_Revised MOR Package - Latest_II.4. RawMaterials_Sheet4" xfId="11375" xr:uid="{00000000-0005-0000-0000-00006E2C0000}"/>
    <cellStyle name="_Revised MOR 2004_MOR - Revised Package_Revised MOR Package - Latest_II.5. RawMaterials" xfId="11376" xr:uid="{00000000-0005-0000-0000-00006F2C0000}"/>
    <cellStyle name="_Revised MOR 2004_MOR - Revised Package_Revised MOR Package - Latest_II.5. RawMaterials 2" xfId="11377" xr:uid="{00000000-0005-0000-0000-0000702C0000}"/>
    <cellStyle name="_Revised MOR 2004_MOR - Revised Package_Revised MOR Package - Latest_II.5. RawMaterials_BS retrieve" xfId="11378" xr:uid="{00000000-0005-0000-0000-0000712C0000}"/>
    <cellStyle name="_Revised MOR 2004_MOR - Revised Package_Revised MOR Package - Latest_II.5. RawMaterials_Free CF" xfId="11379" xr:uid="{00000000-0005-0000-0000-0000722C0000}"/>
    <cellStyle name="_Revised MOR 2004_MOR - Revised Package_Revised MOR Package - Latest_II.5. RawMaterials_P&amp;L Rec Qtr" xfId="11380" xr:uid="{00000000-0005-0000-0000-0000732C0000}"/>
    <cellStyle name="_Revised MOR 2004_MOR - Revised Package_Revised MOR Package - Latest_II.5. RawMaterials_Sheet1" xfId="11381" xr:uid="{00000000-0005-0000-0000-0000742C0000}"/>
    <cellStyle name="_Revised MOR 2004_MOR - Revised Package_Revised MOR Package - Latest_II.5. RawMaterials_Sheet2" xfId="11382" xr:uid="{00000000-0005-0000-0000-0000752C0000}"/>
    <cellStyle name="_Revised MOR 2004_MOR - Revised Package_Revised MOR Package - Latest_II.5. RawMaterials_Sheet3" xfId="11383" xr:uid="{00000000-0005-0000-0000-0000762C0000}"/>
    <cellStyle name="_Revised MOR 2004_MOR - Revised Package_Revised MOR Package - Latest_II.5. RawMaterials_Sheet4" xfId="11384" xr:uid="{00000000-0005-0000-0000-0000772C0000}"/>
    <cellStyle name="_Revised MOR 2004_MOR - Revised Package_Revised MOR Package - Latest_II.5. RM Volume Sensitivities" xfId="11385" xr:uid="{00000000-0005-0000-0000-0000782C0000}"/>
    <cellStyle name="_Revised MOR 2004_MOR - Revised Package_Revised MOR Package - Latest_II.5. RM Volume Sensitivities 2" xfId="11386" xr:uid="{00000000-0005-0000-0000-0000792C0000}"/>
    <cellStyle name="_Revised MOR 2004_MOR - Revised Package_Revised MOR Package - Latest_II.5. RM Volume Sensitivities_BS retrieve" xfId="11387" xr:uid="{00000000-0005-0000-0000-00007A2C0000}"/>
    <cellStyle name="_Revised MOR 2004_MOR - Revised Package_Revised MOR Package - Latest_II.5. RM Volume Sensitivities_Free CF" xfId="11388" xr:uid="{00000000-0005-0000-0000-00007B2C0000}"/>
    <cellStyle name="_Revised MOR 2004_MOR - Revised Package_Revised MOR Package - Latest_II.5. RM Volume Sensitivities_P&amp;L Rec Qtr" xfId="11389" xr:uid="{00000000-0005-0000-0000-00007C2C0000}"/>
    <cellStyle name="_Revised MOR 2004_MOR - Revised Package_Revised MOR Package - Latest_II.5. RM Volume Sensitivities_Sheet1" xfId="11390" xr:uid="{00000000-0005-0000-0000-00007D2C0000}"/>
    <cellStyle name="_Revised MOR 2004_MOR - Revised Package_Revised MOR Package - Latest_II.5. RM Volume Sensitivities_Sheet2" xfId="11391" xr:uid="{00000000-0005-0000-0000-00007E2C0000}"/>
    <cellStyle name="_Revised MOR 2004_MOR - Revised Package_Revised MOR Package - Latest_II.5. RM Volume Sensitivities_Sheet3" xfId="11392" xr:uid="{00000000-0005-0000-0000-00007F2C0000}"/>
    <cellStyle name="_Revised MOR 2004_MOR - Revised Package_Revised MOR Package - Latest_II.5. RM Volume Sensitivities_Sheet4" xfId="11393" xr:uid="{00000000-0005-0000-0000-0000802C0000}"/>
    <cellStyle name="_Revised MOR 2004_MOR - Revised Package_Revised MOR Package - Latest_II.8. Sep&amp;Discrete" xfId="11394" xr:uid="{00000000-0005-0000-0000-0000812C0000}"/>
    <cellStyle name="_Revised MOR 2004_MOR - Revised Package_Revised MOR Package - Latest_Restructuring &amp; Separation" xfId="11395" xr:uid="{00000000-0005-0000-0000-0000822C0000}"/>
    <cellStyle name="_Revised MOR 2004_MOR - Revised Package_Revised MOR Package - Latest_Restructuring_Separation_TAX_JuneFC2010 tf" xfId="11396" xr:uid="{00000000-0005-0000-0000-0000832C0000}"/>
    <cellStyle name="_Revised MOR 2004_MOR - Revised Package_Revised MOR Package - Latest_Restructuring_Separation_TAX_JuneFC2010 tf_BS_Separation_TaxResIndem_Q12412 tf" xfId="11397" xr:uid="{00000000-0005-0000-0000-0000842C0000}"/>
    <cellStyle name="_Revised MOR 2004_MOR - Revised Package_Revised MOR Package - Latest_Restructuring_Separation_TAX_JuneFC2010 tf_BS_Separation_TaxResIndem_Q12412 tf_Restructuring &amp; Separation" xfId="11398" xr:uid="{00000000-0005-0000-0000-0000852C0000}"/>
    <cellStyle name="_Revised MOR 2004_MOR - Revised Package_Revised MOR Package - Latest_Restructuring_Separation_TAX_JuneFC2010 tf_II.8. Sep&amp;Discrete" xfId="11399" xr:uid="{00000000-0005-0000-0000-0000862C0000}"/>
    <cellStyle name="_Revised MOR 2004_MOR - Revised Package_Revised MOR Package - Latest_Restructuring_Separation_TAX_JuneFC2010 tf_Restructuring &amp; Separation" xfId="11400" xr:uid="{00000000-0005-0000-0000-0000872C0000}"/>
    <cellStyle name="_Revised MOR 2004_Restructuring &amp; Separation" xfId="11401" xr:uid="{00000000-0005-0000-0000-0000882C0000}"/>
    <cellStyle name="_Revised MOR 2004_Restructuring_Separation_TAX_JuneFC2010 tf" xfId="11402" xr:uid="{00000000-0005-0000-0000-0000892C0000}"/>
    <cellStyle name="_Revised MOR 2004_Restructuring_Separation_TAX_JuneFC2010 tf_BS_Separation_TaxResIndem_Q12412 tf" xfId="11403" xr:uid="{00000000-0005-0000-0000-00008A2C0000}"/>
    <cellStyle name="_Revised MOR 2004_Restructuring_Separation_TAX_JuneFC2010 tf_BS_Separation_TaxResIndem_Q12412 tf_Restructuring &amp; Separation" xfId="11404" xr:uid="{00000000-0005-0000-0000-00008B2C0000}"/>
    <cellStyle name="_Revised MOR 2004_Restructuring_Separation_TAX_JuneFC2010 tf_II.8. Sep&amp;Discrete" xfId="11405" xr:uid="{00000000-0005-0000-0000-00008C2C0000}"/>
    <cellStyle name="_Revised MOR 2004_Restructuring_Separation_TAX_JuneFC2010 tf_Restructuring &amp; Separation" xfId="11406" xr:uid="{00000000-0005-0000-0000-00008D2C0000}"/>
    <cellStyle name="_Revised MOR 2004_Revised MOR Package" xfId="11407" xr:uid="{00000000-0005-0000-0000-00008E2C0000}"/>
    <cellStyle name="_Revised MOR 2004_Revised MOR Package_~0039877" xfId="11408" xr:uid="{00000000-0005-0000-0000-00008F2C0000}"/>
    <cellStyle name="_Revised MOR 2004_Revised MOR Package_~0039877_BS_Separation_TaxResIndem_Q12412 tf" xfId="11409" xr:uid="{00000000-0005-0000-0000-0000902C0000}"/>
    <cellStyle name="_Revised MOR 2004_Revised MOR Package_~0039877_BS_Separation_TaxResIndem_Q12412 tf_Restructuring &amp; Separation" xfId="11410" xr:uid="{00000000-0005-0000-0000-0000912C0000}"/>
    <cellStyle name="_Revised MOR 2004_Revised MOR Package_~0039877_By Country Detail 1Q10 041410pm FIN 18 revised per disc w Mary" xfId="11411" xr:uid="{00000000-0005-0000-0000-0000922C0000}"/>
    <cellStyle name="_Revised MOR 2004_Revised MOR Package_~0039877_By Country Detail 1Q10 041410pm FIN 18 revised per disc w Mary_BS_Separation_TaxResIndem_Q12412 tf" xfId="11412" xr:uid="{00000000-0005-0000-0000-0000932C0000}"/>
    <cellStyle name="_Revised MOR 2004_Revised MOR Package_~0039877_By Country Detail 1Q10 041410pm FIN 18 revised per disc w Mary_BS_Separation_TaxResIndem_Q12412 tf_Restructuring &amp; Separation" xfId="11413" xr:uid="{00000000-0005-0000-0000-0000942C0000}"/>
    <cellStyle name="_Revised MOR 2004_Revised MOR Package_~0039877_By Country Detail 1Q10 041410pm FIN 18 revised per disc w Mary_II.8. Sep&amp;Discrete" xfId="11414" xr:uid="{00000000-0005-0000-0000-0000952C0000}"/>
    <cellStyle name="_Revised MOR 2004_Revised MOR Package_~0039877_By Country Detail 1Q10 041410pm FIN 18 revised per disc w Mary_Restructuring &amp; Separation" xfId="11415" xr:uid="{00000000-0005-0000-0000-0000962C0000}"/>
    <cellStyle name="_Revised MOR 2004_Revised MOR Package_~0039877_II.4. RawMaterials" xfId="11416" xr:uid="{00000000-0005-0000-0000-0000972C0000}"/>
    <cellStyle name="_Revised MOR 2004_Revised MOR Package_~0039877_II.4. RawMaterials 2" xfId="11417" xr:uid="{00000000-0005-0000-0000-0000982C0000}"/>
    <cellStyle name="_Revised MOR 2004_Revised MOR Package_~0039877_II.4. RawMaterials_BS retrieve" xfId="11418" xr:uid="{00000000-0005-0000-0000-0000992C0000}"/>
    <cellStyle name="_Revised MOR 2004_Revised MOR Package_~0039877_II.4. RawMaterials_Free CF" xfId="11419" xr:uid="{00000000-0005-0000-0000-00009A2C0000}"/>
    <cellStyle name="_Revised MOR 2004_Revised MOR Package_~0039877_II.4. RawMaterials_P&amp;L Rec Qtr" xfId="11420" xr:uid="{00000000-0005-0000-0000-00009B2C0000}"/>
    <cellStyle name="_Revised MOR 2004_Revised MOR Package_~0039877_II.4. RawMaterials_Sheet1" xfId="11421" xr:uid="{00000000-0005-0000-0000-00009C2C0000}"/>
    <cellStyle name="_Revised MOR 2004_Revised MOR Package_~0039877_II.4. RawMaterials_Sheet2" xfId="11422" xr:uid="{00000000-0005-0000-0000-00009D2C0000}"/>
    <cellStyle name="_Revised MOR 2004_Revised MOR Package_~0039877_II.4. RawMaterials_Sheet3" xfId="11423" xr:uid="{00000000-0005-0000-0000-00009E2C0000}"/>
    <cellStyle name="_Revised MOR 2004_Revised MOR Package_~0039877_II.4. RawMaterials_Sheet4" xfId="11424" xr:uid="{00000000-0005-0000-0000-00009F2C0000}"/>
    <cellStyle name="_Revised MOR 2004_Revised MOR Package_~0039877_II.5. RawMaterials" xfId="11425" xr:uid="{00000000-0005-0000-0000-0000A02C0000}"/>
    <cellStyle name="_Revised MOR 2004_Revised MOR Package_~0039877_II.5. RawMaterials 2" xfId="11426" xr:uid="{00000000-0005-0000-0000-0000A12C0000}"/>
    <cellStyle name="_Revised MOR 2004_Revised MOR Package_~0039877_II.5. RawMaterials_BS retrieve" xfId="11427" xr:uid="{00000000-0005-0000-0000-0000A22C0000}"/>
    <cellStyle name="_Revised MOR 2004_Revised MOR Package_~0039877_II.5. RawMaterials_Free CF" xfId="11428" xr:uid="{00000000-0005-0000-0000-0000A32C0000}"/>
    <cellStyle name="_Revised MOR 2004_Revised MOR Package_~0039877_II.5. RawMaterials_P&amp;L Rec Qtr" xfId="11429" xr:uid="{00000000-0005-0000-0000-0000A42C0000}"/>
    <cellStyle name="_Revised MOR 2004_Revised MOR Package_~0039877_II.5. RawMaterials_Sheet1" xfId="11430" xr:uid="{00000000-0005-0000-0000-0000A52C0000}"/>
    <cellStyle name="_Revised MOR 2004_Revised MOR Package_~0039877_II.5. RawMaterials_Sheet2" xfId="11431" xr:uid="{00000000-0005-0000-0000-0000A62C0000}"/>
    <cellStyle name="_Revised MOR 2004_Revised MOR Package_~0039877_II.5. RawMaterials_Sheet3" xfId="11432" xr:uid="{00000000-0005-0000-0000-0000A72C0000}"/>
    <cellStyle name="_Revised MOR 2004_Revised MOR Package_~0039877_II.5. RawMaterials_Sheet4" xfId="11433" xr:uid="{00000000-0005-0000-0000-0000A82C0000}"/>
    <cellStyle name="_Revised MOR 2004_Revised MOR Package_~0039877_II.5. RM Volume Sensitivities" xfId="11434" xr:uid="{00000000-0005-0000-0000-0000A92C0000}"/>
    <cellStyle name="_Revised MOR 2004_Revised MOR Package_~0039877_II.5. RM Volume Sensitivities 2" xfId="11435" xr:uid="{00000000-0005-0000-0000-0000AA2C0000}"/>
    <cellStyle name="_Revised MOR 2004_Revised MOR Package_~0039877_II.5. RM Volume Sensitivities_BS retrieve" xfId="11436" xr:uid="{00000000-0005-0000-0000-0000AB2C0000}"/>
    <cellStyle name="_Revised MOR 2004_Revised MOR Package_~0039877_II.5. RM Volume Sensitivities_Free CF" xfId="11437" xr:uid="{00000000-0005-0000-0000-0000AC2C0000}"/>
    <cellStyle name="_Revised MOR 2004_Revised MOR Package_~0039877_II.5. RM Volume Sensitivities_P&amp;L Rec Qtr" xfId="11438" xr:uid="{00000000-0005-0000-0000-0000AD2C0000}"/>
    <cellStyle name="_Revised MOR 2004_Revised MOR Package_~0039877_II.5. RM Volume Sensitivities_Sheet1" xfId="11439" xr:uid="{00000000-0005-0000-0000-0000AE2C0000}"/>
    <cellStyle name="_Revised MOR 2004_Revised MOR Package_~0039877_II.5. RM Volume Sensitivities_Sheet2" xfId="11440" xr:uid="{00000000-0005-0000-0000-0000AF2C0000}"/>
    <cellStyle name="_Revised MOR 2004_Revised MOR Package_~0039877_II.5. RM Volume Sensitivities_Sheet3" xfId="11441" xr:uid="{00000000-0005-0000-0000-0000B02C0000}"/>
    <cellStyle name="_Revised MOR 2004_Revised MOR Package_~0039877_II.5. RM Volume Sensitivities_Sheet4" xfId="11442" xr:uid="{00000000-0005-0000-0000-0000B12C0000}"/>
    <cellStyle name="_Revised MOR 2004_Revised MOR Package_~0039877_II.8. Sep&amp;Discrete" xfId="11443" xr:uid="{00000000-0005-0000-0000-0000B22C0000}"/>
    <cellStyle name="_Revised MOR 2004_Revised MOR Package_~0039877_Restructuring &amp; Separation" xfId="11444" xr:uid="{00000000-0005-0000-0000-0000B32C0000}"/>
    <cellStyle name="_Revised MOR 2004_Revised MOR Package_~0039877_Restructuring_Separation_TAX_JuneFC2010 tf" xfId="11445" xr:uid="{00000000-0005-0000-0000-0000B42C0000}"/>
    <cellStyle name="_Revised MOR 2004_Revised MOR Package_~0039877_Restructuring_Separation_TAX_JuneFC2010 tf_BS_Separation_TaxResIndem_Q12412 tf" xfId="11446" xr:uid="{00000000-0005-0000-0000-0000B52C0000}"/>
    <cellStyle name="_Revised MOR 2004_Revised MOR Package_~0039877_Restructuring_Separation_TAX_JuneFC2010 tf_BS_Separation_TaxResIndem_Q12412 tf_Restructuring &amp; Separation" xfId="11447" xr:uid="{00000000-0005-0000-0000-0000B62C0000}"/>
    <cellStyle name="_Revised MOR 2004_Revised MOR Package_~0039877_Restructuring_Separation_TAX_JuneFC2010 tf_II.8. Sep&amp;Discrete" xfId="11448" xr:uid="{00000000-0005-0000-0000-0000B72C0000}"/>
    <cellStyle name="_Revised MOR 2004_Revised MOR Package_~0039877_Restructuring_Separation_TAX_JuneFC2010 tf_Restructuring &amp; Separation" xfId="11449" xr:uid="{00000000-0005-0000-0000-0000B82C0000}"/>
    <cellStyle name="_Revised MOR 2004_Revised MOR Package_BS_Separation_TaxResIndem_Q12412 tf" xfId="11450" xr:uid="{00000000-0005-0000-0000-0000B92C0000}"/>
    <cellStyle name="_Revised MOR 2004_Revised MOR Package_BS_Separation_TaxResIndem_Q12412 tf_Restructuring &amp; Separation" xfId="11451" xr:uid="{00000000-0005-0000-0000-0000BA2C0000}"/>
    <cellStyle name="_Revised MOR 2004_Revised MOR Package_By Country Detail 1Q10 041410pm FIN 18 revised per disc w Mary" xfId="11452" xr:uid="{00000000-0005-0000-0000-0000BB2C0000}"/>
    <cellStyle name="_Revised MOR 2004_Revised MOR Package_By Country Detail 1Q10 041410pm FIN 18 revised per disc w Mary_BS_Separation_TaxResIndem_Q12412 tf" xfId="11453" xr:uid="{00000000-0005-0000-0000-0000BC2C0000}"/>
    <cellStyle name="_Revised MOR 2004_Revised MOR Package_By Country Detail 1Q10 041410pm FIN 18 revised per disc w Mary_BS_Separation_TaxResIndem_Q12412 tf_Restructuring &amp; Separation" xfId="11454" xr:uid="{00000000-0005-0000-0000-0000BD2C0000}"/>
    <cellStyle name="_Revised MOR 2004_Revised MOR Package_By Country Detail 1Q10 041410pm FIN 18 revised per disc w Mary_II.8. Sep&amp;Discrete" xfId="11455" xr:uid="{00000000-0005-0000-0000-0000BE2C0000}"/>
    <cellStyle name="_Revised MOR 2004_Revised MOR Package_By Country Detail 1Q10 041410pm FIN 18 revised per disc w Mary_Restructuring &amp; Separation" xfId="11456" xr:uid="{00000000-0005-0000-0000-0000BF2C0000}"/>
    <cellStyle name="_Revised MOR 2004_Revised MOR Package_II.4. RawMaterials" xfId="11457" xr:uid="{00000000-0005-0000-0000-0000C02C0000}"/>
    <cellStyle name="_Revised MOR 2004_Revised MOR Package_II.4. RawMaterials 2" xfId="11458" xr:uid="{00000000-0005-0000-0000-0000C12C0000}"/>
    <cellStyle name="_Revised MOR 2004_Revised MOR Package_II.4. RawMaterials_BS retrieve" xfId="11459" xr:uid="{00000000-0005-0000-0000-0000C22C0000}"/>
    <cellStyle name="_Revised MOR 2004_Revised MOR Package_II.4. RawMaterials_Free CF" xfId="11460" xr:uid="{00000000-0005-0000-0000-0000C32C0000}"/>
    <cellStyle name="_Revised MOR 2004_Revised MOR Package_II.4. RawMaterials_P&amp;L Rec Qtr" xfId="11461" xr:uid="{00000000-0005-0000-0000-0000C42C0000}"/>
    <cellStyle name="_Revised MOR 2004_Revised MOR Package_II.4. RawMaterials_Sheet1" xfId="11462" xr:uid="{00000000-0005-0000-0000-0000C52C0000}"/>
    <cellStyle name="_Revised MOR 2004_Revised MOR Package_II.4. RawMaterials_Sheet2" xfId="11463" xr:uid="{00000000-0005-0000-0000-0000C62C0000}"/>
    <cellStyle name="_Revised MOR 2004_Revised MOR Package_II.4. RawMaterials_Sheet3" xfId="11464" xr:uid="{00000000-0005-0000-0000-0000C72C0000}"/>
    <cellStyle name="_Revised MOR 2004_Revised MOR Package_II.4. RawMaterials_Sheet4" xfId="11465" xr:uid="{00000000-0005-0000-0000-0000C82C0000}"/>
    <cellStyle name="_Revised MOR 2004_Revised MOR Package_II.5. RawMaterials" xfId="11466" xr:uid="{00000000-0005-0000-0000-0000C92C0000}"/>
    <cellStyle name="_Revised MOR 2004_Revised MOR Package_II.5. RawMaterials 2" xfId="11467" xr:uid="{00000000-0005-0000-0000-0000CA2C0000}"/>
    <cellStyle name="_Revised MOR 2004_Revised MOR Package_II.5. RawMaterials_BS retrieve" xfId="11468" xr:uid="{00000000-0005-0000-0000-0000CB2C0000}"/>
    <cellStyle name="_Revised MOR 2004_Revised MOR Package_II.5. RawMaterials_Free CF" xfId="11469" xr:uid="{00000000-0005-0000-0000-0000CC2C0000}"/>
    <cellStyle name="_Revised MOR 2004_Revised MOR Package_II.5. RawMaterials_P&amp;L Rec Qtr" xfId="11470" xr:uid="{00000000-0005-0000-0000-0000CD2C0000}"/>
    <cellStyle name="_Revised MOR 2004_Revised MOR Package_II.5. RawMaterials_Sheet1" xfId="11471" xr:uid="{00000000-0005-0000-0000-0000CE2C0000}"/>
    <cellStyle name="_Revised MOR 2004_Revised MOR Package_II.5. RawMaterials_Sheet2" xfId="11472" xr:uid="{00000000-0005-0000-0000-0000CF2C0000}"/>
    <cellStyle name="_Revised MOR 2004_Revised MOR Package_II.5. RawMaterials_Sheet3" xfId="11473" xr:uid="{00000000-0005-0000-0000-0000D02C0000}"/>
    <cellStyle name="_Revised MOR 2004_Revised MOR Package_II.5. RawMaterials_Sheet4" xfId="11474" xr:uid="{00000000-0005-0000-0000-0000D12C0000}"/>
    <cellStyle name="_Revised MOR 2004_Revised MOR Package_II.5. RM Volume Sensitivities" xfId="11475" xr:uid="{00000000-0005-0000-0000-0000D22C0000}"/>
    <cellStyle name="_Revised MOR 2004_Revised MOR Package_II.5. RM Volume Sensitivities 2" xfId="11476" xr:uid="{00000000-0005-0000-0000-0000D32C0000}"/>
    <cellStyle name="_Revised MOR 2004_Revised MOR Package_II.5. RM Volume Sensitivities_BS retrieve" xfId="11477" xr:uid="{00000000-0005-0000-0000-0000D42C0000}"/>
    <cellStyle name="_Revised MOR 2004_Revised MOR Package_II.5. RM Volume Sensitivities_Free CF" xfId="11478" xr:uid="{00000000-0005-0000-0000-0000D52C0000}"/>
    <cellStyle name="_Revised MOR 2004_Revised MOR Package_II.5. RM Volume Sensitivities_P&amp;L Rec Qtr" xfId="11479" xr:uid="{00000000-0005-0000-0000-0000D62C0000}"/>
    <cellStyle name="_Revised MOR 2004_Revised MOR Package_II.5. RM Volume Sensitivities_Sheet1" xfId="11480" xr:uid="{00000000-0005-0000-0000-0000D72C0000}"/>
    <cellStyle name="_Revised MOR 2004_Revised MOR Package_II.5. RM Volume Sensitivities_Sheet2" xfId="11481" xr:uid="{00000000-0005-0000-0000-0000D82C0000}"/>
    <cellStyle name="_Revised MOR 2004_Revised MOR Package_II.5. RM Volume Sensitivities_Sheet3" xfId="11482" xr:uid="{00000000-0005-0000-0000-0000D92C0000}"/>
    <cellStyle name="_Revised MOR 2004_Revised MOR Package_II.5. RM Volume Sensitivities_Sheet4" xfId="11483" xr:uid="{00000000-0005-0000-0000-0000DA2C0000}"/>
    <cellStyle name="_Revised MOR 2004_Revised MOR Package_II.8. Sep&amp;Discrete" xfId="11484" xr:uid="{00000000-0005-0000-0000-0000DB2C0000}"/>
    <cellStyle name="_Revised MOR 2004_Revised MOR Package_Restructuring &amp; Separation" xfId="11485" xr:uid="{00000000-0005-0000-0000-0000DC2C0000}"/>
    <cellStyle name="_Revised MOR 2004_Revised MOR Package_Restructuring_Separation_TAX_JuneFC2010 tf" xfId="11486" xr:uid="{00000000-0005-0000-0000-0000DD2C0000}"/>
    <cellStyle name="_Revised MOR 2004_Revised MOR Package_Restructuring_Separation_TAX_JuneFC2010 tf_BS_Separation_TaxResIndem_Q12412 tf" xfId="11487" xr:uid="{00000000-0005-0000-0000-0000DE2C0000}"/>
    <cellStyle name="_Revised MOR 2004_Revised MOR Package_Restructuring_Separation_TAX_JuneFC2010 tf_BS_Separation_TaxResIndem_Q12412 tf_Restructuring &amp; Separation" xfId="11488" xr:uid="{00000000-0005-0000-0000-0000DF2C0000}"/>
    <cellStyle name="_Revised MOR 2004_Revised MOR Package_Restructuring_Separation_TAX_JuneFC2010 tf_II.8. Sep&amp;Discrete" xfId="11489" xr:uid="{00000000-0005-0000-0000-0000E02C0000}"/>
    <cellStyle name="_Revised MOR 2004_Revised MOR Package_Restructuring_Separation_TAX_JuneFC2010 tf_Restructuring &amp; Separation" xfId="11490" xr:uid="{00000000-0005-0000-0000-0000E12C0000}"/>
    <cellStyle name="_Revised MOR 2004_Revised MOR Package_Revised MOR Package - Latest" xfId="11491" xr:uid="{00000000-0005-0000-0000-0000E22C0000}"/>
    <cellStyle name="_Revised MOR 2004_Revised MOR Package_Revised MOR Package - Latest_BS_Separation_TaxResIndem_Q12412 tf" xfId="11492" xr:uid="{00000000-0005-0000-0000-0000E32C0000}"/>
    <cellStyle name="_Revised MOR 2004_Revised MOR Package_Revised MOR Package - Latest_BS_Separation_TaxResIndem_Q12412 tf_Restructuring &amp; Separation" xfId="11493" xr:uid="{00000000-0005-0000-0000-0000E42C0000}"/>
    <cellStyle name="_Revised MOR 2004_Revised MOR Package_Revised MOR Package - Latest_By Country Detail 1Q10 041410pm FIN 18 revised per disc w Mary" xfId="11494" xr:uid="{00000000-0005-0000-0000-0000E52C0000}"/>
    <cellStyle name="_Revised MOR 2004_Revised MOR Package_Revised MOR Package - Latest_By Country Detail 1Q10 041410pm FIN 18 revised per disc w Mary_BS_Separation_TaxResIndem_Q12412 tf" xfId="11495" xr:uid="{00000000-0005-0000-0000-0000E62C0000}"/>
    <cellStyle name="_Revised MOR 2004_Revised MOR Package_Revised MOR Package - Latest_By Country Detail 1Q10 041410pm FIN 18 revised per disc w Mary_BS_Separation_TaxResIndem_Q12412 tf_Restructuring &amp; Separation" xfId="11496" xr:uid="{00000000-0005-0000-0000-0000E72C0000}"/>
    <cellStyle name="_Revised MOR 2004_Revised MOR Package_Revised MOR Package - Latest_By Country Detail 1Q10 041410pm FIN 18 revised per disc w Mary_II.8. Sep&amp;Discrete" xfId="11497" xr:uid="{00000000-0005-0000-0000-0000E82C0000}"/>
    <cellStyle name="_Revised MOR 2004_Revised MOR Package_Revised MOR Package - Latest_By Country Detail 1Q10 041410pm FIN 18 revised per disc w Mary_Restructuring &amp; Separation" xfId="11498" xr:uid="{00000000-0005-0000-0000-0000E92C0000}"/>
    <cellStyle name="_Revised MOR 2004_Revised MOR Package_Revised MOR Package - Latest_II.4. RawMaterials" xfId="11499" xr:uid="{00000000-0005-0000-0000-0000EA2C0000}"/>
    <cellStyle name="_Revised MOR 2004_Revised MOR Package_Revised MOR Package - Latest_II.4. RawMaterials 2" xfId="11500" xr:uid="{00000000-0005-0000-0000-0000EB2C0000}"/>
    <cellStyle name="_Revised MOR 2004_Revised MOR Package_Revised MOR Package - Latest_II.4. RawMaterials_BS retrieve" xfId="11501" xr:uid="{00000000-0005-0000-0000-0000EC2C0000}"/>
    <cellStyle name="_Revised MOR 2004_Revised MOR Package_Revised MOR Package - Latest_II.4. RawMaterials_Free CF" xfId="11502" xr:uid="{00000000-0005-0000-0000-0000ED2C0000}"/>
    <cellStyle name="_Revised MOR 2004_Revised MOR Package_Revised MOR Package - Latest_II.4. RawMaterials_P&amp;L Rec Qtr" xfId="11503" xr:uid="{00000000-0005-0000-0000-0000EE2C0000}"/>
    <cellStyle name="_Revised MOR 2004_Revised MOR Package_Revised MOR Package - Latest_II.4. RawMaterials_Sheet1" xfId="11504" xr:uid="{00000000-0005-0000-0000-0000EF2C0000}"/>
    <cellStyle name="_Revised MOR 2004_Revised MOR Package_Revised MOR Package - Latest_II.4. RawMaterials_Sheet2" xfId="11505" xr:uid="{00000000-0005-0000-0000-0000F02C0000}"/>
    <cellStyle name="_Revised MOR 2004_Revised MOR Package_Revised MOR Package - Latest_II.4. RawMaterials_Sheet3" xfId="11506" xr:uid="{00000000-0005-0000-0000-0000F12C0000}"/>
    <cellStyle name="_Revised MOR 2004_Revised MOR Package_Revised MOR Package - Latest_II.4. RawMaterials_Sheet4" xfId="11507" xr:uid="{00000000-0005-0000-0000-0000F22C0000}"/>
    <cellStyle name="_Revised MOR 2004_Revised MOR Package_Revised MOR Package - Latest_II.5. RawMaterials" xfId="11508" xr:uid="{00000000-0005-0000-0000-0000F32C0000}"/>
    <cellStyle name="_Revised MOR 2004_Revised MOR Package_Revised MOR Package - Latest_II.5. RawMaterials 2" xfId="11509" xr:uid="{00000000-0005-0000-0000-0000F42C0000}"/>
    <cellStyle name="_Revised MOR 2004_Revised MOR Package_Revised MOR Package - Latest_II.5. RawMaterials_BS retrieve" xfId="11510" xr:uid="{00000000-0005-0000-0000-0000F52C0000}"/>
    <cellStyle name="_Revised MOR 2004_Revised MOR Package_Revised MOR Package - Latest_II.5. RawMaterials_Free CF" xfId="11511" xr:uid="{00000000-0005-0000-0000-0000F62C0000}"/>
    <cellStyle name="_Revised MOR 2004_Revised MOR Package_Revised MOR Package - Latest_II.5. RawMaterials_P&amp;L Rec Qtr" xfId="11512" xr:uid="{00000000-0005-0000-0000-0000F72C0000}"/>
    <cellStyle name="_Revised MOR 2004_Revised MOR Package_Revised MOR Package - Latest_II.5. RawMaterials_Sheet1" xfId="11513" xr:uid="{00000000-0005-0000-0000-0000F82C0000}"/>
    <cellStyle name="_Revised MOR 2004_Revised MOR Package_Revised MOR Package - Latest_II.5. RawMaterials_Sheet2" xfId="11514" xr:uid="{00000000-0005-0000-0000-0000F92C0000}"/>
    <cellStyle name="_Revised MOR 2004_Revised MOR Package_Revised MOR Package - Latest_II.5. RawMaterials_Sheet3" xfId="11515" xr:uid="{00000000-0005-0000-0000-0000FA2C0000}"/>
    <cellStyle name="_Revised MOR 2004_Revised MOR Package_Revised MOR Package - Latest_II.5. RawMaterials_Sheet4" xfId="11516" xr:uid="{00000000-0005-0000-0000-0000FB2C0000}"/>
    <cellStyle name="_Revised MOR 2004_Revised MOR Package_Revised MOR Package - Latest_II.5. RM Volume Sensitivities" xfId="11517" xr:uid="{00000000-0005-0000-0000-0000FC2C0000}"/>
    <cellStyle name="_Revised MOR 2004_Revised MOR Package_Revised MOR Package - Latest_II.5. RM Volume Sensitivities 2" xfId="11518" xr:uid="{00000000-0005-0000-0000-0000FD2C0000}"/>
    <cellStyle name="_Revised MOR 2004_Revised MOR Package_Revised MOR Package - Latest_II.5. RM Volume Sensitivities_BS retrieve" xfId="11519" xr:uid="{00000000-0005-0000-0000-0000FE2C0000}"/>
    <cellStyle name="_Revised MOR 2004_Revised MOR Package_Revised MOR Package - Latest_II.5. RM Volume Sensitivities_Free CF" xfId="11520" xr:uid="{00000000-0005-0000-0000-0000FF2C0000}"/>
    <cellStyle name="_Revised MOR 2004_Revised MOR Package_Revised MOR Package - Latest_II.5. RM Volume Sensitivities_P&amp;L Rec Qtr" xfId="11521" xr:uid="{00000000-0005-0000-0000-0000002D0000}"/>
    <cellStyle name="_Revised MOR 2004_Revised MOR Package_Revised MOR Package - Latest_II.5. RM Volume Sensitivities_Sheet1" xfId="11522" xr:uid="{00000000-0005-0000-0000-0000012D0000}"/>
    <cellStyle name="_Revised MOR 2004_Revised MOR Package_Revised MOR Package - Latest_II.5. RM Volume Sensitivities_Sheet2" xfId="11523" xr:uid="{00000000-0005-0000-0000-0000022D0000}"/>
    <cellStyle name="_Revised MOR 2004_Revised MOR Package_Revised MOR Package - Latest_II.5. RM Volume Sensitivities_Sheet3" xfId="11524" xr:uid="{00000000-0005-0000-0000-0000032D0000}"/>
    <cellStyle name="_Revised MOR 2004_Revised MOR Package_Revised MOR Package - Latest_II.5. RM Volume Sensitivities_Sheet4" xfId="11525" xr:uid="{00000000-0005-0000-0000-0000042D0000}"/>
    <cellStyle name="_Revised MOR 2004_Revised MOR Package_Revised MOR Package - Latest_II.8. Sep&amp;Discrete" xfId="11526" xr:uid="{00000000-0005-0000-0000-0000052D0000}"/>
    <cellStyle name="_Revised MOR 2004_Revised MOR Package_Revised MOR Package - Latest_Restructuring &amp; Separation" xfId="11527" xr:uid="{00000000-0005-0000-0000-0000062D0000}"/>
    <cellStyle name="_Revised MOR 2004_Revised MOR Package_Revised MOR Package - Latest_Restructuring_Separation_TAX_JuneFC2010 tf" xfId="11528" xr:uid="{00000000-0005-0000-0000-0000072D0000}"/>
    <cellStyle name="_Revised MOR 2004_Revised MOR Package_Revised MOR Package - Latest_Restructuring_Separation_TAX_JuneFC2010 tf_BS_Separation_TaxResIndem_Q12412 tf" xfId="11529" xr:uid="{00000000-0005-0000-0000-0000082D0000}"/>
    <cellStyle name="_Revised MOR 2004_Revised MOR Package_Revised MOR Package - Latest_Restructuring_Separation_TAX_JuneFC2010 tf_BS_Separation_TaxResIndem_Q12412 tf_Restructuring &amp; Separation" xfId="11530" xr:uid="{00000000-0005-0000-0000-0000092D0000}"/>
    <cellStyle name="_Revised MOR 2004_Revised MOR Package_Revised MOR Package - Latest_Restructuring_Separation_TAX_JuneFC2010 tf_II.8. Sep&amp;Discrete" xfId="11531" xr:uid="{00000000-0005-0000-0000-00000A2D0000}"/>
    <cellStyle name="_Revised MOR 2004_Revised MOR Package_Revised MOR Package - Latest_Restructuring_Separation_TAX_JuneFC2010 tf_Restructuring &amp; Separation" xfId="11532" xr:uid="{00000000-0005-0000-0000-00000B2D0000}"/>
    <cellStyle name="_Revised MOR Package" xfId="11533" xr:uid="{00000000-0005-0000-0000-00000C2D0000}"/>
    <cellStyle name="_Revised MOR Package - Latest" xfId="11534" xr:uid="{00000000-0005-0000-0000-00000D2D0000}"/>
    <cellStyle name="_Revised MOR Package - Latest_BS_Separation_TaxResIndem_Q12412 tf" xfId="11535" xr:uid="{00000000-0005-0000-0000-00000E2D0000}"/>
    <cellStyle name="_Revised MOR Package - Latest_BS_Separation_TaxResIndem_Q12412 tf_Restructuring &amp; Separation" xfId="11536" xr:uid="{00000000-0005-0000-0000-00000F2D0000}"/>
    <cellStyle name="_Revised MOR Package - Latest_By Country Detail 1Q10 041410pm FIN 18 revised per disc w Mary" xfId="11537" xr:uid="{00000000-0005-0000-0000-0000102D0000}"/>
    <cellStyle name="_Revised MOR Package - Latest_By Country Detail 1Q10 041410pm FIN 18 revised per disc w Mary_BS_Separation_TaxResIndem_Q12412 tf" xfId="11538" xr:uid="{00000000-0005-0000-0000-0000112D0000}"/>
    <cellStyle name="_Revised MOR Package - Latest_By Country Detail 1Q10 041410pm FIN 18 revised per disc w Mary_BS_Separation_TaxResIndem_Q12412 tf_Restructuring &amp; Separation" xfId="11539" xr:uid="{00000000-0005-0000-0000-0000122D0000}"/>
    <cellStyle name="_Revised MOR Package - Latest_By Country Detail 1Q10 041410pm FIN 18 revised per disc w Mary_II.8. Sep&amp;Discrete" xfId="11540" xr:uid="{00000000-0005-0000-0000-0000132D0000}"/>
    <cellStyle name="_Revised MOR Package - Latest_By Country Detail 1Q10 041410pm FIN 18 revised per disc w Mary_Restructuring &amp; Separation" xfId="11541" xr:uid="{00000000-0005-0000-0000-0000142D0000}"/>
    <cellStyle name="_Revised MOR Package - Latest_II.4. RawMaterials" xfId="11542" xr:uid="{00000000-0005-0000-0000-0000152D0000}"/>
    <cellStyle name="_Revised MOR Package - Latest_II.4. RawMaterials 2" xfId="11543" xr:uid="{00000000-0005-0000-0000-0000162D0000}"/>
    <cellStyle name="_Revised MOR Package - Latest_II.4. RawMaterials_BS retrieve" xfId="11544" xr:uid="{00000000-0005-0000-0000-0000172D0000}"/>
    <cellStyle name="_Revised MOR Package - Latest_II.4. RawMaterials_Free CF" xfId="11545" xr:uid="{00000000-0005-0000-0000-0000182D0000}"/>
    <cellStyle name="_Revised MOR Package - Latest_II.4. RawMaterials_P&amp;L Rec Qtr" xfId="11546" xr:uid="{00000000-0005-0000-0000-0000192D0000}"/>
    <cellStyle name="_Revised MOR Package - Latest_II.4. RawMaterials_Sheet1" xfId="11547" xr:uid="{00000000-0005-0000-0000-00001A2D0000}"/>
    <cellStyle name="_Revised MOR Package - Latest_II.4. RawMaterials_Sheet2" xfId="11548" xr:uid="{00000000-0005-0000-0000-00001B2D0000}"/>
    <cellStyle name="_Revised MOR Package - Latest_II.4. RawMaterials_Sheet3" xfId="11549" xr:uid="{00000000-0005-0000-0000-00001C2D0000}"/>
    <cellStyle name="_Revised MOR Package - Latest_II.4. RawMaterials_Sheet4" xfId="11550" xr:uid="{00000000-0005-0000-0000-00001D2D0000}"/>
    <cellStyle name="_Revised MOR Package - Latest_II.5. RawMaterials" xfId="11551" xr:uid="{00000000-0005-0000-0000-00001E2D0000}"/>
    <cellStyle name="_Revised MOR Package - Latest_II.5. RawMaterials 2" xfId="11552" xr:uid="{00000000-0005-0000-0000-00001F2D0000}"/>
    <cellStyle name="_Revised MOR Package - Latest_II.5. RawMaterials_BS retrieve" xfId="11553" xr:uid="{00000000-0005-0000-0000-0000202D0000}"/>
    <cellStyle name="_Revised MOR Package - Latest_II.5. RawMaterials_Free CF" xfId="11554" xr:uid="{00000000-0005-0000-0000-0000212D0000}"/>
    <cellStyle name="_Revised MOR Package - Latest_II.5. RawMaterials_P&amp;L Rec Qtr" xfId="11555" xr:uid="{00000000-0005-0000-0000-0000222D0000}"/>
    <cellStyle name="_Revised MOR Package - Latest_II.5. RawMaterials_Sheet1" xfId="11556" xr:uid="{00000000-0005-0000-0000-0000232D0000}"/>
    <cellStyle name="_Revised MOR Package - Latest_II.5. RawMaterials_Sheet2" xfId="11557" xr:uid="{00000000-0005-0000-0000-0000242D0000}"/>
    <cellStyle name="_Revised MOR Package - Latest_II.5. RawMaterials_Sheet3" xfId="11558" xr:uid="{00000000-0005-0000-0000-0000252D0000}"/>
    <cellStyle name="_Revised MOR Package - Latest_II.5. RawMaterials_Sheet4" xfId="11559" xr:uid="{00000000-0005-0000-0000-0000262D0000}"/>
    <cellStyle name="_Revised MOR Package - Latest_II.5. RM Volume Sensitivities" xfId="11560" xr:uid="{00000000-0005-0000-0000-0000272D0000}"/>
    <cellStyle name="_Revised MOR Package - Latest_II.5. RM Volume Sensitivities 2" xfId="11561" xr:uid="{00000000-0005-0000-0000-0000282D0000}"/>
    <cellStyle name="_Revised MOR Package - Latest_II.5. RM Volume Sensitivities_BS retrieve" xfId="11562" xr:uid="{00000000-0005-0000-0000-0000292D0000}"/>
    <cellStyle name="_Revised MOR Package - Latest_II.5. RM Volume Sensitivities_Free CF" xfId="11563" xr:uid="{00000000-0005-0000-0000-00002A2D0000}"/>
    <cellStyle name="_Revised MOR Package - Latest_II.5. RM Volume Sensitivities_P&amp;L Rec Qtr" xfId="11564" xr:uid="{00000000-0005-0000-0000-00002B2D0000}"/>
    <cellStyle name="_Revised MOR Package - Latest_II.5. RM Volume Sensitivities_Sheet1" xfId="11565" xr:uid="{00000000-0005-0000-0000-00002C2D0000}"/>
    <cellStyle name="_Revised MOR Package - Latest_II.5. RM Volume Sensitivities_Sheet2" xfId="11566" xr:uid="{00000000-0005-0000-0000-00002D2D0000}"/>
    <cellStyle name="_Revised MOR Package - Latest_II.5. RM Volume Sensitivities_Sheet3" xfId="11567" xr:uid="{00000000-0005-0000-0000-00002E2D0000}"/>
    <cellStyle name="_Revised MOR Package - Latest_II.5. RM Volume Sensitivities_Sheet4" xfId="11568" xr:uid="{00000000-0005-0000-0000-00002F2D0000}"/>
    <cellStyle name="_Revised MOR Package - Latest_II.8. Sep&amp;Discrete" xfId="11569" xr:uid="{00000000-0005-0000-0000-0000302D0000}"/>
    <cellStyle name="_Revised MOR Package - Latest_Restructuring &amp; Separation" xfId="11570" xr:uid="{00000000-0005-0000-0000-0000312D0000}"/>
    <cellStyle name="_Revised MOR Package - Latest_Restructuring_Separation_TAX_JuneFC2010 tf" xfId="11571" xr:uid="{00000000-0005-0000-0000-0000322D0000}"/>
    <cellStyle name="_Revised MOR Package - Latest_Restructuring_Separation_TAX_JuneFC2010 tf_BS_Separation_TaxResIndem_Q12412 tf" xfId="11572" xr:uid="{00000000-0005-0000-0000-0000332D0000}"/>
    <cellStyle name="_Revised MOR Package - Latest_Restructuring_Separation_TAX_JuneFC2010 tf_BS_Separation_TaxResIndem_Q12412 tf_Restructuring &amp; Separation" xfId="11573" xr:uid="{00000000-0005-0000-0000-0000342D0000}"/>
    <cellStyle name="_Revised MOR Package - Latest_Restructuring_Separation_TAX_JuneFC2010 tf_II.8. Sep&amp;Discrete" xfId="11574" xr:uid="{00000000-0005-0000-0000-0000352D0000}"/>
    <cellStyle name="_Revised MOR Package - Latest_Restructuring_Separation_TAX_JuneFC2010 tf_Restructuring &amp; Separation" xfId="11575" xr:uid="{00000000-0005-0000-0000-0000362D0000}"/>
    <cellStyle name="_Revised MOR Package_~0039877" xfId="11576" xr:uid="{00000000-0005-0000-0000-0000372D0000}"/>
    <cellStyle name="_Revised MOR Package_~0039877_BS_Separation_TaxResIndem_Q12412 tf" xfId="11577" xr:uid="{00000000-0005-0000-0000-0000382D0000}"/>
    <cellStyle name="_Revised MOR Package_~0039877_BS_Separation_TaxResIndem_Q12412 tf_Restructuring &amp; Separation" xfId="11578" xr:uid="{00000000-0005-0000-0000-0000392D0000}"/>
    <cellStyle name="_Revised MOR Package_~0039877_By Country Detail 1Q10 041410pm FIN 18 revised per disc w Mary" xfId="11579" xr:uid="{00000000-0005-0000-0000-00003A2D0000}"/>
    <cellStyle name="_Revised MOR Package_~0039877_By Country Detail 1Q10 041410pm FIN 18 revised per disc w Mary_BS_Separation_TaxResIndem_Q12412 tf" xfId="11580" xr:uid="{00000000-0005-0000-0000-00003B2D0000}"/>
    <cellStyle name="_Revised MOR Package_~0039877_By Country Detail 1Q10 041410pm FIN 18 revised per disc w Mary_BS_Separation_TaxResIndem_Q12412 tf_Restructuring &amp; Separation" xfId="11581" xr:uid="{00000000-0005-0000-0000-00003C2D0000}"/>
    <cellStyle name="_Revised MOR Package_~0039877_By Country Detail 1Q10 041410pm FIN 18 revised per disc w Mary_II.8. Sep&amp;Discrete" xfId="11582" xr:uid="{00000000-0005-0000-0000-00003D2D0000}"/>
    <cellStyle name="_Revised MOR Package_~0039877_By Country Detail 1Q10 041410pm FIN 18 revised per disc w Mary_Restructuring &amp; Separation" xfId="11583" xr:uid="{00000000-0005-0000-0000-00003E2D0000}"/>
    <cellStyle name="_Revised MOR Package_~0039877_II.4. RawMaterials" xfId="11584" xr:uid="{00000000-0005-0000-0000-00003F2D0000}"/>
    <cellStyle name="_Revised MOR Package_~0039877_II.4. RawMaterials 2" xfId="11585" xr:uid="{00000000-0005-0000-0000-0000402D0000}"/>
    <cellStyle name="_Revised MOR Package_~0039877_II.4. RawMaterials_BS retrieve" xfId="11586" xr:uid="{00000000-0005-0000-0000-0000412D0000}"/>
    <cellStyle name="_Revised MOR Package_~0039877_II.4. RawMaterials_Free CF" xfId="11587" xr:uid="{00000000-0005-0000-0000-0000422D0000}"/>
    <cellStyle name="_Revised MOR Package_~0039877_II.4. RawMaterials_P&amp;L Rec Qtr" xfId="11588" xr:uid="{00000000-0005-0000-0000-0000432D0000}"/>
    <cellStyle name="_Revised MOR Package_~0039877_II.4. RawMaterials_Sheet1" xfId="11589" xr:uid="{00000000-0005-0000-0000-0000442D0000}"/>
    <cellStyle name="_Revised MOR Package_~0039877_II.4. RawMaterials_Sheet2" xfId="11590" xr:uid="{00000000-0005-0000-0000-0000452D0000}"/>
    <cellStyle name="_Revised MOR Package_~0039877_II.4. RawMaterials_Sheet3" xfId="11591" xr:uid="{00000000-0005-0000-0000-0000462D0000}"/>
    <cellStyle name="_Revised MOR Package_~0039877_II.4. RawMaterials_Sheet4" xfId="11592" xr:uid="{00000000-0005-0000-0000-0000472D0000}"/>
    <cellStyle name="_Revised MOR Package_~0039877_II.5. RawMaterials" xfId="11593" xr:uid="{00000000-0005-0000-0000-0000482D0000}"/>
    <cellStyle name="_Revised MOR Package_~0039877_II.5. RawMaterials 2" xfId="11594" xr:uid="{00000000-0005-0000-0000-0000492D0000}"/>
    <cellStyle name="_Revised MOR Package_~0039877_II.5. RawMaterials_BS retrieve" xfId="11595" xr:uid="{00000000-0005-0000-0000-00004A2D0000}"/>
    <cellStyle name="_Revised MOR Package_~0039877_II.5. RawMaterials_Free CF" xfId="11596" xr:uid="{00000000-0005-0000-0000-00004B2D0000}"/>
    <cellStyle name="_Revised MOR Package_~0039877_II.5. RawMaterials_P&amp;L Rec Qtr" xfId="11597" xr:uid="{00000000-0005-0000-0000-00004C2D0000}"/>
    <cellStyle name="_Revised MOR Package_~0039877_II.5. RawMaterials_Sheet1" xfId="11598" xr:uid="{00000000-0005-0000-0000-00004D2D0000}"/>
    <cellStyle name="_Revised MOR Package_~0039877_II.5. RawMaterials_Sheet2" xfId="11599" xr:uid="{00000000-0005-0000-0000-00004E2D0000}"/>
    <cellStyle name="_Revised MOR Package_~0039877_II.5. RawMaterials_Sheet3" xfId="11600" xr:uid="{00000000-0005-0000-0000-00004F2D0000}"/>
    <cellStyle name="_Revised MOR Package_~0039877_II.5. RawMaterials_Sheet4" xfId="11601" xr:uid="{00000000-0005-0000-0000-0000502D0000}"/>
    <cellStyle name="_Revised MOR Package_~0039877_II.5. RM Volume Sensitivities" xfId="11602" xr:uid="{00000000-0005-0000-0000-0000512D0000}"/>
    <cellStyle name="_Revised MOR Package_~0039877_II.5. RM Volume Sensitivities 2" xfId="11603" xr:uid="{00000000-0005-0000-0000-0000522D0000}"/>
    <cellStyle name="_Revised MOR Package_~0039877_II.5. RM Volume Sensitivities_BS retrieve" xfId="11604" xr:uid="{00000000-0005-0000-0000-0000532D0000}"/>
    <cellStyle name="_Revised MOR Package_~0039877_II.5. RM Volume Sensitivities_Free CF" xfId="11605" xr:uid="{00000000-0005-0000-0000-0000542D0000}"/>
    <cellStyle name="_Revised MOR Package_~0039877_II.5. RM Volume Sensitivities_P&amp;L Rec Qtr" xfId="11606" xr:uid="{00000000-0005-0000-0000-0000552D0000}"/>
    <cellStyle name="_Revised MOR Package_~0039877_II.5. RM Volume Sensitivities_Sheet1" xfId="11607" xr:uid="{00000000-0005-0000-0000-0000562D0000}"/>
    <cellStyle name="_Revised MOR Package_~0039877_II.5. RM Volume Sensitivities_Sheet2" xfId="11608" xr:uid="{00000000-0005-0000-0000-0000572D0000}"/>
    <cellStyle name="_Revised MOR Package_~0039877_II.5. RM Volume Sensitivities_Sheet3" xfId="11609" xr:uid="{00000000-0005-0000-0000-0000582D0000}"/>
    <cellStyle name="_Revised MOR Package_~0039877_II.5. RM Volume Sensitivities_Sheet4" xfId="11610" xr:uid="{00000000-0005-0000-0000-0000592D0000}"/>
    <cellStyle name="_Revised MOR Package_~0039877_II.8. Sep&amp;Discrete" xfId="11611" xr:uid="{00000000-0005-0000-0000-00005A2D0000}"/>
    <cellStyle name="_Revised MOR Package_~0039877_Restructuring &amp; Separation" xfId="11612" xr:uid="{00000000-0005-0000-0000-00005B2D0000}"/>
    <cellStyle name="_Revised MOR Package_~0039877_Restructuring_Separation_TAX_JuneFC2010 tf" xfId="11613" xr:uid="{00000000-0005-0000-0000-00005C2D0000}"/>
    <cellStyle name="_Revised MOR Package_~0039877_Restructuring_Separation_TAX_JuneFC2010 tf_BS_Separation_TaxResIndem_Q12412 tf" xfId="11614" xr:uid="{00000000-0005-0000-0000-00005D2D0000}"/>
    <cellStyle name="_Revised MOR Package_~0039877_Restructuring_Separation_TAX_JuneFC2010 tf_BS_Separation_TaxResIndem_Q12412 tf_Restructuring &amp; Separation" xfId="11615" xr:uid="{00000000-0005-0000-0000-00005E2D0000}"/>
    <cellStyle name="_Revised MOR Package_~0039877_Restructuring_Separation_TAX_JuneFC2010 tf_II.8. Sep&amp;Discrete" xfId="11616" xr:uid="{00000000-0005-0000-0000-00005F2D0000}"/>
    <cellStyle name="_Revised MOR Package_~0039877_Restructuring_Separation_TAX_JuneFC2010 tf_Restructuring &amp; Separation" xfId="11617" xr:uid="{00000000-0005-0000-0000-0000602D0000}"/>
    <cellStyle name="_Revised MOR Package_BS_Separation_TaxResIndem_Q12412 tf" xfId="11618" xr:uid="{00000000-0005-0000-0000-0000612D0000}"/>
    <cellStyle name="_Revised MOR Package_BS_Separation_TaxResIndem_Q12412 tf_Restructuring &amp; Separation" xfId="11619" xr:uid="{00000000-0005-0000-0000-0000622D0000}"/>
    <cellStyle name="_Revised MOR Package_By Country Detail 1Q10 041410pm FIN 18 revised per disc w Mary" xfId="11620" xr:uid="{00000000-0005-0000-0000-0000632D0000}"/>
    <cellStyle name="_Revised MOR Package_By Country Detail 1Q10 041410pm FIN 18 revised per disc w Mary_BS_Separation_TaxResIndem_Q12412 tf" xfId="11621" xr:uid="{00000000-0005-0000-0000-0000642D0000}"/>
    <cellStyle name="_Revised MOR Package_By Country Detail 1Q10 041410pm FIN 18 revised per disc w Mary_BS_Separation_TaxResIndem_Q12412 tf_Restructuring &amp; Separation" xfId="11622" xr:uid="{00000000-0005-0000-0000-0000652D0000}"/>
    <cellStyle name="_Revised MOR Package_By Country Detail 1Q10 041410pm FIN 18 revised per disc w Mary_II.8. Sep&amp;Discrete" xfId="11623" xr:uid="{00000000-0005-0000-0000-0000662D0000}"/>
    <cellStyle name="_Revised MOR Package_By Country Detail 1Q10 041410pm FIN 18 revised per disc w Mary_Restructuring &amp; Separation" xfId="11624" xr:uid="{00000000-0005-0000-0000-0000672D0000}"/>
    <cellStyle name="_Revised MOR Package_II.4. RawMaterials" xfId="11625" xr:uid="{00000000-0005-0000-0000-0000682D0000}"/>
    <cellStyle name="_Revised MOR Package_II.4. RawMaterials 2" xfId="11626" xr:uid="{00000000-0005-0000-0000-0000692D0000}"/>
    <cellStyle name="_Revised MOR Package_II.4. RawMaterials_BS retrieve" xfId="11627" xr:uid="{00000000-0005-0000-0000-00006A2D0000}"/>
    <cellStyle name="_Revised MOR Package_II.4. RawMaterials_Free CF" xfId="11628" xr:uid="{00000000-0005-0000-0000-00006B2D0000}"/>
    <cellStyle name="_Revised MOR Package_II.4. RawMaterials_P&amp;L Rec Qtr" xfId="11629" xr:uid="{00000000-0005-0000-0000-00006C2D0000}"/>
    <cellStyle name="_Revised MOR Package_II.4. RawMaterials_Sheet1" xfId="11630" xr:uid="{00000000-0005-0000-0000-00006D2D0000}"/>
    <cellStyle name="_Revised MOR Package_II.4. RawMaterials_Sheet2" xfId="11631" xr:uid="{00000000-0005-0000-0000-00006E2D0000}"/>
    <cellStyle name="_Revised MOR Package_II.4. RawMaterials_Sheet3" xfId="11632" xr:uid="{00000000-0005-0000-0000-00006F2D0000}"/>
    <cellStyle name="_Revised MOR Package_II.4. RawMaterials_Sheet4" xfId="11633" xr:uid="{00000000-0005-0000-0000-0000702D0000}"/>
    <cellStyle name="_Revised MOR Package_II.5. RawMaterials" xfId="11634" xr:uid="{00000000-0005-0000-0000-0000712D0000}"/>
    <cellStyle name="_Revised MOR Package_II.5. RawMaterials 2" xfId="11635" xr:uid="{00000000-0005-0000-0000-0000722D0000}"/>
    <cellStyle name="_Revised MOR Package_II.5. RawMaterials_BS retrieve" xfId="11636" xr:uid="{00000000-0005-0000-0000-0000732D0000}"/>
    <cellStyle name="_Revised MOR Package_II.5. RawMaterials_Free CF" xfId="11637" xr:uid="{00000000-0005-0000-0000-0000742D0000}"/>
    <cellStyle name="_Revised MOR Package_II.5. RawMaterials_P&amp;L Rec Qtr" xfId="11638" xr:uid="{00000000-0005-0000-0000-0000752D0000}"/>
    <cellStyle name="_Revised MOR Package_II.5. RawMaterials_Sheet1" xfId="11639" xr:uid="{00000000-0005-0000-0000-0000762D0000}"/>
    <cellStyle name="_Revised MOR Package_II.5. RawMaterials_Sheet2" xfId="11640" xr:uid="{00000000-0005-0000-0000-0000772D0000}"/>
    <cellStyle name="_Revised MOR Package_II.5. RawMaterials_Sheet3" xfId="11641" xr:uid="{00000000-0005-0000-0000-0000782D0000}"/>
    <cellStyle name="_Revised MOR Package_II.5. RawMaterials_Sheet4" xfId="11642" xr:uid="{00000000-0005-0000-0000-0000792D0000}"/>
    <cellStyle name="_Revised MOR Package_II.5. RM Volume Sensitivities" xfId="11643" xr:uid="{00000000-0005-0000-0000-00007A2D0000}"/>
    <cellStyle name="_Revised MOR Package_II.5. RM Volume Sensitivities 2" xfId="11644" xr:uid="{00000000-0005-0000-0000-00007B2D0000}"/>
    <cellStyle name="_Revised MOR Package_II.5. RM Volume Sensitivities_BS retrieve" xfId="11645" xr:uid="{00000000-0005-0000-0000-00007C2D0000}"/>
    <cellStyle name="_Revised MOR Package_II.5. RM Volume Sensitivities_Free CF" xfId="11646" xr:uid="{00000000-0005-0000-0000-00007D2D0000}"/>
    <cellStyle name="_Revised MOR Package_II.5. RM Volume Sensitivities_P&amp;L Rec Qtr" xfId="11647" xr:uid="{00000000-0005-0000-0000-00007E2D0000}"/>
    <cellStyle name="_Revised MOR Package_II.5. RM Volume Sensitivities_Sheet1" xfId="11648" xr:uid="{00000000-0005-0000-0000-00007F2D0000}"/>
    <cellStyle name="_Revised MOR Package_II.5. RM Volume Sensitivities_Sheet2" xfId="11649" xr:uid="{00000000-0005-0000-0000-0000802D0000}"/>
    <cellStyle name="_Revised MOR Package_II.5. RM Volume Sensitivities_Sheet3" xfId="11650" xr:uid="{00000000-0005-0000-0000-0000812D0000}"/>
    <cellStyle name="_Revised MOR Package_II.5. RM Volume Sensitivities_Sheet4" xfId="11651" xr:uid="{00000000-0005-0000-0000-0000822D0000}"/>
    <cellStyle name="_Revised MOR Package_II.8. Sep&amp;Discrete" xfId="11652" xr:uid="{00000000-0005-0000-0000-0000832D0000}"/>
    <cellStyle name="_Revised MOR Package_Restructuring &amp; Separation" xfId="11653" xr:uid="{00000000-0005-0000-0000-0000842D0000}"/>
    <cellStyle name="_Revised MOR Package_Restructuring_Separation_TAX_JuneFC2010 tf" xfId="11654" xr:uid="{00000000-0005-0000-0000-0000852D0000}"/>
    <cellStyle name="_Revised MOR Package_Restructuring_Separation_TAX_JuneFC2010 tf_BS_Separation_TaxResIndem_Q12412 tf" xfId="11655" xr:uid="{00000000-0005-0000-0000-0000862D0000}"/>
    <cellStyle name="_Revised MOR Package_Restructuring_Separation_TAX_JuneFC2010 tf_BS_Separation_TaxResIndem_Q12412 tf_Restructuring &amp; Separation" xfId="11656" xr:uid="{00000000-0005-0000-0000-0000872D0000}"/>
    <cellStyle name="_Revised MOR Package_Restructuring_Separation_TAX_JuneFC2010 tf_II.8. Sep&amp;Discrete" xfId="11657" xr:uid="{00000000-0005-0000-0000-0000882D0000}"/>
    <cellStyle name="_Revised MOR Package_Restructuring_Separation_TAX_JuneFC2010 tf_Restructuring &amp; Separation" xfId="11658" xr:uid="{00000000-0005-0000-0000-0000892D0000}"/>
    <cellStyle name="_Revised MOR Package_Revised MOR Package - Latest" xfId="11659" xr:uid="{00000000-0005-0000-0000-00008A2D0000}"/>
    <cellStyle name="_Revised MOR Package_Revised MOR Package - Latest_BS_Separation_TaxResIndem_Q12412 tf" xfId="11660" xr:uid="{00000000-0005-0000-0000-00008B2D0000}"/>
    <cellStyle name="_Revised MOR Package_Revised MOR Package - Latest_BS_Separation_TaxResIndem_Q12412 tf_Restructuring &amp; Separation" xfId="11661" xr:uid="{00000000-0005-0000-0000-00008C2D0000}"/>
    <cellStyle name="_Revised MOR Package_Revised MOR Package - Latest_By Country Detail 1Q10 041410pm FIN 18 revised per disc w Mary" xfId="11662" xr:uid="{00000000-0005-0000-0000-00008D2D0000}"/>
    <cellStyle name="_Revised MOR Package_Revised MOR Package - Latest_By Country Detail 1Q10 041410pm FIN 18 revised per disc w Mary_BS_Separation_TaxResIndem_Q12412 tf" xfId="11663" xr:uid="{00000000-0005-0000-0000-00008E2D0000}"/>
    <cellStyle name="_Revised MOR Package_Revised MOR Package - Latest_By Country Detail 1Q10 041410pm FIN 18 revised per disc w Mary_BS_Separation_TaxResIndem_Q12412 tf_Restructuring &amp; Separation" xfId="11664" xr:uid="{00000000-0005-0000-0000-00008F2D0000}"/>
    <cellStyle name="_Revised MOR Package_Revised MOR Package - Latest_By Country Detail 1Q10 041410pm FIN 18 revised per disc w Mary_II.8. Sep&amp;Discrete" xfId="11665" xr:uid="{00000000-0005-0000-0000-0000902D0000}"/>
    <cellStyle name="_Revised MOR Package_Revised MOR Package - Latest_By Country Detail 1Q10 041410pm FIN 18 revised per disc w Mary_Restructuring &amp; Separation" xfId="11666" xr:uid="{00000000-0005-0000-0000-0000912D0000}"/>
    <cellStyle name="_Revised MOR Package_Revised MOR Package - Latest_II.4. RawMaterials" xfId="11667" xr:uid="{00000000-0005-0000-0000-0000922D0000}"/>
    <cellStyle name="_Revised MOR Package_Revised MOR Package - Latest_II.4. RawMaterials 2" xfId="11668" xr:uid="{00000000-0005-0000-0000-0000932D0000}"/>
    <cellStyle name="_Revised MOR Package_Revised MOR Package - Latest_II.4. RawMaterials_BS retrieve" xfId="11669" xr:uid="{00000000-0005-0000-0000-0000942D0000}"/>
    <cellStyle name="_Revised MOR Package_Revised MOR Package - Latest_II.4. RawMaterials_Free CF" xfId="11670" xr:uid="{00000000-0005-0000-0000-0000952D0000}"/>
    <cellStyle name="_Revised MOR Package_Revised MOR Package - Latest_II.4. RawMaterials_P&amp;L Rec Qtr" xfId="11671" xr:uid="{00000000-0005-0000-0000-0000962D0000}"/>
    <cellStyle name="_Revised MOR Package_Revised MOR Package - Latest_II.4. RawMaterials_Sheet1" xfId="11672" xr:uid="{00000000-0005-0000-0000-0000972D0000}"/>
    <cellStyle name="_Revised MOR Package_Revised MOR Package - Latest_II.4. RawMaterials_Sheet2" xfId="11673" xr:uid="{00000000-0005-0000-0000-0000982D0000}"/>
    <cellStyle name="_Revised MOR Package_Revised MOR Package - Latest_II.4. RawMaterials_Sheet3" xfId="11674" xr:uid="{00000000-0005-0000-0000-0000992D0000}"/>
    <cellStyle name="_Revised MOR Package_Revised MOR Package - Latest_II.4. RawMaterials_Sheet4" xfId="11675" xr:uid="{00000000-0005-0000-0000-00009A2D0000}"/>
    <cellStyle name="_Revised MOR Package_Revised MOR Package - Latest_II.5. RawMaterials" xfId="11676" xr:uid="{00000000-0005-0000-0000-00009B2D0000}"/>
    <cellStyle name="_Revised MOR Package_Revised MOR Package - Latest_II.5. RawMaterials 2" xfId="11677" xr:uid="{00000000-0005-0000-0000-00009C2D0000}"/>
    <cellStyle name="_Revised MOR Package_Revised MOR Package - Latest_II.5. RawMaterials_BS retrieve" xfId="11678" xr:uid="{00000000-0005-0000-0000-00009D2D0000}"/>
    <cellStyle name="_Revised MOR Package_Revised MOR Package - Latest_II.5. RawMaterials_Free CF" xfId="11679" xr:uid="{00000000-0005-0000-0000-00009E2D0000}"/>
    <cellStyle name="_Revised MOR Package_Revised MOR Package - Latest_II.5. RawMaterials_P&amp;L Rec Qtr" xfId="11680" xr:uid="{00000000-0005-0000-0000-00009F2D0000}"/>
    <cellStyle name="_Revised MOR Package_Revised MOR Package - Latest_II.5. RawMaterials_Sheet1" xfId="11681" xr:uid="{00000000-0005-0000-0000-0000A02D0000}"/>
    <cellStyle name="_Revised MOR Package_Revised MOR Package - Latest_II.5. RawMaterials_Sheet2" xfId="11682" xr:uid="{00000000-0005-0000-0000-0000A12D0000}"/>
    <cellStyle name="_Revised MOR Package_Revised MOR Package - Latest_II.5. RawMaterials_Sheet3" xfId="11683" xr:uid="{00000000-0005-0000-0000-0000A22D0000}"/>
    <cellStyle name="_Revised MOR Package_Revised MOR Package - Latest_II.5. RawMaterials_Sheet4" xfId="11684" xr:uid="{00000000-0005-0000-0000-0000A32D0000}"/>
    <cellStyle name="_Revised MOR Package_Revised MOR Package - Latest_II.5. RM Volume Sensitivities" xfId="11685" xr:uid="{00000000-0005-0000-0000-0000A42D0000}"/>
    <cellStyle name="_Revised MOR Package_Revised MOR Package - Latest_II.5. RM Volume Sensitivities 2" xfId="11686" xr:uid="{00000000-0005-0000-0000-0000A52D0000}"/>
    <cellStyle name="_Revised MOR Package_Revised MOR Package - Latest_II.5. RM Volume Sensitivities_BS retrieve" xfId="11687" xr:uid="{00000000-0005-0000-0000-0000A62D0000}"/>
    <cellStyle name="_Revised MOR Package_Revised MOR Package - Latest_II.5. RM Volume Sensitivities_Free CF" xfId="11688" xr:uid="{00000000-0005-0000-0000-0000A72D0000}"/>
    <cellStyle name="_Revised MOR Package_Revised MOR Package - Latest_II.5. RM Volume Sensitivities_P&amp;L Rec Qtr" xfId="11689" xr:uid="{00000000-0005-0000-0000-0000A82D0000}"/>
    <cellStyle name="_Revised MOR Package_Revised MOR Package - Latest_II.5. RM Volume Sensitivities_Sheet1" xfId="11690" xr:uid="{00000000-0005-0000-0000-0000A92D0000}"/>
    <cellStyle name="_Revised MOR Package_Revised MOR Package - Latest_II.5. RM Volume Sensitivities_Sheet2" xfId="11691" xr:uid="{00000000-0005-0000-0000-0000AA2D0000}"/>
    <cellStyle name="_Revised MOR Package_Revised MOR Package - Latest_II.5. RM Volume Sensitivities_Sheet3" xfId="11692" xr:uid="{00000000-0005-0000-0000-0000AB2D0000}"/>
    <cellStyle name="_Revised MOR Package_Revised MOR Package - Latest_II.5. RM Volume Sensitivities_Sheet4" xfId="11693" xr:uid="{00000000-0005-0000-0000-0000AC2D0000}"/>
    <cellStyle name="_Revised MOR Package_Revised MOR Package - Latest_II.8. Sep&amp;Discrete" xfId="11694" xr:uid="{00000000-0005-0000-0000-0000AD2D0000}"/>
    <cellStyle name="_Revised MOR Package_Revised MOR Package - Latest_Restructuring &amp; Separation" xfId="11695" xr:uid="{00000000-0005-0000-0000-0000AE2D0000}"/>
    <cellStyle name="_Revised MOR Package_Revised MOR Package - Latest_Restructuring_Separation_TAX_JuneFC2010 tf" xfId="11696" xr:uid="{00000000-0005-0000-0000-0000AF2D0000}"/>
    <cellStyle name="_Revised MOR Package_Revised MOR Package - Latest_Restructuring_Separation_TAX_JuneFC2010 tf_BS_Separation_TaxResIndem_Q12412 tf" xfId="11697" xr:uid="{00000000-0005-0000-0000-0000B02D0000}"/>
    <cellStyle name="_Revised MOR Package_Revised MOR Package - Latest_Restructuring_Separation_TAX_JuneFC2010 tf_BS_Separation_TaxResIndem_Q12412 tf_Restructuring &amp; Separation" xfId="11698" xr:uid="{00000000-0005-0000-0000-0000B12D0000}"/>
    <cellStyle name="_Revised MOR Package_Revised MOR Package - Latest_Restructuring_Separation_TAX_JuneFC2010 tf_II.8. Sep&amp;Discrete" xfId="11699" xr:uid="{00000000-0005-0000-0000-0000B22D0000}"/>
    <cellStyle name="_Revised MOR Package_Revised MOR Package - Latest_Restructuring_Separation_TAX_JuneFC2010 tf_Restructuring &amp; Separation" xfId="11700" xr:uid="{00000000-0005-0000-0000-0000B32D0000}"/>
    <cellStyle name="_RM table v2" xfId="11701" xr:uid="{00000000-0005-0000-0000-0000B42D0000}"/>
    <cellStyle name="_Row1" xfId="11702" xr:uid="{00000000-0005-0000-0000-0000B52D0000}"/>
    <cellStyle name="_Row1 2" xfId="11703" xr:uid="{00000000-0005-0000-0000-0000B62D0000}"/>
    <cellStyle name="_Sales Bridge vs 8+4 FC 1018 version_1021" xfId="11704" xr:uid="{00000000-0005-0000-0000-0000B72D0000}"/>
    <cellStyle name="_Sheet1" xfId="11705" xr:uid="{00000000-0005-0000-0000-0000B82D0000}"/>
    <cellStyle name="_Sheet1_1" xfId="11706" xr:uid="{00000000-0005-0000-0000-0000B92D0000}"/>
    <cellStyle name="_Sheet1_1 2" xfId="11707" xr:uid="{00000000-0005-0000-0000-0000BA2D0000}"/>
    <cellStyle name="_Sheet1_1_BS retrieve" xfId="11708" xr:uid="{00000000-0005-0000-0000-0000BB2D0000}"/>
    <cellStyle name="_Sheet1_1_Free CF" xfId="11709" xr:uid="{00000000-0005-0000-0000-0000BC2D0000}"/>
    <cellStyle name="_Sheet1_1_II.4. RawMaterials" xfId="11710" xr:uid="{00000000-0005-0000-0000-0000BD2D0000}"/>
    <cellStyle name="_Sheet1_1_II.4. RawMaterials 2" xfId="11711" xr:uid="{00000000-0005-0000-0000-0000BE2D0000}"/>
    <cellStyle name="_Sheet1_1_II.4. RawMaterials_BS retrieve" xfId="11712" xr:uid="{00000000-0005-0000-0000-0000BF2D0000}"/>
    <cellStyle name="_Sheet1_1_II.4. RawMaterials_Free CF" xfId="11713" xr:uid="{00000000-0005-0000-0000-0000C02D0000}"/>
    <cellStyle name="_Sheet1_1_II.4. RawMaterials_P&amp;L Rec Qtr" xfId="11714" xr:uid="{00000000-0005-0000-0000-0000C12D0000}"/>
    <cellStyle name="_Sheet1_1_II.4. RawMaterials_Sheet1" xfId="11715" xr:uid="{00000000-0005-0000-0000-0000C22D0000}"/>
    <cellStyle name="_Sheet1_1_II.4. RawMaterials_Sheet2" xfId="11716" xr:uid="{00000000-0005-0000-0000-0000C32D0000}"/>
    <cellStyle name="_Sheet1_1_II.4. RawMaterials_Sheet3" xfId="11717" xr:uid="{00000000-0005-0000-0000-0000C42D0000}"/>
    <cellStyle name="_Sheet1_1_II.4. RawMaterials_Sheet4" xfId="11718" xr:uid="{00000000-0005-0000-0000-0000C52D0000}"/>
    <cellStyle name="_Sheet1_1_II.5. RM Volume Sensitivities" xfId="11719" xr:uid="{00000000-0005-0000-0000-0000C62D0000}"/>
    <cellStyle name="_Sheet1_1_II.5. RM Volume Sensitivities 2" xfId="11720" xr:uid="{00000000-0005-0000-0000-0000C72D0000}"/>
    <cellStyle name="_Sheet1_1_II.5. RM Volume Sensitivities_BS retrieve" xfId="11721" xr:uid="{00000000-0005-0000-0000-0000C82D0000}"/>
    <cellStyle name="_Sheet1_1_II.5. RM Volume Sensitivities_Free CF" xfId="11722" xr:uid="{00000000-0005-0000-0000-0000C92D0000}"/>
    <cellStyle name="_Sheet1_1_II.5. RM Volume Sensitivities_P&amp;L Rec Qtr" xfId="11723" xr:uid="{00000000-0005-0000-0000-0000CA2D0000}"/>
    <cellStyle name="_Sheet1_1_II.5. RM Volume Sensitivities_Sheet1" xfId="11724" xr:uid="{00000000-0005-0000-0000-0000CB2D0000}"/>
    <cellStyle name="_Sheet1_1_II.5. RM Volume Sensitivities_Sheet2" xfId="11725" xr:uid="{00000000-0005-0000-0000-0000CC2D0000}"/>
    <cellStyle name="_Sheet1_1_II.5. RM Volume Sensitivities_Sheet3" xfId="11726" xr:uid="{00000000-0005-0000-0000-0000CD2D0000}"/>
    <cellStyle name="_Sheet1_1_II.5. RM Volume Sensitivities_Sheet4" xfId="11727" xr:uid="{00000000-0005-0000-0000-0000CE2D0000}"/>
    <cellStyle name="_Sheet1_1_P&amp;L Rec Qtr" xfId="11728" xr:uid="{00000000-0005-0000-0000-0000CF2D0000}"/>
    <cellStyle name="_Sheet1_1_Sheet1" xfId="11729" xr:uid="{00000000-0005-0000-0000-0000D02D0000}"/>
    <cellStyle name="_Sheet1_1_Sheet2" xfId="11730" xr:uid="{00000000-0005-0000-0000-0000D12D0000}"/>
    <cellStyle name="_Sheet1_1_Sheet3" xfId="11731" xr:uid="{00000000-0005-0000-0000-0000D22D0000}"/>
    <cellStyle name="_Sheet1_1_Sheet4" xfId="11732" xr:uid="{00000000-0005-0000-0000-0000D32D0000}"/>
    <cellStyle name="_Sheet1_BS_Separation_TaxResIndem_Q12412 tf" xfId="11733" xr:uid="{00000000-0005-0000-0000-0000D42D0000}"/>
    <cellStyle name="_Sheet1_BS_Separation_TaxResIndem_Q12412 tf_Restructuring &amp; Separation" xfId="11734" xr:uid="{00000000-0005-0000-0000-0000D52D0000}"/>
    <cellStyle name="_Sheet1_By Country Detail 1Q10 041410pm FIN 18 revised per disc w Mary" xfId="11735" xr:uid="{00000000-0005-0000-0000-0000D62D0000}"/>
    <cellStyle name="_Sheet1_By Country Detail 1Q10 041410pm FIN 18 revised per disc w Mary_BS_Separation_TaxResIndem_Q12412 tf" xfId="11736" xr:uid="{00000000-0005-0000-0000-0000D72D0000}"/>
    <cellStyle name="_Sheet1_By Country Detail 1Q10 041410pm FIN 18 revised per disc w Mary_BS_Separation_TaxResIndem_Q12412 tf_Restructuring &amp; Separation" xfId="11737" xr:uid="{00000000-0005-0000-0000-0000D82D0000}"/>
    <cellStyle name="_Sheet1_By Country Detail 1Q10 041410pm FIN 18 revised per disc w Mary_II.8. Sep&amp;Discrete" xfId="11738" xr:uid="{00000000-0005-0000-0000-0000D92D0000}"/>
    <cellStyle name="_Sheet1_By Country Detail 1Q10 041410pm FIN 18 revised per disc w Mary_Restructuring &amp; Separation" xfId="11739" xr:uid="{00000000-0005-0000-0000-0000DA2D0000}"/>
    <cellStyle name="_Sheet1_II.4. RawMaterials" xfId="11740" xr:uid="{00000000-0005-0000-0000-0000DB2D0000}"/>
    <cellStyle name="_Sheet1_II.5. RawMaterials" xfId="11741" xr:uid="{00000000-0005-0000-0000-0000DC2D0000}"/>
    <cellStyle name="_Sheet1_II.5. RM Volume Sensitivities" xfId="11742" xr:uid="{00000000-0005-0000-0000-0000DD2D0000}"/>
    <cellStyle name="_Sheet1_II.8. Sep&amp;Discrete" xfId="11743" xr:uid="{00000000-0005-0000-0000-0000DE2D0000}"/>
    <cellStyle name="_Sheet1_Restructuring &amp; Separation" xfId="11744" xr:uid="{00000000-0005-0000-0000-0000DF2D0000}"/>
    <cellStyle name="_Sheet1_Restructuring_Separation_TAX_JuneFC2010 tf" xfId="11745" xr:uid="{00000000-0005-0000-0000-0000E02D0000}"/>
    <cellStyle name="_Sheet1_Restructuring_Separation_TAX_JuneFC2010 tf_BS_Separation_TaxResIndem_Q12412 tf" xfId="11746" xr:uid="{00000000-0005-0000-0000-0000E12D0000}"/>
    <cellStyle name="_Sheet1_Restructuring_Separation_TAX_JuneFC2010 tf_BS_Separation_TaxResIndem_Q12412 tf_Restructuring &amp; Separation" xfId="11747" xr:uid="{00000000-0005-0000-0000-0000E22D0000}"/>
    <cellStyle name="_Sheet1_Restructuring_Separation_TAX_JuneFC2010 tf_II.8. Sep&amp;Discrete" xfId="11748" xr:uid="{00000000-0005-0000-0000-0000E32D0000}"/>
    <cellStyle name="_Sheet1_Restructuring_Separation_TAX_JuneFC2010 tf_Restructuring &amp; Separation" xfId="11749" xr:uid="{00000000-0005-0000-0000-0000E42D0000}"/>
    <cellStyle name="_Split 2008 by BU &amp; Type_Master3 DC" xfId="11750" xr:uid="{00000000-0005-0000-0000-0000E52D0000}"/>
    <cellStyle name="_Split 2008 by BU &amp; Type_Master3 DC_2012 APAC Productivity by Quarter 2" xfId="11751" xr:uid="{00000000-0005-0000-0000-0000E62D0000}"/>
    <cellStyle name="_Split 2008 by BU &amp; Type_Master3 DC_APAC Monthly Analysis Tool-2011 3+9-Casey" xfId="11752" xr:uid="{00000000-0005-0000-0000-0000E72D0000}"/>
    <cellStyle name="_Split 2008 by BU &amp; Type_Master3 DC_APAC Monthly Analysis Tool-2011 3+9-Casey 2" xfId="11753" xr:uid="{00000000-0005-0000-0000-0000E82D0000}"/>
    <cellStyle name="_Split 2008 by BU &amp; Type_Master3 DC_APAC Monthly Analysis Tool-2011 3+9-Casey_BS retrieve" xfId="11754" xr:uid="{00000000-0005-0000-0000-0000E92D0000}"/>
    <cellStyle name="_Split 2008 by BU &amp; Type_Master3 DC_APAC Monthly Analysis Tool-2011 3+9-Casey_Free CF" xfId="11755" xr:uid="{00000000-0005-0000-0000-0000EA2D0000}"/>
    <cellStyle name="_Split 2008 by BU &amp; Type_Master3 DC_APAC Monthly Analysis Tool-2011 3+9-Casey_P&amp;L Rec Qtr" xfId="11756" xr:uid="{00000000-0005-0000-0000-0000EB2D0000}"/>
    <cellStyle name="_Split 2008 by BU &amp; Type_Master3 DC_APAC Monthly Analysis Tool-2011 3+9-Casey_Sheet1" xfId="11757" xr:uid="{00000000-0005-0000-0000-0000EC2D0000}"/>
    <cellStyle name="_Split 2008 by BU &amp; Type_Master3 DC_APAC Monthly Analysis Tool-2011 3+9-Casey_Sheet2" xfId="11758" xr:uid="{00000000-0005-0000-0000-0000ED2D0000}"/>
    <cellStyle name="_Split 2008 by BU &amp; Type_Master3 DC_APAC Monthly Analysis Tool-2011 3+9-Casey_Sheet3" xfId="11759" xr:uid="{00000000-0005-0000-0000-0000EE2D0000}"/>
    <cellStyle name="_Split 2008 by BU &amp; Type_Master3 DC_APAC Monthly Analysis Tool-2011 3+9-Casey_Sheet4" xfId="11760" xr:uid="{00000000-0005-0000-0000-0000EF2D0000}"/>
    <cellStyle name="_Split 2008 by BU &amp; Type_Master3 DC_APAC Productivity base on New AOP by quarter-0406" xfId="11761" xr:uid="{00000000-0005-0000-0000-0000F02D0000}"/>
    <cellStyle name="_Split 2008 by BU &amp; Type_Master3 DC_APAC Productivity base on New AOP by quarter-0406 2" xfId="11762" xr:uid="{00000000-0005-0000-0000-0000F12D0000}"/>
    <cellStyle name="_Split 2008 by BU &amp; Type_Master3 DC_APAC Productivity base on New AOP by quarter-0406_BS retrieve" xfId="11763" xr:uid="{00000000-0005-0000-0000-0000F22D0000}"/>
    <cellStyle name="_Split 2008 by BU &amp; Type_Master3 DC_APAC Productivity base on New AOP by quarter-0406_Free CF" xfId="11764" xr:uid="{00000000-0005-0000-0000-0000F32D0000}"/>
    <cellStyle name="_Split 2008 by BU &amp; Type_Master3 DC_APAC Productivity base on New AOP by quarter-0406_P&amp;L Rec Qtr" xfId="11765" xr:uid="{00000000-0005-0000-0000-0000F42D0000}"/>
    <cellStyle name="_Split 2008 by BU &amp; Type_Master3 DC_APAC Productivity base on New AOP by quarter-0406_Sheet1" xfId="11766" xr:uid="{00000000-0005-0000-0000-0000F52D0000}"/>
    <cellStyle name="_Split 2008 by BU &amp; Type_Master3 DC_APAC Productivity base on New AOP by quarter-0406_Sheet2" xfId="11767" xr:uid="{00000000-0005-0000-0000-0000F62D0000}"/>
    <cellStyle name="_Split 2008 by BU &amp; Type_Master3 DC_APAC Productivity base on New AOP by quarter-0406_Sheet3" xfId="11768" xr:uid="{00000000-0005-0000-0000-0000F72D0000}"/>
    <cellStyle name="_Split 2008 by BU &amp; Type_Master3 DC_APAC Productivity base on New AOP by quarter-0406_Sheet4" xfId="11769" xr:uid="{00000000-0005-0000-0000-0000F82D0000}"/>
    <cellStyle name="_Split 2008 by BU &amp; Type_Master3 DC_APAC Quartertly'11 Productivity FC" xfId="11770" xr:uid="{00000000-0005-0000-0000-0000F92D0000}"/>
    <cellStyle name="_Split 2008 by BU &amp; Type_Master3 DC_APAC Quartertly'11 Productivity FC 2" xfId="11771" xr:uid="{00000000-0005-0000-0000-0000FA2D0000}"/>
    <cellStyle name="_Split 2008 by BU &amp; Type_Master3 DC_APAC Quartertly'11 Productivity FC_BS retrieve" xfId="11772" xr:uid="{00000000-0005-0000-0000-0000FB2D0000}"/>
    <cellStyle name="_Split 2008 by BU &amp; Type_Master3 DC_APAC Quartertly'11 Productivity FC_Free CF" xfId="11773" xr:uid="{00000000-0005-0000-0000-0000FC2D0000}"/>
    <cellStyle name="_Split 2008 by BU &amp; Type_Master3 DC_APAC Quartertly'11 Productivity FC_P&amp;L Rec Qtr" xfId="11774" xr:uid="{00000000-0005-0000-0000-0000FD2D0000}"/>
    <cellStyle name="_Split 2008 by BU &amp; Type_Master3 DC_APAC Quartertly'11 Productivity FC_Sheet1" xfId="11775" xr:uid="{00000000-0005-0000-0000-0000FE2D0000}"/>
    <cellStyle name="_Split 2008 by BU &amp; Type_Master3 DC_APAC Quartertly'11 Productivity FC_Sheet2" xfId="11776" xr:uid="{00000000-0005-0000-0000-0000FF2D0000}"/>
    <cellStyle name="_Split 2008 by BU &amp; Type_Master3 DC_APAC Quartertly'11 Productivity FC_Sheet3" xfId="11777" xr:uid="{00000000-0005-0000-0000-0000002E0000}"/>
    <cellStyle name="_Split 2008 by BU &amp; Type_Master3 DC_APAC Quartertly'11 Productivity FC_Sheet4" xfId="11778" xr:uid="{00000000-0005-0000-0000-0000012E0000}"/>
    <cellStyle name="_Split 2008 by BU &amp; Type_Master3 DC_APAC_Productivity Quarter_9+3" xfId="11779" xr:uid="{00000000-0005-0000-0000-0000022E0000}"/>
    <cellStyle name="_Split 2008 by BU &amp; Type_Master3 DC_Carry-over Details-APAC-9+3" xfId="11780" xr:uid="{00000000-0005-0000-0000-0000032E0000}"/>
    <cellStyle name="_Split 2008 by BU &amp; Type_Master3 DC_CN01 Productivty_January" xfId="11781" xr:uid="{00000000-0005-0000-0000-0000042E0000}"/>
    <cellStyle name="_Split 2008 by BU &amp; Type_Master3 DC_CN01_Month ACT-FC" xfId="11782" xr:uid="{00000000-0005-0000-0000-0000052E0000}"/>
    <cellStyle name="_Split 2008 by BU &amp; Type_Master3 DC_Countries Productivity List" xfId="11783" xr:uid="{00000000-0005-0000-0000-0000062E0000}"/>
    <cellStyle name="_Split 2008 by BU &amp; Type_Master3 DC_Countries Productivity List 2" xfId="11784" xr:uid="{00000000-0005-0000-0000-0000072E0000}"/>
    <cellStyle name="_Split 2008 by BU &amp; Type_Master3 DC_Countries Productivity List_BS retrieve" xfId="11785" xr:uid="{00000000-0005-0000-0000-0000082E0000}"/>
    <cellStyle name="_Split 2008 by BU &amp; Type_Master3 DC_Countries Productivity List_Free CF" xfId="11786" xr:uid="{00000000-0005-0000-0000-0000092E0000}"/>
    <cellStyle name="_Split 2008 by BU &amp; Type_Master3 DC_Countries Productivity List_P&amp;L Rec Qtr" xfId="11787" xr:uid="{00000000-0005-0000-0000-00000A2E0000}"/>
    <cellStyle name="_Split 2008 by BU &amp; Type_Master3 DC_Countries Productivity List_Sheet1" xfId="11788" xr:uid="{00000000-0005-0000-0000-00000B2E0000}"/>
    <cellStyle name="_Split 2008 by BU &amp; Type_Master3 DC_Countries Productivity List_Sheet2" xfId="11789" xr:uid="{00000000-0005-0000-0000-00000C2E0000}"/>
    <cellStyle name="_Split 2008 by BU &amp; Type_Master3 DC_Countries Productivity List_Sheet3" xfId="11790" xr:uid="{00000000-0005-0000-0000-00000D2E0000}"/>
    <cellStyle name="_Split 2008 by BU &amp; Type_Master3 DC_Countries Productivity List_Sheet4" xfId="11791" xr:uid="{00000000-0005-0000-0000-00000E2E0000}"/>
    <cellStyle name="_Split 2008 by BU &amp; Type_Master3 DC_data for presentation" xfId="11792" xr:uid="{00000000-0005-0000-0000-00000F2E0000}"/>
    <cellStyle name="_Split 2008 by BU &amp; Type_Master3 DC_NOV Productivity by Site  VS (2)" xfId="11793" xr:uid="{00000000-0005-0000-0000-0000102E0000}"/>
    <cellStyle name="_Tooling" xfId="11794" xr:uid="{00000000-0005-0000-0000-0000112E0000}"/>
    <cellStyle name="_Tooling 2" xfId="11795" xr:uid="{00000000-0005-0000-0000-0000122E0000}"/>
    <cellStyle name="_TOOLING AOP 2011_PL1-CB1- 2010 09 20ver2" xfId="11796" xr:uid="{00000000-0005-0000-0000-0000132E0000}"/>
    <cellStyle name="_TOOLING AOP 2011_PL1-CB1- 2010 09 20ver2_2012 APAC Productivity by Quarter 2" xfId="11797" xr:uid="{00000000-0005-0000-0000-0000142E0000}"/>
    <cellStyle name="_TOOLING AOP 2011_PL1-CB1- 2010 09 20ver2_APAC Monthly Analysis Tool-2011 3+9-Casey" xfId="11798" xr:uid="{00000000-0005-0000-0000-0000152E0000}"/>
    <cellStyle name="_TOOLING AOP 2011_PL1-CB1- 2010 09 20ver2_APAC Monthly Analysis Tool-2011 3+9-Casey 2" xfId="11799" xr:uid="{00000000-0005-0000-0000-0000162E0000}"/>
    <cellStyle name="_TOOLING AOP 2011_PL1-CB1- 2010 09 20ver2_APAC Monthly Analysis Tool-2011 3+9-Casey_BS retrieve" xfId="11800" xr:uid="{00000000-0005-0000-0000-0000172E0000}"/>
    <cellStyle name="_TOOLING AOP 2011_PL1-CB1- 2010 09 20ver2_APAC Monthly Analysis Tool-2011 3+9-Casey_Free CF" xfId="11801" xr:uid="{00000000-0005-0000-0000-0000182E0000}"/>
    <cellStyle name="_TOOLING AOP 2011_PL1-CB1- 2010 09 20ver2_APAC Monthly Analysis Tool-2011 3+9-Casey_P&amp;L Rec Qtr" xfId="11802" xr:uid="{00000000-0005-0000-0000-0000192E0000}"/>
    <cellStyle name="_TOOLING AOP 2011_PL1-CB1- 2010 09 20ver2_APAC Monthly Analysis Tool-2011 3+9-Casey_Sheet1" xfId="11803" xr:uid="{00000000-0005-0000-0000-00001A2E0000}"/>
    <cellStyle name="_TOOLING AOP 2011_PL1-CB1- 2010 09 20ver2_APAC Monthly Analysis Tool-2011 3+9-Casey_Sheet2" xfId="11804" xr:uid="{00000000-0005-0000-0000-00001B2E0000}"/>
    <cellStyle name="_TOOLING AOP 2011_PL1-CB1- 2010 09 20ver2_APAC Monthly Analysis Tool-2011 3+9-Casey_Sheet3" xfId="11805" xr:uid="{00000000-0005-0000-0000-00001C2E0000}"/>
    <cellStyle name="_TOOLING AOP 2011_PL1-CB1- 2010 09 20ver2_APAC Monthly Analysis Tool-2011 3+9-Casey_Sheet4" xfId="11806" xr:uid="{00000000-0005-0000-0000-00001D2E0000}"/>
    <cellStyle name="_TOOLING AOP 2011_PL1-CB1- 2010 09 20ver2_APAC Productivity base on New AOP by quarter-0406" xfId="11807" xr:uid="{00000000-0005-0000-0000-00001E2E0000}"/>
    <cellStyle name="_TOOLING AOP 2011_PL1-CB1- 2010 09 20ver2_APAC Productivity base on New AOP by quarter-0406 2" xfId="11808" xr:uid="{00000000-0005-0000-0000-00001F2E0000}"/>
    <cellStyle name="_TOOLING AOP 2011_PL1-CB1- 2010 09 20ver2_APAC Productivity base on New AOP by quarter-0406_BS retrieve" xfId="11809" xr:uid="{00000000-0005-0000-0000-0000202E0000}"/>
    <cellStyle name="_TOOLING AOP 2011_PL1-CB1- 2010 09 20ver2_APAC Productivity base on New AOP by quarter-0406_Free CF" xfId="11810" xr:uid="{00000000-0005-0000-0000-0000212E0000}"/>
    <cellStyle name="_TOOLING AOP 2011_PL1-CB1- 2010 09 20ver2_APAC Productivity base on New AOP by quarter-0406_P&amp;L Rec Qtr" xfId="11811" xr:uid="{00000000-0005-0000-0000-0000222E0000}"/>
    <cellStyle name="_TOOLING AOP 2011_PL1-CB1- 2010 09 20ver2_APAC Productivity base on New AOP by quarter-0406_Sheet1" xfId="11812" xr:uid="{00000000-0005-0000-0000-0000232E0000}"/>
    <cellStyle name="_TOOLING AOP 2011_PL1-CB1- 2010 09 20ver2_APAC Productivity base on New AOP by quarter-0406_Sheet2" xfId="11813" xr:uid="{00000000-0005-0000-0000-0000242E0000}"/>
    <cellStyle name="_TOOLING AOP 2011_PL1-CB1- 2010 09 20ver2_APAC Productivity base on New AOP by quarter-0406_Sheet3" xfId="11814" xr:uid="{00000000-0005-0000-0000-0000252E0000}"/>
    <cellStyle name="_TOOLING AOP 2011_PL1-CB1- 2010 09 20ver2_APAC Productivity base on New AOP by quarter-0406_Sheet4" xfId="11815" xr:uid="{00000000-0005-0000-0000-0000262E0000}"/>
    <cellStyle name="_TOOLING AOP 2011_PL1-CB1- 2010 09 20ver2_APAC Quartertly'11 Productivity FC" xfId="11816" xr:uid="{00000000-0005-0000-0000-0000272E0000}"/>
    <cellStyle name="_TOOLING AOP 2011_PL1-CB1- 2010 09 20ver2_APAC Quartertly'11 Productivity FC 2" xfId="11817" xr:uid="{00000000-0005-0000-0000-0000282E0000}"/>
    <cellStyle name="_TOOLING AOP 2011_PL1-CB1- 2010 09 20ver2_APAC Quartertly'11 Productivity FC_BS retrieve" xfId="11818" xr:uid="{00000000-0005-0000-0000-0000292E0000}"/>
    <cellStyle name="_TOOLING AOP 2011_PL1-CB1- 2010 09 20ver2_APAC Quartertly'11 Productivity FC_Free CF" xfId="11819" xr:uid="{00000000-0005-0000-0000-00002A2E0000}"/>
    <cellStyle name="_TOOLING AOP 2011_PL1-CB1- 2010 09 20ver2_APAC Quartertly'11 Productivity FC_P&amp;L Rec Qtr" xfId="11820" xr:uid="{00000000-0005-0000-0000-00002B2E0000}"/>
    <cellStyle name="_TOOLING AOP 2011_PL1-CB1- 2010 09 20ver2_APAC Quartertly'11 Productivity FC_Sheet1" xfId="11821" xr:uid="{00000000-0005-0000-0000-00002C2E0000}"/>
    <cellStyle name="_TOOLING AOP 2011_PL1-CB1- 2010 09 20ver2_APAC Quartertly'11 Productivity FC_Sheet2" xfId="11822" xr:uid="{00000000-0005-0000-0000-00002D2E0000}"/>
    <cellStyle name="_TOOLING AOP 2011_PL1-CB1- 2010 09 20ver2_APAC Quartertly'11 Productivity FC_Sheet3" xfId="11823" xr:uid="{00000000-0005-0000-0000-00002E2E0000}"/>
    <cellStyle name="_TOOLING AOP 2011_PL1-CB1- 2010 09 20ver2_APAC Quartertly'11 Productivity FC_Sheet4" xfId="11824" xr:uid="{00000000-0005-0000-0000-00002F2E0000}"/>
    <cellStyle name="_TOOLING AOP 2011_PL1-CB1- 2010 09 20ver2_APAC_Productivity Quarter_9+3" xfId="11825" xr:uid="{00000000-0005-0000-0000-0000302E0000}"/>
    <cellStyle name="_TOOLING AOP 2011_PL1-CB1- 2010 09 20ver2_Carry-over Details-APAC-9+3" xfId="11826" xr:uid="{00000000-0005-0000-0000-0000312E0000}"/>
    <cellStyle name="_TOOLING AOP 2011_PL1-CB1- 2010 09 20ver2_CN01 Productivty_January" xfId="11827" xr:uid="{00000000-0005-0000-0000-0000322E0000}"/>
    <cellStyle name="_TOOLING AOP 2011_PL1-CB1- 2010 09 20ver2_CN01_Month ACT-FC" xfId="11828" xr:uid="{00000000-0005-0000-0000-0000332E0000}"/>
    <cellStyle name="_TOOLING AOP 2011_PL1-CB1- 2010 09 20ver2_Countries Productivity List" xfId="11829" xr:uid="{00000000-0005-0000-0000-0000342E0000}"/>
    <cellStyle name="_TOOLING AOP 2011_PL1-CB1- 2010 09 20ver2_Countries Productivity List 2" xfId="11830" xr:uid="{00000000-0005-0000-0000-0000352E0000}"/>
    <cellStyle name="_TOOLING AOP 2011_PL1-CB1- 2010 09 20ver2_Countries Productivity List_BS retrieve" xfId="11831" xr:uid="{00000000-0005-0000-0000-0000362E0000}"/>
    <cellStyle name="_TOOLING AOP 2011_PL1-CB1- 2010 09 20ver2_Countries Productivity List_Free CF" xfId="11832" xr:uid="{00000000-0005-0000-0000-0000372E0000}"/>
    <cellStyle name="_TOOLING AOP 2011_PL1-CB1- 2010 09 20ver2_Countries Productivity List_P&amp;L Rec Qtr" xfId="11833" xr:uid="{00000000-0005-0000-0000-0000382E0000}"/>
    <cellStyle name="_TOOLING AOP 2011_PL1-CB1- 2010 09 20ver2_Countries Productivity List_Sheet1" xfId="11834" xr:uid="{00000000-0005-0000-0000-0000392E0000}"/>
    <cellStyle name="_TOOLING AOP 2011_PL1-CB1- 2010 09 20ver2_Countries Productivity List_Sheet2" xfId="11835" xr:uid="{00000000-0005-0000-0000-00003A2E0000}"/>
    <cellStyle name="_TOOLING AOP 2011_PL1-CB1- 2010 09 20ver2_Countries Productivity List_Sheet3" xfId="11836" xr:uid="{00000000-0005-0000-0000-00003B2E0000}"/>
    <cellStyle name="_TOOLING AOP 2011_PL1-CB1- 2010 09 20ver2_Countries Productivity List_Sheet4" xfId="11837" xr:uid="{00000000-0005-0000-0000-00003C2E0000}"/>
    <cellStyle name="_TOOLING AOP 2011_PL1-CB1- 2010 09 20ver2_data for presentation" xfId="11838" xr:uid="{00000000-0005-0000-0000-00003D2E0000}"/>
    <cellStyle name="_Tooling page" xfId="11839" xr:uid="{00000000-0005-0000-0000-00003E2E0000}"/>
    <cellStyle name="_Tooling page 2" xfId="11840" xr:uid="{00000000-0005-0000-0000-00003F2E0000}"/>
    <cellStyle name="_Tooling page_BS retrieve" xfId="11841" xr:uid="{00000000-0005-0000-0000-0000402E0000}"/>
    <cellStyle name="_Tooling page_Free CF" xfId="11842" xr:uid="{00000000-0005-0000-0000-0000412E0000}"/>
    <cellStyle name="_Tooling page_P&amp;L Rec Qtr" xfId="11843" xr:uid="{00000000-0005-0000-0000-0000422E0000}"/>
    <cellStyle name="_Tooling page_Sheet1" xfId="11844" xr:uid="{00000000-0005-0000-0000-0000432E0000}"/>
    <cellStyle name="_Tooling page_Sheet2" xfId="11845" xr:uid="{00000000-0005-0000-0000-0000442E0000}"/>
    <cellStyle name="_Tooling page_Sheet3" xfId="11846" xr:uid="{00000000-0005-0000-0000-0000452E0000}"/>
    <cellStyle name="_Tooling page_Sheet4" xfId="11847" xr:uid="{00000000-0005-0000-0000-0000462E0000}"/>
    <cellStyle name="_Tooling_BS retrieve" xfId="11848" xr:uid="{00000000-0005-0000-0000-0000472E0000}"/>
    <cellStyle name="_Tooling_Free CF" xfId="11849" xr:uid="{00000000-0005-0000-0000-0000482E0000}"/>
    <cellStyle name="_Tooling_P&amp;L Rec Qtr" xfId="11850" xr:uid="{00000000-0005-0000-0000-0000492E0000}"/>
    <cellStyle name="_Tooling_Sheet1" xfId="11851" xr:uid="{00000000-0005-0000-0000-00004A2E0000}"/>
    <cellStyle name="_Tooling_Sheet2" xfId="11852" xr:uid="{00000000-0005-0000-0000-00004B2E0000}"/>
    <cellStyle name="_Tooling_Sheet3" xfId="11853" xr:uid="{00000000-0005-0000-0000-00004C2E0000}"/>
    <cellStyle name="_Tooling_Sheet4" xfId="11854" xr:uid="{00000000-0005-0000-0000-00004D2E0000}"/>
    <cellStyle name="_UTC - BAFO 3.51" xfId="11855" xr:uid="{00000000-0005-0000-0000-00004E2E0000}"/>
    <cellStyle name="_UTC Opportunity Review 05.18.05" xfId="11856" xr:uid="{00000000-0005-0000-0000-00004F2E0000}"/>
    <cellStyle name="_UTC Opportunity Review 05.18.05_BS_Separation_TaxResIndem_Q12412 tf" xfId="11857" xr:uid="{00000000-0005-0000-0000-0000502E0000}"/>
    <cellStyle name="_UTC Opportunity Review 05.18.05_BS_Separation_TaxResIndem_Q12412 tf_Restructuring &amp; Separation" xfId="11858" xr:uid="{00000000-0005-0000-0000-0000512E0000}"/>
    <cellStyle name="_UTC Opportunity Review 05.18.05_Deferred tax MarchFC 2011" xfId="11859" xr:uid="{00000000-0005-0000-0000-0000522E0000}"/>
    <cellStyle name="_UTC Opportunity Review 05.18.05_Deferred tax MarchFC 2011_BS_Separation_TaxResIndem_Q12412 tf" xfId="11860" xr:uid="{00000000-0005-0000-0000-0000532E0000}"/>
    <cellStyle name="_UTC Opportunity Review 05.18.05_Deferred tax MarchFC 2011_BS_Separation_TaxResIndem_Q12412 tf_Restructuring &amp; Separation" xfId="11861" xr:uid="{00000000-0005-0000-0000-0000542E0000}"/>
    <cellStyle name="_UTC Opportunity Review 05.18.05_Deferred tax MarchFC 2011_II.8. Sep&amp;Discrete" xfId="11862" xr:uid="{00000000-0005-0000-0000-0000552E0000}"/>
    <cellStyle name="_UTC Opportunity Review 05.18.05_Deferred tax MarchFC 2011_Restructuring &amp; Separation" xfId="11863" xr:uid="{00000000-0005-0000-0000-0000562E0000}"/>
    <cellStyle name="_UTC Opportunity Review 05.18.05_II.8. Sep&amp;Discrete" xfId="11864" xr:uid="{00000000-0005-0000-0000-0000572E0000}"/>
    <cellStyle name="_UTC Opportunity Review 05.18.05_Restructuring &amp; Separation" xfId="11865" xr:uid="{00000000-0005-0000-0000-0000582E0000}"/>
    <cellStyle name="_UTC Opportunity Review 05.18.05_Sheet1" xfId="11866" xr:uid="{00000000-0005-0000-0000-0000592E0000}"/>
    <cellStyle name="_UTC Opportunity Review 05.18.05_Sheet1_1" xfId="11867" xr:uid="{00000000-0005-0000-0000-00005A2E0000}"/>
    <cellStyle name="_UTC Opportunity Review 05.18.05_Sheet1_1_Restructuring &amp; Separation" xfId="11868" xr:uid="{00000000-0005-0000-0000-00005B2E0000}"/>
    <cellStyle name="_UTC Opportunity Review 05.18.05_Sheet1_BS_Separation_TaxResIndem_Q12412 tf" xfId="11869" xr:uid="{00000000-0005-0000-0000-00005C2E0000}"/>
    <cellStyle name="_UTC Opportunity Review 05.18.05_Sheet1_BS_Separation_TaxResIndem_Q12412 tf_Restructuring &amp; Separation" xfId="11870" xr:uid="{00000000-0005-0000-0000-00005D2E0000}"/>
    <cellStyle name="_UTC Opportunity Review 05.18.05_Sheet1_II.8. Sep&amp;Discrete" xfId="11871" xr:uid="{00000000-0005-0000-0000-00005E2E0000}"/>
    <cellStyle name="_UTC Opportunity Review 05.18.05_Sheet1_Restructuring &amp; Separation" xfId="11872" xr:uid="{00000000-0005-0000-0000-00005F2E0000}"/>
    <cellStyle name="_Warranty Tri Charts April'05" xfId="11873" xr:uid="{00000000-0005-0000-0000-0000602E0000}"/>
    <cellStyle name="_Warranty Tri Charts April'05_BS_Separation_TaxResIndem_Q12412 tf" xfId="11874" xr:uid="{00000000-0005-0000-0000-0000612E0000}"/>
    <cellStyle name="_Warranty Tri Charts April'05_BS_Separation_TaxResIndem_Q12412 tf_Restructuring &amp; Separation" xfId="11875" xr:uid="{00000000-0005-0000-0000-0000622E0000}"/>
    <cellStyle name="_Warranty Tri Charts April'05_By Country Detail 1Q10 041410pm FIN 18 revised per disc w Mary" xfId="11876" xr:uid="{00000000-0005-0000-0000-0000632E0000}"/>
    <cellStyle name="_Warranty Tri Charts April'05_By Country Detail 1Q10 041410pm FIN 18 revised per disc w Mary_BS_Separation_TaxResIndem_Q12412 tf" xfId="11877" xr:uid="{00000000-0005-0000-0000-0000642E0000}"/>
    <cellStyle name="_Warranty Tri Charts April'05_By Country Detail 1Q10 041410pm FIN 18 revised per disc w Mary_BS_Separation_TaxResIndem_Q12412 tf_Restructuring &amp; Separation" xfId="11878" xr:uid="{00000000-0005-0000-0000-0000652E0000}"/>
    <cellStyle name="_Warranty Tri Charts April'05_By Country Detail 1Q10 041410pm FIN 18 revised per disc w Mary_II.8. Sep&amp;Discrete" xfId="11879" xr:uid="{00000000-0005-0000-0000-0000662E0000}"/>
    <cellStyle name="_Warranty Tri Charts April'05_By Country Detail 1Q10 041410pm FIN 18 revised per disc w Mary_Restructuring &amp; Separation" xfId="11880" xr:uid="{00000000-0005-0000-0000-0000672E0000}"/>
    <cellStyle name="_Warranty Tri Charts April'05_II.4. RawMaterials" xfId="11881" xr:uid="{00000000-0005-0000-0000-0000682E0000}"/>
    <cellStyle name="_Warranty Tri Charts April'05_II.4. RawMaterials 2" xfId="11882" xr:uid="{00000000-0005-0000-0000-0000692E0000}"/>
    <cellStyle name="_Warranty Tri Charts April'05_II.4. RawMaterials_BS retrieve" xfId="11883" xr:uid="{00000000-0005-0000-0000-00006A2E0000}"/>
    <cellStyle name="_Warranty Tri Charts April'05_II.4. RawMaterials_Free CF" xfId="11884" xr:uid="{00000000-0005-0000-0000-00006B2E0000}"/>
    <cellStyle name="_Warranty Tri Charts April'05_II.4. RawMaterials_P&amp;L Rec Qtr" xfId="11885" xr:uid="{00000000-0005-0000-0000-00006C2E0000}"/>
    <cellStyle name="_Warranty Tri Charts April'05_II.4. RawMaterials_Sheet1" xfId="11886" xr:uid="{00000000-0005-0000-0000-00006D2E0000}"/>
    <cellStyle name="_Warranty Tri Charts April'05_II.4. RawMaterials_Sheet2" xfId="11887" xr:uid="{00000000-0005-0000-0000-00006E2E0000}"/>
    <cellStyle name="_Warranty Tri Charts April'05_II.4. RawMaterials_Sheet3" xfId="11888" xr:uid="{00000000-0005-0000-0000-00006F2E0000}"/>
    <cellStyle name="_Warranty Tri Charts April'05_II.4. RawMaterials_Sheet4" xfId="11889" xr:uid="{00000000-0005-0000-0000-0000702E0000}"/>
    <cellStyle name="_Warranty Tri Charts April'05_II.5. RawMaterials" xfId="11890" xr:uid="{00000000-0005-0000-0000-0000712E0000}"/>
    <cellStyle name="_Warranty Tri Charts April'05_II.5. RawMaterials 2" xfId="11891" xr:uid="{00000000-0005-0000-0000-0000722E0000}"/>
    <cellStyle name="_Warranty Tri Charts April'05_II.5. RawMaterials_BS retrieve" xfId="11892" xr:uid="{00000000-0005-0000-0000-0000732E0000}"/>
    <cellStyle name="_Warranty Tri Charts April'05_II.5. RawMaterials_Free CF" xfId="11893" xr:uid="{00000000-0005-0000-0000-0000742E0000}"/>
    <cellStyle name="_Warranty Tri Charts April'05_II.5. RawMaterials_P&amp;L Rec Qtr" xfId="11894" xr:uid="{00000000-0005-0000-0000-0000752E0000}"/>
    <cellStyle name="_Warranty Tri Charts April'05_II.5. RawMaterials_Sheet1" xfId="11895" xr:uid="{00000000-0005-0000-0000-0000762E0000}"/>
    <cellStyle name="_Warranty Tri Charts April'05_II.5. RawMaterials_Sheet2" xfId="11896" xr:uid="{00000000-0005-0000-0000-0000772E0000}"/>
    <cellStyle name="_Warranty Tri Charts April'05_II.5. RawMaterials_Sheet3" xfId="11897" xr:uid="{00000000-0005-0000-0000-0000782E0000}"/>
    <cellStyle name="_Warranty Tri Charts April'05_II.5. RawMaterials_Sheet4" xfId="11898" xr:uid="{00000000-0005-0000-0000-0000792E0000}"/>
    <cellStyle name="_Warranty Tri Charts April'05_II.5. RM Volume Sensitivities" xfId="11899" xr:uid="{00000000-0005-0000-0000-00007A2E0000}"/>
    <cellStyle name="_Warranty Tri Charts April'05_II.5. RM Volume Sensitivities 2" xfId="11900" xr:uid="{00000000-0005-0000-0000-00007B2E0000}"/>
    <cellStyle name="_Warranty Tri Charts April'05_II.5. RM Volume Sensitivities_BS retrieve" xfId="11901" xr:uid="{00000000-0005-0000-0000-00007C2E0000}"/>
    <cellStyle name="_Warranty Tri Charts April'05_II.5. RM Volume Sensitivities_Free CF" xfId="11902" xr:uid="{00000000-0005-0000-0000-00007D2E0000}"/>
    <cellStyle name="_Warranty Tri Charts April'05_II.5. RM Volume Sensitivities_P&amp;L Rec Qtr" xfId="11903" xr:uid="{00000000-0005-0000-0000-00007E2E0000}"/>
    <cellStyle name="_Warranty Tri Charts April'05_II.5. RM Volume Sensitivities_Sheet1" xfId="11904" xr:uid="{00000000-0005-0000-0000-00007F2E0000}"/>
    <cellStyle name="_Warranty Tri Charts April'05_II.5. RM Volume Sensitivities_Sheet2" xfId="11905" xr:uid="{00000000-0005-0000-0000-0000802E0000}"/>
    <cellStyle name="_Warranty Tri Charts April'05_II.5. RM Volume Sensitivities_Sheet3" xfId="11906" xr:uid="{00000000-0005-0000-0000-0000812E0000}"/>
    <cellStyle name="_Warranty Tri Charts April'05_II.5. RM Volume Sensitivities_Sheet4" xfId="11907" xr:uid="{00000000-0005-0000-0000-0000822E0000}"/>
    <cellStyle name="_Warranty Tri Charts April'05_II.8. Sep&amp;Discrete" xfId="11908" xr:uid="{00000000-0005-0000-0000-0000832E0000}"/>
    <cellStyle name="_Warranty Tri Charts April'05_Restructuring &amp; Separation" xfId="11909" xr:uid="{00000000-0005-0000-0000-0000842E0000}"/>
    <cellStyle name="_Warranty Tri Charts April'05_Restructuring_Separation_TAX_JuneFC2010 tf" xfId="11910" xr:uid="{00000000-0005-0000-0000-0000852E0000}"/>
    <cellStyle name="_Warranty Tri Charts April'05_Restructuring_Separation_TAX_JuneFC2010 tf_BS_Separation_TaxResIndem_Q12412 tf" xfId="11911" xr:uid="{00000000-0005-0000-0000-0000862E0000}"/>
    <cellStyle name="_Warranty Tri Charts April'05_Restructuring_Separation_TAX_JuneFC2010 tf_BS_Separation_TaxResIndem_Q12412 tf_Restructuring &amp; Separation" xfId="11912" xr:uid="{00000000-0005-0000-0000-0000872E0000}"/>
    <cellStyle name="_Warranty Tri Charts April'05_Restructuring_Separation_TAX_JuneFC2010 tf_II.8. Sep&amp;Discrete" xfId="11913" xr:uid="{00000000-0005-0000-0000-0000882E0000}"/>
    <cellStyle name="_Warranty Tri Charts April'05_Restructuring_Separation_TAX_JuneFC2010 tf_Restructuring &amp; Separation" xfId="11914" xr:uid="{00000000-0005-0000-0000-0000892E0000}"/>
    <cellStyle name="_Warranty Tri Charts Feb'05" xfId="11915" xr:uid="{00000000-0005-0000-0000-00008A2E0000}"/>
    <cellStyle name="_Warranty Tri Charts Feb'05_BS_Separation_TaxResIndem_Q12412 tf" xfId="11916" xr:uid="{00000000-0005-0000-0000-00008B2E0000}"/>
    <cellStyle name="_Warranty Tri Charts Feb'05_BS_Separation_TaxResIndem_Q12412 tf_Restructuring &amp; Separation" xfId="11917" xr:uid="{00000000-0005-0000-0000-00008C2E0000}"/>
    <cellStyle name="_Warranty Tri Charts Feb'05_By Country Detail 1Q10 041410pm FIN 18 revised per disc w Mary" xfId="11918" xr:uid="{00000000-0005-0000-0000-00008D2E0000}"/>
    <cellStyle name="_Warranty Tri Charts Feb'05_By Country Detail 1Q10 041410pm FIN 18 revised per disc w Mary_BS_Separation_TaxResIndem_Q12412 tf" xfId="11919" xr:uid="{00000000-0005-0000-0000-00008E2E0000}"/>
    <cellStyle name="_Warranty Tri Charts Feb'05_By Country Detail 1Q10 041410pm FIN 18 revised per disc w Mary_BS_Separation_TaxResIndem_Q12412 tf_Restructuring &amp; Separation" xfId="11920" xr:uid="{00000000-0005-0000-0000-00008F2E0000}"/>
    <cellStyle name="_Warranty Tri Charts Feb'05_By Country Detail 1Q10 041410pm FIN 18 revised per disc w Mary_II.8. Sep&amp;Discrete" xfId="11921" xr:uid="{00000000-0005-0000-0000-0000902E0000}"/>
    <cellStyle name="_Warranty Tri Charts Feb'05_By Country Detail 1Q10 041410pm FIN 18 revised per disc w Mary_Restructuring &amp; Separation" xfId="11922" xr:uid="{00000000-0005-0000-0000-0000912E0000}"/>
    <cellStyle name="_Warranty Tri Charts Feb'05_II.4. RawMaterials" xfId="11923" xr:uid="{00000000-0005-0000-0000-0000922E0000}"/>
    <cellStyle name="_Warranty Tri Charts Feb'05_II.4. RawMaterials 2" xfId="11924" xr:uid="{00000000-0005-0000-0000-0000932E0000}"/>
    <cellStyle name="_Warranty Tri Charts Feb'05_II.4. RawMaterials_BS retrieve" xfId="11925" xr:uid="{00000000-0005-0000-0000-0000942E0000}"/>
    <cellStyle name="_Warranty Tri Charts Feb'05_II.4. RawMaterials_Free CF" xfId="11926" xr:uid="{00000000-0005-0000-0000-0000952E0000}"/>
    <cellStyle name="_Warranty Tri Charts Feb'05_II.4. RawMaterials_P&amp;L Rec Qtr" xfId="11927" xr:uid="{00000000-0005-0000-0000-0000962E0000}"/>
    <cellStyle name="_Warranty Tri Charts Feb'05_II.4. RawMaterials_Sheet1" xfId="11928" xr:uid="{00000000-0005-0000-0000-0000972E0000}"/>
    <cellStyle name="_Warranty Tri Charts Feb'05_II.4. RawMaterials_Sheet2" xfId="11929" xr:uid="{00000000-0005-0000-0000-0000982E0000}"/>
    <cellStyle name="_Warranty Tri Charts Feb'05_II.4. RawMaterials_Sheet3" xfId="11930" xr:uid="{00000000-0005-0000-0000-0000992E0000}"/>
    <cellStyle name="_Warranty Tri Charts Feb'05_II.4. RawMaterials_Sheet4" xfId="11931" xr:uid="{00000000-0005-0000-0000-00009A2E0000}"/>
    <cellStyle name="_Warranty Tri Charts Feb'05_II.5. RawMaterials" xfId="11932" xr:uid="{00000000-0005-0000-0000-00009B2E0000}"/>
    <cellStyle name="_Warranty Tri Charts Feb'05_II.5. RawMaterials 2" xfId="11933" xr:uid="{00000000-0005-0000-0000-00009C2E0000}"/>
    <cellStyle name="_Warranty Tri Charts Feb'05_II.5. RawMaterials_BS retrieve" xfId="11934" xr:uid="{00000000-0005-0000-0000-00009D2E0000}"/>
    <cellStyle name="_Warranty Tri Charts Feb'05_II.5. RawMaterials_Free CF" xfId="11935" xr:uid="{00000000-0005-0000-0000-00009E2E0000}"/>
    <cellStyle name="_Warranty Tri Charts Feb'05_II.5. RawMaterials_P&amp;L Rec Qtr" xfId="11936" xr:uid="{00000000-0005-0000-0000-00009F2E0000}"/>
    <cellStyle name="_Warranty Tri Charts Feb'05_II.5. RawMaterials_Sheet1" xfId="11937" xr:uid="{00000000-0005-0000-0000-0000A02E0000}"/>
    <cellStyle name="_Warranty Tri Charts Feb'05_II.5. RawMaterials_Sheet2" xfId="11938" xr:uid="{00000000-0005-0000-0000-0000A12E0000}"/>
    <cellStyle name="_Warranty Tri Charts Feb'05_II.5. RawMaterials_Sheet3" xfId="11939" xr:uid="{00000000-0005-0000-0000-0000A22E0000}"/>
    <cellStyle name="_Warranty Tri Charts Feb'05_II.5. RawMaterials_Sheet4" xfId="11940" xr:uid="{00000000-0005-0000-0000-0000A32E0000}"/>
    <cellStyle name="_Warranty Tri Charts Feb'05_II.5. RM Volume Sensitivities" xfId="11941" xr:uid="{00000000-0005-0000-0000-0000A42E0000}"/>
    <cellStyle name="_Warranty Tri Charts Feb'05_II.5. RM Volume Sensitivities 2" xfId="11942" xr:uid="{00000000-0005-0000-0000-0000A52E0000}"/>
    <cellStyle name="_Warranty Tri Charts Feb'05_II.5. RM Volume Sensitivities_BS retrieve" xfId="11943" xr:uid="{00000000-0005-0000-0000-0000A62E0000}"/>
    <cellStyle name="_Warranty Tri Charts Feb'05_II.5. RM Volume Sensitivities_Free CF" xfId="11944" xr:uid="{00000000-0005-0000-0000-0000A72E0000}"/>
    <cellStyle name="_Warranty Tri Charts Feb'05_II.5. RM Volume Sensitivities_P&amp;L Rec Qtr" xfId="11945" xr:uid="{00000000-0005-0000-0000-0000A82E0000}"/>
    <cellStyle name="_Warranty Tri Charts Feb'05_II.5. RM Volume Sensitivities_Sheet1" xfId="11946" xr:uid="{00000000-0005-0000-0000-0000A92E0000}"/>
    <cellStyle name="_Warranty Tri Charts Feb'05_II.5. RM Volume Sensitivities_Sheet2" xfId="11947" xr:uid="{00000000-0005-0000-0000-0000AA2E0000}"/>
    <cellStyle name="_Warranty Tri Charts Feb'05_II.5. RM Volume Sensitivities_Sheet3" xfId="11948" xr:uid="{00000000-0005-0000-0000-0000AB2E0000}"/>
    <cellStyle name="_Warranty Tri Charts Feb'05_II.5. RM Volume Sensitivities_Sheet4" xfId="11949" xr:uid="{00000000-0005-0000-0000-0000AC2E0000}"/>
    <cellStyle name="_Warranty Tri Charts Feb'05_II.8. Sep&amp;Discrete" xfId="11950" xr:uid="{00000000-0005-0000-0000-0000AD2E0000}"/>
    <cellStyle name="_Warranty Tri Charts Feb'05_Restructuring &amp; Separation" xfId="11951" xr:uid="{00000000-0005-0000-0000-0000AE2E0000}"/>
    <cellStyle name="_Warranty Tri Charts Feb'05_Restructuring_Separation_TAX_JuneFC2010 tf" xfId="11952" xr:uid="{00000000-0005-0000-0000-0000AF2E0000}"/>
    <cellStyle name="_Warranty Tri Charts Feb'05_Restructuring_Separation_TAX_JuneFC2010 tf_BS_Separation_TaxResIndem_Q12412 tf" xfId="11953" xr:uid="{00000000-0005-0000-0000-0000B02E0000}"/>
    <cellStyle name="_Warranty Tri Charts Feb'05_Restructuring_Separation_TAX_JuneFC2010 tf_BS_Separation_TaxResIndem_Q12412 tf_Restructuring &amp; Separation" xfId="11954" xr:uid="{00000000-0005-0000-0000-0000B12E0000}"/>
    <cellStyle name="_Warranty Tri Charts Feb'05_Restructuring_Separation_TAX_JuneFC2010 tf_II.8. Sep&amp;Discrete" xfId="11955" xr:uid="{00000000-0005-0000-0000-0000B22E0000}"/>
    <cellStyle name="_Warranty Tri Charts Feb'05_Restructuring_Separation_TAX_JuneFC2010 tf_Restructuring &amp; Separation" xfId="11956" xr:uid="{00000000-0005-0000-0000-0000B32E0000}"/>
    <cellStyle name="_Warranty Tri Charts Jan'05" xfId="11957" xr:uid="{00000000-0005-0000-0000-0000B42E0000}"/>
    <cellStyle name="_Warranty Tri Charts Jan'05_BS_Separation_TaxResIndem_Q12412 tf" xfId="11958" xr:uid="{00000000-0005-0000-0000-0000B52E0000}"/>
    <cellStyle name="_Warranty Tri Charts Jan'05_BS_Separation_TaxResIndem_Q12412 tf_Restructuring &amp; Separation" xfId="11959" xr:uid="{00000000-0005-0000-0000-0000B62E0000}"/>
    <cellStyle name="_Warranty Tri Charts Jan'05_By Country Detail 1Q10 041410pm FIN 18 revised per disc w Mary" xfId="11960" xr:uid="{00000000-0005-0000-0000-0000B72E0000}"/>
    <cellStyle name="_Warranty Tri Charts Jan'05_By Country Detail 1Q10 041410pm FIN 18 revised per disc w Mary_BS_Separation_TaxResIndem_Q12412 tf" xfId="11961" xr:uid="{00000000-0005-0000-0000-0000B82E0000}"/>
    <cellStyle name="_Warranty Tri Charts Jan'05_By Country Detail 1Q10 041410pm FIN 18 revised per disc w Mary_BS_Separation_TaxResIndem_Q12412 tf_Restructuring &amp; Separation" xfId="11962" xr:uid="{00000000-0005-0000-0000-0000B92E0000}"/>
    <cellStyle name="_Warranty Tri Charts Jan'05_By Country Detail 1Q10 041410pm FIN 18 revised per disc w Mary_II.8. Sep&amp;Discrete" xfId="11963" xr:uid="{00000000-0005-0000-0000-0000BA2E0000}"/>
    <cellStyle name="_Warranty Tri Charts Jan'05_By Country Detail 1Q10 041410pm FIN 18 revised per disc w Mary_Restructuring &amp; Separation" xfId="11964" xr:uid="{00000000-0005-0000-0000-0000BB2E0000}"/>
    <cellStyle name="_Warranty Tri Charts Jan'05_II.4. RawMaterials" xfId="11965" xr:uid="{00000000-0005-0000-0000-0000BC2E0000}"/>
    <cellStyle name="_Warranty Tri Charts Jan'05_II.4. RawMaterials 2" xfId="11966" xr:uid="{00000000-0005-0000-0000-0000BD2E0000}"/>
    <cellStyle name="_Warranty Tri Charts Jan'05_II.4. RawMaterials_BS retrieve" xfId="11967" xr:uid="{00000000-0005-0000-0000-0000BE2E0000}"/>
    <cellStyle name="_Warranty Tri Charts Jan'05_II.4. RawMaterials_Free CF" xfId="11968" xr:uid="{00000000-0005-0000-0000-0000BF2E0000}"/>
    <cellStyle name="_Warranty Tri Charts Jan'05_II.4. RawMaterials_P&amp;L Rec Qtr" xfId="11969" xr:uid="{00000000-0005-0000-0000-0000C02E0000}"/>
    <cellStyle name="_Warranty Tri Charts Jan'05_II.4. RawMaterials_Sheet1" xfId="11970" xr:uid="{00000000-0005-0000-0000-0000C12E0000}"/>
    <cellStyle name="_Warranty Tri Charts Jan'05_II.4. RawMaterials_Sheet2" xfId="11971" xr:uid="{00000000-0005-0000-0000-0000C22E0000}"/>
    <cellStyle name="_Warranty Tri Charts Jan'05_II.4. RawMaterials_Sheet3" xfId="11972" xr:uid="{00000000-0005-0000-0000-0000C32E0000}"/>
    <cellStyle name="_Warranty Tri Charts Jan'05_II.4. RawMaterials_Sheet4" xfId="11973" xr:uid="{00000000-0005-0000-0000-0000C42E0000}"/>
    <cellStyle name="_Warranty Tri Charts Jan'05_II.5. RawMaterials" xfId="11974" xr:uid="{00000000-0005-0000-0000-0000C52E0000}"/>
    <cellStyle name="_Warranty Tri Charts Jan'05_II.5. RawMaterials 2" xfId="11975" xr:uid="{00000000-0005-0000-0000-0000C62E0000}"/>
    <cellStyle name="_Warranty Tri Charts Jan'05_II.5. RawMaterials_BS retrieve" xfId="11976" xr:uid="{00000000-0005-0000-0000-0000C72E0000}"/>
    <cellStyle name="_Warranty Tri Charts Jan'05_II.5. RawMaterials_Free CF" xfId="11977" xr:uid="{00000000-0005-0000-0000-0000C82E0000}"/>
    <cellStyle name="_Warranty Tri Charts Jan'05_II.5. RawMaterials_P&amp;L Rec Qtr" xfId="11978" xr:uid="{00000000-0005-0000-0000-0000C92E0000}"/>
    <cellStyle name="_Warranty Tri Charts Jan'05_II.5. RawMaterials_Sheet1" xfId="11979" xr:uid="{00000000-0005-0000-0000-0000CA2E0000}"/>
    <cellStyle name="_Warranty Tri Charts Jan'05_II.5. RawMaterials_Sheet2" xfId="11980" xr:uid="{00000000-0005-0000-0000-0000CB2E0000}"/>
    <cellStyle name="_Warranty Tri Charts Jan'05_II.5. RawMaterials_Sheet3" xfId="11981" xr:uid="{00000000-0005-0000-0000-0000CC2E0000}"/>
    <cellStyle name="_Warranty Tri Charts Jan'05_II.5. RawMaterials_Sheet4" xfId="11982" xr:uid="{00000000-0005-0000-0000-0000CD2E0000}"/>
    <cellStyle name="_Warranty Tri Charts Jan'05_II.5. RM Volume Sensitivities" xfId="11983" xr:uid="{00000000-0005-0000-0000-0000CE2E0000}"/>
    <cellStyle name="_Warranty Tri Charts Jan'05_II.5. RM Volume Sensitivities 2" xfId="11984" xr:uid="{00000000-0005-0000-0000-0000CF2E0000}"/>
    <cellStyle name="_Warranty Tri Charts Jan'05_II.5. RM Volume Sensitivities_BS retrieve" xfId="11985" xr:uid="{00000000-0005-0000-0000-0000D02E0000}"/>
    <cellStyle name="_Warranty Tri Charts Jan'05_II.5. RM Volume Sensitivities_Free CF" xfId="11986" xr:uid="{00000000-0005-0000-0000-0000D12E0000}"/>
    <cellStyle name="_Warranty Tri Charts Jan'05_II.5. RM Volume Sensitivities_P&amp;L Rec Qtr" xfId="11987" xr:uid="{00000000-0005-0000-0000-0000D22E0000}"/>
    <cellStyle name="_Warranty Tri Charts Jan'05_II.5. RM Volume Sensitivities_Sheet1" xfId="11988" xr:uid="{00000000-0005-0000-0000-0000D32E0000}"/>
    <cellStyle name="_Warranty Tri Charts Jan'05_II.5. RM Volume Sensitivities_Sheet2" xfId="11989" xr:uid="{00000000-0005-0000-0000-0000D42E0000}"/>
    <cellStyle name="_Warranty Tri Charts Jan'05_II.5. RM Volume Sensitivities_Sheet3" xfId="11990" xr:uid="{00000000-0005-0000-0000-0000D52E0000}"/>
    <cellStyle name="_Warranty Tri Charts Jan'05_II.5. RM Volume Sensitivities_Sheet4" xfId="11991" xr:uid="{00000000-0005-0000-0000-0000D62E0000}"/>
    <cellStyle name="_Warranty Tri Charts Jan'05_II.8. Sep&amp;Discrete" xfId="11992" xr:uid="{00000000-0005-0000-0000-0000D72E0000}"/>
    <cellStyle name="_Warranty Tri Charts Jan'05_Restructuring &amp; Separation" xfId="11993" xr:uid="{00000000-0005-0000-0000-0000D82E0000}"/>
    <cellStyle name="_Warranty Tri Charts Jan'05_Restructuring_Separation_TAX_JuneFC2010 tf" xfId="11994" xr:uid="{00000000-0005-0000-0000-0000D92E0000}"/>
    <cellStyle name="_Warranty Tri Charts Jan'05_Restructuring_Separation_TAX_JuneFC2010 tf_BS_Separation_TaxResIndem_Q12412 tf" xfId="11995" xr:uid="{00000000-0005-0000-0000-0000DA2E0000}"/>
    <cellStyle name="_Warranty Tri Charts Jan'05_Restructuring_Separation_TAX_JuneFC2010 tf_BS_Separation_TaxResIndem_Q12412 tf_Restructuring &amp; Separation" xfId="11996" xr:uid="{00000000-0005-0000-0000-0000DB2E0000}"/>
    <cellStyle name="_Warranty Tri Charts Jan'05_Restructuring_Separation_TAX_JuneFC2010 tf_II.8. Sep&amp;Discrete" xfId="11997" xr:uid="{00000000-0005-0000-0000-0000DC2E0000}"/>
    <cellStyle name="_Warranty Tri Charts Jan'05_Restructuring_Separation_TAX_JuneFC2010 tf_Restructuring &amp; Separation" xfId="11998" xr:uid="{00000000-0005-0000-0000-0000DD2E0000}"/>
    <cellStyle name="_Warranty Tri Charts Mar '05" xfId="11999" xr:uid="{00000000-0005-0000-0000-0000DE2E0000}"/>
    <cellStyle name="_Warranty Tri Charts Mar '05_BS_Separation_TaxResIndem_Q12412 tf" xfId="12000" xr:uid="{00000000-0005-0000-0000-0000DF2E0000}"/>
    <cellStyle name="_Warranty Tri Charts Mar '05_BS_Separation_TaxResIndem_Q12412 tf_Restructuring &amp; Separation" xfId="12001" xr:uid="{00000000-0005-0000-0000-0000E02E0000}"/>
    <cellStyle name="_Warranty Tri Charts Mar '05_By Country Detail 1Q10 041410pm FIN 18 revised per disc w Mary" xfId="12002" xr:uid="{00000000-0005-0000-0000-0000E12E0000}"/>
    <cellStyle name="_Warranty Tri Charts Mar '05_By Country Detail 1Q10 041410pm FIN 18 revised per disc w Mary_BS_Separation_TaxResIndem_Q12412 tf" xfId="12003" xr:uid="{00000000-0005-0000-0000-0000E22E0000}"/>
    <cellStyle name="_Warranty Tri Charts Mar '05_By Country Detail 1Q10 041410pm FIN 18 revised per disc w Mary_BS_Separation_TaxResIndem_Q12412 tf_Restructuring &amp; Separation" xfId="12004" xr:uid="{00000000-0005-0000-0000-0000E32E0000}"/>
    <cellStyle name="_Warranty Tri Charts Mar '05_By Country Detail 1Q10 041410pm FIN 18 revised per disc w Mary_II.8. Sep&amp;Discrete" xfId="12005" xr:uid="{00000000-0005-0000-0000-0000E42E0000}"/>
    <cellStyle name="_Warranty Tri Charts Mar '05_By Country Detail 1Q10 041410pm FIN 18 revised per disc w Mary_Restructuring &amp; Separation" xfId="12006" xr:uid="{00000000-0005-0000-0000-0000E52E0000}"/>
    <cellStyle name="_Warranty Tri Charts Mar '05_II.4. RawMaterials" xfId="12007" xr:uid="{00000000-0005-0000-0000-0000E62E0000}"/>
    <cellStyle name="_Warranty Tri Charts Mar '05_II.4. RawMaterials 2" xfId="12008" xr:uid="{00000000-0005-0000-0000-0000E72E0000}"/>
    <cellStyle name="_Warranty Tri Charts Mar '05_II.4. RawMaterials_BS retrieve" xfId="12009" xr:uid="{00000000-0005-0000-0000-0000E82E0000}"/>
    <cellStyle name="_Warranty Tri Charts Mar '05_II.4. RawMaterials_Free CF" xfId="12010" xr:uid="{00000000-0005-0000-0000-0000E92E0000}"/>
    <cellStyle name="_Warranty Tri Charts Mar '05_II.4. RawMaterials_P&amp;L Rec Qtr" xfId="12011" xr:uid="{00000000-0005-0000-0000-0000EA2E0000}"/>
    <cellStyle name="_Warranty Tri Charts Mar '05_II.4. RawMaterials_Sheet1" xfId="12012" xr:uid="{00000000-0005-0000-0000-0000EB2E0000}"/>
    <cellStyle name="_Warranty Tri Charts Mar '05_II.4. RawMaterials_Sheet2" xfId="12013" xr:uid="{00000000-0005-0000-0000-0000EC2E0000}"/>
    <cellStyle name="_Warranty Tri Charts Mar '05_II.4. RawMaterials_Sheet3" xfId="12014" xr:uid="{00000000-0005-0000-0000-0000ED2E0000}"/>
    <cellStyle name="_Warranty Tri Charts Mar '05_II.4. RawMaterials_Sheet4" xfId="12015" xr:uid="{00000000-0005-0000-0000-0000EE2E0000}"/>
    <cellStyle name="_Warranty Tri Charts Mar '05_II.5. RawMaterials" xfId="12016" xr:uid="{00000000-0005-0000-0000-0000EF2E0000}"/>
    <cellStyle name="_Warranty Tri Charts Mar '05_II.5. RawMaterials 2" xfId="12017" xr:uid="{00000000-0005-0000-0000-0000F02E0000}"/>
    <cellStyle name="_Warranty Tri Charts Mar '05_II.5. RawMaterials_BS retrieve" xfId="12018" xr:uid="{00000000-0005-0000-0000-0000F12E0000}"/>
    <cellStyle name="_Warranty Tri Charts Mar '05_II.5. RawMaterials_Free CF" xfId="12019" xr:uid="{00000000-0005-0000-0000-0000F22E0000}"/>
    <cellStyle name="_Warranty Tri Charts Mar '05_II.5. RawMaterials_P&amp;L Rec Qtr" xfId="12020" xr:uid="{00000000-0005-0000-0000-0000F32E0000}"/>
    <cellStyle name="_Warranty Tri Charts Mar '05_II.5. RawMaterials_Sheet1" xfId="12021" xr:uid="{00000000-0005-0000-0000-0000F42E0000}"/>
    <cellStyle name="_Warranty Tri Charts Mar '05_II.5. RawMaterials_Sheet2" xfId="12022" xr:uid="{00000000-0005-0000-0000-0000F52E0000}"/>
    <cellStyle name="_Warranty Tri Charts Mar '05_II.5. RawMaterials_Sheet3" xfId="12023" xr:uid="{00000000-0005-0000-0000-0000F62E0000}"/>
    <cellStyle name="_Warranty Tri Charts Mar '05_II.5. RawMaterials_Sheet4" xfId="12024" xr:uid="{00000000-0005-0000-0000-0000F72E0000}"/>
    <cellStyle name="_Warranty Tri Charts Mar '05_II.5. RM Volume Sensitivities" xfId="12025" xr:uid="{00000000-0005-0000-0000-0000F82E0000}"/>
    <cellStyle name="_Warranty Tri Charts Mar '05_II.5. RM Volume Sensitivities 2" xfId="12026" xr:uid="{00000000-0005-0000-0000-0000F92E0000}"/>
    <cellStyle name="_Warranty Tri Charts Mar '05_II.5. RM Volume Sensitivities_BS retrieve" xfId="12027" xr:uid="{00000000-0005-0000-0000-0000FA2E0000}"/>
    <cellStyle name="_Warranty Tri Charts Mar '05_II.5. RM Volume Sensitivities_Free CF" xfId="12028" xr:uid="{00000000-0005-0000-0000-0000FB2E0000}"/>
    <cellStyle name="_Warranty Tri Charts Mar '05_II.5. RM Volume Sensitivities_P&amp;L Rec Qtr" xfId="12029" xr:uid="{00000000-0005-0000-0000-0000FC2E0000}"/>
    <cellStyle name="_Warranty Tri Charts Mar '05_II.5. RM Volume Sensitivities_Sheet1" xfId="12030" xr:uid="{00000000-0005-0000-0000-0000FD2E0000}"/>
    <cellStyle name="_Warranty Tri Charts Mar '05_II.5. RM Volume Sensitivities_Sheet2" xfId="12031" xr:uid="{00000000-0005-0000-0000-0000FE2E0000}"/>
    <cellStyle name="_Warranty Tri Charts Mar '05_II.5. RM Volume Sensitivities_Sheet3" xfId="12032" xr:uid="{00000000-0005-0000-0000-0000FF2E0000}"/>
    <cellStyle name="_Warranty Tri Charts Mar '05_II.5. RM Volume Sensitivities_Sheet4" xfId="12033" xr:uid="{00000000-0005-0000-0000-0000002F0000}"/>
    <cellStyle name="_Warranty Tri Charts Mar '05_II.8. Sep&amp;Discrete" xfId="12034" xr:uid="{00000000-0005-0000-0000-0000012F0000}"/>
    <cellStyle name="_Warranty Tri Charts Mar '05_Restructuring &amp; Separation" xfId="12035" xr:uid="{00000000-0005-0000-0000-0000022F0000}"/>
    <cellStyle name="_Warranty Tri Charts Mar '05_Restructuring_Separation_TAX_JuneFC2010 tf" xfId="12036" xr:uid="{00000000-0005-0000-0000-0000032F0000}"/>
    <cellStyle name="_Warranty Tri Charts Mar '05_Restructuring_Separation_TAX_JuneFC2010 tf_BS_Separation_TaxResIndem_Q12412 tf" xfId="12037" xr:uid="{00000000-0005-0000-0000-0000042F0000}"/>
    <cellStyle name="_Warranty Tri Charts Mar '05_Restructuring_Separation_TAX_JuneFC2010 tf_BS_Separation_TaxResIndem_Q12412 tf_Restructuring &amp; Separation" xfId="12038" xr:uid="{00000000-0005-0000-0000-0000052F0000}"/>
    <cellStyle name="_Warranty Tri Charts Mar '05_Restructuring_Separation_TAX_JuneFC2010 tf_II.8. Sep&amp;Discrete" xfId="12039" xr:uid="{00000000-0005-0000-0000-0000062F0000}"/>
    <cellStyle name="_Warranty Tri Charts Mar '05_Restructuring_Separation_TAX_JuneFC2010 tf_Restructuring &amp; Separation" xfId="12040" xr:uid="{00000000-0005-0000-0000-0000072F0000}"/>
    <cellStyle name="_Warranty Tri Charts Mar'05" xfId="12041" xr:uid="{00000000-0005-0000-0000-0000082F0000}"/>
    <cellStyle name="_Warranty Tri Charts Mar'05_BS_Separation_TaxResIndem_Q12412 tf" xfId="12042" xr:uid="{00000000-0005-0000-0000-0000092F0000}"/>
    <cellStyle name="_Warranty Tri Charts Mar'05_BS_Separation_TaxResIndem_Q12412 tf_Restructuring &amp; Separation" xfId="12043" xr:uid="{00000000-0005-0000-0000-00000A2F0000}"/>
    <cellStyle name="_Warranty Tri Charts Mar'05_By Country Detail 1Q10 041410pm FIN 18 revised per disc w Mary" xfId="12044" xr:uid="{00000000-0005-0000-0000-00000B2F0000}"/>
    <cellStyle name="_Warranty Tri Charts Mar'05_By Country Detail 1Q10 041410pm FIN 18 revised per disc w Mary_BS_Separation_TaxResIndem_Q12412 tf" xfId="12045" xr:uid="{00000000-0005-0000-0000-00000C2F0000}"/>
    <cellStyle name="_Warranty Tri Charts Mar'05_By Country Detail 1Q10 041410pm FIN 18 revised per disc w Mary_BS_Separation_TaxResIndem_Q12412 tf_Restructuring &amp; Separation" xfId="12046" xr:uid="{00000000-0005-0000-0000-00000D2F0000}"/>
    <cellStyle name="_Warranty Tri Charts Mar'05_By Country Detail 1Q10 041410pm FIN 18 revised per disc w Mary_II.8. Sep&amp;Discrete" xfId="12047" xr:uid="{00000000-0005-0000-0000-00000E2F0000}"/>
    <cellStyle name="_Warranty Tri Charts Mar'05_By Country Detail 1Q10 041410pm FIN 18 revised per disc w Mary_Restructuring &amp; Separation" xfId="12048" xr:uid="{00000000-0005-0000-0000-00000F2F0000}"/>
    <cellStyle name="_Warranty Tri Charts Mar'05_II.4. RawMaterials" xfId="12049" xr:uid="{00000000-0005-0000-0000-0000102F0000}"/>
    <cellStyle name="_Warranty Tri Charts Mar'05_II.4. RawMaterials 2" xfId="12050" xr:uid="{00000000-0005-0000-0000-0000112F0000}"/>
    <cellStyle name="_Warranty Tri Charts Mar'05_II.4. RawMaterials_BS retrieve" xfId="12051" xr:uid="{00000000-0005-0000-0000-0000122F0000}"/>
    <cellStyle name="_Warranty Tri Charts Mar'05_II.4. RawMaterials_Free CF" xfId="12052" xr:uid="{00000000-0005-0000-0000-0000132F0000}"/>
    <cellStyle name="_Warranty Tri Charts Mar'05_II.4. RawMaterials_P&amp;L Rec Qtr" xfId="12053" xr:uid="{00000000-0005-0000-0000-0000142F0000}"/>
    <cellStyle name="_Warranty Tri Charts Mar'05_II.4. RawMaterials_Sheet1" xfId="12054" xr:uid="{00000000-0005-0000-0000-0000152F0000}"/>
    <cellStyle name="_Warranty Tri Charts Mar'05_II.4. RawMaterials_Sheet2" xfId="12055" xr:uid="{00000000-0005-0000-0000-0000162F0000}"/>
    <cellStyle name="_Warranty Tri Charts Mar'05_II.4. RawMaterials_Sheet3" xfId="12056" xr:uid="{00000000-0005-0000-0000-0000172F0000}"/>
    <cellStyle name="_Warranty Tri Charts Mar'05_II.4. RawMaterials_Sheet4" xfId="12057" xr:uid="{00000000-0005-0000-0000-0000182F0000}"/>
    <cellStyle name="_Warranty Tri Charts Mar'05_II.5. RawMaterials" xfId="12058" xr:uid="{00000000-0005-0000-0000-0000192F0000}"/>
    <cellStyle name="_Warranty Tri Charts Mar'05_II.5. RawMaterials 2" xfId="12059" xr:uid="{00000000-0005-0000-0000-00001A2F0000}"/>
    <cellStyle name="_Warranty Tri Charts Mar'05_II.5. RawMaterials_BS retrieve" xfId="12060" xr:uid="{00000000-0005-0000-0000-00001B2F0000}"/>
    <cellStyle name="_Warranty Tri Charts Mar'05_II.5. RawMaterials_Free CF" xfId="12061" xr:uid="{00000000-0005-0000-0000-00001C2F0000}"/>
    <cellStyle name="_Warranty Tri Charts Mar'05_II.5. RawMaterials_P&amp;L Rec Qtr" xfId="12062" xr:uid="{00000000-0005-0000-0000-00001D2F0000}"/>
    <cellStyle name="_Warranty Tri Charts Mar'05_II.5. RawMaterials_Sheet1" xfId="12063" xr:uid="{00000000-0005-0000-0000-00001E2F0000}"/>
    <cellStyle name="_Warranty Tri Charts Mar'05_II.5. RawMaterials_Sheet2" xfId="12064" xr:uid="{00000000-0005-0000-0000-00001F2F0000}"/>
    <cellStyle name="_Warranty Tri Charts Mar'05_II.5. RawMaterials_Sheet3" xfId="12065" xr:uid="{00000000-0005-0000-0000-0000202F0000}"/>
    <cellStyle name="_Warranty Tri Charts Mar'05_II.5. RawMaterials_Sheet4" xfId="12066" xr:uid="{00000000-0005-0000-0000-0000212F0000}"/>
    <cellStyle name="_Warranty Tri Charts Mar'05_II.5. RM Volume Sensitivities" xfId="12067" xr:uid="{00000000-0005-0000-0000-0000222F0000}"/>
    <cellStyle name="_Warranty Tri Charts Mar'05_II.5. RM Volume Sensitivities 2" xfId="12068" xr:uid="{00000000-0005-0000-0000-0000232F0000}"/>
    <cellStyle name="_Warranty Tri Charts Mar'05_II.5. RM Volume Sensitivities_BS retrieve" xfId="12069" xr:uid="{00000000-0005-0000-0000-0000242F0000}"/>
    <cellStyle name="_Warranty Tri Charts Mar'05_II.5. RM Volume Sensitivities_Free CF" xfId="12070" xr:uid="{00000000-0005-0000-0000-0000252F0000}"/>
    <cellStyle name="_Warranty Tri Charts Mar'05_II.5. RM Volume Sensitivities_P&amp;L Rec Qtr" xfId="12071" xr:uid="{00000000-0005-0000-0000-0000262F0000}"/>
    <cellStyle name="_Warranty Tri Charts Mar'05_II.5. RM Volume Sensitivities_Sheet1" xfId="12072" xr:uid="{00000000-0005-0000-0000-0000272F0000}"/>
    <cellStyle name="_Warranty Tri Charts Mar'05_II.5. RM Volume Sensitivities_Sheet2" xfId="12073" xr:uid="{00000000-0005-0000-0000-0000282F0000}"/>
    <cellStyle name="_Warranty Tri Charts Mar'05_II.5. RM Volume Sensitivities_Sheet3" xfId="12074" xr:uid="{00000000-0005-0000-0000-0000292F0000}"/>
    <cellStyle name="_Warranty Tri Charts Mar'05_II.5. RM Volume Sensitivities_Sheet4" xfId="12075" xr:uid="{00000000-0005-0000-0000-00002A2F0000}"/>
    <cellStyle name="_Warranty Tri Charts Mar'05_II.8. Sep&amp;Discrete" xfId="12076" xr:uid="{00000000-0005-0000-0000-00002B2F0000}"/>
    <cellStyle name="_Warranty Tri Charts Mar'05_Restructuring &amp; Separation" xfId="12077" xr:uid="{00000000-0005-0000-0000-00002C2F0000}"/>
    <cellStyle name="_Warranty Tri Charts Mar'05_Restructuring_Separation_TAX_JuneFC2010 tf" xfId="12078" xr:uid="{00000000-0005-0000-0000-00002D2F0000}"/>
    <cellStyle name="_Warranty Tri Charts Mar'05_Restructuring_Separation_TAX_JuneFC2010 tf_BS_Separation_TaxResIndem_Q12412 tf" xfId="12079" xr:uid="{00000000-0005-0000-0000-00002E2F0000}"/>
    <cellStyle name="_Warranty Tri Charts Mar'05_Restructuring_Separation_TAX_JuneFC2010 tf_BS_Separation_TaxResIndem_Q12412 tf_Restructuring &amp; Separation" xfId="12080" xr:uid="{00000000-0005-0000-0000-00002F2F0000}"/>
    <cellStyle name="_Warranty Tri Charts Mar'05_Restructuring_Separation_TAX_JuneFC2010 tf_II.8. Sep&amp;Discrete" xfId="12081" xr:uid="{00000000-0005-0000-0000-0000302F0000}"/>
    <cellStyle name="_Warranty Tri Charts Mar'05_Restructuring_Separation_TAX_JuneFC2010 tf_Restructuring &amp; Separation" xfId="12082" xr:uid="{00000000-0005-0000-0000-0000312F0000}"/>
    <cellStyle name="_WBC_(Last Upt. Dec)_v7" xfId="12083" xr:uid="{00000000-0005-0000-0000-0000322F0000}"/>
    <cellStyle name="_WBC_(Last Upt. Dec)_v7_BS_Separation_TaxResIndem_Q12412 tf" xfId="12084" xr:uid="{00000000-0005-0000-0000-0000332F0000}"/>
    <cellStyle name="_WBC_(Last Upt. Dec)_v7_BS_Separation_TaxResIndem_Q12412 tf_Restructuring &amp; Separation" xfId="12085" xr:uid="{00000000-0005-0000-0000-0000342F0000}"/>
    <cellStyle name="_WBC_(Last Upt. Dec)_v7_By Country Detail 1Q10 041410pm FIN 18 revised per disc w Mary" xfId="12086" xr:uid="{00000000-0005-0000-0000-0000352F0000}"/>
    <cellStyle name="_WBC_(Last Upt. Dec)_v7_By Country Detail 1Q10 041410pm FIN 18 revised per disc w Mary_BS_Separation_TaxResIndem_Q12412 tf" xfId="12087" xr:uid="{00000000-0005-0000-0000-0000362F0000}"/>
    <cellStyle name="_WBC_(Last Upt. Dec)_v7_By Country Detail 1Q10 041410pm FIN 18 revised per disc w Mary_BS_Separation_TaxResIndem_Q12412 tf_Restructuring &amp; Separation" xfId="12088" xr:uid="{00000000-0005-0000-0000-0000372F0000}"/>
    <cellStyle name="_WBC_(Last Upt. Dec)_v7_By Country Detail 1Q10 041410pm FIN 18 revised per disc w Mary_II.8. Sep&amp;Discrete" xfId="12089" xr:uid="{00000000-0005-0000-0000-0000382F0000}"/>
    <cellStyle name="_WBC_(Last Upt. Dec)_v7_By Country Detail 1Q10 041410pm FIN 18 revised per disc w Mary_Restructuring &amp; Separation" xfId="12090" xr:uid="{00000000-0005-0000-0000-0000392F0000}"/>
    <cellStyle name="_WBC_(Last Upt. Dec)_v7_II.4. RawMaterials" xfId="12091" xr:uid="{00000000-0005-0000-0000-00003A2F0000}"/>
    <cellStyle name="_WBC_(Last Upt. Dec)_v7_II.4. RawMaterials 2" xfId="12092" xr:uid="{00000000-0005-0000-0000-00003B2F0000}"/>
    <cellStyle name="_WBC_(Last Upt. Dec)_v7_II.4. RawMaterials_BS retrieve" xfId="12093" xr:uid="{00000000-0005-0000-0000-00003C2F0000}"/>
    <cellStyle name="_WBC_(Last Upt. Dec)_v7_II.4. RawMaterials_Free CF" xfId="12094" xr:uid="{00000000-0005-0000-0000-00003D2F0000}"/>
    <cellStyle name="_WBC_(Last Upt. Dec)_v7_II.4. RawMaterials_P&amp;L Rec Qtr" xfId="12095" xr:uid="{00000000-0005-0000-0000-00003E2F0000}"/>
    <cellStyle name="_WBC_(Last Upt. Dec)_v7_II.4. RawMaterials_Sheet1" xfId="12096" xr:uid="{00000000-0005-0000-0000-00003F2F0000}"/>
    <cellStyle name="_WBC_(Last Upt. Dec)_v7_II.4. RawMaterials_Sheet2" xfId="12097" xr:uid="{00000000-0005-0000-0000-0000402F0000}"/>
    <cellStyle name="_WBC_(Last Upt. Dec)_v7_II.4. RawMaterials_Sheet3" xfId="12098" xr:uid="{00000000-0005-0000-0000-0000412F0000}"/>
    <cellStyle name="_WBC_(Last Upt. Dec)_v7_II.4. RawMaterials_Sheet4" xfId="12099" xr:uid="{00000000-0005-0000-0000-0000422F0000}"/>
    <cellStyle name="_WBC_(Last Upt. Dec)_v7_II.5. RawMaterials" xfId="12100" xr:uid="{00000000-0005-0000-0000-0000432F0000}"/>
    <cellStyle name="_WBC_(Last Upt. Dec)_v7_II.5. RawMaterials 2" xfId="12101" xr:uid="{00000000-0005-0000-0000-0000442F0000}"/>
    <cellStyle name="_WBC_(Last Upt. Dec)_v7_II.5. RawMaterials_BS retrieve" xfId="12102" xr:uid="{00000000-0005-0000-0000-0000452F0000}"/>
    <cellStyle name="_WBC_(Last Upt. Dec)_v7_II.5. RawMaterials_Free CF" xfId="12103" xr:uid="{00000000-0005-0000-0000-0000462F0000}"/>
    <cellStyle name="_WBC_(Last Upt. Dec)_v7_II.5. RawMaterials_P&amp;L Rec Qtr" xfId="12104" xr:uid="{00000000-0005-0000-0000-0000472F0000}"/>
    <cellStyle name="_WBC_(Last Upt. Dec)_v7_II.5. RawMaterials_Sheet1" xfId="12105" xr:uid="{00000000-0005-0000-0000-0000482F0000}"/>
    <cellStyle name="_WBC_(Last Upt. Dec)_v7_II.5. RawMaterials_Sheet2" xfId="12106" xr:uid="{00000000-0005-0000-0000-0000492F0000}"/>
    <cellStyle name="_WBC_(Last Upt. Dec)_v7_II.5. RawMaterials_Sheet3" xfId="12107" xr:uid="{00000000-0005-0000-0000-00004A2F0000}"/>
    <cellStyle name="_WBC_(Last Upt. Dec)_v7_II.5. RawMaterials_Sheet4" xfId="12108" xr:uid="{00000000-0005-0000-0000-00004B2F0000}"/>
    <cellStyle name="_WBC_(Last Upt. Dec)_v7_II.5. RM Volume Sensitivities" xfId="12109" xr:uid="{00000000-0005-0000-0000-00004C2F0000}"/>
    <cellStyle name="_WBC_(Last Upt. Dec)_v7_II.5. RM Volume Sensitivities 2" xfId="12110" xr:uid="{00000000-0005-0000-0000-00004D2F0000}"/>
    <cellStyle name="_WBC_(Last Upt. Dec)_v7_II.5. RM Volume Sensitivities_BS retrieve" xfId="12111" xr:uid="{00000000-0005-0000-0000-00004E2F0000}"/>
    <cellStyle name="_WBC_(Last Upt. Dec)_v7_II.5. RM Volume Sensitivities_Free CF" xfId="12112" xr:uid="{00000000-0005-0000-0000-00004F2F0000}"/>
    <cellStyle name="_WBC_(Last Upt. Dec)_v7_II.5. RM Volume Sensitivities_P&amp;L Rec Qtr" xfId="12113" xr:uid="{00000000-0005-0000-0000-0000502F0000}"/>
    <cellStyle name="_WBC_(Last Upt. Dec)_v7_II.5. RM Volume Sensitivities_Sheet1" xfId="12114" xr:uid="{00000000-0005-0000-0000-0000512F0000}"/>
    <cellStyle name="_WBC_(Last Upt. Dec)_v7_II.5. RM Volume Sensitivities_Sheet2" xfId="12115" xr:uid="{00000000-0005-0000-0000-0000522F0000}"/>
    <cellStyle name="_WBC_(Last Upt. Dec)_v7_II.5. RM Volume Sensitivities_Sheet3" xfId="12116" xr:uid="{00000000-0005-0000-0000-0000532F0000}"/>
    <cellStyle name="_WBC_(Last Upt. Dec)_v7_II.5. RM Volume Sensitivities_Sheet4" xfId="12117" xr:uid="{00000000-0005-0000-0000-0000542F0000}"/>
    <cellStyle name="_WBC_(Last Upt. Dec)_v7_II.8. Sep&amp;Discrete" xfId="12118" xr:uid="{00000000-0005-0000-0000-0000552F0000}"/>
    <cellStyle name="_WBC_(Last Upt. Dec)_v7_Restructuring &amp; Separation" xfId="12119" xr:uid="{00000000-0005-0000-0000-0000562F0000}"/>
    <cellStyle name="_WBC_(Last Upt. Dec)_v7_Restructuring_Separation_TAX_JuneFC2010 tf" xfId="12120" xr:uid="{00000000-0005-0000-0000-0000572F0000}"/>
    <cellStyle name="_WBC_(Last Upt. Dec)_v7_Restructuring_Separation_TAX_JuneFC2010 tf_BS_Separation_TaxResIndem_Q12412 tf" xfId="12121" xr:uid="{00000000-0005-0000-0000-0000582F0000}"/>
    <cellStyle name="_WBC_(Last Upt. Dec)_v7_Restructuring_Separation_TAX_JuneFC2010 tf_BS_Separation_TaxResIndem_Q12412 tf_Restructuring &amp; Separation" xfId="12122" xr:uid="{00000000-0005-0000-0000-0000592F0000}"/>
    <cellStyle name="_WBC_(Last Upt. Dec)_v7_Restructuring_Separation_TAX_JuneFC2010 tf_II.8. Sep&amp;Discrete" xfId="12123" xr:uid="{00000000-0005-0000-0000-00005A2F0000}"/>
    <cellStyle name="_WBC_(Last Upt. Dec)_v7_Restructuring_Separation_TAX_JuneFC2010 tf_Restructuring &amp; Separation" xfId="12124" xr:uid="{00000000-0005-0000-0000-00005B2F0000}"/>
    <cellStyle name="_WRE OTHER" xfId="12125" xr:uid="{00000000-0005-0000-0000-00005C2F0000}"/>
    <cellStyle name="_WRE OTHER_BS_Separation_TaxResIndem_Q12412 tf" xfId="12126" xr:uid="{00000000-0005-0000-0000-00005D2F0000}"/>
    <cellStyle name="_WRE OTHER_BS_Separation_TaxResIndem_Q12412 tf_Restructuring &amp; Separation" xfId="12127" xr:uid="{00000000-0005-0000-0000-00005E2F0000}"/>
    <cellStyle name="_WRE OTHER_II.8. Sep&amp;Discrete" xfId="12128" xr:uid="{00000000-0005-0000-0000-00005F2F0000}"/>
    <cellStyle name="_WRE OTHER_Restructuring &amp; Separation" xfId="12129" xr:uid="{00000000-0005-0000-0000-0000602F0000}"/>
    <cellStyle name="_WRE OTHER_Sheet1" xfId="12130" xr:uid="{00000000-0005-0000-0000-0000612F0000}"/>
    <cellStyle name="_WRE OTHER_Sheet1_1" xfId="12131" xr:uid="{00000000-0005-0000-0000-0000622F0000}"/>
    <cellStyle name="_WRE OTHER_Sheet1_1_Restructuring &amp; Separation" xfId="12132" xr:uid="{00000000-0005-0000-0000-0000632F0000}"/>
    <cellStyle name="_WRE OTHER_Sheet1_BS_Separation_TaxResIndem_Q12412 tf" xfId="12133" xr:uid="{00000000-0005-0000-0000-0000642F0000}"/>
    <cellStyle name="_WRE OTHER_Sheet1_BS_Separation_TaxResIndem_Q12412 tf_Restructuring &amp; Separation" xfId="12134" xr:uid="{00000000-0005-0000-0000-0000652F0000}"/>
    <cellStyle name="_WRE OTHER_Sheet1_II.8. Sep&amp;Discrete" xfId="12135" xr:uid="{00000000-0005-0000-0000-0000662F0000}"/>
    <cellStyle name="_WRE OTHER_Sheet1_Restructuring &amp; Separation" xfId="12136" xr:uid="{00000000-0005-0000-0000-0000672F0000}"/>
    <cellStyle name="_外协调价表" xfId="12137" xr:uid="{00000000-0005-0000-0000-0000682F0000}"/>
    <cellStyle name="¿­¾î º» ÇÏÀÌÆÛ¸µÅ©" xfId="12138" xr:uid="{00000000-0005-0000-0000-0000692F0000}"/>
    <cellStyle name="¢¯¡©¨ú? ¨¬? ????¨¡?¢¬???" xfId="12139" xr:uid="{00000000-0005-0000-0000-00006A2F0000}"/>
    <cellStyle name="¤@¯ë_HAN009" xfId="12140" xr:uid="{00000000-0005-0000-0000-00006B2F0000}"/>
    <cellStyle name="÷×ü§ [0.00]_Revised MOR4" xfId="12141" xr:uid="{00000000-0005-0000-0000-00006C2F0000}"/>
    <cellStyle name="0,0_x000d__x000a_NA_x000d__x000a_" xfId="12142" xr:uid="{00000000-0005-0000-0000-00006D2F0000}"/>
    <cellStyle name="0,0_x000d__x000a_NA_x000d__x000a_ 2" xfId="12143" xr:uid="{00000000-0005-0000-0000-00006E2F0000}"/>
    <cellStyle name="1000s (0)" xfId="12144" xr:uid="{00000000-0005-0000-0000-00006F2F0000}"/>
    <cellStyle name="20% - ?????? 1oft\Sh" xfId="12145" xr:uid="{00000000-0005-0000-0000-0000702F0000}"/>
    <cellStyle name="20% - ?????? 1oft\Sh 2" xfId="12146" xr:uid="{00000000-0005-0000-0000-0000712F0000}"/>
    <cellStyle name="20% - ?????? 1oft\Sh 2 2" xfId="12147" xr:uid="{00000000-0005-0000-0000-0000722F0000}"/>
    <cellStyle name="20% - ?????? 1oft\Sh 3" xfId="12148" xr:uid="{00000000-0005-0000-0000-0000732F0000}"/>
    <cellStyle name="20% - ?????? 1oft\Sh 3 2" xfId="12149" xr:uid="{00000000-0005-0000-0000-0000742F0000}"/>
    <cellStyle name="20% - ?????? 1oft\Sh 3 3" xfId="12150" xr:uid="{00000000-0005-0000-0000-0000752F0000}"/>
    <cellStyle name="20% - ?????? 1oft\Sh 4" xfId="12151" xr:uid="{00000000-0005-0000-0000-0000762F0000}"/>
    <cellStyle name="20% - ?????? 1oft\Sh 4 2" xfId="12152" xr:uid="{00000000-0005-0000-0000-0000772F0000}"/>
    <cellStyle name="20% - ?????? 2oft\Sh" xfId="12153" xr:uid="{00000000-0005-0000-0000-0000782F0000}"/>
    <cellStyle name="20% - ?????? 2oft\Sh 2" xfId="12154" xr:uid="{00000000-0005-0000-0000-0000792F0000}"/>
    <cellStyle name="20% - ?????? 2oft\Sh 2 2" xfId="12155" xr:uid="{00000000-0005-0000-0000-00007A2F0000}"/>
    <cellStyle name="20% - ?????? 2oft\Sh 3" xfId="12156" xr:uid="{00000000-0005-0000-0000-00007B2F0000}"/>
    <cellStyle name="20% - ?????? 2oft\Sh 3 2" xfId="12157" xr:uid="{00000000-0005-0000-0000-00007C2F0000}"/>
    <cellStyle name="20% - ?????? 2oft\Sh 3 3" xfId="12158" xr:uid="{00000000-0005-0000-0000-00007D2F0000}"/>
    <cellStyle name="20% - ?????? 2oft\Sh 4" xfId="12159" xr:uid="{00000000-0005-0000-0000-00007E2F0000}"/>
    <cellStyle name="20% - ?????? 2oft\Sh 5" xfId="12160" xr:uid="{00000000-0005-0000-0000-00007F2F0000}"/>
    <cellStyle name="20% - ?????? 3oft\Sh" xfId="12161" xr:uid="{00000000-0005-0000-0000-0000802F0000}"/>
    <cellStyle name="20% - ?????? 3oft\Sh 2" xfId="12162" xr:uid="{00000000-0005-0000-0000-0000812F0000}"/>
    <cellStyle name="20% - ?????? 3oft\Sh 2 2" xfId="12163" xr:uid="{00000000-0005-0000-0000-0000822F0000}"/>
    <cellStyle name="20% - ?????? 3oft\Sh 3" xfId="12164" xr:uid="{00000000-0005-0000-0000-0000832F0000}"/>
    <cellStyle name="20% - ?????? 3oft\Sh 3 2" xfId="12165" xr:uid="{00000000-0005-0000-0000-0000842F0000}"/>
    <cellStyle name="20% - ?????? 3oft\Sh 3 3" xfId="12166" xr:uid="{00000000-0005-0000-0000-0000852F0000}"/>
    <cellStyle name="20% - ?????? 3oft\Sh 4" xfId="12167" xr:uid="{00000000-0005-0000-0000-0000862F0000}"/>
    <cellStyle name="20% - ?????? 3oft\Sh 4 2" xfId="12168" xr:uid="{00000000-0005-0000-0000-0000872F0000}"/>
    <cellStyle name="20% - ?????? 4oft\Sh" xfId="12169" xr:uid="{00000000-0005-0000-0000-0000882F0000}"/>
    <cellStyle name="20% - ?????? 4oft\Sh 2" xfId="12170" xr:uid="{00000000-0005-0000-0000-0000892F0000}"/>
    <cellStyle name="20% - ?????? 4oft\Sh 2 2" xfId="12171" xr:uid="{00000000-0005-0000-0000-00008A2F0000}"/>
    <cellStyle name="20% - ?????? 4oft\Sh 3" xfId="12172" xr:uid="{00000000-0005-0000-0000-00008B2F0000}"/>
    <cellStyle name="20% - ?????? 4oft\Sh 3 2" xfId="12173" xr:uid="{00000000-0005-0000-0000-00008C2F0000}"/>
    <cellStyle name="20% - ?????? 4oft\Sh 3 3" xfId="12174" xr:uid="{00000000-0005-0000-0000-00008D2F0000}"/>
    <cellStyle name="20% - ?????? 4oft\Sh 4" xfId="12175" xr:uid="{00000000-0005-0000-0000-00008E2F0000}"/>
    <cellStyle name="20% - ?????? 4oft\Sh 4 2" xfId="12176" xr:uid="{00000000-0005-0000-0000-00008F2F0000}"/>
    <cellStyle name="20% - ?????? 5oft\Sh" xfId="12177" xr:uid="{00000000-0005-0000-0000-0000902F0000}"/>
    <cellStyle name="20% - ?????? 5oft\Sh 2" xfId="12178" xr:uid="{00000000-0005-0000-0000-0000912F0000}"/>
    <cellStyle name="20% - ?????? 5oft\Sh 2 2" xfId="12179" xr:uid="{00000000-0005-0000-0000-0000922F0000}"/>
    <cellStyle name="20% - ?????? 5oft\Sh 3" xfId="12180" xr:uid="{00000000-0005-0000-0000-0000932F0000}"/>
    <cellStyle name="20% - ?????? 5oft\Sh 3 2" xfId="12181" xr:uid="{00000000-0005-0000-0000-0000942F0000}"/>
    <cellStyle name="20% - ?????? 5oft\Sh 3 3" xfId="12182" xr:uid="{00000000-0005-0000-0000-0000952F0000}"/>
    <cellStyle name="20% - ?????? 5oft\Sh 4" xfId="12183" xr:uid="{00000000-0005-0000-0000-0000962F0000}"/>
    <cellStyle name="20% - ?????? 5oft\Sh 4 2" xfId="12184" xr:uid="{00000000-0005-0000-0000-0000972F0000}"/>
    <cellStyle name="20% - ?????? 6oft\Sh" xfId="12185" xr:uid="{00000000-0005-0000-0000-0000982F0000}"/>
    <cellStyle name="20% - ?????? 6oft\Sh 2" xfId="12186" xr:uid="{00000000-0005-0000-0000-0000992F0000}"/>
    <cellStyle name="20% - ?????? 6oft\Sh 2 2" xfId="12187" xr:uid="{00000000-0005-0000-0000-00009A2F0000}"/>
    <cellStyle name="20% - ?????? 6oft\Sh 3" xfId="12188" xr:uid="{00000000-0005-0000-0000-00009B2F0000}"/>
    <cellStyle name="20% - ?????? 6oft\Sh 3 2" xfId="12189" xr:uid="{00000000-0005-0000-0000-00009C2F0000}"/>
    <cellStyle name="20% - ?????? 6oft\Sh 3 3" xfId="12190" xr:uid="{00000000-0005-0000-0000-00009D2F0000}"/>
    <cellStyle name="20% - ?????? 6oft\Sh 4" xfId="12191" xr:uid="{00000000-0005-0000-0000-00009E2F0000}"/>
    <cellStyle name="20% - ?????? 6oft\Sh 4 2" xfId="12192" xr:uid="{00000000-0005-0000-0000-00009F2F0000}"/>
    <cellStyle name="20% - ???1nt6" xfId="12193" xr:uid="{00000000-0005-0000-0000-0000A02F0000}"/>
    <cellStyle name="20% - ???1nt6 2" xfId="12194" xr:uid="{00000000-0005-0000-0000-0000A12F0000}"/>
    <cellStyle name="20% - ???1nt6 3" xfId="12195" xr:uid="{00000000-0005-0000-0000-0000A22F0000}"/>
    <cellStyle name="20% - ???1nt6 3 2" xfId="12196" xr:uid="{00000000-0005-0000-0000-0000A32F0000}"/>
    <cellStyle name="20% - ???1nt6 3 3" xfId="12197" xr:uid="{00000000-0005-0000-0000-0000A42F0000}"/>
    <cellStyle name="20% - ???1nt6 4" xfId="12198" xr:uid="{00000000-0005-0000-0000-0000A52F0000}"/>
    <cellStyle name="20% - ???2nt6" xfId="12199" xr:uid="{00000000-0005-0000-0000-0000A62F0000}"/>
    <cellStyle name="20% - ???2nt6 2" xfId="12200" xr:uid="{00000000-0005-0000-0000-0000A72F0000}"/>
    <cellStyle name="20% - ???2nt6 3" xfId="12201" xr:uid="{00000000-0005-0000-0000-0000A82F0000}"/>
    <cellStyle name="20% - ???2nt6 3 2" xfId="12202" xr:uid="{00000000-0005-0000-0000-0000A92F0000}"/>
    <cellStyle name="20% - ???2nt6 4" xfId="12203" xr:uid="{00000000-0005-0000-0000-0000AA2F0000}"/>
    <cellStyle name="20% - ???2nt6 5" xfId="12204" xr:uid="{00000000-0005-0000-0000-0000AB2F0000}"/>
    <cellStyle name="20% - ???3nt6" xfId="12205" xr:uid="{00000000-0005-0000-0000-0000AC2F0000}"/>
    <cellStyle name="20% - ???3nt6 2" xfId="12206" xr:uid="{00000000-0005-0000-0000-0000AD2F0000}"/>
    <cellStyle name="20% - ???3nt6 3" xfId="12207" xr:uid="{00000000-0005-0000-0000-0000AE2F0000}"/>
    <cellStyle name="20% - ???3nt6 3 2" xfId="12208" xr:uid="{00000000-0005-0000-0000-0000AF2F0000}"/>
    <cellStyle name="20% - ???3nt6 3 3" xfId="12209" xr:uid="{00000000-0005-0000-0000-0000B02F0000}"/>
    <cellStyle name="20% - ???3nt6 4" xfId="12210" xr:uid="{00000000-0005-0000-0000-0000B12F0000}"/>
    <cellStyle name="20% - ???4nt6" xfId="12211" xr:uid="{00000000-0005-0000-0000-0000B22F0000}"/>
    <cellStyle name="20% - ???4nt6 2" xfId="12212" xr:uid="{00000000-0005-0000-0000-0000B32F0000}"/>
    <cellStyle name="20% - ???4nt6 3" xfId="12213" xr:uid="{00000000-0005-0000-0000-0000B42F0000}"/>
    <cellStyle name="20% - ???4nt6 3 2" xfId="12214" xr:uid="{00000000-0005-0000-0000-0000B52F0000}"/>
    <cellStyle name="20% - ???4nt6 4" xfId="12215" xr:uid="{00000000-0005-0000-0000-0000B62F0000}"/>
    <cellStyle name="20% - ???5nt6" xfId="12216" xr:uid="{00000000-0005-0000-0000-0000B72F0000}"/>
    <cellStyle name="20% - ???5nt6 2" xfId="12217" xr:uid="{00000000-0005-0000-0000-0000B82F0000}"/>
    <cellStyle name="20% - ???5nt6 3" xfId="12218" xr:uid="{00000000-0005-0000-0000-0000B92F0000}"/>
    <cellStyle name="20% - ???5nt6 3 2" xfId="12219" xr:uid="{00000000-0005-0000-0000-0000BA2F0000}"/>
    <cellStyle name="20% - ???5nt6 3 3" xfId="12220" xr:uid="{00000000-0005-0000-0000-0000BB2F0000}"/>
    <cellStyle name="20% - ???5nt6 4" xfId="12221" xr:uid="{00000000-0005-0000-0000-0000BC2F0000}"/>
    <cellStyle name="20% - ???6nt6" xfId="12222" xr:uid="{00000000-0005-0000-0000-0000BD2F0000}"/>
    <cellStyle name="20% - ???6nt6 2" xfId="12223" xr:uid="{00000000-0005-0000-0000-0000BE2F0000}"/>
    <cellStyle name="20% - ???6nt6 3" xfId="12224" xr:uid="{00000000-0005-0000-0000-0000BF2F0000}"/>
    <cellStyle name="20% - ???6nt6 3 2" xfId="12225" xr:uid="{00000000-0005-0000-0000-0000C02F0000}"/>
    <cellStyle name="20% - ???6nt6 3 3" xfId="12226" xr:uid="{00000000-0005-0000-0000-0000C12F0000}"/>
    <cellStyle name="20% - ???6nt6 4" xfId="12227" xr:uid="{00000000-0005-0000-0000-0000C22F0000}"/>
    <cellStyle name="20% - Accent1 10" xfId="12228" xr:uid="{00000000-0005-0000-0000-0000C32F0000}"/>
    <cellStyle name="20% - Accent1 10 2" xfId="12229" xr:uid="{00000000-0005-0000-0000-0000C42F0000}"/>
    <cellStyle name="20% - Accent1 2" xfId="12230" xr:uid="{00000000-0005-0000-0000-0000C52F0000}"/>
    <cellStyle name="20% - Accent1 2 2" xfId="12231" xr:uid="{00000000-0005-0000-0000-0000C62F0000}"/>
    <cellStyle name="20% - Accent1 2 3" xfId="12232" xr:uid="{00000000-0005-0000-0000-0000C72F0000}"/>
    <cellStyle name="20% - Accent1 3" xfId="12233" xr:uid="{00000000-0005-0000-0000-0000C82F0000}"/>
    <cellStyle name="20% - Accent1 3 2" xfId="12234" xr:uid="{00000000-0005-0000-0000-0000C92F0000}"/>
    <cellStyle name="20% - Accent1 4" xfId="12235" xr:uid="{00000000-0005-0000-0000-0000CA2F0000}"/>
    <cellStyle name="20% - Accent1 4 2" xfId="12236" xr:uid="{00000000-0005-0000-0000-0000CB2F0000}"/>
    <cellStyle name="20% - Accent1 5" xfId="12237" xr:uid="{00000000-0005-0000-0000-0000CC2F0000}"/>
    <cellStyle name="20% - Accent1 5 2" xfId="12238" xr:uid="{00000000-0005-0000-0000-0000CD2F0000}"/>
    <cellStyle name="20% - Accent1 6" xfId="12239" xr:uid="{00000000-0005-0000-0000-0000CE2F0000}"/>
    <cellStyle name="20% - Accent1 7" xfId="12240" xr:uid="{00000000-0005-0000-0000-0000CF2F0000}"/>
    <cellStyle name="20% - Accent1 8" xfId="12241" xr:uid="{00000000-0005-0000-0000-0000D02F0000}"/>
    <cellStyle name="20% - Accent1 9" xfId="12242" xr:uid="{00000000-0005-0000-0000-0000D12F0000}"/>
    <cellStyle name="20% - Accent2 10" xfId="12243" xr:uid="{00000000-0005-0000-0000-0000D22F0000}"/>
    <cellStyle name="20% - Accent2 10 2" xfId="12244" xr:uid="{00000000-0005-0000-0000-0000D32F0000}"/>
    <cellStyle name="20% - Accent2 2" xfId="12245" xr:uid="{00000000-0005-0000-0000-0000D42F0000}"/>
    <cellStyle name="20% - Accent2 2 2" xfId="12246" xr:uid="{00000000-0005-0000-0000-0000D52F0000}"/>
    <cellStyle name="20% - Accent2 2 3" xfId="12247" xr:uid="{00000000-0005-0000-0000-0000D62F0000}"/>
    <cellStyle name="20% - Accent2 3" xfId="12248" xr:uid="{00000000-0005-0000-0000-0000D72F0000}"/>
    <cellStyle name="20% - Accent2 3 2" xfId="12249" xr:uid="{00000000-0005-0000-0000-0000D82F0000}"/>
    <cellStyle name="20% - Accent2 4" xfId="12250" xr:uid="{00000000-0005-0000-0000-0000D92F0000}"/>
    <cellStyle name="20% - Accent2 4 2" xfId="12251" xr:uid="{00000000-0005-0000-0000-0000DA2F0000}"/>
    <cellStyle name="20% - Accent2 5" xfId="12252" xr:uid="{00000000-0005-0000-0000-0000DB2F0000}"/>
    <cellStyle name="20% - Accent2 5 2" xfId="12253" xr:uid="{00000000-0005-0000-0000-0000DC2F0000}"/>
    <cellStyle name="20% - Accent2 6" xfId="12254" xr:uid="{00000000-0005-0000-0000-0000DD2F0000}"/>
    <cellStyle name="20% - Accent2 7" xfId="12255" xr:uid="{00000000-0005-0000-0000-0000DE2F0000}"/>
    <cellStyle name="20% - Accent2 8" xfId="12256" xr:uid="{00000000-0005-0000-0000-0000DF2F0000}"/>
    <cellStyle name="20% - Accent2 9" xfId="12257" xr:uid="{00000000-0005-0000-0000-0000E02F0000}"/>
    <cellStyle name="20% - Accent3 10" xfId="12258" xr:uid="{00000000-0005-0000-0000-0000E12F0000}"/>
    <cellStyle name="20% - Accent3 10 2" xfId="12259" xr:uid="{00000000-0005-0000-0000-0000E22F0000}"/>
    <cellStyle name="20% - Accent3 2" xfId="12260" xr:uid="{00000000-0005-0000-0000-0000E32F0000}"/>
    <cellStyle name="20% - Accent3 2 2" xfId="12261" xr:uid="{00000000-0005-0000-0000-0000E42F0000}"/>
    <cellStyle name="20% - Accent3 2 3" xfId="12262" xr:uid="{00000000-0005-0000-0000-0000E52F0000}"/>
    <cellStyle name="20% - Accent3 3" xfId="12263" xr:uid="{00000000-0005-0000-0000-0000E62F0000}"/>
    <cellStyle name="20% - Accent3 3 2" xfId="12264" xr:uid="{00000000-0005-0000-0000-0000E72F0000}"/>
    <cellStyle name="20% - Accent3 4" xfId="12265" xr:uid="{00000000-0005-0000-0000-0000E82F0000}"/>
    <cellStyle name="20% - Accent3 4 2" xfId="12266" xr:uid="{00000000-0005-0000-0000-0000E92F0000}"/>
    <cellStyle name="20% - Accent3 5" xfId="12267" xr:uid="{00000000-0005-0000-0000-0000EA2F0000}"/>
    <cellStyle name="20% - Accent3 5 2" xfId="12268" xr:uid="{00000000-0005-0000-0000-0000EB2F0000}"/>
    <cellStyle name="20% - Accent3 6" xfId="12269" xr:uid="{00000000-0005-0000-0000-0000EC2F0000}"/>
    <cellStyle name="20% - Accent3 7" xfId="12270" xr:uid="{00000000-0005-0000-0000-0000ED2F0000}"/>
    <cellStyle name="20% - Accent3 8" xfId="12271" xr:uid="{00000000-0005-0000-0000-0000EE2F0000}"/>
    <cellStyle name="20% - Accent3 9" xfId="12272" xr:uid="{00000000-0005-0000-0000-0000EF2F0000}"/>
    <cellStyle name="20% - Accent4 10" xfId="12273" xr:uid="{00000000-0005-0000-0000-0000F02F0000}"/>
    <cellStyle name="20% - Accent4 10 2" xfId="12274" xr:uid="{00000000-0005-0000-0000-0000F12F0000}"/>
    <cellStyle name="20% - Accent4 2" xfId="12275" xr:uid="{00000000-0005-0000-0000-0000F22F0000}"/>
    <cellStyle name="20% - Accent4 2 2" xfId="12276" xr:uid="{00000000-0005-0000-0000-0000F32F0000}"/>
    <cellStyle name="20% - Accent4 2 3" xfId="12277" xr:uid="{00000000-0005-0000-0000-0000F42F0000}"/>
    <cellStyle name="20% - Accent4 3" xfId="12278" xr:uid="{00000000-0005-0000-0000-0000F52F0000}"/>
    <cellStyle name="20% - Accent4 3 2" xfId="12279" xr:uid="{00000000-0005-0000-0000-0000F62F0000}"/>
    <cellStyle name="20% - Accent4 4" xfId="12280" xr:uid="{00000000-0005-0000-0000-0000F72F0000}"/>
    <cellStyle name="20% - Accent4 4 2" xfId="12281" xr:uid="{00000000-0005-0000-0000-0000F82F0000}"/>
    <cellStyle name="20% - Accent4 5" xfId="12282" xr:uid="{00000000-0005-0000-0000-0000F92F0000}"/>
    <cellStyle name="20% - Accent4 5 2" xfId="12283" xr:uid="{00000000-0005-0000-0000-0000FA2F0000}"/>
    <cellStyle name="20% - Accent4 6" xfId="12284" xr:uid="{00000000-0005-0000-0000-0000FB2F0000}"/>
    <cellStyle name="20% - Accent4 7" xfId="12285" xr:uid="{00000000-0005-0000-0000-0000FC2F0000}"/>
    <cellStyle name="20% - Accent4 8" xfId="12286" xr:uid="{00000000-0005-0000-0000-0000FD2F0000}"/>
    <cellStyle name="20% - Accent4 9" xfId="12287" xr:uid="{00000000-0005-0000-0000-0000FE2F0000}"/>
    <cellStyle name="20% - Accent5 10" xfId="12288" xr:uid="{00000000-0005-0000-0000-0000FF2F0000}"/>
    <cellStyle name="20% - Accent5 10 2" xfId="12289" xr:uid="{00000000-0005-0000-0000-000000300000}"/>
    <cellStyle name="20% - Accent5 2" xfId="12290" xr:uid="{00000000-0005-0000-0000-000001300000}"/>
    <cellStyle name="20% - Accent5 2 2" xfId="12291" xr:uid="{00000000-0005-0000-0000-000002300000}"/>
    <cellStyle name="20% - Accent5 2 3" xfId="12292" xr:uid="{00000000-0005-0000-0000-000003300000}"/>
    <cellStyle name="20% - Accent5 3" xfId="12293" xr:uid="{00000000-0005-0000-0000-000004300000}"/>
    <cellStyle name="20% - Accent5 3 2" xfId="12294" xr:uid="{00000000-0005-0000-0000-000005300000}"/>
    <cellStyle name="20% - Accent5 4" xfId="12295" xr:uid="{00000000-0005-0000-0000-000006300000}"/>
    <cellStyle name="20% - Accent5 4 2" xfId="12296" xr:uid="{00000000-0005-0000-0000-000007300000}"/>
    <cellStyle name="20% - Accent5 5" xfId="12297" xr:uid="{00000000-0005-0000-0000-000008300000}"/>
    <cellStyle name="20% - Accent5 5 2" xfId="12298" xr:uid="{00000000-0005-0000-0000-000009300000}"/>
    <cellStyle name="20% - Accent5 6" xfId="12299" xr:uid="{00000000-0005-0000-0000-00000A300000}"/>
    <cellStyle name="20% - Accent5 7" xfId="12300" xr:uid="{00000000-0005-0000-0000-00000B300000}"/>
    <cellStyle name="20% - Accent5 8" xfId="12301" xr:uid="{00000000-0005-0000-0000-00000C300000}"/>
    <cellStyle name="20% - Accent5 9" xfId="12302" xr:uid="{00000000-0005-0000-0000-00000D300000}"/>
    <cellStyle name="20% - Accent6 10" xfId="12303" xr:uid="{00000000-0005-0000-0000-00000E300000}"/>
    <cellStyle name="20% - Accent6 10 2" xfId="12304" xr:uid="{00000000-0005-0000-0000-00000F300000}"/>
    <cellStyle name="20% - Accent6 2" xfId="12305" xr:uid="{00000000-0005-0000-0000-000010300000}"/>
    <cellStyle name="20% - Accent6 2 2" xfId="12306" xr:uid="{00000000-0005-0000-0000-000011300000}"/>
    <cellStyle name="20% - Accent6 2 3" xfId="12307" xr:uid="{00000000-0005-0000-0000-000012300000}"/>
    <cellStyle name="20% - Accent6 3" xfId="12308" xr:uid="{00000000-0005-0000-0000-000013300000}"/>
    <cellStyle name="20% - Accent6 3 2" xfId="12309" xr:uid="{00000000-0005-0000-0000-000014300000}"/>
    <cellStyle name="20% - Accent6 4" xfId="12310" xr:uid="{00000000-0005-0000-0000-000015300000}"/>
    <cellStyle name="20% - Accent6 4 2" xfId="12311" xr:uid="{00000000-0005-0000-0000-000016300000}"/>
    <cellStyle name="20% - Accent6 5" xfId="12312" xr:uid="{00000000-0005-0000-0000-000017300000}"/>
    <cellStyle name="20% - Accent6 5 2" xfId="12313" xr:uid="{00000000-0005-0000-0000-000018300000}"/>
    <cellStyle name="20% - Accent6 6" xfId="12314" xr:uid="{00000000-0005-0000-0000-000019300000}"/>
    <cellStyle name="20% - Accent6 7" xfId="12315" xr:uid="{00000000-0005-0000-0000-00001A300000}"/>
    <cellStyle name="20% - Accent6 8" xfId="12316" xr:uid="{00000000-0005-0000-0000-00001B300000}"/>
    <cellStyle name="20% - Accent6 9" xfId="12317" xr:uid="{00000000-0005-0000-0000-00001C300000}"/>
    <cellStyle name="20% — акцент1 2" xfId="12318" xr:uid="{00000000-0005-0000-0000-00001D300000}"/>
    <cellStyle name="20% — акцент1 2 2" xfId="12319" xr:uid="{00000000-0005-0000-0000-00001E300000}"/>
    <cellStyle name="20% — акцент1 2 2 2" xfId="12320" xr:uid="{00000000-0005-0000-0000-00001F300000}"/>
    <cellStyle name="20% — акцент1 2 2 3" xfId="12321" xr:uid="{00000000-0005-0000-0000-000020300000}"/>
    <cellStyle name="20% — акцент1 2 2 4" xfId="12322" xr:uid="{00000000-0005-0000-0000-000021300000}"/>
    <cellStyle name="20% — акцент1 2 2 5" xfId="12323" xr:uid="{00000000-0005-0000-0000-000022300000}"/>
    <cellStyle name="20% — акцент1 2 2 6" xfId="12324" xr:uid="{00000000-0005-0000-0000-000023300000}"/>
    <cellStyle name="20% — акцент1 2 3" xfId="12325" xr:uid="{00000000-0005-0000-0000-000024300000}"/>
    <cellStyle name="20% — акцент1 2 4" xfId="12326" xr:uid="{00000000-0005-0000-0000-000025300000}"/>
    <cellStyle name="20% — акцент1 2 5" xfId="12327" xr:uid="{00000000-0005-0000-0000-000026300000}"/>
    <cellStyle name="20% — акцент1 2 6" xfId="12328" xr:uid="{00000000-0005-0000-0000-000027300000}"/>
    <cellStyle name="20% — акцент1 2 7" xfId="12329" xr:uid="{00000000-0005-0000-0000-000028300000}"/>
    <cellStyle name="20% — акцент1 2 8" xfId="12330" xr:uid="{00000000-0005-0000-0000-000029300000}"/>
    <cellStyle name="20% — акцент1 3" xfId="12331" xr:uid="{00000000-0005-0000-0000-00002A300000}"/>
    <cellStyle name="20% — акцент1 3 2" xfId="12332" xr:uid="{00000000-0005-0000-0000-00002B300000}"/>
    <cellStyle name="20% — акцент1 3 3" xfId="12333" xr:uid="{00000000-0005-0000-0000-00002C300000}"/>
    <cellStyle name="20% — акцент1 3 4" xfId="12334" xr:uid="{00000000-0005-0000-0000-00002D300000}"/>
    <cellStyle name="20% — акцент1 3 5" xfId="12335" xr:uid="{00000000-0005-0000-0000-00002E300000}"/>
    <cellStyle name="20% — акцент1 3 6" xfId="12336" xr:uid="{00000000-0005-0000-0000-00002F300000}"/>
    <cellStyle name="20% — акцент1 4" xfId="12337" xr:uid="{00000000-0005-0000-0000-000030300000}"/>
    <cellStyle name="20% — акцент1 5" xfId="12338" xr:uid="{00000000-0005-0000-0000-000031300000}"/>
    <cellStyle name="20% — акцент2 2" xfId="12339" xr:uid="{00000000-0005-0000-0000-000032300000}"/>
    <cellStyle name="20% — акцент2 2 2" xfId="12340" xr:uid="{00000000-0005-0000-0000-000033300000}"/>
    <cellStyle name="20% — акцент2 2 2 2" xfId="12341" xr:uid="{00000000-0005-0000-0000-000034300000}"/>
    <cellStyle name="20% — акцент2 2 2 3" xfId="12342" xr:uid="{00000000-0005-0000-0000-000035300000}"/>
    <cellStyle name="20% — акцент2 2 2 4" xfId="12343" xr:uid="{00000000-0005-0000-0000-000036300000}"/>
    <cellStyle name="20% — акцент2 2 2 5" xfId="12344" xr:uid="{00000000-0005-0000-0000-000037300000}"/>
    <cellStyle name="20% — акцент2 2 2 6" xfId="12345" xr:uid="{00000000-0005-0000-0000-000038300000}"/>
    <cellStyle name="20% — акцент2 2 3" xfId="12346" xr:uid="{00000000-0005-0000-0000-000039300000}"/>
    <cellStyle name="20% — акцент2 2 4" xfId="12347" xr:uid="{00000000-0005-0000-0000-00003A300000}"/>
    <cellStyle name="20% — акцент2 2 5" xfId="12348" xr:uid="{00000000-0005-0000-0000-00003B300000}"/>
    <cellStyle name="20% — акцент2 2 6" xfId="12349" xr:uid="{00000000-0005-0000-0000-00003C300000}"/>
    <cellStyle name="20% — акцент2 2 7" xfId="12350" xr:uid="{00000000-0005-0000-0000-00003D300000}"/>
    <cellStyle name="20% — акцент2 2 8" xfId="12351" xr:uid="{00000000-0005-0000-0000-00003E300000}"/>
    <cellStyle name="20% — акцент2 3" xfId="12352" xr:uid="{00000000-0005-0000-0000-00003F300000}"/>
    <cellStyle name="20% — акцент2 3 2" xfId="12353" xr:uid="{00000000-0005-0000-0000-000040300000}"/>
    <cellStyle name="20% — акцент2 3 3" xfId="12354" xr:uid="{00000000-0005-0000-0000-000041300000}"/>
    <cellStyle name="20% — акцент2 3 4" xfId="12355" xr:uid="{00000000-0005-0000-0000-000042300000}"/>
    <cellStyle name="20% — акцент2 3 5" xfId="12356" xr:uid="{00000000-0005-0000-0000-000043300000}"/>
    <cellStyle name="20% — акцент2 3 6" xfId="12357" xr:uid="{00000000-0005-0000-0000-000044300000}"/>
    <cellStyle name="20% — акцент2 4" xfId="12358" xr:uid="{00000000-0005-0000-0000-000045300000}"/>
    <cellStyle name="20% — акцент2 5" xfId="12359" xr:uid="{00000000-0005-0000-0000-000046300000}"/>
    <cellStyle name="20% — акцент3 2" xfId="12360" xr:uid="{00000000-0005-0000-0000-000047300000}"/>
    <cellStyle name="20% — акцент3 2 2" xfId="12361" xr:uid="{00000000-0005-0000-0000-000048300000}"/>
    <cellStyle name="20% — акцент3 2 2 2" xfId="12362" xr:uid="{00000000-0005-0000-0000-000049300000}"/>
    <cellStyle name="20% — акцент3 2 2 3" xfId="12363" xr:uid="{00000000-0005-0000-0000-00004A300000}"/>
    <cellStyle name="20% — акцент3 2 2 4" xfId="12364" xr:uid="{00000000-0005-0000-0000-00004B300000}"/>
    <cellStyle name="20% — акцент3 2 2 5" xfId="12365" xr:uid="{00000000-0005-0000-0000-00004C300000}"/>
    <cellStyle name="20% — акцент3 2 2 6" xfId="12366" xr:uid="{00000000-0005-0000-0000-00004D300000}"/>
    <cellStyle name="20% — акцент3 2 3" xfId="12367" xr:uid="{00000000-0005-0000-0000-00004E300000}"/>
    <cellStyle name="20% — акцент3 2 4" xfId="12368" xr:uid="{00000000-0005-0000-0000-00004F300000}"/>
    <cellStyle name="20% — акцент3 2 5" xfId="12369" xr:uid="{00000000-0005-0000-0000-000050300000}"/>
    <cellStyle name="20% — акцент3 2 6" xfId="12370" xr:uid="{00000000-0005-0000-0000-000051300000}"/>
    <cellStyle name="20% — акцент3 2 7" xfId="12371" xr:uid="{00000000-0005-0000-0000-000052300000}"/>
    <cellStyle name="20% — акцент3 2 8" xfId="12372" xr:uid="{00000000-0005-0000-0000-000053300000}"/>
    <cellStyle name="20% — акцент3 3" xfId="12373" xr:uid="{00000000-0005-0000-0000-000054300000}"/>
    <cellStyle name="20% — акцент3 3 2" xfId="12374" xr:uid="{00000000-0005-0000-0000-000055300000}"/>
    <cellStyle name="20% — акцент3 3 3" xfId="12375" xr:uid="{00000000-0005-0000-0000-000056300000}"/>
    <cellStyle name="20% — акцент3 3 4" xfId="12376" xr:uid="{00000000-0005-0000-0000-000057300000}"/>
    <cellStyle name="20% — акцент3 3 5" xfId="12377" xr:uid="{00000000-0005-0000-0000-000058300000}"/>
    <cellStyle name="20% — акцент3 3 6" xfId="12378" xr:uid="{00000000-0005-0000-0000-000059300000}"/>
    <cellStyle name="20% — акцент3 4" xfId="12379" xr:uid="{00000000-0005-0000-0000-00005A300000}"/>
    <cellStyle name="20% — акцент3 5" xfId="12380" xr:uid="{00000000-0005-0000-0000-00005B300000}"/>
    <cellStyle name="20% — акцент4 2" xfId="12381" xr:uid="{00000000-0005-0000-0000-00005C300000}"/>
    <cellStyle name="20% — акцент4 2 2" xfId="12382" xr:uid="{00000000-0005-0000-0000-00005D300000}"/>
    <cellStyle name="20% — акцент4 2 2 2" xfId="12383" xr:uid="{00000000-0005-0000-0000-00005E300000}"/>
    <cellStyle name="20% — акцент4 2 2 3" xfId="12384" xr:uid="{00000000-0005-0000-0000-00005F300000}"/>
    <cellStyle name="20% — акцент4 2 2 4" xfId="12385" xr:uid="{00000000-0005-0000-0000-000060300000}"/>
    <cellStyle name="20% — акцент4 2 2 5" xfId="12386" xr:uid="{00000000-0005-0000-0000-000061300000}"/>
    <cellStyle name="20% — акцент4 2 2 6" xfId="12387" xr:uid="{00000000-0005-0000-0000-000062300000}"/>
    <cellStyle name="20% — акцент4 2 3" xfId="12388" xr:uid="{00000000-0005-0000-0000-000063300000}"/>
    <cellStyle name="20% — акцент4 2 4" xfId="12389" xr:uid="{00000000-0005-0000-0000-000064300000}"/>
    <cellStyle name="20% — акцент4 2 5" xfId="12390" xr:uid="{00000000-0005-0000-0000-000065300000}"/>
    <cellStyle name="20% — акцент4 2 6" xfId="12391" xr:uid="{00000000-0005-0000-0000-000066300000}"/>
    <cellStyle name="20% — акцент4 2 7" xfId="12392" xr:uid="{00000000-0005-0000-0000-000067300000}"/>
    <cellStyle name="20% — акцент4 2 8" xfId="12393" xr:uid="{00000000-0005-0000-0000-000068300000}"/>
    <cellStyle name="20% — акцент4 3" xfId="12394" xr:uid="{00000000-0005-0000-0000-000069300000}"/>
    <cellStyle name="20% — акцент4 3 2" xfId="12395" xr:uid="{00000000-0005-0000-0000-00006A300000}"/>
    <cellStyle name="20% — акцент4 3 3" xfId="12396" xr:uid="{00000000-0005-0000-0000-00006B300000}"/>
    <cellStyle name="20% — акцент4 3 4" xfId="12397" xr:uid="{00000000-0005-0000-0000-00006C300000}"/>
    <cellStyle name="20% — акцент4 3 5" xfId="12398" xr:uid="{00000000-0005-0000-0000-00006D300000}"/>
    <cellStyle name="20% — акцент4 3 6" xfId="12399" xr:uid="{00000000-0005-0000-0000-00006E300000}"/>
    <cellStyle name="20% — акцент4 4" xfId="12400" xr:uid="{00000000-0005-0000-0000-00006F300000}"/>
    <cellStyle name="20% — акцент4 5" xfId="12401" xr:uid="{00000000-0005-0000-0000-000070300000}"/>
    <cellStyle name="20% — акцент5 2" xfId="12402" xr:uid="{00000000-0005-0000-0000-000071300000}"/>
    <cellStyle name="20% — акцент5 2 2" xfId="12403" xr:uid="{00000000-0005-0000-0000-000072300000}"/>
    <cellStyle name="20% — акцент5 2 2 2" xfId="12404" xr:uid="{00000000-0005-0000-0000-000073300000}"/>
    <cellStyle name="20% — акцент5 2 2 3" xfId="12405" xr:uid="{00000000-0005-0000-0000-000074300000}"/>
    <cellStyle name="20% — акцент5 2 2 4" xfId="12406" xr:uid="{00000000-0005-0000-0000-000075300000}"/>
    <cellStyle name="20% — акцент5 2 2 5" xfId="12407" xr:uid="{00000000-0005-0000-0000-000076300000}"/>
    <cellStyle name="20% — акцент5 2 2 6" xfId="12408" xr:uid="{00000000-0005-0000-0000-000077300000}"/>
    <cellStyle name="20% — акцент5 2 3" xfId="12409" xr:uid="{00000000-0005-0000-0000-000078300000}"/>
    <cellStyle name="20% — акцент5 2 4" xfId="12410" xr:uid="{00000000-0005-0000-0000-000079300000}"/>
    <cellStyle name="20% — акцент5 2 5" xfId="12411" xr:uid="{00000000-0005-0000-0000-00007A300000}"/>
    <cellStyle name="20% — акцент5 2 6" xfId="12412" xr:uid="{00000000-0005-0000-0000-00007B300000}"/>
    <cellStyle name="20% — акцент5 2 7" xfId="12413" xr:uid="{00000000-0005-0000-0000-00007C300000}"/>
    <cellStyle name="20% — акцент5 2 8" xfId="12414" xr:uid="{00000000-0005-0000-0000-00007D300000}"/>
    <cellStyle name="20% — акцент5 3" xfId="12415" xr:uid="{00000000-0005-0000-0000-00007E300000}"/>
    <cellStyle name="20% — акцент5 3 2" xfId="12416" xr:uid="{00000000-0005-0000-0000-00007F300000}"/>
    <cellStyle name="20% — акцент5 3 3" xfId="12417" xr:uid="{00000000-0005-0000-0000-000080300000}"/>
    <cellStyle name="20% — акцент5 3 4" xfId="12418" xr:uid="{00000000-0005-0000-0000-000081300000}"/>
    <cellStyle name="20% — акцент5 3 5" xfId="12419" xr:uid="{00000000-0005-0000-0000-000082300000}"/>
    <cellStyle name="20% — акцент5 3 6" xfId="12420" xr:uid="{00000000-0005-0000-0000-000083300000}"/>
    <cellStyle name="20% — акцент5 4" xfId="12421" xr:uid="{00000000-0005-0000-0000-000084300000}"/>
    <cellStyle name="20% — акцент5 5" xfId="12422" xr:uid="{00000000-0005-0000-0000-000085300000}"/>
    <cellStyle name="20% — акцент6 2" xfId="12423" xr:uid="{00000000-0005-0000-0000-000086300000}"/>
    <cellStyle name="20% — акцент6 2 2" xfId="12424" xr:uid="{00000000-0005-0000-0000-000087300000}"/>
    <cellStyle name="20% — акцент6 2 2 2" xfId="12425" xr:uid="{00000000-0005-0000-0000-000088300000}"/>
    <cellStyle name="20% — акцент6 2 2 3" xfId="12426" xr:uid="{00000000-0005-0000-0000-000089300000}"/>
    <cellStyle name="20% — акцент6 2 2 4" xfId="12427" xr:uid="{00000000-0005-0000-0000-00008A300000}"/>
    <cellStyle name="20% — акцент6 2 2 5" xfId="12428" xr:uid="{00000000-0005-0000-0000-00008B300000}"/>
    <cellStyle name="20% — акцент6 2 2 6" xfId="12429" xr:uid="{00000000-0005-0000-0000-00008C300000}"/>
    <cellStyle name="20% — акцент6 2 3" xfId="12430" xr:uid="{00000000-0005-0000-0000-00008D300000}"/>
    <cellStyle name="20% — акцент6 2 4" xfId="12431" xr:uid="{00000000-0005-0000-0000-00008E300000}"/>
    <cellStyle name="20% — акцент6 2 5" xfId="12432" xr:uid="{00000000-0005-0000-0000-00008F300000}"/>
    <cellStyle name="20% — акцент6 2 6" xfId="12433" xr:uid="{00000000-0005-0000-0000-000090300000}"/>
    <cellStyle name="20% — акцент6 2 7" xfId="12434" xr:uid="{00000000-0005-0000-0000-000091300000}"/>
    <cellStyle name="20% — акцент6 2 8" xfId="12435" xr:uid="{00000000-0005-0000-0000-000092300000}"/>
    <cellStyle name="20% — акцент6 3" xfId="12436" xr:uid="{00000000-0005-0000-0000-000093300000}"/>
    <cellStyle name="20% — акцент6 3 2" xfId="12437" xr:uid="{00000000-0005-0000-0000-000094300000}"/>
    <cellStyle name="20% — акцент6 3 3" xfId="12438" xr:uid="{00000000-0005-0000-0000-000095300000}"/>
    <cellStyle name="20% — акцент6 3 4" xfId="12439" xr:uid="{00000000-0005-0000-0000-000096300000}"/>
    <cellStyle name="20% — акцент6 3 5" xfId="12440" xr:uid="{00000000-0005-0000-0000-000097300000}"/>
    <cellStyle name="20% — акцент6 3 6" xfId="12441" xr:uid="{00000000-0005-0000-0000-000098300000}"/>
    <cellStyle name="20% — акцент6 4" xfId="12442" xr:uid="{00000000-0005-0000-0000-000099300000}"/>
    <cellStyle name="20% — акцент6 5" xfId="12443" xr:uid="{00000000-0005-0000-0000-00009A300000}"/>
    <cellStyle name="20% - 强调文字颜色 1 2" xfId="12444" xr:uid="{00000000-0005-0000-0000-00009B300000}"/>
    <cellStyle name="20% - 强调文字颜色 1 2 10" xfId="12445" xr:uid="{00000000-0005-0000-0000-00009C300000}"/>
    <cellStyle name="20% - 强调文字颜色 1 2 11" xfId="12446" xr:uid="{00000000-0005-0000-0000-00009D300000}"/>
    <cellStyle name="20% - 强调文字颜色 1 2 11 2" xfId="12447" xr:uid="{00000000-0005-0000-0000-00009E300000}"/>
    <cellStyle name="20% - 强调文字颜色 1 2 12" xfId="12448" xr:uid="{00000000-0005-0000-0000-00009F300000}"/>
    <cellStyle name="20% - 强调文字颜色 1 2 12 2" xfId="12449" xr:uid="{00000000-0005-0000-0000-0000A0300000}"/>
    <cellStyle name="20% - 强调文字颜色 1 2 2" xfId="12450" xr:uid="{00000000-0005-0000-0000-0000A1300000}"/>
    <cellStyle name="20% - 强调文字颜色 1 2 2 10" xfId="12451" xr:uid="{00000000-0005-0000-0000-0000A2300000}"/>
    <cellStyle name="20% - 强调文字颜色 1 2 2 11" xfId="12452" xr:uid="{00000000-0005-0000-0000-0000A3300000}"/>
    <cellStyle name="20% - 强调文字颜色 1 2 2 11 2" xfId="12453" xr:uid="{00000000-0005-0000-0000-0000A4300000}"/>
    <cellStyle name="20% - 强调文字颜色 1 2 2 12" xfId="12454" xr:uid="{00000000-0005-0000-0000-0000A5300000}"/>
    <cellStyle name="20% - 强调文字颜色 1 2 2 12 2" xfId="12455" xr:uid="{00000000-0005-0000-0000-0000A6300000}"/>
    <cellStyle name="20% - 强调文字颜色 1 2 2 2" xfId="12456" xr:uid="{00000000-0005-0000-0000-0000A7300000}"/>
    <cellStyle name="20% - 强调文字颜色 1 2 2 2 2" xfId="12457" xr:uid="{00000000-0005-0000-0000-0000A8300000}"/>
    <cellStyle name="20% - 强调文字颜色 1 2 2 2 2 2" xfId="12458" xr:uid="{00000000-0005-0000-0000-0000A9300000}"/>
    <cellStyle name="20% - 强调文字颜色 1 2 2 2 2 2 2" xfId="12459" xr:uid="{00000000-0005-0000-0000-0000AA300000}"/>
    <cellStyle name="20% - 强调文字颜色 1 2 2 2 2 2 3" xfId="12460" xr:uid="{00000000-0005-0000-0000-0000AB300000}"/>
    <cellStyle name="20% - 强调文字颜色 1 2 2 2 2 2 3 2" xfId="12461" xr:uid="{00000000-0005-0000-0000-0000AC300000}"/>
    <cellStyle name="20% - 强调文字颜色 1 2 2 2 2 2 3 2 2" xfId="12462" xr:uid="{00000000-0005-0000-0000-0000AD300000}"/>
    <cellStyle name="20% - 强调文字颜色 1 2 2 2 2 2 4" xfId="12463" xr:uid="{00000000-0005-0000-0000-0000AE300000}"/>
    <cellStyle name="20% - 强调文字颜色 1 2 2 2 2 2 4 2" xfId="12464" xr:uid="{00000000-0005-0000-0000-0000AF300000}"/>
    <cellStyle name="20% - 强调文字颜色 1 2 2 2 2 2 5" xfId="12465" xr:uid="{00000000-0005-0000-0000-0000B0300000}"/>
    <cellStyle name="20% - 强调文字颜色 1 2 2 2 2 2 5 2" xfId="12466" xr:uid="{00000000-0005-0000-0000-0000B1300000}"/>
    <cellStyle name="20% - 强调文字颜色 1 2 2 2 2 2 6" xfId="12467" xr:uid="{00000000-0005-0000-0000-0000B2300000}"/>
    <cellStyle name="20% - 强调文字颜色 1 2 2 2 2 3" xfId="12468" xr:uid="{00000000-0005-0000-0000-0000B3300000}"/>
    <cellStyle name="20% - 强调文字颜色 1 2 2 2 2 3 2" xfId="12469" xr:uid="{00000000-0005-0000-0000-0000B4300000}"/>
    <cellStyle name="20% - 强调文字颜色 1 2 2 2 2 3 2 2" xfId="12470" xr:uid="{00000000-0005-0000-0000-0000B5300000}"/>
    <cellStyle name="20% - 强调文字颜色 1 2 2 2 2 3 2 2 2" xfId="12471" xr:uid="{00000000-0005-0000-0000-0000B6300000}"/>
    <cellStyle name="20% - 强调文字颜色 1 2 2 2 2 3 3" xfId="12472" xr:uid="{00000000-0005-0000-0000-0000B7300000}"/>
    <cellStyle name="20% - 强调文字颜色 1 2 2 2 2 3 3 2" xfId="12473" xr:uid="{00000000-0005-0000-0000-0000B8300000}"/>
    <cellStyle name="20% - 强调文字颜色 1 2 2 2 2 3 4" xfId="12474" xr:uid="{00000000-0005-0000-0000-0000B9300000}"/>
    <cellStyle name="20% - 强调文字颜色 1 2 2 2 2 3 4 2" xfId="12475" xr:uid="{00000000-0005-0000-0000-0000BA300000}"/>
    <cellStyle name="20% - 强调文字颜色 1 2 2 2 2 3 5" xfId="12476" xr:uid="{00000000-0005-0000-0000-0000BB300000}"/>
    <cellStyle name="20% - 强调文字颜色 1 2 2 2 2 4" xfId="12477" xr:uid="{00000000-0005-0000-0000-0000BC300000}"/>
    <cellStyle name="20% - 强调文字颜色 1 2 2 2 2 5" xfId="12478" xr:uid="{00000000-0005-0000-0000-0000BD300000}"/>
    <cellStyle name="20% - 强调文字颜色 1 2 2 2 2 6" xfId="12479" xr:uid="{00000000-0005-0000-0000-0000BE300000}"/>
    <cellStyle name="20% - 强调文字颜色 1 2 2 2 2 6 2" xfId="12480" xr:uid="{00000000-0005-0000-0000-0000BF300000}"/>
    <cellStyle name="20% - 强调文字颜色 1 2 2 2 2 7" xfId="12481" xr:uid="{00000000-0005-0000-0000-0000C0300000}"/>
    <cellStyle name="20% - 强调文字颜色 1 2 2 2 2 7 2" xfId="12482" xr:uid="{00000000-0005-0000-0000-0000C1300000}"/>
    <cellStyle name="20% - 强调文字颜色 1 2 2 2 3" xfId="12483" xr:uid="{00000000-0005-0000-0000-0000C2300000}"/>
    <cellStyle name="20% - 强调文字颜色 1 2 2 2 3 2" xfId="12484" xr:uid="{00000000-0005-0000-0000-0000C3300000}"/>
    <cellStyle name="20% - 强调文字颜色 1 2 2 2 3 3" xfId="12485" xr:uid="{00000000-0005-0000-0000-0000C4300000}"/>
    <cellStyle name="20% - 强调文字颜色 1 2 2 2 3 3 2" xfId="12486" xr:uid="{00000000-0005-0000-0000-0000C5300000}"/>
    <cellStyle name="20% - 强调文字颜色 1 2 2 2 3 3 2 2" xfId="12487" xr:uid="{00000000-0005-0000-0000-0000C6300000}"/>
    <cellStyle name="20% - 强调文字颜色 1 2 2 2 3 4" xfId="12488" xr:uid="{00000000-0005-0000-0000-0000C7300000}"/>
    <cellStyle name="20% - 强调文字颜色 1 2 2 2 3 4 2" xfId="12489" xr:uid="{00000000-0005-0000-0000-0000C8300000}"/>
    <cellStyle name="20% - 强调文字颜色 1 2 2 2 3 5" xfId="12490" xr:uid="{00000000-0005-0000-0000-0000C9300000}"/>
    <cellStyle name="20% - 强调文字颜色 1 2 2 2 3 5 2" xfId="12491" xr:uid="{00000000-0005-0000-0000-0000CA300000}"/>
    <cellStyle name="20% - 强调文字颜色 1 2 2 2 3 6" xfId="12492" xr:uid="{00000000-0005-0000-0000-0000CB300000}"/>
    <cellStyle name="20% - 强调文字颜色 1 2 2 2 4" xfId="12493" xr:uid="{00000000-0005-0000-0000-0000CC300000}"/>
    <cellStyle name="20% - 强调文字颜色 1 2 2 2 4 2" xfId="12494" xr:uid="{00000000-0005-0000-0000-0000CD300000}"/>
    <cellStyle name="20% - 强调文字颜色 1 2 2 2 4 2 2" xfId="12495" xr:uid="{00000000-0005-0000-0000-0000CE300000}"/>
    <cellStyle name="20% - 强调文字颜色 1 2 2 2 4 2 2 2" xfId="12496" xr:uid="{00000000-0005-0000-0000-0000CF300000}"/>
    <cellStyle name="20% - 强调文字颜色 1 2 2 2 4 3" xfId="12497" xr:uid="{00000000-0005-0000-0000-0000D0300000}"/>
    <cellStyle name="20% - 强调文字颜色 1 2 2 2 4 3 2" xfId="12498" xr:uid="{00000000-0005-0000-0000-0000D1300000}"/>
    <cellStyle name="20% - 强调文字颜色 1 2 2 2 4 4" xfId="12499" xr:uid="{00000000-0005-0000-0000-0000D2300000}"/>
    <cellStyle name="20% - 强调文字颜色 1 2 2 2 4 4 2" xfId="12500" xr:uid="{00000000-0005-0000-0000-0000D3300000}"/>
    <cellStyle name="20% - 强调文字颜色 1 2 2 2 4 5" xfId="12501" xr:uid="{00000000-0005-0000-0000-0000D4300000}"/>
    <cellStyle name="20% - 强调文字颜色 1 2 2 2 5" xfId="12502" xr:uid="{00000000-0005-0000-0000-0000D5300000}"/>
    <cellStyle name="20% - 强调文字颜色 1 2 2 2 6" xfId="12503" xr:uid="{00000000-0005-0000-0000-0000D6300000}"/>
    <cellStyle name="20% - 强调文字颜色 1 2 2 2 7" xfId="12504" xr:uid="{00000000-0005-0000-0000-0000D7300000}"/>
    <cellStyle name="20% - 强调文字颜色 1 2 2 2 7 2" xfId="12505" xr:uid="{00000000-0005-0000-0000-0000D8300000}"/>
    <cellStyle name="20% - 强调文字颜色 1 2 2 2 8" xfId="12506" xr:uid="{00000000-0005-0000-0000-0000D9300000}"/>
    <cellStyle name="20% - 强调文字颜色 1 2 2 2 8 2" xfId="12507" xr:uid="{00000000-0005-0000-0000-0000DA300000}"/>
    <cellStyle name="20% - 强调文字颜色 1 2 2 3" xfId="12508" xr:uid="{00000000-0005-0000-0000-0000DB300000}"/>
    <cellStyle name="20% - 强调文字颜色 1 2 2 3 2" xfId="12509" xr:uid="{00000000-0005-0000-0000-0000DC300000}"/>
    <cellStyle name="20% - 强调文字颜色 1 2 2 3 2 2" xfId="12510" xr:uid="{00000000-0005-0000-0000-0000DD300000}"/>
    <cellStyle name="20% - 强调文字颜色 1 2 2 3 2 3" xfId="12511" xr:uid="{00000000-0005-0000-0000-0000DE300000}"/>
    <cellStyle name="20% - 强调文字颜色 1 2 2 3 2 3 2" xfId="12512" xr:uid="{00000000-0005-0000-0000-0000DF300000}"/>
    <cellStyle name="20% - 强调文字颜色 1 2 2 3 2 3 2 2" xfId="12513" xr:uid="{00000000-0005-0000-0000-0000E0300000}"/>
    <cellStyle name="20% - 强调文字颜色 1 2 2 3 2 4" xfId="12514" xr:uid="{00000000-0005-0000-0000-0000E1300000}"/>
    <cellStyle name="20% - 强调文字颜色 1 2 2 3 2 4 2" xfId="12515" xr:uid="{00000000-0005-0000-0000-0000E2300000}"/>
    <cellStyle name="20% - 强调文字颜色 1 2 2 3 2 5" xfId="12516" xr:uid="{00000000-0005-0000-0000-0000E3300000}"/>
    <cellStyle name="20% - 强调文字颜色 1 2 2 3 2 5 2" xfId="12517" xr:uid="{00000000-0005-0000-0000-0000E4300000}"/>
    <cellStyle name="20% - 强调文字颜色 1 2 2 3 2 6" xfId="12518" xr:uid="{00000000-0005-0000-0000-0000E5300000}"/>
    <cellStyle name="20% - 强调文字颜色 1 2 2 3 3" xfId="12519" xr:uid="{00000000-0005-0000-0000-0000E6300000}"/>
    <cellStyle name="20% - 强调文字颜色 1 2 2 3 3 2" xfId="12520" xr:uid="{00000000-0005-0000-0000-0000E7300000}"/>
    <cellStyle name="20% - 强调文字颜色 1 2 2 3 3 2 2" xfId="12521" xr:uid="{00000000-0005-0000-0000-0000E8300000}"/>
    <cellStyle name="20% - 强调文字颜色 1 2 2 3 3 2 2 2" xfId="12522" xr:uid="{00000000-0005-0000-0000-0000E9300000}"/>
    <cellStyle name="20% - 强调文字颜色 1 2 2 3 3 3" xfId="12523" xr:uid="{00000000-0005-0000-0000-0000EA300000}"/>
    <cellStyle name="20% - 强调文字颜色 1 2 2 3 3 3 2" xfId="12524" xr:uid="{00000000-0005-0000-0000-0000EB300000}"/>
    <cellStyle name="20% - 强调文字颜色 1 2 2 3 3 4" xfId="12525" xr:uid="{00000000-0005-0000-0000-0000EC300000}"/>
    <cellStyle name="20% - 强调文字颜色 1 2 2 3 3 4 2" xfId="12526" xr:uid="{00000000-0005-0000-0000-0000ED300000}"/>
    <cellStyle name="20% - 强调文字颜色 1 2 2 3 3 5" xfId="12527" xr:uid="{00000000-0005-0000-0000-0000EE300000}"/>
    <cellStyle name="20% - 强调文字颜色 1 2 2 3 4" xfId="12528" xr:uid="{00000000-0005-0000-0000-0000EF300000}"/>
    <cellStyle name="20% - 强调文字颜色 1 2 2 3 5" xfId="12529" xr:uid="{00000000-0005-0000-0000-0000F0300000}"/>
    <cellStyle name="20% - 强调文字颜色 1 2 2 3 6" xfId="12530" xr:uid="{00000000-0005-0000-0000-0000F1300000}"/>
    <cellStyle name="20% - 强调文字颜色 1 2 2 3 6 2" xfId="12531" xr:uid="{00000000-0005-0000-0000-0000F2300000}"/>
    <cellStyle name="20% - 强调文字颜色 1 2 2 3 7" xfId="12532" xr:uid="{00000000-0005-0000-0000-0000F3300000}"/>
    <cellStyle name="20% - 强调文字颜色 1 2 2 3 7 2" xfId="12533" xr:uid="{00000000-0005-0000-0000-0000F4300000}"/>
    <cellStyle name="20% - 强调文字颜色 1 2 2 4" xfId="12534" xr:uid="{00000000-0005-0000-0000-0000F5300000}"/>
    <cellStyle name="20% - 强调文字颜色 1 2 2 4 2" xfId="12535" xr:uid="{00000000-0005-0000-0000-0000F6300000}"/>
    <cellStyle name="20% - 强调文字颜色 1 2 2 4 2 2" xfId="12536" xr:uid="{00000000-0005-0000-0000-0000F7300000}"/>
    <cellStyle name="20% - 强调文字颜色 1 2 2 4 2 3" xfId="12537" xr:uid="{00000000-0005-0000-0000-0000F8300000}"/>
    <cellStyle name="20% - 强调文字颜色 1 2 2 4 2 3 2" xfId="12538" xr:uid="{00000000-0005-0000-0000-0000F9300000}"/>
    <cellStyle name="20% - 强调文字颜色 1 2 2 4 2 3 2 2" xfId="12539" xr:uid="{00000000-0005-0000-0000-0000FA300000}"/>
    <cellStyle name="20% - 强调文字颜色 1 2 2 4 2 4" xfId="12540" xr:uid="{00000000-0005-0000-0000-0000FB300000}"/>
    <cellStyle name="20% - 强调文字颜色 1 2 2 4 2 4 2" xfId="12541" xr:uid="{00000000-0005-0000-0000-0000FC300000}"/>
    <cellStyle name="20% - 强调文字颜色 1 2 2 4 2 5" xfId="12542" xr:uid="{00000000-0005-0000-0000-0000FD300000}"/>
    <cellStyle name="20% - 强调文字颜色 1 2 2 4 2 5 2" xfId="12543" xr:uid="{00000000-0005-0000-0000-0000FE300000}"/>
    <cellStyle name="20% - 强调文字颜色 1 2 2 4 2 6" xfId="12544" xr:uid="{00000000-0005-0000-0000-0000FF300000}"/>
    <cellStyle name="20% - 强调文字颜色 1 2 2 4 3" xfId="12545" xr:uid="{00000000-0005-0000-0000-000000310000}"/>
    <cellStyle name="20% - 强调文字颜色 1 2 2 4 4" xfId="12546" xr:uid="{00000000-0005-0000-0000-000001310000}"/>
    <cellStyle name="20% - 强调文字颜色 1 2 2 4 5" xfId="12547" xr:uid="{00000000-0005-0000-0000-000002310000}"/>
    <cellStyle name="20% - 强调文字颜色 1 2 2 4 6" xfId="12548" xr:uid="{00000000-0005-0000-0000-000003310000}"/>
    <cellStyle name="20% - 强调文字颜色 1 2 2 4 6 2" xfId="12549" xr:uid="{00000000-0005-0000-0000-000004310000}"/>
    <cellStyle name="20% - 强调文字颜色 1 2 2 4 7" xfId="12550" xr:uid="{00000000-0005-0000-0000-000005310000}"/>
    <cellStyle name="20% - 强调文字颜色 1 2 2 4 7 2" xfId="12551" xr:uid="{00000000-0005-0000-0000-000006310000}"/>
    <cellStyle name="20% - 强调文字颜色 1 2 2 5" xfId="12552" xr:uid="{00000000-0005-0000-0000-000007310000}"/>
    <cellStyle name="20% - 强调文字颜色 1 2 2 5 2" xfId="12553" xr:uid="{00000000-0005-0000-0000-000008310000}"/>
    <cellStyle name="20% - 强调文字颜色 1 2 2 5 2 2" xfId="12554" xr:uid="{00000000-0005-0000-0000-000009310000}"/>
    <cellStyle name="20% - 强调文字颜色 1 2 2 5 2 2 2" xfId="12555" xr:uid="{00000000-0005-0000-0000-00000A310000}"/>
    <cellStyle name="20% - 强调文字颜色 1 2 2 5 2 2 2 2" xfId="12556" xr:uid="{00000000-0005-0000-0000-00000B310000}"/>
    <cellStyle name="20% - 强调文字颜色 1 2 2 5 2 3" xfId="12557" xr:uid="{00000000-0005-0000-0000-00000C310000}"/>
    <cellStyle name="20% - 强调文字颜色 1 2 2 5 2 3 2" xfId="12558" xr:uid="{00000000-0005-0000-0000-00000D310000}"/>
    <cellStyle name="20% - 强调文字颜色 1 2 2 5 2 4" xfId="12559" xr:uid="{00000000-0005-0000-0000-00000E310000}"/>
    <cellStyle name="20% - 强调文字颜色 1 2 2 5 2 4 2" xfId="12560" xr:uid="{00000000-0005-0000-0000-00000F310000}"/>
    <cellStyle name="20% - 强调文字颜色 1 2 2 5 2 5" xfId="12561" xr:uid="{00000000-0005-0000-0000-000010310000}"/>
    <cellStyle name="20% - 强调文字颜色 1 2 2 5 3" xfId="12562" xr:uid="{00000000-0005-0000-0000-000011310000}"/>
    <cellStyle name="20% - 强调文字颜色 1 2 2 5 3 2" xfId="12563" xr:uid="{00000000-0005-0000-0000-000012310000}"/>
    <cellStyle name="20% - 强调文字颜色 1 2 2 5 3 2 2" xfId="12564" xr:uid="{00000000-0005-0000-0000-000013310000}"/>
    <cellStyle name="20% - 强调文字颜色 1 2 2 5 4" xfId="12565" xr:uid="{00000000-0005-0000-0000-000014310000}"/>
    <cellStyle name="20% - 强调文字颜色 1 2 2 5 4 2" xfId="12566" xr:uid="{00000000-0005-0000-0000-000015310000}"/>
    <cellStyle name="20% - 强调文字颜色 1 2 2 5 5" xfId="12567" xr:uid="{00000000-0005-0000-0000-000016310000}"/>
    <cellStyle name="20% - 强调文字颜色 1 2 2 5 5 2" xfId="12568" xr:uid="{00000000-0005-0000-0000-000017310000}"/>
    <cellStyle name="20% - 强调文字颜色 1 2 2 5 6" xfId="12569" xr:uid="{00000000-0005-0000-0000-000018310000}"/>
    <cellStyle name="20% - 强调文字颜色 1 2 2 6" xfId="12570" xr:uid="{00000000-0005-0000-0000-000019310000}"/>
    <cellStyle name="20% - 强调文字颜色 1 2 2 6 2" xfId="12571" xr:uid="{00000000-0005-0000-0000-00001A310000}"/>
    <cellStyle name="20% - 强调文字颜色 1 2 2 6 2 2" xfId="12572" xr:uid="{00000000-0005-0000-0000-00001B310000}"/>
    <cellStyle name="20% - 强调文字颜色 1 2 2 6 2 2 2" xfId="12573" xr:uid="{00000000-0005-0000-0000-00001C310000}"/>
    <cellStyle name="20% - 强调文字颜色 1 2 2 6 2 2 2 2" xfId="12574" xr:uid="{00000000-0005-0000-0000-00001D310000}"/>
    <cellStyle name="20% - 强调文字颜色 1 2 2 6 2 3" xfId="12575" xr:uid="{00000000-0005-0000-0000-00001E310000}"/>
    <cellStyle name="20% - 强调文字颜色 1 2 2 6 2 3 2" xfId="12576" xr:uid="{00000000-0005-0000-0000-00001F310000}"/>
    <cellStyle name="20% - 强调文字颜色 1 2 2 6 2 4" xfId="12577" xr:uid="{00000000-0005-0000-0000-000020310000}"/>
    <cellStyle name="20% - 强调文字颜色 1 2 2 6 2 4 2" xfId="12578" xr:uid="{00000000-0005-0000-0000-000021310000}"/>
    <cellStyle name="20% - 强调文字颜色 1 2 2 6 2 5" xfId="12579" xr:uid="{00000000-0005-0000-0000-000022310000}"/>
    <cellStyle name="20% - 强调文字颜色 1 2 2 6 3" xfId="12580" xr:uid="{00000000-0005-0000-0000-000023310000}"/>
    <cellStyle name="20% - 强调文字颜色 1 2 2 6 3 2" xfId="12581" xr:uid="{00000000-0005-0000-0000-000024310000}"/>
    <cellStyle name="20% - 强调文字颜色 1 2 2 6 3 2 2" xfId="12582" xr:uid="{00000000-0005-0000-0000-000025310000}"/>
    <cellStyle name="20% - 强调文字颜色 1 2 2 6 4" xfId="12583" xr:uid="{00000000-0005-0000-0000-000026310000}"/>
    <cellStyle name="20% - 强调文字颜色 1 2 2 6 4 2" xfId="12584" xr:uid="{00000000-0005-0000-0000-000027310000}"/>
    <cellStyle name="20% - 强调文字颜色 1 2 2 6 5" xfId="12585" xr:uid="{00000000-0005-0000-0000-000028310000}"/>
    <cellStyle name="20% - 强调文字颜色 1 2 2 6 5 2" xfId="12586" xr:uid="{00000000-0005-0000-0000-000029310000}"/>
    <cellStyle name="20% - 强调文字颜色 1 2 2 6 6" xfId="12587" xr:uid="{00000000-0005-0000-0000-00002A310000}"/>
    <cellStyle name="20% - 强调文字颜色 1 2 2 7" xfId="12588" xr:uid="{00000000-0005-0000-0000-00002B310000}"/>
    <cellStyle name="20% - 强调文字颜色 1 2 2 7 2" xfId="12589" xr:uid="{00000000-0005-0000-0000-00002C310000}"/>
    <cellStyle name="20% - 强调文字颜色 1 2 2 7 2 2" xfId="12590" xr:uid="{00000000-0005-0000-0000-00002D310000}"/>
    <cellStyle name="20% - 强调文字颜色 1 2 2 7 2 2 2" xfId="12591" xr:uid="{00000000-0005-0000-0000-00002E310000}"/>
    <cellStyle name="20% - 强调文字颜色 1 2 2 7 2 2 2 2" xfId="12592" xr:uid="{00000000-0005-0000-0000-00002F310000}"/>
    <cellStyle name="20% - 强调文字颜色 1 2 2 7 2 3" xfId="12593" xr:uid="{00000000-0005-0000-0000-000030310000}"/>
    <cellStyle name="20% - 强调文字颜色 1 2 2 7 2 3 2" xfId="12594" xr:uid="{00000000-0005-0000-0000-000031310000}"/>
    <cellStyle name="20% - 强调文字颜色 1 2 2 7 2 4" xfId="12595" xr:uid="{00000000-0005-0000-0000-000032310000}"/>
    <cellStyle name="20% - 强调文字颜色 1 2 2 7 2 4 2" xfId="12596" xr:uid="{00000000-0005-0000-0000-000033310000}"/>
    <cellStyle name="20% - 强调文字颜色 1 2 2 7 2 5" xfId="12597" xr:uid="{00000000-0005-0000-0000-000034310000}"/>
    <cellStyle name="20% - 强调文字颜色 1 2 2 7 3" xfId="12598" xr:uid="{00000000-0005-0000-0000-000035310000}"/>
    <cellStyle name="20% - 强调文字颜色 1 2 2 7 3 2" xfId="12599" xr:uid="{00000000-0005-0000-0000-000036310000}"/>
    <cellStyle name="20% - 强调文字颜色 1 2 2 7 3 2 2" xfId="12600" xr:uid="{00000000-0005-0000-0000-000037310000}"/>
    <cellStyle name="20% - 强调文字颜色 1 2 2 7 4" xfId="12601" xr:uid="{00000000-0005-0000-0000-000038310000}"/>
    <cellStyle name="20% - 强调文字颜色 1 2 2 7 4 2" xfId="12602" xr:uid="{00000000-0005-0000-0000-000039310000}"/>
    <cellStyle name="20% - 强调文字颜色 1 2 2 7 5" xfId="12603" xr:uid="{00000000-0005-0000-0000-00003A310000}"/>
    <cellStyle name="20% - 强调文字颜色 1 2 2 7 5 2" xfId="12604" xr:uid="{00000000-0005-0000-0000-00003B310000}"/>
    <cellStyle name="20% - 强调文字颜色 1 2 2 7 6" xfId="12605" xr:uid="{00000000-0005-0000-0000-00003C310000}"/>
    <cellStyle name="20% - 强调文字颜色 1 2 2 8" xfId="12606" xr:uid="{00000000-0005-0000-0000-00003D310000}"/>
    <cellStyle name="20% - 强调文字颜色 1 2 2 8 2" xfId="12607" xr:uid="{00000000-0005-0000-0000-00003E310000}"/>
    <cellStyle name="20% - 强调文字颜色 1 2 2 8 2 2" xfId="12608" xr:uid="{00000000-0005-0000-0000-00003F310000}"/>
    <cellStyle name="20% - 强调文字颜色 1 2 2 8 2 2 2" xfId="12609" xr:uid="{00000000-0005-0000-0000-000040310000}"/>
    <cellStyle name="20% - 强调文字颜色 1 2 2 8 3" xfId="12610" xr:uid="{00000000-0005-0000-0000-000041310000}"/>
    <cellStyle name="20% - 强调文字颜色 1 2 2 8 3 2" xfId="12611" xr:uid="{00000000-0005-0000-0000-000042310000}"/>
    <cellStyle name="20% - 强调文字颜色 1 2 2 8 4" xfId="12612" xr:uid="{00000000-0005-0000-0000-000043310000}"/>
    <cellStyle name="20% - 强调文字颜色 1 2 2 8 4 2" xfId="12613" xr:uid="{00000000-0005-0000-0000-000044310000}"/>
    <cellStyle name="20% - 强调文字颜色 1 2 2 8 5" xfId="12614" xr:uid="{00000000-0005-0000-0000-000045310000}"/>
    <cellStyle name="20% - 强调文字颜色 1 2 2 9" xfId="12615" xr:uid="{00000000-0005-0000-0000-000046310000}"/>
    <cellStyle name="20% - 强调文字颜色 1 2 2 9 2" xfId="12616" xr:uid="{00000000-0005-0000-0000-000047310000}"/>
    <cellStyle name="20% - 强调文字颜色 1 2 2 9 2 2" xfId="12617" xr:uid="{00000000-0005-0000-0000-000048310000}"/>
    <cellStyle name="20% - 强调文字颜色 1 2 2 9 2 2 2" xfId="12618" xr:uid="{00000000-0005-0000-0000-000049310000}"/>
    <cellStyle name="20% - 强调文字颜色 1 2 2 9 3" xfId="12619" xr:uid="{00000000-0005-0000-0000-00004A310000}"/>
    <cellStyle name="20% - 强调文字颜色 1 2 2 9 3 2" xfId="12620" xr:uid="{00000000-0005-0000-0000-00004B310000}"/>
    <cellStyle name="20% - 强调文字颜色 1 2 2 9 4" xfId="12621" xr:uid="{00000000-0005-0000-0000-00004C310000}"/>
    <cellStyle name="20% - 强调文字颜色 1 2 2 9 4 2" xfId="12622" xr:uid="{00000000-0005-0000-0000-00004D310000}"/>
    <cellStyle name="20% - 强调文字颜色 1 2 2 9 5" xfId="12623" xr:uid="{00000000-0005-0000-0000-00004E310000}"/>
    <cellStyle name="20% - 强调文字颜色 1 2 3" xfId="12624" xr:uid="{00000000-0005-0000-0000-00004F310000}"/>
    <cellStyle name="20% - 强调文字颜色 1 2 3 10" xfId="12625" xr:uid="{00000000-0005-0000-0000-000050310000}"/>
    <cellStyle name="20% - 强调文字颜色 1 2 3 10 2" xfId="12626" xr:uid="{00000000-0005-0000-0000-000051310000}"/>
    <cellStyle name="20% - 强调文字颜色 1 2 3 2" xfId="12627" xr:uid="{00000000-0005-0000-0000-000052310000}"/>
    <cellStyle name="20% - 强调文字颜色 1 2 3 2 2" xfId="12628" xr:uid="{00000000-0005-0000-0000-000053310000}"/>
    <cellStyle name="20% - 强调文字颜色 1 2 3 2 2 2" xfId="12629" xr:uid="{00000000-0005-0000-0000-000054310000}"/>
    <cellStyle name="20% - 强调文字颜色 1 2 3 2 2 2 2" xfId="12630" xr:uid="{00000000-0005-0000-0000-000055310000}"/>
    <cellStyle name="20% - 强调文字颜色 1 2 3 2 2 2 3" xfId="12631" xr:uid="{00000000-0005-0000-0000-000056310000}"/>
    <cellStyle name="20% - 强调文字颜色 1 2 3 2 2 2 3 2" xfId="12632" xr:uid="{00000000-0005-0000-0000-000057310000}"/>
    <cellStyle name="20% - 强调文字颜色 1 2 3 2 2 2 3 2 2" xfId="12633" xr:uid="{00000000-0005-0000-0000-000058310000}"/>
    <cellStyle name="20% - 强调文字颜色 1 2 3 2 2 2 4" xfId="12634" xr:uid="{00000000-0005-0000-0000-000059310000}"/>
    <cellStyle name="20% - 强调文字颜色 1 2 3 2 2 2 4 2" xfId="12635" xr:uid="{00000000-0005-0000-0000-00005A310000}"/>
    <cellStyle name="20% - 强调文字颜色 1 2 3 2 2 2 5" xfId="12636" xr:uid="{00000000-0005-0000-0000-00005B310000}"/>
    <cellStyle name="20% - 强调文字颜色 1 2 3 2 2 2 5 2" xfId="12637" xr:uid="{00000000-0005-0000-0000-00005C310000}"/>
    <cellStyle name="20% - 强调文字颜色 1 2 3 2 2 2 6" xfId="12638" xr:uid="{00000000-0005-0000-0000-00005D310000}"/>
    <cellStyle name="20% - 强调文字颜色 1 2 3 2 2 3" xfId="12639" xr:uid="{00000000-0005-0000-0000-00005E310000}"/>
    <cellStyle name="20% - 强调文字颜色 1 2 3 2 2 3 2" xfId="12640" xr:uid="{00000000-0005-0000-0000-00005F310000}"/>
    <cellStyle name="20% - 强调文字颜色 1 2 3 2 2 3 2 2" xfId="12641" xr:uid="{00000000-0005-0000-0000-000060310000}"/>
    <cellStyle name="20% - 强调文字颜色 1 2 3 2 2 3 2 2 2" xfId="12642" xr:uid="{00000000-0005-0000-0000-000061310000}"/>
    <cellStyle name="20% - 强调文字颜色 1 2 3 2 2 3 3" xfId="12643" xr:uid="{00000000-0005-0000-0000-000062310000}"/>
    <cellStyle name="20% - 强调文字颜色 1 2 3 2 2 3 3 2" xfId="12644" xr:uid="{00000000-0005-0000-0000-000063310000}"/>
    <cellStyle name="20% - 强调文字颜色 1 2 3 2 2 3 4" xfId="12645" xr:uid="{00000000-0005-0000-0000-000064310000}"/>
    <cellStyle name="20% - 强调文字颜色 1 2 3 2 2 3 4 2" xfId="12646" xr:uid="{00000000-0005-0000-0000-000065310000}"/>
    <cellStyle name="20% - 强调文字颜色 1 2 3 2 2 3 5" xfId="12647" xr:uid="{00000000-0005-0000-0000-000066310000}"/>
    <cellStyle name="20% - 强调文字颜色 1 2 3 2 2 4" xfId="12648" xr:uid="{00000000-0005-0000-0000-000067310000}"/>
    <cellStyle name="20% - 强调文字颜色 1 2 3 2 2 5" xfId="12649" xr:uid="{00000000-0005-0000-0000-000068310000}"/>
    <cellStyle name="20% - 强调文字颜色 1 2 3 2 2 6" xfId="12650" xr:uid="{00000000-0005-0000-0000-000069310000}"/>
    <cellStyle name="20% - 强调文字颜色 1 2 3 2 2 6 2" xfId="12651" xr:uid="{00000000-0005-0000-0000-00006A310000}"/>
    <cellStyle name="20% - 强调文字颜色 1 2 3 2 2 7" xfId="12652" xr:uid="{00000000-0005-0000-0000-00006B310000}"/>
    <cellStyle name="20% - 强调文字颜色 1 2 3 2 2 7 2" xfId="12653" xr:uid="{00000000-0005-0000-0000-00006C310000}"/>
    <cellStyle name="20% - 强调文字颜色 1 2 3 2 3" xfId="12654" xr:uid="{00000000-0005-0000-0000-00006D310000}"/>
    <cellStyle name="20% - 强调文字颜色 1 2 3 2 3 2" xfId="12655" xr:uid="{00000000-0005-0000-0000-00006E310000}"/>
    <cellStyle name="20% - 强调文字颜色 1 2 3 2 3 3" xfId="12656" xr:uid="{00000000-0005-0000-0000-00006F310000}"/>
    <cellStyle name="20% - 强调文字颜色 1 2 3 2 3 3 2" xfId="12657" xr:uid="{00000000-0005-0000-0000-000070310000}"/>
    <cellStyle name="20% - 强调文字颜色 1 2 3 2 3 3 2 2" xfId="12658" xr:uid="{00000000-0005-0000-0000-000071310000}"/>
    <cellStyle name="20% - 强调文字颜色 1 2 3 2 3 4" xfId="12659" xr:uid="{00000000-0005-0000-0000-000072310000}"/>
    <cellStyle name="20% - 强调文字颜色 1 2 3 2 3 4 2" xfId="12660" xr:uid="{00000000-0005-0000-0000-000073310000}"/>
    <cellStyle name="20% - 强调文字颜色 1 2 3 2 3 5" xfId="12661" xr:uid="{00000000-0005-0000-0000-000074310000}"/>
    <cellStyle name="20% - 强调文字颜色 1 2 3 2 3 5 2" xfId="12662" xr:uid="{00000000-0005-0000-0000-000075310000}"/>
    <cellStyle name="20% - 强调文字颜色 1 2 3 2 3 6" xfId="12663" xr:uid="{00000000-0005-0000-0000-000076310000}"/>
    <cellStyle name="20% - 强调文字颜色 1 2 3 2 4" xfId="12664" xr:uid="{00000000-0005-0000-0000-000077310000}"/>
    <cellStyle name="20% - 强调文字颜色 1 2 3 2 4 2" xfId="12665" xr:uid="{00000000-0005-0000-0000-000078310000}"/>
    <cellStyle name="20% - 强调文字颜色 1 2 3 2 4 2 2" xfId="12666" xr:uid="{00000000-0005-0000-0000-000079310000}"/>
    <cellStyle name="20% - 强调文字颜色 1 2 3 2 4 2 2 2" xfId="12667" xr:uid="{00000000-0005-0000-0000-00007A310000}"/>
    <cellStyle name="20% - 强调文字颜色 1 2 3 2 4 3" xfId="12668" xr:uid="{00000000-0005-0000-0000-00007B310000}"/>
    <cellStyle name="20% - 强调文字颜色 1 2 3 2 4 3 2" xfId="12669" xr:uid="{00000000-0005-0000-0000-00007C310000}"/>
    <cellStyle name="20% - 强调文字颜色 1 2 3 2 4 4" xfId="12670" xr:uid="{00000000-0005-0000-0000-00007D310000}"/>
    <cellStyle name="20% - 强调文字颜色 1 2 3 2 4 4 2" xfId="12671" xr:uid="{00000000-0005-0000-0000-00007E310000}"/>
    <cellStyle name="20% - 强调文字颜色 1 2 3 2 4 5" xfId="12672" xr:uid="{00000000-0005-0000-0000-00007F310000}"/>
    <cellStyle name="20% - 强调文字颜色 1 2 3 2 5" xfId="12673" xr:uid="{00000000-0005-0000-0000-000080310000}"/>
    <cellStyle name="20% - 强调文字颜色 1 2 3 2 6" xfId="12674" xr:uid="{00000000-0005-0000-0000-000081310000}"/>
    <cellStyle name="20% - 强调文字颜色 1 2 3 2 7" xfId="12675" xr:uid="{00000000-0005-0000-0000-000082310000}"/>
    <cellStyle name="20% - 强调文字颜色 1 2 3 2 7 2" xfId="12676" xr:uid="{00000000-0005-0000-0000-000083310000}"/>
    <cellStyle name="20% - 强调文字颜色 1 2 3 2 8" xfId="12677" xr:uid="{00000000-0005-0000-0000-000084310000}"/>
    <cellStyle name="20% - 强调文字颜色 1 2 3 2 8 2" xfId="12678" xr:uid="{00000000-0005-0000-0000-000085310000}"/>
    <cellStyle name="20% - 强调文字颜色 1 2 3 3" xfId="12679" xr:uid="{00000000-0005-0000-0000-000086310000}"/>
    <cellStyle name="20% - 强调文字颜色 1 2 3 3 2" xfId="12680" xr:uid="{00000000-0005-0000-0000-000087310000}"/>
    <cellStyle name="20% - 强调文字颜色 1 2 3 3 2 2" xfId="12681" xr:uid="{00000000-0005-0000-0000-000088310000}"/>
    <cellStyle name="20% - 强调文字颜色 1 2 3 3 2 3" xfId="12682" xr:uid="{00000000-0005-0000-0000-000089310000}"/>
    <cellStyle name="20% - 强调文字颜色 1 2 3 3 2 3 2" xfId="12683" xr:uid="{00000000-0005-0000-0000-00008A310000}"/>
    <cellStyle name="20% - 强调文字颜色 1 2 3 3 2 3 2 2" xfId="12684" xr:uid="{00000000-0005-0000-0000-00008B310000}"/>
    <cellStyle name="20% - 强调文字颜色 1 2 3 3 2 4" xfId="12685" xr:uid="{00000000-0005-0000-0000-00008C310000}"/>
    <cellStyle name="20% - 强调文字颜色 1 2 3 3 2 4 2" xfId="12686" xr:uid="{00000000-0005-0000-0000-00008D310000}"/>
    <cellStyle name="20% - 强调文字颜色 1 2 3 3 2 5" xfId="12687" xr:uid="{00000000-0005-0000-0000-00008E310000}"/>
    <cellStyle name="20% - 强调文字颜色 1 2 3 3 2 5 2" xfId="12688" xr:uid="{00000000-0005-0000-0000-00008F310000}"/>
    <cellStyle name="20% - 强调文字颜色 1 2 3 3 2 6" xfId="12689" xr:uid="{00000000-0005-0000-0000-000090310000}"/>
    <cellStyle name="20% - 强调文字颜色 1 2 3 3 3" xfId="12690" xr:uid="{00000000-0005-0000-0000-000091310000}"/>
    <cellStyle name="20% - 强调文字颜色 1 2 3 3 3 2" xfId="12691" xr:uid="{00000000-0005-0000-0000-000092310000}"/>
    <cellStyle name="20% - 强调文字颜色 1 2 3 3 3 2 2" xfId="12692" xr:uid="{00000000-0005-0000-0000-000093310000}"/>
    <cellStyle name="20% - 强调文字颜色 1 2 3 3 3 2 2 2" xfId="12693" xr:uid="{00000000-0005-0000-0000-000094310000}"/>
    <cellStyle name="20% - 强调文字颜色 1 2 3 3 3 3" xfId="12694" xr:uid="{00000000-0005-0000-0000-000095310000}"/>
    <cellStyle name="20% - 强调文字颜色 1 2 3 3 3 3 2" xfId="12695" xr:uid="{00000000-0005-0000-0000-000096310000}"/>
    <cellStyle name="20% - 强调文字颜色 1 2 3 3 3 4" xfId="12696" xr:uid="{00000000-0005-0000-0000-000097310000}"/>
    <cellStyle name="20% - 强调文字颜色 1 2 3 3 3 4 2" xfId="12697" xr:uid="{00000000-0005-0000-0000-000098310000}"/>
    <cellStyle name="20% - 强调文字颜色 1 2 3 3 3 5" xfId="12698" xr:uid="{00000000-0005-0000-0000-000099310000}"/>
    <cellStyle name="20% - 强调文字颜色 1 2 3 3 4" xfId="12699" xr:uid="{00000000-0005-0000-0000-00009A310000}"/>
    <cellStyle name="20% - 强调文字颜色 1 2 3 3 5" xfId="12700" xr:uid="{00000000-0005-0000-0000-00009B310000}"/>
    <cellStyle name="20% - 强调文字颜色 1 2 3 3 6" xfId="12701" xr:uid="{00000000-0005-0000-0000-00009C310000}"/>
    <cellStyle name="20% - 强调文字颜色 1 2 3 3 6 2" xfId="12702" xr:uid="{00000000-0005-0000-0000-00009D310000}"/>
    <cellStyle name="20% - 强调文字颜色 1 2 3 3 7" xfId="12703" xr:uid="{00000000-0005-0000-0000-00009E310000}"/>
    <cellStyle name="20% - 强调文字颜色 1 2 3 3 7 2" xfId="12704" xr:uid="{00000000-0005-0000-0000-00009F310000}"/>
    <cellStyle name="20% - 强调文字颜色 1 2 3 4" xfId="12705" xr:uid="{00000000-0005-0000-0000-0000A0310000}"/>
    <cellStyle name="20% - 强调文字颜色 1 2 3 4 2" xfId="12706" xr:uid="{00000000-0005-0000-0000-0000A1310000}"/>
    <cellStyle name="20% - 强调文字颜色 1 2 3 4 2 2" xfId="12707" xr:uid="{00000000-0005-0000-0000-0000A2310000}"/>
    <cellStyle name="20% - 强调文字颜色 1 2 3 4 2 3" xfId="12708" xr:uid="{00000000-0005-0000-0000-0000A3310000}"/>
    <cellStyle name="20% - 强调文字颜色 1 2 3 4 2 3 2" xfId="12709" xr:uid="{00000000-0005-0000-0000-0000A4310000}"/>
    <cellStyle name="20% - 强调文字颜色 1 2 3 4 2 3 2 2" xfId="12710" xr:uid="{00000000-0005-0000-0000-0000A5310000}"/>
    <cellStyle name="20% - 强调文字颜色 1 2 3 4 2 4" xfId="12711" xr:uid="{00000000-0005-0000-0000-0000A6310000}"/>
    <cellStyle name="20% - 强调文字颜色 1 2 3 4 2 4 2" xfId="12712" xr:uid="{00000000-0005-0000-0000-0000A7310000}"/>
    <cellStyle name="20% - 强调文字颜色 1 2 3 4 2 5" xfId="12713" xr:uid="{00000000-0005-0000-0000-0000A8310000}"/>
    <cellStyle name="20% - 强调文字颜色 1 2 3 4 2 5 2" xfId="12714" xr:uid="{00000000-0005-0000-0000-0000A9310000}"/>
    <cellStyle name="20% - 强调文字颜色 1 2 3 4 2 6" xfId="12715" xr:uid="{00000000-0005-0000-0000-0000AA310000}"/>
    <cellStyle name="20% - 强调文字颜色 1 2 3 4 3" xfId="12716" xr:uid="{00000000-0005-0000-0000-0000AB310000}"/>
    <cellStyle name="20% - 强调文字颜色 1 2 3 4 4" xfId="12717" xr:uid="{00000000-0005-0000-0000-0000AC310000}"/>
    <cellStyle name="20% - 强调文字颜色 1 2 3 4 5" xfId="12718" xr:uid="{00000000-0005-0000-0000-0000AD310000}"/>
    <cellStyle name="20% - 强调文字颜色 1 2 3 4 6" xfId="12719" xr:uid="{00000000-0005-0000-0000-0000AE310000}"/>
    <cellStyle name="20% - 强调文字颜色 1 2 3 4 6 2" xfId="12720" xr:uid="{00000000-0005-0000-0000-0000AF310000}"/>
    <cellStyle name="20% - 强调文字颜色 1 2 3 4 7" xfId="12721" xr:uid="{00000000-0005-0000-0000-0000B0310000}"/>
    <cellStyle name="20% - 强调文字颜色 1 2 3 4 7 2" xfId="12722" xr:uid="{00000000-0005-0000-0000-0000B1310000}"/>
    <cellStyle name="20% - 强调文字颜色 1 2 3 5" xfId="12723" xr:uid="{00000000-0005-0000-0000-0000B2310000}"/>
    <cellStyle name="20% - 强调文字颜色 1 2 3 5 2" xfId="12724" xr:uid="{00000000-0005-0000-0000-0000B3310000}"/>
    <cellStyle name="20% - 强调文字颜色 1 2 3 5 2 2" xfId="12725" xr:uid="{00000000-0005-0000-0000-0000B4310000}"/>
    <cellStyle name="20% - 强调文字颜色 1 2 3 5 2 2 2" xfId="12726" xr:uid="{00000000-0005-0000-0000-0000B5310000}"/>
    <cellStyle name="20% - 强调文字颜色 1 2 3 5 2 2 2 2" xfId="12727" xr:uid="{00000000-0005-0000-0000-0000B6310000}"/>
    <cellStyle name="20% - 强调文字颜色 1 2 3 5 2 3" xfId="12728" xr:uid="{00000000-0005-0000-0000-0000B7310000}"/>
    <cellStyle name="20% - 强调文字颜色 1 2 3 5 2 3 2" xfId="12729" xr:uid="{00000000-0005-0000-0000-0000B8310000}"/>
    <cellStyle name="20% - 强调文字颜色 1 2 3 5 2 4" xfId="12730" xr:uid="{00000000-0005-0000-0000-0000B9310000}"/>
    <cellStyle name="20% - 强调文字颜色 1 2 3 5 2 4 2" xfId="12731" xr:uid="{00000000-0005-0000-0000-0000BA310000}"/>
    <cellStyle name="20% - 强调文字颜色 1 2 3 5 2 5" xfId="12732" xr:uid="{00000000-0005-0000-0000-0000BB310000}"/>
    <cellStyle name="20% - 强调文字颜色 1 2 3 5 3" xfId="12733" xr:uid="{00000000-0005-0000-0000-0000BC310000}"/>
    <cellStyle name="20% - 强调文字颜色 1 2 3 5 3 2" xfId="12734" xr:uid="{00000000-0005-0000-0000-0000BD310000}"/>
    <cellStyle name="20% - 强调文字颜色 1 2 3 5 3 2 2" xfId="12735" xr:uid="{00000000-0005-0000-0000-0000BE310000}"/>
    <cellStyle name="20% - 强调文字颜色 1 2 3 5 4" xfId="12736" xr:uid="{00000000-0005-0000-0000-0000BF310000}"/>
    <cellStyle name="20% - 强调文字颜色 1 2 3 5 4 2" xfId="12737" xr:uid="{00000000-0005-0000-0000-0000C0310000}"/>
    <cellStyle name="20% - 强调文字颜色 1 2 3 5 5" xfId="12738" xr:uid="{00000000-0005-0000-0000-0000C1310000}"/>
    <cellStyle name="20% - 强调文字颜色 1 2 3 5 5 2" xfId="12739" xr:uid="{00000000-0005-0000-0000-0000C2310000}"/>
    <cellStyle name="20% - 强调文字颜色 1 2 3 5 6" xfId="12740" xr:uid="{00000000-0005-0000-0000-0000C3310000}"/>
    <cellStyle name="20% - 强调文字颜色 1 2 3 6" xfId="12741" xr:uid="{00000000-0005-0000-0000-0000C4310000}"/>
    <cellStyle name="20% - 强调文字颜色 1 2 3 6 2" xfId="12742" xr:uid="{00000000-0005-0000-0000-0000C5310000}"/>
    <cellStyle name="20% - 强调文字颜色 1 2 3 6 2 2" xfId="12743" xr:uid="{00000000-0005-0000-0000-0000C6310000}"/>
    <cellStyle name="20% - 强调文字颜色 1 2 3 6 2 2 2" xfId="12744" xr:uid="{00000000-0005-0000-0000-0000C7310000}"/>
    <cellStyle name="20% - 强调文字颜色 1 2 3 6 3" xfId="12745" xr:uid="{00000000-0005-0000-0000-0000C8310000}"/>
    <cellStyle name="20% - 强调文字颜色 1 2 3 6 3 2" xfId="12746" xr:uid="{00000000-0005-0000-0000-0000C9310000}"/>
    <cellStyle name="20% - 强调文字颜色 1 2 3 6 4" xfId="12747" xr:uid="{00000000-0005-0000-0000-0000CA310000}"/>
    <cellStyle name="20% - 强调文字颜色 1 2 3 6 4 2" xfId="12748" xr:uid="{00000000-0005-0000-0000-0000CB310000}"/>
    <cellStyle name="20% - 强调文字颜色 1 2 3 6 5" xfId="12749" xr:uid="{00000000-0005-0000-0000-0000CC310000}"/>
    <cellStyle name="20% - 强调文字颜色 1 2 3 7" xfId="12750" xr:uid="{00000000-0005-0000-0000-0000CD310000}"/>
    <cellStyle name="20% - 强调文字颜色 1 2 3 7 2" xfId="12751" xr:uid="{00000000-0005-0000-0000-0000CE310000}"/>
    <cellStyle name="20% - 强调文字颜色 1 2 3 7 2 2" xfId="12752" xr:uid="{00000000-0005-0000-0000-0000CF310000}"/>
    <cellStyle name="20% - 强调文字颜色 1 2 3 7 2 2 2" xfId="12753" xr:uid="{00000000-0005-0000-0000-0000D0310000}"/>
    <cellStyle name="20% - 强调文字颜色 1 2 3 7 3" xfId="12754" xr:uid="{00000000-0005-0000-0000-0000D1310000}"/>
    <cellStyle name="20% - 强调文字颜色 1 2 3 7 3 2" xfId="12755" xr:uid="{00000000-0005-0000-0000-0000D2310000}"/>
    <cellStyle name="20% - 强调文字颜色 1 2 3 7 4" xfId="12756" xr:uid="{00000000-0005-0000-0000-0000D3310000}"/>
    <cellStyle name="20% - 强调文字颜色 1 2 3 7 4 2" xfId="12757" xr:uid="{00000000-0005-0000-0000-0000D4310000}"/>
    <cellStyle name="20% - 强调文字颜色 1 2 3 7 5" xfId="12758" xr:uid="{00000000-0005-0000-0000-0000D5310000}"/>
    <cellStyle name="20% - 强调文字颜色 1 2 3 8" xfId="12759" xr:uid="{00000000-0005-0000-0000-0000D6310000}"/>
    <cellStyle name="20% - 强调文字颜色 1 2 3 9" xfId="12760" xr:uid="{00000000-0005-0000-0000-0000D7310000}"/>
    <cellStyle name="20% - 强调文字颜色 1 2 3 9 2" xfId="12761" xr:uid="{00000000-0005-0000-0000-0000D8310000}"/>
    <cellStyle name="20% - 强调文字颜色 1 2 4" xfId="12762" xr:uid="{00000000-0005-0000-0000-0000D9310000}"/>
    <cellStyle name="20% - 强调文字颜色 1 2 4 2" xfId="12763" xr:uid="{00000000-0005-0000-0000-0000DA310000}"/>
    <cellStyle name="20% - 强调文字颜色 1 2 4 2 2" xfId="12764" xr:uid="{00000000-0005-0000-0000-0000DB310000}"/>
    <cellStyle name="20% - 强调文字颜色 1 2 4 2 3" xfId="12765" xr:uid="{00000000-0005-0000-0000-0000DC310000}"/>
    <cellStyle name="20% - 强调文字颜色 1 2 4 2 3 2" xfId="12766" xr:uid="{00000000-0005-0000-0000-0000DD310000}"/>
    <cellStyle name="20% - 强调文字颜色 1 2 4 2 3 2 2" xfId="12767" xr:uid="{00000000-0005-0000-0000-0000DE310000}"/>
    <cellStyle name="20% - 强调文字颜色 1 2 4 2 4" xfId="12768" xr:uid="{00000000-0005-0000-0000-0000DF310000}"/>
    <cellStyle name="20% - 强调文字颜色 1 2 4 2 4 2" xfId="12769" xr:uid="{00000000-0005-0000-0000-0000E0310000}"/>
    <cellStyle name="20% - 强调文字颜色 1 2 4 2 5" xfId="12770" xr:uid="{00000000-0005-0000-0000-0000E1310000}"/>
    <cellStyle name="20% - 强调文字颜色 1 2 4 2 5 2" xfId="12771" xr:uid="{00000000-0005-0000-0000-0000E2310000}"/>
    <cellStyle name="20% - 强调文字颜色 1 2 4 2 6" xfId="12772" xr:uid="{00000000-0005-0000-0000-0000E3310000}"/>
    <cellStyle name="20% - 强调文字颜色 1 2 4 3" xfId="12773" xr:uid="{00000000-0005-0000-0000-0000E4310000}"/>
    <cellStyle name="20% - 强调文字颜色 1 2 4 3 2" xfId="12774" xr:uid="{00000000-0005-0000-0000-0000E5310000}"/>
    <cellStyle name="20% - 强调文字颜色 1 2 4 3 2 2" xfId="12775" xr:uid="{00000000-0005-0000-0000-0000E6310000}"/>
    <cellStyle name="20% - 强调文字颜色 1 2 4 3 2 2 2" xfId="12776" xr:uid="{00000000-0005-0000-0000-0000E7310000}"/>
    <cellStyle name="20% - 强调文字颜色 1 2 4 3 3" xfId="12777" xr:uid="{00000000-0005-0000-0000-0000E8310000}"/>
    <cellStyle name="20% - 强调文字颜色 1 2 4 3 3 2" xfId="12778" xr:uid="{00000000-0005-0000-0000-0000E9310000}"/>
    <cellStyle name="20% - 强调文字颜色 1 2 4 3 4" xfId="12779" xr:uid="{00000000-0005-0000-0000-0000EA310000}"/>
    <cellStyle name="20% - 强调文字颜色 1 2 4 3 4 2" xfId="12780" xr:uid="{00000000-0005-0000-0000-0000EB310000}"/>
    <cellStyle name="20% - 强调文字颜色 1 2 4 3 5" xfId="12781" xr:uid="{00000000-0005-0000-0000-0000EC310000}"/>
    <cellStyle name="20% - 强调文字颜色 1 2 4 4" xfId="12782" xr:uid="{00000000-0005-0000-0000-0000ED310000}"/>
    <cellStyle name="20% - 强调文字颜色 1 2 4 5" xfId="12783" xr:uid="{00000000-0005-0000-0000-0000EE310000}"/>
    <cellStyle name="20% - 强调文字颜色 1 2 4 6" xfId="12784" xr:uid="{00000000-0005-0000-0000-0000EF310000}"/>
    <cellStyle name="20% - 强调文字颜色 1 2 4 6 2" xfId="12785" xr:uid="{00000000-0005-0000-0000-0000F0310000}"/>
    <cellStyle name="20% - 强调文字颜色 1 2 4 7" xfId="12786" xr:uid="{00000000-0005-0000-0000-0000F1310000}"/>
    <cellStyle name="20% - 强调文字颜色 1 2 4 7 2" xfId="12787" xr:uid="{00000000-0005-0000-0000-0000F2310000}"/>
    <cellStyle name="20% - 强调文字颜色 1 2 5" xfId="12788" xr:uid="{00000000-0005-0000-0000-0000F3310000}"/>
    <cellStyle name="20% - 强调文字颜色 1 2 5 2" xfId="12789" xr:uid="{00000000-0005-0000-0000-0000F4310000}"/>
    <cellStyle name="20% - 强调文字颜色 1 2 5 2 2" xfId="12790" xr:uid="{00000000-0005-0000-0000-0000F5310000}"/>
    <cellStyle name="20% - 强调文字颜色 1 2 5 2 3" xfId="12791" xr:uid="{00000000-0005-0000-0000-0000F6310000}"/>
    <cellStyle name="20% - 强调文字颜色 1 2 5 2 3 2" xfId="12792" xr:uid="{00000000-0005-0000-0000-0000F7310000}"/>
    <cellStyle name="20% - 强调文字颜色 1 2 5 2 3 2 2" xfId="12793" xr:uid="{00000000-0005-0000-0000-0000F8310000}"/>
    <cellStyle name="20% - 强调文字颜色 1 2 5 2 4" xfId="12794" xr:uid="{00000000-0005-0000-0000-0000F9310000}"/>
    <cellStyle name="20% - 强调文字颜色 1 2 5 2 4 2" xfId="12795" xr:uid="{00000000-0005-0000-0000-0000FA310000}"/>
    <cellStyle name="20% - 强调文字颜色 1 2 5 2 5" xfId="12796" xr:uid="{00000000-0005-0000-0000-0000FB310000}"/>
    <cellStyle name="20% - 强调文字颜色 1 2 5 2 5 2" xfId="12797" xr:uid="{00000000-0005-0000-0000-0000FC310000}"/>
    <cellStyle name="20% - 强调文字颜色 1 2 5 2 6" xfId="12798" xr:uid="{00000000-0005-0000-0000-0000FD310000}"/>
    <cellStyle name="20% - 强调文字颜色 1 2 5 3" xfId="12799" xr:uid="{00000000-0005-0000-0000-0000FE310000}"/>
    <cellStyle name="20% - 强调文字颜色 1 2 5 4" xfId="12800" xr:uid="{00000000-0005-0000-0000-0000FF310000}"/>
    <cellStyle name="20% - 强调文字颜色 1 2 5 5" xfId="12801" xr:uid="{00000000-0005-0000-0000-000000320000}"/>
    <cellStyle name="20% - 强调文字颜色 1 2 5 6" xfId="12802" xr:uid="{00000000-0005-0000-0000-000001320000}"/>
    <cellStyle name="20% - 强调文字颜色 1 2 5 6 2" xfId="12803" xr:uid="{00000000-0005-0000-0000-000002320000}"/>
    <cellStyle name="20% - 强调文字颜色 1 2 5 7" xfId="12804" xr:uid="{00000000-0005-0000-0000-000003320000}"/>
    <cellStyle name="20% - 强调文字颜色 1 2 5 7 2" xfId="12805" xr:uid="{00000000-0005-0000-0000-000004320000}"/>
    <cellStyle name="20% - 强调文字颜色 1 2 6" xfId="12806" xr:uid="{00000000-0005-0000-0000-000005320000}"/>
    <cellStyle name="20% - 强调文字颜色 1 2 6 2" xfId="12807" xr:uid="{00000000-0005-0000-0000-000006320000}"/>
    <cellStyle name="20% - 强调文字颜色 1 2 6 2 2" xfId="12808" xr:uid="{00000000-0005-0000-0000-000007320000}"/>
    <cellStyle name="20% - 强调文字颜色 1 2 6 2 2 2" xfId="12809" xr:uid="{00000000-0005-0000-0000-000008320000}"/>
    <cellStyle name="20% - 强调文字颜色 1 2 6 2 2 2 2" xfId="12810" xr:uid="{00000000-0005-0000-0000-000009320000}"/>
    <cellStyle name="20% - 强调文字颜色 1 2 6 2 3" xfId="12811" xr:uid="{00000000-0005-0000-0000-00000A320000}"/>
    <cellStyle name="20% - 强调文字颜色 1 2 6 2 3 2" xfId="12812" xr:uid="{00000000-0005-0000-0000-00000B320000}"/>
    <cellStyle name="20% - 强调文字颜色 1 2 6 2 4" xfId="12813" xr:uid="{00000000-0005-0000-0000-00000C320000}"/>
    <cellStyle name="20% - 强调文字颜色 1 2 6 2 4 2" xfId="12814" xr:uid="{00000000-0005-0000-0000-00000D320000}"/>
    <cellStyle name="20% - 强调文字颜色 1 2 6 2 5" xfId="12815" xr:uid="{00000000-0005-0000-0000-00000E320000}"/>
    <cellStyle name="20% - 强调文字颜色 1 2 6 3" xfId="12816" xr:uid="{00000000-0005-0000-0000-00000F320000}"/>
    <cellStyle name="20% - 强调文字颜色 1 2 6 3 2" xfId="12817" xr:uid="{00000000-0005-0000-0000-000010320000}"/>
    <cellStyle name="20% - 强调文字颜色 1 2 6 3 2 2" xfId="12818" xr:uid="{00000000-0005-0000-0000-000011320000}"/>
    <cellStyle name="20% - 强调文字颜色 1 2 6 4" xfId="12819" xr:uid="{00000000-0005-0000-0000-000012320000}"/>
    <cellStyle name="20% - 强调文字颜色 1 2 6 4 2" xfId="12820" xr:uid="{00000000-0005-0000-0000-000013320000}"/>
    <cellStyle name="20% - 强调文字颜色 1 2 6 5" xfId="12821" xr:uid="{00000000-0005-0000-0000-000014320000}"/>
    <cellStyle name="20% - 强调文字颜色 1 2 6 5 2" xfId="12822" xr:uid="{00000000-0005-0000-0000-000015320000}"/>
    <cellStyle name="20% - 强调文字颜色 1 2 6 6" xfId="12823" xr:uid="{00000000-0005-0000-0000-000016320000}"/>
    <cellStyle name="20% - 强调文字颜色 1 2 7" xfId="12824" xr:uid="{00000000-0005-0000-0000-000017320000}"/>
    <cellStyle name="20% - 强调文字颜色 1 2 7 2" xfId="12825" xr:uid="{00000000-0005-0000-0000-000018320000}"/>
    <cellStyle name="20% - 强调文字颜色 1 2 7 2 2" xfId="12826" xr:uid="{00000000-0005-0000-0000-000019320000}"/>
    <cellStyle name="20% - 强调文字颜色 1 2 7 2 2 2" xfId="12827" xr:uid="{00000000-0005-0000-0000-00001A320000}"/>
    <cellStyle name="20% - 强调文字颜色 1 2 7 2 2 2 2" xfId="12828" xr:uid="{00000000-0005-0000-0000-00001B320000}"/>
    <cellStyle name="20% - 强调文字颜色 1 2 7 2 3" xfId="12829" xr:uid="{00000000-0005-0000-0000-00001C320000}"/>
    <cellStyle name="20% - 强调文字颜色 1 2 7 2 3 2" xfId="12830" xr:uid="{00000000-0005-0000-0000-00001D320000}"/>
    <cellStyle name="20% - 强调文字颜色 1 2 7 2 4" xfId="12831" xr:uid="{00000000-0005-0000-0000-00001E320000}"/>
    <cellStyle name="20% - 强调文字颜色 1 2 7 2 4 2" xfId="12832" xr:uid="{00000000-0005-0000-0000-00001F320000}"/>
    <cellStyle name="20% - 强调文字颜色 1 2 7 2 5" xfId="12833" xr:uid="{00000000-0005-0000-0000-000020320000}"/>
    <cellStyle name="20% - 强调文字颜色 1 2 7 3" xfId="12834" xr:uid="{00000000-0005-0000-0000-000021320000}"/>
    <cellStyle name="20% - 强调文字颜色 1 2 7 3 2" xfId="12835" xr:uid="{00000000-0005-0000-0000-000022320000}"/>
    <cellStyle name="20% - 强调文字颜色 1 2 7 3 2 2" xfId="12836" xr:uid="{00000000-0005-0000-0000-000023320000}"/>
    <cellStyle name="20% - 强调文字颜色 1 2 7 4" xfId="12837" xr:uid="{00000000-0005-0000-0000-000024320000}"/>
    <cellStyle name="20% - 强调文字颜色 1 2 7 4 2" xfId="12838" xr:uid="{00000000-0005-0000-0000-000025320000}"/>
    <cellStyle name="20% - 强调文字颜色 1 2 7 5" xfId="12839" xr:uid="{00000000-0005-0000-0000-000026320000}"/>
    <cellStyle name="20% - 强调文字颜色 1 2 7 5 2" xfId="12840" xr:uid="{00000000-0005-0000-0000-000027320000}"/>
    <cellStyle name="20% - 强调文字颜色 1 2 7 6" xfId="12841" xr:uid="{00000000-0005-0000-0000-000028320000}"/>
    <cellStyle name="20% - 强调文字颜色 1 2 8" xfId="12842" xr:uid="{00000000-0005-0000-0000-000029320000}"/>
    <cellStyle name="20% - 强调文字颜色 1 2 8 2" xfId="12843" xr:uid="{00000000-0005-0000-0000-00002A320000}"/>
    <cellStyle name="20% - 强调文字颜色 1 2 8 2 2" xfId="12844" xr:uid="{00000000-0005-0000-0000-00002B320000}"/>
    <cellStyle name="20% - 强调文字颜色 1 2 8 2 2 2" xfId="12845" xr:uid="{00000000-0005-0000-0000-00002C320000}"/>
    <cellStyle name="20% - 强调文字颜色 1 2 8 2 2 2 2" xfId="12846" xr:uid="{00000000-0005-0000-0000-00002D320000}"/>
    <cellStyle name="20% - 强调文字颜色 1 2 8 2 3" xfId="12847" xr:uid="{00000000-0005-0000-0000-00002E320000}"/>
    <cellStyle name="20% - 强调文字颜色 1 2 8 2 3 2" xfId="12848" xr:uid="{00000000-0005-0000-0000-00002F320000}"/>
    <cellStyle name="20% - 强调文字颜色 1 2 8 2 4" xfId="12849" xr:uid="{00000000-0005-0000-0000-000030320000}"/>
    <cellStyle name="20% - 强调文字颜色 1 2 8 2 4 2" xfId="12850" xr:uid="{00000000-0005-0000-0000-000031320000}"/>
    <cellStyle name="20% - 强调文字颜色 1 2 8 2 5" xfId="12851" xr:uid="{00000000-0005-0000-0000-000032320000}"/>
    <cellStyle name="20% - 强调文字颜色 1 2 8 3" xfId="12852" xr:uid="{00000000-0005-0000-0000-000033320000}"/>
    <cellStyle name="20% - 强调文字颜色 1 2 8 3 2" xfId="12853" xr:uid="{00000000-0005-0000-0000-000034320000}"/>
    <cellStyle name="20% - 强调文字颜色 1 2 8 3 2 2" xfId="12854" xr:uid="{00000000-0005-0000-0000-000035320000}"/>
    <cellStyle name="20% - 强调文字颜色 1 2 8 4" xfId="12855" xr:uid="{00000000-0005-0000-0000-000036320000}"/>
    <cellStyle name="20% - 强调文字颜色 1 2 8 4 2" xfId="12856" xr:uid="{00000000-0005-0000-0000-000037320000}"/>
    <cellStyle name="20% - 强调文字颜色 1 2 8 5" xfId="12857" xr:uid="{00000000-0005-0000-0000-000038320000}"/>
    <cellStyle name="20% - 强调文字颜色 1 2 8 5 2" xfId="12858" xr:uid="{00000000-0005-0000-0000-000039320000}"/>
    <cellStyle name="20% - 强调文字颜色 1 2 8 6" xfId="12859" xr:uid="{00000000-0005-0000-0000-00003A320000}"/>
    <cellStyle name="20% - 强调文字颜色 1 2 9" xfId="12860" xr:uid="{00000000-0005-0000-0000-00003B320000}"/>
    <cellStyle name="20% - 强调文字颜色 1 2 9 2" xfId="12861" xr:uid="{00000000-0005-0000-0000-00003C320000}"/>
    <cellStyle name="20% - 强调文字颜色 1 2 9 2 2" xfId="12862" xr:uid="{00000000-0005-0000-0000-00003D320000}"/>
    <cellStyle name="20% - 强调文字颜色 1 2 9 2 2 2" xfId="12863" xr:uid="{00000000-0005-0000-0000-00003E320000}"/>
    <cellStyle name="20% - 强调文字颜色 1 2 9 3" xfId="12864" xr:uid="{00000000-0005-0000-0000-00003F320000}"/>
    <cellStyle name="20% - 强调文字颜色 1 2 9 3 2" xfId="12865" xr:uid="{00000000-0005-0000-0000-000040320000}"/>
    <cellStyle name="20% - 强调文字颜色 1 2 9 4" xfId="12866" xr:uid="{00000000-0005-0000-0000-000041320000}"/>
    <cellStyle name="20% - 强调文字颜色 1 2 9 4 2" xfId="12867" xr:uid="{00000000-0005-0000-0000-000042320000}"/>
    <cellStyle name="20% - 强调文字颜色 1 2 9 5" xfId="12868" xr:uid="{00000000-0005-0000-0000-000043320000}"/>
    <cellStyle name="20% - 强调文字颜色 1 3" xfId="12869" xr:uid="{00000000-0005-0000-0000-000044320000}"/>
    <cellStyle name="20% - 强调文字颜色 1 3 2" xfId="12870" xr:uid="{00000000-0005-0000-0000-000045320000}"/>
    <cellStyle name="20% - 强调文字颜色 1 3 2 2" xfId="12871" xr:uid="{00000000-0005-0000-0000-000046320000}"/>
    <cellStyle name="20% - 强调文字颜色 1 3 2 2 2" xfId="12872" xr:uid="{00000000-0005-0000-0000-000047320000}"/>
    <cellStyle name="20% - 强调文字颜色 1 3 2 2 2 2" xfId="12873" xr:uid="{00000000-0005-0000-0000-000048320000}"/>
    <cellStyle name="20% - 强调文字颜色 1 3 2 2 2 3" xfId="12874" xr:uid="{00000000-0005-0000-0000-000049320000}"/>
    <cellStyle name="20% - 强调文字颜色 1 3 2 2 2 3 2" xfId="12875" xr:uid="{00000000-0005-0000-0000-00004A320000}"/>
    <cellStyle name="20% - 强调文字颜色 1 3 2 2 2 3 2 2" xfId="12876" xr:uid="{00000000-0005-0000-0000-00004B320000}"/>
    <cellStyle name="20% - 强调文字颜色 1 3 2 2 2 4" xfId="12877" xr:uid="{00000000-0005-0000-0000-00004C320000}"/>
    <cellStyle name="20% - 强调文字颜色 1 3 2 2 2 4 2" xfId="12878" xr:uid="{00000000-0005-0000-0000-00004D320000}"/>
    <cellStyle name="20% - 强调文字颜色 1 3 2 2 2 5" xfId="12879" xr:uid="{00000000-0005-0000-0000-00004E320000}"/>
    <cellStyle name="20% - 强调文字颜色 1 3 2 2 2 5 2" xfId="12880" xr:uid="{00000000-0005-0000-0000-00004F320000}"/>
    <cellStyle name="20% - 强调文字颜色 1 3 2 2 2 6" xfId="12881" xr:uid="{00000000-0005-0000-0000-000050320000}"/>
    <cellStyle name="20% - 强调文字颜色 1 3 2 2 3" xfId="12882" xr:uid="{00000000-0005-0000-0000-000051320000}"/>
    <cellStyle name="20% - 强调文字颜色 1 3 2 2 3 2" xfId="12883" xr:uid="{00000000-0005-0000-0000-000052320000}"/>
    <cellStyle name="20% - 强调文字颜色 1 3 2 2 3 2 2" xfId="12884" xr:uid="{00000000-0005-0000-0000-000053320000}"/>
    <cellStyle name="20% - 强调文字颜色 1 3 2 2 3 2 2 2" xfId="12885" xr:uid="{00000000-0005-0000-0000-000054320000}"/>
    <cellStyle name="20% - 强调文字颜色 1 3 2 2 3 3" xfId="12886" xr:uid="{00000000-0005-0000-0000-000055320000}"/>
    <cellStyle name="20% - 强调文字颜色 1 3 2 2 3 3 2" xfId="12887" xr:uid="{00000000-0005-0000-0000-000056320000}"/>
    <cellStyle name="20% - 强调文字颜色 1 3 2 2 3 4" xfId="12888" xr:uid="{00000000-0005-0000-0000-000057320000}"/>
    <cellStyle name="20% - 强调文字颜色 1 3 2 2 3 4 2" xfId="12889" xr:uid="{00000000-0005-0000-0000-000058320000}"/>
    <cellStyle name="20% - 强调文字颜色 1 3 2 2 3 5" xfId="12890" xr:uid="{00000000-0005-0000-0000-000059320000}"/>
    <cellStyle name="20% - 强调文字颜色 1 3 2 2 4" xfId="12891" xr:uid="{00000000-0005-0000-0000-00005A320000}"/>
    <cellStyle name="20% - 强调文字颜色 1 3 2 2 5" xfId="12892" xr:uid="{00000000-0005-0000-0000-00005B320000}"/>
    <cellStyle name="20% - 强调文字颜色 1 3 2 2 6" xfId="12893" xr:uid="{00000000-0005-0000-0000-00005C320000}"/>
    <cellStyle name="20% - 强调文字颜色 1 3 2 2 6 2" xfId="12894" xr:uid="{00000000-0005-0000-0000-00005D320000}"/>
    <cellStyle name="20% - 强调文字颜色 1 3 2 2 7" xfId="12895" xr:uid="{00000000-0005-0000-0000-00005E320000}"/>
    <cellStyle name="20% - 强调文字颜色 1 3 2 2 7 2" xfId="12896" xr:uid="{00000000-0005-0000-0000-00005F320000}"/>
    <cellStyle name="20% - 强调文字颜色 1 3 2 3" xfId="12897" xr:uid="{00000000-0005-0000-0000-000060320000}"/>
    <cellStyle name="20% - 强调文字颜色 1 3 2 3 2" xfId="12898" xr:uid="{00000000-0005-0000-0000-000061320000}"/>
    <cellStyle name="20% - 强调文字颜色 1 3 2 3 3" xfId="12899" xr:uid="{00000000-0005-0000-0000-000062320000}"/>
    <cellStyle name="20% - 强调文字颜色 1 3 2 3 3 2" xfId="12900" xr:uid="{00000000-0005-0000-0000-000063320000}"/>
    <cellStyle name="20% - 强调文字颜色 1 3 2 3 3 2 2" xfId="12901" xr:uid="{00000000-0005-0000-0000-000064320000}"/>
    <cellStyle name="20% - 强调文字颜色 1 3 2 3 4" xfId="12902" xr:uid="{00000000-0005-0000-0000-000065320000}"/>
    <cellStyle name="20% - 强调文字颜色 1 3 2 3 4 2" xfId="12903" xr:uid="{00000000-0005-0000-0000-000066320000}"/>
    <cellStyle name="20% - 强调文字颜色 1 3 2 3 5" xfId="12904" xr:uid="{00000000-0005-0000-0000-000067320000}"/>
    <cellStyle name="20% - 强调文字颜色 1 3 2 3 5 2" xfId="12905" xr:uid="{00000000-0005-0000-0000-000068320000}"/>
    <cellStyle name="20% - 强调文字颜色 1 3 2 3 6" xfId="12906" xr:uid="{00000000-0005-0000-0000-000069320000}"/>
    <cellStyle name="20% - 强调文字颜色 1 3 2 4" xfId="12907" xr:uid="{00000000-0005-0000-0000-00006A320000}"/>
    <cellStyle name="20% - 强调文字颜色 1 3 2 4 2" xfId="12908" xr:uid="{00000000-0005-0000-0000-00006B320000}"/>
    <cellStyle name="20% - 强调文字颜色 1 3 2 4 2 2" xfId="12909" xr:uid="{00000000-0005-0000-0000-00006C320000}"/>
    <cellStyle name="20% - 强调文字颜色 1 3 2 4 2 2 2" xfId="12910" xr:uid="{00000000-0005-0000-0000-00006D320000}"/>
    <cellStyle name="20% - 强调文字颜色 1 3 2 4 3" xfId="12911" xr:uid="{00000000-0005-0000-0000-00006E320000}"/>
    <cellStyle name="20% - 强调文字颜色 1 3 2 4 3 2" xfId="12912" xr:uid="{00000000-0005-0000-0000-00006F320000}"/>
    <cellStyle name="20% - 强调文字颜色 1 3 2 4 4" xfId="12913" xr:uid="{00000000-0005-0000-0000-000070320000}"/>
    <cellStyle name="20% - 强调文字颜色 1 3 2 4 4 2" xfId="12914" xr:uid="{00000000-0005-0000-0000-000071320000}"/>
    <cellStyle name="20% - 强调文字颜色 1 3 2 4 5" xfId="12915" xr:uid="{00000000-0005-0000-0000-000072320000}"/>
    <cellStyle name="20% - 强调文字颜色 1 3 2 5" xfId="12916" xr:uid="{00000000-0005-0000-0000-000073320000}"/>
    <cellStyle name="20% - 强调文字颜色 1 3 2 6" xfId="12917" xr:uid="{00000000-0005-0000-0000-000074320000}"/>
    <cellStyle name="20% - 强调文字颜色 1 3 2 7" xfId="12918" xr:uid="{00000000-0005-0000-0000-000075320000}"/>
    <cellStyle name="20% - 强调文字颜色 1 3 2 7 2" xfId="12919" xr:uid="{00000000-0005-0000-0000-000076320000}"/>
    <cellStyle name="20% - 强调文字颜色 1 3 2 8" xfId="12920" xr:uid="{00000000-0005-0000-0000-000077320000}"/>
    <cellStyle name="20% - 强调文字颜色 1 3 2 8 2" xfId="12921" xr:uid="{00000000-0005-0000-0000-000078320000}"/>
    <cellStyle name="20% - 强调文字颜色 1 3 3" xfId="12922" xr:uid="{00000000-0005-0000-0000-000079320000}"/>
    <cellStyle name="20% - 强调文字颜色 1 3 3 2" xfId="12923" xr:uid="{00000000-0005-0000-0000-00007A320000}"/>
    <cellStyle name="20% - 强调文字颜色 1 3 3 2 2" xfId="12924" xr:uid="{00000000-0005-0000-0000-00007B320000}"/>
    <cellStyle name="20% - 强调文字颜色 1 3 3 2 3" xfId="12925" xr:uid="{00000000-0005-0000-0000-00007C320000}"/>
    <cellStyle name="20% - 强调文字颜色 1 3 3 2 3 2" xfId="12926" xr:uid="{00000000-0005-0000-0000-00007D320000}"/>
    <cellStyle name="20% - 强调文字颜色 1 3 3 2 3 2 2" xfId="12927" xr:uid="{00000000-0005-0000-0000-00007E320000}"/>
    <cellStyle name="20% - 强调文字颜色 1 3 3 2 4" xfId="12928" xr:uid="{00000000-0005-0000-0000-00007F320000}"/>
    <cellStyle name="20% - 强调文字颜色 1 3 3 2 4 2" xfId="12929" xr:uid="{00000000-0005-0000-0000-000080320000}"/>
    <cellStyle name="20% - 强调文字颜色 1 3 3 2 5" xfId="12930" xr:uid="{00000000-0005-0000-0000-000081320000}"/>
    <cellStyle name="20% - 强调文字颜色 1 3 3 2 5 2" xfId="12931" xr:uid="{00000000-0005-0000-0000-000082320000}"/>
    <cellStyle name="20% - 强调文字颜色 1 3 3 2 6" xfId="12932" xr:uid="{00000000-0005-0000-0000-000083320000}"/>
    <cellStyle name="20% - 强调文字颜色 1 3 3 3" xfId="12933" xr:uid="{00000000-0005-0000-0000-000084320000}"/>
    <cellStyle name="20% - 强调文字颜色 1 3 3 3 2" xfId="12934" xr:uid="{00000000-0005-0000-0000-000085320000}"/>
    <cellStyle name="20% - 强调文字颜色 1 3 3 3 2 2" xfId="12935" xr:uid="{00000000-0005-0000-0000-000086320000}"/>
    <cellStyle name="20% - 强调文字颜色 1 3 3 3 2 2 2" xfId="12936" xr:uid="{00000000-0005-0000-0000-000087320000}"/>
    <cellStyle name="20% - 强调文字颜色 1 3 3 3 3" xfId="12937" xr:uid="{00000000-0005-0000-0000-000088320000}"/>
    <cellStyle name="20% - 强调文字颜色 1 3 3 3 3 2" xfId="12938" xr:uid="{00000000-0005-0000-0000-000089320000}"/>
    <cellStyle name="20% - 强调文字颜色 1 3 3 3 4" xfId="12939" xr:uid="{00000000-0005-0000-0000-00008A320000}"/>
    <cellStyle name="20% - 强调文字颜色 1 3 3 3 4 2" xfId="12940" xr:uid="{00000000-0005-0000-0000-00008B320000}"/>
    <cellStyle name="20% - 强调文字颜色 1 3 3 3 5" xfId="12941" xr:uid="{00000000-0005-0000-0000-00008C320000}"/>
    <cellStyle name="20% - 强调文字颜色 1 3 3 4" xfId="12942" xr:uid="{00000000-0005-0000-0000-00008D320000}"/>
    <cellStyle name="20% - 强调文字颜色 1 3 3 5" xfId="12943" xr:uid="{00000000-0005-0000-0000-00008E320000}"/>
    <cellStyle name="20% - 强调文字颜色 1 3 3 6" xfId="12944" xr:uid="{00000000-0005-0000-0000-00008F320000}"/>
    <cellStyle name="20% - 强调文字颜色 1 3 3 6 2" xfId="12945" xr:uid="{00000000-0005-0000-0000-000090320000}"/>
    <cellStyle name="20% - 强调文字颜色 1 3 3 7" xfId="12946" xr:uid="{00000000-0005-0000-0000-000091320000}"/>
    <cellStyle name="20% - 强调文字颜色 1 3 3 7 2" xfId="12947" xr:uid="{00000000-0005-0000-0000-000092320000}"/>
    <cellStyle name="20% - 强调文字颜色 1 3 4" xfId="12948" xr:uid="{00000000-0005-0000-0000-000093320000}"/>
    <cellStyle name="20% - 强调文字颜色 1 3 4 2" xfId="12949" xr:uid="{00000000-0005-0000-0000-000094320000}"/>
    <cellStyle name="20% - 强调文字颜色 1 3 4 2 2" xfId="12950" xr:uid="{00000000-0005-0000-0000-000095320000}"/>
    <cellStyle name="20% - 强调文字颜色 1 3 4 2 3" xfId="12951" xr:uid="{00000000-0005-0000-0000-000096320000}"/>
    <cellStyle name="20% - 强调文字颜色 1 3 4 2 3 2" xfId="12952" xr:uid="{00000000-0005-0000-0000-000097320000}"/>
    <cellStyle name="20% - 强调文字颜色 1 3 4 2 3 2 2" xfId="12953" xr:uid="{00000000-0005-0000-0000-000098320000}"/>
    <cellStyle name="20% - 强调文字颜色 1 3 4 2 4" xfId="12954" xr:uid="{00000000-0005-0000-0000-000099320000}"/>
    <cellStyle name="20% - 强调文字颜色 1 3 4 2 4 2" xfId="12955" xr:uid="{00000000-0005-0000-0000-00009A320000}"/>
    <cellStyle name="20% - 强调文字颜色 1 3 4 2 5" xfId="12956" xr:uid="{00000000-0005-0000-0000-00009B320000}"/>
    <cellStyle name="20% - 强调文字颜色 1 3 4 2 5 2" xfId="12957" xr:uid="{00000000-0005-0000-0000-00009C320000}"/>
    <cellStyle name="20% - 强调文字颜色 1 3 4 2 6" xfId="12958" xr:uid="{00000000-0005-0000-0000-00009D320000}"/>
    <cellStyle name="20% - 强调文字颜色 1 3 4 3" xfId="12959" xr:uid="{00000000-0005-0000-0000-00009E320000}"/>
    <cellStyle name="20% - 强调文字颜色 1 3 4 4" xfId="12960" xr:uid="{00000000-0005-0000-0000-00009F320000}"/>
    <cellStyle name="20% - 强调文字颜色 1 3 4 5" xfId="12961" xr:uid="{00000000-0005-0000-0000-0000A0320000}"/>
    <cellStyle name="20% - 强调文字颜色 1 3 4 6" xfId="12962" xr:uid="{00000000-0005-0000-0000-0000A1320000}"/>
    <cellStyle name="20% - 强调文字颜色 1 3 4 6 2" xfId="12963" xr:uid="{00000000-0005-0000-0000-0000A2320000}"/>
    <cellStyle name="20% - 强调文字颜色 1 3 4 7" xfId="12964" xr:uid="{00000000-0005-0000-0000-0000A3320000}"/>
    <cellStyle name="20% - 强调文字颜色 1 3 4 7 2" xfId="12965" xr:uid="{00000000-0005-0000-0000-0000A4320000}"/>
    <cellStyle name="20% - 强调文字颜色 1 3 5" xfId="12966" xr:uid="{00000000-0005-0000-0000-0000A5320000}"/>
    <cellStyle name="20% - 强调文字颜色 1 3 5 2" xfId="12967" xr:uid="{00000000-0005-0000-0000-0000A6320000}"/>
    <cellStyle name="20% - 强调文字颜色 1 3 5 2 2" xfId="12968" xr:uid="{00000000-0005-0000-0000-0000A7320000}"/>
    <cellStyle name="20% - 强调文字颜色 1 3 5 2 2 2" xfId="12969" xr:uid="{00000000-0005-0000-0000-0000A8320000}"/>
    <cellStyle name="20% - 强调文字颜色 1 3 5 2 2 2 2" xfId="12970" xr:uid="{00000000-0005-0000-0000-0000A9320000}"/>
    <cellStyle name="20% - 强调文字颜色 1 3 5 2 3" xfId="12971" xr:uid="{00000000-0005-0000-0000-0000AA320000}"/>
    <cellStyle name="20% - 强调文字颜色 1 3 5 2 3 2" xfId="12972" xr:uid="{00000000-0005-0000-0000-0000AB320000}"/>
    <cellStyle name="20% - 强调文字颜色 1 3 5 2 4" xfId="12973" xr:uid="{00000000-0005-0000-0000-0000AC320000}"/>
    <cellStyle name="20% - 强调文字颜色 1 3 5 2 4 2" xfId="12974" xr:uid="{00000000-0005-0000-0000-0000AD320000}"/>
    <cellStyle name="20% - 强调文字颜色 1 3 5 2 5" xfId="12975" xr:uid="{00000000-0005-0000-0000-0000AE320000}"/>
    <cellStyle name="20% - 强调文字颜色 1 3 5 3" xfId="12976" xr:uid="{00000000-0005-0000-0000-0000AF320000}"/>
    <cellStyle name="20% - 强调文字颜色 1 3 5 3 2" xfId="12977" xr:uid="{00000000-0005-0000-0000-0000B0320000}"/>
    <cellStyle name="20% - 强调文字颜色 1 3 5 3 2 2" xfId="12978" xr:uid="{00000000-0005-0000-0000-0000B1320000}"/>
    <cellStyle name="20% - 强调文字颜色 1 3 5 4" xfId="12979" xr:uid="{00000000-0005-0000-0000-0000B2320000}"/>
    <cellStyle name="20% - 强调文字颜色 1 3 5 4 2" xfId="12980" xr:uid="{00000000-0005-0000-0000-0000B3320000}"/>
    <cellStyle name="20% - 强调文字颜色 1 3 5 5" xfId="12981" xr:uid="{00000000-0005-0000-0000-0000B4320000}"/>
    <cellStyle name="20% - 强调文字颜色 1 3 5 5 2" xfId="12982" xr:uid="{00000000-0005-0000-0000-0000B5320000}"/>
    <cellStyle name="20% - 强调文字颜色 1 3 5 6" xfId="12983" xr:uid="{00000000-0005-0000-0000-0000B6320000}"/>
    <cellStyle name="20% - 强调文字颜色 1 3 6" xfId="12984" xr:uid="{00000000-0005-0000-0000-0000B7320000}"/>
    <cellStyle name="20% - 强调文字颜色 1 3 6 2" xfId="12985" xr:uid="{00000000-0005-0000-0000-0000B8320000}"/>
    <cellStyle name="20% - 强调文字颜色 1 3 6 2 2" xfId="12986" xr:uid="{00000000-0005-0000-0000-0000B9320000}"/>
    <cellStyle name="20% - 强调文字颜色 1 3 6 2 2 2" xfId="12987" xr:uid="{00000000-0005-0000-0000-0000BA320000}"/>
    <cellStyle name="20% - 强调文字颜色 1 3 6 3" xfId="12988" xr:uid="{00000000-0005-0000-0000-0000BB320000}"/>
    <cellStyle name="20% - 强调文字颜色 1 3 6 3 2" xfId="12989" xr:uid="{00000000-0005-0000-0000-0000BC320000}"/>
    <cellStyle name="20% - 强调文字颜色 1 3 6 4" xfId="12990" xr:uid="{00000000-0005-0000-0000-0000BD320000}"/>
    <cellStyle name="20% - 强调文字颜色 1 3 6 4 2" xfId="12991" xr:uid="{00000000-0005-0000-0000-0000BE320000}"/>
    <cellStyle name="20% - 强调文字颜色 1 3 6 5" xfId="12992" xr:uid="{00000000-0005-0000-0000-0000BF320000}"/>
    <cellStyle name="20% - 强调文字颜色 1 3 7" xfId="12993" xr:uid="{00000000-0005-0000-0000-0000C0320000}"/>
    <cellStyle name="20% - 强调文字颜色 1 3 8" xfId="12994" xr:uid="{00000000-0005-0000-0000-0000C1320000}"/>
    <cellStyle name="20% - 强调文字颜色 1 3 8 2" xfId="12995" xr:uid="{00000000-0005-0000-0000-0000C2320000}"/>
    <cellStyle name="20% - 强调文字颜色 1 3 9" xfId="12996" xr:uid="{00000000-0005-0000-0000-0000C3320000}"/>
    <cellStyle name="20% - 强调文字颜色 1 3 9 2" xfId="12997" xr:uid="{00000000-0005-0000-0000-0000C4320000}"/>
    <cellStyle name="20% - 强调文字颜色 2 2" xfId="12998" xr:uid="{00000000-0005-0000-0000-0000C5320000}"/>
    <cellStyle name="20% - 强调文字颜色 2 2 10" xfId="12999" xr:uid="{00000000-0005-0000-0000-0000C6320000}"/>
    <cellStyle name="20% - 强调文字颜色 2 2 11" xfId="13000" xr:uid="{00000000-0005-0000-0000-0000C7320000}"/>
    <cellStyle name="20% - 强调文字颜色 2 2 11 2" xfId="13001" xr:uid="{00000000-0005-0000-0000-0000C8320000}"/>
    <cellStyle name="20% - 强调文字颜色 2 2 12" xfId="13002" xr:uid="{00000000-0005-0000-0000-0000C9320000}"/>
    <cellStyle name="20% - 强调文字颜色 2 2 12 2" xfId="13003" xr:uid="{00000000-0005-0000-0000-0000CA320000}"/>
    <cellStyle name="20% - 强调文字颜色 2 2 2" xfId="13004" xr:uid="{00000000-0005-0000-0000-0000CB320000}"/>
    <cellStyle name="20% - 强调文字颜色 2 2 2 10" xfId="13005" xr:uid="{00000000-0005-0000-0000-0000CC320000}"/>
    <cellStyle name="20% - 强调文字颜色 2 2 2 11" xfId="13006" xr:uid="{00000000-0005-0000-0000-0000CD320000}"/>
    <cellStyle name="20% - 强调文字颜色 2 2 2 11 2" xfId="13007" xr:uid="{00000000-0005-0000-0000-0000CE320000}"/>
    <cellStyle name="20% - 强调文字颜色 2 2 2 12" xfId="13008" xr:uid="{00000000-0005-0000-0000-0000CF320000}"/>
    <cellStyle name="20% - 强调文字颜色 2 2 2 12 2" xfId="13009" xr:uid="{00000000-0005-0000-0000-0000D0320000}"/>
    <cellStyle name="20% - 强调文字颜色 2 2 2 2" xfId="13010" xr:uid="{00000000-0005-0000-0000-0000D1320000}"/>
    <cellStyle name="20% - 强调文字颜色 2 2 2 2 2" xfId="13011" xr:uid="{00000000-0005-0000-0000-0000D2320000}"/>
    <cellStyle name="20% - 强调文字颜色 2 2 2 2 2 2" xfId="13012" xr:uid="{00000000-0005-0000-0000-0000D3320000}"/>
    <cellStyle name="20% - 强调文字颜色 2 2 2 2 2 2 2" xfId="13013" xr:uid="{00000000-0005-0000-0000-0000D4320000}"/>
    <cellStyle name="20% - 强调文字颜色 2 2 2 2 2 2 3" xfId="13014" xr:uid="{00000000-0005-0000-0000-0000D5320000}"/>
    <cellStyle name="20% - 强调文字颜色 2 2 2 2 2 2 3 2" xfId="13015" xr:uid="{00000000-0005-0000-0000-0000D6320000}"/>
    <cellStyle name="20% - 强调文字颜色 2 2 2 2 2 2 3 2 2" xfId="13016" xr:uid="{00000000-0005-0000-0000-0000D7320000}"/>
    <cellStyle name="20% - 强调文字颜色 2 2 2 2 2 2 4" xfId="13017" xr:uid="{00000000-0005-0000-0000-0000D8320000}"/>
    <cellStyle name="20% - 强调文字颜色 2 2 2 2 2 2 4 2" xfId="13018" xr:uid="{00000000-0005-0000-0000-0000D9320000}"/>
    <cellStyle name="20% - 强调文字颜色 2 2 2 2 2 2 5" xfId="13019" xr:uid="{00000000-0005-0000-0000-0000DA320000}"/>
    <cellStyle name="20% - 强调文字颜色 2 2 2 2 2 2 5 2" xfId="13020" xr:uid="{00000000-0005-0000-0000-0000DB320000}"/>
    <cellStyle name="20% - 强调文字颜色 2 2 2 2 2 2 6" xfId="13021" xr:uid="{00000000-0005-0000-0000-0000DC320000}"/>
    <cellStyle name="20% - 强调文字颜色 2 2 2 2 2 3" xfId="13022" xr:uid="{00000000-0005-0000-0000-0000DD320000}"/>
    <cellStyle name="20% - 强调文字颜色 2 2 2 2 2 3 2" xfId="13023" xr:uid="{00000000-0005-0000-0000-0000DE320000}"/>
    <cellStyle name="20% - 强调文字颜色 2 2 2 2 2 3 2 2" xfId="13024" xr:uid="{00000000-0005-0000-0000-0000DF320000}"/>
    <cellStyle name="20% - 强调文字颜色 2 2 2 2 2 3 2 2 2" xfId="13025" xr:uid="{00000000-0005-0000-0000-0000E0320000}"/>
    <cellStyle name="20% - 强调文字颜色 2 2 2 2 2 3 3" xfId="13026" xr:uid="{00000000-0005-0000-0000-0000E1320000}"/>
    <cellStyle name="20% - 强调文字颜色 2 2 2 2 2 3 3 2" xfId="13027" xr:uid="{00000000-0005-0000-0000-0000E2320000}"/>
    <cellStyle name="20% - 强调文字颜色 2 2 2 2 2 3 4" xfId="13028" xr:uid="{00000000-0005-0000-0000-0000E3320000}"/>
    <cellStyle name="20% - 强调文字颜色 2 2 2 2 2 3 4 2" xfId="13029" xr:uid="{00000000-0005-0000-0000-0000E4320000}"/>
    <cellStyle name="20% - 强调文字颜色 2 2 2 2 2 3 5" xfId="13030" xr:uid="{00000000-0005-0000-0000-0000E5320000}"/>
    <cellStyle name="20% - 强调文字颜色 2 2 2 2 2 4" xfId="13031" xr:uid="{00000000-0005-0000-0000-0000E6320000}"/>
    <cellStyle name="20% - 强调文字颜色 2 2 2 2 2 5" xfId="13032" xr:uid="{00000000-0005-0000-0000-0000E7320000}"/>
    <cellStyle name="20% - 强调文字颜色 2 2 2 2 2 6" xfId="13033" xr:uid="{00000000-0005-0000-0000-0000E8320000}"/>
    <cellStyle name="20% - 强调文字颜色 2 2 2 2 2 6 2" xfId="13034" xr:uid="{00000000-0005-0000-0000-0000E9320000}"/>
    <cellStyle name="20% - 强调文字颜色 2 2 2 2 2 7" xfId="13035" xr:uid="{00000000-0005-0000-0000-0000EA320000}"/>
    <cellStyle name="20% - 强调文字颜色 2 2 2 2 2 7 2" xfId="13036" xr:uid="{00000000-0005-0000-0000-0000EB320000}"/>
    <cellStyle name="20% - 强调文字颜色 2 2 2 2 3" xfId="13037" xr:uid="{00000000-0005-0000-0000-0000EC320000}"/>
    <cellStyle name="20% - 强调文字颜色 2 2 2 2 3 2" xfId="13038" xr:uid="{00000000-0005-0000-0000-0000ED320000}"/>
    <cellStyle name="20% - 强调文字颜色 2 2 2 2 3 3" xfId="13039" xr:uid="{00000000-0005-0000-0000-0000EE320000}"/>
    <cellStyle name="20% - 强调文字颜色 2 2 2 2 3 3 2" xfId="13040" xr:uid="{00000000-0005-0000-0000-0000EF320000}"/>
    <cellStyle name="20% - 强调文字颜色 2 2 2 2 3 3 2 2" xfId="13041" xr:uid="{00000000-0005-0000-0000-0000F0320000}"/>
    <cellStyle name="20% - 强调文字颜色 2 2 2 2 3 4" xfId="13042" xr:uid="{00000000-0005-0000-0000-0000F1320000}"/>
    <cellStyle name="20% - 强调文字颜色 2 2 2 2 3 4 2" xfId="13043" xr:uid="{00000000-0005-0000-0000-0000F2320000}"/>
    <cellStyle name="20% - 强调文字颜色 2 2 2 2 3 5" xfId="13044" xr:uid="{00000000-0005-0000-0000-0000F3320000}"/>
    <cellStyle name="20% - 强调文字颜色 2 2 2 2 3 5 2" xfId="13045" xr:uid="{00000000-0005-0000-0000-0000F4320000}"/>
    <cellStyle name="20% - 强调文字颜色 2 2 2 2 3 6" xfId="13046" xr:uid="{00000000-0005-0000-0000-0000F5320000}"/>
    <cellStyle name="20% - 强调文字颜色 2 2 2 2 4" xfId="13047" xr:uid="{00000000-0005-0000-0000-0000F6320000}"/>
    <cellStyle name="20% - 强调文字颜色 2 2 2 2 4 2" xfId="13048" xr:uid="{00000000-0005-0000-0000-0000F7320000}"/>
    <cellStyle name="20% - 强调文字颜色 2 2 2 2 4 2 2" xfId="13049" xr:uid="{00000000-0005-0000-0000-0000F8320000}"/>
    <cellStyle name="20% - 强调文字颜色 2 2 2 2 4 2 2 2" xfId="13050" xr:uid="{00000000-0005-0000-0000-0000F9320000}"/>
    <cellStyle name="20% - 强调文字颜色 2 2 2 2 4 3" xfId="13051" xr:uid="{00000000-0005-0000-0000-0000FA320000}"/>
    <cellStyle name="20% - 强调文字颜色 2 2 2 2 4 3 2" xfId="13052" xr:uid="{00000000-0005-0000-0000-0000FB320000}"/>
    <cellStyle name="20% - 强调文字颜色 2 2 2 2 4 4" xfId="13053" xr:uid="{00000000-0005-0000-0000-0000FC320000}"/>
    <cellStyle name="20% - 强调文字颜色 2 2 2 2 4 4 2" xfId="13054" xr:uid="{00000000-0005-0000-0000-0000FD320000}"/>
    <cellStyle name="20% - 强调文字颜色 2 2 2 2 4 5" xfId="13055" xr:uid="{00000000-0005-0000-0000-0000FE320000}"/>
    <cellStyle name="20% - 强调文字颜色 2 2 2 2 5" xfId="13056" xr:uid="{00000000-0005-0000-0000-0000FF320000}"/>
    <cellStyle name="20% - 强调文字颜色 2 2 2 2 6" xfId="13057" xr:uid="{00000000-0005-0000-0000-000000330000}"/>
    <cellStyle name="20% - 强调文字颜色 2 2 2 2 7" xfId="13058" xr:uid="{00000000-0005-0000-0000-000001330000}"/>
    <cellStyle name="20% - 强调文字颜色 2 2 2 2 7 2" xfId="13059" xr:uid="{00000000-0005-0000-0000-000002330000}"/>
    <cellStyle name="20% - 强调文字颜色 2 2 2 2 8" xfId="13060" xr:uid="{00000000-0005-0000-0000-000003330000}"/>
    <cellStyle name="20% - 强调文字颜色 2 2 2 2 8 2" xfId="13061" xr:uid="{00000000-0005-0000-0000-000004330000}"/>
    <cellStyle name="20% - 强调文字颜色 2 2 2 3" xfId="13062" xr:uid="{00000000-0005-0000-0000-000005330000}"/>
    <cellStyle name="20% - 强调文字颜色 2 2 2 3 2" xfId="13063" xr:uid="{00000000-0005-0000-0000-000006330000}"/>
    <cellStyle name="20% - 强调文字颜色 2 2 2 3 2 2" xfId="13064" xr:uid="{00000000-0005-0000-0000-000007330000}"/>
    <cellStyle name="20% - 强调文字颜色 2 2 2 3 2 3" xfId="13065" xr:uid="{00000000-0005-0000-0000-000008330000}"/>
    <cellStyle name="20% - 强调文字颜色 2 2 2 3 2 3 2" xfId="13066" xr:uid="{00000000-0005-0000-0000-000009330000}"/>
    <cellStyle name="20% - 强调文字颜色 2 2 2 3 2 3 2 2" xfId="13067" xr:uid="{00000000-0005-0000-0000-00000A330000}"/>
    <cellStyle name="20% - 强调文字颜色 2 2 2 3 2 4" xfId="13068" xr:uid="{00000000-0005-0000-0000-00000B330000}"/>
    <cellStyle name="20% - 强调文字颜色 2 2 2 3 2 4 2" xfId="13069" xr:uid="{00000000-0005-0000-0000-00000C330000}"/>
    <cellStyle name="20% - 强调文字颜色 2 2 2 3 2 5" xfId="13070" xr:uid="{00000000-0005-0000-0000-00000D330000}"/>
    <cellStyle name="20% - 强调文字颜色 2 2 2 3 2 5 2" xfId="13071" xr:uid="{00000000-0005-0000-0000-00000E330000}"/>
    <cellStyle name="20% - 强调文字颜色 2 2 2 3 2 6" xfId="13072" xr:uid="{00000000-0005-0000-0000-00000F330000}"/>
    <cellStyle name="20% - 强调文字颜色 2 2 2 3 3" xfId="13073" xr:uid="{00000000-0005-0000-0000-000010330000}"/>
    <cellStyle name="20% - 强调文字颜色 2 2 2 3 3 2" xfId="13074" xr:uid="{00000000-0005-0000-0000-000011330000}"/>
    <cellStyle name="20% - 强调文字颜色 2 2 2 3 3 2 2" xfId="13075" xr:uid="{00000000-0005-0000-0000-000012330000}"/>
    <cellStyle name="20% - 强调文字颜色 2 2 2 3 3 2 2 2" xfId="13076" xr:uid="{00000000-0005-0000-0000-000013330000}"/>
    <cellStyle name="20% - 强调文字颜色 2 2 2 3 3 3" xfId="13077" xr:uid="{00000000-0005-0000-0000-000014330000}"/>
    <cellStyle name="20% - 强调文字颜色 2 2 2 3 3 3 2" xfId="13078" xr:uid="{00000000-0005-0000-0000-000015330000}"/>
    <cellStyle name="20% - 强调文字颜色 2 2 2 3 3 4" xfId="13079" xr:uid="{00000000-0005-0000-0000-000016330000}"/>
    <cellStyle name="20% - 强调文字颜色 2 2 2 3 3 4 2" xfId="13080" xr:uid="{00000000-0005-0000-0000-000017330000}"/>
    <cellStyle name="20% - 强调文字颜色 2 2 2 3 3 5" xfId="13081" xr:uid="{00000000-0005-0000-0000-000018330000}"/>
    <cellStyle name="20% - 强调文字颜色 2 2 2 3 4" xfId="13082" xr:uid="{00000000-0005-0000-0000-000019330000}"/>
    <cellStyle name="20% - 强调文字颜色 2 2 2 3 5" xfId="13083" xr:uid="{00000000-0005-0000-0000-00001A330000}"/>
    <cellStyle name="20% - 强调文字颜色 2 2 2 3 6" xfId="13084" xr:uid="{00000000-0005-0000-0000-00001B330000}"/>
    <cellStyle name="20% - 强调文字颜色 2 2 2 3 6 2" xfId="13085" xr:uid="{00000000-0005-0000-0000-00001C330000}"/>
    <cellStyle name="20% - 强调文字颜色 2 2 2 3 7" xfId="13086" xr:uid="{00000000-0005-0000-0000-00001D330000}"/>
    <cellStyle name="20% - 强调文字颜色 2 2 2 3 7 2" xfId="13087" xr:uid="{00000000-0005-0000-0000-00001E330000}"/>
    <cellStyle name="20% - 强调文字颜色 2 2 2 4" xfId="13088" xr:uid="{00000000-0005-0000-0000-00001F330000}"/>
    <cellStyle name="20% - 强调文字颜色 2 2 2 4 2" xfId="13089" xr:uid="{00000000-0005-0000-0000-000020330000}"/>
    <cellStyle name="20% - 强调文字颜色 2 2 2 4 2 2" xfId="13090" xr:uid="{00000000-0005-0000-0000-000021330000}"/>
    <cellStyle name="20% - 强调文字颜色 2 2 2 4 2 3" xfId="13091" xr:uid="{00000000-0005-0000-0000-000022330000}"/>
    <cellStyle name="20% - 强调文字颜色 2 2 2 4 2 3 2" xfId="13092" xr:uid="{00000000-0005-0000-0000-000023330000}"/>
    <cellStyle name="20% - 强调文字颜色 2 2 2 4 2 3 2 2" xfId="13093" xr:uid="{00000000-0005-0000-0000-000024330000}"/>
    <cellStyle name="20% - 强调文字颜色 2 2 2 4 2 4" xfId="13094" xr:uid="{00000000-0005-0000-0000-000025330000}"/>
    <cellStyle name="20% - 强调文字颜色 2 2 2 4 2 4 2" xfId="13095" xr:uid="{00000000-0005-0000-0000-000026330000}"/>
    <cellStyle name="20% - 强调文字颜色 2 2 2 4 2 5" xfId="13096" xr:uid="{00000000-0005-0000-0000-000027330000}"/>
    <cellStyle name="20% - 强调文字颜色 2 2 2 4 2 5 2" xfId="13097" xr:uid="{00000000-0005-0000-0000-000028330000}"/>
    <cellStyle name="20% - 强调文字颜色 2 2 2 4 2 6" xfId="13098" xr:uid="{00000000-0005-0000-0000-000029330000}"/>
    <cellStyle name="20% - 强调文字颜色 2 2 2 4 3" xfId="13099" xr:uid="{00000000-0005-0000-0000-00002A330000}"/>
    <cellStyle name="20% - 强调文字颜色 2 2 2 4 4" xfId="13100" xr:uid="{00000000-0005-0000-0000-00002B330000}"/>
    <cellStyle name="20% - 强调文字颜色 2 2 2 4 5" xfId="13101" xr:uid="{00000000-0005-0000-0000-00002C330000}"/>
    <cellStyle name="20% - 强调文字颜色 2 2 2 4 6" xfId="13102" xr:uid="{00000000-0005-0000-0000-00002D330000}"/>
    <cellStyle name="20% - 强调文字颜色 2 2 2 4 6 2" xfId="13103" xr:uid="{00000000-0005-0000-0000-00002E330000}"/>
    <cellStyle name="20% - 强调文字颜色 2 2 2 4 7" xfId="13104" xr:uid="{00000000-0005-0000-0000-00002F330000}"/>
    <cellStyle name="20% - 强调文字颜色 2 2 2 4 7 2" xfId="13105" xr:uid="{00000000-0005-0000-0000-000030330000}"/>
    <cellStyle name="20% - 强调文字颜色 2 2 2 5" xfId="13106" xr:uid="{00000000-0005-0000-0000-000031330000}"/>
    <cellStyle name="20% - 强调文字颜色 2 2 2 5 2" xfId="13107" xr:uid="{00000000-0005-0000-0000-000032330000}"/>
    <cellStyle name="20% - 强调文字颜色 2 2 2 5 2 2" xfId="13108" xr:uid="{00000000-0005-0000-0000-000033330000}"/>
    <cellStyle name="20% - 强调文字颜色 2 2 2 5 2 2 2" xfId="13109" xr:uid="{00000000-0005-0000-0000-000034330000}"/>
    <cellStyle name="20% - 强调文字颜色 2 2 2 5 2 2 2 2" xfId="13110" xr:uid="{00000000-0005-0000-0000-000035330000}"/>
    <cellStyle name="20% - 强调文字颜色 2 2 2 5 2 3" xfId="13111" xr:uid="{00000000-0005-0000-0000-000036330000}"/>
    <cellStyle name="20% - 强调文字颜色 2 2 2 5 2 3 2" xfId="13112" xr:uid="{00000000-0005-0000-0000-000037330000}"/>
    <cellStyle name="20% - 强调文字颜色 2 2 2 5 2 4" xfId="13113" xr:uid="{00000000-0005-0000-0000-000038330000}"/>
    <cellStyle name="20% - 强调文字颜色 2 2 2 5 2 4 2" xfId="13114" xr:uid="{00000000-0005-0000-0000-000039330000}"/>
    <cellStyle name="20% - 强调文字颜色 2 2 2 5 2 5" xfId="13115" xr:uid="{00000000-0005-0000-0000-00003A330000}"/>
    <cellStyle name="20% - 强调文字颜色 2 2 2 5 3" xfId="13116" xr:uid="{00000000-0005-0000-0000-00003B330000}"/>
    <cellStyle name="20% - 强调文字颜色 2 2 2 5 3 2" xfId="13117" xr:uid="{00000000-0005-0000-0000-00003C330000}"/>
    <cellStyle name="20% - 强调文字颜色 2 2 2 5 3 2 2" xfId="13118" xr:uid="{00000000-0005-0000-0000-00003D330000}"/>
    <cellStyle name="20% - 强调文字颜色 2 2 2 5 4" xfId="13119" xr:uid="{00000000-0005-0000-0000-00003E330000}"/>
    <cellStyle name="20% - 强调文字颜色 2 2 2 5 4 2" xfId="13120" xr:uid="{00000000-0005-0000-0000-00003F330000}"/>
    <cellStyle name="20% - 强调文字颜色 2 2 2 5 5" xfId="13121" xr:uid="{00000000-0005-0000-0000-000040330000}"/>
    <cellStyle name="20% - 强调文字颜色 2 2 2 5 5 2" xfId="13122" xr:uid="{00000000-0005-0000-0000-000041330000}"/>
    <cellStyle name="20% - 强调文字颜色 2 2 2 5 6" xfId="13123" xr:uid="{00000000-0005-0000-0000-000042330000}"/>
    <cellStyle name="20% - 强调文字颜色 2 2 2 6" xfId="13124" xr:uid="{00000000-0005-0000-0000-000043330000}"/>
    <cellStyle name="20% - 强调文字颜色 2 2 2 6 2" xfId="13125" xr:uid="{00000000-0005-0000-0000-000044330000}"/>
    <cellStyle name="20% - 强调文字颜色 2 2 2 6 2 2" xfId="13126" xr:uid="{00000000-0005-0000-0000-000045330000}"/>
    <cellStyle name="20% - 强调文字颜色 2 2 2 6 2 2 2" xfId="13127" xr:uid="{00000000-0005-0000-0000-000046330000}"/>
    <cellStyle name="20% - 强调文字颜色 2 2 2 6 2 2 2 2" xfId="13128" xr:uid="{00000000-0005-0000-0000-000047330000}"/>
    <cellStyle name="20% - 强调文字颜色 2 2 2 6 2 3" xfId="13129" xr:uid="{00000000-0005-0000-0000-000048330000}"/>
    <cellStyle name="20% - 强调文字颜色 2 2 2 6 2 3 2" xfId="13130" xr:uid="{00000000-0005-0000-0000-000049330000}"/>
    <cellStyle name="20% - 强调文字颜色 2 2 2 6 2 4" xfId="13131" xr:uid="{00000000-0005-0000-0000-00004A330000}"/>
    <cellStyle name="20% - 强调文字颜色 2 2 2 6 2 4 2" xfId="13132" xr:uid="{00000000-0005-0000-0000-00004B330000}"/>
    <cellStyle name="20% - 强调文字颜色 2 2 2 6 2 5" xfId="13133" xr:uid="{00000000-0005-0000-0000-00004C330000}"/>
    <cellStyle name="20% - 强调文字颜色 2 2 2 6 3" xfId="13134" xr:uid="{00000000-0005-0000-0000-00004D330000}"/>
    <cellStyle name="20% - 强调文字颜色 2 2 2 6 3 2" xfId="13135" xr:uid="{00000000-0005-0000-0000-00004E330000}"/>
    <cellStyle name="20% - 强调文字颜色 2 2 2 6 3 2 2" xfId="13136" xr:uid="{00000000-0005-0000-0000-00004F330000}"/>
    <cellStyle name="20% - 强调文字颜色 2 2 2 6 4" xfId="13137" xr:uid="{00000000-0005-0000-0000-000050330000}"/>
    <cellStyle name="20% - 强调文字颜色 2 2 2 6 4 2" xfId="13138" xr:uid="{00000000-0005-0000-0000-000051330000}"/>
    <cellStyle name="20% - 强调文字颜色 2 2 2 6 5" xfId="13139" xr:uid="{00000000-0005-0000-0000-000052330000}"/>
    <cellStyle name="20% - 强调文字颜色 2 2 2 6 5 2" xfId="13140" xr:uid="{00000000-0005-0000-0000-000053330000}"/>
    <cellStyle name="20% - 强调文字颜色 2 2 2 6 6" xfId="13141" xr:uid="{00000000-0005-0000-0000-000054330000}"/>
    <cellStyle name="20% - 强调文字颜色 2 2 2 7" xfId="13142" xr:uid="{00000000-0005-0000-0000-000055330000}"/>
    <cellStyle name="20% - 强调文字颜色 2 2 2 7 2" xfId="13143" xr:uid="{00000000-0005-0000-0000-000056330000}"/>
    <cellStyle name="20% - 强调文字颜色 2 2 2 7 2 2" xfId="13144" xr:uid="{00000000-0005-0000-0000-000057330000}"/>
    <cellStyle name="20% - 强调文字颜色 2 2 2 7 2 2 2" xfId="13145" xr:uid="{00000000-0005-0000-0000-000058330000}"/>
    <cellStyle name="20% - 强调文字颜色 2 2 2 7 2 2 2 2" xfId="13146" xr:uid="{00000000-0005-0000-0000-000059330000}"/>
    <cellStyle name="20% - 强调文字颜色 2 2 2 7 2 3" xfId="13147" xr:uid="{00000000-0005-0000-0000-00005A330000}"/>
    <cellStyle name="20% - 强调文字颜色 2 2 2 7 2 3 2" xfId="13148" xr:uid="{00000000-0005-0000-0000-00005B330000}"/>
    <cellStyle name="20% - 强调文字颜色 2 2 2 7 2 4" xfId="13149" xr:uid="{00000000-0005-0000-0000-00005C330000}"/>
    <cellStyle name="20% - 强调文字颜色 2 2 2 7 2 4 2" xfId="13150" xr:uid="{00000000-0005-0000-0000-00005D330000}"/>
    <cellStyle name="20% - 强调文字颜色 2 2 2 7 2 5" xfId="13151" xr:uid="{00000000-0005-0000-0000-00005E330000}"/>
    <cellStyle name="20% - 强调文字颜色 2 2 2 7 3" xfId="13152" xr:uid="{00000000-0005-0000-0000-00005F330000}"/>
    <cellStyle name="20% - 强调文字颜色 2 2 2 7 3 2" xfId="13153" xr:uid="{00000000-0005-0000-0000-000060330000}"/>
    <cellStyle name="20% - 强调文字颜色 2 2 2 7 3 2 2" xfId="13154" xr:uid="{00000000-0005-0000-0000-000061330000}"/>
    <cellStyle name="20% - 强调文字颜色 2 2 2 7 4" xfId="13155" xr:uid="{00000000-0005-0000-0000-000062330000}"/>
    <cellStyle name="20% - 强调文字颜色 2 2 2 7 4 2" xfId="13156" xr:uid="{00000000-0005-0000-0000-000063330000}"/>
    <cellStyle name="20% - 强调文字颜色 2 2 2 7 5" xfId="13157" xr:uid="{00000000-0005-0000-0000-000064330000}"/>
    <cellStyle name="20% - 强调文字颜色 2 2 2 7 5 2" xfId="13158" xr:uid="{00000000-0005-0000-0000-000065330000}"/>
    <cellStyle name="20% - 强调文字颜色 2 2 2 7 6" xfId="13159" xr:uid="{00000000-0005-0000-0000-000066330000}"/>
    <cellStyle name="20% - 强调文字颜色 2 2 2 8" xfId="13160" xr:uid="{00000000-0005-0000-0000-000067330000}"/>
    <cellStyle name="20% - 强调文字颜色 2 2 2 8 2" xfId="13161" xr:uid="{00000000-0005-0000-0000-000068330000}"/>
    <cellStyle name="20% - 强调文字颜色 2 2 2 8 2 2" xfId="13162" xr:uid="{00000000-0005-0000-0000-000069330000}"/>
    <cellStyle name="20% - 强调文字颜色 2 2 2 8 2 2 2" xfId="13163" xr:uid="{00000000-0005-0000-0000-00006A330000}"/>
    <cellStyle name="20% - 强调文字颜色 2 2 2 8 3" xfId="13164" xr:uid="{00000000-0005-0000-0000-00006B330000}"/>
    <cellStyle name="20% - 强调文字颜色 2 2 2 8 3 2" xfId="13165" xr:uid="{00000000-0005-0000-0000-00006C330000}"/>
    <cellStyle name="20% - 强调文字颜色 2 2 2 8 4" xfId="13166" xr:uid="{00000000-0005-0000-0000-00006D330000}"/>
    <cellStyle name="20% - 强调文字颜色 2 2 2 8 4 2" xfId="13167" xr:uid="{00000000-0005-0000-0000-00006E330000}"/>
    <cellStyle name="20% - 强调文字颜色 2 2 2 8 5" xfId="13168" xr:uid="{00000000-0005-0000-0000-00006F330000}"/>
    <cellStyle name="20% - 强调文字颜色 2 2 2 9" xfId="13169" xr:uid="{00000000-0005-0000-0000-000070330000}"/>
    <cellStyle name="20% - 强调文字颜色 2 2 2 9 2" xfId="13170" xr:uid="{00000000-0005-0000-0000-000071330000}"/>
    <cellStyle name="20% - 强调文字颜色 2 2 2 9 2 2" xfId="13171" xr:uid="{00000000-0005-0000-0000-000072330000}"/>
    <cellStyle name="20% - 强调文字颜色 2 2 2 9 2 2 2" xfId="13172" xr:uid="{00000000-0005-0000-0000-000073330000}"/>
    <cellStyle name="20% - 强调文字颜色 2 2 2 9 3" xfId="13173" xr:uid="{00000000-0005-0000-0000-000074330000}"/>
    <cellStyle name="20% - 强调文字颜色 2 2 2 9 3 2" xfId="13174" xr:uid="{00000000-0005-0000-0000-000075330000}"/>
    <cellStyle name="20% - 强调文字颜色 2 2 2 9 4" xfId="13175" xr:uid="{00000000-0005-0000-0000-000076330000}"/>
    <cellStyle name="20% - 强调文字颜色 2 2 2 9 4 2" xfId="13176" xr:uid="{00000000-0005-0000-0000-000077330000}"/>
    <cellStyle name="20% - 强调文字颜色 2 2 2 9 5" xfId="13177" xr:uid="{00000000-0005-0000-0000-000078330000}"/>
    <cellStyle name="20% - 强调文字颜色 2 2 3" xfId="13178" xr:uid="{00000000-0005-0000-0000-000079330000}"/>
    <cellStyle name="20% - 强调文字颜色 2 2 3 10" xfId="13179" xr:uid="{00000000-0005-0000-0000-00007A330000}"/>
    <cellStyle name="20% - 强调文字颜色 2 2 3 10 2" xfId="13180" xr:uid="{00000000-0005-0000-0000-00007B330000}"/>
    <cellStyle name="20% - 强调文字颜色 2 2 3 2" xfId="13181" xr:uid="{00000000-0005-0000-0000-00007C330000}"/>
    <cellStyle name="20% - 强调文字颜色 2 2 3 2 2" xfId="13182" xr:uid="{00000000-0005-0000-0000-00007D330000}"/>
    <cellStyle name="20% - 强调文字颜色 2 2 3 2 2 2" xfId="13183" xr:uid="{00000000-0005-0000-0000-00007E330000}"/>
    <cellStyle name="20% - 强调文字颜色 2 2 3 2 2 2 2" xfId="13184" xr:uid="{00000000-0005-0000-0000-00007F330000}"/>
    <cellStyle name="20% - 强调文字颜色 2 2 3 2 2 2 3" xfId="13185" xr:uid="{00000000-0005-0000-0000-000080330000}"/>
    <cellStyle name="20% - 强调文字颜色 2 2 3 2 2 2 3 2" xfId="13186" xr:uid="{00000000-0005-0000-0000-000081330000}"/>
    <cellStyle name="20% - 强调文字颜色 2 2 3 2 2 2 3 2 2" xfId="13187" xr:uid="{00000000-0005-0000-0000-000082330000}"/>
    <cellStyle name="20% - 强调文字颜色 2 2 3 2 2 2 4" xfId="13188" xr:uid="{00000000-0005-0000-0000-000083330000}"/>
    <cellStyle name="20% - 强调文字颜色 2 2 3 2 2 2 4 2" xfId="13189" xr:uid="{00000000-0005-0000-0000-000084330000}"/>
    <cellStyle name="20% - 强调文字颜色 2 2 3 2 2 2 5" xfId="13190" xr:uid="{00000000-0005-0000-0000-000085330000}"/>
    <cellStyle name="20% - 强调文字颜色 2 2 3 2 2 2 5 2" xfId="13191" xr:uid="{00000000-0005-0000-0000-000086330000}"/>
    <cellStyle name="20% - 强调文字颜色 2 2 3 2 2 2 6" xfId="13192" xr:uid="{00000000-0005-0000-0000-000087330000}"/>
    <cellStyle name="20% - 强调文字颜色 2 2 3 2 2 3" xfId="13193" xr:uid="{00000000-0005-0000-0000-000088330000}"/>
    <cellStyle name="20% - 强调文字颜色 2 2 3 2 2 3 2" xfId="13194" xr:uid="{00000000-0005-0000-0000-000089330000}"/>
    <cellStyle name="20% - 强调文字颜色 2 2 3 2 2 3 2 2" xfId="13195" xr:uid="{00000000-0005-0000-0000-00008A330000}"/>
    <cellStyle name="20% - 强调文字颜色 2 2 3 2 2 3 2 2 2" xfId="13196" xr:uid="{00000000-0005-0000-0000-00008B330000}"/>
    <cellStyle name="20% - 强调文字颜色 2 2 3 2 2 3 3" xfId="13197" xr:uid="{00000000-0005-0000-0000-00008C330000}"/>
    <cellStyle name="20% - 强调文字颜色 2 2 3 2 2 3 3 2" xfId="13198" xr:uid="{00000000-0005-0000-0000-00008D330000}"/>
    <cellStyle name="20% - 强调文字颜色 2 2 3 2 2 3 4" xfId="13199" xr:uid="{00000000-0005-0000-0000-00008E330000}"/>
    <cellStyle name="20% - 强调文字颜色 2 2 3 2 2 3 4 2" xfId="13200" xr:uid="{00000000-0005-0000-0000-00008F330000}"/>
    <cellStyle name="20% - 强调文字颜色 2 2 3 2 2 3 5" xfId="13201" xr:uid="{00000000-0005-0000-0000-000090330000}"/>
    <cellStyle name="20% - 强调文字颜色 2 2 3 2 2 4" xfId="13202" xr:uid="{00000000-0005-0000-0000-000091330000}"/>
    <cellStyle name="20% - 强调文字颜色 2 2 3 2 2 5" xfId="13203" xr:uid="{00000000-0005-0000-0000-000092330000}"/>
    <cellStyle name="20% - 强调文字颜色 2 2 3 2 2 6" xfId="13204" xr:uid="{00000000-0005-0000-0000-000093330000}"/>
    <cellStyle name="20% - 强调文字颜色 2 2 3 2 2 6 2" xfId="13205" xr:uid="{00000000-0005-0000-0000-000094330000}"/>
    <cellStyle name="20% - 强调文字颜色 2 2 3 2 2 7" xfId="13206" xr:uid="{00000000-0005-0000-0000-000095330000}"/>
    <cellStyle name="20% - 强调文字颜色 2 2 3 2 2 7 2" xfId="13207" xr:uid="{00000000-0005-0000-0000-000096330000}"/>
    <cellStyle name="20% - 强调文字颜色 2 2 3 2 3" xfId="13208" xr:uid="{00000000-0005-0000-0000-000097330000}"/>
    <cellStyle name="20% - 强调文字颜色 2 2 3 2 3 2" xfId="13209" xr:uid="{00000000-0005-0000-0000-000098330000}"/>
    <cellStyle name="20% - 强调文字颜色 2 2 3 2 3 3" xfId="13210" xr:uid="{00000000-0005-0000-0000-000099330000}"/>
    <cellStyle name="20% - 强调文字颜色 2 2 3 2 3 3 2" xfId="13211" xr:uid="{00000000-0005-0000-0000-00009A330000}"/>
    <cellStyle name="20% - 强调文字颜色 2 2 3 2 3 3 2 2" xfId="13212" xr:uid="{00000000-0005-0000-0000-00009B330000}"/>
    <cellStyle name="20% - 强调文字颜色 2 2 3 2 3 4" xfId="13213" xr:uid="{00000000-0005-0000-0000-00009C330000}"/>
    <cellStyle name="20% - 强调文字颜色 2 2 3 2 3 4 2" xfId="13214" xr:uid="{00000000-0005-0000-0000-00009D330000}"/>
    <cellStyle name="20% - 强调文字颜色 2 2 3 2 3 5" xfId="13215" xr:uid="{00000000-0005-0000-0000-00009E330000}"/>
    <cellStyle name="20% - 强调文字颜色 2 2 3 2 3 5 2" xfId="13216" xr:uid="{00000000-0005-0000-0000-00009F330000}"/>
    <cellStyle name="20% - 强调文字颜色 2 2 3 2 3 6" xfId="13217" xr:uid="{00000000-0005-0000-0000-0000A0330000}"/>
    <cellStyle name="20% - 强调文字颜色 2 2 3 2 4" xfId="13218" xr:uid="{00000000-0005-0000-0000-0000A1330000}"/>
    <cellStyle name="20% - 强调文字颜色 2 2 3 2 4 2" xfId="13219" xr:uid="{00000000-0005-0000-0000-0000A2330000}"/>
    <cellStyle name="20% - 强调文字颜色 2 2 3 2 4 2 2" xfId="13220" xr:uid="{00000000-0005-0000-0000-0000A3330000}"/>
    <cellStyle name="20% - 强调文字颜色 2 2 3 2 4 2 2 2" xfId="13221" xr:uid="{00000000-0005-0000-0000-0000A4330000}"/>
    <cellStyle name="20% - 强调文字颜色 2 2 3 2 4 3" xfId="13222" xr:uid="{00000000-0005-0000-0000-0000A5330000}"/>
    <cellStyle name="20% - 强调文字颜色 2 2 3 2 4 3 2" xfId="13223" xr:uid="{00000000-0005-0000-0000-0000A6330000}"/>
    <cellStyle name="20% - 强调文字颜色 2 2 3 2 4 4" xfId="13224" xr:uid="{00000000-0005-0000-0000-0000A7330000}"/>
    <cellStyle name="20% - 强调文字颜色 2 2 3 2 4 4 2" xfId="13225" xr:uid="{00000000-0005-0000-0000-0000A8330000}"/>
    <cellStyle name="20% - 强调文字颜色 2 2 3 2 4 5" xfId="13226" xr:uid="{00000000-0005-0000-0000-0000A9330000}"/>
    <cellStyle name="20% - 强调文字颜色 2 2 3 2 5" xfId="13227" xr:uid="{00000000-0005-0000-0000-0000AA330000}"/>
    <cellStyle name="20% - 强调文字颜色 2 2 3 2 6" xfId="13228" xr:uid="{00000000-0005-0000-0000-0000AB330000}"/>
    <cellStyle name="20% - 强调文字颜色 2 2 3 2 7" xfId="13229" xr:uid="{00000000-0005-0000-0000-0000AC330000}"/>
    <cellStyle name="20% - 强调文字颜色 2 2 3 2 7 2" xfId="13230" xr:uid="{00000000-0005-0000-0000-0000AD330000}"/>
    <cellStyle name="20% - 强调文字颜色 2 2 3 2 8" xfId="13231" xr:uid="{00000000-0005-0000-0000-0000AE330000}"/>
    <cellStyle name="20% - 强调文字颜色 2 2 3 2 8 2" xfId="13232" xr:uid="{00000000-0005-0000-0000-0000AF330000}"/>
    <cellStyle name="20% - 强调文字颜色 2 2 3 3" xfId="13233" xr:uid="{00000000-0005-0000-0000-0000B0330000}"/>
    <cellStyle name="20% - 强调文字颜色 2 2 3 3 2" xfId="13234" xr:uid="{00000000-0005-0000-0000-0000B1330000}"/>
    <cellStyle name="20% - 强调文字颜色 2 2 3 3 2 2" xfId="13235" xr:uid="{00000000-0005-0000-0000-0000B2330000}"/>
    <cellStyle name="20% - 强调文字颜色 2 2 3 3 2 3" xfId="13236" xr:uid="{00000000-0005-0000-0000-0000B3330000}"/>
    <cellStyle name="20% - 强调文字颜色 2 2 3 3 2 3 2" xfId="13237" xr:uid="{00000000-0005-0000-0000-0000B4330000}"/>
    <cellStyle name="20% - 强调文字颜色 2 2 3 3 2 3 2 2" xfId="13238" xr:uid="{00000000-0005-0000-0000-0000B5330000}"/>
    <cellStyle name="20% - 强调文字颜色 2 2 3 3 2 4" xfId="13239" xr:uid="{00000000-0005-0000-0000-0000B6330000}"/>
    <cellStyle name="20% - 强调文字颜色 2 2 3 3 2 4 2" xfId="13240" xr:uid="{00000000-0005-0000-0000-0000B7330000}"/>
    <cellStyle name="20% - 强调文字颜色 2 2 3 3 2 5" xfId="13241" xr:uid="{00000000-0005-0000-0000-0000B8330000}"/>
    <cellStyle name="20% - 强调文字颜色 2 2 3 3 2 5 2" xfId="13242" xr:uid="{00000000-0005-0000-0000-0000B9330000}"/>
    <cellStyle name="20% - 强调文字颜色 2 2 3 3 2 6" xfId="13243" xr:uid="{00000000-0005-0000-0000-0000BA330000}"/>
    <cellStyle name="20% - 强调文字颜色 2 2 3 3 3" xfId="13244" xr:uid="{00000000-0005-0000-0000-0000BB330000}"/>
    <cellStyle name="20% - 强调文字颜色 2 2 3 3 3 2" xfId="13245" xr:uid="{00000000-0005-0000-0000-0000BC330000}"/>
    <cellStyle name="20% - 强调文字颜色 2 2 3 3 3 2 2" xfId="13246" xr:uid="{00000000-0005-0000-0000-0000BD330000}"/>
    <cellStyle name="20% - 强调文字颜色 2 2 3 3 3 2 2 2" xfId="13247" xr:uid="{00000000-0005-0000-0000-0000BE330000}"/>
    <cellStyle name="20% - 强调文字颜色 2 2 3 3 3 3" xfId="13248" xr:uid="{00000000-0005-0000-0000-0000BF330000}"/>
    <cellStyle name="20% - 强调文字颜色 2 2 3 3 3 3 2" xfId="13249" xr:uid="{00000000-0005-0000-0000-0000C0330000}"/>
    <cellStyle name="20% - 强调文字颜色 2 2 3 3 3 4" xfId="13250" xr:uid="{00000000-0005-0000-0000-0000C1330000}"/>
    <cellStyle name="20% - 强调文字颜色 2 2 3 3 3 4 2" xfId="13251" xr:uid="{00000000-0005-0000-0000-0000C2330000}"/>
    <cellStyle name="20% - 强调文字颜色 2 2 3 3 3 5" xfId="13252" xr:uid="{00000000-0005-0000-0000-0000C3330000}"/>
    <cellStyle name="20% - 强调文字颜色 2 2 3 3 4" xfId="13253" xr:uid="{00000000-0005-0000-0000-0000C4330000}"/>
    <cellStyle name="20% - 强调文字颜色 2 2 3 3 5" xfId="13254" xr:uid="{00000000-0005-0000-0000-0000C5330000}"/>
    <cellStyle name="20% - 强调文字颜色 2 2 3 3 6" xfId="13255" xr:uid="{00000000-0005-0000-0000-0000C6330000}"/>
    <cellStyle name="20% - 强调文字颜色 2 2 3 3 6 2" xfId="13256" xr:uid="{00000000-0005-0000-0000-0000C7330000}"/>
    <cellStyle name="20% - 强调文字颜色 2 2 3 3 7" xfId="13257" xr:uid="{00000000-0005-0000-0000-0000C8330000}"/>
    <cellStyle name="20% - 强调文字颜色 2 2 3 3 7 2" xfId="13258" xr:uid="{00000000-0005-0000-0000-0000C9330000}"/>
    <cellStyle name="20% - 强调文字颜色 2 2 3 4" xfId="13259" xr:uid="{00000000-0005-0000-0000-0000CA330000}"/>
    <cellStyle name="20% - 强调文字颜色 2 2 3 4 2" xfId="13260" xr:uid="{00000000-0005-0000-0000-0000CB330000}"/>
    <cellStyle name="20% - 强调文字颜色 2 2 3 4 2 2" xfId="13261" xr:uid="{00000000-0005-0000-0000-0000CC330000}"/>
    <cellStyle name="20% - 强调文字颜色 2 2 3 4 2 3" xfId="13262" xr:uid="{00000000-0005-0000-0000-0000CD330000}"/>
    <cellStyle name="20% - 强调文字颜色 2 2 3 4 2 3 2" xfId="13263" xr:uid="{00000000-0005-0000-0000-0000CE330000}"/>
    <cellStyle name="20% - 强调文字颜色 2 2 3 4 2 3 2 2" xfId="13264" xr:uid="{00000000-0005-0000-0000-0000CF330000}"/>
    <cellStyle name="20% - 强调文字颜色 2 2 3 4 2 4" xfId="13265" xr:uid="{00000000-0005-0000-0000-0000D0330000}"/>
    <cellStyle name="20% - 强调文字颜色 2 2 3 4 2 4 2" xfId="13266" xr:uid="{00000000-0005-0000-0000-0000D1330000}"/>
    <cellStyle name="20% - 强调文字颜色 2 2 3 4 2 5" xfId="13267" xr:uid="{00000000-0005-0000-0000-0000D2330000}"/>
    <cellStyle name="20% - 强调文字颜色 2 2 3 4 2 5 2" xfId="13268" xr:uid="{00000000-0005-0000-0000-0000D3330000}"/>
    <cellStyle name="20% - 强调文字颜色 2 2 3 4 2 6" xfId="13269" xr:uid="{00000000-0005-0000-0000-0000D4330000}"/>
    <cellStyle name="20% - 强调文字颜色 2 2 3 4 3" xfId="13270" xr:uid="{00000000-0005-0000-0000-0000D5330000}"/>
    <cellStyle name="20% - 强调文字颜色 2 2 3 4 4" xfId="13271" xr:uid="{00000000-0005-0000-0000-0000D6330000}"/>
    <cellStyle name="20% - 强调文字颜色 2 2 3 4 5" xfId="13272" xr:uid="{00000000-0005-0000-0000-0000D7330000}"/>
    <cellStyle name="20% - 强调文字颜色 2 2 3 4 6" xfId="13273" xr:uid="{00000000-0005-0000-0000-0000D8330000}"/>
    <cellStyle name="20% - 强调文字颜色 2 2 3 4 6 2" xfId="13274" xr:uid="{00000000-0005-0000-0000-0000D9330000}"/>
    <cellStyle name="20% - 强调文字颜色 2 2 3 4 7" xfId="13275" xr:uid="{00000000-0005-0000-0000-0000DA330000}"/>
    <cellStyle name="20% - 强调文字颜色 2 2 3 4 7 2" xfId="13276" xr:uid="{00000000-0005-0000-0000-0000DB330000}"/>
    <cellStyle name="20% - 强调文字颜色 2 2 3 5" xfId="13277" xr:uid="{00000000-0005-0000-0000-0000DC330000}"/>
    <cellStyle name="20% - 强调文字颜色 2 2 3 5 2" xfId="13278" xr:uid="{00000000-0005-0000-0000-0000DD330000}"/>
    <cellStyle name="20% - 强调文字颜色 2 2 3 5 2 2" xfId="13279" xr:uid="{00000000-0005-0000-0000-0000DE330000}"/>
    <cellStyle name="20% - 强调文字颜色 2 2 3 5 2 2 2" xfId="13280" xr:uid="{00000000-0005-0000-0000-0000DF330000}"/>
    <cellStyle name="20% - 强调文字颜色 2 2 3 5 2 2 2 2" xfId="13281" xr:uid="{00000000-0005-0000-0000-0000E0330000}"/>
    <cellStyle name="20% - 强调文字颜色 2 2 3 5 2 3" xfId="13282" xr:uid="{00000000-0005-0000-0000-0000E1330000}"/>
    <cellStyle name="20% - 强调文字颜色 2 2 3 5 2 3 2" xfId="13283" xr:uid="{00000000-0005-0000-0000-0000E2330000}"/>
    <cellStyle name="20% - 强调文字颜色 2 2 3 5 2 4" xfId="13284" xr:uid="{00000000-0005-0000-0000-0000E3330000}"/>
    <cellStyle name="20% - 强调文字颜色 2 2 3 5 2 4 2" xfId="13285" xr:uid="{00000000-0005-0000-0000-0000E4330000}"/>
    <cellStyle name="20% - 强调文字颜色 2 2 3 5 2 5" xfId="13286" xr:uid="{00000000-0005-0000-0000-0000E5330000}"/>
    <cellStyle name="20% - 强调文字颜色 2 2 3 5 3" xfId="13287" xr:uid="{00000000-0005-0000-0000-0000E6330000}"/>
    <cellStyle name="20% - 强调文字颜色 2 2 3 5 3 2" xfId="13288" xr:uid="{00000000-0005-0000-0000-0000E7330000}"/>
    <cellStyle name="20% - 强调文字颜色 2 2 3 5 3 2 2" xfId="13289" xr:uid="{00000000-0005-0000-0000-0000E8330000}"/>
    <cellStyle name="20% - 强调文字颜色 2 2 3 5 4" xfId="13290" xr:uid="{00000000-0005-0000-0000-0000E9330000}"/>
    <cellStyle name="20% - 强调文字颜色 2 2 3 5 4 2" xfId="13291" xr:uid="{00000000-0005-0000-0000-0000EA330000}"/>
    <cellStyle name="20% - 强调文字颜色 2 2 3 5 5" xfId="13292" xr:uid="{00000000-0005-0000-0000-0000EB330000}"/>
    <cellStyle name="20% - 强调文字颜色 2 2 3 5 5 2" xfId="13293" xr:uid="{00000000-0005-0000-0000-0000EC330000}"/>
    <cellStyle name="20% - 强调文字颜色 2 2 3 5 6" xfId="13294" xr:uid="{00000000-0005-0000-0000-0000ED330000}"/>
    <cellStyle name="20% - 强调文字颜色 2 2 3 6" xfId="13295" xr:uid="{00000000-0005-0000-0000-0000EE330000}"/>
    <cellStyle name="20% - 强调文字颜色 2 2 3 6 2" xfId="13296" xr:uid="{00000000-0005-0000-0000-0000EF330000}"/>
    <cellStyle name="20% - 强调文字颜色 2 2 3 6 2 2" xfId="13297" xr:uid="{00000000-0005-0000-0000-0000F0330000}"/>
    <cellStyle name="20% - 强调文字颜色 2 2 3 6 2 2 2" xfId="13298" xr:uid="{00000000-0005-0000-0000-0000F1330000}"/>
    <cellStyle name="20% - 强调文字颜色 2 2 3 6 3" xfId="13299" xr:uid="{00000000-0005-0000-0000-0000F2330000}"/>
    <cellStyle name="20% - 强调文字颜色 2 2 3 6 3 2" xfId="13300" xr:uid="{00000000-0005-0000-0000-0000F3330000}"/>
    <cellStyle name="20% - 强调文字颜色 2 2 3 6 4" xfId="13301" xr:uid="{00000000-0005-0000-0000-0000F4330000}"/>
    <cellStyle name="20% - 强调文字颜色 2 2 3 6 4 2" xfId="13302" xr:uid="{00000000-0005-0000-0000-0000F5330000}"/>
    <cellStyle name="20% - 强调文字颜色 2 2 3 6 5" xfId="13303" xr:uid="{00000000-0005-0000-0000-0000F6330000}"/>
    <cellStyle name="20% - 强调文字颜色 2 2 3 7" xfId="13304" xr:uid="{00000000-0005-0000-0000-0000F7330000}"/>
    <cellStyle name="20% - 强调文字颜色 2 2 3 7 2" xfId="13305" xr:uid="{00000000-0005-0000-0000-0000F8330000}"/>
    <cellStyle name="20% - 强调文字颜色 2 2 3 7 2 2" xfId="13306" xr:uid="{00000000-0005-0000-0000-0000F9330000}"/>
    <cellStyle name="20% - 强调文字颜色 2 2 3 7 2 2 2" xfId="13307" xr:uid="{00000000-0005-0000-0000-0000FA330000}"/>
    <cellStyle name="20% - 强调文字颜色 2 2 3 7 3" xfId="13308" xr:uid="{00000000-0005-0000-0000-0000FB330000}"/>
    <cellStyle name="20% - 强调文字颜色 2 2 3 7 3 2" xfId="13309" xr:uid="{00000000-0005-0000-0000-0000FC330000}"/>
    <cellStyle name="20% - 强调文字颜色 2 2 3 7 4" xfId="13310" xr:uid="{00000000-0005-0000-0000-0000FD330000}"/>
    <cellStyle name="20% - 强调文字颜色 2 2 3 7 4 2" xfId="13311" xr:uid="{00000000-0005-0000-0000-0000FE330000}"/>
    <cellStyle name="20% - 强调文字颜色 2 2 3 7 5" xfId="13312" xr:uid="{00000000-0005-0000-0000-0000FF330000}"/>
    <cellStyle name="20% - 强调文字颜色 2 2 3 8" xfId="13313" xr:uid="{00000000-0005-0000-0000-000000340000}"/>
    <cellStyle name="20% - 强调文字颜色 2 2 3 9" xfId="13314" xr:uid="{00000000-0005-0000-0000-000001340000}"/>
    <cellStyle name="20% - 强调文字颜色 2 2 3 9 2" xfId="13315" xr:uid="{00000000-0005-0000-0000-000002340000}"/>
    <cellStyle name="20% - 强调文字颜色 2 2 4" xfId="13316" xr:uid="{00000000-0005-0000-0000-000003340000}"/>
    <cellStyle name="20% - 强调文字颜色 2 2 4 2" xfId="13317" xr:uid="{00000000-0005-0000-0000-000004340000}"/>
    <cellStyle name="20% - 强调文字颜色 2 2 4 2 2" xfId="13318" xr:uid="{00000000-0005-0000-0000-000005340000}"/>
    <cellStyle name="20% - 强调文字颜色 2 2 4 2 3" xfId="13319" xr:uid="{00000000-0005-0000-0000-000006340000}"/>
    <cellStyle name="20% - 强调文字颜色 2 2 4 2 3 2" xfId="13320" xr:uid="{00000000-0005-0000-0000-000007340000}"/>
    <cellStyle name="20% - 强调文字颜色 2 2 4 2 3 2 2" xfId="13321" xr:uid="{00000000-0005-0000-0000-000008340000}"/>
    <cellStyle name="20% - 强调文字颜色 2 2 4 2 4" xfId="13322" xr:uid="{00000000-0005-0000-0000-000009340000}"/>
    <cellStyle name="20% - 强调文字颜色 2 2 4 2 4 2" xfId="13323" xr:uid="{00000000-0005-0000-0000-00000A340000}"/>
    <cellStyle name="20% - 强调文字颜色 2 2 4 2 5" xfId="13324" xr:uid="{00000000-0005-0000-0000-00000B340000}"/>
    <cellStyle name="20% - 强调文字颜色 2 2 4 2 5 2" xfId="13325" xr:uid="{00000000-0005-0000-0000-00000C340000}"/>
    <cellStyle name="20% - 强调文字颜色 2 2 4 2 6" xfId="13326" xr:uid="{00000000-0005-0000-0000-00000D340000}"/>
    <cellStyle name="20% - 强调文字颜色 2 2 4 3" xfId="13327" xr:uid="{00000000-0005-0000-0000-00000E340000}"/>
    <cellStyle name="20% - 强调文字颜色 2 2 4 3 2" xfId="13328" xr:uid="{00000000-0005-0000-0000-00000F340000}"/>
    <cellStyle name="20% - 强调文字颜色 2 2 4 3 2 2" xfId="13329" xr:uid="{00000000-0005-0000-0000-000010340000}"/>
    <cellStyle name="20% - 强调文字颜色 2 2 4 3 2 2 2" xfId="13330" xr:uid="{00000000-0005-0000-0000-000011340000}"/>
    <cellStyle name="20% - 强调文字颜色 2 2 4 3 3" xfId="13331" xr:uid="{00000000-0005-0000-0000-000012340000}"/>
    <cellStyle name="20% - 强调文字颜色 2 2 4 3 3 2" xfId="13332" xr:uid="{00000000-0005-0000-0000-000013340000}"/>
    <cellStyle name="20% - 强调文字颜色 2 2 4 3 4" xfId="13333" xr:uid="{00000000-0005-0000-0000-000014340000}"/>
    <cellStyle name="20% - 强调文字颜色 2 2 4 3 4 2" xfId="13334" xr:uid="{00000000-0005-0000-0000-000015340000}"/>
    <cellStyle name="20% - 强调文字颜色 2 2 4 3 5" xfId="13335" xr:uid="{00000000-0005-0000-0000-000016340000}"/>
    <cellStyle name="20% - 强调文字颜色 2 2 4 4" xfId="13336" xr:uid="{00000000-0005-0000-0000-000017340000}"/>
    <cellStyle name="20% - 强调文字颜色 2 2 4 5" xfId="13337" xr:uid="{00000000-0005-0000-0000-000018340000}"/>
    <cellStyle name="20% - 强调文字颜色 2 2 4 6" xfId="13338" xr:uid="{00000000-0005-0000-0000-000019340000}"/>
    <cellStyle name="20% - 强调文字颜色 2 2 4 6 2" xfId="13339" xr:uid="{00000000-0005-0000-0000-00001A340000}"/>
    <cellStyle name="20% - 强调文字颜色 2 2 4 7" xfId="13340" xr:uid="{00000000-0005-0000-0000-00001B340000}"/>
    <cellStyle name="20% - 强调文字颜色 2 2 4 7 2" xfId="13341" xr:uid="{00000000-0005-0000-0000-00001C340000}"/>
    <cellStyle name="20% - 强调文字颜色 2 2 5" xfId="13342" xr:uid="{00000000-0005-0000-0000-00001D340000}"/>
    <cellStyle name="20% - 强调文字颜色 2 2 5 2" xfId="13343" xr:uid="{00000000-0005-0000-0000-00001E340000}"/>
    <cellStyle name="20% - 强调文字颜色 2 2 5 2 2" xfId="13344" xr:uid="{00000000-0005-0000-0000-00001F340000}"/>
    <cellStyle name="20% - 强调文字颜色 2 2 5 2 3" xfId="13345" xr:uid="{00000000-0005-0000-0000-000020340000}"/>
    <cellStyle name="20% - 强调文字颜色 2 2 5 2 3 2" xfId="13346" xr:uid="{00000000-0005-0000-0000-000021340000}"/>
    <cellStyle name="20% - 强调文字颜色 2 2 5 2 3 2 2" xfId="13347" xr:uid="{00000000-0005-0000-0000-000022340000}"/>
    <cellStyle name="20% - 强调文字颜色 2 2 5 2 4" xfId="13348" xr:uid="{00000000-0005-0000-0000-000023340000}"/>
    <cellStyle name="20% - 强调文字颜色 2 2 5 2 4 2" xfId="13349" xr:uid="{00000000-0005-0000-0000-000024340000}"/>
    <cellStyle name="20% - 强调文字颜色 2 2 5 2 5" xfId="13350" xr:uid="{00000000-0005-0000-0000-000025340000}"/>
    <cellStyle name="20% - 强调文字颜色 2 2 5 2 5 2" xfId="13351" xr:uid="{00000000-0005-0000-0000-000026340000}"/>
    <cellStyle name="20% - 强调文字颜色 2 2 5 2 6" xfId="13352" xr:uid="{00000000-0005-0000-0000-000027340000}"/>
    <cellStyle name="20% - 强调文字颜色 2 2 5 3" xfId="13353" xr:uid="{00000000-0005-0000-0000-000028340000}"/>
    <cellStyle name="20% - 强调文字颜色 2 2 5 4" xfId="13354" xr:uid="{00000000-0005-0000-0000-000029340000}"/>
    <cellStyle name="20% - 强调文字颜色 2 2 5 5" xfId="13355" xr:uid="{00000000-0005-0000-0000-00002A340000}"/>
    <cellStyle name="20% - 强调文字颜色 2 2 5 6" xfId="13356" xr:uid="{00000000-0005-0000-0000-00002B340000}"/>
    <cellStyle name="20% - 强调文字颜色 2 2 5 6 2" xfId="13357" xr:uid="{00000000-0005-0000-0000-00002C340000}"/>
    <cellStyle name="20% - 强调文字颜色 2 2 5 7" xfId="13358" xr:uid="{00000000-0005-0000-0000-00002D340000}"/>
    <cellStyle name="20% - 强调文字颜色 2 2 5 7 2" xfId="13359" xr:uid="{00000000-0005-0000-0000-00002E340000}"/>
    <cellStyle name="20% - 强调文字颜色 2 2 6" xfId="13360" xr:uid="{00000000-0005-0000-0000-00002F340000}"/>
    <cellStyle name="20% - 强调文字颜色 2 2 6 2" xfId="13361" xr:uid="{00000000-0005-0000-0000-000030340000}"/>
    <cellStyle name="20% - 强调文字颜色 2 2 6 2 2" xfId="13362" xr:uid="{00000000-0005-0000-0000-000031340000}"/>
    <cellStyle name="20% - 强调文字颜色 2 2 6 2 2 2" xfId="13363" xr:uid="{00000000-0005-0000-0000-000032340000}"/>
    <cellStyle name="20% - 强调文字颜色 2 2 6 2 2 2 2" xfId="13364" xr:uid="{00000000-0005-0000-0000-000033340000}"/>
    <cellStyle name="20% - 强调文字颜色 2 2 6 2 3" xfId="13365" xr:uid="{00000000-0005-0000-0000-000034340000}"/>
    <cellStyle name="20% - 强调文字颜色 2 2 6 2 3 2" xfId="13366" xr:uid="{00000000-0005-0000-0000-000035340000}"/>
    <cellStyle name="20% - 强调文字颜色 2 2 6 2 4" xfId="13367" xr:uid="{00000000-0005-0000-0000-000036340000}"/>
    <cellStyle name="20% - 强调文字颜色 2 2 6 2 4 2" xfId="13368" xr:uid="{00000000-0005-0000-0000-000037340000}"/>
    <cellStyle name="20% - 强调文字颜色 2 2 6 2 5" xfId="13369" xr:uid="{00000000-0005-0000-0000-000038340000}"/>
    <cellStyle name="20% - 强调文字颜色 2 2 6 3" xfId="13370" xr:uid="{00000000-0005-0000-0000-000039340000}"/>
    <cellStyle name="20% - 强调文字颜色 2 2 6 3 2" xfId="13371" xr:uid="{00000000-0005-0000-0000-00003A340000}"/>
    <cellStyle name="20% - 强调文字颜色 2 2 6 3 2 2" xfId="13372" xr:uid="{00000000-0005-0000-0000-00003B340000}"/>
    <cellStyle name="20% - 强调文字颜色 2 2 6 4" xfId="13373" xr:uid="{00000000-0005-0000-0000-00003C340000}"/>
    <cellStyle name="20% - 强调文字颜色 2 2 6 4 2" xfId="13374" xr:uid="{00000000-0005-0000-0000-00003D340000}"/>
    <cellStyle name="20% - 强调文字颜色 2 2 6 5" xfId="13375" xr:uid="{00000000-0005-0000-0000-00003E340000}"/>
    <cellStyle name="20% - 强调文字颜色 2 2 6 5 2" xfId="13376" xr:uid="{00000000-0005-0000-0000-00003F340000}"/>
    <cellStyle name="20% - 强调文字颜色 2 2 6 6" xfId="13377" xr:uid="{00000000-0005-0000-0000-000040340000}"/>
    <cellStyle name="20% - 强调文字颜色 2 2 7" xfId="13378" xr:uid="{00000000-0005-0000-0000-000041340000}"/>
    <cellStyle name="20% - 强调文字颜色 2 2 7 2" xfId="13379" xr:uid="{00000000-0005-0000-0000-000042340000}"/>
    <cellStyle name="20% - 强调文字颜色 2 2 7 2 2" xfId="13380" xr:uid="{00000000-0005-0000-0000-000043340000}"/>
    <cellStyle name="20% - 强调文字颜色 2 2 7 2 2 2" xfId="13381" xr:uid="{00000000-0005-0000-0000-000044340000}"/>
    <cellStyle name="20% - 强调文字颜色 2 2 7 2 2 2 2" xfId="13382" xr:uid="{00000000-0005-0000-0000-000045340000}"/>
    <cellStyle name="20% - 强调文字颜色 2 2 7 2 3" xfId="13383" xr:uid="{00000000-0005-0000-0000-000046340000}"/>
    <cellStyle name="20% - 强调文字颜色 2 2 7 2 3 2" xfId="13384" xr:uid="{00000000-0005-0000-0000-000047340000}"/>
    <cellStyle name="20% - 强调文字颜色 2 2 7 2 4" xfId="13385" xr:uid="{00000000-0005-0000-0000-000048340000}"/>
    <cellStyle name="20% - 强调文字颜色 2 2 7 2 4 2" xfId="13386" xr:uid="{00000000-0005-0000-0000-000049340000}"/>
    <cellStyle name="20% - 强调文字颜色 2 2 7 2 5" xfId="13387" xr:uid="{00000000-0005-0000-0000-00004A340000}"/>
    <cellStyle name="20% - 强调文字颜色 2 2 7 3" xfId="13388" xr:uid="{00000000-0005-0000-0000-00004B340000}"/>
    <cellStyle name="20% - 强调文字颜色 2 2 7 3 2" xfId="13389" xr:uid="{00000000-0005-0000-0000-00004C340000}"/>
    <cellStyle name="20% - 强调文字颜色 2 2 7 3 2 2" xfId="13390" xr:uid="{00000000-0005-0000-0000-00004D340000}"/>
    <cellStyle name="20% - 强调文字颜色 2 2 7 4" xfId="13391" xr:uid="{00000000-0005-0000-0000-00004E340000}"/>
    <cellStyle name="20% - 强调文字颜色 2 2 7 4 2" xfId="13392" xr:uid="{00000000-0005-0000-0000-00004F340000}"/>
    <cellStyle name="20% - 强调文字颜色 2 2 7 5" xfId="13393" xr:uid="{00000000-0005-0000-0000-000050340000}"/>
    <cellStyle name="20% - 强调文字颜色 2 2 7 5 2" xfId="13394" xr:uid="{00000000-0005-0000-0000-000051340000}"/>
    <cellStyle name="20% - 强调文字颜色 2 2 7 6" xfId="13395" xr:uid="{00000000-0005-0000-0000-000052340000}"/>
    <cellStyle name="20% - 强调文字颜色 2 2 8" xfId="13396" xr:uid="{00000000-0005-0000-0000-000053340000}"/>
    <cellStyle name="20% - 强调文字颜色 2 2 8 2" xfId="13397" xr:uid="{00000000-0005-0000-0000-000054340000}"/>
    <cellStyle name="20% - 强调文字颜色 2 2 8 2 2" xfId="13398" xr:uid="{00000000-0005-0000-0000-000055340000}"/>
    <cellStyle name="20% - 强调文字颜色 2 2 8 2 2 2" xfId="13399" xr:uid="{00000000-0005-0000-0000-000056340000}"/>
    <cellStyle name="20% - 强调文字颜色 2 2 8 2 2 2 2" xfId="13400" xr:uid="{00000000-0005-0000-0000-000057340000}"/>
    <cellStyle name="20% - 强调文字颜色 2 2 8 2 3" xfId="13401" xr:uid="{00000000-0005-0000-0000-000058340000}"/>
    <cellStyle name="20% - 强调文字颜色 2 2 8 2 3 2" xfId="13402" xr:uid="{00000000-0005-0000-0000-000059340000}"/>
    <cellStyle name="20% - 强调文字颜色 2 2 8 2 4" xfId="13403" xr:uid="{00000000-0005-0000-0000-00005A340000}"/>
    <cellStyle name="20% - 强调文字颜色 2 2 8 2 4 2" xfId="13404" xr:uid="{00000000-0005-0000-0000-00005B340000}"/>
    <cellStyle name="20% - 强调文字颜色 2 2 8 2 5" xfId="13405" xr:uid="{00000000-0005-0000-0000-00005C340000}"/>
    <cellStyle name="20% - 强调文字颜色 2 2 8 3" xfId="13406" xr:uid="{00000000-0005-0000-0000-00005D340000}"/>
    <cellStyle name="20% - 强调文字颜色 2 2 8 3 2" xfId="13407" xr:uid="{00000000-0005-0000-0000-00005E340000}"/>
    <cellStyle name="20% - 强调文字颜色 2 2 8 3 2 2" xfId="13408" xr:uid="{00000000-0005-0000-0000-00005F340000}"/>
    <cellStyle name="20% - 强调文字颜色 2 2 8 4" xfId="13409" xr:uid="{00000000-0005-0000-0000-000060340000}"/>
    <cellStyle name="20% - 强调文字颜色 2 2 8 4 2" xfId="13410" xr:uid="{00000000-0005-0000-0000-000061340000}"/>
    <cellStyle name="20% - 强调文字颜色 2 2 8 5" xfId="13411" xr:uid="{00000000-0005-0000-0000-000062340000}"/>
    <cellStyle name="20% - 强调文字颜色 2 2 8 5 2" xfId="13412" xr:uid="{00000000-0005-0000-0000-000063340000}"/>
    <cellStyle name="20% - 强调文字颜色 2 2 8 6" xfId="13413" xr:uid="{00000000-0005-0000-0000-000064340000}"/>
    <cellStyle name="20% - 强调文字颜色 2 2 9" xfId="13414" xr:uid="{00000000-0005-0000-0000-000065340000}"/>
    <cellStyle name="20% - 强调文字颜色 2 2 9 2" xfId="13415" xr:uid="{00000000-0005-0000-0000-000066340000}"/>
    <cellStyle name="20% - 强调文字颜色 2 2 9 2 2" xfId="13416" xr:uid="{00000000-0005-0000-0000-000067340000}"/>
    <cellStyle name="20% - 强调文字颜色 2 2 9 2 2 2" xfId="13417" xr:uid="{00000000-0005-0000-0000-000068340000}"/>
    <cellStyle name="20% - 强调文字颜色 2 2 9 3" xfId="13418" xr:uid="{00000000-0005-0000-0000-000069340000}"/>
    <cellStyle name="20% - 强调文字颜色 2 2 9 3 2" xfId="13419" xr:uid="{00000000-0005-0000-0000-00006A340000}"/>
    <cellStyle name="20% - 强调文字颜色 2 2 9 4" xfId="13420" xr:uid="{00000000-0005-0000-0000-00006B340000}"/>
    <cellStyle name="20% - 强调文字颜色 2 2 9 4 2" xfId="13421" xr:uid="{00000000-0005-0000-0000-00006C340000}"/>
    <cellStyle name="20% - 强调文字颜色 2 2 9 5" xfId="13422" xr:uid="{00000000-0005-0000-0000-00006D340000}"/>
    <cellStyle name="20% - 强调文字颜色 2 3" xfId="13423" xr:uid="{00000000-0005-0000-0000-00006E340000}"/>
    <cellStyle name="20% - 强调文字颜色 2 3 2" xfId="13424" xr:uid="{00000000-0005-0000-0000-00006F340000}"/>
    <cellStyle name="20% - 强调文字颜色 2 3 2 2" xfId="13425" xr:uid="{00000000-0005-0000-0000-000070340000}"/>
    <cellStyle name="20% - 强调文字颜色 2 3 2 2 2" xfId="13426" xr:uid="{00000000-0005-0000-0000-000071340000}"/>
    <cellStyle name="20% - 强调文字颜色 2 3 2 2 2 2" xfId="13427" xr:uid="{00000000-0005-0000-0000-000072340000}"/>
    <cellStyle name="20% - 强调文字颜色 2 3 2 2 2 3" xfId="13428" xr:uid="{00000000-0005-0000-0000-000073340000}"/>
    <cellStyle name="20% - 强调文字颜色 2 3 2 2 2 3 2" xfId="13429" xr:uid="{00000000-0005-0000-0000-000074340000}"/>
    <cellStyle name="20% - 强调文字颜色 2 3 2 2 2 3 2 2" xfId="13430" xr:uid="{00000000-0005-0000-0000-000075340000}"/>
    <cellStyle name="20% - 强调文字颜色 2 3 2 2 2 4" xfId="13431" xr:uid="{00000000-0005-0000-0000-000076340000}"/>
    <cellStyle name="20% - 强调文字颜色 2 3 2 2 2 4 2" xfId="13432" xr:uid="{00000000-0005-0000-0000-000077340000}"/>
    <cellStyle name="20% - 强调文字颜色 2 3 2 2 2 5" xfId="13433" xr:uid="{00000000-0005-0000-0000-000078340000}"/>
    <cellStyle name="20% - 强调文字颜色 2 3 2 2 2 5 2" xfId="13434" xr:uid="{00000000-0005-0000-0000-000079340000}"/>
    <cellStyle name="20% - 强调文字颜色 2 3 2 2 2 6" xfId="13435" xr:uid="{00000000-0005-0000-0000-00007A340000}"/>
    <cellStyle name="20% - 强调文字颜色 2 3 2 2 3" xfId="13436" xr:uid="{00000000-0005-0000-0000-00007B340000}"/>
    <cellStyle name="20% - 强调文字颜色 2 3 2 2 3 2" xfId="13437" xr:uid="{00000000-0005-0000-0000-00007C340000}"/>
    <cellStyle name="20% - 强调文字颜色 2 3 2 2 3 2 2" xfId="13438" xr:uid="{00000000-0005-0000-0000-00007D340000}"/>
    <cellStyle name="20% - 强调文字颜色 2 3 2 2 3 2 2 2" xfId="13439" xr:uid="{00000000-0005-0000-0000-00007E340000}"/>
    <cellStyle name="20% - 强调文字颜色 2 3 2 2 3 3" xfId="13440" xr:uid="{00000000-0005-0000-0000-00007F340000}"/>
    <cellStyle name="20% - 强调文字颜色 2 3 2 2 3 3 2" xfId="13441" xr:uid="{00000000-0005-0000-0000-000080340000}"/>
    <cellStyle name="20% - 强调文字颜色 2 3 2 2 3 4" xfId="13442" xr:uid="{00000000-0005-0000-0000-000081340000}"/>
    <cellStyle name="20% - 强调文字颜色 2 3 2 2 3 4 2" xfId="13443" xr:uid="{00000000-0005-0000-0000-000082340000}"/>
    <cellStyle name="20% - 强调文字颜色 2 3 2 2 3 5" xfId="13444" xr:uid="{00000000-0005-0000-0000-000083340000}"/>
    <cellStyle name="20% - 强调文字颜色 2 3 2 2 4" xfId="13445" xr:uid="{00000000-0005-0000-0000-000084340000}"/>
    <cellStyle name="20% - 强调文字颜色 2 3 2 2 5" xfId="13446" xr:uid="{00000000-0005-0000-0000-000085340000}"/>
    <cellStyle name="20% - 强调文字颜色 2 3 2 2 6" xfId="13447" xr:uid="{00000000-0005-0000-0000-000086340000}"/>
    <cellStyle name="20% - 强调文字颜色 2 3 2 2 6 2" xfId="13448" xr:uid="{00000000-0005-0000-0000-000087340000}"/>
    <cellStyle name="20% - 强调文字颜色 2 3 2 2 7" xfId="13449" xr:uid="{00000000-0005-0000-0000-000088340000}"/>
    <cellStyle name="20% - 强调文字颜色 2 3 2 2 7 2" xfId="13450" xr:uid="{00000000-0005-0000-0000-000089340000}"/>
    <cellStyle name="20% - 强调文字颜色 2 3 2 3" xfId="13451" xr:uid="{00000000-0005-0000-0000-00008A340000}"/>
    <cellStyle name="20% - 强调文字颜色 2 3 2 3 2" xfId="13452" xr:uid="{00000000-0005-0000-0000-00008B340000}"/>
    <cellStyle name="20% - 强调文字颜色 2 3 2 3 3" xfId="13453" xr:uid="{00000000-0005-0000-0000-00008C340000}"/>
    <cellStyle name="20% - 强调文字颜色 2 3 2 3 3 2" xfId="13454" xr:uid="{00000000-0005-0000-0000-00008D340000}"/>
    <cellStyle name="20% - 强调文字颜色 2 3 2 3 3 2 2" xfId="13455" xr:uid="{00000000-0005-0000-0000-00008E340000}"/>
    <cellStyle name="20% - 强调文字颜色 2 3 2 3 4" xfId="13456" xr:uid="{00000000-0005-0000-0000-00008F340000}"/>
    <cellStyle name="20% - 强调文字颜色 2 3 2 3 4 2" xfId="13457" xr:uid="{00000000-0005-0000-0000-000090340000}"/>
    <cellStyle name="20% - 强调文字颜色 2 3 2 3 5" xfId="13458" xr:uid="{00000000-0005-0000-0000-000091340000}"/>
    <cellStyle name="20% - 强调文字颜色 2 3 2 3 5 2" xfId="13459" xr:uid="{00000000-0005-0000-0000-000092340000}"/>
    <cellStyle name="20% - 强调文字颜色 2 3 2 3 6" xfId="13460" xr:uid="{00000000-0005-0000-0000-000093340000}"/>
    <cellStyle name="20% - 强调文字颜色 2 3 2 4" xfId="13461" xr:uid="{00000000-0005-0000-0000-000094340000}"/>
    <cellStyle name="20% - 强调文字颜色 2 3 2 4 2" xfId="13462" xr:uid="{00000000-0005-0000-0000-000095340000}"/>
    <cellStyle name="20% - 强调文字颜色 2 3 2 4 2 2" xfId="13463" xr:uid="{00000000-0005-0000-0000-000096340000}"/>
    <cellStyle name="20% - 强调文字颜色 2 3 2 4 2 2 2" xfId="13464" xr:uid="{00000000-0005-0000-0000-000097340000}"/>
    <cellStyle name="20% - 强调文字颜色 2 3 2 4 3" xfId="13465" xr:uid="{00000000-0005-0000-0000-000098340000}"/>
    <cellStyle name="20% - 强调文字颜色 2 3 2 4 3 2" xfId="13466" xr:uid="{00000000-0005-0000-0000-000099340000}"/>
    <cellStyle name="20% - 强调文字颜色 2 3 2 4 4" xfId="13467" xr:uid="{00000000-0005-0000-0000-00009A340000}"/>
    <cellStyle name="20% - 强调文字颜色 2 3 2 4 4 2" xfId="13468" xr:uid="{00000000-0005-0000-0000-00009B340000}"/>
    <cellStyle name="20% - 强调文字颜色 2 3 2 4 5" xfId="13469" xr:uid="{00000000-0005-0000-0000-00009C340000}"/>
    <cellStyle name="20% - 强调文字颜色 2 3 2 5" xfId="13470" xr:uid="{00000000-0005-0000-0000-00009D340000}"/>
    <cellStyle name="20% - 强调文字颜色 2 3 2 6" xfId="13471" xr:uid="{00000000-0005-0000-0000-00009E340000}"/>
    <cellStyle name="20% - 强调文字颜色 2 3 2 7" xfId="13472" xr:uid="{00000000-0005-0000-0000-00009F340000}"/>
    <cellStyle name="20% - 强调文字颜色 2 3 2 7 2" xfId="13473" xr:uid="{00000000-0005-0000-0000-0000A0340000}"/>
    <cellStyle name="20% - 强调文字颜色 2 3 2 8" xfId="13474" xr:uid="{00000000-0005-0000-0000-0000A1340000}"/>
    <cellStyle name="20% - 强调文字颜色 2 3 2 8 2" xfId="13475" xr:uid="{00000000-0005-0000-0000-0000A2340000}"/>
    <cellStyle name="20% - 强调文字颜色 2 3 3" xfId="13476" xr:uid="{00000000-0005-0000-0000-0000A3340000}"/>
    <cellStyle name="20% - 强调文字颜色 2 3 3 2" xfId="13477" xr:uid="{00000000-0005-0000-0000-0000A4340000}"/>
    <cellStyle name="20% - 强调文字颜色 2 3 3 2 2" xfId="13478" xr:uid="{00000000-0005-0000-0000-0000A5340000}"/>
    <cellStyle name="20% - 强调文字颜色 2 3 3 2 3" xfId="13479" xr:uid="{00000000-0005-0000-0000-0000A6340000}"/>
    <cellStyle name="20% - 强调文字颜色 2 3 3 2 3 2" xfId="13480" xr:uid="{00000000-0005-0000-0000-0000A7340000}"/>
    <cellStyle name="20% - 强调文字颜色 2 3 3 2 3 2 2" xfId="13481" xr:uid="{00000000-0005-0000-0000-0000A8340000}"/>
    <cellStyle name="20% - 强调文字颜色 2 3 3 2 4" xfId="13482" xr:uid="{00000000-0005-0000-0000-0000A9340000}"/>
    <cellStyle name="20% - 强调文字颜色 2 3 3 2 4 2" xfId="13483" xr:uid="{00000000-0005-0000-0000-0000AA340000}"/>
    <cellStyle name="20% - 强调文字颜色 2 3 3 2 5" xfId="13484" xr:uid="{00000000-0005-0000-0000-0000AB340000}"/>
    <cellStyle name="20% - 强调文字颜色 2 3 3 2 5 2" xfId="13485" xr:uid="{00000000-0005-0000-0000-0000AC340000}"/>
    <cellStyle name="20% - 强调文字颜色 2 3 3 2 6" xfId="13486" xr:uid="{00000000-0005-0000-0000-0000AD340000}"/>
    <cellStyle name="20% - 强调文字颜色 2 3 3 3" xfId="13487" xr:uid="{00000000-0005-0000-0000-0000AE340000}"/>
    <cellStyle name="20% - 强调文字颜色 2 3 3 3 2" xfId="13488" xr:uid="{00000000-0005-0000-0000-0000AF340000}"/>
    <cellStyle name="20% - 强调文字颜色 2 3 3 3 2 2" xfId="13489" xr:uid="{00000000-0005-0000-0000-0000B0340000}"/>
    <cellStyle name="20% - 强调文字颜色 2 3 3 3 2 2 2" xfId="13490" xr:uid="{00000000-0005-0000-0000-0000B1340000}"/>
    <cellStyle name="20% - 强调文字颜色 2 3 3 3 3" xfId="13491" xr:uid="{00000000-0005-0000-0000-0000B2340000}"/>
    <cellStyle name="20% - 强调文字颜色 2 3 3 3 3 2" xfId="13492" xr:uid="{00000000-0005-0000-0000-0000B3340000}"/>
    <cellStyle name="20% - 强调文字颜色 2 3 3 3 4" xfId="13493" xr:uid="{00000000-0005-0000-0000-0000B4340000}"/>
    <cellStyle name="20% - 强调文字颜色 2 3 3 3 4 2" xfId="13494" xr:uid="{00000000-0005-0000-0000-0000B5340000}"/>
    <cellStyle name="20% - 强调文字颜色 2 3 3 3 5" xfId="13495" xr:uid="{00000000-0005-0000-0000-0000B6340000}"/>
    <cellStyle name="20% - 强调文字颜色 2 3 3 4" xfId="13496" xr:uid="{00000000-0005-0000-0000-0000B7340000}"/>
    <cellStyle name="20% - 强调文字颜色 2 3 3 5" xfId="13497" xr:uid="{00000000-0005-0000-0000-0000B8340000}"/>
    <cellStyle name="20% - 强调文字颜色 2 3 3 6" xfId="13498" xr:uid="{00000000-0005-0000-0000-0000B9340000}"/>
    <cellStyle name="20% - 强调文字颜色 2 3 3 6 2" xfId="13499" xr:uid="{00000000-0005-0000-0000-0000BA340000}"/>
    <cellStyle name="20% - 强调文字颜色 2 3 3 7" xfId="13500" xr:uid="{00000000-0005-0000-0000-0000BB340000}"/>
    <cellStyle name="20% - 强调文字颜色 2 3 3 7 2" xfId="13501" xr:uid="{00000000-0005-0000-0000-0000BC340000}"/>
    <cellStyle name="20% - 强调文字颜色 2 3 4" xfId="13502" xr:uid="{00000000-0005-0000-0000-0000BD340000}"/>
    <cellStyle name="20% - 强调文字颜色 2 3 4 2" xfId="13503" xr:uid="{00000000-0005-0000-0000-0000BE340000}"/>
    <cellStyle name="20% - 强调文字颜色 2 3 4 2 2" xfId="13504" xr:uid="{00000000-0005-0000-0000-0000BF340000}"/>
    <cellStyle name="20% - 强调文字颜色 2 3 4 2 3" xfId="13505" xr:uid="{00000000-0005-0000-0000-0000C0340000}"/>
    <cellStyle name="20% - 强调文字颜色 2 3 4 2 3 2" xfId="13506" xr:uid="{00000000-0005-0000-0000-0000C1340000}"/>
    <cellStyle name="20% - 强调文字颜色 2 3 4 2 3 2 2" xfId="13507" xr:uid="{00000000-0005-0000-0000-0000C2340000}"/>
    <cellStyle name="20% - 强调文字颜色 2 3 4 2 4" xfId="13508" xr:uid="{00000000-0005-0000-0000-0000C3340000}"/>
    <cellStyle name="20% - 强调文字颜色 2 3 4 2 4 2" xfId="13509" xr:uid="{00000000-0005-0000-0000-0000C4340000}"/>
    <cellStyle name="20% - 强调文字颜色 2 3 4 2 5" xfId="13510" xr:uid="{00000000-0005-0000-0000-0000C5340000}"/>
    <cellStyle name="20% - 强调文字颜色 2 3 4 2 5 2" xfId="13511" xr:uid="{00000000-0005-0000-0000-0000C6340000}"/>
    <cellStyle name="20% - 强调文字颜色 2 3 4 2 6" xfId="13512" xr:uid="{00000000-0005-0000-0000-0000C7340000}"/>
    <cellStyle name="20% - 强调文字颜色 2 3 4 3" xfId="13513" xr:uid="{00000000-0005-0000-0000-0000C8340000}"/>
    <cellStyle name="20% - 强调文字颜色 2 3 4 4" xfId="13514" xr:uid="{00000000-0005-0000-0000-0000C9340000}"/>
    <cellStyle name="20% - 强调文字颜色 2 3 4 5" xfId="13515" xr:uid="{00000000-0005-0000-0000-0000CA340000}"/>
    <cellStyle name="20% - 强调文字颜色 2 3 4 6" xfId="13516" xr:uid="{00000000-0005-0000-0000-0000CB340000}"/>
    <cellStyle name="20% - 强调文字颜色 2 3 4 6 2" xfId="13517" xr:uid="{00000000-0005-0000-0000-0000CC340000}"/>
    <cellStyle name="20% - 强调文字颜色 2 3 4 7" xfId="13518" xr:uid="{00000000-0005-0000-0000-0000CD340000}"/>
    <cellStyle name="20% - 强调文字颜色 2 3 4 7 2" xfId="13519" xr:uid="{00000000-0005-0000-0000-0000CE340000}"/>
    <cellStyle name="20% - 强调文字颜色 2 3 5" xfId="13520" xr:uid="{00000000-0005-0000-0000-0000CF340000}"/>
    <cellStyle name="20% - 强调文字颜色 2 3 5 2" xfId="13521" xr:uid="{00000000-0005-0000-0000-0000D0340000}"/>
    <cellStyle name="20% - 强调文字颜色 2 3 5 2 2" xfId="13522" xr:uid="{00000000-0005-0000-0000-0000D1340000}"/>
    <cellStyle name="20% - 强调文字颜色 2 3 5 2 2 2" xfId="13523" xr:uid="{00000000-0005-0000-0000-0000D2340000}"/>
    <cellStyle name="20% - 强调文字颜色 2 3 5 2 2 2 2" xfId="13524" xr:uid="{00000000-0005-0000-0000-0000D3340000}"/>
    <cellStyle name="20% - 强调文字颜色 2 3 5 2 3" xfId="13525" xr:uid="{00000000-0005-0000-0000-0000D4340000}"/>
    <cellStyle name="20% - 强调文字颜色 2 3 5 2 3 2" xfId="13526" xr:uid="{00000000-0005-0000-0000-0000D5340000}"/>
    <cellStyle name="20% - 强调文字颜色 2 3 5 2 4" xfId="13527" xr:uid="{00000000-0005-0000-0000-0000D6340000}"/>
    <cellStyle name="20% - 强调文字颜色 2 3 5 2 4 2" xfId="13528" xr:uid="{00000000-0005-0000-0000-0000D7340000}"/>
    <cellStyle name="20% - 强调文字颜色 2 3 5 2 5" xfId="13529" xr:uid="{00000000-0005-0000-0000-0000D8340000}"/>
    <cellStyle name="20% - 强调文字颜色 2 3 5 3" xfId="13530" xr:uid="{00000000-0005-0000-0000-0000D9340000}"/>
    <cellStyle name="20% - 强调文字颜色 2 3 5 3 2" xfId="13531" xr:uid="{00000000-0005-0000-0000-0000DA340000}"/>
    <cellStyle name="20% - 强调文字颜色 2 3 5 3 2 2" xfId="13532" xr:uid="{00000000-0005-0000-0000-0000DB340000}"/>
    <cellStyle name="20% - 强调文字颜色 2 3 5 4" xfId="13533" xr:uid="{00000000-0005-0000-0000-0000DC340000}"/>
    <cellStyle name="20% - 强调文字颜色 2 3 5 4 2" xfId="13534" xr:uid="{00000000-0005-0000-0000-0000DD340000}"/>
    <cellStyle name="20% - 强调文字颜色 2 3 5 5" xfId="13535" xr:uid="{00000000-0005-0000-0000-0000DE340000}"/>
    <cellStyle name="20% - 强调文字颜色 2 3 5 5 2" xfId="13536" xr:uid="{00000000-0005-0000-0000-0000DF340000}"/>
    <cellStyle name="20% - 强调文字颜色 2 3 5 6" xfId="13537" xr:uid="{00000000-0005-0000-0000-0000E0340000}"/>
    <cellStyle name="20% - 强调文字颜色 2 3 6" xfId="13538" xr:uid="{00000000-0005-0000-0000-0000E1340000}"/>
    <cellStyle name="20% - 强调文字颜色 2 3 6 2" xfId="13539" xr:uid="{00000000-0005-0000-0000-0000E2340000}"/>
    <cellStyle name="20% - 强调文字颜色 2 3 6 2 2" xfId="13540" xr:uid="{00000000-0005-0000-0000-0000E3340000}"/>
    <cellStyle name="20% - 强调文字颜色 2 3 6 2 2 2" xfId="13541" xr:uid="{00000000-0005-0000-0000-0000E4340000}"/>
    <cellStyle name="20% - 强调文字颜色 2 3 6 3" xfId="13542" xr:uid="{00000000-0005-0000-0000-0000E5340000}"/>
    <cellStyle name="20% - 强调文字颜色 2 3 6 3 2" xfId="13543" xr:uid="{00000000-0005-0000-0000-0000E6340000}"/>
    <cellStyle name="20% - 强调文字颜色 2 3 6 4" xfId="13544" xr:uid="{00000000-0005-0000-0000-0000E7340000}"/>
    <cellStyle name="20% - 强调文字颜色 2 3 6 4 2" xfId="13545" xr:uid="{00000000-0005-0000-0000-0000E8340000}"/>
    <cellStyle name="20% - 强调文字颜色 2 3 6 5" xfId="13546" xr:uid="{00000000-0005-0000-0000-0000E9340000}"/>
    <cellStyle name="20% - 强调文字颜色 2 3 7" xfId="13547" xr:uid="{00000000-0005-0000-0000-0000EA340000}"/>
    <cellStyle name="20% - 强调文字颜色 2 3 8" xfId="13548" xr:uid="{00000000-0005-0000-0000-0000EB340000}"/>
    <cellStyle name="20% - 强调文字颜色 2 3 8 2" xfId="13549" xr:uid="{00000000-0005-0000-0000-0000EC340000}"/>
    <cellStyle name="20% - 强调文字颜色 2 3 9" xfId="13550" xr:uid="{00000000-0005-0000-0000-0000ED340000}"/>
    <cellStyle name="20% - 强调文字颜色 2 3 9 2" xfId="13551" xr:uid="{00000000-0005-0000-0000-0000EE340000}"/>
    <cellStyle name="20% - 强调文字颜色 3 2" xfId="13552" xr:uid="{00000000-0005-0000-0000-0000EF340000}"/>
    <cellStyle name="20% - 强调文字颜色 3 2 10" xfId="13553" xr:uid="{00000000-0005-0000-0000-0000F0340000}"/>
    <cellStyle name="20% - 强调文字颜色 3 2 11" xfId="13554" xr:uid="{00000000-0005-0000-0000-0000F1340000}"/>
    <cellStyle name="20% - 强调文字颜色 3 2 11 2" xfId="13555" xr:uid="{00000000-0005-0000-0000-0000F2340000}"/>
    <cellStyle name="20% - 强调文字颜色 3 2 12" xfId="13556" xr:uid="{00000000-0005-0000-0000-0000F3340000}"/>
    <cellStyle name="20% - 强调文字颜色 3 2 12 2" xfId="13557" xr:uid="{00000000-0005-0000-0000-0000F4340000}"/>
    <cellStyle name="20% - 强调文字颜色 3 2 2" xfId="13558" xr:uid="{00000000-0005-0000-0000-0000F5340000}"/>
    <cellStyle name="20% - 强调文字颜色 3 2 2 10" xfId="13559" xr:uid="{00000000-0005-0000-0000-0000F6340000}"/>
    <cellStyle name="20% - 强调文字颜色 3 2 2 11" xfId="13560" xr:uid="{00000000-0005-0000-0000-0000F7340000}"/>
    <cellStyle name="20% - 强调文字颜色 3 2 2 11 2" xfId="13561" xr:uid="{00000000-0005-0000-0000-0000F8340000}"/>
    <cellStyle name="20% - 强调文字颜色 3 2 2 12" xfId="13562" xr:uid="{00000000-0005-0000-0000-0000F9340000}"/>
    <cellStyle name="20% - 强调文字颜色 3 2 2 12 2" xfId="13563" xr:uid="{00000000-0005-0000-0000-0000FA340000}"/>
    <cellStyle name="20% - 强调文字颜色 3 2 2 2" xfId="13564" xr:uid="{00000000-0005-0000-0000-0000FB340000}"/>
    <cellStyle name="20% - 强调文字颜色 3 2 2 2 2" xfId="13565" xr:uid="{00000000-0005-0000-0000-0000FC340000}"/>
    <cellStyle name="20% - 强调文字颜色 3 2 2 2 2 2" xfId="13566" xr:uid="{00000000-0005-0000-0000-0000FD340000}"/>
    <cellStyle name="20% - 强调文字颜色 3 2 2 2 2 2 2" xfId="13567" xr:uid="{00000000-0005-0000-0000-0000FE340000}"/>
    <cellStyle name="20% - 强调文字颜色 3 2 2 2 2 2 3" xfId="13568" xr:uid="{00000000-0005-0000-0000-0000FF340000}"/>
    <cellStyle name="20% - 强调文字颜色 3 2 2 2 2 2 3 2" xfId="13569" xr:uid="{00000000-0005-0000-0000-000000350000}"/>
    <cellStyle name="20% - 强调文字颜色 3 2 2 2 2 2 3 2 2" xfId="13570" xr:uid="{00000000-0005-0000-0000-000001350000}"/>
    <cellStyle name="20% - 强调文字颜色 3 2 2 2 2 2 4" xfId="13571" xr:uid="{00000000-0005-0000-0000-000002350000}"/>
    <cellStyle name="20% - 强调文字颜色 3 2 2 2 2 2 4 2" xfId="13572" xr:uid="{00000000-0005-0000-0000-000003350000}"/>
    <cellStyle name="20% - 强调文字颜色 3 2 2 2 2 2 5" xfId="13573" xr:uid="{00000000-0005-0000-0000-000004350000}"/>
    <cellStyle name="20% - 强调文字颜色 3 2 2 2 2 2 5 2" xfId="13574" xr:uid="{00000000-0005-0000-0000-000005350000}"/>
    <cellStyle name="20% - 强调文字颜色 3 2 2 2 2 2 6" xfId="13575" xr:uid="{00000000-0005-0000-0000-000006350000}"/>
    <cellStyle name="20% - 强调文字颜色 3 2 2 2 2 3" xfId="13576" xr:uid="{00000000-0005-0000-0000-000007350000}"/>
    <cellStyle name="20% - 强调文字颜色 3 2 2 2 2 3 2" xfId="13577" xr:uid="{00000000-0005-0000-0000-000008350000}"/>
    <cellStyle name="20% - 强调文字颜色 3 2 2 2 2 3 2 2" xfId="13578" xr:uid="{00000000-0005-0000-0000-000009350000}"/>
    <cellStyle name="20% - 强调文字颜色 3 2 2 2 2 3 2 2 2" xfId="13579" xr:uid="{00000000-0005-0000-0000-00000A350000}"/>
    <cellStyle name="20% - 强调文字颜色 3 2 2 2 2 3 3" xfId="13580" xr:uid="{00000000-0005-0000-0000-00000B350000}"/>
    <cellStyle name="20% - 强调文字颜色 3 2 2 2 2 3 3 2" xfId="13581" xr:uid="{00000000-0005-0000-0000-00000C350000}"/>
    <cellStyle name="20% - 强调文字颜色 3 2 2 2 2 3 4" xfId="13582" xr:uid="{00000000-0005-0000-0000-00000D350000}"/>
    <cellStyle name="20% - 强调文字颜色 3 2 2 2 2 3 4 2" xfId="13583" xr:uid="{00000000-0005-0000-0000-00000E350000}"/>
    <cellStyle name="20% - 强调文字颜色 3 2 2 2 2 3 5" xfId="13584" xr:uid="{00000000-0005-0000-0000-00000F350000}"/>
    <cellStyle name="20% - 强调文字颜色 3 2 2 2 2 4" xfId="13585" xr:uid="{00000000-0005-0000-0000-000010350000}"/>
    <cellStyle name="20% - 强调文字颜色 3 2 2 2 2 5" xfId="13586" xr:uid="{00000000-0005-0000-0000-000011350000}"/>
    <cellStyle name="20% - 强调文字颜色 3 2 2 2 2 6" xfId="13587" xr:uid="{00000000-0005-0000-0000-000012350000}"/>
    <cellStyle name="20% - 强调文字颜色 3 2 2 2 2 6 2" xfId="13588" xr:uid="{00000000-0005-0000-0000-000013350000}"/>
    <cellStyle name="20% - 强调文字颜色 3 2 2 2 2 7" xfId="13589" xr:uid="{00000000-0005-0000-0000-000014350000}"/>
    <cellStyle name="20% - 强调文字颜色 3 2 2 2 2 7 2" xfId="13590" xr:uid="{00000000-0005-0000-0000-000015350000}"/>
    <cellStyle name="20% - 强调文字颜色 3 2 2 2 3" xfId="13591" xr:uid="{00000000-0005-0000-0000-000016350000}"/>
    <cellStyle name="20% - 强调文字颜色 3 2 2 2 3 2" xfId="13592" xr:uid="{00000000-0005-0000-0000-000017350000}"/>
    <cellStyle name="20% - 强调文字颜色 3 2 2 2 3 3" xfId="13593" xr:uid="{00000000-0005-0000-0000-000018350000}"/>
    <cellStyle name="20% - 强调文字颜色 3 2 2 2 3 3 2" xfId="13594" xr:uid="{00000000-0005-0000-0000-000019350000}"/>
    <cellStyle name="20% - 强调文字颜色 3 2 2 2 3 3 2 2" xfId="13595" xr:uid="{00000000-0005-0000-0000-00001A350000}"/>
    <cellStyle name="20% - 强调文字颜色 3 2 2 2 3 4" xfId="13596" xr:uid="{00000000-0005-0000-0000-00001B350000}"/>
    <cellStyle name="20% - 强调文字颜色 3 2 2 2 3 4 2" xfId="13597" xr:uid="{00000000-0005-0000-0000-00001C350000}"/>
    <cellStyle name="20% - 强调文字颜色 3 2 2 2 3 5" xfId="13598" xr:uid="{00000000-0005-0000-0000-00001D350000}"/>
    <cellStyle name="20% - 强调文字颜色 3 2 2 2 3 5 2" xfId="13599" xr:uid="{00000000-0005-0000-0000-00001E350000}"/>
    <cellStyle name="20% - 强调文字颜色 3 2 2 2 3 6" xfId="13600" xr:uid="{00000000-0005-0000-0000-00001F350000}"/>
    <cellStyle name="20% - 强调文字颜色 3 2 2 2 4" xfId="13601" xr:uid="{00000000-0005-0000-0000-000020350000}"/>
    <cellStyle name="20% - 强调文字颜色 3 2 2 2 4 2" xfId="13602" xr:uid="{00000000-0005-0000-0000-000021350000}"/>
    <cellStyle name="20% - 强调文字颜色 3 2 2 2 4 2 2" xfId="13603" xr:uid="{00000000-0005-0000-0000-000022350000}"/>
    <cellStyle name="20% - 强调文字颜色 3 2 2 2 4 2 2 2" xfId="13604" xr:uid="{00000000-0005-0000-0000-000023350000}"/>
    <cellStyle name="20% - 强调文字颜色 3 2 2 2 4 3" xfId="13605" xr:uid="{00000000-0005-0000-0000-000024350000}"/>
    <cellStyle name="20% - 强调文字颜色 3 2 2 2 4 3 2" xfId="13606" xr:uid="{00000000-0005-0000-0000-000025350000}"/>
    <cellStyle name="20% - 强调文字颜色 3 2 2 2 4 4" xfId="13607" xr:uid="{00000000-0005-0000-0000-000026350000}"/>
    <cellStyle name="20% - 强调文字颜色 3 2 2 2 4 4 2" xfId="13608" xr:uid="{00000000-0005-0000-0000-000027350000}"/>
    <cellStyle name="20% - 强调文字颜色 3 2 2 2 4 5" xfId="13609" xr:uid="{00000000-0005-0000-0000-000028350000}"/>
    <cellStyle name="20% - 强调文字颜色 3 2 2 2 5" xfId="13610" xr:uid="{00000000-0005-0000-0000-000029350000}"/>
    <cellStyle name="20% - 强调文字颜色 3 2 2 2 6" xfId="13611" xr:uid="{00000000-0005-0000-0000-00002A350000}"/>
    <cellStyle name="20% - 强调文字颜色 3 2 2 2 7" xfId="13612" xr:uid="{00000000-0005-0000-0000-00002B350000}"/>
    <cellStyle name="20% - 强调文字颜色 3 2 2 2 7 2" xfId="13613" xr:uid="{00000000-0005-0000-0000-00002C350000}"/>
    <cellStyle name="20% - 强调文字颜色 3 2 2 2 8" xfId="13614" xr:uid="{00000000-0005-0000-0000-00002D350000}"/>
    <cellStyle name="20% - 强调文字颜色 3 2 2 2 8 2" xfId="13615" xr:uid="{00000000-0005-0000-0000-00002E350000}"/>
    <cellStyle name="20% - 强调文字颜色 3 2 2 3" xfId="13616" xr:uid="{00000000-0005-0000-0000-00002F350000}"/>
    <cellStyle name="20% - 强调文字颜色 3 2 2 3 2" xfId="13617" xr:uid="{00000000-0005-0000-0000-000030350000}"/>
    <cellStyle name="20% - 强调文字颜色 3 2 2 3 2 2" xfId="13618" xr:uid="{00000000-0005-0000-0000-000031350000}"/>
    <cellStyle name="20% - 强调文字颜色 3 2 2 3 2 3" xfId="13619" xr:uid="{00000000-0005-0000-0000-000032350000}"/>
    <cellStyle name="20% - 强调文字颜色 3 2 2 3 2 3 2" xfId="13620" xr:uid="{00000000-0005-0000-0000-000033350000}"/>
    <cellStyle name="20% - 强调文字颜色 3 2 2 3 2 3 2 2" xfId="13621" xr:uid="{00000000-0005-0000-0000-000034350000}"/>
    <cellStyle name="20% - 强调文字颜色 3 2 2 3 2 4" xfId="13622" xr:uid="{00000000-0005-0000-0000-000035350000}"/>
    <cellStyle name="20% - 强调文字颜色 3 2 2 3 2 4 2" xfId="13623" xr:uid="{00000000-0005-0000-0000-000036350000}"/>
    <cellStyle name="20% - 强调文字颜色 3 2 2 3 2 5" xfId="13624" xr:uid="{00000000-0005-0000-0000-000037350000}"/>
    <cellStyle name="20% - 强调文字颜色 3 2 2 3 2 5 2" xfId="13625" xr:uid="{00000000-0005-0000-0000-000038350000}"/>
    <cellStyle name="20% - 强调文字颜色 3 2 2 3 2 6" xfId="13626" xr:uid="{00000000-0005-0000-0000-000039350000}"/>
    <cellStyle name="20% - 强调文字颜色 3 2 2 3 3" xfId="13627" xr:uid="{00000000-0005-0000-0000-00003A350000}"/>
    <cellStyle name="20% - 强调文字颜色 3 2 2 3 3 2" xfId="13628" xr:uid="{00000000-0005-0000-0000-00003B350000}"/>
    <cellStyle name="20% - 强调文字颜色 3 2 2 3 3 2 2" xfId="13629" xr:uid="{00000000-0005-0000-0000-00003C350000}"/>
    <cellStyle name="20% - 强调文字颜色 3 2 2 3 3 2 2 2" xfId="13630" xr:uid="{00000000-0005-0000-0000-00003D350000}"/>
    <cellStyle name="20% - 强调文字颜色 3 2 2 3 3 3" xfId="13631" xr:uid="{00000000-0005-0000-0000-00003E350000}"/>
    <cellStyle name="20% - 强调文字颜色 3 2 2 3 3 3 2" xfId="13632" xr:uid="{00000000-0005-0000-0000-00003F350000}"/>
    <cellStyle name="20% - 强调文字颜色 3 2 2 3 3 4" xfId="13633" xr:uid="{00000000-0005-0000-0000-000040350000}"/>
    <cellStyle name="20% - 强调文字颜色 3 2 2 3 3 4 2" xfId="13634" xr:uid="{00000000-0005-0000-0000-000041350000}"/>
    <cellStyle name="20% - 强调文字颜色 3 2 2 3 3 5" xfId="13635" xr:uid="{00000000-0005-0000-0000-000042350000}"/>
    <cellStyle name="20% - 强调文字颜色 3 2 2 3 4" xfId="13636" xr:uid="{00000000-0005-0000-0000-000043350000}"/>
    <cellStyle name="20% - 强调文字颜色 3 2 2 3 5" xfId="13637" xr:uid="{00000000-0005-0000-0000-000044350000}"/>
    <cellStyle name="20% - 强调文字颜色 3 2 2 3 6" xfId="13638" xr:uid="{00000000-0005-0000-0000-000045350000}"/>
    <cellStyle name="20% - 强调文字颜色 3 2 2 3 6 2" xfId="13639" xr:uid="{00000000-0005-0000-0000-000046350000}"/>
    <cellStyle name="20% - 强调文字颜色 3 2 2 3 7" xfId="13640" xr:uid="{00000000-0005-0000-0000-000047350000}"/>
    <cellStyle name="20% - 强调文字颜色 3 2 2 3 7 2" xfId="13641" xr:uid="{00000000-0005-0000-0000-000048350000}"/>
    <cellStyle name="20% - 强调文字颜色 3 2 2 4" xfId="13642" xr:uid="{00000000-0005-0000-0000-000049350000}"/>
    <cellStyle name="20% - 强调文字颜色 3 2 2 4 2" xfId="13643" xr:uid="{00000000-0005-0000-0000-00004A350000}"/>
    <cellStyle name="20% - 强调文字颜色 3 2 2 4 2 2" xfId="13644" xr:uid="{00000000-0005-0000-0000-00004B350000}"/>
    <cellStyle name="20% - 强调文字颜色 3 2 2 4 2 3" xfId="13645" xr:uid="{00000000-0005-0000-0000-00004C350000}"/>
    <cellStyle name="20% - 强调文字颜色 3 2 2 4 2 3 2" xfId="13646" xr:uid="{00000000-0005-0000-0000-00004D350000}"/>
    <cellStyle name="20% - 强调文字颜色 3 2 2 4 2 3 2 2" xfId="13647" xr:uid="{00000000-0005-0000-0000-00004E350000}"/>
    <cellStyle name="20% - 强调文字颜色 3 2 2 4 2 4" xfId="13648" xr:uid="{00000000-0005-0000-0000-00004F350000}"/>
    <cellStyle name="20% - 强调文字颜色 3 2 2 4 2 4 2" xfId="13649" xr:uid="{00000000-0005-0000-0000-000050350000}"/>
    <cellStyle name="20% - 强调文字颜色 3 2 2 4 2 5" xfId="13650" xr:uid="{00000000-0005-0000-0000-000051350000}"/>
    <cellStyle name="20% - 强调文字颜色 3 2 2 4 2 5 2" xfId="13651" xr:uid="{00000000-0005-0000-0000-000052350000}"/>
    <cellStyle name="20% - 强调文字颜色 3 2 2 4 2 6" xfId="13652" xr:uid="{00000000-0005-0000-0000-000053350000}"/>
    <cellStyle name="20% - 强调文字颜色 3 2 2 4 3" xfId="13653" xr:uid="{00000000-0005-0000-0000-000054350000}"/>
    <cellStyle name="20% - 强调文字颜色 3 2 2 4 4" xfId="13654" xr:uid="{00000000-0005-0000-0000-000055350000}"/>
    <cellStyle name="20% - 强调文字颜色 3 2 2 4 5" xfId="13655" xr:uid="{00000000-0005-0000-0000-000056350000}"/>
    <cellStyle name="20% - 强调文字颜色 3 2 2 4 6" xfId="13656" xr:uid="{00000000-0005-0000-0000-000057350000}"/>
    <cellStyle name="20% - 强调文字颜色 3 2 2 4 6 2" xfId="13657" xr:uid="{00000000-0005-0000-0000-000058350000}"/>
    <cellStyle name="20% - 强调文字颜色 3 2 2 4 7" xfId="13658" xr:uid="{00000000-0005-0000-0000-000059350000}"/>
    <cellStyle name="20% - 强调文字颜色 3 2 2 4 7 2" xfId="13659" xr:uid="{00000000-0005-0000-0000-00005A350000}"/>
    <cellStyle name="20% - 强调文字颜色 3 2 2 5" xfId="13660" xr:uid="{00000000-0005-0000-0000-00005B350000}"/>
    <cellStyle name="20% - 强调文字颜色 3 2 2 5 2" xfId="13661" xr:uid="{00000000-0005-0000-0000-00005C350000}"/>
    <cellStyle name="20% - 强调文字颜色 3 2 2 5 2 2" xfId="13662" xr:uid="{00000000-0005-0000-0000-00005D350000}"/>
    <cellStyle name="20% - 强调文字颜色 3 2 2 5 2 2 2" xfId="13663" xr:uid="{00000000-0005-0000-0000-00005E350000}"/>
    <cellStyle name="20% - 强调文字颜色 3 2 2 5 2 2 2 2" xfId="13664" xr:uid="{00000000-0005-0000-0000-00005F350000}"/>
    <cellStyle name="20% - 强调文字颜色 3 2 2 5 2 3" xfId="13665" xr:uid="{00000000-0005-0000-0000-000060350000}"/>
    <cellStyle name="20% - 强调文字颜色 3 2 2 5 2 3 2" xfId="13666" xr:uid="{00000000-0005-0000-0000-000061350000}"/>
    <cellStyle name="20% - 强调文字颜色 3 2 2 5 2 4" xfId="13667" xr:uid="{00000000-0005-0000-0000-000062350000}"/>
    <cellStyle name="20% - 强调文字颜色 3 2 2 5 2 4 2" xfId="13668" xr:uid="{00000000-0005-0000-0000-000063350000}"/>
    <cellStyle name="20% - 强调文字颜色 3 2 2 5 2 5" xfId="13669" xr:uid="{00000000-0005-0000-0000-000064350000}"/>
    <cellStyle name="20% - 强调文字颜色 3 2 2 5 3" xfId="13670" xr:uid="{00000000-0005-0000-0000-000065350000}"/>
    <cellStyle name="20% - 强调文字颜色 3 2 2 5 3 2" xfId="13671" xr:uid="{00000000-0005-0000-0000-000066350000}"/>
    <cellStyle name="20% - 强调文字颜色 3 2 2 5 3 2 2" xfId="13672" xr:uid="{00000000-0005-0000-0000-000067350000}"/>
    <cellStyle name="20% - 强调文字颜色 3 2 2 5 4" xfId="13673" xr:uid="{00000000-0005-0000-0000-000068350000}"/>
    <cellStyle name="20% - 强调文字颜色 3 2 2 5 4 2" xfId="13674" xr:uid="{00000000-0005-0000-0000-000069350000}"/>
    <cellStyle name="20% - 强调文字颜色 3 2 2 5 5" xfId="13675" xr:uid="{00000000-0005-0000-0000-00006A350000}"/>
    <cellStyle name="20% - 强调文字颜色 3 2 2 5 5 2" xfId="13676" xr:uid="{00000000-0005-0000-0000-00006B350000}"/>
    <cellStyle name="20% - 强调文字颜色 3 2 2 5 6" xfId="13677" xr:uid="{00000000-0005-0000-0000-00006C350000}"/>
    <cellStyle name="20% - 强调文字颜色 3 2 2 6" xfId="13678" xr:uid="{00000000-0005-0000-0000-00006D350000}"/>
    <cellStyle name="20% - 强调文字颜色 3 2 2 6 2" xfId="13679" xr:uid="{00000000-0005-0000-0000-00006E350000}"/>
    <cellStyle name="20% - 强调文字颜色 3 2 2 6 2 2" xfId="13680" xr:uid="{00000000-0005-0000-0000-00006F350000}"/>
    <cellStyle name="20% - 强调文字颜色 3 2 2 6 2 2 2" xfId="13681" xr:uid="{00000000-0005-0000-0000-000070350000}"/>
    <cellStyle name="20% - 强调文字颜色 3 2 2 6 2 2 2 2" xfId="13682" xr:uid="{00000000-0005-0000-0000-000071350000}"/>
    <cellStyle name="20% - 强调文字颜色 3 2 2 6 2 3" xfId="13683" xr:uid="{00000000-0005-0000-0000-000072350000}"/>
    <cellStyle name="20% - 强调文字颜色 3 2 2 6 2 3 2" xfId="13684" xr:uid="{00000000-0005-0000-0000-000073350000}"/>
    <cellStyle name="20% - 强调文字颜色 3 2 2 6 2 4" xfId="13685" xr:uid="{00000000-0005-0000-0000-000074350000}"/>
    <cellStyle name="20% - 强调文字颜色 3 2 2 6 2 4 2" xfId="13686" xr:uid="{00000000-0005-0000-0000-000075350000}"/>
    <cellStyle name="20% - 强调文字颜色 3 2 2 6 2 5" xfId="13687" xr:uid="{00000000-0005-0000-0000-000076350000}"/>
    <cellStyle name="20% - 强调文字颜色 3 2 2 6 3" xfId="13688" xr:uid="{00000000-0005-0000-0000-000077350000}"/>
    <cellStyle name="20% - 强调文字颜色 3 2 2 6 3 2" xfId="13689" xr:uid="{00000000-0005-0000-0000-000078350000}"/>
    <cellStyle name="20% - 强调文字颜色 3 2 2 6 3 2 2" xfId="13690" xr:uid="{00000000-0005-0000-0000-000079350000}"/>
    <cellStyle name="20% - 强调文字颜色 3 2 2 6 4" xfId="13691" xr:uid="{00000000-0005-0000-0000-00007A350000}"/>
    <cellStyle name="20% - 强调文字颜色 3 2 2 6 4 2" xfId="13692" xr:uid="{00000000-0005-0000-0000-00007B350000}"/>
    <cellStyle name="20% - 强调文字颜色 3 2 2 6 5" xfId="13693" xr:uid="{00000000-0005-0000-0000-00007C350000}"/>
    <cellStyle name="20% - 强调文字颜色 3 2 2 6 5 2" xfId="13694" xr:uid="{00000000-0005-0000-0000-00007D350000}"/>
    <cellStyle name="20% - 强调文字颜色 3 2 2 6 6" xfId="13695" xr:uid="{00000000-0005-0000-0000-00007E350000}"/>
    <cellStyle name="20% - 强调文字颜色 3 2 2 7" xfId="13696" xr:uid="{00000000-0005-0000-0000-00007F350000}"/>
    <cellStyle name="20% - 强调文字颜色 3 2 2 7 2" xfId="13697" xr:uid="{00000000-0005-0000-0000-000080350000}"/>
    <cellStyle name="20% - 强调文字颜色 3 2 2 7 2 2" xfId="13698" xr:uid="{00000000-0005-0000-0000-000081350000}"/>
    <cellStyle name="20% - 强调文字颜色 3 2 2 7 2 2 2" xfId="13699" xr:uid="{00000000-0005-0000-0000-000082350000}"/>
    <cellStyle name="20% - 强调文字颜色 3 2 2 7 2 2 2 2" xfId="13700" xr:uid="{00000000-0005-0000-0000-000083350000}"/>
    <cellStyle name="20% - 强调文字颜色 3 2 2 7 2 3" xfId="13701" xr:uid="{00000000-0005-0000-0000-000084350000}"/>
    <cellStyle name="20% - 强调文字颜色 3 2 2 7 2 3 2" xfId="13702" xr:uid="{00000000-0005-0000-0000-000085350000}"/>
    <cellStyle name="20% - 强调文字颜色 3 2 2 7 2 4" xfId="13703" xr:uid="{00000000-0005-0000-0000-000086350000}"/>
    <cellStyle name="20% - 强调文字颜色 3 2 2 7 2 4 2" xfId="13704" xr:uid="{00000000-0005-0000-0000-000087350000}"/>
    <cellStyle name="20% - 强调文字颜色 3 2 2 7 2 5" xfId="13705" xr:uid="{00000000-0005-0000-0000-000088350000}"/>
    <cellStyle name="20% - 强调文字颜色 3 2 2 7 3" xfId="13706" xr:uid="{00000000-0005-0000-0000-000089350000}"/>
    <cellStyle name="20% - 强调文字颜色 3 2 2 7 3 2" xfId="13707" xr:uid="{00000000-0005-0000-0000-00008A350000}"/>
    <cellStyle name="20% - 强调文字颜色 3 2 2 7 3 2 2" xfId="13708" xr:uid="{00000000-0005-0000-0000-00008B350000}"/>
    <cellStyle name="20% - 强调文字颜色 3 2 2 7 4" xfId="13709" xr:uid="{00000000-0005-0000-0000-00008C350000}"/>
    <cellStyle name="20% - 强调文字颜色 3 2 2 7 4 2" xfId="13710" xr:uid="{00000000-0005-0000-0000-00008D350000}"/>
    <cellStyle name="20% - 强调文字颜色 3 2 2 7 5" xfId="13711" xr:uid="{00000000-0005-0000-0000-00008E350000}"/>
    <cellStyle name="20% - 强调文字颜色 3 2 2 7 5 2" xfId="13712" xr:uid="{00000000-0005-0000-0000-00008F350000}"/>
    <cellStyle name="20% - 强调文字颜色 3 2 2 7 6" xfId="13713" xr:uid="{00000000-0005-0000-0000-000090350000}"/>
    <cellStyle name="20% - 强调文字颜色 3 2 2 8" xfId="13714" xr:uid="{00000000-0005-0000-0000-000091350000}"/>
    <cellStyle name="20% - 强调文字颜色 3 2 2 8 2" xfId="13715" xr:uid="{00000000-0005-0000-0000-000092350000}"/>
    <cellStyle name="20% - 强调文字颜色 3 2 2 8 2 2" xfId="13716" xr:uid="{00000000-0005-0000-0000-000093350000}"/>
    <cellStyle name="20% - 强调文字颜色 3 2 2 8 2 2 2" xfId="13717" xr:uid="{00000000-0005-0000-0000-000094350000}"/>
    <cellStyle name="20% - 强调文字颜色 3 2 2 8 3" xfId="13718" xr:uid="{00000000-0005-0000-0000-000095350000}"/>
    <cellStyle name="20% - 强调文字颜色 3 2 2 8 3 2" xfId="13719" xr:uid="{00000000-0005-0000-0000-000096350000}"/>
    <cellStyle name="20% - 强调文字颜色 3 2 2 8 4" xfId="13720" xr:uid="{00000000-0005-0000-0000-000097350000}"/>
    <cellStyle name="20% - 强调文字颜色 3 2 2 8 4 2" xfId="13721" xr:uid="{00000000-0005-0000-0000-000098350000}"/>
    <cellStyle name="20% - 强调文字颜色 3 2 2 8 5" xfId="13722" xr:uid="{00000000-0005-0000-0000-000099350000}"/>
    <cellStyle name="20% - 强调文字颜色 3 2 2 9" xfId="13723" xr:uid="{00000000-0005-0000-0000-00009A350000}"/>
    <cellStyle name="20% - 强调文字颜色 3 2 2 9 2" xfId="13724" xr:uid="{00000000-0005-0000-0000-00009B350000}"/>
    <cellStyle name="20% - 强调文字颜色 3 2 2 9 2 2" xfId="13725" xr:uid="{00000000-0005-0000-0000-00009C350000}"/>
    <cellStyle name="20% - 强调文字颜色 3 2 2 9 2 2 2" xfId="13726" xr:uid="{00000000-0005-0000-0000-00009D350000}"/>
    <cellStyle name="20% - 强调文字颜色 3 2 2 9 3" xfId="13727" xr:uid="{00000000-0005-0000-0000-00009E350000}"/>
    <cellStyle name="20% - 强调文字颜色 3 2 2 9 3 2" xfId="13728" xr:uid="{00000000-0005-0000-0000-00009F350000}"/>
    <cellStyle name="20% - 强调文字颜色 3 2 2 9 4" xfId="13729" xr:uid="{00000000-0005-0000-0000-0000A0350000}"/>
    <cellStyle name="20% - 强调文字颜色 3 2 2 9 4 2" xfId="13730" xr:uid="{00000000-0005-0000-0000-0000A1350000}"/>
    <cellStyle name="20% - 强调文字颜色 3 2 2 9 5" xfId="13731" xr:uid="{00000000-0005-0000-0000-0000A2350000}"/>
    <cellStyle name="20% - 强调文字颜色 3 2 3" xfId="13732" xr:uid="{00000000-0005-0000-0000-0000A3350000}"/>
    <cellStyle name="20% - 强调文字颜色 3 2 3 10" xfId="13733" xr:uid="{00000000-0005-0000-0000-0000A4350000}"/>
    <cellStyle name="20% - 强调文字颜色 3 2 3 10 2" xfId="13734" xr:uid="{00000000-0005-0000-0000-0000A5350000}"/>
    <cellStyle name="20% - 强调文字颜色 3 2 3 2" xfId="13735" xr:uid="{00000000-0005-0000-0000-0000A6350000}"/>
    <cellStyle name="20% - 强调文字颜色 3 2 3 2 2" xfId="13736" xr:uid="{00000000-0005-0000-0000-0000A7350000}"/>
    <cellStyle name="20% - 强调文字颜色 3 2 3 2 2 2" xfId="13737" xr:uid="{00000000-0005-0000-0000-0000A8350000}"/>
    <cellStyle name="20% - 强调文字颜色 3 2 3 2 2 2 2" xfId="13738" xr:uid="{00000000-0005-0000-0000-0000A9350000}"/>
    <cellStyle name="20% - 强调文字颜色 3 2 3 2 2 2 3" xfId="13739" xr:uid="{00000000-0005-0000-0000-0000AA350000}"/>
    <cellStyle name="20% - 强调文字颜色 3 2 3 2 2 2 3 2" xfId="13740" xr:uid="{00000000-0005-0000-0000-0000AB350000}"/>
    <cellStyle name="20% - 强调文字颜色 3 2 3 2 2 2 3 2 2" xfId="13741" xr:uid="{00000000-0005-0000-0000-0000AC350000}"/>
    <cellStyle name="20% - 强调文字颜色 3 2 3 2 2 2 4" xfId="13742" xr:uid="{00000000-0005-0000-0000-0000AD350000}"/>
    <cellStyle name="20% - 强调文字颜色 3 2 3 2 2 2 4 2" xfId="13743" xr:uid="{00000000-0005-0000-0000-0000AE350000}"/>
    <cellStyle name="20% - 强调文字颜色 3 2 3 2 2 2 5" xfId="13744" xr:uid="{00000000-0005-0000-0000-0000AF350000}"/>
    <cellStyle name="20% - 强调文字颜色 3 2 3 2 2 2 5 2" xfId="13745" xr:uid="{00000000-0005-0000-0000-0000B0350000}"/>
    <cellStyle name="20% - 强调文字颜色 3 2 3 2 2 2 6" xfId="13746" xr:uid="{00000000-0005-0000-0000-0000B1350000}"/>
    <cellStyle name="20% - 强调文字颜色 3 2 3 2 2 3" xfId="13747" xr:uid="{00000000-0005-0000-0000-0000B2350000}"/>
    <cellStyle name="20% - 强调文字颜色 3 2 3 2 2 3 2" xfId="13748" xr:uid="{00000000-0005-0000-0000-0000B3350000}"/>
    <cellStyle name="20% - 强调文字颜色 3 2 3 2 2 3 2 2" xfId="13749" xr:uid="{00000000-0005-0000-0000-0000B4350000}"/>
    <cellStyle name="20% - 强调文字颜色 3 2 3 2 2 3 2 2 2" xfId="13750" xr:uid="{00000000-0005-0000-0000-0000B5350000}"/>
    <cellStyle name="20% - 强调文字颜色 3 2 3 2 2 3 3" xfId="13751" xr:uid="{00000000-0005-0000-0000-0000B6350000}"/>
    <cellStyle name="20% - 强调文字颜色 3 2 3 2 2 3 3 2" xfId="13752" xr:uid="{00000000-0005-0000-0000-0000B7350000}"/>
    <cellStyle name="20% - 强调文字颜色 3 2 3 2 2 3 4" xfId="13753" xr:uid="{00000000-0005-0000-0000-0000B8350000}"/>
    <cellStyle name="20% - 强调文字颜色 3 2 3 2 2 3 4 2" xfId="13754" xr:uid="{00000000-0005-0000-0000-0000B9350000}"/>
    <cellStyle name="20% - 强调文字颜色 3 2 3 2 2 3 5" xfId="13755" xr:uid="{00000000-0005-0000-0000-0000BA350000}"/>
    <cellStyle name="20% - 强调文字颜色 3 2 3 2 2 4" xfId="13756" xr:uid="{00000000-0005-0000-0000-0000BB350000}"/>
    <cellStyle name="20% - 强调文字颜色 3 2 3 2 2 5" xfId="13757" xr:uid="{00000000-0005-0000-0000-0000BC350000}"/>
    <cellStyle name="20% - 强调文字颜色 3 2 3 2 2 6" xfId="13758" xr:uid="{00000000-0005-0000-0000-0000BD350000}"/>
    <cellStyle name="20% - 强调文字颜色 3 2 3 2 2 6 2" xfId="13759" xr:uid="{00000000-0005-0000-0000-0000BE350000}"/>
    <cellStyle name="20% - 强调文字颜色 3 2 3 2 2 7" xfId="13760" xr:uid="{00000000-0005-0000-0000-0000BF350000}"/>
    <cellStyle name="20% - 强调文字颜色 3 2 3 2 2 7 2" xfId="13761" xr:uid="{00000000-0005-0000-0000-0000C0350000}"/>
    <cellStyle name="20% - 强调文字颜色 3 2 3 2 3" xfId="13762" xr:uid="{00000000-0005-0000-0000-0000C1350000}"/>
    <cellStyle name="20% - 强调文字颜色 3 2 3 2 3 2" xfId="13763" xr:uid="{00000000-0005-0000-0000-0000C2350000}"/>
    <cellStyle name="20% - 强调文字颜色 3 2 3 2 3 3" xfId="13764" xr:uid="{00000000-0005-0000-0000-0000C3350000}"/>
    <cellStyle name="20% - 强调文字颜色 3 2 3 2 3 3 2" xfId="13765" xr:uid="{00000000-0005-0000-0000-0000C4350000}"/>
    <cellStyle name="20% - 强调文字颜色 3 2 3 2 3 3 2 2" xfId="13766" xr:uid="{00000000-0005-0000-0000-0000C5350000}"/>
    <cellStyle name="20% - 强调文字颜色 3 2 3 2 3 4" xfId="13767" xr:uid="{00000000-0005-0000-0000-0000C6350000}"/>
    <cellStyle name="20% - 强调文字颜色 3 2 3 2 3 4 2" xfId="13768" xr:uid="{00000000-0005-0000-0000-0000C7350000}"/>
    <cellStyle name="20% - 强调文字颜色 3 2 3 2 3 5" xfId="13769" xr:uid="{00000000-0005-0000-0000-0000C8350000}"/>
    <cellStyle name="20% - 强调文字颜色 3 2 3 2 3 5 2" xfId="13770" xr:uid="{00000000-0005-0000-0000-0000C9350000}"/>
    <cellStyle name="20% - 强调文字颜色 3 2 3 2 3 6" xfId="13771" xr:uid="{00000000-0005-0000-0000-0000CA350000}"/>
    <cellStyle name="20% - 强调文字颜色 3 2 3 2 4" xfId="13772" xr:uid="{00000000-0005-0000-0000-0000CB350000}"/>
    <cellStyle name="20% - 强调文字颜色 3 2 3 2 4 2" xfId="13773" xr:uid="{00000000-0005-0000-0000-0000CC350000}"/>
    <cellStyle name="20% - 强调文字颜色 3 2 3 2 4 2 2" xfId="13774" xr:uid="{00000000-0005-0000-0000-0000CD350000}"/>
    <cellStyle name="20% - 强调文字颜色 3 2 3 2 4 2 2 2" xfId="13775" xr:uid="{00000000-0005-0000-0000-0000CE350000}"/>
    <cellStyle name="20% - 强调文字颜色 3 2 3 2 4 3" xfId="13776" xr:uid="{00000000-0005-0000-0000-0000CF350000}"/>
    <cellStyle name="20% - 强调文字颜色 3 2 3 2 4 3 2" xfId="13777" xr:uid="{00000000-0005-0000-0000-0000D0350000}"/>
    <cellStyle name="20% - 强调文字颜色 3 2 3 2 4 4" xfId="13778" xr:uid="{00000000-0005-0000-0000-0000D1350000}"/>
    <cellStyle name="20% - 强调文字颜色 3 2 3 2 4 4 2" xfId="13779" xr:uid="{00000000-0005-0000-0000-0000D2350000}"/>
    <cellStyle name="20% - 强调文字颜色 3 2 3 2 4 5" xfId="13780" xr:uid="{00000000-0005-0000-0000-0000D3350000}"/>
    <cellStyle name="20% - 强调文字颜色 3 2 3 2 5" xfId="13781" xr:uid="{00000000-0005-0000-0000-0000D4350000}"/>
    <cellStyle name="20% - 强调文字颜色 3 2 3 2 6" xfId="13782" xr:uid="{00000000-0005-0000-0000-0000D5350000}"/>
    <cellStyle name="20% - 强调文字颜色 3 2 3 2 7" xfId="13783" xr:uid="{00000000-0005-0000-0000-0000D6350000}"/>
    <cellStyle name="20% - 强调文字颜色 3 2 3 2 7 2" xfId="13784" xr:uid="{00000000-0005-0000-0000-0000D7350000}"/>
    <cellStyle name="20% - 强调文字颜色 3 2 3 2 8" xfId="13785" xr:uid="{00000000-0005-0000-0000-0000D8350000}"/>
    <cellStyle name="20% - 强调文字颜色 3 2 3 2 8 2" xfId="13786" xr:uid="{00000000-0005-0000-0000-0000D9350000}"/>
    <cellStyle name="20% - 强调文字颜色 3 2 3 3" xfId="13787" xr:uid="{00000000-0005-0000-0000-0000DA350000}"/>
    <cellStyle name="20% - 强调文字颜色 3 2 3 3 2" xfId="13788" xr:uid="{00000000-0005-0000-0000-0000DB350000}"/>
    <cellStyle name="20% - 强调文字颜色 3 2 3 3 2 2" xfId="13789" xr:uid="{00000000-0005-0000-0000-0000DC350000}"/>
    <cellStyle name="20% - 强调文字颜色 3 2 3 3 2 3" xfId="13790" xr:uid="{00000000-0005-0000-0000-0000DD350000}"/>
    <cellStyle name="20% - 强调文字颜色 3 2 3 3 2 3 2" xfId="13791" xr:uid="{00000000-0005-0000-0000-0000DE350000}"/>
    <cellStyle name="20% - 强调文字颜色 3 2 3 3 2 3 2 2" xfId="13792" xr:uid="{00000000-0005-0000-0000-0000DF350000}"/>
    <cellStyle name="20% - 强调文字颜色 3 2 3 3 2 4" xfId="13793" xr:uid="{00000000-0005-0000-0000-0000E0350000}"/>
    <cellStyle name="20% - 强调文字颜色 3 2 3 3 2 4 2" xfId="13794" xr:uid="{00000000-0005-0000-0000-0000E1350000}"/>
    <cellStyle name="20% - 强调文字颜色 3 2 3 3 2 5" xfId="13795" xr:uid="{00000000-0005-0000-0000-0000E2350000}"/>
    <cellStyle name="20% - 强调文字颜色 3 2 3 3 2 5 2" xfId="13796" xr:uid="{00000000-0005-0000-0000-0000E3350000}"/>
    <cellStyle name="20% - 强调文字颜色 3 2 3 3 2 6" xfId="13797" xr:uid="{00000000-0005-0000-0000-0000E4350000}"/>
    <cellStyle name="20% - 强调文字颜色 3 2 3 3 3" xfId="13798" xr:uid="{00000000-0005-0000-0000-0000E5350000}"/>
    <cellStyle name="20% - 强调文字颜色 3 2 3 3 3 2" xfId="13799" xr:uid="{00000000-0005-0000-0000-0000E6350000}"/>
    <cellStyle name="20% - 强调文字颜色 3 2 3 3 3 2 2" xfId="13800" xr:uid="{00000000-0005-0000-0000-0000E7350000}"/>
    <cellStyle name="20% - 强调文字颜色 3 2 3 3 3 2 2 2" xfId="13801" xr:uid="{00000000-0005-0000-0000-0000E8350000}"/>
    <cellStyle name="20% - 强调文字颜色 3 2 3 3 3 3" xfId="13802" xr:uid="{00000000-0005-0000-0000-0000E9350000}"/>
    <cellStyle name="20% - 强调文字颜色 3 2 3 3 3 3 2" xfId="13803" xr:uid="{00000000-0005-0000-0000-0000EA350000}"/>
    <cellStyle name="20% - 强调文字颜色 3 2 3 3 3 4" xfId="13804" xr:uid="{00000000-0005-0000-0000-0000EB350000}"/>
    <cellStyle name="20% - 强调文字颜色 3 2 3 3 3 4 2" xfId="13805" xr:uid="{00000000-0005-0000-0000-0000EC350000}"/>
    <cellStyle name="20% - 强调文字颜色 3 2 3 3 3 5" xfId="13806" xr:uid="{00000000-0005-0000-0000-0000ED350000}"/>
    <cellStyle name="20% - 强调文字颜色 3 2 3 3 4" xfId="13807" xr:uid="{00000000-0005-0000-0000-0000EE350000}"/>
    <cellStyle name="20% - 强调文字颜色 3 2 3 3 5" xfId="13808" xr:uid="{00000000-0005-0000-0000-0000EF350000}"/>
    <cellStyle name="20% - 强调文字颜色 3 2 3 3 6" xfId="13809" xr:uid="{00000000-0005-0000-0000-0000F0350000}"/>
    <cellStyle name="20% - 强调文字颜色 3 2 3 3 6 2" xfId="13810" xr:uid="{00000000-0005-0000-0000-0000F1350000}"/>
    <cellStyle name="20% - 强调文字颜色 3 2 3 3 7" xfId="13811" xr:uid="{00000000-0005-0000-0000-0000F2350000}"/>
    <cellStyle name="20% - 强调文字颜色 3 2 3 3 7 2" xfId="13812" xr:uid="{00000000-0005-0000-0000-0000F3350000}"/>
    <cellStyle name="20% - 强调文字颜色 3 2 3 4" xfId="13813" xr:uid="{00000000-0005-0000-0000-0000F4350000}"/>
    <cellStyle name="20% - 强调文字颜色 3 2 3 4 2" xfId="13814" xr:uid="{00000000-0005-0000-0000-0000F5350000}"/>
    <cellStyle name="20% - 强调文字颜色 3 2 3 4 2 2" xfId="13815" xr:uid="{00000000-0005-0000-0000-0000F6350000}"/>
    <cellStyle name="20% - 强调文字颜色 3 2 3 4 2 3" xfId="13816" xr:uid="{00000000-0005-0000-0000-0000F7350000}"/>
    <cellStyle name="20% - 强调文字颜色 3 2 3 4 2 3 2" xfId="13817" xr:uid="{00000000-0005-0000-0000-0000F8350000}"/>
    <cellStyle name="20% - 强调文字颜色 3 2 3 4 2 3 2 2" xfId="13818" xr:uid="{00000000-0005-0000-0000-0000F9350000}"/>
    <cellStyle name="20% - 强调文字颜色 3 2 3 4 2 4" xfId="13819" xr:uid="{00000000-0005-0000-0000-0000FA350000}"/>
    <cellStyle name="20% - 强调文字颜色 3 2 3 4 2 4 2" xfId="13820" xr:uid="{00000000-0005-0000-0000-0000FB350000}"/>
    <cellStyle name="20% - 强调文字颜色 3 2 3 4 2 5" xfId="13821" xr:uid="{00000000-0005-0000-0000-0000FC350000}"/>
    <cellStyle name="20% - 强调文字颜色 3 2 3 4 2 5 2" xfId="13822" xr:uid="{00000000-0005-0000-0000-0000FD350000}"/>
    <cellStyle name="20% - 强调文字颜色 3 2 3 4 2 6" xfId="13823" xr:uid="{00000000-0005-0000-0000-0000FE350000}"/>
    <cellStyle name="20% - 强调文字颜色 3 2 3 4 3" xfId="13824" xr:uid="{00000000-0005-0000-0000-0000FF350000}"/>
    <cellStyle name="20% - 强调文字颜色 3 2 3 4 4" xfId="13825" xr:uid="{00000000-0005-0000-0000-000000360000}"/>
    <cellStyle name="20% - 强调文字颜色 3 2 3 4 5" xfId="13826" xr:uid="{00000000-0005-0000-0000-000001360000}"/>
    <cellStyle name="20% - 强调文字颜色 3 2 3 4 6" xfId="13827" xr:uid="{00000000-0005-0000-0000-000002360000}"/>
    <cellStyle name="20% - 强调文字颜色 3 2 3 4 6 2" xfId="13828" xr:uid="{00000000-0005-0000-0000-000003360000}"/>
    <cellStyle name="20% - 强调文字颜色 3 2 3 4 7" xfId="13829" xr:uid="{00000000-0005-0000-0000-000004360000}"/>
    <cellStyle name="20% - 强调文字颜色 3 2 3 4 7 2" xfId="13830" xr:uid="{00000000-0005-0000-0000-000005360000}"/>
    <cellStyle name="20% - 强调文字颜色 3 2 3 5" xfId="13831" xr:uid="{00000000-0005-0000-0000-000006360000}"/>
    <cellStyle name="20% - 强调文字颜色 3 2 3 5 2" xfId="13832" xr:uid="{00000000-0005-0000-0000-000007360000}"/>
    <cellStyle name="20% - 强调文字颜色 3 2 3 5 2 2" xfId="13833" xr:uid="{00000000-0005-0000-0000-000008360000}"/>
    <cellStyle name="20% - 强调文字颜色 3 2 3 5 2 2 2" xfId="13834" xr:uid="{00000000-0005-0000-0000-000009360000}"/>
    <cellStyle name="20% - 强调文字颜色 3 2 3 5 2 2 2 2" xfId="13835" xr:uid="{00000000-0005-0000-0000-00000A360000}"/>
    <cellStyle name="20% - 强调文字颜色 3 2 3 5 2 3" xfId="13836" xr:uid="{00000000-0005-0000-0000-00000B360000}"/>
    <cellStyle name="20% - 强调文字颜色 3 2 3 5 2 3 2" xfId="13837" xr:uid="{00000000-0005-0000-0000-00000C360000}"/>
    <cellStyle name="20% - 强调文字颜色 3 2 3 5 2 4" xfId="13838" xr:uid="{00000000-0005-0000-0000-00000D360000}"/>
    <cellStyle name="20% - 强调文字颜色 3 2 3 5 2 4 2" xfId="13839" xr:uid="{00000000-0005-0000-0000-00000E360000}"/>
    <cellStyle name="20% - 强调文字颜色 3 2 3 5 2 5" xfId="13840" xr:uid="{00000000-0005-0000-0000-00000F360000}"/>
    <cellStyle name="20% - 强调文字颜色 3 2 3 5 3" xfId="13841" xr:uid="{00000000-0005-0000-0000-000010360000}"/>
    <cellStyle name="20% - 强调文字颜色 3 2 3 5 3 2" xfId="13842" xr:uid="{00000000-0005-0000-0000-000011360000}"/>
    <cellStyle name="20% - 强调文字颜色 3 2 3 5 3 2 2" xfId="13843" xr:uid="{00000000-0005-0000-0000-000012360000}"/>
    <cellStyle name="20% - 强调文字颜色 3 2 3 5 4" xfId="13844" xr:uid="{00000000-0005-0000-0000-000013360000}"/>
    <cellStyle name="20% - 强调文字颜色 3 2 3 5 4 2" xfId="13845" xr:uid="{00000000-0005-0000-0000-000014360000}"/>
    <cellStyle name="20% - 强调文字颜色 3 2 3 5 5" xfId="13846" xr:uid="{00000000-0005-0000-0000-000015360000}"/>
    <cellStyle name="20% - 强调文字颜色 3 2 3 5 5 2" xfId="13847" xr:uid="{00000000-0005-0000-0000-000016360000}"/>
    <cellStyle name="20% - 强调文字颜色 3 2 3 5 6" xfId="13848" xr:uid="{00000000-0005-0000-0000-000017360000}"/>
    <cellStyle name="20% - 强调文字颜色 3 2 3 6" xfId="13849" xr:uid="{00000000-0005-0000-0000-000018360000}"/>
    <cellStyle name="20% - 强调文字颜色 3 2 3 6 2" xfId="13850" xr:uid="{00000000-0005-0000-0000-000019360000}"/>
    <cellStyle name="20% - 强调文字颜色 3 2 3 6 2 2" xfId="13851" xr:uid="{00000000-0005-0000-0000-00001A360000}"/>
    <cellStyle name="20% - 强调文字颜色 3 2 3 6 2 2 2" xfId="13852" xr:uid="{00000000-0005-0000-0000-00001B360000}"/>
    <cellStyle name="20% - 强调文字颜色 3 2 3 6 3" xfId="13853" xr:uid="{00000000-0005-0000-0000-00001C360000}"/>
    <cellStyle name="20% - 强调文字颜色 3 2 3 6 3 2" xfId="13854" xr:uid="{00000000-0005-0000-0000-00001D360000}"/>
    <cellStyle name="20% - 强调文字颜色 3 2 3 6 4" xfId="13855" xr:uid="{00000000-0005-0000-0000-00001E360000}"/>
    <cellStyle name="20% - 强调文字颜色 3 2 3 6 4 2" xfId="13856" xr:uid="{00000000-0005-0000-0000-00001F360000}"/>
    <cellStyle name="20% - 强调文字颜色 3 2 3 6 5" xfId="13857" xr:uid="{00000000-0005-0000-0000-000020360000}"/>
    <cellStyle name="20% - 强调文字颜色 3 2 3 7" xfId="13858" xr:uid="{00000000-0005-0000-0000-000021360000}"/>
    <cellStyle name="20% - 强调文字颜色 3 2 3 7 2" xfId="13859" xr:uid="{00000000-0005-0000-0000-000022360000}"/>
    <cellStyle name="20% - 强调文字颜色 3 2 3 7 2 2" xfId="13860" xr:uid="{00000000-0005-0000-0000-000023360000}"/>
    <cellStyle name="20% - 强调文字颜色 3 2 3 7 2 2 2" xfId="13861" xr:uid="{00000000-0005-0000-0000-000024360000}"/>
    <cellStyle name="20% - 强调文字颜色 3 2 3 7 3" xfId="13862" xr:uid="{00000000-0005-0000-0000-000025360000}"/>
    <cellStyle name="20% - 强调文字颜色 3 2 3 7 3 2" xfId="13863" xr:uid="{00000000-0005-0000-0000-000026360000}"/>
    <cellStyle name="20% - 强调文字颜色 3 2 3 7 4" xfId="13864" xr:uid="{00000000-0005-0000-0000-000027360000}"/>
    <cellStyle name="20% - 强调文字颜色 3 2 3 7 4 2" xfId="13865" xr:uid="{00000000-0005-0000-0000-000028360000}"/>
    <cellStyle name="20% - 强调文字颜色 3 2 3 7 5" xfId="13866" xr:uid="{00000000-0005-0000-0000-000029360000}"/>
    <cellStyle name="20% - 强调文字颜色 3 2 3 8" xfId="13867" xr:uid="{00000000-0005-0000-0000-00002A360000}"/>
    <cellStyle name="20% - 强调文字颜色 3 2 3 9" xfId="13868" xr:uid="{00000000-0005-0000-0000-00002B360000}"/>
    <cellStyle name="20% - 强调文字颜色 3 2 3 9 2" xfId="13869" xr:uid="{00000000-0005-0000-0000-00002C360000}"/>
    <cellStyle name="20% - 强调文字颜色 3 2 4" xfId="13870" xr:uid="{00000000-0005-0000-0000-00002D360000}"/>
    <cellStyle name="20% - 强调文字颜色 3 2 4 2" xfId="13871" xr:uid="{00000000-0005-0000-0000-00002E360000}"/>
    <cellStyle name="20% - 强调文字颜色 3 2 4 2 2" xfId="13872" xr:uid="{00000000-0005-0000-0000-00002F360000}"/>
    <cellStyle name="20% - 强调文字颜色 3 2 4 2 3" xfId="13873" xr:uid="{00000000-0005-0000-0000-000030360000}"/>
    <cellStyle name="20% - 强调文字颜色 3 2 4 2 3 2" xfId="13874" xr:uid="{00000000-0005-0000-0000-000031360000}"/>
    <cellStyle name="20% - 强调文字颜色 3 2 4 2 3 2 2" xfId="13875" xr:uid="{00000000-0005-0000-0000-000032360000}"/>
    <cellStyle name="20% - 强调文字颜色 3 2 4 2 4" xfId="13876" xr:uid="{00000000-0005-0000-0000-000033360000}"/>
    <cellStyle name="20% - 强调文字颜色 3 2 4 2 4 2" xfId="13877" xr:uid="{00000000-0005-0000-0000-000034360000}"/>
    <cellStyle name="20% - 强调文字颜色 3 2 4 2 5" xfId="13878" xr:uid="{00000000-0005-0000-0000-000035360000}"/>
    <cellStyle name="20% - 强调文字颜色 3 2 4 2 5 2" xfId="13879" xr:uid="{00000000-0005-0000-0000-000036360000}"/>
    <cellStyle name="20% - 强调文字颜色 3 2 4 2 6" xfId="13880" xr:uid="{00000000-0005-0000-0000-000037360000}"/>
    <cellStyle name="20% - 强调文字颜色 3 2 4 3" xfId="13881" xr:uid="{00000000-0005-0000-0000-000038360000}"/>
    <cellStyle name="20% - 强调文字颜色 3 2 4 3 2" xfId="13882" xr:uid="{00000000-0005-0000-0000-000039360000}"/>
    <cellStyle name="20% - 强调文字颜色 3 2 4 3 2 2" xfId="13883" xr:uid="{00000000-0005-0000-0000-00003A360000}"/>
    <cellStyle name="20% - 强调文字颜色 3 2 4 3 2 2 2" xfId="13884" xr:uid="{00000000-0005-0000-0000-00003B360000}"/>
    <cellStyle name="20% - 强调文字颜色 3 2 4 3 3" xfId="13885" xr:uid="{00000000-0005-0000-0000-00003C360000}"/>
    <cellStyle name="20% - 强调文字颜色 3 2 4 3 3 2" xfId="13886" xr:uid="{00000000-0005-0000-0000-00003D360000}"/>
    <cellStyle name="20% - 强调文字颜色 3 2 4 3 4" xfId="13887" xr:uid="{00000000-0005-0000-0000-00003E360000}"/>
    <cellStyle name="20% - 强调文字颜色 3 2 4 3 4 2" xfId="13888" xr:uid="{00000000-0005-0000-0000-00003F360000}"/>
    <cellStyle name="20% - 强调文字颜色 3 2 4 3 5" xfId="13889" xr:uid="{00000000-0005-0000-0000-000040360000}"/>
    <cellStyle name="20% - 强调文字颜色 3 2 4 4" xfId="13890" xr:uid="{00000000-0005-0000-0000-000041360000}"/>
    <cellStyle name="20% - 强调文字颜色 3 2 4 5" xfId="13891" xr:uid="{00000000-0005-0000-0000-000042360000}"/>
    <cellStyle name="20% - 强调文字颜色 3 2 4 6" xfId="13892" xr:uid="{00000000-0005-0000-0000-000043360000}"/>
    <cellStyle name="20% - 强调文字颜色 3 2 4 6 2" xfId="13893" xr:uid="{00000000-0005-0000-0000-000044360000}"/>
    <cellStyle name="20% - 强调文字颜色 3 2 4 7" xfId="13894" xr:uid="{00000000-0005-0000-0000-000045360000}"/>
    <cellStyle name="20% - 强调文字颜色 3 2 4 7 2" xfId="13895" xr:uid="{00000000-0005-0000-0000-000046360000}"/>
    <cellStyle name="20% - 强调文字颜色 3 2 5" xfId="13896" xr:uid="{00000000-0005-0000-0000-000047360000}"/>
    <cellStyle name="20% - 强调文字颜色 3 2 5 2" xfId="13897" xr:uid="{00000000-0005-0000-0000-000048360000}"/>
    <cellStyle name="20% - 强调文字颜色 3 2 5 2 2" xfId="13898" xr:uid="{00000000-0005-0000-0000-000049360000}"/>
    <cellStyle name="20% - 强调文字颜色 3 2 5 2 3" xfId="13899" xr:uid="{00000000-0005-0000-0000-00004A360000}"/>
    <cellStyle name="20% - 强调文字颜色 3 2 5 2 3 2" xfId="13900" xr:uid="{00000000-0005-0000-0000-00004B360000}"/>
    <cellStyle name="20% - 强调文字颜色 3 2 5 2 3 2 2" xfId="13901" xr:uid="{00000000-0005-0000-0000-00004C360000}"/>
    <cellStyle name="20% - 强调文字颜色 3 2 5 2 4" xfId="13902" xr:uid="{00000000-0005-0000-0000-00004D360000}"/>
    <cellStyle name="20% - 强调文字颜色 3 2 5 2 4 2" xfId="13903" xr:uid="{00000000-0005-0000-0000-00004E360000}"/>
    <cellStyle name="20% - 强调文字颜色 3 2 5 2 5" xfId="13904" xr:uid="{00000000-0005-0000-0000-00004F360000}"/>
    <cellStyle name="20% - 强调文字颜色 3 2 5 2 5 2" xfId="13905" xr:uid="{00000000-0005-0000-0000-000050360000}"/>
    <cellStyle name="20% - 强调文字颜色 3 2 5 2 6" xfId="13906" xr:uid="{00000000-0005-0000-0000-000051360000}"/>
    <cellStyle name="20% - 强调文字颜色 3 2 5 3" xfId="13907" xr:uid="{00000000-0005-0000-0000-000052360000}"/>
    <cellStyle name="20% - 强调文字颜色 3 2 5 4" xfId="13908" xr:uid="{00000000-0005-0000-0000-000053360000}"/>
    <cellStyle name="20% - 强调文字颜色 3 2 5 5" xfId="13909" xr:uid="{00000000-0005-0000-0000-000054360000}"/>
    <cellStyle name="20% - 强调文字颜色 3 2 5 6" xfId="13910" xr:uid="{00000000-0005-0000-0000-000055360000}"/>
    <cellStyle name="20% - 强调文字颜色 3 2 5 6 2" xfId="13911" xr:uid="{00000000-0005-0000-0000-000056360000}"/>
    <cellStyle name="20% - 强调文字颜色 3 2 5 7" xfId="13912" xr:uid="{00000000-0005-0000-0000-000057360000}"/>
    <cellStyle name="20% - 强调文字颜色 3 2 5 7 2" xfId="13913" xr:uid="{00000000-0005-0000-0000-000058360000}"/>
    <cellStyle name="20% - 强调文字颜色 3 2 6" xfId="13914" xr:uid="{00000000-0005-0000-0000-000059360000}"/>
    <cellStyle name="20% - 强调文字颜色 3 2 6 2" xfId="13915" xr:uid="{00000000-0005-0000-0000-00005A360000}"/>
    <cellStyle name="20% - 强调文字颜色 3 2 6 2 2" xfId="13916" xr:uid="{00000000-0005-0000-0000-00005B360000}"/>
    <cellStyle name="20% - 强调文字颜色 3 2 6 2 2 2" xfId="13917" xr:uid="{00000000-0005-0000-0000-00005C360000}"/>
    <cellStyle name="20% - 强调文字颜色 3 2 6 2 2 2 2" xfId="13918" xr:uid="{00000000-0005-0000-0000-00005D360000}"/>
    <cellStyle name="20% - 强调文字颜色 3 2 6 2 3" xfId="13919" xr:uid="{00000000-0005-0000-0000-00005E360000}"/>
    <cellStyle name="20% - 强调文字颜色 3 2 6 2 3 2" xfId="13920" xr:uid="{00000000-0005-0000-0000-00005F360000}"/>
    <cellStyle name="20% - 强调文字颜色 3 2 6 2 4" xfId="13921" xr:uid="{00000000-0005-0000-0000-000060360000}"/>
    <cellStyle name="20% - 强调文字颜色 3 2 6 2 4 2" xfId="13922" xr:uid="{00000000-0005-0000-0000-000061360000}"/>
    <cellStyle name="20% - 强调文字颜色 3 2 6 2 5" xfId="13923" xr:uid="{00000000-0005-0000-0000-000062360000}"/>
    <cellStyle name="20% - 强调文字颜色 3 2 6 3" xfId="13924" xr:uid="{00000000-0005-0000-0000-000063360000}"/>
    <cellStyle name="20% - 强调文字颜色 3 2 6 3 2" xfId="13925" xr:uid="{00000000-0005-0000-0000-000064360000}"/>
    <cellStyle name="20% - 强调文字颜色 3 2 6 3 2 2" xfId="13926" xr:uid="{00000000-0005-0000-0000-000065360000}"/>
    <cellStyle name="20% - 强调文字颜色 3 2 6 4" xfId="13927" xr:uid="{00000000-0005-0000-0000-000066360000}"/>
    <cellStyle name="20% - 强调文字颜色 3 2 6 4 2" xfId="13928" xr:uid="{00000000-0005-0000-0000-000067360000}"/>
    <cellStyle name="20% - 强调文字颜色 3 2 6 5" xfId="13929" xr:uid="{00000000-0005-0000-0000-000068360000}"/>
    <cellStyle name="20% - 强调文字颜色 3 2 6 5 2" xfId="13930" xr:uid="{00000000-0005-0000-0000-000069360000}"/>
    <cellStyle name="20% - 强调文字颜色 3 2 6 6" xfId="13931" xr:uid="{00000000-0005-0000-0000-00006A360000}"/>
    <cellStyle name="20% - 强调文字颜色 3 2 7" xfId="13932" xr:uid="{00000000-0005-0000-0000-00006B360000}"/>
    <cellStyle name="20% - 强调文字颜色 3 2 7 2" xfId="13933" xr:uid="{00000000-0005-0000-0000-00006C360000}"/>
    <cellStyle name="20% - 强调文字颜色 3 2 7 2 2" xfId="13934" xr:uid="{00000000-0005-0000-0000-00006D360000}"/>
    <cellStyle name="20% - 强调文字颜色 3 2 7 2 2 2" xfId="13935" xr:uid="{00000000-0005-0000-0000-00006E360000}"/>
    <cellStyle name="20% - 强调文字颜色 3 2 7 2 2 2 2" xfId="13936" xr:uid="{00000000-0005-0000-0000-00006F360000}"/>
    <cellStyle name="20% - 强调文字颜色 3 2 7 2 3" xfId="13937" xr:uid="{00000000-0005-0000-0000-000070360000}"/>
    <cellStyle name="20% - 强调文字颜色 3 2 7 2 3 2" xfId="13938" xr:uid="{00000000-0005-0000-0000-000071360000}"/>
    <cellStyle name="20% - 强调文字颜色 3 2 7 2 4" xfId="13939" xr:uid="{00000000-0005-0000-0000-000072360000}"/>
    <cellStyle name="20% - 强调文字颜色 3 2 7 2 4 2" xfId="13940" xr:uid="{00000000-0005-0000-0000-000073360000}"/>
    <cellStyle name="20% - 强调文字颜色 3 2 7 2 5" xfId="13941" xr:uid="{00000000-0005-0000-0000-000074360000}"/>
    <cellStyle name="20% - 强调文字颜色 3 2 7 3" xfId="13942" xr:uid="{00000000-0005-0000-0000-000075360000}"/>
    <cellStyle name="20% - 强调文字颜色 3 2 7 3 2" xfId="13943" xr:uid="{00000000-0005-0000-0000-000076360000}"/>
    <cellStyle name="20% - 强调文字颜色 3 2 7 3 2 2" xfId="13944" xr:uid="{00000000-0005-0000-0000-000077360000}"/>
    <cellStyle name="20% - 强调文字颜色 3 2 7 4" xfId="13945" xr:uid="{00000000-0005-0000-0000-000078360000}"/>
    <cellStyle name="20% - 强调文字颜色 3 2 7 4 2" xfId="13946" xr:uid="{00000000-0005-0000-0000-000079360000}"/>
    <cellStyle name="20% - 强调文字颜色 3 2 7 5" xfId="13947" xr:uid="{00000000-0005-0000-0000-00007A360000}"/>
    <cellStyle name="20% - 强调文字颜色 3 2 7 5 2" xfId="13948" xr:uid="{00000000-0005-0000-0000-00007B360000}"/>
    <cellStyle name="20% - 强调文字颜色 3 2 7 6" xfId="13949" xr:uid="{00000000-0005-0000-0000-00007C360000}"/>
    <cellStyle name="20% - 强调文字颜色 3 2 8" xfId="13950" xr:uid="{00000000-0005-0000-0000-00007D360000}"/>
    <cellStyle name="20% - 强调文字颜色 3 2 8 2" xfId="13951" xr:uid="{00000000-0005-0000-0000-00007E360000}"/>
    <cellStyle name="20% - 强调文字颜色 3 2 8 2 2" xfId="13952" xr:uid="{00000000-0005-0000-0000-00007F360000}"/>
    <cellStyle name="20% - 强调文字颜色 3 2 8 2 2 2" xfId="13953" xr:uid="{00000000-0005-0000-0000-000080360000}"/>
    <cellStyle name="20% - 强调文字颜色 3 2 8 2 2 2 2" xfId="13954" xr:uid="{00000000-0005-0000-0000-000081360000}"/>
    <cellStyle name="20% - 强调文字颜色 3 2 8 2 3" xfId="13955" xr:uid="{00000000-0005-0000-0000-000082360000}"/>
    <cellStyle name="20% - 强调文字颜色 3 2 8 2 3 2" xfId="13956" xr:uid="{00000000-0005-0000-0000-000083360000}"/>
    <cellStyle name="20% - 强调文字颜色 3 2 8 2 4" xfId="13957" xr:uid="{00000000-0005-0000-0000-000084360000}"/>
    <cellStyle name="20% - 强调文字颜色 3 2 8 2 4 2" xfId="13958" xr:uid="{00000000-0005-0000-0000-000085360000}"/>
    <cellStyle name="20% - 强调文字颜色 3 2 8 2 5" xfId="13959" xr:uid="{00000000-0005-0000-0000-000086360000}"/>
    <cellStyle name="20% - 强调文字颜色 3 2 8 3" xfId="13960" xr:uid="{00000000-0005-0000-0000-000087360000}"/>
    <cellStyle name="20% - 强调文字颜色 3 2 8 3 2" xfId="13961" xr:uid="{00000000-0005-0000-0000-000088360000}"/>
    <cellStyle name="20% - 强调文字颜色 3 2 8 3 2 2" xfId="13962" xr:uid="{00000000-0005-0000-0000-000089360000}"/>
    <cellStyle name="20% - 强调文字颜色 3 2 8 4" xfId="13963" xr:uid="{00000000-0005-0000-0000-00008A360000}"/>
    <cellStyle name="20% - 强调文字颜色 3 2 8 4 2" xfId="13964" xr:uid="{00000000-0005-0000-0000-00008B360000}"/>
    <cellStyle name="20% - 强调文字颜色 3 2 8 5" xfId="13965" xr:uid="{00000000-0005-0000-0000-00008C360000}"/>
    <cellStyle name="20% - 强调文字颜色 3 2 8 5 2" xfId="13966" xr:uid="{00000000-0005-0000-0000-00008D360000}"/>
    <cellStyle name="20% - 强调文字颜色 3 2 8 6" xfId="13967" xr:uid="{00000000-0005-0000-0000-00008E360000}"/>
    <cellStyle name="20% - 强调文字颜色 3 2 9" xfId="13968" xr:uid="{00000000-0005-0000-0000-00008F360000}"/>
    <cellStyle name="20% - 强调文字颜色 3 2 9 2" xfId="13969" xr:uid="{00000000-0005-0000-0000-000090360000}"/>
    <cellStyle name="20% - 强调文字颜色 3 2 9 2 2" xfId="13970" xr:uid="{00000000-0005-0000-0000-000091360000}"/>
    <cellStyle name="20% - 强调文字颜色 3 2 9 2 2 2" xfId="13971" xr:uid="{00000000-0005-0000-0000-000092360000}"/>
    <cellStyle name="20% - 强调文字颜色 3 2 9 3" xfId="13972" xr:uid="{00000000-0005-0000-0000-000093360000}"/>
    <cellStyle name="20% - 强调文字颜色 3 2 9 3 2" xfId="13973" xr:uid="{00000000-0005-0000-0000-000094360000}"/>
    <cellStyle name="20% - 强调文字颜色 3 2 9 4" xfId="13974" xr:uid="{00000000-0005-0000-0000-000095360000}"/>
    <cellStyle name="20% - 强调文字颜色 3 2 9 4 2" xfId="13975" xr:uid="{00000000-0005-0000-0000-000096360000}"/>
    <cellStyle name="20% - 强调文字颜色 3 2 9 5" xfId="13976" xr:uid="{00000000-0005-0000-0000-000097360000}"/>
    <cellStyle name="20% - 强调文字颜色 3 3" xfId="13977" xr:uid="{00000000-0005-0000-0000-000098360000}"/>
    <cellStyle name="20% - 强调文字颜色 3 3 2" xfId="13978" xr:uid="{00000000-0005-0000-0000-000099360000}"/>
    <cellStyle name="20% - 强调文字颜色 3 3 2 2" xfId="13979" xr:uid="{00000000-0005-0000-0000-00009A360000}"/>
    <cellStyle name="20% - 强调文字颜色 3 3 2 2 2" xfId="13980" xr:uid="{00000000-0005-0000-0000-00009B360000}"/>
    <cellStyle name="20% - 强调文字颜色 3 3 2 2 2 2" xfId="13981" xr:uid="{00000000-0005-0000-0000-00009C360000}"/>
    <cellStyle name="20% - 强调文字颜色 3 3 2 2 2 3" xfId="13982" xr:uid="{00000000-0005-0000-0000-00009D360000}"/>
    <cellStyle name="20% - 强调文字颜色 3 3 2 2 2 3 2" xfId="13983" xr:uid="{00000000-0005-0000-0000-00009E360000}"/>
    <cellStyle name="20% - 强调文字颜色 3 3 2 2 2 3 2 2" xfId="13984" xr:uid="{00000000-0005-0000-0000-00009F360000}"/>
    <cellStyle name="20% - 强调文字颜色 3 3 2 2 2 4" xfId="13985" xr:uid="{00000000-0005-0000-0000-0000A0360000}"/>
    <cellStyle name="20% - 强调文字颜色 3 3 2 2 2 4 2" xfId="13986" xr:uid="{00000000-0005-0000-0000-0000A1360000}"/>
    <cellStyle name="20% - 强调文字颜色 3 3 2 2 2 5" xfId="13987" xr:uid="{00000000-0005-0000-0000-0000A2360000}"/>
    <cellStyle name="20% - 强调文字颜色 3 3 2 2 2 5 2" xfId="13988" xr:uid="{00000000-0005-0000-0000-0000A3360000}"/>
    <cellStyle name="20% - 强调文字颜色 3 3 2 2 2 6" xfId="13989" xr:uid="{00000000-0005-0000-0000-0000A4360000}"/>
    <cellStyle name="20% - 强调文字颜色 3 3 2 2 3" xfId="13990" xr:uid="{00000000-0005-0000-0000-0000A5360000}"/>
    <cellStyle name="20% - 强调文字颜色 3 3 2 2 3 2" xfId="13991" xr:uid="{00000000-0005-0000-0000-0000A6360000}"/>
    <cellStyle name="20% - 强调文字颜色 3 3 2 2 3 2 2" xfId="13992" xr:uid="{00000000-0005-0000-0000-0000A7360000}"/>
    <cellStyle name="20% - 强调文字颜色 3 3 2 2 3 2 2 2" xfId="13993" xr:uid="{00000000-0005-0000-0000-0000A8360000}"/>
    <cellStyle name="20% - 强调文字颜色 3 3 2 2 3 3" xfId="13994" xr:uid="{00000000-0005-0000-0000-0000A9360000}"/>
    <cellStyle name="20% - 强调文字颜色 3 3 2 2 3 3 2" xfId="13995" xr:uid="{00000000-0005-0000-0000-0000AA360000}"/>
    <cellStyle name="20% - 强调文字颜色 3 3 2 2 3 4" xfId="13996" xr:uid="{00000000-0005-0000-0000-0000AB360000}"/>
    <cellStyle name="20% - 强调文字颜色 3 3 2 2 3 4 2" xfId="13997" xr:uid="{00000000-0005-0000-0000-0000AC360000}"/>
    <cellStyle name="20% - 强调文字颜色 3 3 2 2 3 5" xfId="13998" xr:uid="{00000000-0005-0000-0000-0000AD360000}"/>
    <cellStyle name="20% - 强调文字颜色 3 3 2 2 4" xfId="13999" xr:uid="{00000000-0005-0000-0000-0000AE360000}"/>
    <cellStyle name="20% - 强调文字颜色 3 3 2 2 5" xfId="14000" xr:uid="{00000000-0005-0000-0000-0000AF360000}"/>
    <cellStyle name="20% - 强调文字颜色 3 3 2 2 6" xfId="14001" xr:uid="{00000000-0005-0000-0000-0000B0360000}"/>
    <cellStyle name="20% - 强调文字颜色 3 3 2 2 6 2" xfId="14002" xr:uid="{00000000-0005-0000-0000-0000B1360000}"/>
    <cellStyle name="20% - 强调文字颜色 3 3 2 2 7" xfId="14003" xr:uid="{00000000-0005-0000-0000-0000B2360000}"/>
    <cellStyle name="20% - 强调文字颜色 3 3 2 2 7 2" xfId="14004" xr:uid="{00000000-0005-0000-0000-0000B3360000}"/>
    <cellStyle name="20% - 强调文字颜色 3 3 2 3" xfId="14005" xr:uid="{00000000-0005-0000-0000-0000B4360000}"/>
    <cellStyle name="20% - 强调文字颜色 3 3 2 3 2" xfId="14006" xr:uid="{00000000-0005-0000-0000-0000B5360000}"/>
    <cellStyle name="20% - 强调文字颜色 3 3 2 3 3" xfId="14007" xr:uid="{00000000-0005-0000-0000-0000B6360000}"/>
    <cellStyle name="20% - 强调文字颜色 3 3 2 3 3 2" xfId="14008" xr:uid="{00000000-0005-0000-0000-0000B7360000}"/>
    <cellStyle name="20% - 强调文字颜色 3 3 2 3 3 2 2" xfId="14009" xr:uid="{00000000-0005-0000-0000-0000B8360000}"/>
    <cellStyle name="20% - 强调文字颜色 3 3 2 3 4" xfId="14010" xr:uid="{00000000-0005-0000-0000-0000B9360000}"/>
    <cellStyle name="20% - 强调文字颜色 3 3 2 3 4 2" xfId="14011" xr:uid="{00000000-0005-0000-0000-0000BA360000}"/>
    <cellStyle name="20% - 强调文字颜色 3 3 2 3 5" xfId="14012" xr:uid="{00000000-0005-0000-0000-0000BB360000}"/>
    <cellStyle name="20% - 强调文字颜色 3 3 2 3 5 2" xfId="14013" xr:uid="{00000000-0005-0000-0000-0000BC360000}"/>
    <cellStyle name="20% - 强调文字颜色 3 3 2 3 6" xfId="14014" xr:uid="{00000000-0005-0000-0000-0000BD360000}"/>
    <cellStyle name="20% - 强调文字颜色 3 3 2 4" xfId="14015" xr:uid="{00000000-0005-0000-0000-0000BE360000}"/>
    <cellStyle name="20% - 强调文字颜色 3 3 2 4 2" xfId="14016" xr:uid="{00000000-0005-0000-0000-0000BF360000}"/>
    <cellStyle name="20% - 强调文字颜色 3 3 2 4 2 2" xfId="14017" xr:uid="{00000000-0005-0000-0000-0000C0360000}"/>
    <cellStyle name="20% - 强调文字颜色 3 3 2 4 2 2 2" xfId="14018" xr:uid="{00000000-0005-0000-0000-0000C1360000}"/>
    <cellStyle name="20% - 强调文字颜色 3 3 2 4 3" xfId="14019" xr:uid="{00000000-0005-0000-0000-0000C2360000}"/>
    <cellStyle name="20% - 强调文字颜色 3 3 2 4 3 2" xfId="14020" xr:uid="{00000000-0005-0000-0000-0000C3360000}"/>
    <cellStyle name="20% - 强调文字颜色 3 3 2 4 4" xfId="14021" xr:uid="{00000000-0005-0000-0000-0000C4360000}"/>
    <cellStyle name="20% - 强调文字颜色 3 3 2 4 4 2" xfId="14022" xr:uid="{00000000-0005-0000-0000-0000C5360000}"/>
    <cellStyle name="20% - 强调文字颜色 3 3 2 4 5" xfId="14023" xr:uid="{00000000-0005-0000-0000-0000C6360000}"/>
    <cellStyle name="20% - 强调文字颜色 3 3 2 5" xfId="14024" xr:uid="{00000000-0005-0000-0000-0000C7360000}"/>
    <cellStyle name="20% - 强调文字颜色 3 3 2 6" xfId="14025" xr:uid="{00000000-0005-0000-0000-0000C8360000}"/>
    <cellStyle name="20% - 强调文字颜色 3 3 2 7" xfId="14026" xr:uid="{00000000-0005-0000-0000-0000C9360000}"/>
    <cellStyle name="20% - 强调文字颜色 3 3 2 7 2" xfId="14027" xr:uid="{00000000-0005-0000-0000-0000CA360000}"/>
    <cellStyle name="20% - 强调文字颜色 3 3 2 8" xfId="14028" xr:uid="{00000000-0005-0000-0000-0000CB360000}"/>
    <cellStyle name="20% - 强调文字颜色 3 3 2 8 2" xfId="14029" xr:uid="{00000000-0005-0000-0000-0000CC360000}"/>
    <cellStyle name="20% - 强调文字颜色 3 3 3" xfId="14030" xr:uid="{00000000-0005-0000-0000-0000CD360000}"/>
    <cellStyle name="20% - 强调文字颜色 3 3 3 2" xfId="14031" xr:uid="{00000000-0005-0000-0000-0000CE360000}"/>
    <cellStyle name="20% - 强调文字颜色 3 3 3 2 2" xfId="14032" xr:uid="{00000000-0005-0000-0000-0000CF360000}"/>
    <cellStyle name="20% - 强调文字颜色 3 3 3 2 3" xfId="14033" xr:uid="{00000000-0005-0000-0000-0000D0360000}"/>
    <cellStyle name="20% - 强调文字颜色 3 3 3 2 3 2" xfId="14034" xr:uid="{00000000-0005-0000-0000-0000D1360000}"/>
    <cellStyle name="20% - 强调文字颜色 3 3 3 2 3 2 2" xfId="14035" xr:uid="{00000000-0005-0000-0000-0000D2360000}"/>
    <cellStyle name="20% - 强调文字颜色 3 3 3 2 4" xfId="14036" xr:uid="{00000000-0005-0000-0000-0000D3360000}"/>
    <cellStyle name="20% - 强调文字颜色 3 3 3 2 4 2" xfId="14037" xr:uid="{00000000-0005-0000-0000-0000D4360000}"/>
    <cellStyle name="20% - 强调文字颜色 3 3 3 2 5" xfId="14038" xr:uid="{00000000-0005-0000-0000-0000D5360000}"/>
    <cellStyle name="20% - 强调文字颜色 3 3 3 2 5 2" xfId="14039" xr:uid="{00000000-0005-0000-0000-0000D6360000}"/>
    <cellStyle name="20% - 强调文字颜色 3 3 3 2 6" xfId="14040" xr:uid="{00000000-0005-0000-0000-0000D7360000}"/>
    <cellStyle name="20% - 强调文字颜色 3 3 3 3" xfId="14041" xr:uid="{00000000-0005-0000-0000-0000D8360000}"/>
    <cellStyle name="20% - 强调文字颜色 3 3 3 3 2" xfId="14042" xr:uid="{00000000-0005-0000-0000-0000D9360000}"/>
    <cellStyle name="20% - 强调文字颜色 3 3 3 3 2 2" xfId="14043" xr:uid="{00000000-0005-0000-0000-0000DA360000}"/>
    <cellStyle name="20% - 强调文字颜色 3 3 3 3 2 2 2" xfId="14044" xr:uid="{00000000-0005-0000-0000-0000DB360000}"/>
    <cellStyle name="20% - 强调文字颜色 3 3 3 3 3" xfId="14045" xr:uid="{00000000-0005-0000-0000-0000DC360000}"/>
    <cellStyle name="20% - 强调文字颜色 3 3 3 3 3 2" xfId="14046" xr:uid="{00000000-0005-0000-0000-0000DD360000}"/>
    <cellStyle name="20% - 强调文字颜色 3 3 3 3 4" xfId="14047" xr:uid="{00000000-0005-0000-0000-0000DE360000}"/>
    <cellStyle name="20% - 强调文字颜色 3 3 3 3 4 2" xfId="14048" xr:uid="{00000000-0005-0000-0000-0000DF360000}"/>
    <cellStyle name="20% - 强调文字颜色 3 3 3 3 5" xfId="14049" xr:uid="{00000000-0005-0000-0000-0000E0360000}"/>
    <cellStyle name="20% - 强调文字颜色 3 3 3 4" xfId="14050" xr:uid="{00000000-0005-0000-0000-0000E1360000}"/>
    <cellStyle name="20% - 强调文字颜色 3 3 3 5" xfId="14051" xr:uid="{00000000-0005-0000-0000-0000E2360000}"/>
    <cellStyle name="20% - 强调文字颜色 3 3 3 6" xfId="14052" xr:uid="{00000000-0005-0000-0000-0000E3360000}"/>
    <cellStyle name="20% - 强调文字颜色 3 3 3 6 2" xfId="14053" xr:uid="{00000000-0005-0000-0000-0000E4360000}"/>
    <cellStyle name="20% - 强调文字颜色 3 3 3 7" xfId="14054" xr:uid="{00000000-0005-0000-0000-0000E5360000}"/>
    <cellStyle name="20% - 强调文字颜色 3 3 3 7 2" xfId="14055" xr:uid="{00000000-0005-0000-0000-0000E6360000}"/>
    <cellStyle name="20% - 强调文字颜色 3 3 4" xfId="14056" xr:uid="{00000000-0005-0000-0000-0000E7360000}"/>
    <cellStyle name="20% - 强调文字颜色 3 3 4 2" xfId="14057" xr:uid="{00000000-0005-0000-0000-0000E8360000}"/>
    <cellStyle name="20% - 强调文字颜色 3 3 4 2 2" xfId="14058" xr:uid="{00000000-0005-0000-0000-0000E9360000}"/>
    <cellStyle name="20% - 强调文字颜色 3 3 4 2 3" xfId="14059" xr:uid="{00000000-0005-0000-0000-0000EA360000}"/>
    <cellStyle name="20% - 强调文字颜色 3 3 4 2 3 2" xfId="14060" xr:uid="{00000000-0005-0000-0000-0000EB360000}"/>
    <cellStyle name="20% - 强调文字颜色 3 3 4 2 3 2 2" xfId="14061" xr:uid="{00000000-0005-0000-0000-0000EC360000}"/>
    <cellStyle name="20% - 强调文字颜色 3 3 4 2 4" xfId="14062" xr:uid="{00000000-0005-0000-0000-0000ED360000}"/>
    <cellStyle name="20% - 强调文字颜色 3 3 4 2 4 2" xfId="14063" xr:uid="{00000000-0005-0000-0000-0000EE360000}"/>
    <cellStyle name="20% - 强调文字颜色 3 3 4 2 5" xfId="14064" xr:uid="{00000000-0005-0000-0000-0000EF360000}"/>
    <cellStyle name="20% - 强调文字颜色 3 3 4 2 5 2" xfId="14065" xr:uid="{00000000-0005-0000-0000-0000F0360000}"/>
    <cellStyle name="20% - 强调文字颜色 3 3 4 2 6" xfId="14066" xr:uid="{00000000-0005-0000-0000-0000F1360000}"/>
    <cellStyle name="20% - 强调文字颜色 3 3 4 3" xfId="14067" xr:uid="{00000000-0005-0000-0000-0000F2360000}"/>
    <cellStyle name="20% - 强调文字颜色 3 3 4 4" xfId="14068" xr:uid="{00000000-0005-0000-0000-0000F3360000}"/>
    <cellStyle name="20% - 强调文字颜色 3 3 4 5" xfId="14069" xr:uid="{00000000-0005-0000-0000-0000F4360000}"/>
    <cellStyle name="20% - 强调文字颜色 3 3 4 6" xfId="14070" xr:uid="{00000000-0005-0000-0000-0000F5360000}"/>
    <cellStyle name="20% - 强调文字颜色 3 3 4 6 2" xfId="14071" xr:uid="{00000000-0005-0000-0000-0000F6360000}"/>
    <cellStyle name="20% - 强调文字颜色 3 3 4 7" xfId="14072" xr:uid="{00000000-0005-0000-0000-0000F7360000}"/>
    <cellStyle name="20% - 强调文字颜色 3 3 4 7 2" xfId="14073" xr:uid="{00000000-0005-0000-0000-0000F8360000}"/>
    <cellStyle name="20% - 强调文字颜色 3 3 5" xfId="14074" xr:uid="{00000000-0005-0000-0000-0000F9360000}"/>
    <cellStyle name="20% - 强调文字颜色 3 3 5 2" xfId="14075" xr:uid="{00000000-0005-0000-0000-0000FA360000}"/>
    <cellStyle name="20% - 强调文字颜色 3 3 5 2 2" xfId="14076" xr:uid="{00000000-0005-0000-0000-0000FB360000}"/>
    <cellStyle name="20% - 强调文字颜色 3 3 5 2 2 2" xfId="14077" xr:uid="{00000000-0005-0000-0000-0000FC360000}"/>
    <cellStyle name="20% - 强调文字颜色 3 3 5 2 2 2 2" xfId="14078" xr:uid="{00000000-0005-0000-0000-0000FD360000}"/>
    <cellStyle name="20% - 强调文字颜色 3 3 5 2 3" xfId="14079" xr:uid="{00000000-0005-0000-0000-0000FE360000}"/>
    <cellStyle name="20% - 强调文字颜色 3 3 5 2 3 2" xfId="14080" xr:uid="{00000000-0005-0000-0000-0000FF360000}"/>
    <cellStyle name="20% - 强调文字颜色 3 3 5 2 4" xfId="14081" xr:uid="{00000000-0005-0000-0000-000000370000}"/>
    <cellStyle name="20% - 强调文字颜色 3 3 5 2 4 2" xfId="14082" xr:uid="{00000000-0005-0000-0000-000001370000}"/>
    <cellStyle name="20% - 强调文字颜色 3 3 5 2 5" xfId="14083" xr:uid="{00000000-0005-0000-0000-000002370000}"/>
    <cellStyle name="20% - 强调文字颜色 3 3 5 3" xfId="14084" xr:uid="{00000000-0005-0000-0000-000003370000}"/>
    <cellStyle name="20% - 强调文字颜色 3 3 5 3 2" xfId="14085" xr:uid="{00000000-0005-0000-0000-000004370000}"/>
    <cellStyle name="20% - 强调文字颜色 3 3 5 3 2 2" xfId="14086" xr:uid="{00000000-0005-0000-0000-000005370000}"/>
    <cellStyle name="20% - 强调文字颜色 3 3 5 4" xfId="14087" xr:uid="{00000000-0005-0000-0000-000006370000}"/>
    <cellStyle name="20% - 强调文字颜色 3 3 5 4 2" xfId="14088" xr:uid="{00000000-0005-0000-0000-000007370000}"/>
    <cellStyle name="20% - 强调文字颜色 3 3 5 5" xfId="14089" xr:uid="{00000000-0005-0000-0000-000008370000}"/>
    <cellStyle name="20% - 强调文字颜色 3 3 5 5 2" xfId="14090" xr:uid="{00000000-0005-0000-0000-000009370000}"/>
    <cellStyle name="20% - 强调文字颜色 3 3 5 6" xfId="14091" xr:uid="{00000000-0005-0000-0000-00000A370000}"/>
    <cellStyle name="20% - 强调文字颜色 3 3 6" xfId="14092" xr:uid="{00000000-0005-0000-0000-00000B370000}"/>
    <cellStyle name="20% - 强调文字颜色 3 3 6 2" xfId="14093" xr:uid="{00000000-0005-0000-0000-00000C370000}"/>
    <cellStyle name="20% - 强调文字颜色 3 3 6 2 2" xfId="14094" xr:uid="{00000000-0005-0000-0000-00000D370000}"/>
    <cellStyle name="20% - 强调文字颜色 3 3 6 2 2 2" xfId="14095" xr:uid="{00000000-0005-0000-0000-00000E370000}"/>
    <cellStyle name="20% - 强调文字颜色 3 3 6 3" xfId="14096" xr:uid="{00000000-0005-0000-0000-00000F370000}"/>
    <cellStyle name="20% - 强调文字颜色 3 3 6 3 2" xfId="14097" xr:uid="{00000000-0005-0000-0000-000010370000}"/>
    <cellStyle name="20% - 强调文字颜色 3 3 6 4" xfId="14098" xr:uid="{00000000-0005-0000-0000-000011370000}"/>
    <cellStyle name="20% - 强调文字颜色 3 3 6 4 2" xfId="14099" xr:uid="{00000000-0005-0000-0000-000012370000}"/>
    <cellStyle name="20% - 强调文字颜色 3 3 6 5" xfId="14100" xr:uid="{00000000-0005-0000-0000-000013370000}"/>
    <cellStyle name="20% - 强调文字颜色 3 3 7" xfId="14101" xr:uid="{00000000-0005-0000-0000-000014370000}"/>
    <cellStyle name="20% - 强调文字颜色 3 3 8" xfId="14102" xr:uid="{00000000-0005-0000-0000-000015370000}"/>
    <cellStyle name="20% - 强调文字颜色 3 3 8 2" xfId="14103" xr:uid="{00000000-0005-0000-0000-000016370000}"/>
    <cellStyle name="20% - 强调文字颜色 3 3 9" xfId="14104" xr:uid="{00000000-0005-0000-0000-000017370000}"/>
    <cellStyle name="20% - 强调文字颜色 3 3 9 2" xfId="14105" xr:uid="{00000000-0005-0000-0000-000018370000}"/>
    <cellStyle name="20% - 强调文字颜色 4 2" xfId="14106" xr:uid="{00000000-0005-0000-0000-000019370000}"/>
    <cellStyle name="20% - 强调文字颜色 4 2 10" xfId="14107" xr:uid="{00000000-0005-0000-0000-00001A370000}"/>
    <cellStyle name="20% - 强调文字颜色 4 2 11" xfId="14108" xr:uid="{00000000-0005-0000-0000-00001B370000}"/>
    <cellStyle name="20% - 强调文字颜色 4 2 11 2" xfId="14109" xr:uid="{00000000-0005-0000-0000-00001C370000}"/>
    <cellStyle name="20% - 强调文字颜色 4 2 12" xfId="14110" xr:uid="{00000000-0005-0000-0000-00001D370000}"/>
    <cellStyle name="20% - 强调文字颜色 4 2 12 2" xfId="14111" xr:uid="{00000000-0005-0000-0000-00001E370000}"/>
    <cellStyle name="20% - 强调文字颜色 4 2 2" xfId="14112" xr:uid="{00000000-0005-0000-0000-00001F370000}"/>
    <cellStyle name="20% - 强调文字颜色 4 2 2 10" xfId="14113" xr:uid="{00000000-0005-0000-0000-000020370000}"/>
    <cellStyle name="20% - 强调文字颜色 4 2 2 11" xfId="14114" xr:uid="{00000000-0005-0000-0000-000021370000}"/>
    <cellStyle name="20% - 强调文字颜色 4 2 2 11 2" xfId="14115" xr:uid="{00000000-0005-0000-0000-000022370000}"/>
    <cellStyle name="20% - 强调文字颜色 4 2 2 12" xfId="14116" xr:uid="{00000000-0005-0000-0000-000023370000}"/>
    <cellStyle name="20% - 强调文字颜色 4 2 2 12 2" xfId="14117" xr:uid="{00000000-0005-0000-0000-000024370000}"/>
    <cellStyle name="20% - 强调文字颜色 4 2 2 2" xfId="14118" xr:uid="{00000000-0005-0000-0000-000025370000}"/>
    <cellStyle name="20% - 强调文字颜色 4 2 2 2 2" xfId="14119" xr:uid="{00000000-0005-0000-0000-000026370000}"/>
    <cellStyle name="20% - 强调文字颜色 4 2 2 2 2 2" xfId="14120" xr:uid="{00000000-0005-0000-0000-000027370000}"/>
    <cellStyle name="20% - 强调文字颜色 4 2 2 2 2 2 2" xfId="14121" xr:uid="{00000000-0005-0000-0000-000028370000}"/>
    <cellStyle name="20% - 强调文字颜色 4 2 2 2 2 2 3" xfId="14122" xr:uid="{00000000-0005-0000-0000-000029370000}"/>
    <cellStyle name="20% - 强调文字颜色 4 2 2 2 2 2 3 2" xfId="14123" xr:uid="{00000000-0005-0000-0000-00002A370000}"/>
    <cellStyle name="20% - 强调文字颜色 4 2 2 2 2 2 3 2 2" xfId="14124" xr:uid="{00000000-0005-0000-0000-00002B370000}"/>
    <cellStyle name="20% - 强调文字颜色 4 2 2 2 2 2 4" xfId="14125" xr:uid="{00000000-0005-0000-0000-00002C370000}"/>
    <cellStyle name="20% - 强调文字颜色 4 2 2 2 2 2 4 2" xfId="14126" xr:uid="{00000000-0005-0000-0000-00002D370000}"/>
    <cellStyle name="20% - 强调文字颜色 4 2 2 2 2 2 5" xfId="14127" xr:uid="{00000000-0005-0000-0000-00002E370000}"/>
    <cellStyle name="20% - 强调文字颜色 4 2 2 2 2 2 5 2" xfId="14128" xr:uid="{00000000-0005-0000-0000-00002F370000}"/>
    <cellStyle name="20% - 强调文字颜色 4 2 2 2 2 2 6" xfId="14129" xr:uid="{00000000-0005-0000-0000-000030370000}"/>
    <cellStyle name="20% - 强调文字颜色 4 2 2 2 2 3" xfId="14130" xr:uid="{00000000-0005-0000-0000-000031370000}"/>
    <cellStyle name="20% - 强调文字颜色 4 2 2 2 2 3 2" xfId="14131" xr:uid="{00000000-0005-0000-0000-000032370000}"/>
    <cellStyle name="20% - 强调文字颜色 4 2 2 2 2 3 2 2" xfId="14132" xr:uid="{00000000-0005-0000-0000-000033370000}"/>
    <cellStyle name="20% - 强调文字颜色 4 2 2 2 2 3 2 2 2" xfId="14133" xr:uid="{00000000-0005-0000-0000-000034370000}"/>
    <cellStyle name="20% - 强调文字颜色 4 2 2 2 2 3 3" xfId="14134" xr:uid="{00000000-0005-0000-0000-000035370000}"/>
    <cellStyle name="20% - 强调文字颜色 4 2 2 2 2 3 3 2" xfId="14135" xr:uid="{00000000-0005-0000-0000-000036370000}"/>
    <cellStyle name="20% - 强调文字颜色 4 2 2 2 2 3 4" xfId="14136" xr:uid="{00000000-0005-0000-0000-000037370000}"/>
    <cellStyle name="20% - 强调文字颜色 4 2 2 2 2 3 4 2" xfId="14137" xr:uid="{00000000-0005-0000-0000-000038370000}"/>
    <cellStyle name="20% - 强调文字颜色 4 2 2 2 2 3 5" xfId="14138" xr:uid="{00000000-0005-0000-0000-000039370000}"/>
    <cellStyle name="20% - 强调文字颜色 4 2 2 2 2 4" xfId="14139" xr:uid="{00000000-0005-0000-0000-00003A370000}"/>
    <cellStyle name="20% - 强调文字颜色 4 2 2 2 2 5" xfId="14140" xr:uid="{00000000-0005-0000-0000-00003B370000}"/>
    <cellStyle name="20% - 强调文字颜色 4 2 2 2 2 6" xfId="14141" xr:uid="{00000000-0005-0000-0000-00003C370000}"/>
    <cellStyle name="20% - 强调文字颜色 4 2 2 2 2 6 2" xfId="14142" xr:uid="{00000000-0005-0000-0000-00003D370000}"/>
    <cellStyle name="20% - 强调文字颜色 4 2 2 2 2 7" xfId="14143" xr:uid="{00000000-0005-0000-0000-00003E370000}"/>
    <cellStyle name="20% - 强调文字颜色 4 2 2 2 2 7 2" xfId="14144" xr:uid="{00000000-0005-0000-0000-00003F370000}"/>
    <cellStyle name="20% - 强调文字颜色 4 2 2 2 3" xfId="14145" xr:uid="{00000000-0005-0000-0000-000040370000}"/>
    <cellStyle name="20% - 强调文字颜色 4 2 2 2 3 2" xfId="14146" xr:uid="{00000000-0005-0000-0000-000041370000}"/>
    <cellStyle name="20% - 强调文字颜色 4 2 2 2 3 3" xfId="14147" xr:uid="{00000000-0005-0000-0000-000042370000}"/>
    <cellStyle name="20% - 强调文字颜色 4 2 2 2 3 3 2" xfId="14148" xr:uid="{00000000-0005-0000-0000-000043370000}"/>
    <cellStyle name="20% - 强调文字颜色 4 2 2 2 3 3 2 2" xfId="14149" xr:uid="{00000000-0005-0000-0000-000044370000}"/>
    <cellStyle name="20% - 强调文字颜色 4 2 2 2 3 4" xfId="14150" xr:uid="{00000000-0005-0000-0000-000045370000}"/>
    <cellStyle name="20% - 强调文字颜色 4 2 2 2 3 4 2" xfId="14151" xr:uid="{00000000-0005-0000-0000-000046370000}"/>
    <cellStyle name="20% - 强调文字颜色 4 2 2 2 3 5" xfId="14152" xr:uid="{00000000-0005-0000-0000-000047370000}"/>
    <cellStyle name="20% - 强调文字颜色 4 2 2 2 3 5 2" xfId="14153" xr:uid="{00000000-0005-0000-0000-000048370000}"/>
    <cellStyle name="20% - 强调文字颜色 4 2 2 2 3 6" xfId="14154" xr:uid="{00000000-0005-0000-0000-000049370000}"/>
    <cellStyle name="20% - 强调文字颜色 4 2 2 2 4" xfId="14155" xr:uid="{00000000-0005-0000-0000-00004A370000}"/>
    <cellStyle name="20% - 强调文字颜色 4 2 2 2 4 2" xfId="14156" xr:uid="{00000000-0005-0000-0000-00004B370000}"/>
    <cellStyle name="20% - 强调文字颜色 4 2 2 2 4 2 2" xfId="14157" xr:uid="{00000000-0005-0000-0000-00004C370000}"/>
    <cellStyle name="20% - 强调文字颜色 4 2 2 2 4 2 2 2" xfId="14158" xr:uid="{00000000-0005-0000-0000-00004D370000}"/>
    <cellStyle name="20% - 强调文字颜色 4 2 2 2 4 3" xfId="14159" xr:uid="{00000000-0005-0000-0000-00004E370000}"/>
    <cellStyle name="20% - 强调文字颜色 4 2 2 2 4 3 2" xfId="14160" xr:uid="{00000000-0005-0000-0000-00004F370000}"/>
    <cellStyle name="20% - 强调文字颜色 4 2 2 2 4 4" xfId="14161" xr:uid="{00000000-0005-0000-0000-000050370000}"/>
    <cellStyle name="20% - 强调文字颜色 4 2 2 2 4 4 2" xfId="14162" xr:uid="{00000000-0005-0000-0000-000051370000}"/>
    <cellStyle name="20% - 强调文字颜色 4 2 2 2 4 5" xfId="14163" xr:uid="{00000000-0005-0000-0000-000052370000}"/>
    <cellStyle name="20% - 强调文字颜色 4 2 2 2 5" xfId="14164" xr:uid="{00000000-0005-0000-0000-000053370000}"/>
    <cellStyle name="20% - 强调文字颜色 4 2 2 2 6" xfId="14165" xr:uid="{00000000-0005-0000-0000-000054370000}"/>
    <cellStyle name="20% - 强调文字颜色 4 2 2 2 7" xfId="14166" xr:uid="{00000000-0005-0000-0000-000055370000}"/>
    <cellStyle name="20% - 强调文字颜色 4 2 2 2 7 2" xfId="14167" xr:uid="{00000000-0005-0000-0000-000056370000}"/>
    <cellStyle name="20% - 强调文字颜色 4 2 2 2 8" xfId="14168" xr:uid="{00000000-0005-0000-0000-000057370000}"/>
    <cellStyle name="20% - 强调文字颜色 4 2 2 2 8 2" xfId="14169" xr:uid="{00000000-0005-0000-0000-000058370000}"/>
    <cellStyle name="20% - 强调文字颜色 4 2 2 3" xfId="14170" xr:uid="{00000000-0005-0000-0000-000059370000}"/>
    <cellStyle name="20% - 强调文字颜色 4 2 2 3 2" xfId="14171" xr:uid="{00000000-0005-0000-0000-00005A370000}"/>
    <cellStyle name="20% - 强调文字颜色 4 2 2 3 2 2" xfId="14172" xr:uid="{00000000-0005-0000-0000-00005B370000}"/>
    <cellStyle name="20% - 强调文字颜色 4 2 2 3 2 3" xfId="14173" xr:uid="{00000000-0005-0000-0000-00005C370000}"/>
    <cellStyle name="20% - 强调文字颜色 4 2 2 3 2 3 2" xfId="14174" xr:uid="{00000000-0005-0000-0000-00005D370000}"/>
    <cellStyle name="20% - 强调文字颜色 4 2 2 3 2 3 2 2" xfId="14175" xr:uid="{00000000-0005-0000-0000-00005E370000}"/>
    <cellStyle name="20% - 强调文字颜色 4 2 2 3 2 4" xfId="14176" xr:uid="{00000000-0005-0000-0000-00005F370000}"/>
    <cellStyle name="20% - 强调文字颜色 4 2 2 3 2 4 2" xfId="14177" xr:uid="{00000000-0005-0000-0000-000060370000}"/>
    <cellStyle name="20% - 强调文字颜色 4 2 2 3 2 5" xfId="14178" xr:uid="{00000000-0005-0000-0000-000061370000}"/>
    <cellStyle name="20% - 强调文字颜色 4 2 2 3 2 5 2" xfId="14179" xr:uid="{00000000-0005-0000-0000-000062370000}"/>
    <cellStyle name="20% - 强调文字颜色 4 2 2 3 2 6" xfId="14180" xr:uid="{00000000-0005-0000-0000-000063370000}"/>
    <cellStyle name="20% - 强调文字颜色 4 2 2 3 3" xfId="14181" xr:uid="{00000000-0005-0000-0000-000064370000}"/>
    <cellStyle name="20% - 强调文字颜色 4 2 2 3 3 2" xfId="14182" xr:uid="{00000000-0005-0000-0000-000065370000}"/>
    <cellStyle name="20% - 强调文字颜色 4 2 2 3 3 2 2" xfId="14183" xr:uid="{00000000-0005-0000-0000-000066370000}"/>
    <cellStyle name="20% - 强调文字颜色 4 2 2 3 3 2 2 2" xfId="14184" xr:uid="{00000000-0005-0000-0000-000067370000}"/>
    <cellStyle name="20% - 强调文字颜色 4 2 2 3 3 3" xfId="14185" xr:uid="{00000000-0005-0000-0000-000068370000}"/>
    <cellStyle name="20% - 强调文字颜色 4 2 2 3 3 3 2" xfId="14186" xr:uid="{00000000-0005-0000-0000-000069370000}"/>
    <cellStyle name="20% - 强调文字颜色 4 2 2 3 3 4" xfId="14187" xr:uid="{00000000-0005-0000-0000-00006A370000}"/>
    <cellStyle name="20% - 强调文字颜色 4 2 2 3 3 4 2" xfId="14188" xr:uid="{00000000-0005-0000-0000-00006B370000}"/>
    <cellStyle name="20% - 强调文字颜色 4 2 2 3 3 5" xfId="14189" xr:uid="{00000000-0005-0000-0000-00006C370000}"/>
    <cellStyle name="20% - 强调文字颜色 4 2 2 3 4" xfId="14190" xr:uid="{00000000-0005-0000-0000-00006D370000}"/>
    <cellStyle name="20% - 强调文字颜色 4 2 2 3 5" xfId="14191" xr:uid="{00000000-0005-0000-0000-00006E370000}"/>
    <cellStyle name="20% - 强调文字颜色 4 2 2 3 6" xfId="14192" xr:uid="{00000000-0005-0000-0000-00006F370000}"/>
    <cellStyle name="20% - 强调文字颜色 4 2 2 3 6 2" xfId="14193" xr:uid="{00000000-0005-0000-0000-000070370000}"/>
    <cellStyle name="20% - 强调文字颜色 4 2 2 3 7" xfId="14194" xr:uid="{00000000-0005-0000-0000-000071370000}"/>
    <cellStyle name="20% - 强调文字颜色 4 2 2 3 7 2" xfId="14195" xr:uid="{00000000-0005-0000-0000-000072370000}"/>
    <cellStyle name="20% - 强调文字颜色 4 2 2 4" xfId="14196" xr:uid="{00000000-0005-0000-0000-000073370000}"/>
    <cellStyle name="20% - 强调文字颜色 4 2 2 4 2" xfId="14197" xr:uid="{00000000-0005-0000-0000-000074370000}"/>
    <cellStyle name="20% - 强调文字颜色 4 2 2 4 2 2" xfId="14198" xr:uid="{00000000-0005-0000-0000-000075370000}"/>
    <cellStyle name="20% - 强调文字颜色 4 2 2 4 2 3" xfId="14199" xr:uid="{00000000-0005-0000-0000-000076370000}"/>
    <cellStyle name="20% - 强调文字颜色 4 2 2 4 2 3 2" xfId="14200" xr:uid="{00000000-0005-0000-0000-000077370000}"/>
    <cellStyle name="20% - 强调文字颜色 4 2 2 4 2 3 2 2" xfId="14201" xr:uid="{00000000-0005-0000-0000-000078370000}"/>
    <cellStyle name="20% - 强调文字颜色 4 2 2 4 2 4" xfId="14202" xr:uid="{00000000-0005-0000-0000-000079370000}"/>
    <cellStyle name="20% - 强调文字颜色 4 2 2 4 2 4 2" xfId="14203" xr:uid="{00000000-0005-0000-0000-00007A370000}"/>
    <cellStyle name="20% - 强调文字颜色 4 2 2 4 2 5" xfId="14204" xr:uid="{00000000-0005-0000-0000-00007B370000}"/>
    <cellStyle name="20% - 强调文字颜色 4 2 2 4 2 5 2" xfId="14205" xr:uid="{00000000-0005-0000-0000-00007C370000}"/>
    <cellStyle name="20% - 强调文字颜色 4 2 2 4 2 6" xfId="14206" xr:uid="{00000000-0005-0000-0000-00007D370000}"/>
    <cellStyle name="20% - 强调文字颜色 4 2 2 4 3" xfId="14207" xr:uid="{00000000-0005-0000-0000-00007E370000}"/>
    <cellStyle name="20% - 强调文字颜色 4 2 2 4 4" xfId="14208" xr:uid="{00000000-0005-0000-0000-00007F370000}"/>
    <cellStyle name="20% - 强调文字颜色 4 2 2 4 5" xfId="14209" xr:uid="{00000000-0005-0000-0000-000080370000}"/>
    <cellStyle name="20% - 强调文字颜色 4 2 2 4 6" xfId="14210" xr:uid="{00000000-0005-0000-0000-000081370000}"/>
    <cellStyle name="20% - 强调文字颜色 4 2 2 4 6 2" xfId="14211" xr:uid="{00000000-0005-0000-0000-000082370000}"/>
    <cellStyle name="20% - 强调文字颜色 4 2 2 4 7" xfId="14212" xr:uid="{00000000-0005-0000-0000-000083370000}"/>
    <cellStyle name="20% - 强调文字颜色 4 2 2 4 7 2" xfId="14213" xr:uid="{00000000-0005-0000-0000-000084370000}"/>
    <cellStyle name="20% - 强调文字颜色 4 2 2 5" xfId="14214" xr:uid="{00000000-0005-0000-0000-000085370000}"/>
    <cellStyle name="20% - 强调文字颜色 4 2 2 5 2" xfId="14215" xr:uid="{00000000-0005-0000-0000-000086370000}"/>
    <cellStyle name="20% - 强调文字颜色 4 2 2 5 2 2" xfId="14216" xr:uid="{00000000-0005-0000-0000-000087370000}"/>
    <cellStyle name="20% - 强调文字颜色 4 2 2 5 2 2 2" xfId="14217" xr:uid="{00000000-0005-0000-0000-000088370000}"/>
    <cellStyle name="20% - 强调文字颜色 4 2 2 5 2 2 2 2" xfId="14218" xr:uid="{00000000-0005-0000-0000-000089370000}"/>
    <cellStyle name="20% - 强调文字颜色 4 2 2 5 2 3" xfId="14219" xr:uid="{00000000-0005-0000-0000-00008A370000}"/>
    <cellStyle name="20% - 强调文字颜色 4 2 2 5 2 3 2" xfId="14220" xr:uid="{00000000-0005-0000-0000-00008B370000}"/>
    <cellStyle name="20% - 强调文字颜色 4 2 2 5 2 4" xfId="14221" xr:uid="{00000000-0005-0000-0000-00008C370000}"/>
    <cellStyle name="20% - 强调文字颜色 4 2 2 5 2 4 2" xfId="14222" xr:uid="{00000000-0005-0000-0000-00008D370000}"/>
    <cellStyle name="20% - 强调文字颜色 4 2 2 5 2 5" xfId="14223" xr:uid="{00000000-0005-0000-0000-00008E370000}"/>
    <cellStyle name="20% - 强调文字颜色 4 2 2 5 3" xfId="14224" xr:uid="{00000000-0005-0000-0000-00008F370000}"/>
    <cellStyle name="20% - 强调文字颜色 4 2 2 5 3 2" xfId="14225" xr:uid="{00000000-0005-0000-0000-000090370000}"/>
    <cellStyle name="20% - 强调文字颜色 4 2 2 5 3 2 2" xfId="14226" xr:uid="{00000000-0005-0000-0000-000091370000}"/>
    <cellStyle name="20% - 强调文字颜色 4 2 2 5 4" xfId="14227" xr:uid="{00000000-0005-0000-0000-000092370000}"/>
    <cellStyle name="20% - 强调文字颜色 4 2 2 5 4 2" xfId="14228" xr:uid="{00000000-0005-0000-0000-000093370000}"/>
    <cellStyle name="20% - 强调文字颜色 4 2 2 5 5" xfId="14229" xr:uid="{00000000-0005-0000-0000-000094370000}"/>
    <cellStyle name="20% - 强调文字颜色 4 2 2 5 5 2" xfId="14230" xr:uid="{00000000-0005-0000-0000-000095370000}"/>
    <cellStyle name="20% - 强调文字颜色 4 2 2 5 6" xfId="14231" xr:uid="{00000000-0005-0000-0000-000096370000}"/>
    <cellStyle name="20% - 强调文字颜色 4 2 2 6" xfId="14232" xr:uid="{00000000-0005-0000-0000-000097370000}"/>
    <cellStyle name="20% - 强调文字颜色 4 2 2 6 2" xfId="14233" xr:uid="{00000000-0005-0000-0000-000098370000}"/>
    <cellStyle name="20% - 强调文字颜色 4 2 2 6 2 2" xfId="14234" xr:uid="{00000000-0005-0000-0000-000099370000}"/>
    <cellStyle name="20% - 强调文字颜色 4 2 2 6 2 2 2" xfId="14235" xr:uid="{00000000-0005-0000-0000-00009A370000}"/>
    <cellStyle name="20% - 强调文字颜色 4 2 2 6 2 2 2 2" xfId="14236" xr:uid="{00000000-0005-0000-0000-00009B370000}"/>
    <cellStyle name="20% - 强调文字颜色 4 2 2 6 2 3" xfId="14237" xr:uid="{00000000-0005-0000-0000-00009C370000}"/>
    <cellStyle name="20% - 强调文字颜色 4 2 2 6 2 3 2" xfId="14238" xr:uid="{00000000-0005-0000-0000-00009D370000}"/>
    <cellStyle name="20% - 强调文字颜色 4 2 2 6 2 4" xfId="14239" xr:uid="{00000000-0005-0000-0000-00009E370000}"/>
    <cellStyle name="20% - 强调文字颜色 4 2 2 6 2 4 2" xfId="14240" xr:uid="{00000000-0005-0000-0000-00009F370000}"/>
    <cellStyle name="20% - 强调文字颜色 4 2 2 6 2 5" xfId="14241" xr:uid="{00000000-0005-0000-0000-0000A0370000}"/>
    <cellStyle name="20% - 强调文字颜色 4 2 2 6 3" xfId="14242" xr:uid="{00000000-0005-0000-0000-0000A1370000}"/>
    <cellStyle name="20% - 强调文字颜色 4 2 2 6 3 2" xfId="14243" xr:uid="{00000000-0005-0000-0000-0000A2370000}"/>
    <cellStyle name="20% - 强调文字颜色 4 2 2 6 3 2 2" xfId="14244" xr:uid="{00000000-0005-0000-0000-0000A3370000}"/>
    <cellStyle name="20% - 强调文字颜色 4 2 2 6 4" xfId="14245" xr:uid="{00000000-0005-0000-0000-0000A4370000}"/>
    <cellStyle name="20% - 强调文字颜色 4 2 2 6 4 2" xfId="14246" xr:uid="{00000000-0005-0000-0000-0000A5370000}"/>
    <cellStyle name="20% - 强调文字颜色 4 2 2 6 5" xfId="14247" xr:uid="{00000000-0005-0000-0000-0000A6370000}"/>
    <cellStyle name="20% - 强调文字颜色 4 2 2 6 5 2" xfId="14248" xr:uid="{00000000-0005-0000-0000-0000A7370000}"/>
    <cellStyle name="20% - 强调文字颜色 4 2 2 6 6" xfId="14249" xr:uid="{00000000-0005-0000-0000-0000A8370000}"/>
    <cellStyle name="20% - 强调文字颜色 4 2 2 7" xfId="14250" xr:uid="{00000000-0005-0000-0000-0000A9370000}"/>
    <cellStyle name="20% - 强调文字颜色 4 2 2 7 2" xfId="14251" xr:uid="{00000000-0005-0000-0000-0000AA370000}"/>
    <cellStyle name="20% - 强调文字颜色 4 2 2 7 2 2" xfId="14252" xr:uid="{00000000-0005-0000-0000-0000AB370000}"/>
    <cellStyle name="20% - 强调文字颜色 4 2 2 7 2 2 2" xfId="14253" xr:uid="{00000000-0005-0000-0000-0000AC370000}"/>
    <cellStyle name="20% - 强调文字颜色 4 2 2 7 2 2 2 2" xfId="14254" xr:uid="{00000000-0005-0000-0000-0000AD370000}"/>
    <cellStyle name="20% - 强调文字颜色 4 2 2 7 2 3" xfId="14255" xr:uid="{00000000-0005-0000-0000-0000AE370000}"/>
    <cellStyle name="20% - 强调文字颜色 4 2 2 7 2 3 2" xfId="14256" xr:uid="{00000000-0005-0000-0000-0000AF370000}"/>
    <cellStyle name="20% - 强调文字颜色 4 2 2 7 2 4" xfId="14257" xr:uid="{00000000-0005-0000-0000-0000B0370000}"/>
    <cellStyle name="20% - 强调文字颜色 4 2 2 7 2 4 2" xfId="14258" xr:uid="{00000000-0005-0000-0000-0000B1370000}"/>
    <cellStyle name="20% - 强调文字颜色 4 2 2 7 2 5" xfId="14259" xr:uid="{00000000-0005-0000-0000-0000B2370000}"/>
    <cellStyle name="20% - 强调文字颜色 4 2 2 7 3" xfId="14260" xr:uid="{00000000-0005-0000-0000-0000B3370000}"/>
    <cellStyle name="20% - 强调文字颜色 4 2 2 7 3 2" xfId="14261" xr:uid="{00000000-0005-0000-0000-0000B4370000}"/>
    <cellStyle name="20% - 强调文字颜色 4 2 2 7 3 2 2" xfId="14262" xr:uid="{00000000-0005-0000-0000-0000B5370000}"/>
    <cellStyle name="20% - 强调文字颜色 4 2 2 7 4" xfId="14263" xr:uid="{00000000-0005-0000-0000-0000B6370000}"/>
    <cellStyle name="20% - 强调文字颜色 4 2 2 7 4 2" xfId="14264" xr:uid="{00000000-0005-0000-0000-0000B7370000}"/>
    <cellStyle name="20% - 强调文字颜色 4 2 2 7 5" xfId="14265" xr:uid="{00000000-0005-0000-0000-0000B8370000}"/>
    <cellStyle name="20% - 强调文字颜色 4 2 2 7 5 2" xfId="14266" xr:uid="{00000000-0005-0000-0000-0000B9370000}"/>
    <cellStyle name="20% - 强调文字颜色 4 2 2 7 6" xfId="14267" xr:uid="{00000000-0005-0000-0000-0000BA370000}"/>
    <cellStyle name="20% - 强调文字颜色 4 2 2 8" xfId="14268" xr:uid="{00000000-0005-0000-0000-0000BB370000}"/>
    <cellStyle name="20% - 强调文字颜色 4 2 2 8 2" xfId="14269" xr:uid="{00000000-0005-0000-0000-0000BC370000}"/>
    <cellStyle name="20% - 强调文字颜色 4 2 2 8 2 2" xfId="14270" xr:uid="{00000000-0005-0000-0000-0000BD370000}"/>
    <cellStyle name="20% - 强调文字颜色 4 2 2 8 2 2 2" xfId="14271" xr:uid="{00000000-0005-0000-0000-0000BE370000}"/>
    <cellStyle name="20% - 强调文字颜色 4 2 2 8 3" xfId="14272" xr:uid="{00000000-0005-0000-0000-0000BF370000}"/>
    <cellStyle name="20% - 强调文字颜色 4 2 2 8 3 2" xfId="14273" xr:uid="{00000000-0005-0000-0000-0000C0370000}"/>
    <cellStyle name="20% - 强调文字颜色 4 2 2 8 4" xfId="14274" xr:uid="{00000000-0005-0000-0000-0000C1370000}"/>
    <cellStyle name="20% - 强调文字颜色 4 2 2 8 4 2" xfId="14275" xr:uid="{00000000-0005-0000-0000-0000C2370000}"/>
    <cellStyle name="20% - 强调文字颜色 4 2 2 8 5" xfId="14276" xr:uid="{00000000-0005-0000-0000-0000C3370000}"/>
    <cellStyle name="20% - 强调文字颜色 4 2 2 9" xfId="14277" xr:uid="{00000000-0005-0000-0000-0000C4370000}"/>
    <cellStyle name="20% - 强调文字颜色 4 2 2 9 2" xfId="14278" xr:uid="{00000000-0005-0000-0000-0000C5370000}"/>
    <cellStyle name="20% - 强调文字颜色 4 2 2 9 2 2" xfId="14279" xr:uid="{00000000-0005-0000-0000-0000C6370000}"/>
    <cellStyle name="20% - 强调文字颜色 4 2 2 9 2 2 2" xfId="14280" xr:uid="{00000000-0005-0000-0000-0000C7370000}"/>
    <cellStyle name="20% - 强调文字颜色 4 2 2 9 3" xfId="14281" xr:uid="{00000000-0005-0000-0000-0000C8370000}"/>
    <cellStyle name="20% - 强调文字颜色 4 2 2 9 3 2" xfId="14282" xr:uid="{00000000-0005-0000-0000-0000C9370000}"/>
    <cellStyle name="20% - 强调文字颜色 4 2 2 9 4" xfId="14283" xr:uid="{00000000-0005-0000-0000-0000CA370000}"/>
    <cellStyle name="20% - 强调文字颜色 4 2 2 9 4 2" xfId="14284" xr:uid="{00000000-0005-0000-0000-0000CB370000}"/>
    <cellStyle name="20% - 强调文字颜色 4 2 2 9 5" xfId="14285" xr:uid="{00000000-0005-0000-0000-0000CC370000}"/>
    <cellStyle name="20% - 强调文字颜色 4 2 3" xfId="14286" xr:uid="{00000000-0005-0000-0000-0000CD370000}"/>
    <cellStyle name="20% - 强调文字颜色 4 2 3 10" xfId="14287" xr:uid="{00000000-0005-0000-0000-0000CE370000}"/>
    <cellStyle name="20% - 强调文字颜色 4 2 3 10 2" xfId="14288" xr:uid="{00000000-0005-0000-0000-0000CF370000}"/>
    <cellStyle name="20% - 强调文字颜色 4 2 3 2" xfId="14289" xr:uid="{00000000-0005-0000-0000-0000D0370000}"/>
    <cellStyle name="20% - 强调文字颜色 4 2 3 2 2" xfId="14290" xr:uid="{00000000-0005-0000-0000-0000D1370000}"/>
    <cellStyle name="20% - 强调文字颜色 4 2 3 2 2 2" xfId="14291" xr:uid="{00000000-0005-0000-0000-0000D2370000}"/>
    <cellStyle name="20% - 强调文字颜色 4 2 3 2 2 2 2" xfId="14292" xr:uid="{00000000-0005-0000-0000-0000D3370000}"/>
    <cellStyle name="20% - 强调文字颜色 4 2 3 2 2 2 3" xfId="14293" xr:uid="{00000000-0005-0000-0000-0000D4370000}"/>
    <cellStyle name="20% - 强调文字颜色 4 2 3 2 2 2 3 2" xfId="14294" xr:uid="{00000000-0005-0000-0000-0000D5370000}"/>
    <cellStyle name="20% - 强调文字颜色 4 2 3 2 2 2 3 2 2" xfId="14295" xr:uid="{00000000-0005-0000-0000-0000D6370000}"/>
    <cellStyle name="20% - 强调文字颜色 4 2 3 2 2 2 4" xfId="14296" xr:uid="{00000000-0005-0000-0000-0000D7370000}"/>
    <cellStyle name="20% - 强调文字颜色 4 2 3 2 2 2 4 2" xfId="14297" xr:uid="{00000000-0005-0000-0000-0000D8370000}"/>
    <cellStyle name="20% - 强调文字颜色 4 2 3 2 2 2 5" xfId="14298" xr:uid="{00000000-0005-0000-0000-0000D9370000}"/>
    <cellStyle name="20% - 强调文字颜色 4 2 3 2 2 2 5 2" xfId="14299" xr:uid="{00000000-0005-0000-0000-0000DA370000}"/>
    <cellStyle name="20% - 强调文字颜色 4 2 3 2 2 2 6" xfId="14300" xr:uid="{00000000-0005-0000-0000-0000DB370000}"/>
    <cellStyle name="20% - 强调文字颜色 4 2 3 2 2 3" xfId="14301" xr:uid="{00000000-0005-0000-0000-0000DC370000}"/>
    <cellStyle name="20% - 强调文字颜色 4 2 3 2 2 3 2" xfId="14302" xr:uid="{00000000-0005-0000-0000-0000DD370000}"/>
    <cellStyle name="20% - 强调文字颜色 4 2 3 2 2 3 2 2" xfId="14303" xr:uid="{00000000-0005-0000-0000-0000DE370000}"/>
    <cellStyle name="20% - 强调文字颜色 4 2 3 2 2 3 2 2 2" xfId="14304" xr:uid="{00000000-0005-0000-0000-0000DF370000}"/>
    <cellStyle name="20% - 强调文字颜色 4 2 3 2 2 3 3" xfId="14305" xr:uid="{00000000-0005-0000-0000-0000E0370000}"/>
    <cellStyle name="20% - 强调文字颜色 4 2 3 2 2 3 3 2" xfId="14306" xr:uid="{00000000-0005-0000-0000-0000E1370000}"/>
    <cellStyle name="20% - 强调文字颜色 4 2 3 2 2 3 4" xfId="14307" xr:uid="{00000000-0005-0000-0000-0000E2370000}"/>
    <cellStyle name="20% - 强调文字颜色 4 2 3 2 2 3 4 2" xfId="14308" xr:uid="{00000000-0005-0000-0000-0000E3370000}"/>
    <cellStyle name="20% - 强调文字颜色 4 2 3 2 2 3 5" xfId="14309" xr:uid="{00000000-0005-0000-0000-0000E4370000}"/>
    <cellStyle name="20% - 强调文字颜色 4 2 3 2 2 4" xfId="14310" xr:uid="{00000000-0005-0000-0000-0000E5370000}"/>
    <cellStyle name="20% - 强调文字颜色 4 2 3 2 2 5" xfId="14311" xr:uid="{00000000-0005-0000-0000-0000E6370000}"/>
    <cellStyle name="20% - 强调文字颜色 4 2 3 2 2 6" xfId="14312" xr:uid="{00000000-0005-0000-0000-0000E7370000}"/>
    <cellStyle name="20% - 强调文字颜色 4 2 3 2 2 6 2" xfId="14313" xr:uid="{00000000-0005-0000-0000-0000E8370000}"/>
    <cellStyle name="20% - 强调文字颜色 4 2 3 2 2 7" xfId="14314" xr:uid="{00000000-0005-0000-0000-0000E9370000}"/>
    <cellStyle name="20% - 强调文字颜色 4 2 3 2 2 7 2" xfId="14315" xr:uid="{00000000-0005-0000-0000-0000EA370000}"/>
    <cellStyle name="20% - 强调文字颜色 4 2 3 2 3" xfId="14316" xr:uid="{00000000-0005-0000-0000-0000EB370000}"/>
    <cellStyle name="20% - 强调文字颜色 4 2 3 2 3 2" xfId="14317" xr:uid="{00000000-0005-0000-0000-0000EC370000}"/>
    <cellStyle name="20% - 强调文字颜色 4 2 3 2 3 3" xfId="14318" xr:uid="{00000000-0005-0000-0000-0000ED370000}"/>
    <cellStyle name="20% - 强调文字颜色 4 2 3 2 3 3 2" xfId="14319" xr:uid="{00000000-0005-0000-0000-0000EE370000}"/>
    <cellStyle name="20% - 强调文字颜色 4 2 3 2 3 3 2 2" xfId="14320" xr:uid="{00000000-0005-0000-0000-0000EF370000}"/>
    <cellStyle name="20% - 强调文字颜色 4 2 3 2 3 4" xfId="14321" xr:uid="{00000000-0005-0000-0000-0000F0370000}"/>
    <cellStyle name="20% - 强调文字颜色 4 2 3 2 3 4 2" xfId="14322" xr:uid="{00000000-0005-0000-0000-0000F1370000}"/>
    <cellStyle name="20% - 强调文字颜色 4 2 3 2 3 5" xfId="14323" xr:uid="{00000000-0005-0000-0000-0000F2370000}"/>
    <cellStyle name="20% - 强调文字颜色 4 2 3 2 3 5 2" xfId="14324" xr:uid="{00000000-0005-0000-0000-0000F3370000}"/>
    <cellStyle name="20% - 强调文字颜色 4 2 3 2 3 6" xfId="14325" xr:uid="{00000000-0005-0000-0000-0000F4370000}"/>
    <cellStyle name="20% - 强调文字颜色 4 2 3 2 4" xfId="14326" xr:uid="{00000000-0005-0000-0000-0000F5370000}"/>
    <cellStyle name="20% - 强调文字颜色 4 2 3 2 4 2" xfId="14327" xr:uid="{00000000-0005-0000-0000-0000F6370000}"/>
    <cellStyle name="20% - 强调文字颜色 4 2 3 2 4 2 2" xfId="14328" xr:uid="{00000000-0005-0000-0000-0000F7370000}"/>
    <cellStyle name="20% - 强调文字颜色 4 2 3 2 4 2 2 2" xfId="14329" xr:uid="{00000000-0005-0000-0000-0000F8370000}"/>
    <cellStyle name="20% - 强调文字颜色 4 2 3 2 4 3" xfId="14330" xr:uid="{00000000-0005-0000-0000-0000F9370000}"/>
    <cellStyle name="20% - 强调文字颜色 4 2 3 2 4 3 2" xfId="14331" xr:uid="{00000000-0005-0000-0000-0000FA370000}"/>
    <cellStyle name="20% - 强调文字颜色 4 2 3 2 4 4" xfId="14332" xr:uid="{00000000-0005-0000-0000-0000FB370000}"/>
    <cellStyle name="20% - 强调文字颜色 4 2 3 2 4 4 2" xfId="14333" xr:uid="{00000000-0005-0000-0000-0000FC370000}"/>
    <cellStyle name="20% - 强调文字颜色 4 2 3 2 4 5" xfId="14334" xr:uid="{00000000-0005-0000-0000-0000FD370000}"/>
    <cellStyle name="20% - 强调文字颜色 4 2 3 2 5" xfId="14335" xr:uid="{00000000-0005-0000-0000-0000FE370000}"/>
    <cellStyle name="20% - 强调文字颜色 4 2 3 2 6" xfId="14336" xr:uid="{00000000-0005-0000-0000-0000FF370000}"/>
    <cellStyle name="20% - 强调文字颜色 4 2 3 2 7" xfId="14337" xr:uid="{00000000-0005-0000-0000-000000380000}"/>
    <cellStyle name="20% - 强调文字颜色 4 2 3 2 7 2" xfId="14338" xr:uid="{00000000-0005-0000-0000-000001380000}"/>
    <cellStyle name="20% - 强调文字颜色 4 2 3 2 8" xfId="14339" xr:uid="{00000000-0005-0000-0000-000002380000}"/>
    <cellStyle name="20% - 强调文字颜色 4 2 3 2 8 2" xfId="14340" xr:uid="{00000000-0005-0000-0000-000003380000}"/>
    <cellStyle name="20% - 强调文字颜色 4 2 3 3" xfId="14341" xr:uid="{00000000-0005-0000-0000-000004380000}"/>
    <cellStyle name="20% - 强调文字颜色 4 2 3 3 2" xfId="14342" xr:uid="{00000000-0005-0000-0000-000005380000}"/>
    <cellStyle name="20% - 强调文字颜色 4 2 3 3 2 2" xfId="14343" xr:uid="{00000000-0005-0000-0000-000006380000}"/>
    <cellStyle name="20% - 强调文字颜色 4 2 3 3 2 3" xfId="14344" xr:uid="{00000000-0005-0000-0000-000007380000}"/>
    <cellStyle name="20% - 强调文字颜色 4 2 3 3 2 3 2" xfId="14345" xr:uid="{00000000-0005-0000-0000-000008380000}"/>
    <cellStyle name="20% - 强调文字颜色 4 2 3 3 2 3 2 2" xfId="14346" xr:uid="{00000000-0005-0000-0000-000009380000}"/>
    <cellStyle name="20% - 强调文字颜色 4 2 3 3 2 4" xfId="14347" xr:uid="{00000000-0005-0000-0000-00000A380000}"/>
    <cellStyle name="20% - 强调文字颜色 4 2 3 3 2 4 2" xfId="14348" xr:uid="{00000000-0005-0000-0000-00000B380000}"/>
    <cellStyle name="20% - 强调文字颜色 4 2 3 3 2 5" xfId="14349" xr:uid="{00000000-0005-0000-0000-00000C380000}"/>
    <cellStyle name="20% - 强调文字颜色 4 2 3 3 2 5 2" xfId="14350" xr:uid="{00000000-0005-0000-0000-00000D380000}"/>
    <cellStyle name="20% - 强调文字颜色 4 2 3 3 2 6" xfId="14351" xr:uid="{00000000-0005-0000-0000-00000E380000}"/>
    <cellStyle name="20% - 强调文字颜色 4 2 3 3 3" xfId="14352" xr:uid="{00000000-0005-0000-0000-00000F380000}"/>
    <cellStyle name="20% - 强调文字颜色 4 2 3 3 3 2" xfId="14353" xr:uid="{00000000-0005-0000-0000-000010380000}"/>
    <cellStyle name="20% - 强调文字颜色 4 2 3 3 3 2 2" xfId="14354" xr:uid="{00000000-0005-0000-0000-000011380000}"/>
    <cellStyle name="20% - 强调文字颜色 4 2 3 3 3 2 2 2" xfId="14355" xr:uid="{00000000-0005-0000-0000-000012380000}"/>
    <cellStyle name="20% - 强调文字颜色 4 2 3 3 3 3" xfId="14356" xr:uid="{00000000-0005-0000-0000-000013380000}"/>
    <cellStyle name="20% - 强调文字颜色 4 2 3 3 3 3 2" xfId="14357" xr:uid="{00000000-0005-0000-0000-000014380000}"/>
    <cellStyle name="20% - 强调文字颜色 4 2 3 3 3 4" xfId="14358" xr:uid="{00000000-0005-0000-0000-000015380000}"/>
    <cellStyle name="20% - 强调文字颜色 4 2 3 3 3 4 2" xfId="14359" xr:uid="{00000000-0005-0000-0000-000016380000}"/>
    <cellStyle name="20% - 强调文字颜色 4 2 3 3 3 5" xfId="14360" xr:uid="{00000000-0005-0000-0000-000017380000}"/>
    <cellStyle name="20% - 强调文字颜色 4 2 3 3 4" xfId="14361" xr:uid="{00000000-0005-0000-0000-000018380000}"/>
    <cellStyle name="20% - 强调文字颜色 4 2 3 3 5" xfId="14362" xr:uid="{00000000-0005-0000-0000-000019380000}"/>
    <cellStyle name="20% - 强调文字颜色 4 2 3 3 6" xfId="14363" xr:uid="{00000000-0005-0000-0000-00001A380000}"/>
    <cellStyle name="20% - 强调文字颜色 4 2 3 3 6 2" xfId="14364" xr:uid="{00000000-0005-0000-0000-00001B380000}"/>
    <cellStyle name="20% - 强调文字颜色 4 2 3 3 7" xfId="14365" xr:uid="{00000000-0005-0000-0000-00001C380000}"/>
    <cellStyle name="20% - 强调文字颜色 4 2 3 3 7 2" xfId="14366" xr:uid="{00000000-0005-0000-0000-00001D380000}"/>
    <cellStyle name="20% - 强调文字颜色 4 2 3 4" xfId="14367" xr:uid="{00000000-0005-0000-0000-00001E380000}"/>
    <cellStyle name="20% - 强调文字颜色 4 2 3 4 2" xfId="14368" xr:uid="{00000000-0005-0000-0000-00001F380000}"/>
    <cellStyle name="20% - 强调文字颜色 4 2 3 4 2 2" xfId="14369" xr:uid="{00000000-0005-0000-0000-000020380000}"/>
    <cellStyle name="20% - 强调文字颜色 4 2 3 4 2 3" xfId="14370" xr:uid="{00000000-0005-0000-0000-000021380000}"/>
    <cellStyle name="20% - 强调文字颜色 4 2 3 4 2 3 2" xfId="14371" xr:uid="{00000000-0005-0000-0000-000022380000}"/>
    <cellStyle name="20% - 强调文字颜色 4 2 3 4 2 3 2 2" xfId="14372" xr:uid="{00000000-0005-0000-0000-000023380000}"/>
    <cellStyle name="20% - 强调文字颜色 4 2 3 4 2 4" xfId="14373" xr:uid="{00000000-0005-0000-0000-000024380000}"/>
    <cellStyle name="20% - 强调文字颜色 4 2 3 4 2 4 2" xfId="14374" xr:uid="{00000000-0005-0000-0000-000025380000}"/>
    <cellStyle name="20% - 强调文字颜色 4 2 3 4 2 5" xfId="14375" xr:uid="{00000000-0005-0000-0000-000026380000}"/>
    <cellStyle name="20% - 强调文字颜色 4 2 3 4 2 5 2" xfId="14376" xr:uid="{00000000-0005-0000-0000-000027380000}"/>
    <cellStyle name="20% - 强调文字颜色 4 2 3 4 2 6" xfId="14377" xr:uid="{00000000-0005-0000-0000-000028380000}"/>
    <cellStyle name="20% - 强调文字颜色 4 2 3 4 3" xfId="14378" xr:uid="{00000000-0005-0000-0000-000029380000}"/>
    <cellStyle name="20% - 强调文字颜色 4 2 3 4 4" xfId="14379" xr:uid="{00000000-0005-0000-0000-00002A380000}"/>
    <cellStyle name="20% - 强调文字颜色 4 2 3 4 5" xfId="14380" xr:uid="{00000000-0005-0000-0000-00002B380000}"/>
    <cellStyle name="20% - 强调文字颜色 4 2 3 4 6" xfId="14381" xr:uid="{00000000-0005-0000-0000-00002C380000}"/>
    <cellStyle name="20% - 强调文字颜色 4 2 3 4 6 2" xfId="14382" xr:uid="{00000000-0005-0000-0000-00002D380000}"/>
    <cellStyle name="20% - 强调文字颜色 4 2 3 4 7" xfId="14383" xr:uid="{00000000-0005-0000-0000-00002E380000}"/>
    <cellStyle name="20% - 强调文字颜色 4 2 3 4 7 2" xfId="14384" xr:uid="{00000000-0005-0000-0000-00002F380000}"/>
    <cellStyle name="20% - 强调文字颜色 4 2 3 5" xfId="14385" xr:uid="{00000000-0005-0000-0000-000030380000}"/>
    <cellStyle name="20% - 强调文字颜色 4 2 3 5 2" xfId="14386" xr:uid="{00000000-0005-0000-0000-000031380000}"/>
    <cellStyle name="20% - 强调文字颜色 4 2 3 5 2 2" xfId="14387" xr:uid="{00000000-0005-0000-0000-000032380000}"/>
    <cellStyle name="20% - 强调文字颜色 4 2 3 5 2 2 2" xfId="14388" xr:uid="{00000000-0005-0000-0000-000033380000}"/>
    <cellStyle name="20% - 强调文字颜色 4 2 3 5 2 2 2 2" xfId="14389" xr:uid="{00000000-0005-0000-0000-000034380000}"/>
    <cellStyle name="20% - 强调文字颜色 4 2 3 5 2 3" xfId="14390" xr:uid="{00000000-0005-0000-0000-000035380000}"/>
    <cellStyle name="20% - 强调文字颜色 4 2 3 5 2 3 2" xfId="14391" xr:uid="{00000000-0005-0000-0000-000036380000}"/>
    <cellStyle name="20% - 强调文字颜色 4 2 3 5 2 4" xfId="14392" xr:uid="{00000000-0005-0000-0000-000037380000}"/>
    <cellStyle name="20% - 强调文字颜色 4 2 3 5 2 4 2" xfId="14393" xr:uid="{00000000-0005-0000-0000-000038380000}"/>
    <cellStyle name="20% - 强调文字颜色 4 2 3 5 2 5" xfId="14394" xr:uid="{00000000-0005-0000-0000-000039380000}"/>
    <cellStyle name="20% - 强调文字颜色 4 2 3 5 3" xfId="14395" xr:uid="{00000000-0005-0000-0000-00003A380000}"/>
    <cellStyle name="20% - 强调文字颜色 4 2 3 5 3 2" xfId="14396" xr:uid="{00000000-0005-0000-0000-00003B380000}"/>
    <cellStyle name="20% - 强调文字颜色 4 2 3 5 3 2 2" xfId="14397" xr:uid="{00000000-0005-0000-0000-00003C380000}"/>
    <cellStyle name="20% - 强调文字颜色 4 2 3 5 4" xfId="14398" xr:uid="{00000000-0005-0000-0000-00003D380000}"/>
    <cellStyle name="20% - 强调文字颜色 4 2 3 5 4 2" xfId="14399" xr:uid="{00000000-0005-0000-0000-00003E380000}"/>
    <cellStyle name="20% - 强调文字颜色 4 2 3 5 5" xfId="14400" xr:uid="{00000000-0005-0000-0000-00003F380000}"/>
    <cellStyle name="20% - 强调文字颜色 4 2 3 5 5 2" xfId="14401" xr:uid="{00000000-0005-0000-0000-000040380000}"/>
    <cellStyle name="20% - 强调文字颜色 4 2 3 5 6" xfId="14402" xr:uid="{00000000-0005-0000-0000-000041380000}"/>
    <cellStyle name="20% - 强调文字颜色 4 2 3 6" xfId="14403" xr:uid="{00000000-0005-0000-0000-000042380000}"/>
    <cellStyle name="20% - 强调文字颜色 4 2 3 6 2" xfId="14404" xr:uid="{00000000-0005-0000-0000-000043380000}"/>
    <cellStyle name="20% - 强调文字颜色 4 2 3 6 2 2" xfId="14405" xr:uid="{00000000-0005-0000-0000-000044380000}"/>
    <cellStyle name="20% - 强调文字颜色 4 2 3 6 2 2 2" xfId="14406" xr:uid="{00000000-0005-0000-0000-000045380000}"/>
    <cellStyle name="20% - 强调文字颜色 4 2 3 6 3" xfId="14407" xr:uid="{00000000-0005-0000-0000-000046380000}"/>
    <cellStyle name="20% - 强调文字颜色 4 2 3 6 3 2" xfId="14408" xr:uid="{00000000-0005-0000-0000-000047380000}"/>
    <cellStyle name="20% - 强调文字颜色 4 2 3 6 4" xfId="14409" xr:uid="{00000000-0005-0000-0000-000048380000}"/>
    <cellStyle name="20% - 强调文字颜色 4 2 3 6 4 2" xfId="14410" xr:uid="{00000000-0005-0000-0000-000049380000}"/>
    <cellStyle name="20% - 强调文字颜色 4 2 3 6 5" xfId="14411" xr:uid="{00000000-0005-0000-0000-00004A380000}"/>
    <cellStyle name="20% - 强调文字颜色 4 2 3 7" xfId="14412" xr:uid="{00000000-0005-0000-0000-00004B380000}"/>
    <cellStyle name="20% - 强调文字颜色 4 2 3 7 2" xfId="14413" xr:uid="{00000000-0005-0000-0000-00004C380000}"/>
    <cellStyle name="20% - 强调文字颜色 4 2 3 7 2 2" xfId="14414" xr:uid="{00000000-0005-0000-0000-00004D380000}"/>
    <cellStyle name="20% - 强调文字颜色 4 2 3 7 2 2 2" xfId="14415" xr:uid="{00000000-0005-0000-0000-00004E380000}"/>
    <cellStyle name="20% - 强调文字颜色 4 2 3 7 3" xfId="14416" xr:uid="{00000000-0005-0000-0000-00004F380000}"/>
    <cellStyle name="20% - 强调文字颜色 4 2 3 7 3 2" xfId="14417" xr:uid="{00000000-0005-0000-0000-000050380000}"/>
    <cellStyle name="20% - 强调文字颜色 4 2 3 7 4" xfId="14418" xr:uid="{00000000-0005-0000-0000-000051380000}"/>
    <cellStyle name="20% - 强调文字颜色 4 2 3 7 4 2" xfId="14419" xr:uid="{00000000-0005-0000-0000-000052380000}"/>
    <cellStyle name="20% - 强调文字颜色 4 2 3 7 5" xfId="14420" xr:uid="{00000000-0005-0000-0000-000053380000}"/>
    <cellStyle name="20% - 强调文字颜色 4 2 3 8" xfId="14421" xr:uid="{00000000-0005-0000-0000-000054380000}"/>
    <cellStyle name="20% - 强调文字颜色 4 2 3 9" xfId="14422" xr:uid="{00000000-0005-0000-0000-000055380000}"/>
    <cellStyle name="20% - 强调文字颜色 4 2 3 9 2" xfId="14423" xr:uid="{00000000-0005-0000-0000-000056380000}"/>
    <cellStyle name="20% - 强调文字颜色 4 2 4" xfId="14424" xr:uid="{00000000-0005-0000-0000-000057380000}"/>
    <cellStyle name="20% - 强调文字颜色 4 2 4 2" xfId="14425" xr:uid="{00000000-0005-0000-0000-000058380000}"/>
    <cellStyle name="20% - 强调文字颜色 4 2 4 2 2" xfId="14426" xr:uid="{00000000-0005-0000-0000-000059380000}"/>
    <cellStyle name="20% - 强调文字颜色 4 2 4 2 3" xfId="14427" xr:uid="{00000000-0005-0000-0000-00005A380000}"/>
    <cellStyle name="20% - 强调文字颜色 4 2 4 2 3 2" xfId="14428" xr:uid="{00000000-0005-0000-0000-00005B380000}"/>
    <cellStyle name="20% - 强调文字颜色 4 2 4 2 3 2 2" xfId="14429" xr:uid="{00000000-0005-0000-0000-00005C380000}"/>
    <cellStyle name="20% - 强调文字颜色 4 2 4 2 4" xfId="14430" xr:uid="{00000000-0005-0000-0000-00005D380000}"/>
    <cellStyle name="20% - 强调文字颜色 4 2 4 2 4 2" xfId="14431" xr:uid="{00000000-0005-0000-0000-00005E380000}"/>
    <cellStyle name="20% - 强调文字颜色 4 2 4 2 5" xfId="14432" xr:uid="{00000000-0005-0000-0000-00005F380000}"/>
    <cellStyle name="20% - 强调文字颜色 4 2 4 2 5 2" xfId="14433" xr:uid="{00000000-0005-0000-0000-000060380000}"/>
    <cellStyle name="20% - 强调文字颜色 4 2 4 2 6" xfId="14434" xr:uid="{00000000-0005-0000-0000-000061380000}"/>
    <cellStyle name="20% - 强调文字颜色 4 2 4 3" xfId="14435" xr:uid="{00000000-0005-0000-0000-000062380000}"/>
    <cellStyle name="20% - 强调文字颜色 4 2 4 3 2" xfId="14436" xr:uid="{00000000-0005-0000-0000-000063380000}"/>
    <cellStyle name="20% - 强调文字颜色 4 2 4 3 2 2" xfId="14437" xr:uid="{00000000-0005-0000-0000-000064380000}"/>
    <cellStyle name="20% - 强调文字颜色 4 2 4 3 2 2 2" xfId="14438" xr:uid="{00000000-0005-0000-0000-000065380000}"/>
    <cellStyle name="20% - 强调文字颜色 4 2 4 3 3" xfId="14439" xr:uid="{00000000-0005-0000-0000-000066380000}"/>
    <cellStyle name="20% - 强调文字颜色 4 2 4 3 3 2" xfId="14440" xr:uid="{00000000-0005-0000-0000-000067380000}"/>
    <cellStyle name="20% - 强调文字颜色 4 2 4 3 4" xfId="14441" xr:uid="{00000000-0005-0000-0000-000068380000}"/>
    <cellStyle name="20% - 强调文字颜色 4 2 4 3 4 2" xfId="14442" xr:uid="{00000000-0005-0000-0000-000069380000}"/>
    <cellStyle name="20% - 强调文字颜色 4 2 4 3 5" xfId="14443" xr:uid="{00000000-0005-0000-0000-00006A380000}"/>
    <cellStyle name="20% - 强调文字颜色 4 2 4 4" xfId="14444" xr:uid="{00000000-0005-0000-0000-00006B380000}"/>
    <cellStyle name="20% - 强调文字颜色 4 2 4 5" xfId="14445" xr:uid="{00000000-0005-0000-0000-00006C380000}"/>
    <cellStyle name="20% - 强调文字颜色 4 2 4 6" xfId="14446" xr:uid="{00000000-0005-0000-0000-00006D380000}"/>
    <cellStyle name="20% - 强调文字颜色 4 2 4 6 2" xfId="14447" xr:uid="{00000000-0005-0000-0000-00006E380000}"/>
    <cellStyle name="20% - 强调文字颜色 4 2 4 7" xfId="14448" xr:uid="{00000000-0005-0000-0000-00006F380000}"/>
    <cellStyle name="20% - 强调文字颜色 4 2 4 7 2" xfId="14449" xr:uid="{00000000-0005-0000-0000-000070380000}"/>
    <cellStyle name="20% - 强调文字颜色 4 2 5" xfId="14450" xr:uid="{00000000-0005-0000-0000-000071380000}"/>
    <cellStyle name="20% - 强调文字颜色 4 2 5 2" xfId="14451" xr:uid="{00000000-0005-0000-0000-000072380000}"/>
    <cellStyle name="20% - 强调文字颜色 4 2 5 2 2" xfId="14452" xr:uid="{00000000-0005-0000-0000-000073380000}"/>
    <cellStyle name="20% - 强调文字颜色 4 2 5 2 3" xfId="14453" xr:uid="{00000000-0005-0000-0000-000074380000}"/>
    <cellStyle name="20% - 强调文字颜色 4 2 5 2 3 2" xfId="14454" xr:uid="{00000000-0005-0000-0000-000075380000}"/>
    <cellStyle name="20% - 强调文字颜色 4 2 5 2 3 2 2" xfId="14455" xr:uid="{00000000-0005-0000-0000-000076380000}"/>
    <cellStyle name="20% - 强调文字颜色 4 2 5 2 4" xfId="14456" xr:uid="{00000000-0005-0000-0000-000077380000}"/>
    <cellStyle name="20% - 强调文字颜色 4 2 5 2 4 2" xfId="14457" xr:uid="{00000000-0005-0000-0000-000078380000}"/>
    <cellStyle name="20% - 强调文字颜色 4 2 5 2 5" xfId="14458" xr:uid="{00000000-0005-0000-0000-000079380000}"/>
    <cellStyle name="20% - 强调文字颜色 4 2 5 2 5 2" xfId="14459" xr:uid="{00000000-0005-0000-0000-00007A380000}"/>
    <cellStyle name="20% - 强调文字颜色 4 2 5 2 6" xfId="14460" xr:uid="{00000000-0005-0000-0000-00007B380000}"/>
    <cellStyle name="20% - 强调文字颜色 4 2 5 3" xfId="14461" xr:uid="{00000000-0005-0000-0000-00007C380000}"/>
    <cellStyle name="20% - 强调文字颜色 4 2 5 4" xfId="14462" xr:uid="{00000000-0005-0000-0000-00007D380000}"/>
    <cellStyle name="20% - 强调文字颜色 4 2 5 5" xfId="14463" xr:uid="{00000000-0005-0000-0000-00007E380000}"/>
    <cellStyle name="20% - 强调文字颜色 4 2 5 6" xfId="14464" xr:uid="{00000000-0005-0000-0000-00007F380000}"/>
    <cellStyle name="20% - 强调文字颜色 4 2 5 6 2" xfId="14465" xr:uid="{00000000-0005-0000-0000-000080380000}"/>
    <cellStyle name="20% - 强调文字颜色 4 2 5 7" xfId="14466" xr:uid="{00000000-0005-0000-0000-000081380000}"/>
    <cellStyle name="20% - 强调文字颜色 4 2 5 7 2" xfId="14467" xr:uid="{00000000-0005-0000-0000-000082380000}"/>
    <cellStyle name="20% - 强调文字颜色 4 2 6" xfId="14468" xr:uid="{00000000-0005-0000-0000-000083380000}"/>
    <cellStyle name="20% - 强调文字颜色 4 2 6 2" xfId="14469" xr:uid="{00000000-0005-0000-0000-000084380000}"/>
    <cellStyle name="20% - 强调文字颜色 4 2 6 2 2" xfId="14470" xr:uid="{00000000-0005-0000-0000-000085380000}"/>
    <cellStyle name="20% - 强调文字颜色 4 2 6 2 2 2" xfId="14471" xr:uid="{00000000-0005-0000-0000-000086380000}"/>
    <cellStyle name="20% - 强调文字颜色 4 2 6 2 2 2 2" xfId="14472" xr:uid="{00000000-0005-0000-0000-000087380000}"/>
    <cellStyle name="20% - 强调文字颜色 4 2 6 2 3" xfId="14473" xr:uid="{00000000-0005-0000-0000-000088380000}"/>
    <cellStyle name="20% - 强调文字颜色 4 2 6 2 3 2" xfId="14474" xr:uid="{00000000-0005-0000-0000-000089380000}"/>
    <cellStyle name="20% - 强调文字颜色 4 2 6 2 4" xfId="14475" xr:uid="{00000000-0005-0000-0000-00008A380000}"/>
    <cellStyle name="20% - 强调文字颜色 4 2 6 2 4 2" xfId="14476" xr:uid="{00000000-0005-0000-0000-00008B380000}"/>
    <cellStyle name="20% - 强调文字颜色 4 2 6 2 5" xfId="14477" xr:uid="{00000000-0005-0000-0000-00008C380000}"/>
    <cellStyle name="20% - 强调文字颜色 4 2 6 3" xfId="14478" xr:uid="{00000000-0005-0000-0000-00008D380000}"/>
    <cellStyle name="20% - 强调文字颜色 4 2 6 3 2" xfId="14479" xr:uid="{00000000-0005-0000-0000-00008E380000}"/>
    <cellStyle name="20% - 强调文字颜色 4 2 6 3 2 2" xfId="14480" xr:uid="{00000000-0005-0000-0000-00008F380000}"/>
    <cellStyle name="20% - 强调文字颜色 4 2 6 4" xfId="14481" xr:uid="{00000000-0005-0000-0000-000090380000}"/>
    <cellStyle name="20% - 强调文字颜色 4 2 6 4 2" xfId="14482" xr:uid="{00000000-0005-0000-0000-000091380000}"/>
    <cellStyle name="20% - 强调文字颜色 4 2 6 5" xfId="14483" xr:uid="{00000000-0005-0000-0000-000092380000}"/>
    <cellStyle name="20% - 强调文字颜色 4 2 6 5 2" xfId="14484" xr:uid="{00000000-0005-0000-0000-000093380000}"/>
    <cellStyle name="20% - 强调文字颜色 4 2 6 6" xfId="14485" xr:uid="{00000000-0005-0000-0000-000094380000}"/>
    <cellStyle name="20% - 强调文字颜色 4 2 7" xfId="14486" xr:uid="{00000000-0005-0000-0000-000095380000}"/>
    <cellStyle name="20% - 强调文字颜色 4 2 7 2" xfId="14487" xr:uid="{00000000-0005-0000-0000-000096380000}"/>
    <cellStyle name="20% - 强调文字颜色 4 2 7 2 2" xfId="14488" xr:uid="{00000000-0005-0000-0000-000097380000}"/>
    <cellStyle name="20% - 强调文字颜色 4 2 7 2 2 2" xfId="14489" xr:uid="{00000000-0005-0000-0000-000098380000}"/>
    <cellStyle name="20% - 强调文字颜色 4 2 7 2 2 2 2" xfId="14490" xr:uid="{00000000-0005-0000-0000-000099380000}"/>
    <cellStyle name="20% - 强调文字颜色 4 2 7 2 3" xfId="14491" xr:uid="{00000000-0005-0000-0000-00009A380000}"/>
    <cellStyle name="20% - 强调文字颜色 4 2 7 2 3 2" xfId="14492" xr:uid="{00000000-0005-0000-0000-00009B380000}"/>
    <cellStyle name="20% - 强调文字颜色 4 2 7 2 4" xfId="14493" xr:uid="{00000000-0005-0000-0000-00009C380000}"/>
    <cellStyle name="20% - 强调文字颜色 4 2 7 2 4 2" xfId="14494" xr:uid="{00000000-0005-0000-0000-00009D380000}"/>
    <cellStyle name="20% - 强调文字颜色 4 2 7 2 5" xfId="14495" xr:uid="{00000000-0005-0000-0000-00009E380000}"/>
    <cellStyle name="20% - 强调文字颜色 4 2 7 3" xfId="14496" xr:uid="{00000000-0005-0000-0000-00009F380000}"/>
    <cellStyle name="20% - 强调文字颜色 4 2 7 3 2" xfId="14497" xr:uid="{00000000-0005-0000-0000-0000A0380000}"/>
    <cellStyle name="20% - 强调文字颜色 4 2 7 3 2 2" xfId="14498" xr:uid="{00000000-0005-0000-0000-0000A1380000}"/>
    <cellStyle name="20% - 强调文字颜色 4 2 7 4" xfId="14499" xr:uid="{00000000-0005-0000-0000-0000A2380000}"/>
    <cellStyle name="20% - 强调文字颜色 4 2 7 4 2" xfId="14500" xr:uid="{00000000-0005-0000-0000-0000A3380000}"/>
    <cellStyle name="20% - 强调文字颜色 4 2 7 5" xfId="14501" xr:uid="{00000000-0005-0000-0000-0000A4380000}"/>
    <cellStyle name="20% - 强调文字颜色 4 2 7 5 2" xfId="14502" xr:uid="{00000000-0005-0000-0000-0000A5380000}"/>
    <cellStyle name="20% - 强调文字颜色 4 2 7 6" xfId="14503" xr:uid="{00000000-0005-0000-0000-0000A6380000}"/>
    <cellStyle name="20% - 强调文字颜色 4 2 8" xfId="14504" xr:uid="{00000000-0005-0000-0000-0000A7380000}"/>
    <cellStyle name="20% - 强调文字颜色 4 2 8 2" xfId="14505" xr:uid="{00000000-0005-0000-0000-0000A8380000}"/>
    <cellStyle name="20% - 强调文字颜色 4 2 8 2 2" xfId="14506" xr:uid="{00000000-0005-0000-0000-0000A9380000}"/>
    <cellStyle name="20% - 强调文字颜色 4 2 8 2 2 2" xfId="14507" xr:uid="{00000000-0005-0000-0000-0000AA380000}"/>
    <cellStyle name="20% - 强调文字颜色 4 2 8 2 2 2 2" xfId="14508" xr:uid="{00000000-0005-0000-0000-0000AB380000}"/>
    <cellStyle name="20% - 强调文字颜色 4 2 8 2 3" xfId="14509" xr:uid="{00000000-0005-0000-0000-0000AC380000}"/>
    <cellStyle name="20% - 强调文字颜色 4 2 8 2 3 2" xfId="14510" xr:uid="{00000000-0005-0000-0000-0000AD380000}"/>
    <cellStyle name="20% - 强调文字颜色 4 2 8 2 4" xfId="14511" xr:uid="{00000000-0005-0000-0000-0000AE380000}"/>
    <cellStyle name="20% - 强调文字颜色 4 2 8 2 4 2" xfId="14512" xr:uid="{00000000-0005-0000-0000-0000AF380000}"/>
    <cellStyle name="20% - 强调文字颜色 4 2 8 2 5" xfId="14513" xr:uid="{00000000-0005-0000-0000-0000B0380000}"/>
    <cellStyle name="20% - 强调文字颜色 4 2 8 3" xfId="14514" xr:uid="{00000000-0005-0000-0000-0000B1380000}"/>
    <cellStyle name="20% - 强调文字颜色 4 2 8 3 2" xfId="14515" xr:uid="{00000000-0005-0000-0000-0000B2380000}"/>
    <cellStyle name="20% - 强调文字颜色 4 2 8 3 2 2" xfId="14516" xr:uid="{00000000-0005-0000-0000-0000B3380000}"/>
    <cellStyle name="20% - 强调文字颜色 4 2 8 4" xfId="14517" xr:uid="{00000000-0005-0000-0000-0000B4380000}"/>
    <cellStyle name="20% - 强调文字颜色 4 2 8 4 2" xfId="14518" xr:uid="{00000000-0005-0000-0000-0000B5380000}"/>
    <cellStyle name="20% - 强调文字颜色 4 2 8 5" xfId="14519" xr:uid="{00000000-0005-0000-0000-0000B6380000}"/>
    <cellStyle name="20% - 强调文字颜色 4 2 8 5 2" xfId="14520" xr:uid="{00000000-0005-0000-0000-0000B7380000}"/>
    <cellStyle name="20% - 强调文字颜色 4 2 8 6" xfId="14521" xr:uid="{00000000-0005-0000-0000-0000B8380000}"/>
    <cellStyle name="20% - 强调文字颜色 4 2 9" xfId="14522" xr:uid="{00000000-0005-0000-0000-0000B9380000}"/>
    <cellStyle name="20% - 强调文字颜色 4 2 9 2" xfId="14523" xr:uid="{00000000-0005-0000-0000-0000BA380000}"/>
    <cellStyle name="20% - 强调文字颜色 4 2 9 2 2" xfId="14524" xr:uid="{00000000-0005-0000-0000-0000BB380000}"/>
    <cellStyle name="20% - 强调文字颜色 4 2 9 2 2 2" xfId="14525" xr:uid="{00000000-0005-0000-0000-0000BC380000}"/>
    <cellStyle name="20% - 强调文字颜色 4 2 9 3" xfId="14526" xr:uid="{00000000-0005-0000-0000-0000BD380000}"/>
    <cellStyle name="20% - 强调文字颜色 4 2 9 3 2" xfId="14527" xr:uid="{00000000-0005-0000-0000-0000BE380000}"/>
    <cellStyle name="20% - 强调文字颜色 4 2 9 4" xfId="14528" xr:uid="{00000000-0005-0000-0000-0000BF380000}"/>
    <cellStyle name="20% - 强调文字颜色 4 2 9 4 2" xfId="14529" xr:uid="{00000000-0005-0000-0000-0000C0380000}"/>
    <cellStyle name="20% - 强调文字颜色 4 2 9 5" xfId="14530" xr:uid="{00000000-0005-0000-0000-0000C1380000}"/>
    <cellStyle name="20% - 强调文字颜色 4 3" xfId="14531" xr:uid="{00000000-0005-0000-0000-0000C2380000}"/>
    <cellStyle name="20% - 强调文字颜色 4 3 2" xfId="14532" xr:uid="{00000000-0005-0000-0000-0000C3380000}"/>
    <cellStyle name="20% - 强调文字颜色 4 3 2 2" xfId="14533" xr:uid="{00000000-0005-0000-0000-0000C4380000}"/>
    <cellStyle name="20% - 强调文字颜色 4 3 2 2 2" xfId="14534" xr:uid="{00000000-0005-0000-0000-0000C5380000}"/>
    <cellStyle name="20% - 强调文字颜色 4 3 2 2 2 2" xfId="14535" xr:uid="{00000000-0005-0000-0000-0000C6380000}"/>
    <cellStyle name="20% - 强调文字颜色 4 3 2 2 2 3" xfId="14536" xr:uid="{00000000-0005-0000-0000-0000C7380000}"/>
    <cellStyle name="20% - 强调文字颜色 4 3 2 2 2 3 2" xfId="14537" xr:uid="{00000000-0005-0000-0000-0000C8380000}"/>
    <cellStyle name="20% - 强调文字颜色 4 3 2 2 2 3 2 2" xfId="14538" xr:uid="{00000000-0005-0000-0000-0000C9380000}"/>
    <cellStyle name="20% - 强调文字颜色 4 3 2 2 2 4" xfId="14539" xr:uid="{00000000-0005-0000-0000-0000CA380000}"/>
    <cellStyle name="20% - 强调文字颜色 4 3 2 2 2 4 2" xfId="14540" xr:uid="{00000000-0005-0000-0000-0000CB380000}"/>
    <cellStyle name="20% - 强调文字颜色 4 3 2 2 2 5" xfId="14541" xr:uid="{00000000-0005-0000-0000-0000CC380000}"/>
    <cellStyle name="20% - 强调文字颜色 4 3 2 2 2 5 2" xfId="14542" xr:uid="{00000000-0005-0000-0000-0000CD380000}"/>
    <cellStyle name="20% - 强调文字颜色 4 3 2 2 2 6" xfId="14543" xr:uid="{00000000-0005-0000-0000-0000CE380000}"/>
    <cellStyle name="20% - 强调文字颜色 4 3 2 2 3" xfId="14544" xr:uid="{00000000-0005-0000-0000-0000CF380000}"/>
    <cellStyle name="20% - 强调文字颜色 4 3 2 2 3 2" xfId="14545" xr:uid="{00000000-0005-0000-0000-0000D0380000}"/>
    <cellStyle name="20% - 强调文字颜色 4 3 2 2 3 2 2" xfId="14546" xr:uid="{00000000-0005-0000-0000-0000D1380000}"/>
    <cellStyle name="20% - 强调文字颜色 4 3 2 2 3 2 2 2" xfId="14547" xr:uid="{00000000-0005-0000-0000-0000D2380000}"/>
    <cellStyle name="20% - 强调文字颜色 4 3 2 2 3 3" xfId="14548" xr:uid="{00000000-0005-0000-0000-0000D3380000}"/>
    <cellStyle name="20% - 强调文字颜色 4 3 2 2 3 3 2" xfId="14549" xr:uid="{00000000-0005-0000-0000-0000D4380000}"/>
    <cellStyle name="20% - 强调文字颜色 4 3 2 2 3 4" xfId="14550" xr:uid="{00000000-0005-0000-0000-0000D5380000}"/>
    <cellStyle name="20% - 强调文字颜色 4 3 2 2 3 4 2" xfId="14551" xr:uid="{00000000-0005-0000-0000-0000D6380000}"/>
    <cellStyle name="20% - 强调文字颜色 4 3 2 2 3 5" xfId="14552" xr:uid="{00000000-0005-0000-0000-0000D7380000}"/>
    <cellStyle name="20% - 强调文字颜色 4 3 2 2 4" xfId="14553" xr:uid="{00000000-0005-0000-0000-0000D8380000}"/>
    <cellStyle name="20% - 强调文字颜色 4 3 2 2 5" xfId="14554" xr:uid="{00000000-0005-0000-0000-0000D9380000}"/>
    <cellStyle name="20% - 强调文字颜色 4 3 2 2 6" xfId="14555" xr:uid="{00000000-0005-0000-0000-0000DA380000}"/>
    <cellStyle name="20% - 强调文字颜色 4 3 2 2 6 2" xfId="14556" xr:uid="{00000000-0005-0000-0000-0000DB380000}"/>
    <cellStyle name="20% - 强调文字颜色 4 3 2 2 7" xfId="14557" xr:uid="{00000000-0005-0000-0000-0000DC380000}"/>
    <cellStyle name="20% - 强调文字颜色 4 3 2 2 7 2" xfId="14558" xr:uid="{00000000-0005-0000-0000-0000DD380000}"/>
    <cellStyle name="20% - 强调文字颜色 4 3 2 3" xfId="14559" xr:uid="{00000000-0005-0000-0000-0000DE380000}"/>
    <cellStyle name="20% - 强调文字颜色 4 3 2 3 2" xfId="14560" xr:uid="{00000000-0005-0000-0000-0000DF380000}"/>
    <cellStyle name="20% - 强调文字颜色 4 3 2 3 3" xfId="14561" xr:uid="{00000000-0005-0000-0000-0000E0380000}"/>
    <cellStyle name="20% - 强调文字颜色 4 3 2 3 3 2" xfId="14562" xr:uid="{00000000-0005-0000-0000-0000E1380000}"/>
    <cellStyle name="20% - 强调文字颜色 4 3 2 3 3 2 2" xfId="14563" xr:uid="{00000000-0005-0000-0000-0000E2380000}"/>
    <cellStyle name="20% - 强调文字颜色 4 3 2 3 4" xfId="14564" xr:uid="{00000000-0005-0000-0000-0000E3380000}"/>
    <cellStyle name="20% - 强调文字颜色 4 3 2 3 4 2" xfId="14565" xr:uid="{00000000-0005-0000-0000-0000E4380000}"/>
    <cellStyle name="20% - 强调文字颜色 4 3 2 3 5" xfId="14566" xr:uid="{00000000-0005-0000-0000-0000E5380000}"/>
    <cellStyle name="20% - 强调文字颜色 4 3 2 3 5 2" xfId="14567" xr:uid="{00000000-0005-0000-0000-0000E6380000}"/>
    <cellStyle name="20% - 强调文字颜色 4 3 2 3 6" xfId="14568" xr:uid="{00000000-0005-0000-0000-0000E7380000}"/>
    <cellStyle name="20% - 强调文字颜色 4 3 2 4" xfId="14569" xr:uid="{00000000-0005-0000-0000-0000E8380000}"/>
    <cellStyle name="20% - 强调文字颜色 4 3 2 4 2" xfId="14570" xr:uid="{00000000-0005-0000-0000-0000E9380000}"/>
    <cellStyle name="20% - 强调文字颜色 4 3 2 4 2 2" xfId="14571" xr:uid="{00000000-0005-0000-0000-0000EA380000}"/>
    <cellStyle name="20% - 强调文字颜色 4 3 2 4 2 2 2" xfId="14572" xr:uid="{00000000-0005-0000-0000-0000EB380000}"/>
    <cellStyle name="20% - 强调文字颜色 4 3 2 4 3" xfId="14573" xr:uid="{00000000-0005-0000-0000-0000EC380000}"/>
    <cellStyle name="20% - 强调文字颜色 4 3 2 4 3 2" xfId="14574" xr:uid="{00000000-0005-0000-0000-0000ED380000}"/>
    <cellStyle name="20% - 强调文字颜色 4 3 2 4 4" xfId="14575" xr:uid="{00000000-0005-0000-0000-0000EE380000}"/>
    <cellStyle name="20% - 强调文字颜色 4 3 2 4 4 2" xfId="14576" xr:uid="{00000000-0005-0000-0000-0000EF380000}"/>
    <cellStyle name="20% - 强调文字颜色 4 3 2 4 5" xfId="14577" xr:uid="{00000000-0005-0000-0000-0000F0380000}"/>
    <cellStyle name="20% - 强调文字颜色 4 3 2 5" xfId="14578" xr:uid="{00000000-0005-0000-0000-0000F1380000}"/>
    <cellStyle name="20% - 强调文字颜色 4 3 2 6" xfId="14579" xr:uid="{00000000-0005-0000-0000-0000F2380000}"/>
    <cellStyle name="20% - 强调文字颜色 4 3 2 7" xfId="14580" xr:uid="{00000000-0005-0000-0000-0000F3380000}"/>
    <cellStyle name="20% - 强调文字颜色 4 3 2 7 2" xfId="14581" xr:uid="{00000000-0005-0000-0000-0000F4380000}"/>
    <cellStyle name="20% - 强调文字颜色 4 3 2 8" xfId="14582" xr:uid="{00000000-0005-0000-0000-0000F5380000}"/>
    <cellStyle name="20% - 强调文字颜色 4 3 2 8 2" xfId="14583" xr:uid="{00000000-0005-0000-0000-0000F6380000}"/>
    <cellStyle name="20% - 强调文字颜色 4 3 3" xfId="14584" xr:uid="{00000000-0005-0000-0000-0000F7380000}"/>
    <cellStyle name="20% - 强调文字颜色 4 3 3 2" xfId="14585" xr:uid="{00000000-0005-0000-0000-0000F8380000}"/>
    <cellStyle name="20% - 强调文字颜色 4 3 3 2 2" xfId="14586" xr:uid="{00000000-0005-0000-0000-0000F9380000}"/>
    <cellStyle name="20% - 强调文字颜色 4 3 3 2 3" xfId="14587" xr:uid="{00000000-0005-0000-0000-0000FA380000}"/>
    <cellStyle name="20% - 强调文字颜色 4 3 3 2 3 2" xfId="14588" xr:uid="{00000000-0005-0000-0000-0000FB380000}"/>
    <cellStyle name="20% - 强调文字颜色 4 3 3 2 3 2 2" xfId="14589" xr:uid="{00000000-0005-0000-0000-0000FC380000}"/>
    <cellStyle name="20% - 强调文字颜色 4 3 3 2 4" xfId="14590" xr:uid="{00000000-0005-0000-0000-0000FD380000}"/>
    <cellStyle name="20% - 强调文字颜色 4 3 3 2 4 2" xfId="14591" xr:uid="{00000000-0005-0000-0000-0000FE380000}"/>
    <cellStyle name="20% - 强调文字颜色 4 3 3 2 5" xfId="14592" xr:uid="{00000000-0005-0000-0000-0000FF380000}"/>
    <cellStyle name="20% - 强调文字颜色 4 3 3 2 5 2" xfId="14593" xr:uid="{00000000-0005-0000-0000-000000390000}"/>
    <cellStyle name="20% - 强调文字颜色 4 3 3 2 6" xfId="14594" xr:uid="{00000000-0005-0000-0000-000001390000}"/>
    <cellStyle name="20% - 强调文字颜色 4 3 3 3" xfId="14595" xr:uid="{00000000-0005-0000-0000-000002390000}"/>
    <cellStyle name="20% - 强调文字颜色 4 3 3 3 2" xfId="14596" xr:uid="{00000000-0005-0000-0000-000003390000}"/>
    <cellStyle name="20% - 强调文字颜色 4 3 3 3 2 2" xfId="14597" xr:uid="{00000000-0005-0000-0000-000004390000}"/>
    <cellStyle name="20% - 强调文字颜色 4 3 3 3 2 2 2" xfId="14598" xr:uid="{00000000-0005-0000-0000-000005390000}"/>
    <cellStyle name="20% - 强调文字颜色 4 3 3 3 3" xfId="14599" xr:uid="{00000000-0005-0000-0000-000006390000}"/>
    <cellStyle name="20% - 强调文字颜色 4 3 3 3 3 2" xfId="14600" xr:uid="{00000000-0005-0000-0000-000007390000}"/>
    <cellStyle name="20% - 强调文字颜色 4 3 3 3 4" xfId="14601" xr:uid="{00000000-0005-0000-0000-000008390000}"/>
    <cellStyle name="20% - 强调文字颜色 4 3 3 3 4 2" xfId="14602" xr:uid="{00000000-0005-0000-0000-000009390000}"/>
    <cellStyle name="20% - 强调文字颜色 4 3 3 3 5" xfId="14603" xr:uid="{00000000-0005-0000-0000-00000A390000}"/>
    <cellStyle name="20% - 强调文字颜色 4 3 3 4" xfId="14604" xr:uid="{00000000-0005-0000-0000-00000B390000}"/>
    <cellStyle name="20% - 强调文字颜色 4 3 3 5" xfId="14605" xr:uid="{00000000-0005-0000-0000-00000C390000}"/>
    <cellStyle name="20% - 强调文字颜色 4 3 3 6" xfId="14606" xr:uid="{00000000-0005-0000-0000-00000D390000}"/>
    <cellStyle name="20% - 强调文字颜色 4 3 3 6 2" xfId="14607" xr:uid="{00000000-0005-0000-0000-00000E390000}"/>
    <cellStyle name="20% - 强调文字颜色 4 3 3 7" xfId="14608" xr:uid="{00000000-0005-0000-0000-00000F390000}"/>
    <cellStyle name="20% - 强调文字颜色 4 3 3 7 2" xfId="14609" xr:uid="{00000000-0005-0000-0000-000010390000}"/>
    <cellStyle name="20% - 强调文字颜色 4 3 4" xfId="14610" xr:uid="{00000000-0005-0000-0000-000011390000}"/>
    <cellStyle name="20% - 强调文字颜色 4 3 4 2" xfId="14611" xr:uid="{00000000-0005-0000-0000-000012390000}"/>
    <cellStyle name="20% - 强调文字颜色 4 3 4 2 2" xfId="14612" xr:uid="{00000000-0005-0000-0000-000013390000}"/>
    <cellStyle name="20% - 强调文字颜色 4 3 4 2 3" xfId="14613" xr:uid="{00000000-0005-0000-0000-000014390000}"/>
    <cellStyle name="20% - 强调文字颜色 4 3 4 2 3 2" xfId="14614" xr:uid="{00000000-0005-0000-0000-000015390000}"/>
    <cellStyle name="20% - 强调文字颜色 4 3 4 2 3 2 2" xfId="14615" xr:uid="{00000000-0005-0000-0000-000016390000}"/>
    <cellStyle name="20% - 强调文字颜色 4 3 4 2 4" xfId="14616" xr:uid="{00000000-0005-0000-0000-000017390000}"/>
    <cellStyle name="20% - 强调文字颜色 4 3 4 2 4 2" xfId="14617" xr:uid="{00000000-0005-0000-0000-000018390000}"/>
    <cellStyle name="20% - 强调文字颜色 4 3 4 2 5" xfId="14618" xr:uid="{00000000-0005-0000-0000-000019390000}"/>
    <cellStyle name="20% - 强调文字颜色 4 3 4 2 5 2" xfId="14619" xr:uid="{00000000-0005-0000-0000-00001A390000}"/>
    <cellStyle name="20% - 强调文字颜色 4 3 4 2 6" xfId="14620" xr:uid="{00000000-0005-0000-0000-00001B390000}"/>
    <cellStyle name="20% - 强调文字颜色 4 3 4 3" xfId="14621" xr:uid="{00000000-0005-0000-0000-00001C390000}"/>
    <cellStyle name="20% - 强调文字颜色 4 3 4 4" xfId="14622" xr:uid="{00000000-0005-0000-0000-00001D390000}"/>
    <cellStyle name="20% - 强调文字颜色 4 3 4 5" xfId="14623" xr:uid="{00000000-0005-0000-0000-00001E390000}"/>
    <cellStyle name="20% - 强调文字颜色 4 3 4 6" xfId="14624" xr:uid="{00000000-0005-0000-0000-00001F390000}"/>
    <cellStyle name="20% - 强调文字颜色 4 3 4 6 2" xfId="14625" xr:uid="{00000000-0005-0000-0000-000020390000}"/>
    <cellStyle name="20% - 强调文字颜色 4 3 4 7" xfId="14626" xr:uid="{00000000-0005-0000-0000-000021390000}"/>
    <cellStyle name="20% - 强调文字颜色 4 3 4 7 2" xfId="14627" xr:uid="{00000000-0005-0000-0000-000022390000}"/>
    <cellStyle name="20% - 强调文字颜色 4 3 5" xfId="14628" xr:uid="{00000000-0005-0000-0000-000023390000}"/>
    <cellStyle name="20% - 强调文字颜色 4 3 5 2" xfId="14629" xr:uid="{00000000-0005-0000-0000-000024390000}"/>
    <cellStyle name="20% - 强调文字颜色 4 3 5 2 2" xfId="14630" xr:uid="{00000000-0005-0000-0000-000025390000}"/>
    <cellStyle name="20% - 强调文字颜色 4 3 5 2 2 2" xfId="14631" xr:uid="{00000000-0005-0000-0000-000026390000}"/>
    <cellStyle name="20% - 强调文字颜色 4 3 5 2 2 2 2" xfId="14632" xr:uid="{00000000-0005-0000-0000-000027390000}"/>
    <cellStyle name="20% - 强调文字颜色 4 3 5 2 3" xfId="14633" xr:uid="{00000000-0005-0000-0000-000028390000}"/>
    <cellStyle name="20% - 强调文字颜色 4 3 5 2 3 2" xfId="14634" xr:uid="{00000000-0005-0000-0000-000029390000}"/>
    <cellStyle name="20% - 强调文字颜色 4 3 5 2 4" xfId="14635" xr:uid="{00000000-0005-0000-0000-00002A390000}"/>
    <cellStyle name="20% - 强调文字颜色 4 3 5 2 4 2" xfId="14636" xr:uid="{00000000-0005-0000-0000-00002B390000}"/>
    <cellStyle name="20% - 强调文字颜色 4 3 5 2 5" xfId="14637" xr:uid="{00000000-0005-0000-0000-00002C390000}"/>
    <cellStyle name="20% - 强调文字颜色 4 3 5 3" xfId="14638" xr:uid="{00000000-0005-0000-0000-00002D390000}"/>
    <cellStyle name="20% - 强调文字颜色 4 3 5 3 2" xfId="14639" xr:uid="{00000000-0005-0000-0000-00002E390000}"/>
    <cellStyle name="20% - 强调文字颜色 4 3 5 3 2 2" xfId="14640" xr:uid="{00000000-0005-0000-0000-00002F390000}"/>
    <cellStyle name="20% - 强调文字颜色 4 3 5 4" xfId="14641" xr:uid="{00000000-0005-0000-0000-000030390000}"/>
    <cellStyle name="20% - 强调文字颜色 4 3 5 4 2" xfId="14642" xr:uid="{00000000-0005-0000-0000-000031390000}"/>
    <cellStyle name="20% - 强调文字颜色 4 3 5 5" xfId="14643" xr:uid="{00000000-0005-0000-0000-000032390000}"/>
    <cellStyle name="20% - 强调文字颜色 4 3 5 5 2" xfId="14644" xr:uid="{00000000-0005-0000-0000-000033390000}"/>
    <cellStyle name="20% - 强调文字颜色 4 3 5 6" xfId="14645" xr:uid="{00000000-0005-0000-0000-000034390000}"/>
    <cellStyle name="20% - 强调文字颜色 4 3 6" xfId="14646" xr:uid="{00000000-0005-0000-0000-000035390000}"/>
    <cellStyle name="20% - 强调文字颜色 4 3 6 2" xfId="14647" xr:uid="{00000000-0005-0000-0000-000036390000}"/>
    <cellStyle name="20% - 强调文字颜色 4 3 6 2 2" xfId="14648" xr:uid="{00000000-0005-0000-0000-000037390000}"/>
    <cellStyle name="20% - 强调文字颜色 4 3 6 2 2 2" xfId="14649" xr:uid="{00000000-0005-0000-0000-000038390000}"/>
    <cellStyle name="20% - 强调文字颜色 4 3 6 3" xfId="14650" xr:uid="{00000000-0005-0000-0000-000039390000}"/>
    <cellStyle name="20% - 强调文字颜色 4 3 6 3 2" xfId="14651" xr:uid="{00000000-0005-0000-0000-00003A390000}"/>
    <cellStyle name="20% - 强调文字颜色 4 3 6 4" xfId="14652" xr:uid="{00000000-0005-0000-0000-00003B390000}"/>
    <cellStyle name="20% - 强调文字颜色 4 3 6 4 2" xfId="14653" xr:uid="{00000000-0005-0000-0000-00003C390000}"/>
    <cellStyle name="20% - 强调文字颜色 4 3 6 5" xfId="14654" xr:uid="{00000000-0005-0000-0000-00003D390000}"/>
    <cellStyle name="20% - 强调文字颜色 4 3 7" xfId="14655" xr:uid="{00000000-0005-0000-0000-00003E390000}"/>
    <cellStyle name="20% - 强调文字颜色 4 3 8" xfId="14656" xr:uid="{00000000-0005-0000-0000-00003F390000}"/>
    <cellStyle name="20% - 强调文字颜色 4 3 8 2" xfId="14657" xr:uid="{00000000-0005-0000-0000-000040390000}"/>
    <cellStyle name="20% - 强调文字颜色 4 3 9" xfId="14658" xr:uid="{00000000-0005-0000-0000-000041390000}"/>
    <cellStyle name="20% - 强调文字颜色 4 3 9 2" xfId="14659" xr:uid="{00000000-0005-0000-0000-000042390000}"/>
    <cellStyle name="20% - 强调文字颜色 5 2" xfId="14660" xr:uid="{00000000-0005-0000-0000-000043390000}"/>
    <cellStyle name="20% - 强调文字颜色 5 2 10" xfId="14661" xr:uid="{00000000-0005-0000-0000-000044390000}"/>
    <cellStyle name="20% - 强调文字颜色 5 2 11" xfId="14662" xr:uid="{00000000-0005-0000-0000-000045390000}"/>
    <cellStyle name="20% - 强调文字颜色 5 2 11 2" xfId="14663" xr:uid="{00000000-0005-0000-0000-000046390000}"/>
    <cellStyle name="20% - 强调文字颜色 5 2 12" xfId="14664" xr:uid="{00000000-0005-0000-0000-000047390000}"/>
    <cellStyle name="20% - 强调文字颜色 5 2 12 2" xfId="14665" xr:uid="{00000000-0005-0000-0000-000048390000}"/>
    <cellStyle name="20% - 强调文字颜色 5 2 2" xfId="14666" xr:uid="{00000000-0005-0000-0000-000049390000}"/>
    <cellStyle name="20% - 强调文字颜色 5 2 2 10" xfId="14667" xr:uid="{00000000-0005-0000-0000-00004A390000}"/>
    <cellStyle name="20% - 强调文字颜色 5 2 2 11" xfId="14668" xr:uid="{00000000-0005-0000-0000-00004B390000}"/>
    <cellStyle name="20% - 强调文字颜色 5 2 2 11 2" xfId="14669" xr:uid="{00000000-0005-0000-0000-00004C390000}"/>
    <cellStyle name="20% - 强调文字颜色 5 2 2 12" xfId="14670" xr:uid="{00000000-0005-0000-0000-00004D390000}"/>
    <cellStyle name="20% - 强调文字颜色 5 2 2 12 2" xfId="14671" xr:uid="{00000000-0005-0000-0000-00004E390000}"/>
    <cellStyle name="20% - 强调文字颜色 5 2 2 2" xfId="14672" xr:uid="{00000000-0005-0000-0000-00004F390000}"/>
    <cellStyle name="20% - 强调文字颜色 5 2 2 2 2" xfId="14673" xr:uid="{00000000-0005-0000-0000-000050390000}"/>
    <cellStyle name="20% - 强调文字颜色 5 2 2 2 2 2" xfId="14674" xr:uid="{00000000-0005-0000-0000-000051390000}"/>
    <cellStyle name="20% - 强调文字颜色 5 2 2 2 2 2 2" xfId="14675" xr:uid="{00000000-0005-0000-0000-000052390000}"/>
    <cellStyle name="20% - 强调文字颜色 5 2 2 2 2 2 3" xfId="14676" xr:uid="{00000000-0005-0000-0000-000053390000}"/>
    <cellStyle name="20% - 强调文字颜色 5 2 2 2 2 2 3 2" xfId="14677" xr:uid="{00000000-0005-0000-0000-000054390000}"/>
    <cellStyle name="20% - 强调文字颜色 5 2 2 2 2 2 3 2 2" xfId="14678" xr:uid="{00000000-0005-0000-0000-000055390000}"/>
    <cellStyle name="20% - 强调文字颜色 5 2 2 2 2 2 4" xfId="14679" xr:uid="{00000000-0005-0000-0000-000056390000}"/>
    <cellStyle name="20% - 强调文字颜色 5 2 2 2 2 2 4 2" xfId="14680" xr:uid="{00000000-0005-0000-0000-000057390000}"/>
    <cellStyle name="20% - 强调文字颜色 5 2 2 2 2 2 5" xfId="14681" xr:uid="{00000000-0005-0000-0000-000058390000}"/>
    <cellStyle name="20% - 强调文字颜色 5 2 2 2 2 2 5 2" xfId="14682" xr:uid="{00000000-0005-0000-0000-000059390000}"/>
    <cellStyle name="20% - 强调文字颜色 5 2 2 2 2 2 6" xfId="14683" xr:uid="{00000000-0005-0000-0000-00005A390000}"/>
    <cellStyle name="20% - 强调文字颜色 5 2 2 2 2 3" xfId="14684" xr:uid="{00000000-0005-0000-0000-00005B390000}"/>
    <cellStyle name="20% - 强调文字颜色 5 2 2 2 2 3 2" xfId="14685" xr:uid="{00000000-0005-0000-0000-00005C390000}"/>
    <cellStyle name="20% - 强调文字颜色 5 2 2 2 2 3 2 2" xfId="14686" xr:uid="{00000000-0005-0000-0000-00005D390000}"/>
    <cellStyle name="20% - 强调文字颜色 5 2 2 2 2 3 2 2 2" xfId="14687" xr:uid="{00000000-0005-0000-0000-00005E390000}"/>
    <cellStyle name="20% - 强调文字颜色 5 2 2 2 2 3 3" xfId="14688" xr:uid="{00000000-0005-0000-0000-00005F390000}"/>
    <cellStyle name="20% - 强调文字颜色 5 2 2 2 2 3 3 2" xfId="14689" xr:uid="{00000000-0005-0000-0000-000060390000}"/>
    <cellStyle name="20% - 强调文字颜色 5 2 2 2 2 3 4" xfId="14690" xr:uid="{00000000-0005-0000-0000-000061390000}"/>
    <cellStyle name="20% - 强调文字颜色 5 2 2 2 2 3 4 2" xfId="14691" xr:uid="{00000000-0005-0000-0000-000062390000}"/>
    <cellStyle name="20% - 强调文字颜色 5 2 2 2 2 3 5" xfId="14692" xr:uid="{00000000-0005-0000-0000-000063390000}"/>
    <cellStyle name="20% - 强调文字颜色 5 2 2 2 2 4" xfId="14693" xr:uid="{00000000-0005-0000-0000-000064390000}"/>
    <cellStyle name="20% - 强调文字颜色 5 2 2 2 2 5" xfId="14694" xr:uid="{00000000-0005-0000-0000-000065390000}"/>
    <cellStyle name="20% - 强调文字颜色 5 2 2 2 2 6" xfId="14695" xr:uid="{00000000-0005-0000-0000-000066390000}"/>
    <cellStyle name="20% - 强调文字颜色 5 2 2 2 2 6 2" xfId="14696" xr:uid="{00000000-0005-0000-0000-000067390000}"/>
    <cellStyle name="20% - 强调文字颜色 5 2 2 2 2 7" xfId="14697" xr:uid="{00000000-0005-0000-0000-000068390000}"/>
    <cellStyle name="20% - 强调文字颜色 5 2 2 2 2 7 2" xfId="14698" xr:uid="{00000000-0005-0000-0000-000069390000}"/>
    <cellStyle name="20% - 强调文字颜色 5 2 2 2 3" xfId="14699" xr:uid="{00000000-0005-0000-0000-00006A390000}"/>
    <cellStyle name="20% - 强调文字颜色 5 2 2 2 3 2" xfId="14700" xr:uid="{00000000-0005-0000-0000-00006B390000}"/>
    <cellStyle name="20% - 强调文字颜色 5 2 2 2 3 3" xfId="14701" xr:uid="{00000000-0005-0000-0000-00006C390000}"/>
    <cellStyle name="20% - 强调文字颜色 5 2 2 2 3 3 2" xfId="14702" xr:uid="{00000000-0005-0000-0000-00006D390000}"/>
    <cellStyle name="20% - 强调文字颜色 5 2 2 2 3 3 2 2" xfId="14703" xr:uid="{00000000-0005-0000-0000-00006E390000}"/>
    <cellStyle name="20% - 强调文字颜色 5 2 2 2 3 4" xfId="14704" xr:uid="{00000000-0005-0000-0000-00006F390000}"/>
    <cellStyle name="20% - 强调文字颜色 5 2 2 2 3 4 2" xfId="14705" xr:uid="{00000000-0005-0000-0000-000070390000}"/>
    <cellStyle name="20% - 强调文字颜色 5 2 2 2 3 5" xfId="14706" xr:uid="{00000000-0005-0000-0000-000071390000}"/>
    <cellStyle name="20% - 强调文字颜色 5 2 2 2 3 5 2" xfId="14707" xr:uid="{00000000-0005-0000-0000-000072390000}"/>
    <cellStyle name="20% - 强调文字颜色 5 2 2 2 3 6" xfId="14708" xr:uid="{00000000-0005-0000-0000-000073390000}"/>
    <cellStyle name="20% - 强调文字颜色 5 2 2 2 4" xfId="14709" xr:uid="{00000000-0005-0000-0000-000074390000}"/>
    <cellStyle name="20% - 强调文字颜色 5 2 2 2 4 2" xfId="14710" xr:uid="{00000000-0005-0000-0000-000075390000}"/>
    <cellStyle name="20% - 强调文字颜色 5 2 2 2 4 2 2" xfId="14711" xr:uid="{00000000-0005-0000-0000-000076390000}"/>
    <cellStyle name="20% - 强调文字颜色 5 2 2 2 4 2 2 2" xfId="14712" xr:uid="{00000000-0005-0000-0000-000077390000}"/>
    <cellStyle name="20% - 强调文字颜色 5 2 2 2 4 3" xfId="14713" xr:uid="{00000000-0005-0000-0000-000078390000}"/>
    <cellStyle name="20% - 强调文字颜色 5 2 2 2 4 3 2" xfId="14714" xr:uid="{00000000-0005-0000-0000-000079390000}"/>
    <cellStyle name="20% - 强调文字颜色 5 2 2 2 4 4" xfId="14715" xr:uid="{00000000-0005-0000-0000-00007A390000}"/>
    <cellStyle name="20% - 强调文字颜色 5 2 2 2 4 4 2" xfId="14716" xr:uid="{00000000-0005-0000-0000-00007B390000}"/>
    <cellStyle name="20% - 强调文字颜色 5 2 2 2 4 5" xfId="14717" xr:uid="{00000000-0005-0000-0000-00007C390000}"/>
    <cellStyle name="20% - 强调文字颜色 5 2 2 2 5" xfId="14718" xr:uid="{00000000-0005-0000-0000-00007D390000}"/>
    <cellStyle name="20% - 强调文字颜色 5 2 2 2 6" xfId="14719" xr:uid="{00000000-0005-0000-0000-00007E390000}"/>
    <cellStyle name="20% - 强调文字颜色 5 2 2 2 7" xfId="14720" xr:uid="{00000000-0005-0000-0000-00007F390000}"/>
    <cellStyle name="20% - 强调文字颜色 5 2 2 2 7 2" xfId="14721" xr:uid="{00000000-0005-0000-0000-000080390000}"/>
    <cellStyle name="20% - 强调文字颜色 5 2 2 2 8" xfId="14722" xr:uid="{00000000-0005-0000-0000-000081390000}"/>
    <cellStyle name="20% - 强调文字颜色 5 2 2 2 8 2" xfId="14723" xr:uid="{00000000-0005-0000-0000-000082390000}"/>
    <cellStyle name="20% - 强调文字颜色 5 2 2 3" xfId="14724" xr:uid="{00000000-0005-0000-0000-000083390000}"/>
    <cellStyle name="20% - 强调文字颜色 5 2 2 3 2" xfId="14725" xr:uid="{00000000-0005-0000-0000-000084390000}"/>
    <cellStyle name="20% - 强调文字颜色 5 2 2 3 2 2" xfId="14726" xr:uid="{00000000-0005-0000-0000-000085390000}"/>
    <cellStyle name="20% - 强调文字颜色 5 2 2 3 2 3" xfId="14727" xr:uid="{00000000-0005-0000-0000-000086390000}"/>
    <cellStyle name="20% - 强调文字颜色 5 2 2 3 2 3 2" xfId="14728" xr:uid="{00000000-0005-0000-0000-000087390000}"/>
    <cellStyle name="20% - 强调文字颜色 5 2 2 3 2 3 2 2" xfId="14729" xr:uid="{00000000-0005-0000-0000-000088390000}"/>
    <cellStyle name="20% - 强调文字颜色 5 2 2 3 2 4" xfId="14730" xr:uid="{00000000-0005-0000-0000-000089390000}"/>
    <cellStyle name="20% - 强调文字颜色 5 2 2 3 2 4 2" xfId="14731" xr:uid="{00000000-0005-0000-0000-00008A390000}"/>
    <cellStyle name="20% - 强调文字颜色 5 2 2 3 2 5" xfId="14732" xr:uid="{00000000-0005-0000-0000-00008B390000}"/>
    <cellStyle name="20% - 强调文字颜色 5 2 2 3 2 5 2" xfId="14733" xr:uid="{00000000-0005-0000-0000-00008C390000}"/>
    <cellStyle name="20% - 强调文字颜色 5 2 2 3 2 6" xfId="14734" xr:uid="{00000000-0005-0000-0000-00008D390000}"/>
    <cellStyle name="20% - 强调文字颜色 5 2 2 3 3" xfId="14735" xr:uid="{00000000-0005-0000-0000-00008E390000}"/>
    <cellStyle name="20% - 强调文字颜色 5 2 2 3 3 2" xfId="14736" xr:uid="{00000000-0005-0000-0000-00008F390000}"/>
    <cellStyle name="20% - 强调文字颜色 5 2 2 3 3 2 2" xfId="14737" xr:uid="{00000000-0005-0000-0000-000090390000}"/>
    <cellStyle name="20% - 强调文字颜色 5 2 2 3 3 2 2 2" xfId="14738" xr:uid="{00000000-0005-0000-0000-000091390000}"/>
    <cellStyle name="20% - 强调文字颜色 5 2 2 3 3 3" xfId="14739" xr:uid="{00000000-0005-0000-0000-000092390000}"/>
    <cellStyle name="20% - 强调文字颜色 5 2 2 3 3 3 2" xfId="14740" xr:uid="{00000000-0005-0000-0000-000093390000}"/>
    <cellStyle name="20% - 强调文字颜色 5 2 2 3 3 4" xfId="14741" xr:uid="{00000000-0005-0000-0000-000094390000}"/>
    <cellStyle name="20% - 强调文字颜色 5 2 2 3 3 4 2" xfId="14742" xr:uid="{00000000-0005-0000-0000-000095390000}"/>
    <cellStyle name="20% - 强调文字颜色 5 2 2 3 3 5" xfId="14743" xr:uid="{00000000-0005-0000-0000-000096390000}"/>
    <cellStyle name="20% - 强调文字颜色 5 2 2 3 4" xfId="14744" xr:uid="{00000000-0005-0000-0000-000097390000}"/>
    <cellStyle name="20% - 强调文字颜色 5 2 2 3 5" xfId="14745" xr:uid="{00000000-0005-0000-0000-000098390000}"/>
    <cellStyle name="20% - 强调文字颜色 5 2 2 3 6" xfId="14746" xr:uid="{00000000-0005-0000-0000-000099390000}"/>
    <cellStyle name="20% - 强调文字颜色 5 2 2 3 6 2" xfId="14747" xr:uid="{00000000-0005-0000-0000-00009A390000}"/>
    <cellStyle name="20% - 强调文字颜色 5 2 2 3 7" xfId="14748" xr:uid="{00000000-0005-0000-0000-00009B390000}"/>
    <cellStyle name="20% - 强调文字颜色 5 2 2 3 7 2" xfId="14749" xr:uid="{00000000-0005-0000-0000-00009C390000}"/>
    <cellStyle name="20% - 强调文字颜色 5 2 2 4" xfId="14750" xr:uid="{00000000-0005-0000-0000-00009D390000}"/>
    <cellStyle name="20% - 强调文字颜色 5 2 2 4 2" xfId="14751" xr:uid="{00000000-0005-0000-0000-00009E390000}"/>
    <cellStyle name="20% - 强调文字颜色 5 2 2 4 2 2" xfId="14752" xr:uid="{00000000-0005-0000-0000-00009F390000}"/>
    <cellStyle name="20% - 强调文字颜色 5 2 2 4 2 3" xfId="14753" xr:uid="{00000000-0005-0000-0000-0000A0390000}"/>
    <cellStyle name="20% - 强调文字颜色 5 2 2 4 2 3 2" xfId="14754" xr:uid="{00000000-0005-0000-0000-0000A1390000}"/>
    <cellStyle name="20% - 强调文字颜色 5 2 2 4 2 3 2 2" xfId="14755" xr:uid="{00000000-0005-0000-0000-0000A2390000}"/>
    <cellStyle name="20% - 强调文字颜色 5 2 2 4 2 4" xfId="14756" xr:uid="{00000000-0005-0000-0000-0000A3390000}"/>
    <cellStyle name="20% - 强调文字颜色 5 2 2 4 2 4 2" xfId="14757" xr:uid="{00000000-0005-0000-0000-0000A4390000}"/>
    <cellStyle name="20% - 强调文字颜色 5 2 2 4 2 5" xfId="14758" xr:uid="{00000000-0005-0000-0000-0000A5390000}"/>
    <cellStyle name="20% - 强调文字颜色 5 2 2 4 2 5 2" xfId="14759" xr:uid="{00000000-0005-0000-0000-0000A6390000}"/>
    <cellStyle name="20% - 强调文字颜色 5 2 2 4 2 6" xfId="14760" xr:uid="{00000000-0005-0000-0000-0000A7390000}"/>
    <cellStyle name="20% - 强调文字颜色 5 2 2 4 3" xfId="14761" xr:uid="{00000000-0005-0000-0000-0000A8390000}"/>
    <cellStyle name="20% - 强调文字颜色 5 2 2 4 4" xfId="14762" xr:uid="{00000000-0005-0000-0000-0000A9390000}"/>
    <cellStyle name="20% - 强调文字颜色 5 2 2 4 5" xfId="14763" xr:uid="{00000000-0005-0000-0000-0000AA390000}"/>
    <cellStyle name="20% - 强调文字颜色 5 2 2 4 6" xfId="14764" xr:uid="{00000000-0005-0000-0000-0000AB390000}"/>
    <cellStyle name="20% - 强调文字颜色 5 2 2 4 6 2" xfId="14765" xr:uid="{00000000-0005-0000-0000-0000AC390000}"/>
    <cellStyle name="20% - 强调文字颜色 5 2 2 4 7" xfId="14766" xr:uid="{00000000-0005-0000-0000-0000AD390000}"/>
    <cellStyle name="20% - 强调文字颜色 5 2 2 4 7 2" xfId="14767" xr:uid="{00000000-0005-0000-0000-0000AE390000}"/>
    <cellStyle name="20% - 强调文字颜色 5 2 2 5" xfId="14768" xr:uid="{00000000-0005-0000-0000-0000AF390000}"/>
    <cellStyle name="20% - 强调文字颜色 5 2 2 5 2" xfId="14769" xr:uid="{00000000-0005-0000-0000-0000B0390000}"/>
    <cellStyle name="20% - 强调文字颜色 5 2 2 5 2 2" xfId="14770" xr:uid="{00000000-0005-0000-0000-0000B1390000}"/>
    <cellStyle name="20% - 强调文字颜色 5 2 2 5 2 2 2" xfId="14771" xr:uid="{00000000-0005-0000-0000-0000B2390000}"/>
    <cellStyle name="20% - 强调文字颜色 5 2 2 5 2 2 2 2" xfId="14772" xr:uid="{00000000-0005-0000-0000-0000B3390000}"/>
    <cellStyle name="20% - 强调文字颜色 5 2 2 5 2 3" xfId="14773" xr:uid="{00000000-0005-0000-0000-0000B4390000}"/>
    <cellStyle name="20% - 强调文字颜色 5 2 2 5 2 3 2" xfId="14774" xr:uid="{00000000-0005-0000-0000-0000B5390000}"/>
    <cellStyle name="20% - 强调文字颜色 5 2 2 5 2 4" xfId="14775" xr:uid="{00000000-0005-0000-0000-0000B6390000}"/>
    <cellStyle name="20% - 强调文字颜色 5 2 2 5 2 4 2" xfId="14776" xr:uid="{00000000-0005-0000-0000-0000B7390000}"/>
    <cellStyle name="20% - 强调文字颜色 5 2 2 5 2 5" xfId="14777" xr:uid="{00000000-0005-0000-0000-0000B8390000}"/>
    <cellStyle name="20% - 强调文字颜色 5 2 2 5 3" xfId="14778" xr:uid="{00000000-0005-0000-0000-0000B9390000}"/>
    <cellStyle name="20% - 强调文字颜色 5 2 2 5 3 2" xfId="14779" xr:uid="{00000000-0005-0000-0000-0000BA390000}"/>
    <cellStyle name="20% - 强调文字颜色 5 2 2 5 3 2 2" xfId="14780" xr:uid="{00000000-0005-0000-0000-0000BB390000}"/>
    <cellStyle name="20% - 强调文字颜色 5 2 2 5 4" xfId="14781" xr:uid="{00000000-0005-0000-0000-0000BC390000}"/>
    <cellStyle name="20% - 强调文字颜色 5 2 2 5 4 2" xfId="14782" xr:uid="{00000000-0005-0000-0000-0000BD390000}"/>
    <cellStyle name="20% - 强调文字颜色 5 2 2 5 5" xfId="14783" xr:uid="{00000000-0005-0000-0000-0000BE390000}"/>
    <cellStyle name="20% - 强调文字颜色 5 2 2 5 5 2" xfId="14784" xr:uid="{00000000-0005-0000-0000-0000BF390000}"/>
    <cellStyle name="20% - 强调文字颜色 5 2 2 5 6" xfId="14785" xr:uid="{00000000-0005-0000-0000-0000C0390000}"/>
    <cellStyle name="20% - 强调文字颜色 5 2 2 6" xfId="14786" xr:uid="{00000000-0005-0000-0000-0000C1390000}"/>
    <cellStyle name="20% - 强调文字颜色 5 2 2 6 2" xfId="14787" xr:uid="{00000000-0005-0000-0000-0000C2390000}"/>
    <cellStyle name="20% - 强调文字颜色 5 2 2 6 2 2" xfId="14788" xr:uid="{00000000-0005-0000-0000-0000C3390000}"/>
    <cellStyle name="20% - 强调文字颜色 5 2 2 6 2 2 2" xfId="14789" xr:uid="{00000000-0005-0000-0000-0000C4390000}"/>
    <cellStyle name="20% - 强调文字颜色 5 2 2 6 2 2 2 2" xfId="14790" xr:uid="{00000000-0005-0000-0000-0000C5390000}"/>
    <cellStyle name="20% - 强调文字颜色 5 2 2 6 2 3" xfId="14791" xr:uid="{00000000-0005-0000-0000-0000C6390000}"/>
    <cellStyle name="20% - 强调文字颜色 5 2 2 6 2 3 2" xfId="14792" xr:uid="{00000000-0005-0000-0000-0000C7390000}"/>
    <cellStyle name="20% - 强调文字颜色 5 2 2 6 2 4" xfId="14793" xr:uid="{00000000-0005-0000-0000-0000C8390000}"/>
    <cellStyle name="20% - 强调文字颜色 5 2 2 6 2 4 2" xfId="14794" xr:uid="{00000000-0005-0000-0000-0000C9390000}"/>
    <cellStyle name="20% - 强调文字颜色 5 2 2 6 2 5" xfId="14795" xr:uid="{00000000-0005-0000-0000-0000CA390000}"/>
    <cellStyle name="20% - 强调文字颜色 5 2 2 6 3" xfId="14796" xr:uid="{00000000-0005-0000-0000-0000CB390000}"/>
    <cellStyle name="20% - 强调文字颜色 5 2 2 6 3 2" xfId="14797" xr:uid="{00000000-0005-0000-0000-0000CC390000}"/>
    <cellStyle name="20% - 强调文字颜色 5 2 2 6 3 2 2" xfId="14798" xr:uid="{00000000-0005-0000-0000-0000CD390000}"/>
    <cellStyle name="20% - 强调文字颜色 5 2 2 6 4" xfId="14799" xr:uid="{00000000-0005-0000-0000-0000CE390000}"/>
    <cellStyle name="20% - 强调文字颜色 5 2 2 6 4 2" xfId="14800" xr:uid="{00000000-0005-0000-0000-0000CF390000}"/>
    <cellStyle name="20% - 强调文字颜色 5 2 2 6 5" xfId="14801" xr:uid="{00000000-0005-0000-0000-0000D0390000}"/>
    <cellStyle name="20% - 强调文字颜色 5 2 2 6 5 2" xfId="14802" xr:uid="{00000000-0005-0000-0000-0000D1390000}"/>
    <cellStyle name="20% - 强调文字颜色 5 2 2 6 6" xfId="14803" xr:uid="{00000000-0005-0000-0000-0000D2390000}"/>
    <cellStyle name="20% - 强调文字颜色 5 2 2 7" xfId="14804" xr:uid="{00000000-0005-0000-0000-0000D3390000}"/>
    <cellStyle name="20% - 强调文字颜色 5 2 2 7 2" xfId="14805" xr:uid="{00000000-0005-0000-0000-0000D4390000}"/>
    <cellStyle name="20% - 强调文字颜色 5 2 2 7 2 2" xfId="14806" xr:uid="{00000000-0005-0000-0000-0000D5390000}"/>
    <cellStyle name="20% - 强调文字颜色 5 2 2 7 2 2 2" xfId="14807" xr:uid="{00000000-0005-0000-0000-0000D6390000}"/>
    <cellStyle name="20% - 强调文字颜色 5 2 2 7 2 2 2 2" xfId="14808" xr:uid="{00000000-0005-0000-0000-0000D7390000}"/>
    <cellStyle name="20% - 强调文字颜色 5 2 2 7 2 3" xfId="14809" xr:uid="{00000000-0005-0000-0000-0000D8390000}"/>
    <cellStyle name="20% - 强调文字颜色 5 2 2 7 2 3 2" xfId="14810" xr:uid="{00000000-0005-0000-0000-0000D9390000}"/>
    <cellStyle name="20% - 强调文字颜色 5 2 2 7 2 4" xfId="14811" xr:uid="{00000000-0005-0000-0000-0000DA390000}"/>
    <cellStyle name="20% - 强调文字颜色 5 2 2 7 2 4 2" xfId="14812" xr:uid="{00000000-0005-0000-0000-0000DB390000}"/>
    <cellStyle name="20% - 强调文字颜色 5 2 2 7 2 5" xfId="14813" xr:uid="{00000000-0005-0000-0000-0000DC390000}"/>
    <cellStyle name="20% - 强调文字颜色 5 2 2 7 3" xfId="14814" xr:uid="{00000000-0005-0000-0000-0000DD390000}"/>
    <cellStyle name="20% - 强调文字颜色 5 2 2 7 3 2" xfId="14815" xr:uid="{00000000-0005-0000-0000-0000DE390000}"/>
    <cellStyle name="20% - 强调文字颜色 5 2 2 7 3 2 2" xfId="14816" xr:uid="{00000000-0005-0000-0000-0000DF390000}"/>
    <cellStyle name="20% - 强调文字颜色 5 2 2 7 4" xfId="14817" xr:uid="{00000000-0005-0000-0000-0000E0390000}"/>
    <cellStyle name="20% - 强调文字颜色 5 2 2 7 4 2" xfId="14818" xr:uid="{00000000-0005-0000-0000-0000E1390000}"/>
    <cellStyle name="20% - 强调文字颜色 5 2 2 7 5" xfId="14819" xr:uid="{00000000-0005-0000-0000-0000E2390000}"/>
    <cellStyle name="20% - 强调文字颜色 5 2 2 7 5 2" xfId="14820" xr:uid="{00000000-0005-0000-0000-0000E3390000}"/>
    <cellStyle name="20% - 强调文字颜色 5 2 2 7 6" xfId="14821" xr:uid="{00000000-0005-0000-0000-0000E4390000}"/>
    <cellStyle name="20% - 强调文字颜色 5 2 2 8" xfId="14822" xr:uid="{00000000-0005-0000-0000-0000E5390000}"/>
    <cellStyle name="20% - 强调文字颜色 5 2 2 8 2" xfId="14823" xr:uid="{00000000-0005-0000-0000-0000E6390000}"/>
    <cellStyle name="20% - 强调文字颜色 5 2 2 8 2 2" xfId="14824" xr:uid="{00000000-0005-0000-0000-0000E7390000}"/>
    <cellStyle name="20% - 强调文字颜色 5 2 2 8 2 2 2" xfId="14825" xr:uid="{00000000-0005-0000-0000-0000E8390000}"/>
    <cellStyle name="20% - 强调文字颜色 5 2 2 8 3" xfId="14826" xr:uid="{00000000-0005-0000-0000-0000E9390000}"/>
    <cellStyle name="20% - 强调文字颜色 5 2 2 8 3 2" xfId="14827" xr:uid="{00000000-0005-0000-0000-0000EA390000}"/>
    <cellStyle name="20% - 强调文字颜色 5 2 2 8 4" xfId="14828" xr:uid="{00000000-0005-0000-0000-0000EB390000}"/>
    <cellStyle name="20% - 强调文字颜色 5 2 2 8 4 2" xfId="14829" xr:uid="{00000000-0005-0000-0000-0000EC390000}"/>
    <cellStyle name="20% - 强调文字颜色 5 2 2 8 5" xfId="14830" xr:uid="{00000000-0005-0000-0000-0000ED390000}"/>
    <cellStyle name="20% - 强调文字颜色 5 2 2 9" xfId="14831" xr:uid="{00000000-0005-0000-0000-0000EE390000}"/>
    <cellStyle name="20% - 强调文字颜色 5 2 2 9 2" xfId="14832" xr:uid="{00000000-0005-0000-0000-0000EF390000}"/>
    <cellStyle name="20% - 强调文字颜色 5 2 2 9 2 2" xfId="14833" xr:uid="{00000000-0005-0000-0000-0000F0390000}"/>
    <cellStyle name="20% - 强调文字颜色 5 2 2 9 2 2 2" xfId="14834" xr:uid="{00000000-0005-0000-0000-0000F1390000}"/>
    <cellStyle name="20% - 强调文字颜色 5 2 2 9 3" xfId="14835" xr:uid="{00000000-0005-0000-0000-0000F2390000}"/>
    <cellStyle name="20% - 强调文字颜色 5 2 2 9 3 2" xfId="14836" xr:uid="{00000000-0005-0000-0000-0000F3390000}"/>
    <cellStyle name="20% - 强调文字颜色 5 2 2 9 4" xfId="14837" xr:uid="{00000000-0005-0000-0000-0000F4390000}"/>
    <cellStyle name="20% - 强调文字颜色 5 2 2 9 4 2" xfId="14838" xr:uid="{00000000-0005-0000-0000-0000F5390000}"/>
    <cellStyle name="20% - 强调文字颜色 5 2 2 9 5" xfId="14839" xr:uid="{00000000-0005-0000-0000-0000F6390000}"/>
    <cellStyle name="20% - 强调文字颜色 5 2 3" xfId="14840" xr:uid="{00000000-0005-0000-0000-0000F7390000}"/>
    <cellStyle name="20% - 强调文字颜色 5 2 3 10" xfId="14841" xr:uid="{00000000-0005-0000-0000-0000F8390000}"/>
    <cellStyle name="20% - 强调文字颜色 5 2 3 10 2" xfId="14842" xr:uid="{00000000-0005-0000-0000-0000F9390000}"/>
    <cellStyle name="20% - 强调文字颜色 5 2 3 2" xfId="14843" xr:uid="{00000000-0005-0000-0000-0000FA390000}"/>
    <cellStyle name="20% - 强调文字颜色 5 2 3 2 2" xfId="14844" xr:uid="{00000000-0005-0000-0000-0000FB390000}"/>
    <cellStyle name="20% - 强调文字颜色 5 2 3 2 2 2" xfId="14845" xr:uid="{00000000-0005-0000-0000-0000FC390000}"/>
    <cellStyle name="20% - 强调文字颜色 5 2 3 2 2 2 2" xfId="14846" xr:uid="{00000000-0005-0000-0000-0000FD390000}"/>
    <cellStyle name="20% - 强调文字颜色 5 2 3 2 2 2 3" xfId="14847" xr:uid="{00000000-0005-0000-0000-0000FE390000}"/>
    <cellStyle name="20% - 强调文字颜色 5 2 3 2 2 2 3 2" xfId="14848" xr:uid="{00000000-0005-0000-0000-0000FF390000}"/>
    <cellStyle name="20% - 强调文字颜色 5 2 3 2 2 2 3 2 2" xfId="14849" xr:uid="{00000000-0005-0000-0000-0000003A0000}"/>
    <cellStyle name="20% - 强调文字颜色 5 2 3 2 2 2 4" xfId="14850" xr:uid="{00000000-0005-0000-0000-0000013A0000}"/>
    <cellStyle name="20% - 强调文字颜色 5 2 3 2 2 2 4 2" xfId="14851" xr:uid="{00000000-0005-0000-0000-0000023A0000}"/>
    <cellStyle name="20% - 强调文字颜色 5 2 3 2 2 2 5" xfId="14852" xr:uid="{00000000-0005-0000-0000-0000033A0000}"/>
    <cellStyle name="20% - 强调文字颜色 5 2 3 2 2 2 5 2" xfId="14853" xr:uid="{00000000-0005-0000-0000-0000043A0000}"/>
    <cellStyle name="20% - 强调文字颜色 5 2 3 2 2 2 6" xfId="14854" xr:uid="{00000000-0005-0000-0000-0000053A0000}"/>
    <cellStyle name="20% - 强调文字颜色 5 2 3 2 2 3" xfId="14855" xr:uid="{00000000-0005-0000-0000-0000063A0000}"/>
    <cellStyle name="20% - 强调文字颜色 5 2 3 2 2 3 2" xfId="14856" xr:uid="{00000000-0005-0000-0000-0000073A0000}"/>
    <cellStyle name="20% - 强调文字颜色 5 2 3 2 2 3 2 2" xfId="14857" xr:uid="{00000000-0005-0000-0000-0000083A0000}"/>
    <cellStyle name="20% - 强调文字颜色 5 2 3 2 2 3 2 2 2" xfId="14858" xr:uid="{00000000-0005-0000-0000-0000093A0000}"/>
    <cellStyle name="20% - 强调文字颜色 5 2 3 2 2 3 3" xfId="14859" xr:uid="{00000000-0005-0000-0000-00000A3A0000}"/>
    <cellStyle name="20% - 强调文字颜色 5 2 3 2 2 3 3 2" xfId="14860" xr:uid="{00000000-0005-0000-0000-00000B3A0000}"/>
    <cellStyle name="20% - 强调文字颜色 5 2 3 2 2 3 4" xfId="14861" xr:uid="{00000000-0005-0000-0000-00000C3A0000}"/>
    <cellStyle name="20% - 强调文字颜色 5 2 3 2 2 3 4 2" xfId="14862" xr:uid="{00000000-0005-0000-0000-00000D3A0000}"/>
    <cellStyle name="20% - 强调文字颜色 5 2 3 2 2 3 5" xfId="14863" xr:uid="{00000000-0005-0000-0000-00000E3A0000}"/>
    <cellStyle name="20% - 强调文字颜色 5 2 3 2 2 4" xfId="14864" xr:uid="{00000000-0005-0000-0000-00000F3A0000}"/>
    <cellStyle name="20% - 强调文字颜色 5 2 3 2 2 5" xfId="14865" xr:uid="{00000000-0005-0000-0000-0000103A0000}"/>
    <cellStyle name="20% - 强调文字颜色 5 2 3 2 2 6" xfId="14866" xr:uid="{00000000-0005-0000-0000-0000113A0000}"/>
    <cellStyle name="20% - 强调文字颜色 5 2 3 2 2 6 2" xfId="14867" xr:uid="{00000000-0005-0000-0000-0000123A0000}"/>
    <cellStyle name="20% - 强调文字颜色 5 2 3 2 2 7" xfId="14868" xr:uid="{00000000-0005-0000-0000-0000133A0000}"/>
    <cellStyle name="20% - 强调文字颜色 5 2 3 2 2 7 2" xfId="14869" xr:uid="{00000000-0005-0000-0000-0000143A0000}"/>
    <cellStyle name="20% - 强调文字颜色 5 2 3 2 3" xfId="14870" xr:uid="{00000000-0005-0000-0000-0000153A0000}"/>
    <cellStyle name="20% - 强调文字颜色 5 2 3 2 3 2" xfId="14871" xr:uid="{00000000-0005-0000-0000-0000163A0000}"/>
    <cellStyle name="20% - 强调文字颜色 5 2 3 2 3 3" xfId="14872" xr:uid="{00000000-0005-0000-0000-0000173A0000}"/>
    <cellStyle name="20% - 强调文字颜色 5 2 3 2 3 3 2" xfId="14873" xr:uid="{00000000-0005-0000-0000-0000183A0000}"/>
    <cellStyle name="20% - 强调文字颜色 5 2 3 2 3 3 2 2" xfId="14874" xr:uid="{00000000-0005-0000-0000-0000193A0000}"/>
    <cellStyle name="20% - 强调文字颜色 5 2 3 2 3 4" xfId="14875" xr:uid="{00000000-0005-0000-0000-00001A3A0000}"/>
    <cellStyle name="20% - 强调文字颜色 5 2 3 2 3 4 2" xfId="14876" xr:uid="{00000000-0005-0000-0000-00001B3A0000}"/>
    <cellStyle name="20% - 强调文字颜色 5 2 3 2 3 5" xfId="14877" xr:uid="{00000000-0005-0000-0000-00001C3A0000}"/>
    <cellStyle name="20% - 强调文字颜色 5 2 3 2 3 5 2" xfId="14878" xr:uid="{00000000-0005-0000-0000-00001D3A0000}"/>
    <cellStyle name="20% - 强调文字颜色 5 2 3 2 3 6" xfId="14879" xr:uid="{00000000-0005-0000-0000-00001E3A0000}"/>
    <cellStyle name="20% - 强调文字颜色 5 2 3 2 4" xfId="14880" xr:uid="{00000000-0005-0000-0000-00001F3A0000}"/>
    <cellStyle name="20% - 强调文字颜色 5 2 3 2 4 2" xfId="14881" xr:uid="{00000000-0005-0000-0000-0000203A0000}"/>
    <cellStyle name="20% - 强调文字颜色 5 2 3 2 4 2 2" xfId="14882" xr:uid="{00000000-0005-0000-0000-0000213A0000}"/>
    <cellStyle name="20% - 强调文字颜色 5 2 3 2 4 2 2 2" xfId="14883" xr:uid="{00000000-0005-0000-0000-0000223A0000}"/>
    <cellStyle name="20% - 强调文字颜色 5 2 3 2 4 3" xfId="14884" xr:uid="{00000000-0005-0000-0000-0000233A0000}"/>
    <cellStyle name="20% - 强调文字颜色 5 2 3 2 4 3 2" xfId="14885" xr:uid="{00000000-0005-0000-0000-0000243A0000}"/>
    <cellStyle name="20% - 强调文字颜色 5 2 3 2 4 4" xfId="14886" xr:uid="{00000000-0005-0000-0000-0000253A0000}"/>
    <cellStyle name="20% - 强调文字颜色 5 2 3 2 4 4 2" xfId="14887" xr:uid="{00000000-0005-0000-0000-0000263A0000}"/>
    <cellStyle name="20% - 强调文字颜色 5 2 3 2 4 5" xfId="14888" xr:uid="{00000000-0005-0000-0000-0000273A0000}"/>
    <cellStyle name="20% - 强调文字颜色 5 2 3 2 5" xfId="14889" xr:uid="{00000000-0005-0000-0000-0000283A0000}"/>
    <cellStyle name="20% - 强调文字颜色 5 2 3 2 6" xfId="14890" xr:uid="{00000000-0005-0000-0000-0000293A0000}"/>
    <cellStyle name="20% - 强调文字颜色 5 2 3 2 7" xfId="14891" xr:uid="{00000000-0005-0000-0000-00002A3A0000}"/>
    <cellStyle name="20% - 强调文字颜色 5 2 3 2 7 2" xfId="14892" xr:uid="{00000000-0005-0000-0000-00002B3A0000}"/>
    <cellStyle name="20% - 强调文字颜色 5 2 3 2 8" xfId="14893" xr:uid="{00000000-0005-0000-0000-00002C3A0000}"/>
    <cellStyle name="20% - 强调文字颜色 5 2 3 2 8 2" xfId="14894" xr:uid="{00000000-0005-0000-0000-00002D3A0000}"/>
    <cellStyle name="20% - 强调文字颜色 5 2 3 3" xfId="14895" xr:uid="{00000000-0005-0000-0000-00002E3A0000}"/>
    <cellStyle name="20% - 强调文字颜色 5 2 3 3 2" xfId="14896" xr:uid="{00000000-0005-0000-0000-00002F3A0000}"/>
    <cellStyle name="20% - 强调文字颜色 5 2 3 3 2 2" xfId="14897" xr:uid="{00000000-0005-0000-0000-0000303A0000}"/>
    <cellStyle name="20% - 强调文字颜色 5 2 3 3 2 3" xfId="14898" xr:uid="{00000000-0005-0000-0000-0000313A0000}"/>
    <cellStyle name="20% - 强调文字颜色 5 2 3 3 2 3 2" xfId="14899" xr:uid="{00000000-0005-0000-0000-0000323A0000}"/>
    <cellStyle name="20% - 强调文字颜色 5 2 3 3 2 3 2 2" xfId="14900" xr:uid="{00000000-0005-0000-0000-0000333A0000}"/>
    <cellStyle name="20% - 强调文字颜色 5 2 3 3 2 4" xfId="14901" xr:uid="{00000000-0005-0000-0000-0000343A0000}"/>
    <cellStyle name="20% - 强调文字颜色 5 2 3 3 2 4 2" xfId="14902" xr:uid="{00000000-0005-0000-0000-0000353A0000}"/>
    <cellStyle name="20% - 强调文字颜色 5 2 3 3 2 5" xfId="14903" xr:uid="{00000000-0005-0000-0000-0000363A0000}"/>
    <cellStyle name="20% - 强调文字颜色 5 2 3 3 2 5 2" xfId="14904" xr:uid="{00000000-0005-0000-0000-0000373A0000}"/>
    <cellStyle name="20% - 强调文字颜色 5 2 3 3 2 6" xfId="14905" xr:uid="{00000000-0005-0000-0000-0000383A0000}"/>
    <cellStyle name="20% - 强调文字颜色 5 2 3 3 3" xfId="14906" xr:uid="{00000000-0005-0000-0000-0000393A0000}"/>
    <cellStyle name="20% - 强调文字颜色 5 2 3 3 3 2" xfId="14907" xr:uid="{00000000-0005-0000-0000-00003A3A0000}"/>
    <cellStyle name="20% - 强调文字颜色 5 2 3 3 3 2 2" xfId="14908" xr:uid="{00000000-0005-0000-0000-00003B3A0000}"/>
    <cellStyle name="20% - 强调文字颜色 5 2 3 3 3 2 2 2" xfId="14909" xr:uid="{00000000-0005-0000-0000-00003C3A0000}"/>
    <cellStyle name="20% - 强调文字颜色 5 2 3 3 3 3" xfId="14910" xr:uid="{00000000-0005-0000-0000-00003D3A0000}"/>
    <cellStyle name="20% - 强调文字颜色 5 2 3 3 3 3 2" xfId="14911" xr:uid="{00000000-0005-0000-0000-00003E3A0000}"/>
    <cellStyle name="20% - 强调文字颜色 5 2 3 3 3 4" xfId="14912" xr:uid="{00000000-0005-0000-0000-00003F3A0000}"/>
    <cellStyle name="20% - 强调文字颜色 5 2 3 3 3 4 2" xfId="14913" xr:uid="{00000000-0005-0000-0000-0000403A0000}"/>
    <cellStyle name="20% - 强调文字颜色 5 2 3 3 3 5" xfId="14914" xr:uid="{00000000-0005-0000-0000-0000413A0000}"/>
    <cellStyle name="20% - 强调文字颜色 5 2 3 3 4" xfId="14915" xr:uid="{00000000-0005-0000-0000-0000423A0000}"/>
    <cellStyle name="20% - 强调文字颜色 5 2 3 3 5" xfId="14916" xr:uid="{00000000-0005-0000-0000-0000433A0000}"/>
    <cellStyle name="20% - 强调文字颜色 5 2 3 3 6" xfId="14917" xr:uid="{00000000-0005-0000-0000-0000443A0000}"/>
    <cellStyle name="20% - 强调文字颜色 5 2 3 3 6 2" xfId="14918" xr:uid="{00000000-0005-0000-0000-0000453A0000}"/>
    <cellStyle name="20% - 强调文字颜色 5 2 3 3 7" xfId="14919" xr:uid="{00000000-0005-0000-0000-0000463A0000}"/>
    <cellStyle name="20% - 强调文字颜色 5 2 3 3 7 2" xfId="14920" xr:uid="{00000000-0005-0000-0000-0000473A0000}"/>
    <cellStyle name="20% - 强调文字颜色 5 2 3 4" xfId="14921" xr:uid="{00000000-0005-0000-0000-0000483A0000}"/>
    <cellStyle name="20% - 强调文字颜色 5 2 3 4 2" xfId="14922" xr:uid="{00000000-0005-0000-0000-0000493A0000}"/>
    <cellStyle name="20% - 强调文字颜色 5 2 3 4 2 2" xfId="14923" xr:uid="{00000000-0005-0000-0000-00004A3A0000}"/>
    <cellStyle name="20% - 强调文字颜色 5 2 3 4 2 3" xfId="14924" xr:uid="{00000000-0005-0000-0000-00004B3A0000}"/>
    <cellStyle name="20% - 强调文字颜色 5 2 3 4 2 3 2" xfId="14925" xr:uid="{00000000-0005-0000-0000-00004C3A0000}"/>
    <cellStyle name="20% - 强调文字颜色 5 2 3 4 2 3 2 2" xfId="14926" xr:uid="{00000000-0005-0000-0000-00004D3A0000}"/>
    <cellStyle name="20% - 强调文字颜色 5 2 3 4 2 4" xfId="14927" xr:uid="{00000000-0005-0000-0000-00004E3A0000}"/>
    <cellStyle name="20% - 强调文字颜色 5 2 3 4 2 4 2" xfId="14928" xr:uid="{00000000-0005-0000-0000-00004F3A0000}"/>
    <cellStyle name="20% - 强调文字颜色 5 2 3 4 2 5" xfId="14929" xr:uid="{00000000-0005-0000-0000-0000503A0000}"/>
    <cellStyle name="20% - 强调文字颜色 5 2 3 4 2 5 2" xfId="14930" xr:uid="{00000000-0005-0000-0000-0000513A0000}"/>
    <cellStyle name="20% - 强调文字颜色 5 2 3 4 2 6" xfId="14931" xr:uid="{00000000-0005-0000-0000-0000523A0000}"/>
    <cellStyle name="20% - 强调文字颜色 5 2 3 4 3" xfId="14932" xr:uid="{00000000-0005-0000-0000-0000533A0000}"/>
    <cellStyle name="20% - 强调文字颜色 5 2 3 4 4" xfId="14933" xr:uid="{00000000-0005-0000-0000-0000543A0000}"/>
    <cellStyle name="20% - 强调文字颜色 5 2 3 4 5" xfId="14934" xr:uid="{00000000-0005-0000-0000-0000553A0000}"/>
    <cellStyle name="20% - 强调文字颜色 5 2 3 4 6" xfId="14935" xr:uid="{00000000-0005-0000-0000-0000563A0000}"/>
    <cellStyle name="20% - 强调文字颜色 5 2 3 4 6 2" xfId="14936" xr:uid="{00000000-0005-0000-0000-0000573A0000}"/>
    <cellStyle name="20% - 强调文字颜色 5 2 3 4 7" xfId="14937" xr:uid="{00000000-0005-0000-0000-0000583A0000}"/>
    <cellStyle name="20% - 强调文字颜色 5 2 3 4 7 2" xfId="14938" xr:uid="{00000000-0005-0000-0000-0000593A0000}"/>
    <cellStyle name="20% - 强调文字颜色 5 2 3 5" xfId="14939" xr:uid="{00000000-0005-0000-0000-00005A3A0000}"/>
    <cellStyle name="20% - 强调文字颜色 5 2 3 5 2" xfId="14940" xr:uid="{00000000-0005-0000-0000-00005B3A0000}"/>
    <cellStyle name="20% - 强调文字颜色 5 2 3 5 2 2" xfId="14941" xr:uid="{00000000-0005-0000-0000-00005C3A0000}"/>
    <cellStyle name="20% - 强调文字颜色 5 2 3 5 2 2 2" xfId="14942" xr:uid="{00000000-0005-0000-0000-00005D3A0000}"/>
    <cellStyle name="20% - 强调文字颜色 5 2 3 5 2 2 2 2" xfId="14943" xr:uid="{00000000-0005-0000-0000-00005E3A0000}"/>
    <cellStyle name="20% - 强调文字颜色 5 2 3 5 2 3" xfId="14944" xr:uid="{00000000-0005-0000-0000-00005F3A0000}"/>
    <cellStyle name="20% - 强调文字颜色 5 2 3 5 2 3 2" xfId="14945" xr:uid="{00000000-0005-0000-0000-0000603A0000}"/>
    <cellStyle name="20% - 强调文字颜色 5 2 3 5 2 4" xfId="14946" xr:uid="{00000000-0005-0000-0000-0000613A0000}"/>
    <cellStyle name="20% - 强调文字颜色 5 2 3 5 2 4 2" xfId="14947" xr:uid="{00000000-0005-0000-0000-0000623A0000}"/>
    <cellStyle name="20% - 强调文字颜色 5 2 3 5 2 5" xfId="14948" xr:uid="{00000000-0005-0000-0000-0000633A0000}"/>
    <cellStyle name="20% - 强调文字颜色 5 2 3 5 3" xfId="14949" xr:uid="{00000000-0005-0000-0000-0000643A0000}"/>
    <cellStyle name="20% - 强调文字颜色 5 2 3 5 3 2" xfId="14950" xr:uid="{00000000-0005-0000-0000-0000653A0000}"/>
    <cellStyle name="20% - 强调文字颜色 5 2 3 5 3 2 2" xfId="14951" xr:uid="{00000000-0005-0000-0000-0000663A0000}"/>
    <cellStyle name="20% - 强调文字颜色 5 2 3 5 4" xfId="14952" xr:uid="{00000000-0005-0000-0000-0000673A0000}"/>
    <cellStyle name="20% - 强调文字颜色 5 2 3 5 4 2" xfId="14953" xr:uid="{00000000-0005-0000-0000-0000683A0000}"/>
    <cellStyle name="20% - 强调文字颜色 5 2 3 5 5" xfId="14954" xr:uid="{00000000-0005-0000-0000-0000693A0000}"/>
    <cellStyle name="20% - 强调文字颜色 5 2 3 5 5 2" xfId="14955" xr:uid="{00000000-0005-0000-0000-00006A3A0000}"/>
    <cellStyle name="20% - 强调文字颜色 5 2 3 5 6" xfId="14956" xr:uid="{00000000-0005-0000-0000-00006B3A0000}"/>
    <cellStyle name="20% - 强调文字颜色 5 2 3 6" xfId="14957" xr:uid="{00000000-0005-0000-0000-00006C3A0000}"/>
    <cellStyle name="20% - 强调文字颜色 5 2 3 6 2" xfId="14958" xr:uid="{00000000-0005-0000-0000-00006D3A0000}"/>
    <cellStyle name="20% - 强调文字颜色 5 2 3 6 2 2" xfId="14959" xr:uid="{00000000-0005-0000-0000-00006E3A0000}"/>
    <cellStyle name="20% - 强调文字颜色 5 2 3 6 2 2 2" xfId="14960" xr:uid="{00000000-0005-0000-0000-00006F3A0000}"/>
    <cellStyle name="20% - 强调文字颜色 5 2 3 6 3" xfId="14961" xr:uid="{00000000-0005-0000-0000-0000703A0000}"/>
    <cellStyle name="20% - 强调文字颜色 5 2 3 6 3 2" xfId="14962" xr:uid="{00000000-0005-0000-0000-0000713A0000}"/>
    <cellStyle name="20% - 强调文字颜色 5 2 3 6 4" xfId="14963" xr:uid="{00000000-0005-0000-0000-0000723A0000}"/>
    <cellStyle name="20% - 强调文字颜色 5 2 3 6 4 2" xfId="14964" xr:uid="{00000000-0005-0000-0000-0000733A0000}"/>
    <cellStyle name="20% - 强调文字颜色 5 2 3 6 5" xfId="14965" xr:uid="{00000000-0005-0000-0000-0000743A0000}"/>
    <cellStyle name="20% - 强调文字颜色 5 2 3 7" xfId="14966" xr:uid="{00000000-0005-0000-0000-0000753A0000}"/>
    <cellStyle name="20% - 强调文字颜色 5 2 3 7 2" xfId="14967" xr:uid="{00000000-0005-0000-0000-0000763A0000}"/>
    <cellStyle name="20% - 强调文字颜色 5 2 3 7 2 2" xfId="14968" xr:uid="{00000000-0005-0000-0000-0000773A0000}"/>
    <cellStyle name="20% - 强调文字颜色 5 2 3 7 2 2 2" xfId="14969" xr:uid="{00000000-0005-0000-0000-0000783A0000}"/>
    <cellStyle name="20% - 强调文字颜色 5 2 3 7 3" xfId="14970" xr:uid="{00000000-0005-0000-0000-0000793A0000}"/>
    <cellStyle name="20% - 强调文字颜色 5 2 3 7 3 2" xfId="14971" xr:uid="{00000000-0005-0000-0000-00007A3A0000}"/>
    <cellStyle name="20% - 强调文字颜色 5 2 3 7 4" xfId="14972" xr:uid="{00000000-0005-0000-0000-00007B3A0000}"/>
    <cellStyle name="20% - 强调文字颜色 5 2 3 7 4 2" xfId="14973" xr:uid="{00000000-0005-0000-0000-00007C3A0000}"/>
    <cellStyle name="20% - 强调文字颜色 5 2 3 7 5" xfId="14974" xr:uid="{00000000-0005-0000-0000-00007D3A0000}"/>
    <cellStyle name="20% - 强调文字颜色 5 2 3 8" xfId="14975" xr:uid="{00000000-0005-0000-0000-00007E3A0000}"/>
    <cellStyle name="20% - 强调文字颜色 5 2 3 9" xfId="14976" xr:uid="{00000000-0005-0000-0000-00007F3A0000}"/>
    <cellStyle name="20% - 强调文字颜色 5 2 3 9 2" xfId="14977" xr:uid="{00000000-0005-0000-0000-0000803A0000}"/>
    <cellStyle name="20% - 强调文字颜色 5 2 4" xfId="14978" xr:uid="{00000000-0005-0000-0000-0000813A0000}"/>
    <cellStyle name="20% - 强调文字颜色 5 2 4 2" xfId="14979" xr:uid="{00000000-0005-0000-0000-0000823A0000}"/>
    <cellStyle name="20% - 强调文字颜色 5 2 4 2 2" xfId="14980" xr:uid="{00000000-0005-0000-0000-0000833A0000}"/>
    <cellStyle name="20% - 强调文字颜色 5 2 4 2 3" xfId="14981" xr:uid="{00000000-0005-0000-0000-0000843A0000}"/>
    <cellStyle name="20% - 强调文字颜色 5 2 4 2 3 2" xfId="14982" xr:uid="{00000000-0005-0000-0000-0000853A0000}"/>
    <cellStyle name="20% - 强调文字颜色 5 2 4 2 3 2 2" xfId="14983" xr:uid="{00000000-0005-0000-0000-0000863A0000}"/>
    <cellStyle name="20% - 强调文字颜色 5 2 4 2 4" xfId="14984" xr:uid="{00000000-0005-0000-0000-0000873A0000}"/>
    <cellStyle name="20% - 强调文字颜色 5 2 4 2 4 2" xfId="14985" xr:uid="{00000000-0005-0000-0000-0000883A0000}"/>
    <cellStyle name="20% - 强调文字颜色 5 2 4 2 5" xfId="14986" xr:uid="{00000000-0005-0000-0000-0000893A0000}"/>
    <cellStyle name="20% - 强调文字颜色 5 2 4 2 5 2" xfId="14987" xr:uid="{00000000-0005-0000-0000-00008A3A0000}"/>
    <cellStyle name="20% - 强调文字颜色 5 2 4 2 6" xfId="14988" xr:uid="{00000000-0005-0000-0000-00008B3A0000}"/>
    <cellStyle name="20% - 强调文字颜色 5 2 4 3" xfId="14989" xr:uid="{00000000-0005-0000-0000-00008C3A0000}"/>
    <cellStyle name="20% - 强调文字颜色 5 2 4 3 2" xfId="14990" xr:uid="{00000000-0005-0000-0000-00008D3A0000}"/>
    <cellStyle name="20% - 强调文字颜色 5 2 4 3 2 2" xfId="14991" xr:uid="{00000000-0005-0000-0000-00008E3A0000}"/>
    <cellStyle name="20% - 强调文字颜色 5 2 4 3 2 2 2" xfId="14992" xr:uid="{00000000-0005-0000-0000-00008F3A0000}"/>
    <cellStyle name="20% - 强调文字颜色 5 2 4 3 3" xfId="14993" xr:uid="{00000000-0005-0000-0000-0000903A0000}"/>
    <cellStyle name="20% - 强调文字颜色 5 2 4 3 3 2" xfId="14994" xr:uid="{00000000-0005-0000-0000-0000913A0000}"/>
    <cellStyle name="20% - 强调文字颜色 5 2 4 3 4" xfId="14995" xr:uid="{00000000-0005-0000-0000-0000923A0000}"/>
    <cellStyle name="20% - 强调文字颜色 5 2 4 3 4 2" xfId="14996" xr:uid="{00000000-0005-0000-0000-0000933A0000}"/>
    <cellStyle name="20% - 强调文字颜色 5 2 4 3 5" xfId="14997" xr:uid="{00000000-0005-0000-0000-0000943A0000}"/>
    <cellStyle name="20% - 强调文字颜色 5 2 4 4" xfId="14998" xr:uid="{00000000-0005-0000-0000-0000953A0000}"/>
    <cellStyle name="20% - 强调文字颜色 5 2 4 5" xfId="14999" xr:uid="{00000000-0005-0000-0000-0000963A0000}"/>
    <cellStyle name="20% - 强调文字颜色 5 2 4 6" xfId="15000" xr:uid="{00000000-0005-0000-0000-0000973A0000}"/>
    <cellStyle name="20% - 强调文字颜色 5 2 4 6 2" xfId="15001" xr:uid="{00000000-0005-0000-0000-0000983A0000}"/>
    <cellStyle name="20% - 强调文字颜色 5 2 4 7" xfId="15002" xr:uid="{00000000-0005-0000-0000-0000993A0000}"/>
    <cellStyle name="20% - 强调文字颜色 5 2 4 7 2" xfId="15003" xr:uid="{00000000-0005-0000-0000-00009A3A0000}"/>
    <cellStyle name="20% - 强调文字颜色 5 2 5" xfId="15004" xr:uid="{00000000-0005-0000-0000-00009B3A0000}"/>
    <cellStyle name="20% - 强调文字颜色 5 2 5 2" xfId="15005" xr:uid="{00000000-0005-0000-0000-00009C3A0000}"/>
    <cellStyle name="20% - 强调文字颜色 5 2 5 2 2" xfId="15006" xr:uid="{00000000-0005-0000-0000-00009D3A0000}"/>
    <cellStyle name="20% - 强调文字颜色 5 2 5 2 3" xfId="15007" xr:uid="{00000000-0005-0000-0000-00009E3A0000}"/>
    <cellStyle name="20% - 强调文字颜色 5 2 5 2 3 2" xfId="15008" xr:uid="{00000000-0005-0000-0000-00009F3A0000}"/>
    <cellStyle name="20% - 强调文字颜色 5 2 5 2 3 2 2" xfId="15009" xr:uid="{00000000-0005-0000-0000-0000A03A0000}"/>
    <cellStyle name="20% - 强调文字颜色 5 2 5 2 4" xfId="15010" xr:uid="{00000000-0005-0000-0000-0000A13A0000}"/>
    <cellStyle name="20% - 强调文字颜色 5 2 5 2 4 2" xfId="15011" xr:uid="{00000000-0005-0000-0000-0000A23A0000}"/>
    <cellStyle name="20% - 强调文字颜色 5 2 5 2 5" xfId="15012" xr:uid="{00000000-0005-0000-0000-0000A33A0000}"/>
    <cellStyle name="20% - 强调文字颜色 5 2 5 2 5 2" xfId="15013" xr:uid="{00000000-0005-0000-0000-0000A43A0000}"/>
    <cellStyle name="20% - 强调文字颜色 5 2 5 2 6" xfId="15014" xr:uid="{00000000-0005-0000-0000-0000A53A0000}"/>
    <cellStyle name="20% - 强调文字颜色 5 2 5 3" xfId="15015" xr:uid="{00000000-0005-0000-0000-0000A63A0000}"/>
    <cellStyle name="20% - 强调文字颜色 5 2 5 4" xfId="15016" xr:uid="{00000000-0005-0000-0000-0000A73A0000}"/>
    <cellStyle name="20% - 强调文字颜色 5 2 5 5" xfId="15017" xr:uid="{00000000-0005-0000-0000-0000A83A0000}"/>
    <cellStyle name="20% - 强调文字颜色 5 2 5 6" xfId="15018" xr:uid="{00000000-0005-0000-0000-0000A93A0000}"/>
    <cellStyle name="20% - 强调文字颜色 5 2 5 6 2" xfId="15019" xr:uid="{00000000-0005-0000-0000-0000AA3A0000}"/>
    <cellStyle name="20% - 强调文字颜色 5 2 5 7" xfId="15020" xr:uid="{00000000-0005-0000-0000-0000AB3A0000}"/>
    <cellStyle name="20% - 强调文字颜色 5 2 5 7 2" xfId="15021" xr:uid="{00000000-0005-0000-0000-0000AC3A0000}"/>
    <cellStyle name="20% - 强调文字颜色 5 2 6" xfId="15022" xr:uid="{00000000-0005-0000-0000-0000AD3A0000}"/>
    <cellStyle name="20% - 强调文字颜色 5 2 6 2" xfId="15023" xr:uid="{00000000-0005-0000-0000-0000AE3A0000}"/>
    <cellStyle name="20% - 强调文字颜色 5 2 6 2 2" xfId="15024" xr:uid="{00000000-0005-0000-0000-0000AF3A0000}"/>
    <cellStyle name="20% - 强调文字颜色 5 2 6 2 2 2" xfId="15025" xr:uid="{00000000-0005-0000-0000-0000B03A0000}"/>
    <cellStyle name="20% - 强调文字颜色 5 2 6 2 2 2 2" xfId="15026" xr:uid="{00000000-0005-0000-0000-0000B13A0000}"/>
    <cellStyle name="20% - 强调文字颜色 5 2 6 2 3" xfId="15027" xr:uid="{00000000-0005-0000-0000-0000B23A0000}"/>
    <cellStyle name="20% - 强调文字颜色 5 2 6 2 3 2" xfId="15028" xr:uid="{00000000-0005-0000-0000-0000B33A0000}"/>
    <cellStyle name="20% - 强调文字颜色 5 2 6 2 4" xfId="15029" xr:uid="{00000000-0005-0000-0000-0000B43A0000}"/>
    <cellStyle name="20% - 强调文字颜色 5 2 6 2 4 2" xfId="15030" xr:uid="{00000000-0005-0000-0000-0000B53A0000}"/>
    <cellStyle name="20% - 强调文字颜色 5 2 6 2 5" xfId="15031" xr:uid="{00000000-0005-0000-0000-0000B63A0000}"/>
    <cellStyle name="20% - 强调文字颜色 5 2 6 3" xfId="15032" xr:uid="{00000000-0005-0000-0000-0000B73A0000}"/>
    <cellStyle name="20% - 强调文字颜色 5 2 6 3 2" xfId="15033" xr:uid="{00000000-0005-0000-0000-0000B83A0000}"/>
    <cellStyle name="20% - 强调文字颜色 5 2 6 3 2 2" xfId="15034" xr:uid="{00000000-0005-0000-0000-0000B93A0000}"/>
    <cellStyle name="20% - 强调文字颜色 5 2 6 4" xfId="15035" xr:uid="{00000000-0005-0000-0000-0000BA3A0000}"/>
    <cellStyle name="20% - 强调文字颜色 5 2 6 4 2" xfId="15036" xr:uid="{00000000-0005-0000-0000-0000BB3A0000}"/>
    <cellStyle name="20% - 强调文字颜色 5 2 6 5" xfId="15037" xr:uid="{00000000-0005-0000-0000-0000BC3A0000}"/>
    <cellStyle name="20% - 强调文字颜色 5 2 6 5 2" xfId="15038" xr:uid="{00000000-0005-0000-0000-0000BD3A0000}"/>
    <cellStyle name="20% - 强调文字颜色 5 2 6 6" xfId="15039" xr:uid="{00000000-0005-0000-0000-0000BE3A0000}"/>
    <cellStyle name="20% - 强调文字颜色 5 2 7" xfId="15040" xr:uid="{00000000-0005-0000-0000-0000BF3A0000}"/>
    <cellStyle name="20% - 强调文字颜色 5 2 7 2" xfId="15041" xr:uid="{00000000-0005-0000-0000-0000C03A0000}"/>
    <cellStyle name="20% - 强调文字颜色 5 2 7 2 2" xfId="15042" xr:uid="{00000000-0005-0000-0000-0000C13A0000}"/>
    <cellStyle name="20% - 强调文字颜色 5 2 7 2 2 2" xfId="15043" xr:uid="{00000000-0005-0000-0000-0000C23A0000}"/>
    <cellStyle name="20% - 强调文字颜色 5 2 7 2 2 2 2" xfId="15044" xr:uid="{00000000-0005-0000-0000-0000C33A0000}"/>
    <cellStyle name="20% - 强调文字颜色 5 2 7 2 3" xfId="15045" xr:uid="{00000000-0005-0000-0000-0000C43A0000}"/>
    <cellStyle name="20% - 强调文字颜色 5 2 7 2 3 2" xfId="15046" xr:uid="{00000000-0005-0000-0000-0000C53A0000}"/>
    <cellStyle name="20% - 强调文字颜色 5 2 7 2 4" xfId="15047" xr:uid="{00000000-0005-0000-0000-0000C63A0000}"/>
    <cellStyle name="20% - 强调文字颜色 5 2 7 2 4 2" xfId="15048" xr:uid="{00000000-0005-0000-0000-0000C73A0000}"/>
    <cellStyle name="20% - 强调文字颜色 5 2 7 2 5" xfId="15049" xr:uid="{00000000-0005-0000-0000-0000C83A0000}"/>
    <cellStyle name="20% - 强调文字颜色 5 2 7 3" xfId="15050" xr:uid="{00000000-0005-0000-0000-0000C93A0000}"/>
    <cellStyle name="20% - 强调文字颜色 5 2 7 3 2" xfId="15051" xr:uid="{00000000-0005-0000-0000-0000CA3A0000}"/>
    <cellStyle name="20% - 强调文字颜色 5 2 7 3 2 2" xfId="15052" xr:uid="{00000000-0005-0000-0000-0000CB3A0000}"/>
    <cellStyle name="20% - 强调文字颜色 5 2 7 4" xfId="15053" xr:uid="{00000000-0005-0000-0000-0000CC3A0000}"/>
    <cellStyle name="20% - 强调文字颜色 5 2 7 4 2" xfId="15054" xr:uid="{00000000-0005-0000-0000-0000CD3A0000}"/>
    <cellStyle name="20% - 强调文字颜色 5 2 7 5" xfId="15055" xr:uid="{00000000-0005-0000-0000-0000CE3A0000}"/>
    <cellStyle name="20% - 强调文字颜色 5 2 7 5 2" xfId="15056" xr:uid="{00000000-0005-0000-0000-0000CF3A0000}"/>
    <cellStyle name="20% - 强调文字颜色 5 2 7 6" xfId="15057" xr:uid="{00000000-0005-0000-0000-0000D03A0000}"/>
    <cellStyle name="20% - 强调文字颜色 5 2 8" xfId="15058" xr:uid="{00000000-0005-0000-0000-0000D13A0000}"/>
    <cellStyle name="20% - 强调文字颜色 5 2 8 2" xfId="15059" xr:uid="{00000000-0005-0000-0000-0000D23A0000}"/>
    <cellStyle name="20% - 强调文字颜色 5 2 8 2 2" xfId="15060" xr:uid="{00000000-0005-0000-0000-0000D33A0000}"/>
    <cellStyle name="20% - 强调文字颜色 5 2 8 2 2 2" xfId="15061" xr:uid="{00000000-0005-0000-0000-0000D43A0000}"/>
    <cellStyle name="20% - 强调文字颜色 5 2 8 2 2 2 2" xfId="15062" xr:uid="{00000000-0005-0000-0000-0000D53A0000}"/>
    <cellStyle name="20% - 强调文字颜色 5 2 8 2 3" xfId="15063" xr:uid="{00000000-0005-0000-0000-0000D63A0000}"/>
    <cellStyle name="20% - 强调文字颜色 5 2 8 2 3 2" xfId="15064" xr:uid="{00000000-0005-0000-0000-0000D73A0000}"/>
    <cellStyle name="20% - 强调文字颜色 5 2 8 2 4" xfId="15065" xr:uid="{00000000-0005-0000-0000-0000D83A0000}"/>
    <cellStyle name="20% - 强调文字颜色 5 2 8 2 4 2" xfId="15066" xr:uid="{00000000-0005-0000-0000-0000D93A0000}"/>
    <cellStyle name="20% - 强调文字颜色 5 2 8 2 5" xfId="15067" xr:uid="{00000000-0005-0000-0000-0000DA3A0000}"/>
    <cellStyle name="20% - 强调文字颜色 5 2 8 3" xfId="15068" xr:uid="{00000000-0005-0000-0000-0000DB3A0000}"/>
    <cellStyle name="20% - 强调文字颜色 5 2 8 3 2" xfId="15069" xr:uid="{00000000-0005-0000-0000-0000DC3A0000}"/>
    <cellStyle name="20% - 强调文字颜色 5 2 8 3 2 2" xfId="15070" xr:uid="{00000000-0005-0000-0000-0000DD3A0000}"/>
    <cellStyle name="20% - 强调文字颜色 5 2 8 4" xfId="15071" xr:uid="{00000000-0005-0000-0000-0000DE3A0000}"/>
    <cellStyle name="20% - 强调文字颜色 5 2 8 4 2" xfId="15072" xr:uid="{00000000-0005-0000-0000-0000DF3A0000}"/>
    <cellStyle name="20% - 强调文字颜色 5 2 8 5" xfId="15073" xr:uid="{00000000-0005-0000-0000-0000E03A0000}"/>
    <cellStyle name="20% - 强调文字颜色 5 2 8 5 2" xfId="15074" xr:uid="{00000000-0005-0000-0000-0000E13A0000}"/>
    <cellStyle name="20% - 强调文字颜色 5 2 8 6" xfId="15075" xr:uid="{00000000-0005-0000-0000-0000E23A0000}"/>
    <cellStyle name="20% - 强调文字颜色 5 2 9" xfId="15076" xr:uid="{00000000-0005-0000-0000-0000E33A0000}"/>
    <cellStyle name="20% - 强调文字颜色 5 2 9 2" xfId="15077" xr:uid="{00000000-0005-0000-0000-0000E43A0000}"/>
    <cellStyle name="20% - 强调文字颜色 5 2 9 2 2" xfId="15078" xr:uid="{00000000-0005-0000-0000-0000E53A0000}"/>
    <cellStyle name="20% - 强调文字颜色 5 2 9 2 2 2" xfId="15079" xr:uid="{00000000-0005-0000-0000-0000E63A0000}"/>
    <cellStyle name="20% - 强调文字颜色 5 2 9 3" xfId="15080" xr:uid="{00000000-0005-0000-0000-0000E73A0000}"/>
    <cellStyle name="20% - 强调文字颜色 5 2 9 3 2" xfId="15081" xr:uid="{00000000-0005-0000-0000-0000E83A0000}"/>
    <cellStyle name="20% - 强调文字颜色 5 2 9 4" xfId="15082" xr:uid="{00000000-0005-0000-0000-0000E93A0000}"/>
    <cellStyle name="20% - 强调文字颜色 5 2 9 4 2" xfId="15083" xr:uid="{00000000-0005-0000-0000-0000EA3A0000}"/>
    <cellStyle name="20% - 强调文字颜色 5 2 9 5" xfId="15084" xr:uid="{00000000-0005-0000-0000-0000EB3A0000}"/>
    <cellStyle name="20% - 强调文字颜色 5 3" xfId="15085" xr:uid="{00000000-0005-0000-0000-0000EC3A0000}"/>
    <cellStyle name="20% - 强调文字颜色 5 3 2" xfId="15086" xr:uid="{00000000-0005-0000-0000-0000ED3A0000}"/>
    <cellStyle name="20% - 强调文字颜色 5 3 2 2" xfId="15087" xr:uid="{00000000-0005-0000-0000-0000EE3A0000}"/>
    <cellStyle name="20% - 强调文字颜色 5 3 2 2 2" xfId="15088" xr:uid="{00000000-0005-0000-0000-0000EF3A0000}"/>
    <cellStyle name="20% - 强调文字颜色 5 3 2 2 2 2" xfId="15089" xr:uid="{00000000-0005-0000-0000-0000F03A0000}"/>
    <cellStyle name="20% - 强调文字颜色 5 3 2 2 2 3" xfId="15090" xr:uid="{00000000-0005-0000-0000-0000F13A0000}"/>
    <cellStyle name="20% - 强调文字颜色 5 3 2 2 2 3 2" xfId="15091" xr:uid="{00000000-0005-0000-0000-0000F23A0000}"/>
    <cellStyle name="20% - 强调文字颜色 5 3 2 2 2 3 2 2" xfId="15092" xr:uid="{00000000-0005-0000-0000-0000F33A0000}"/>
    <cellStyle name="20% - 强调文字颜色 5 3 2 2 2 4" xfId="15093" xr:uid="{00000000-0005-0000-0000-0000F43A0000}"/>
    <cellStyle name="20% - 强调文字颜色 5 3 2 2 2 4 2" xfId="15094" xr:uid="{00000000-0005-0000-0000-0000F53A0000}"/>
    <cellStyle name="20% - 强调文字颜色 5 3 2 2 2 5" xfId="15095" xr:uid="{00000000-0005-0000-0000-0000F63A0000}"/>
    <cellStyle name="20% - 强调文字颜色 5 3 2 2 2 5 2" xfId="15096" xr:uid="{00000000-0005-0000-0000-0000F73A0000}"/>
    <cellStyle name="20% - 强调文字颜色 5 3 2 2 2 6" xfId="15097" xr:uid="{00000000-0005-0000-0000-0000F83A0000}"/>
    <cellStyle name="20% - 强调文字颜色 5 3 2 2 3" xfId="15098" xr:uid="{00000000-0005-0000-0000-0000F93A0000}"/>
    <cellStyle name="20% - 强调文字颜色 5 3 2 2 3 2" xfId="15099" xr:uid="{00000000-0005-0000-0000-0000FA3A0000}"/>
    <cellStyle name="20% - 强调文字颜色 5 3 2 2 3 2 2" xfId="15100" xr:uid="{00000000-0005-0000-0000-0000FB3A0000}"/>
    <cellStyle name="20% - 强调文字颜色 5 3 2 2 3 2 2 2" xfId="15101" xr:uid="{00000000-0005-0000-0000-0000FC3A0000}"/>
    <cellStyle name="20% - 强调文字颜色 5 3 2 2 3 3" xfId="15102" xr:uid="{00000000-0005-0000-0000-0000FD3A0000}"/>
    <cellStyle name="20% - 强调文字颜色 5 3 2 2 3 3 2" xfId="15103" xr:uid="{00000000-0005-0000-0000-0000FE3A0000}"/>
    <cellStyle name="20% - 强调文字颜色 5 3 2 2 3 4" xfId="15104" xr:uid="{00000000-0005-0000-0000-0000FF3A0000}"/>
    <cellStyle name="20% - 强调文字颜色 5 3 2 2 3 4 2" xfId="15105" xr:uid="{00000000-0005-0000-0000-0000003B0000}"/>
    <cellStyle name="20% - 强调文字颜色 5 3 2 2 3 5" xfId="15106" xr:uid="{00000000-0005-0000-0000-0000013B0000}"/>
    <cellStyle name="20% - 强调文字颜色 5 3 2 2 4" xfId="15107" xr:uid="{00000000-0005-0000-0000-0000023B0000}"/>
    <cellStyle name="20% - 强调文字颜色 5 3 2 2 5" xfId="15108" xr:uid="{00000000-0005-0000-0000-0000033B0000}"/>
    <cellStyle name="20% - 强调文字颜色 5 3 2 2 6" xfId="15109" xr:uid="{00000000-0005-0000-0000-0000043B0000}"/>
    <cellStyle name="20% - 强调文字颜色 5 3 2 2 6 2" xfId="15110" xr:uid="{00000000-0005-0000-0000-0000053B0000}"/>
    <cellStyle name="20% - 强调文字颜色 5 3 2 2 7" xfId="15111" xr:uid="{00000000-0005-0000-0000-0000063B0000}"/>
    <cellStyle name="20% - 强调文字颜色 5 3 2 2 7 2" xfId="15112" xr:uid="{00000000-0005-0000-0000-0000073B0000}"/>
    <cellStyle name="20% - 强调文字颜色 5 3 2 3" xfId="15113" xr:uid="{00000000-0005-0000-0000-0000083B0000}"/>
    <cellStyle name="20% - 强调文字颜色 5 3 2 3 2" xfId="15114" xr:uid="{00000000-0005-0000-0000-0000093B0000}"/>
    <cellStyle name="20% - 强调文字颜色 5 3 2 3 3" xfId="15115" xr:uid="{00000000-0005-0000-0000-00000A3B0000}"/>
    <cellStyle name="20% - 强调文字颜色 5 3 2 3 3 2" xfId="15116" xr:uid="{00000000-0005-0000-0000-00000B3B0000}"/>
    <cellStyle name="20% - 强调文字颜色 5 3 2 3 3 2 2" xfId="15117" xr:uid="{00000000-0005-0000-0000-00000C3B0000}"/>
    <cellStyle name="20% - 强调文字颜色 5 3 2 3 4" xfId="15118" xr:uid="{00000000-0005-0000-0000-00000D3B0000}"/>
    <cellStyle name="20% - 强调文字颜色 5 3 2 3 4 2" xfId="15119" xr:uid="{00000000-0005-0000-0000-00000E3B0000}"/>
    <cellStyle name="20% - 强调文字颜色 5 3 2 3 5" xfId="15120" xr:uid="{00000000-0005-0000-0000-00000F3B0000}"/>
    <cellStyle name="20% - 强调文字颜色 5 3 2 3 5 2" xfId="15121" xr:uid="{00000000-0005-0000-0000-0000103B0000}"/>
    <cellStyle name="20% - 强调文字颜色 5 3 2 3 6" xfId="15122" xr:uid="{00000000-0005-0000-0000-0000113B0000}"/>
    <cellStyle name="20% - 强调文字颜色 5 3 2 4" xfId="15123" xr:uid="{00000000-0005-0000-0000-0000123B0000}"/>
    <cellStyle name="20% - 强调文字颜色 5 3 2 4 2" xfId="15124" xr:uid="{00000000-0005-0000-0000-0000133B0000}"/>
    <cellStyle name="20% - 强调文字颜色 5 3 2 4 2 2" xfId="15125" xr:uid="{00000000-0005-0000-0000-0000143B0000}"/>
    <cellStyle name="20% - 强调文字颜色 5 3 2 4 2 2 2" xfId="15126" xr:uid="{00000000-0005-0000-0000-0000153B0000}"/>
    <cellStyle name="20% - 强调文字颜色 5 3 2 4 3" xfId="15127" xr:uid="{00000000-0005-0000-0000-0000163B0000}"/>
    <cellStyle name="20% - 强调文字颜色 5 3 2 4 3 2" xfId="15128" xr:uid="{00000000-0005-0000-0000-0000173B0000}"/>
    <cellStyle name="20% - 强调文字颜色 5 3 2 4 4" xfId="15129" xr:uid="{00000000-0005-0000-0000-0000183B0000}"/>
    <cellStyle name="20% - 强调文字颜色 5 3 2 4 4 2" xfId="15130" xr:uid="{00000000-0005-0000-0000-0000193B0000}"/>
    <cellStyle name="20% - 强调文字颜色 5 3 2 4 5" xfId="15131" xr:uid="{00000000-0005-0000-0000-00001A3B0000}"/>
    <cellStyle name="20% - 强调文字颜色 5 3 2 5" xfId="15132" xr:uid="{00000000-0005-0000-0000-00001B3B0000}"/>
    <cellStyle name="20% - 强调文字颜色 5 3 2 6" xfId="15133" xr:uid="{00000000-0005-0000-0000-00001C3B0000}"/>
    <cellStyle name="20% - 强调文字颜色 5 3 2 7" xfId="15134" xr:uid="{00000000-0005-0000-0000-00001D3B0000}"/>
    <cellStyle name="20% - 强调文字颜色 5 3 2 7 2" xfId="15135" xr:uid="{00000000-0005-0000-0000-00001E3B0000}"/>
    <cellStyle name="20% - 强调文字颜色 5 3 2 8" xfId="15136" xr:uid="{00000000-0005-0000-0000-00001F3B0000}"/>
    <cellStyle name="20% - 强调文字颜色 5 3 2 8 2" xfId="15137" xr:uid="{00000000-0005-0000-0000-0000203B0000}"/>
    <cellStyle name="20% - 强调文字颜色 5 3 3" xfId="15138" xr:uid="{00000000-0005-0000-0000-0000213B0000}"/>
    <cellStyle name="20% - 强调文字颜色 5 3 3 2" xfId="15139" xr:uid="{00000000-0005-0000-0000-0000223B0000}"/>
    <cellStyle name="20% - 强调文字颜色 5 3 3 2 2" xfId="15140" xr:uid="{00000000-0005-0000-0000-0000233B0000}"/>
    <cellStyle name="20% - 强调文字颜色 5 3 3 2 3" xfId="15141" xr:uid="{00000000-0005-0000-0000-0000243B0000}"/>
    <cellStyle name="20% - 强调文字颜色 5 3 3 2 3 2" xfId="15142" xr:uid="{00000000-0005-0000-0000-0000253B0000}"/>
    <cellStyle name="20% - 强调文字颜色 5 3 3 2 3 2 2" xfId="15143" xr:uid="{00000000-0005-0000-0000-0000263B0000}"/>
    <cellStyle name="20% - 强调文字颜色 5 3 3 2 4" xfId="15144" xr:uid="{00000000-0005-0000-0000-0000273B0000}"/>
    <cellStyle name="20% - 强调文字颜色 5 3 3 2 4 2" xfId="15145" xr:uid="{00000000-0005-0000-0000-0000283B0000}"/>
    <cellStyle name="20% - 强调文字颜色 5 3 3 2 5" xfId="15146" xr:uid="{00000000-0005-0000-0000-0000293B0000}"/>
    <cellStyle name="20% - 强调文字颜色 5 3 3 2 5 2" xfId="15147" xr:uid="{00000000-0005-0000-0000-00002A3B0000}"/>
    <cellStyle name="20% - 强调文字颜色 5 3 3 2 6" xfId="15148" xr:uid="{00000000-0005-0000-0000-00002B3B0000}"/>
    <cellStyle name="20% - 强调文字颜色 5 3 3 3" xfId="15149" xr:uid="{00000000-0005-0000-0000-00002C3B0000}"/>
    <cellStyle name="20% - 强调文字颜色 5 3 3 3 2" xfId="15150" xr:uid="{00000000-0005-0000-0000-00002D3B0000}"/>
    <cellStyle name="20% - 强调文字颜色 5 3 3 3 2 2" xfId="15151" xr:uid="{00000000-0005-0000-0000-00002E3B0000}"/>
    <cellStyle name="20% - 强调文字颜色 5 3 3 3 2 2 2" xfId="15152" xr:uid="{00000000-0005-0000-0000-00002F3B0000}"/>
    <cellStyle name="20% - 强调文字颜色 5 3 3 3 3" xfId="15153" xr:uid="{00000000-0005-0000-0000-0000303B0000}"/>
    <cellStyle name="20% - 强调文字颜色 5 3 3 3 3 2" xfId="15154" xr:uid="{00000000-0005-0000-0000-0000313B0000}"/>
    <cellStyle name="20% - 强调文字颜色 5 3 3 3 4" xfId="15155" xr:uid="{00000000-0005-0000-0000-0000323B0000}"/>
    <cellStyle name="20% - 强调文字颜色 5 3 3 3 4 2" xfId="15156" xr:uid="{00000000-0005-0000-0000-0000333B0000}"/>
    <cellStyle name="20% - 强调文字颜色 5 3 3 3 5" xfId="15157" xr:uid="{00000000-0005-0000-0000-0000343B0000}"/>
    <cellStyle name="20% - 强调文字颜色 5 3 3 4" xfId="15158" xr:uid="{00000000-0005-0000-0000-0000353B0000}"/>
    <cellStyle name="20% - 强调文字颜色 5 3 3 5" xfId="15159" xr:uid="{00000000-0005-0000-0000-0000363B0000}"/>
    <cellStyle name="20% - 强调文字颜色 5 3 3 6" xfId="15160" xr:uid="{00000000-0005-0000-0000-0000373B0000}"/>
    <cellStyle name="20% - 强调文字颜色 5 3 3 6 2" xfId="15161" xr:uid="{00000000-0005-0000-0000-0000383B0000}"/>
    <cellStyle name="20% - 强调文字颜色 5 3 3 7" xfId="15162" xr:uid="{00000000-0005-0000-0000-0000393B0000}"/>
    <cellStyle name="20% - 强调文字颜色 5 3 3 7 2" xfId="15163" xr:uid="{00000000-0005-0000-0000-00003A3B0000}"/>
    <cellStyle name="20% - 强调文字颜色 5 3 4" xfId="15164" xr:uid="{00000000-0005-0000-0000-00003B3B0000}"/>
    <cellStyle name="20% - 强调文字颜色 5 3 4 2" xfId="15165" xr:uid="{00000000-0005-0000-0000-00003C3B0000}"/>
    <cellStyle name="20% - 强调文字颜色 5 3 4 2 2" xfId="15166" xr:uid="{00000000-0005-0000-0000-00003D3B0000}"/>
    <cellStyle name="20% - 强调文字颜色 5 3 4 2 3" xfId="15167" xr:uid="{00000000-0005-0000-0000-00003E3B0000}"/>
    <cellStyle name="20% - 强调文字颜色 5 3 4 2 3 2" xfId="15168" xr:uid="{00000000-0005-0000-0000-00003F3B0000}"/>
    <cellStyle name="20% - 强调文字颜色 5 3 4 2 3 2 2" xfId="15169" xr:uid="{00000000-0005-0000-0000-0000403B0000}"/>
    <cellStyle name="20% - 强调文字颜色 5 3 4 2 4" xfId="15170" xr:uid="{00000000-0005-0000-0000-0000413B0000}"/>
    <cellStyle name="20% - 强调文字颜色 5 3 4 2 4 2" xfId="15171" xr:uid="{00000000-0005-0000-0000-0000423B0000}"/>
    <cellStyle name="20% - 强调文字颜色 5 3 4 2 5" xfId="15172" xr:uid="{00000000-0005-0000-0000-0000433B0000}"/>
    <cellStyle name="20% - 强调文字颜色 5 3 4 2 5 2" xfId="15173" xr:uid="{00000000-0005-0000-0000-0000443B0000}"/>
    <cellStyle name="20% - 强调文字颜色 5 3 4 2 6" xfId="15174" xr:uid="{00000000-0005-0000-0000-0000453B0000}"/>
    <cellStyle name="20% - 强调文字颜色 5 3 4 3" xfId="15175" xr:uid="{00000000-0005-0000-0000-0000463B0000}"/>
    <cellStyle name="20% - 强调文字颜色 5 3 4 4" xfId="15176" xr:uid="{00000000-0005-0000-0000-0000473B0000}"/>
    <cellStyle name="20% - 强调文字颜色 5 3 4 5" xfId="15177" xr:uid="{00000000-0005-0000-0000-0000483B0000}"/>
    <cellStyle name="20% - 强调文字颜色 5 3 4 6" xfId="15178" xr:uid="{00000000-0005-0000-0000-0000493B0000}"/>
    <cellStyle name="20% - 强调文字颜色 5 3 4 6 2" xfId="15179" xr:uid="{00000000-0005-0000-0000-00004A3B0000}"/>
    <cellStyle name="20% - 强调文字颜色 5 3 4 7" xfId="15180" xr:uid="{00000000-0005-0000-0000-00004B3B0000}"/>
    <cellStyle name="20% - 强调文字颜色 5 3 4 7 2" xfId="15181" xr:uid="{00000000-0005-0000-0000-00004C3B0000}"/>
    <cellStyle name="20% - 强调文字颜色 5 3 5" xfId="15182" xr:uid="{00000000-0005-0000-0000-00004D3B0000}"/>
    <cellStyle name="20% - 强调文字颜色 5 3 5 2" xfId="15183" xr:uid="{00000000-0005-0000-0000-00004E3B0000}"/>
    <cellStyle name="20% - 强调文字颜色 5 3 5 2 2" xfId="15184" xr:uid="{00000000-0005-0000-0000-00004F3B0000}"/>
    <cellStyle name="20% - 强调文字颜色 5 3 5 2 2 2" xfId="15185" xr:uid="{00000000-0005-0000-0000-0000503B0000}"/>
    <cellStyle name="20% - 强调文字颜色 5 3 5 2 2 2 2" xfId="15186" xr:uid="{00000000-0005-0000-0000-0000513B0000}"/>
    <cellStyle name="20% - 强调文字颜色 5 3 5 2 3" xfId="15187" xr:uid="{00000000-0005-0000-0000-0000523B0000}"/>
    <cellStyle name="20% - 强调文字颜色 5 3 5 2 3 2" xfId="15188" xr:uid="{00000000-0005-0000-0000-0000533B0000}"/>
    <cellStyle name="20% - 强调文字颜色 5 3 5 2 4" xfId="15189" xr:uid="{00000000-0005-0000-0000-0000543B0000}"/>
    <cellStyle name="20% - 强调文字颜色 5 3 5 2 4 2" xfId="15190" xr:uid="{00000000-0005-0000-0000-0000553B0000}"/>
    <cellStyle name="20% - 强调文字颜色 5 3 5 2 5" xfId="15191" xr:uid="{00000000-0005-0000-0000-0000563B0000}"/>
    <cellStyle name="20% - 强调文字颜色 5 3 5 3" xfId="15192" xr:uid="{00000000-0005-0000-0000-0000573B0000}"/>
    <cellStyle name="20% - 强调文字颜色 5 3 5 3 2" xfId="15193" xr:uid="{00000000-0005-0000-0000-0000583B0000}"/>
    <cellStyle name="20% - 强调文字颜色 5 3 5 3 2 2" xfId="15194" xr:uid="{00000000-0005-0000-0000-0000593B0000}"/>
    <cellStyle name="20% - 强调文字颜色 5 3 5 4" xfId="15195" xr:uid="{00000000-0005-0000-0000-00005A3B0000}"/>
    <cellStyle name="20% - 强调文字颜色 5 3 5 4 2" xfId="15196" xr:uid="{00000000-0005-0000-0000-00005B3B0000}"/>
    <cellStyle name="20% - 强调文字颜色 5 3 5 5" xfId="15197" xr:uid="{00000000-0005-0000-0000-00005C3B0000}"/>
    <cellStyle name="20% - 强调文字颜色 5 3 5 5 2" xfId="15198" xr:uid="{00000000-0005-0000-0000-00005D3B0000}"/>
    <cellStyle name="20% - 强调文字颜色 5 3 5 6" xfId="15199" xr:uid="{00000000-0005-0000-0000-00005E3B0000}"/>
    <cellStyle name="20% - 强调文字颜色 5 3 6" xfId="15200" xr:uid="{00000000-0005-0000-0000-00005F3B0000}"/>
    <cellStyle name="20% - 强调文字颜色 5 3 6 2" xfId="15201" xr:uid="{00000000-0005-0000-0000-0000603B0000}"/>
    <cellStyle name="20% - 强调文字颜色 5 3 6 2 2" xfId="15202" xr:uid="{00000000-0005-0000-0000-0000613B0000}"/>
    <cellStyle name="20% - 强调文字颜色 5 3 6 2 2 2" xfId="15203" xr:uid="{00000000-0005-0000-0000-0000623B0000}"/>
    <cellStyle name="20% - 强调文字颜色 5 3 6 3" xfId="15204" xr:uid="{00000000-0005-0000-0000-0000633B0000}"/>
    <cellStyle name="20% - 强调文字颜色 5 3 6 3 2" xfId="15205" xr:uid="{00000000-0005-0000-0000-0000643B0000}"/>
    <cellStyle name="20% - 强调文字颜色 5 3 6 4" xfId="15206" xr:uid="{00000000-0005-0000-0000-0000653B0000}"/>
    <cellStyle name="20% - 强调文字颜色 5 3 6 4 2" xfId="15207" xr:uid="{00000000-0005-0000-0000-0000663B0000}"/>
    <cellStyle name="20% - 强调文字颜色 5 3 6 5" xfId="15208" xr:uid="{00000000-0005-0000-0000-0000673B0000}"/>
    <cellStyle name="20% - 强调文字颜色 5 3 7" xfId="15209" xr:uid="{00000000-0005-0000-0000-0000683B0000}"/>
    <cellStyle name="20% - 强调文字颜色 5 3 8" xfId="15210" xr:uid="{00000000-0005-0000-0000-0000693B0000}"/>
    <cellStyle name="20% - 强调文字颜色 5 3 8 2" xfId="15211" xr:uid="{00000000-0005-0000-0000-00006A3B0000}"/>
    <cellStyle name="20% - 强调文字颜色 5 3 9" xfId="15212" xr:uid="{00000000-0005-0000-0000-00006B3B0000}"/>
    <cellStyle name="20% - 强调文字颜色 5 3 9 2" xfId="15213" xr:uid="{00000000-0005-0000-0000-00006C3B0000}"/>
    <cellStyle name="20% - 强调文字颜色 6 2" xfId="15214" xr:uid="{00000000-0005-0000-0000-00006D3B0000}"/>
    <cellStyle name="20% - 强调文字颜色 6 2 10" xfId="15215" xr:uid="{00000000-0005-0000-0000-00006E3B0000}"/>
    <cellStyle name="20% - 强调文字颜色 6 2 11" xfId="15216" xr:uid="{00000000-0005-0000-0000-00006F3B0000}"/>
    <cellStyle name="20% - 强调文字颜色 6 2 11 2" xfId="15217" xr:uid="{00000000-0005-0000-0000-0000703B0000}"/>
    <cellStyle name="20% - 强调文字颜色 6 2 12" xfId="15218" xr:uid="{00000000-0005-0000-0000-0000713B0000}"/>
    <cellStyle name="20% - 强调文字颜色 6 2 12 2" xfId="15219" xr:uid="{00000000-0005-0000-0000-0000723B0000}"/>
    <cellStyle name="20% - 强调文字颜色 6 2 2" xfId="15220" xr:uid="{00000000-0005-0000-0000-0000733B0000}"/>
    <cellStyle name="20% - 强调文字颜色 6 2 2 10" xfId="15221" xr:uid="{00000000-0005-0000-0000-0000743B0000}"/>
    <cellStyle name="20% - 强调文字颜色 6 2 2 11" xfId="15222" xr:uid="{00000000-0005-0000-0000-0000753B0000}"/>
    <cellStyle name="20% - 强调文字颜色 6 2 2 11 2" xfId="15223" xr:uid="{00000000-0005-0000-0000-0000763B0000}"/>
    <cellStyle name="20% - 强调文字颜色 6 2 2 12" xfId="15224" xr:uid="{00000000-0005-0000-0000-0000773B0000}"/>
    <cellStyle name="20% - 强调文字颜色 6 2 2 12 2" xfId="15225" xr:uid="{00000000-0005-0000-0000-0000783B0000}"/>
    <cellStyle name="20% - 强调文字颜色 6 2 2 2" xfId="15226" xr:uid="{00000000-0005-0000-0000-0000793B0000}"/>
    <cellStyle name="20% - 强调文字颜色 6 2 2 2 2" xfId="15227" xr:uid="{00000000-0005-0000-0000-00007A3B0000}"/>
    <cellStyle name="20% - 强调文字颜色 6 2 2 2 2 2" xfId="15228" xr:uid="{00000000-0005-0000-0000-00007B3B0000}"/>
    <cellStyle name="20% - 强调文字颜色 6 2 2 2 2 2 2" xfId="15229" xr:uid="{00000000-0005-0000-0000-00007C3B0000}"/>
    <cellStyle name="20% - 强调文字颜色 6 2 2 2 2 2 3" xfId="15230" xr:uid="{00000000-0005-0000-0000-00007D3B0000}"/>
    <cellStyle name="20% - 强调文字颜色 6 2 2 2 2 2 3 2" xfId="15231" xr:uid="{00000000-0005-0000-0000-00007E3B0000}"/>
    <cellStyle name="20% - 强调文字颜色 6 2 2 2 2 2 3 2 2" xfId="15232" xr:uid="{00000000-0005-0000-0000-00007F3B0000}"/>
    <cellStyle name="20% - 强调文字颜色 6 2 2 2 2 2 4" xfId="15233" xr:uid="{00000000-0005-0000-0000-0000803B0000}"/>
    <cellStyle name="20% - 强调文字颜色 6 2 2 2 2 2 4 2" xfId="15234" xr:uid="{00000000-0005-0000-0000-0000813B0000}"/>
    <cellStyle name="20% - 强调文字颜色 6 2 2 2 2 2 5" xfId="15235" xr:uid="{00000000-0005-0000-0000-0000823B0000}"/>
    <cellStyle name="20% - 强调文字颜色 6 2 2 2 2 2 5 2" xfId="15236" xr:uid="{00000000-0005-0000-0000-0000833B0000}"/>
    <cellStyle name="20% - 强调文字颜色 6 2 2 2 2 2 6" xfId="15237" xr:uid="{00000000-0005-0000-0000-0000843B0000}"/>
    <cellStyle name="20% - 强调文字颜色 6 2 2 2 2 3" xfId="15238" xr:uid="{00000000-0005-0000-0000-0000853B0000}"/>
    <cellStyle name="20% - 强调文字颜色 6 2 2 2 2 3 2" xfId="15239" xr:uid="{00000000-0005-0000-0000-0000863B0000}"/>
    <cellStyle name="20% - 强调文字颜色 6 2 2 2 2 3 2 2" xfId="15240" xr:uid="{00000000-0005-0000-0000-0000873B0000}"/>
    <cellStyle name="20% - 强调文字颜色 6 2 2 2 2 3 2 2 2" xfId="15241" xr:uid="{00000000-0005-0000-0000-0000883B0000}"/>
    <cellStyle name="20% - 强调文字颜色 6 2 2 2 2 3 3" xfId="15242" xr:uid="{00000000-0005-0000-0000-0000893B0000}"/>
    <cellStyle name="20% - 强调文字颜色 6 2 2 2 2 3 3 2" xfId="15243" xr:uid="{00000000-0005-0000-0000-00008A3B0000}"/>
    <cellStyle name="20% - 强调文字颜色 6 2 2 2 2 3 4" xfId="15244" xr:uid="{00000000-0005-0000-0000-00008B3B0000}"/>
    <cellStyle name="20% - 强调文字颜色 6 2 2 2 2 3 4 2" xfId="15245" xr:uid="{00000000-0005-0000-0000-00008C3B0000}"/>
    <cellStyle name="20% - 强调文字颜色 6 2 2 2 2 3 5" xfId="15246" xr:uid="{00000000-0005-0000-0000-00008D3B0000}"/>
    <cellStyle name="20% - 强调文字颜色 6 2 2 2 2 4" xfId="15247" xr:uid="{00000000-0005-0000-0000-00008E3B0000}"/>
    <cellStyle name="20% - 强调文字颜色 6 2 2 2 2 5" xfId="15248" xr:uid="{00000000-0005-0000-0000-00008F3B0000}"/>
    <cellStyle name="20% - 强调文字颜色 6 2 2 2 2 6" xfId="15249" xr:uid="{00000000-0005-0000-0000-0000903B0000}"/>
    <cellStyle name="20% - 强调文字颜色 6 2 2 2 2 6 2" xfId="15250" xr:uid="{00000000-0005-0000-0000-0000913B0000}"/>
    <cellStyle name="20% - 强调文字颜色 6 2 2 2 2 7" xfId="15251" xr:uid="{00000000-0005-0000-0000-0000923B0000}"/>
    <cellStyle name="20% - 强调文字颜色 6 2 2 2 2 7 2" xfId="15252" xr:uid="{00000000-0005-0000-0000-0000933B0000}"/>
    <cellStyle name="20% - 强调文字颜色 6 2 2 2 3" xfId="15253" xr:uid="{00000000-0005-0000-0000-0000943B0000}"/>
    <cellStyle name="20% - 强调文字颜色 6 2 2 2 3 2" xfId="15254" xr:uid="{00000000-0005-0000-0000-0000953B0000}"/>
    <cellStyle name="20% - 强调文字颜色 6 2 2 2 3 3" xfId="15255" xr:uid="{00000000-0005-0000-0000-0000963B0000}"/>
    <cellStyle name="20% - 强调文字颜色 6 2 2 2 3 3 2" xfId="15256" xr:uid="{00000000-0005-0000-0000-0000973B0000}"/>
    <cellStyle name="20% - 强调文字颜色 6 2 2 2 3 3 2 2" xfId="15257" xr:uid="{00000000-0005-0000-0000-0000983B0000}"/>
    <cellStyle name="20% - 强调文字颜色 6 2 2 2 3 4" xfId="15258" xr:uid="{00000000-0005-0000-0000-0000993B0000}"/>
    <cellStyle name="20% - 强调文字颜色 6 2 2 2 3 4 2" xfId="15259" xr:uid="{00000000-0005-0000-0000-00009A3B0000}"/>
    <cellStyle name="20% - 强调文字颜色 6 2 2 2 3 5" xfId="15260" xr:uid="{00000000-0005-0000-0000-00009B3B0000}"/>
    <cellStyle name="20% - 强调文字颜色 6 2 2 2 3 5 2" xfId="15261" xr:uid="{00000000-0005-0000-0000-00009C3B0000}"/>
    <cellStyle name="20% - 强调文字颜色 6 2 2 2 3 6" xfId="15262" xr:uid="{00000000-0005-0000-0000-00009D3B0000}"/>
    <cellStyle name="20% - 强调文字颜色 6 2 2 2 4" xfId="15263" xr:uid="{00000000-0005-0000-0000-00009E3B0000}"/>
    <cellStyle name="20% - 强调文字颜色 6 2 2 2 4 2" xfId="15264" xr:uid="{00000000-0005-0000-0000-00009F3B0000}"/>
    <cellStyle name="20% - 强调文字颜色 6 2 2 2 4 2 2" xfId="15265" xr:uid="{00000000-0005-0000-0000-0000A03B0000}"/>
    <cellStyle name="20% - 强调文字颜色 6 2 2 2 4 2 2 2" xfId="15266" xr:uid="{00000000-0005-0000-0000-0000A13B0000}"/>
    <cellStyle name="20% - 强调文字颜色 6 2 2 2 4 3" xfId="15267" xr:uid="{00000000-0005-0000-0000-0000A23B0000}"/>
    <cellStyle name="20% - 强调文字颜色 6 2 2 2 4 3 2" xfId="15268" xr:uid="{00000000-0005-0000-0000-0000A33B0000}"/>
    <cellStyle name="20% - 强调文字颜色 6 2 2 2 4 4" xfId="15269" xr:uid="{00000000-0005-0000-0000-0000A43B0000}"/>
    <cellStyle name="20% - 强调文字颜色 6 2 2 2 4 4 2" xfId="15270" xr:uid="{00000000-0005-0000-0000-0000A53B0000}"/>
    <cellStyle name="20% - 强调文字颜色 6 2 2 2 4 5" xfId="15271" xr:uid="{00000000-0005-0000-0000-0000A63B0000}"/>
    <cellStyle name="20% - 强调文字颜色 6 2 2 2 5" xfId="15272" xr:uid="{00000000-0005-0000-0000-0000A73B0000}"/>
    <cellStyle name="20% - 强调文字颜色 6 2 2 2 6" xfId="15273" xr:uid="{00000000-0005-0000-0000-0000A83B0000}"/>
    <cellStyle name="20% - 强调文字颜色 6 2 2 2 7" xfId="15274" xr:uid="{00000000-0005-0000-0000-0000A93B0000}"/>
    <cellStyle name="20% - 强调文字颜色 6 2 2 2 7 2" xfId="15275" xr:uid="{00000000-0005-0000-0000-0000AA3B0000}"/>
    <cellStyle name="20% - 强调文字颜色 6 2 2 2 8" xfId="15276" xr:uid="{00000000-0005-0000-0000-0000AB3B0000}"/>
    <cellStyle name="20% - 强调文字颜色 6 2 2 2 8 2" xfId="15277" xr:uid="{00000000-0005-0000-0000-0000AC3B0000}"/>
    <cellStyle name="20% - 强调文字颜色 6 2 2 3" xfId="15278" xr:uid="{00000000-0005-0000-0000-0000AD3B0000}"/>
    <cellStyle name="20% - 强调文字颜色 6 2 2 3 2" xfId="15279" xr:uid="{00000000-0005-0000-0000-0000AE3B0000}"/>
    <cellStyle name="20% - 强调文字颜色 6 2 2 3 2 2" xfId="15280" xr:uid="{00000000-0005-0000-0000-0000AF3B0000}"/>
    <cellStyle name="20% - 强调文字颜色 6 2 2 3 2 3" xfId="15281" xr:uid="{00000000-0005-0000-0000-0000B03B0000}"/>
    <cellStyle name="20% - 强调文字颜色 6 2 2 3 2 3 2" xfId="15282" xr:uid="{00000000-0005-0000-0000-0000B13B0000}"/>
    <cellStyle name="20% - 强调文字颜色 6 2 2 3 2 3 2 2" xfId="15283" xr:uid="{00000000-0005-0000-0000-0000B23B0000}"/>
    <cellStyle name="20% - 强调文字颜色 6 2 2 3 2 4" xfId="15284" xr:uid="{00000000-0005-0000-0000-0000B33B0000}"/>
    <cellStyle name="20% - 强调文字颜色 6 2 2 3 2 4 2" xfId="15285" xr:uid="{00000000-0005-0000-0000-0000B43B0000}"/>
    <cellStyle name="20% - 强调文字颜色 6 2 2 3 2 5" xfId="15286" xr:uid="{00000000-0005-0000-0000-0000B53B0000}"/>
    <cellStyle name="20% - 强调文字颜色 6 2 2 3 2 5 2" xfId="15287" xr:uid="{00000000-0005-0000-0000-0000B63B0000}"/>
    <cellStyle name="20% - 强调文字颜色 6 2 2 3 2 6" xfId="15288" xr:uid="{00000000-0005-0000-0000-0000B73B0000}"/>
    <cellStyle name="20% - 强调文字颜色 6 2 2 3 3" xfId="15289" xr:uid="{00000000-0005-0000-0000-0000B83B0000}"/>
    <cellStyle name="20% - 强调文字颜色 6 2 2 3 3 2" xfId="15290" xr:uid="{00000000-0005-0000-0000-0000B93B0000}"/>
    <cellStyle name="20% - 强调文字颜色 6 2 2 3 3 2 2" xfId="15291" xr:uid="{00000000-0005-0000-0000-0000BA3B0000}"/>
    <cellStyle name="20% - 强调文字颜色 6 2 2 3 3 2 2 2" xfId="15292" xr:uid="{00000000-0005-0000-0000-0000BB3B0000}"/>
    <cellStyle name="20% - 强调文字颜色 6 2 2 3 3 3" xfId="15293" xr:uid="{00000000-0005-0000-0000-0000BC3B0000}"/>
    <cellStyle name="20% - 强调文字颜色 6 2 2 3 3 3 2" xfId="15294" xr:uid="{00000000-0005-0000-0000-0000BD3B0000}"/>
    <cellStyle name="20% - 强调文字颜色 6 2 2 3 3 4" xfId="15295" xr:uid="{00000000-0005-0000-0000-0000BE3B0000}"/>
    <cellStyle name="20% - 强调文字颜色 6 2 2 3 3 4 2" xfId="15296" xr:uid="{00000000-0005-0000-0000-0000BF3B0000}"/>
    <cellStyle name="20% - 强调文字颜色 6 2 2 3 3 5" xfId="15297" xr:uid="{00000000-0005-0000-0000-0000C03B0000}"/>
    <cellStyle name="20% - 强调文字颜色 6 2 2 3 4" xfId="15298" xr:uid="{00000000-0005-0000-0000-0000C13B0000}"/>
    <cellStyle name="20% - 强调文字颜色 6 2 2 3 5" xfId="15299" xr:uid="{00000000-0005-0000-0000-0000C23B0000}"/>
    <cellStyle name="20% - 强调文字颜色 6 2 2 3 6" xfId="15300" xr:uid="{00000000-0005-0000-0000-0000C33B0000}"/>
    <cellStyle name="20% - 强调文字颜色 6 2 2 3 6 2" xfId="15301" xr:uid="{00000000-0005-0000-0000-0000C43B0000}"/>
    <cellStyle name="20% - 强调文字颜色 6 2 2 3 7" xfId="15302" xr:uid="{00000000-0005-0000-0000-0000C53B0000}"/>
    <cellStyle name="20% - 强调文字颜色 6 2 2 3 7 2" xfId="15303" xr:uid="{00000000-0005-0000-0000-0000C63B0000}"/>
    <cellStyle name="20% - 强调文字颜色 6 2 2 4" xfId="15304" xr:uid="{00000000-0005-0000-0000-0000C73B0000}"/>
    <cellStyle name="20% - 强调文字颜色 6 2 2 4 2" xfId="15305" xr:uid="{00000000-0005-0000-0000-0000C83B0000}"/>
    <cellStyle name="20% - 强调文字颜色 6 2 2 4 2 2" xfId="15306" xr:uid="{00000000-0005-0000-0000-0000C93B0000}"/>
    <cellStyle name="20% - 强调文字颜色 6 2 2 4 2 3" xfId="15307" xr:uid="{00000000-0005-0000-0000-0000CA3B0000}"/>
    <cellStyle name="20% - 强调文字颜色 6 2 2 4 2 3 2" xfId="15308" xr:uid="{00000000-0005-0000-0000-0000CB3B0000}"/>
    <cellStyle name="20% - 强调文字颜色 6 2 2 4 2 3 2 2" xfId="15309" xr:uid="{00000000-0005-0000-0000-0000CC3B0000}"/>
    <cellStyle name="20% - 强调文字颜色 6 2 2 4 2 4" xfId="15310" xr:uid="{00000000-0005-0000-0000-0000CD3B0000}"/>
    <cellStyle name="20% - 强调文字颜色 6 2 2 4 2 4 2" xfId="15311" xr:uid="{00000000-0005-0000-0000-0000CE3B0000}"/>
    <cellStyle name="20% - 强调文字颜色 6 2 2 4 2 5" xfId="15312" xr:uid="{00000000-0005-0000-0000-0000CF3B0000}"/>
    <cellStyle name="20% - 强调文字颜色 6 2 2 4 2 5 2" xfId="15313" xr:uid="{00000000-0005-0000-0000-0000D03B0000}"/>
    <cellStyle name="20% - 强调文字颜色 6 2 2 4 2 6" xfId="15314" xr:uid="{00000000-0005-0000-0000-0000D13B0000}"/>
    <cellStyle name="20% - 强调文字颜色 6 2 2 4 3" xfId="15315" xr:uid="{00000000-0005-0000-0000-0000D23B0000}"/>
    <cellStyle name="20% - 强调文字颜色 6 2 2 4 4" xfId="15316" xr:uid="{00000000-0005-0000-0000-0000D33B0000}"/>
    <cellStyle name="20% - 强调文字颜色 6 2 2 4 5" xfId="15317" xr:uid="{00000000-0005-0000-0000-0000D43B0000}"/>
    <cellStyle name="20% - 强调文字颜色 6 2 2 4 6" xfId="15318" xr:uid="{00000000-0005-0000-0000-0000D53B0000}"/>
    <cellStyle name="20% - 强调文字颜色 6 2 2 4 6 2" xfId="15319" xr:uid="{00000000-0005-0000-0000-0000D63B0000}"/>
    <cellStyle name="20% - 强调文字颜色 6 2 2 4 7" xfId="15320" xr:uid="{00000000-0005-0000-0000-0000D73B0000}"/>
    <cellStyle name="20% - 强调文字颜色 6 2 2 4 7 2" xfId="15321" xr:uid="{00000000-0005-0000-0000-0000D83B0000}"/>
    <cellStyle name="20% - 强调文字颜色 6 2 2 5" xfId="15322" xr:uid="{00000000-0005-0000-0000-0000D93B0000}"/>
    <cellStyle name="20% - 强调文字颜色 6 2 2 5 2" xfId="15323" xr:uid="{00000000-0005-0000-0000-0000DA3B0000}"/>
    <cellStyle name="20% - 强调文字颜色 6 2 2 5 2 2" xfId="15324" xr:uid="{00000000-0005-0000-0000-0000DB3B0000}"/>
    <cellStyle name="20% - 强调文字颜色 6 2 2 5 2 2 2" xfId="15325" xr:uid="{00000000-0005-0000-0000-0000DC3B0000}"/>
    <cellStyle name="20% - 强调文字颜色 6 2 2 5 2 2 2 2" xfId="15326" xr:uid="{00000000-0005-0000-0000-0000DD3B0000}"/>
    <cellStyle name="20% - 强调文字颜色 6 2 2 5 2 3" xfId="15327" xr:uid="{00000000-0005-0000-0000-0000DE3B0000}"/>
    <cellStyle name="20% - 强调文字颜色 6 2 2 5 2 3 2" xfId="15328" xr:uid="{00000000-0005-0000-0000-0000DF3B0000}"/>
    <cellStyle name="20% - 强调文字颜色 6 2 2 5 2 4" xfId="15329" xr:uid="{00000000-0005-0000-0000-0000E03B0000}"/>
    <cellStyle name="20% - 强调文字颜色 6 2 2 5 2 4 2" xfId="15330" xr:uid="{00000000-0005-0000-0000-0000E13B0000}"/>
    <cellStyle name="20% - 强调文字颜色 6 2 2 5 2 5" xfId="15331" xr:uid="{00000000-0005-0000-0000-0000E23B0000}"/>
    <cellStyle name="20% - 强调文字颜色 6 2 2 5 3" xfId="15332" xr:uid="{00000000-0005-0000-0000-0000E33B0000}"/>
    <cellStyle name="20% - 强调文字颜色 6 2 2 5 3 2" xfId="15333" xr:uid="{00000000-0005-0000-0000-0000E43B0000}"/>
    <cellStyle name="20% - 强调文字颜色 6 2 2 5 3 2 2" xfId="15334" xr:uid="{00000000-0005-0000-0000-0000E53B0000}"/>
    <cellStyle name="20% - 强调文字颜色 6 2 2 5 4" xfId="15335" xr:uid="{00000000-0005-0000-0000-0000E63B0000}"/>
    <cellStyle name="20% - 强调文字颜色 6 2 2 5 4 2" xfId="15336" xr:uid="{00000000-0005-0000-0000-0000E73B0000}"/>
    <cellStyle name="20% - 强调文字颜色 6 2 2 5 5" xfId="15337" xr:uid="{00000000-0005-0000-0000-0000E83B0000}"/>
    <cellStyle name="20% - 强调文字颜色 6 2 2 5 5 2" xfId="15338" xr:uid="{00000000-0005-0000-0000-0000E93B0000}"/>
    <cellStyle name="20% - 强调文字颜色 6 2 2 5 6" xfId="15339" xr:uid="{00000000-0005-0000-0000-0000EA3B0000}"/>
    <cellStyle name="20% - 强调文字颜色 6 2 2 6" xfId="15340" xr:uid="{00000000-0005-0000-0000-0000EB3B0000}"/>
    <cellStyle name="20% - 强调文字颜色 6 2 2 6 2" xfId="15341" xr:uid="{00000000-0005-0000-0000-0000EC3B0000}"/>
    <cellStyle name="20% - 强调文字颜色 6 2 2 6 2 2" xfId="15342" xr:uid="{00000000-0005-0000-0000-0000ED3B0000}"/>
    <cellStyle name="20% - 强调文字颜色 6 2 2 6 2 2 2" xfId="15343" xr:uid="{00000000-0005-0000-0000-0000EE3B0000}"/>
    <cellStyle name="20% - 强调文字颜色 6 2 2 6 2 2 2 2" xfId="15344" xr:uid="{00000000-0005-0000-0000-0000EF3B0000}"/>
    <cellStyle name="20% - 强调文字颜色 6 2 2 6 2 3" xfId="15345" xr:uid="{00000000-0005-0000-0000-0000F03B0000}"/>
    <cellStyle name="20% - 强调文字颜色 6 2 2 6 2 3 2" xfId="15346" xr:uid="{00000000-0005-0000-0000-0000F13B0000}"/>
    <cellStyle name="20% - 强调文字颜色 6 2 2 6 2 4" xfId="15347" xr:uid="{00000000-0005-0000-0000-0000F23B0000}"/>
    <cellStyle name="20% - 强调文字颜色 6 2 2 6 2 4 2" xfId="15348" xr:uid="{00000000-0005-0000-0000-0000F33B0000}"/>
    <cellStyle name="20% - 强调文字颜色 6 2 2 6 2 5" xfId="15349" xr:uid="{00000000-0005-0000-0000-0000F43B0000}"/>
    <cellStyle name="20% - 强调文字颜色 6 2 2 6 3" xfId="15350" xr:uid="{00000000-0005-0000-0000-0000F53B0000}"/>
    <cellStyle name="20% - 强调文字颜色 6 2 2 6 3 2" xfId="15351" xr:uid="{00000000-0005-0000-0000-0000F63B0000}"/>
    <cellStyle name="20% - 强调文字颜色 6 2 2 6 3 2 2" xfId="15352" xr:uid="{00000000-0005-0000-0000-0000F73B0000}"/>
    <cellStyle name="20% - 强调文字颜色 6 2 2 6 4" xfId="15353" xr:uid="{00000000-0005-0000-0000-0000F83B0000}"/>
    <cellStyle name="20% - 强调文字颜色 6 2 2 6 4 2" xfId="15354" xr:uid="{00000000-0005-0000-0000-0000F93B0000}"/>
    <cellStyle name="20% - 强调文字颜色 6 2 2 6 5" xfId="15355" xr:uid="{00000000-0005-0000-0000-0000FA3B0000}"/>
    <cellStyle name="20% - 强调文字颜色 6 2 2 6 5 2" xfId="15356" xr:uid="{00000000-0005-0000-0000-0000FB3B0000}"/>
    <cellStyle name="20% - 强调文字颜色 6 2 2 6 6" xfId="15357" xr:uid="{00000000-0005-0000-0000-0000FC3B0000}"/>
    <cellStyle name="20% - 强调文字颜色 6 2 2 7" xfId="15358" xr:uid="{00000000-0005-0000-0000-0000FD3B0000}"/>
    <cellStyle name="20% - 强调文字颜色 6 2 2 7 2" xfId="15359" xr:uid="{00000000-0005-0000-0000-0000FE3B0000}"/>
    <cellStyle name="20% - 强调文字颜色 6 2 2 7 2 2" xfId="15360" xr:uid="{00000000-0005-0000-0000-0000FF3B0000}"/>
    <cellStyle name="20% - 强调文字颜色 6 2 2 7 2 2 2" xfId="15361" xr:uid="{00000000-0005-0000-0000-0000003C0000}"/>
    <cellStyle name="20% - 强调文字颜色 6 2 2 7 2 2 2 2" xfId="15362" xr:uid="{00000000-0005-0000-0000-0000013C0000}"/>
    <cellStyle name="20% - 强调文字颜色 6 2 2 7 2 3" xfId="15363" xr:uid="{00000000-0005-0000-0000-0000023C0000}"/>
    <cellStyle name="20% - 强调文字颜色 6 2 2 7 2 3 2" xfId="15364" xr:uid="{00000000-0005-0000-0000-0000033C0000}"/>
    <cellStyle name="20% - 强调文字颜色 6 2 2 7 2 4" xfId="15365" xr:uid="{00000000-0005-0000-0000-0000043C0000}"/>
    <cellStyle name="20% - 强调文字颜色 6 2 2 7 2 4 2" xfId="15366" xr:uid="{00000000-0005-0000-0000-0000053C0000}"/>
    <cellStyle name="20% - 强调文字颜色 6 2 2 7 2 5" xfId="15367" xr:uid="{00000000-0005-0000-0000-0000063C0000}"/>
    <cellStyle name="20% - 强调文字颜色 6 2 2 7 3" xfId="15368" xr:uid="{00000000-0005-0000-0000-0000073C0000}"/>
    <cellStyle name="20% - 强调文字颜色 6 2 2 7 3 2" xfId="15369" xr:uid="{00000000-0005-0000-0000-0000083C0000}"/>
    <cellStyle name="20% - 强调文字颜色 6 2 2 7 3 2 2" xfId="15370" xr:uid="{00000000-0005-0000-0000-0000093C0000}"/>
    <cellStyle name="20% - 强调文字颜色 6 2 2 7 4" xfId="15371" xr:uid="{00000000-0005-0000-0000-00000A3C0000}"/>
    <cellStyle name="20% - 强调文字颜色 6 2 2 7 4 2" xfId="15372" xr:uid="{00000000-0005-0000-0000-00000B3C0000}"/>
    <cellStyle name="20% - 强调文字颜色 6 2 2 7 5" xfId="15373" xr:uid="{00000000-0005-0000-0000-00000C3C0000}"/>
    <cellStyle name="20% - 强调文字颜色 6 2 2 7 5 2" xfId="15374" xr:uid="{00000000-0005-0000-0000-00000D3C0000}"/>
    <cellStyle name="20% - 强调文字颜色 6 2 2 7 6" xfId="15375" xr:uid="{00000000-0005-0000-0000-00000E3C0000}"/>
    <cellStyle name="20% - 强调文字颜色 6 2 2 8" xfId="15376" xr:uid="{00000000-0005-0000-0000-00000F3C0000}"/>
    <cellStyle name="20% - 强调文字颜色 6 2 2 8 2" xfId="15377" xr:uid="{00000000-0005-0000-0000-0000103C0000}"/>
    <cellStyle name="20% - 强调文字颜色 6 2 2 8 2 2" xfId="15378" xr:uid="{00000000-0005-0000-0000-0000113C0000}"/>
    <cellStyle name="20% - 强调文字颜色 6 2 2 8 2 2 2" xfId="15379" xr:uid="{00000000-0005-0000-0000-0000123C0000}"/>
    <cellStyle name="20% - 强调文字颜色 6 2 2 8 3" xfId="15380" xr:uid="{00000000-0005-0000-0000-0000133C0000}"/>
    <cellStyle name="20% - 强调文字颜色 6 2 2 8 3 2" xfId="15381" xr:uid="{00000000-0005-0000-0000-0000143C0000}"/>
    <cellStyle name="20% - 强调文字颜色 6 2 2 8 4" xfId="15382" xr:uid="{00000000-0005-0000-0000-0000153C0000}"/>
    <cellStyle name="20% - 强调文字颜色 6 2 2 8 4 2" xfId="15383" xr:uid="{00000000-0005-0000-0000-0000163C0000}"/>
    <cellStyle name="20% - 强调文字颜色 6 2 2 8 5" xfId="15384" xr:uid="{00000000-0005-0000-0000-0000173C0000}"/>
    <cellStyle name="20% - 强调文字颜色 6 2 2 9" xfId="15385" xr:uid="{00000000-0005-0000-0000-0000183C0000}"/>
    <cellStyle name="20% - 强调文字颜色 6 2 2 9 2" xfId="15386" xr:uid="{00000000-0005-0000-0000-0000193C0000}"/>
    <cellStyle name="20% - 强调文字颜色 6 2 2 9 2 2" xfId="15387" xr:uid="{00000000-0005-0000-0000-00001A3C0000}"/>
    <cellStyle name="20% - 强调文字颜色 6 2 2 9 2 2 2" xfId="15388" xr:uid="{00000000-0005-0000-0000-00001B3C0000}"/>
    <cellStyle name="20% - 强调文字颜色 6 2 2 9 3" xfId="15389" xr:uid="{00000000-0005-0000-0000-00001C3C0000}"/>
    <cellStyle name="20% - 强调文字颜色 6 2 2 9 3 2" xfId="15390" xr:uid="{00000000-0005-0000-0000-00001D3C0000}"/>
    <cellStyle name="20% - 强调文字颜色 6 2 2 9 4" xfId="15391" xr:uid="{00000000-0005-0000-0000-00001E3C0000}"/>
    <cellStyle name="20% - 强调文字颜色 6 2 2 9 4 2" xfId="15392" xr:uid="{00000000-0005-0000-0000-00001F3C0000}"/>
    <cellStyle name="20% - 强调文字颜色 6 2 2 9 5" xfId="15393" xr:uid="{00000000-0005-0000-0000-0000203C0000}"/>
    <cellStyle name="20% - 强调文字颜色 6 2 3" xfId="15394" xr:uid="{00000000-0005-0000-0000-0000213C0000}"/>
    <cellStyle name="20% - 强调文字颜色 6 2 3 10" xfId="15395" xr:uid="{00000000-0005-0000-0000-0000223C0000}"/>
    <cellStyle name="20% - 强调文字颜色 6 2 3 10 2" xfId="15396" xr:uid="{00000000-0005-0000-0000-0000233C0000}"/>
    <cellStyle name="20% - 强调文字颜色 6 2 3 2" xfId="15397" xr:uid="{00000000-0005-0000-0000-0000243C0000}"/>
    <cellStyle name="20% - 强调文字颜色 6 2 3 2 2" xfId="15398" xr:uid="{00000000-0005-0000-0000-0000253C0000}"/>
    <cellStyle name="20% - 强调文字颜色 6 2 3 2 2 2" xfId="15399" xr:uid="{00000000-0005-0000-0000-0000263C0000}"/>
    <cellStyle name="20% - 强调文字颜色 6 2 3 2 2 2 2" xfId="15400" xr:uid="{00000000-0005-0000-0000-0000273C0000}"/>
    <cellStyle name="20% - 强调文字颜色 6 2 3 2 2 2 3" xfId="15401" xr:uid="{00000000-0005-0000-0000-0000283C0000}"/>
    <cellStyle name="20% - 强调文字颜色 6 2 3 2 2 2 3 2" xfId="15402" xr:uid="{00000000-0005-0000-0000-0000293C0000}"/>
    <cellStyle name="20% - 强调文字颜色 6 2 3 2 2 2 3 2 2" xfId="15403" xr:uid="{00000000-0005-0000-0000-00002A3C0000}"/>
    <cellStyle name="20% - 强调文字颜色 6 2 3 2 2 2 4" xfId="15404" xr:uid="{00000000-0005-0000-0000-00002B3C0000}"/>
    <cellStyle name="20% - 强调文字颜色 6 2 3 2 2 2 4 2" xfId="15405" xr:uid="{00000000-0005-0000-0000-00002C3C0000}"/>
    <cellStyle name="20% - 强调文字颜色 6 2 3 2 2 2 5" xfId="15406" xr:uid="{00000000-0005-0000-0000-00002D3C0000}"/>
    <cellStyle name="20% - 强调文字颜色 6 2 3 2 2 2 5 2" xfId="15407" xr:uid="{00000000-0005-0000-0000-00002E3C0000}"/>
    <cellStyle name="20% - 强调文字颜色 6 2 3 2 2 2 6" xfId="15408" xr:uid="{00000000-0005-0000-0000-00002F3C0000}"/>
    <cellStyle name="20% - 强调文字颜色 6 2 3 2 2 3" xfId="15409" xr:uid="{00000000-0005-0000-0000-0000303C0000}"/>
    <cellStyle name="20% - 强调文字颜色 6 2 3 2 2 3 2" xfId="15410" xr:uid="{00000000-0005-0000-0000-0000313C0000}"/>
    <cellStyle name="20% - 强调文字颜色 6 2 3 2 2 3 2 2" xfId="15411" xr:uid="{00000000-0005-0000-0000-0000323C0000}"/>
    <cellStyle name="20% - 强调文字颜色 6 2 3 2 2 3 2 2 2" xfId="15412" xr:uid="{00000000-0005-0000-0000-0000333C0000}"/>
    <cellStyle name="20% - 强调文字颜色 6 2 3 2 2 3 3" xfId="15413" xr:uid="{00000000-0005-0000-0000-0000343C0000}"/>
    <cellStyle name="20% - 强调文字颜色 6 2 3 2 2 3 3 2" xfId="15414" xr:uid="{00000000-0005-0000-0000-0000353C0000}"/>
    <cellStyle name="20% - 强调文字颜色 6 2 3 2 2 3 4" xfId="15415" xr:uid="{00000000-0005-0000-0000-0000363C0000}"/>
    <cellStyle name="20% - 强调文字颜色 6 2 3 2 2 3 4 2" xfId="15416" xr:uid="{00000000-0005-0000-0000-0000373C0000}"/>
    <cellStyle name="20% - 强调文字颜色 6 2 3 2 2 3 5" xfId="15417" xr:uid="{00000000-0005-0000-0000-0000383C0000}"/>
    <cellStyle name="20% - 强调文字颜色 6 2 3 2 2 4" xfId="15418" xr:uid="{00000000-0005-0000-0000-0000393C0000}"/>
    <cellStyle name="20% - 强调文字颜色 6 2 3 2 2 5" xfId="15419" xr:uid="{00000000-0005-0000-0000-00003A3C0000}"/>
    <cellStyle name="20% - 强调文字颜色 6 2 3 2 2 6" xfId="15420" xr:uid="{00000000-0005-0000-0000-00003B3C0000}"/>
    <cellStyle name="20% - 强调文字颜色 6 2 3 2 2 6 2" xfId="15421" xr:uid="{00000000-0005-0000-0000-00003C3C0000}"/>
    <cellStyle name="20% - 强调文字颜色 6 2 3 2 2 7" xfId="15422" xr:uid="{00000000-0005-0000-0000-00003D3C0000}"/>
    <cellStyle name="20% - 强调文字颜色 6 2 3 2 2 7 2" xfId="15423" xr:uid="{00000000-0005-0000-0000-00003E3C0000}"/>
    <cellStyle name="20% - 强调文字颜色 6 2 3 2 3" xfId="15424" xr:uid="{00000000-0005-0000-0000-00003F3C0000}"/>
    <cellStyle name="20% - 强调文字颜色 6 2 3 2 3 2" xfId="15425" xr:uid="{00000000-0005-0000-0000-0000403C0000}"/>
    <cellStyle name="20% - 强调文字颜色 6 2 3 2 3 3" xfId="15426" xr:uid="{00000000-0005-0000-0000-0000413C0000}"/>
    <cellStyle name="20% - 强调文字颜色 6 2 3 2 3 3 2" xfId="15427" xr:uid="{00000000-0005-0000-0000-0000423C0000}"/>
    <cellStyle name="20% - 强调文字颜色 6 2 3 2 3 3 2 2" xfId="15428" xr:uid="{00000000-0005-0000-0000-0000433C0000}"/>
    <cellStyle name="20% - 强调文字颜色 6 2 3 2 3 4" xfId="15429" xr:uid="{00000000-0005-0000-0000-0000443C0000}"/>
    <cellStyle name="20% - 强调文字颜色 6 2 3 2 3 4 2" xfId="15430" xr:uid="{00000000-0005-0000-0000-0000453C0000}"/>
    <cellStyle name="20% - 强调文字颜色 6 2 3 2 3 5" xfId="15431" xr:uid="{00000000-0005-0000-0000-0000463C0000}"/>
    <cellStyle name="20% - 强调文字颜色 6 2 3 2 3 5 2" xfId="15432" xr:uid="{00000000-0005-0000-0000-0000473C0000}"/>
    <cellStyle name="20% - 强调文字颜色 6 2 3 2 3 6" xfId="15433" xr:uid="{00000000-0005-0000-0000-0000483C0000}"/>
    <cellStyle name="20% - 强调文字颜色 6 2 3 2 4" xfId="15434" xr:uid="{00000000-0005-0000-0000-0000493C0000}"/>
    <cellStyle name="20% - 强调文字颜色 6 2 3 2 4 2" xfId="15435" xr:uid="{00000000-0005-0000-0000-00004A3C0000}"/>
    <cellStyle name="20% - 强调文字颜色 6 2 3 2 4 2 2" xfId="15436" xr:uid="{00000000-0005-0000-0000-00004B3C0000}"/>
    <cellStyle name="20% - 强调文字颜色 6 2 3 2 4 2 2 2" xfId="15437" xr:uid="{00000000-0005-0000-0000-00004C3C0000}"/>
    <cellStyle name="20% - 强调文字颜色 6 2 3 2 4 3" xfId="15438" xr:uid="{00000000-0005-0000-0000-00004D3C0000}"/>
    <cellStyle name="20% - 强调文字颜色 6 2 3 2 4 3 2" xfId="15439" xr:uid="{00000000-0005-0000-0000-00004E3C0000}"/>
    <cellStyle name="20% - 强调文字颜色 6 2 3 2 4 4" xfId="15440" xr:uid="{00000000-0005-0000-0000-00004F3C0000}"/>
    <cellStyle name="20% - 强调文字颜色 6 2 3 2 4 4 2" xfId="15441" xr:uid="{00000000-0005-0000-0000-0000503C0000}"/>
    <cellStyle name="20% - 强调文字颜色 6 2 3 2 4 5" xfId="15442" xr:uid="{00000000-0005-0000-0000-0000513C0000}"/>
    <cellStyle name="20% - 强调文字颜色 6 2 3 2 5" xfId="15443" xr:uid="{00000000-0005-0000-0000-0000523C0000}"/>
    <cellStyle name="20% - 强调文字颜色 6 2 3 2 6" xfId="15444" xr:uid="{00000000-0005-0000-0000-0000533C0000}"/>
    <cellStyle name="20% - 强调文字颜色 6 2 3 2 7" xfId="15445" xr:uid="{00000000-0005-0000-0000-0000543C0000}"/>
    <cellStyle name="20% - 强调文字颜色 6 2 3 2 7 2" xfId="15446" xr:uid="{00000000-0005-0000-0000-0000553C0000}"/>
    <cellStyle name="20% - 强调文字颜色 6 2 3 2 8" xfId="15447" xr:uid="{00000000-0005-0000-0000-0000563C0000}"/>
    <cellStyle name="20% - 强调文字颜色 6 2 3 2 8 2" xfId="15448" xr:uid="{00000000-0005-0000-0000-0000573C0000}"/>
    <cellStyle name="20% - 强调文字颜色 6 2 3 3" xfId="15449" xr:uid="{00000000-0005-0000-0000-0000583C0000}"/>
    <cellStyle name="20% - 强调文字颜色 6 2 3 3 2" xfId="15450" xr:uid="{00000000-0005-0000-0000-0000593C0000}"/>
    <cellStyle name="20% - 强调文字颜色 6 2 3 3 2 2" xfId="15451" xr:uid="{00000000-0005-0000-0000-00005A3C0000}"/>
    <cellStyle name="20% - 强调文字颜色 6 2 3 3 2 3" xfId="15452" xr:uid="{00000000-0005-0000-0000-00005B3C0000}"/>
    <cellStyle name="20% - 强调文字颜色 6 2 3 3 2 3 2" xfId="15453" xr:uid="{00000000-0005-0000-0000-00005C3C0000}"/>
    <cellStyle name="20% - 强调文字颜色 6 2 3 3 2 3 2 2" xfId="15454" xr:uid="{00000000-0005-0000-0000-00005D3C0000}"/>
    <cellStyle name="20% - 强调文字颜色 6 2 3 3 2 4" xfId="15455" xr:uid="{00000000-0005-0000-0000-00005E3C0000}"/>
    <cellStyle name="20% - 强调文字颜色 6 2 3 3 2 4 2" xfId="15456" xr:uid="{00000000-0005-0000-0000-00005F3C0000}"/>
    <cellStyle name="20% - 强调文字颜色 6 2 3 3 2 5" xfId="15457" xr:uid="{00000000-0005-0000-0000-0000603C0000}"/>
    <cellStyle name="20% - 强调文字颜色 6 2 3 3 2 5 2" xfId="15458" xr:uid="{00000000-0005-0000-0000-0000613C0000}"/>
    <cellStyle name="20% - 强调文字颜色 6 2 3 3 2 6" xfId="15459" xr:uid="{00000000-0005-0000-0000-0000623C0000}"/>
    <cellStyle name="20% - 强调文字颜色 6 2 3 3 3" xfId="15460" xr:uid="{00000000-0005-0000-0000-0000633C0000}"/>
    <cellStyle name="20% - 强调文字颜色 6 2 3 3 3 2" xfId="15461" xr:uid="{00000000-0005-0000-0000-0000643C0000}"/>
    <cellStyle name="20% - 强调文字颜色 6 2 3 3 3 2 2" xfId="15462" xr:uid="{00000000-0005-0000-0000-0000653C0000}"/>
    <cellStyle name="20% - 强调文字颜色 6 2 3 3 3 2 2 2" xfId="15463" xr:uid="{00000000-0005-0000-0000-0000663C0000}"/>
    <cellStyle name="20% - 强调文字颜色 6 2 3 3 3 3" xfId="15464" xr:uid="{00000000-0005-0000-0000-0000673C0000}"/>
    <cellStyle name="20% - 强调文字颜色 6 2 3 3 3 3 2" xfId="15465" xr:uid="{00000000-0005-0000-0000-0000683C0000}"/>
    <cellStyle name="20% - 强调文字颜色 6 2 3 3 3 4" xfId="15466" xr:uid="{00000000-0005-0000-0000-0000693C0000}"/>
    <cellStyle name="20% - 强调文字颜色 6 2 3 3 3 4 2" xfId="15467" xr:uid="{00000000-0005-0000-0000-00006A3C0000}"/>
    <cellStyle name="20% - 强调文字颜色 6 2 3 3 3 5" xfId="15468" xr:uid="{00000000-0005-0000-0000-00006B3C0000}"/>
    <cellStyle name="20% - 强调文字颜色 6 2 3 3 4" xfId="15469" xr:uid="{00000000-0005-0000-0000-00006C3C0000}"/>
    <cellStyle name="20% - 强调文字颜色 6 2 3 3 5" xfId="15470" xr:uid="{00000000-0005-0000-0000-00006D3C0000}"/>
    <cellStyle name="20% - 强调文字颜色 6 2 3 3 6" xfId="15471" xr:uid="{00000000-0005-0000-0000-00006E3C0000}"/>
    <cellStyle name="20% - 强调文字颜色 6 2 3 3 6 2" xfId="15472" xr:uid="{00000000-0005-0000-0000-00006F3C0000}"/>
    <cellStyle name="20% - 强调文字颜色 6 2 3 3 7" xfId="15473" xr:uid="{00000000-0005-0000-0000-0000703C0000}"/>
    <cellStyle name="20% - 强调文字颜色 6 2 3 3 7 2" xfId="15474" xr:uid="{00000000-0005-0000-0000-0000713C0000}"/>
    <cellStyle name="20% - 强调文字颜色 6 2 3 4" xfId="15475" xr:uid="{00000000-0005-0000-0000-0000723C0000}"/>
    <cellStyle name="20% - 强调文字颜色 6 2 3 4 2" xfId="15476" xr:uid="{00000000-0005-0000-0000-0000733C0000}"/>
    <cellStyle name="20% - 强调文字颜色 6 2 3 4 2 2" xfId="15477" xr:uid="{00000000-0005-0000-0000-0000743C0000}"/>
    <cellStyle name="20% - 强调文字颜色 6 2 3 4 2 3" xfId="15478" xr:uid="{00000000-0005-0000-0000-0000753C0000}"/>
    <cellStyle name="20% - 强调文字颜色 6 2 3 4 2 3 2" xfId="15479" xr:uid="{00000000-0005-0000-0000-0000763C0000}"/>
    <cellStyle name="20% - 强调文字颜色 6 2 3 4 2 3 2 2" xfId="15480" xr:uid="{00000000-0005-0000-0000-0000773C0000}"/>
    <cellStyle name="20% - 强调文字颜色 6 2 3 4 2 4" xfId="15481" xr:uid="{00000000-0005-0000-0000-0000783C0000}"/>
    <cellStyle name="20% - 强调文字颜色 6 2 3 4 2 4 2" xfId="15482" xr:uid="{00000000-0005-0000-0000-0000793C0000}"/>
    <cellStyle name="20% - 强调文字颜色 6 2 3 4 2 5" xfId="15483" xr:uid="{00000000-0005-0000-0000-00007A3C0000}"/>
    <cellStyle name="20% - 强调文字颜色 6 2 3 4 2 5 2" xfId="15484" xr:uid="{00000000-0005-0000-0000-00007B3C0000}"/>
    <cellStyle name="20% - 强调文字颜色 6 2 3 4 2 6" xfId="15485" xr:uid="{00000000-0005-0000-0000-00007C3C0000}"/>
    <cellStyle name="20% - 强调文字颜色 6 2 3 4 3" xfId="15486" xr:uid="{00000000-0005-0000-0000-00007D3C0000}"/>
    <cellStyle name="20% - 强调文字颜色 6 2 3 4 4" xfId="15487" xr:uid="{00000000-0005-0000-0000-00007E3C0000}"/>
    <cellStyle name="20% - 强调文字颜色 6 2 3 4 5" xfId="15488" xr:uid="{00000000-0005-0000-0000-00007F3C0000}"/>
    <cellStyle name="20% - 强调文字颜色 6 2 3 4 6" xfId="15489" xr:uid="{00000000-0005-0000-0000-0000803C0000}"/>
    <cellStyle name="20% - 强调文字颜色 6 2 3 4 6 2" xfId="15490" xr:uid="{00000000-0005-0000-0000-0000813C0000}"/>
    <cellStyle name="20% - 强调文字颜色 6 2 3 4 7" xfId="15491" xr:uid="{00000000-0005-0000-0000-0000823C0000}"/>
    <cellStyle name="20% - 强调文字颜色 6 2 3 4 7 2" xfId="15492" xr:uid="{00000000-0005-0000-0000-0000833C0000}"/>
    <cellStyle name="20% - 强调文字颜色 6 2 3 5" xfId="15493" xr:uid="{00000000-0005-0000-0000-0000843C0000}"/>
    <cellStyle name="20% - 强调文字颜色 6 2 3 5 2" xfId="15494" xr:uid="{00000000-0005-0000-0000-0000853C0000}"/>
    <cellStyle name="20% - 强调文字颜色 6 2 3 5 2 2" xfId="15495" xr:uid="{00000000-0005-0000-0000-0000863C0000}"/>
    <cellStyle name="20% - 强调文字颜色 6 2 3 5 2 2 2" xfId="15496" xr:uid="{00000000-0005-0000-0000-0000873C0000}"/>
    <cellStyle name="20% - 强调文字颜色 6 2 3 5 2 2 2 2" xfId="15497" xr:uid="{00000000-0005-0000-0000-0000883C0000}"/>
    <cellStyle name="20% - 强调文字颜色 6 2 3 5 2 3" xfId="15498" xr:uid="{00000000-0005-0000-0000-0000893C0000}"/>
    <cellStyle name="20% - 强调文字颜色 6 2 3 5 2 3 2" xfId="15499" xr:uid="{00000000-0005-0000-0000-00008A3C0000}"/>
    <cellStyle name="20% - 强调文字颜色 6 2 3 5 2 4" xfId="15500" xr:uid="{00000000-0005-0000-0000-00008B3C0000}"/>
    <cellStyle name="20% - 强调文字颜色 6 2 3 5 2 4 2" xfId="15501" xr:uid="{00000000-0005-0000-0000-00008C3C0000}"/>
    <cellStyle name="20% - 强调文字颜色 6 2 3 5 2 5" xfId="15502" xr:uid="{00000000-0005-0000-0000-00008D3C0000}"/>
    <cellStyle name="20% - 强调文字颜色 6 2 3 5 3" xfId="15503" xr:uid="{00000000-0005-0000-0000-00008E3C0000}"/>
    <cellStyle name="20% - 强调文字颜色 6 2 3 5 3 2" xfId="15504" xr:uid="{00000000-0005-0000-0000-00008F3C0000}"/>
    <cellStyle name="20% - 强调文字颜色 6 2 3 5 3 2 2" xfId="15505" xr:uid="{00000000-0005-0000-0000-0000903C0000}"/>
    <cellStyle name="20% - 强调文字颜色 6 2 3 5 4" xfId="15506" xr:uid="{00000000-0005-0000-0000-0000913C0000}"/>
    <cellStyle name="20% - 强调文字颜色 6 2 3 5 4 2" xfId="15507" xr:uid="{00000000-0005-0000-0000-0000923C0000}"/>
    <cellStyle name="20% - 强调文字颜色 6 2 3 5 5" xfId="15508" xr:uid="{00000000-0005-0000-0000-0000933C0000}"/>
    <cellStyle name="20% - 强调文字颜色 6 2 3 5 5 2" xfId="15509" xr:uid="{00000000-0005-0000-0000-0000943C0000}"/>
    <cellStyle name="20% - 强调文字颜色 6 2 3 5 6" xfId="15510" xr:uid="{00000000-0005-0000-0000-0000953C0000}"/>
    <cellStyle name="20% - 强调文字颜色 6 2 3 6" xfId="15511" xr:uid="{00000000-0005-0000-0000-0000963C0000}"/>
    <cellStyle name="20% - 强调文字颜色 6 2 3 6 2" xfId="15512" xr:uid="{00000000-0005-0000-0000-0000973C0000}"/>
    <cellStyle name="20% - 强调文字颜色 6 2 3 6 2 2" xfId="15513" xr:uid="{00000000-0005-0000-0000-0000983C0000}"/>
    <cellStyle name="20% - 强调文字颜色 6 2 3 6 2 2 2" xfId="15514" xr:uid="{00000000-0005-0000-0000-0000993C0000}"/>
    <cellStyle name="20% - 强调文字颜色 6 2 3 6 3" xfId="15515" xr:uid="{00000000-0005-0000-0000-00009A3C0000}"/>
    <cellStyle name="20% - 强调文字颜色 6 2 3 6 3 2" xfId="15516" xr:uid="{00000000-0005-0000-0000-00009B3C0000}"/>
    <cellStyle name="20% - 强调文字颜色 6 2 3 6 4" xfId="15517" xr:uid="{00000000-0005-0000-0000-00009C3C0000}"/>
    <cellStyle name="20% - 强调文字颜色 6 2 3 6 4 2" xfId="15518" xr:uid="{00000000-0005-0000-0000-00009D3C0000}"/>
    <cellStyle name="20% - 强调文字颜色 6 2 3 6 5" xfId="15519" xr:uid="{00000000-0005-0000-0000-00009E3C0000}"/>
    <cellStyle name="20% - 强调文字颜色 6 2 3 7" xfId="15520" xr:uid="{00000000-0005-0000-0000-00009F3C0000}"/>
    <cellStyle name="20% - 强调文字颜色 6 2 3 7 2" xfId="15521" xr:uid="{00000000-0005-0000-0000-0000A03C0000}"/>
    <cellStyle name="20% - 强调文字颜色 6 2 3 7 2 2" xfId="15522" xr:uid="{00000000-0005-0000-0000-0000A13C0000}"/>
    <cellStyle name="20% - 强调文字颜色 6 2 3 7 2 2 2" xfId="15523" xr:uid="{00000000-0005-0000-0000-0000A23C0000}"/>
    <cellStyle name="20% - 强调文字颜色 6 2 3 7 3" xfId="15524" xr:uid="{00000000-0005-0000-0000-0000A33C0000}"/>
    <cellStyle name="20% - 强调文字颜色 6 2 3 7 3 2" xfId="15525" xr:uid="{00000000-0005-0000-0000-0000A43C0000}"/>
    <cellStyle name="20% - 强调文字颜色 6 2 3 7 4" xfId="15526" xr:uid="{00000000-0005-0000-0000-0000A53C0000}"/>
    <cellStyle name="20% - 强调文字颜色 6 2 3 7 4 2" xfId="15527" xr:uid="{00000000-0005-0000-0000-0000A63C0000}"/>
    <cellStyle name="20% - 强调文字颜色 6 2 3 7 5" xfId="15528" xr:uid="{00000000-0005-0000-0000-0000A73C0000}"/>
    <cellStyle name="20% - 强调文字颜色 6 2 3 8" xfId="15529" xr:uid="{00000000-0005-0000-0000-0000A83C0000}"/>
    <cellStyle name="20% - 强调文字颜色 6 2 3 9" xfId="15530" xr:uid="{00000000-0005-0000-0000-0000A93C0000}"/>
    <cellStyle name="20% - 强调文字颜色 6 2 3 9 2" xfId="15531" xr:uid="{00000000-0005-0000-0000-0000AA3C0000}"/>
    <cellStyle name="20% - 强调文字颜色 6 2 4" xfId="15532" xr:uid="{00000000-0005-0000-0000-0000AB3C0000}"/>
    <cellStyle name="20% - 强调文字颜色 6 2 4 2" xfId="15533" xr:uid="{00000000-0005-0000-0000-0000AC3C0000}"/>
    <cellStyle name="20% - 强调文字颜色 6 2 4 2 2" xfId="15534" xr:uid="{00000000-0005-0000-0000-0000AD3C0000}"/>
    <cellStyle name="20% - 强调文字颜色 6 2 4 2 3" xfId="15535" xr:uid="{00000000-0005-0000-0000-0000AE3C0000}"/>
    <cellStyle name="20% - 强调文字颜色 6 2 4 2 3 2" xfId="15536" xr:uid="{00000000-0005-0000-0000-0000AF3C0000}"/>
    <cellStyle name="20% - 强调文字颜色 6 2 4 2 3 2 2" xfId="15537" xr:uid="{00000000-0005-0000-0000-0000B03C0000}"/>
    <cellStyle name="20% - 强调文字颜色 6 2 4 2 4" xfId="15538" xr:uid="{00000000-0005-0000-0000-0000B13C0000}"/>
    <cellStyle name="20% - 强调文字颜色 6 2 4 2 4 2" xfId="15539" xr:uid="{00000000-0005-0000-0000-0000B23C0000}"/>
    <cellStyle name="20% - 强调文字颜色 6 2 4 2 5" xfId="15540" xr:uid="{00000000-0005-0000-0000-0000B33C0000}"/>
    <cellStyle name="20% - 强调文字颜色 6 2 4 2 5 2" xfId="15541" xr:uid="{00000000-0005-0000-0000-0000B43C0000}"/>
    <cellStyle name="20% - 强调文字颜色 6 2 4 2 6" xfId="15542" xr:uid="{00000000-0005-0000-0000-0000B53C0000}"/>
    <cellStyle name="20% - 强调文字颜色 6 2 4 3" xfId="15543" xr:uid="{00000000-0005-0000-0000-0000B63C0000}"/>
    <cellStyle name="20% - 强调文字颜色 6 2 4 3 2" xfId="15544" xr:uid="{00000000-0005-0000-0000-0000B73C0000}"/>
    <cellStyle name="20% - 强调文字颜色 6 2 4 3 2 2" xfId="15545" xr:uid="{00000000-0005-0000-0000-0000B83C0000}"/>
    <cellStyle name="20% - 强调文字颜色 6 2 4 3 2 2 2" xfId="15546" xr:uid="{00000000-0005-0000-0000-0000B93C0000}"/>
    <cellStyle name="20% - 强调文字颜色 6 2 4 3 3" xfId="15547" xr:uid="{00000000-0005-0000-0000-0000BA3C0000}"/>
    <cellStyle name="20% - 强调文字颜色 6 2 4 3 3 2" xfId="15548" xr:uid="{00000000-0005-0000-0000-0000BB3C0000}"/>
    <cellStyle name="20% - 强调文字颜色 6 2 4 3 4" xfId="15549" xr:uid="{00000000-0005-0000-0000-0000BC3C0000}"/>
    <cellStyle name="20% - 强调文字颜色 6 2 4 3 4 2" xfId="15550" xr:uid="{00000000-0005-0000-0000-0000BD3C0000}"/>
    <cellStyle name="20% - 强调文字颜色 6 2 4 3 5" xfId="15551" xr:uid="{00000000-0005-0000-0000-0000BE3C0000}"/>
    <cellStyle name="20% - 强调文字颜色 6 2 4 4" xfId="15552" xr:uid="{00000000-0005-0000-0000-0000BF3C0000}"/>
    <cellStyle name="20% - 强调文字颜色 6 2 4 5" xfId="15553" xr:uid="{00000000-0005-0000-0000-0000C03C0000}"/>
    <cellStyle name="20% - 强调文字颜色 6 2 4 6" xfId="15554" xr:uid="{00000000-0005-0000-0000-0000C13C0000}"/>
    <cellStyle name="20% - 强调文字颜色 6 2 4 6 2" xfId="15555" xr:uid="{00000000-0005-0000-0000-0000C23C0000}"/>
    <cellStyle name="20% - 强调文字颜色 6 2 4 7" xfId="15556" xr:uid="{00000000-0005-0000-0000-0000C33C0000}"/>
    <cellStyle name="20% - 强调文字颜色 6 2 4 7 2" xfId="15557" xr:uid="{00000000-0005-0000-0000-0000C43C0000}"/>
    <cellStyle name="20% - 强调文字颜色 6 2 5" xfId="15558" xr:uid="{00000000-0005-0000-0000-0000C53C0000}"/>
    <cellStyle name="20% - 强调文字颜色 6 2 5 2" xfId="15559" xr:uid="{00000000-0005-0000-0000-0000C63C0000}"/>
    <cellStyle name="20% - 强调文字颜色 6 2 5 2 2" xfId="15560" xr:uid="{00000000-0005-0000-0000-0000C73C0000}"/>
    <cellStyle name="20% - 强调文字颜色 6 2 5 2 3" xfId="15561" xr:uid="{00000000-0005-0000-0000-0000C83C0000}"/>
    <cellStyle name="20% - 强调文字颜色 6 2 5 2 3 2" xfId="15562" xr:uid="{00000000-0005-0000-0000-0000C93C0000}"/>
    <cellStyle name="20% - 强调文字颜色 6 2 5 2 3 2 2" xfId="15563" xr:uid="{00000000-0005-0000-0000-0000CA3C0000}"/>
    <cellStyle name="20% - 强调文字颜色 6 2 5 2 4" xfId="15564" xr:uid="{00000000-0005-0000-0000-0000CB3C0000}"/>
    <cellStyle name="20% - 强调文字颜色 6 2 5 2 4 2" xfId="15565" xr:uid="{00000000-0005-0000-0000-0000CC3C0000}"/>
    <cellStyle name="20% - 强调文字颜色 6 2 5 2 5" xfId="15566" xr:uid="{00000000-0005-0000-0000-0000CD3C0000}"/>
    <cellStyle name="20% - 强调文字颜色 6 2 5 2 5 2" xfId="15567" xr:uid="{00000000-0005-0000-0000-0000CE3C0000}"/>
    <cellStyle name="20% - 强调文字颜色 6 2 5 2 6" xfId="15568" xr:uid="{00000000-0005-0000-0000-0000CF3C0000}"/>
    <cellStyle name="20% - 强调文字颜色 6 2 5 3" xfId="15569" xr:uid="{00000000-0005-0000-0000-0000D03C0000}"/>
    <cellStyle name="20% - 强调文字颜色 6 2 5 4" xfId="15570" xr:uid="{00000000-0005-0000-0000-0000D13C0000}"/>
    <cellStyle name="20% - 强调文字颜色 6 2 5 5" xfId="15571" xr:uid="{00000000-0005-0000-0000-0000D23C0000}"/>
    <cellStyle name="20% - 强调文字颜色 6 2 5 6" xfId="15572" xr:uid="{00000000-0005-0000-0000-0000D33C0000}"/>
    <cellStyle name="20% - 强调文字颜色 6 2 5 6 2" xfId="15573" xr:uid="{00000000-0005-0000-0000-0000D43C0000}"/>
    <cellStyle name="20% - 强调文字颜色 6 2 5 7" xfId="15574" xr:uid="{00000000-0005-0000-0000-0000D53C0000}"/>
    <cellStyle name="20% - 强调文字颜色 6 2 5 7 2" xfId="15575" xr:uid="{00000000-0005-0000-0000-0000D63C0000}"/>
    <cellStyle name="20% - 强调文字颜色 6 2 6" xfId="15576" xr:uid="{00000000-0005-0000-0000-0000D73C0000}"/>
    <cellStyle name="20% - 强调文字颜色 6 2 6 2" xfId="15577" xr:uid="{00000000-0005-0000-0000-0000D83C0000}"/>
    <cellStyle name="20% - 强调文字颜色 6 2 6 2 2" xfId="15578" xr:uid="{00000000-0005-0000-0000-0000D93C0000}"/>
    <cellStyle name="20% - 强调文字颜色 6 2 6 2 2 2" xfId="15579" xr:uid="{00000000-0005-0000-0000-0000DA3C0000}"/>
    <cellStyle name="20% - 强调文字颜色 6 2 6 2 2 2 2" xfId="15580" xr:uid="{00000000-0005-0000-0000-0000DB3C0000}"/>
    <cellStyle name="20% - 强调文字颜色 6 2 6 2 3" xfId="15581" xr:uid="{00000000-0005-0000-0000-0000DC3C0000}"/>
    <cellStyle name="20% - 强调文字颜色 6 2 6 2 3 2" xfId="15582" xr:uid="{00000000-0005-0000-0000-0000DD3C0000}"/>
    <cellStyle name="20% - 强调文字颜色 6 2 6 2 4" xfId="15583" xr:uid="{00000000-0005-0000-0000-0000DE3C0000}"/>
    <cellStyle name="20% - 强调文字颜色 6 2 6 2 4 2" xfId="15584" xr:uid="{00000000-0005-0000-0000-0000DF3C0000}"/>
    <cellStyle name="20% - 强调文字颜色 6 2 6 2 5" xfId="15585" xr:uid="{00000000-0005-0000-0000-0000E03C0000}"/>
    <cellStyle name="20% - 强调文字颜色 6 2 6 3" xfId="15586" xr:uid="{00000000-0005-0000-0000-0000E13C0000}"/>
    <cellStyle name="20% - 强调文字颜色 6 2 6 3 2" xfId="15587" xr:uid="{00000000-0005-0000-0000-0000E23C0000}"/>
    <cellStyle name="20% - 强调文字颜色 6 2 6 3 2 2" xfId="15588" xr:uid="{00000000-0005-0000-0000-0000E33C0000}"/>
    <cellStyle name="20% - 强调文字颜色 6 2 6 4" xfId="15589" xr:uid="{00000000-0005-0000-0000-0000E43C0000}"/>
    <cellStyle name="20% - 强调文字颜色 6 2 6 4 2" xfId="15590" xr:uid="{00000000-0005-0000-0000-0000E53C0000}"/>
    <cellStyle name="20% - 强调文字颜色 6 2 6 5" xfId="15591" xr:uid="{00000000-0005-0000-0000-0000E63C0000}"/>
    <cellStyle name="20% - 强调文字颜色 6 2 6 5 2" xfId="15592" xr:uid="{00000000-0005-0000-0000-0000E73C0000}"/>
    <cellStyle name="20% - 强调文字颜色 6 2 6 6" xfId="15593" xr:uid="{00000000-0005-0000-0000-0000E83C0000}"/>
    <cellStyle name="20% - 强调文字颜色 6 2 7" xfId="15594" xr:uid="{00000000-0005-0000-0000-0000E93C0000}"/>
    <cellStyle name="20% - 强调文字颜色 6 2 7 2" xfId="15595" xr:uid="{00000000-0005-0000-0000-0000EA3C0000}"/>
    <cellStyle name="20% - 强调文字颜色 6 2 7 2 2" xfId="15596" xr:uid="{00000000-0005-0000-0000-0000EB3C0000}"/>
    <cellStyle name="20% - 强调文字颜色 6 2 7 2 2 2" xfId="15597" xr:uid="{00000000-0005-0000-0000-0000EC3C0000}"/>
    <cellStyle name="20% - 强调文字颜色 6 2 7 2 2 2 2" xfId="15598" xr:uid="{00000000-0005-0000-0000-0000ED3C0000}"/>
    <cellStyle name="20% - 强调文字颜色 6 2 7 2 3" xfId="15599" xr:uid="{00000000-0005-0000-0000-0000EE3C0000}"/>
    <cellStyle name="20% - 强调文字颜色 6 2 7 2 3 2" xfId="15600" xr:uid="{00000000-0005-0000-0000-0000EF3C0000}"/>
    <cellStyle name="20% - 强调文字颜色 6 2 7 2 4" xfId="15601" xr:uid="{00000000-0005-0000-0000-0000F03C0000}"/>
    <cellStyle name="20% - 强调文字颜色 6 2 7 2 4 2" xfId="15602" xr:uid="{00000000-0005-0000-0000-0000F13C0000}"/>
    <cellStyle name="20% - 强调文字颜色 6 2 7 2 5" xfId="15603" xr:uid="{00000000-0005-0000-0000-0000F23C0000}"/>
    <cellStyle name="20% - 强调文字颜色 6 2 7 3" xfId="15604" xr:uid="{00000000-0005-0000-0000-0000F33C0000}"/>
    <cellStyle name="20% - 强调文字颜色 6 2 7 3 2" xfId="15605" xr:uid="{00000000-0005-0000-0000-0000F43C0000}"/>
    <cellStyle name="20% - 强调文字颜色 6 2 7 3 2 2" xfId="15606" xr:uid="{00000000-0005-0000-0000-0000F53C0000}"/>
    <cellStyle name="20% - 强调文字颜色 6 2 7 4" xfId="15607" xr:uid="{00000000-0005-0000-0000-0000F63C0000}"/>
    <cellStyle name="20% - 强调文字颜色 6 2 7 4 2" xfId="15608" xr:uid="{00000000-0005-0000-0000-0000F73C0000}"/>
    <cellStyle name="20% - 强调文字颜色 6 2 7 5" xfId="15609" xr:uid="{00000000-0005-0000-0000-0000F83C0000}"/>
    <cellStyle name="20% - 强调文字颜色 6 2 7 5 2" xfId="15610" xr:uid="{00000000-0005-0000-0000-0000F93C0000}"/>
    <cellStyle name="20% - 强调文字颜色 6 2 7 6" xfId="15611" xr:uid="{00000000-0005-0000-0000-0000FA3C0000}"/>
    <cellStyle name="20% - 强调文字颜色 6 2 8" xfId="15612" xr:uid="{00000000-0005-0000-0000-0000FB3C0000}"/>
    <cellStyle name="20% - 强调文字颜色 6 2 8 2" xfId="15613" xr:uid="{00000000-0005-0000-0000-0000FC3C0000}"/>
    <cellStyle name="20% - 强调文字颜色 6 2 8 2 2" xfId="15614" xr:uid="{00000000-0005-0000-0000-0000FD3C0000}"/>
    <cellStyle name="20% - 强调文字颜色 6 2 8 2 2 2" xfId="15615" xr:uid="{00000000-0005-0000-0000-0000FE3C0000}"/>
    <cellStyle name="20% - 强调文字颜色 6 2 8 2 2 2 2" xfId="15616" xr:uid="{00000000-0005-0000-0000-0000FF3C0000}"/>
    <cellStyle name="20% - 强调文字颜色 6 2 8 2 3" xfId="15617" xr:uid="{00000000-0005-0000-0000-0000003D0000}"/>
    <cellStyle name="20% - 强调文字颜色 6 2 8 2 3 2" xfId="15618" xr:uid="{00000000-0005-0000-0000-0000013D0000}"/>
    <cellStyle name="20% - 强调文字颜色 6 2 8 2 4" xfId="15619" xr:uid="{00000000-0005-0000-0000-0000023D0000}"/>
    <cellStyle name="20% - 强调文字颜色 6 2 8 2 4 2" xfId="15620" xr:uid="{00000000-0005-0000-0000-0000033D0000}"/>
    <cellStyle name="20% - 强调文字颜色 6 2 8 2 5" xfId="15621" xr:uid="{00000000-0005-0000-0000-0000043D0000}"/>
    <cellStyle name="20% - 强调文字颜色 6 2 8 3" xfId="15622" xr:uid="{00000000-0005-0000-0000-0000053D0000}"/>
    <cellStyle name="20% - 强调文字颜色 6 2 8 3 2" xfId="15623" xr:uid="{00000000-0005-0000-0000-0000063D0000}"/>
    <cellStyle name="20% - 强调文字颜色 6 2 8 3 2 2" xfId="15624" xr:uid="{00000000-0005-0000-0000-0000073D0000}"/>
    <cellStyle name="20% - 强调文字颜色 6 2 8 4" xfId="15625" xr:uid="{00000000-0005-0000-0000-0000083D0000}"/>
    <cellStyle name="20% - 强调文字颜色 6 2 8 4 2" xfId="15626" xr:uid="{00000000-0005-0000-0000-0000093D0000}"/>
    <cellStyle name="20% - 强调文字颜色 6 2 8 5" xfId="15627" xr:uid="{00000000-0005-0000-0000-00000A3D0000}"/>
    <cellStyle name="20% - 强调文字颜色 6 2 8 5 2" xfId="15628" xr:uid="{00000000-0005-0000-0000-00000B3D0000}"/>
    <cellStyle name="20% - 强调文字颜色 6 2 8 6" xfId="15629" xr:uid="{00000000-0005-0000-0000-00000C3D0000}"/>
    <cellStyle name="20% - 强调文字颜色 6 2 9" xfId="15630" xr:uid="{00000000-0005-0000-0000-00000D3D0000}"/>
    <cellStyle name="20% - 强调文字颜色 6 2 9 2" xfId="15631" xr:uid="{00000000-0005-0000-0000-00000E3D0000}"/>
    <cellStyle name="20% - 强调文字颜色 6 2 9 2 2" xfId="15632" xr:uid="{00000000-0005-0000-0000-00000F3D0000}"/>
    <cellStyle name="20% - 强调文字颜色 6 2 9 2 2 2" xfId="15633" xr:uid="{00000000-0005-0000-0000-0000103D0000}"/>
    <cellStyle name="20% - 强调文字颜色 6 2 9 3" xfId="15634" xr:uid="{00000000-0005-0000-0000-0000113D0000}"/>
    <cellStyle name="20% - 强调文字颜色 6 2 9 3 2" xfId="15635" xr:uid="{00000000-0005-0000-0000-0000123D0000}"/>
    <cellStyle name="20% - 强调文字颜色 6 2 9 4" xfId="15636" xr:uid="{00000000-0005-0000-0000-0000133D0000}"/>
    <cellStyle name="20% - 强调文字颜色 6 2 9 4 2" xfId="15637" xr:uid="{00000000-0005-0000-0000-0000143D0000}"/>
    <cellStyle name="20% - 强调文字颜色 6 2 9 5" xfId="15638" xr:uid="{00000000-0005-0000-0000-0000153D0000}"/>
    <cellStyle name="20% - 强调文字颜色 6 3" xfId="15639" xr:uid="{00000000-0005-0000-0000-0000163D0000}"/>
    <cellStyle name="20% - 强调文字颜色 6 3 2" xfId="15640" xr:uid="{00000000-0005-0000-0000-0000173D0000}"/>
    <cellStyle name="20% - 强调文字颜色 6 3 2 2" xfId="15641" xr:uid="{00000000-0005-0000-0000-0000183D0000}"/>
    <cellStyle name="20% - 强调文字颜色 6 3 2 2 2" xfId="15642" xr:uid="{00000000-0005-0000-0000-0000193D0000}"/>
    <cellStyle name="20% - 强调文字颜色 6 3 2 2 2 2" xfId="15643" xr:uid="{00000000-0005-0000-0000-00001A3D0000}"/>
    <cellStyle name="20% - 强调文字颜色 6 3 2 2 2 3" xfId="15644" xr:uid="{00000000-0005-0000-0000-00001B3D0000}"/>
    <cellStyle name="20% - 强调文字颜色 6 3 2 2 2 3 2" xfId="15645" xr:uid="{00000000-0005-0000-0000-00001C3D0000}"/>
    <cellStyle name="20% - 强调文字颜色 6 3 2 2 2 3 2 2" xfId="15646" xr:uid="{00000000-0005-0000-0000-00001D3D0000}"/>
    <cellStyle name="20% - 强调文字颜色 6 3 2 2 2 4" xfId="15647" xr:uid="{00000000-0005-0000-0000-00001E3D0000}"/>
    <cellStyle name="20% - 强调文字颜色 6 3 2 2 2 4 2" xfId="15648" xr:uid="{00000000-0005-0000-0000-00001F3D0000}"/>
    <cellStyle name="20% - 强调文字颜色 6 3 2 2 2 5" xfId="15649" xr:uid="{00000000-0005-0000-0000-0000203D0000}"/>
    <cellStyle name="20% - 强调文字颜色 6 3 2 2 2 5 2" xfId="15650" xr:uid="{00000000-0005-0000-0000-0000213D0000}"/>
    <cellStyle name="20% - 强调文字颜色 6 3 2 2 2 6" xfId="15651" xr:uid="{00000000-0005-0000-0000-0000223D0000}"/>
    <cellStyle name="20% - 强调文字颜色 6 3 2 2 3" xfId="15652" xr:uid="{00000000-0005-0000-0000-0000233D0000}"/>
    <cellStyle name="20% - 强调文字颜色 6 3 2 2 3 2" xfId="15653" xr:uid="{00000000-0005-0000-0000-0000243D0000}"/>
    <cellStyle name="20% - 强调文字颜色 6 3 2 2 3 2 2" xfId="15654" xr:uid="{00000000-0005-0000-0000-0000253D0000}"/>
    <cellStyle name="20% - 强调文字颜色 6 3 2 2 3 2 2 2" xfId="15655" xr:uid="{00000000-0005-0000-0000-0000263D0000}"/>
    <cellStyle name="20% - 强调文字颜色 6 3 2 2 3 3" xfId="15656" xr:uid="{00000000-0005-0000-0000-0000273D0000}"/>
    <cellStyle name="20% - 强调文字颜色 6 3 2 2 3 3 2" xfId="15657" xr:uid="{00000000-0005-0000-0000-0000283D0000}"/>
    <cellStyle name="20% - 强调文字颜色 6 3 2 2 3 4" xfId="15658" xr:uid="{00000000-0005-0000-0000-0000293D0000}"/>
    <cellStyle name="20% - 强调文字颜色 6 3 2 2 3 4 2" xfId="15659" xr:uid="{00000000-0005-0000-0000-00002A3D0000}"/>
    <cellStyle name="20% - 强调文字颜色 6 3 2 2 3 5" xfId="15660" xr:uid="{00000000-0005-0000-0000-00002B3D0000}"/>
    <cellStyle name="20% - 强调文字颜色 6 3 2 2 4" xfId="15661" xr:uid="{00000000-0005-0000-0000-00002C3D0000}"/>
    <cellStyle name="20% - 强调文字颜色 6 3 2 2 5" xfId="15662" xr:uid="{00000000-0005-0000-0000-00002D3D0000}"/>
    <cellStyle name="20% - 强调文字颜色 6 3 2 2 6" xfId="15663" xr:uid="{00000000-0005-0000-0000-00002E3D0000}"/>
    <cellStyle name="20% - 强调文字颜色 6 3 2 2 6 2" xfId="15664" xr:uid="{00000000-0005-0000-0000-00002F3D0000}"/>
    <cellStyle name="20% - 强调文字颜色 6 3 2 2 7" xfId="15665" xr:uid="{00000000-0005-0000-0000-0000303D0000}"/>
    <cellStyle name="20% - 强调文字颜色 6 3 2 2 7 2" xfId="15666" xr:uid="{00000000-0005-0000-0000-0000313D0000}"/>
    <cellStyle name="20% - 强调文字颜色 6 3 2 3" xfId="15667" xr:uid="{00000000-0005-0000-0000-0000323D0000}"/>
    <cellStyle name="20% - 强调文字颜色 6 3 2 3 2" xfId="15668" xr:uid="{00000000-0005-0000-0000-0000333D0000}"/>
    <cellStyle name="20% - 强调文字颜色 6 3 2 3 3" xfId="15669" xr:uid="{00000000-0005-0000-0000-0000343D0000}"/>
    <cellStyle name="20% - 强调文字颜色 6 3 2 3 3 2" xfId="15670" xr:uid="{00000000-0005-0000-0000-0000353D0000}"/>
    <cellStyle name="20% - 强调文字颜色 6 3 2 3 3 2 2" xfId="15671" xr:uid="{00000000-0005-0000-0000-0000363D0000}"/>
    <cellStyle name="20% - 强调文字颜色 6 3 2 3 4" xfId="15672" xr:uid="{00000000-0005-0000-0000-0000373D0000}"/>
    <cellStyle name="20% - 强调文字颜色 6 3 2 3 4 2" xfId="15673" xr:uid="{00000000-0005-0000-0000-0000383D0000}"/>
    <cellStyle name="20% - 强调文字颜色 6 3 2 3 5" xfId="15674" xr:uid="{00000000-0005-0000-0000-0000393D0000}"/>
    <cellStyle name="20% - 强调文字颜色 6 3 2 3 5 2" xfId="15675" xr:uid="{00000000-0005-0000-0000-00003A3D0000}"/>
    <cellStyle name="20% - 强调文字颜色 6 3 2 3 6" xfId="15676" xr:uid="{00000000-0005-0000-0000-00003B3D0000}"/>
    <cellStyle name="20% - 强调文字颜色 6 3 2 4" xfId="15677" xr:uid="{00000000-0005-0000-0000-00003C3D0000}"/>
    <cellStyle name="20% - 强调文字颜色 6 3 2 4 2" xfId="15678" xr:uid="{00000000-0005-0000-0000-00003D3D0000}"/>
    <cellStyle name="20% - 强调文字颜色 6 3 2 4 2 2" xfId="15679" xr:uid="{00000000-0005-0000-0000-00003E3D0000}"/>
    <cellStyle name="20% - 强调文字颜色 6 3 2 4 2 2 2" xfId="15680" xr:uid="{00000000-0005-0000-0000-00003F3D0000}"/>
    <cellStyle name="20% - 强调文字颜色 6 3 2 4 3" xfId="15681" xr:uid="{00000000-0005-0000-0000-0000403D0000}"/>
    <cellStyle name="20% - 强调文字颜色 6 3 2 4 3 2" xfId="15682" xr:uid="{00000000-0005-0000-0000-0000413D0000}"/>
    <cellStyle name="20% - 强调文字颜色 6 3 2 4 4" xfId="15683" xr:uid="{00000000-0005-0000-0000-0000423D0000}"/>
    <cellStyle name="20% - 强调文字颜色 6 3 2 4 4 2" xfId="15684" xr:uid="{00000000-0005-0000-0000-0000433D0000}"/>
    <cellStyle name="20% - 强调文字颜色 6 3 2 4 5" xfId="15685" xr:uid="{00000000-0005-0000-0000-0000443D0000}"/>
    <cellStyle name="20% - 强调文字颜色 6 3 2 5" xfId="15686" xr:uid="{00000000-0005-0000-0000-0000453D0000}"/>
    <cellStyle name="20% - 强调文字颜色 6 3 2 6" xfId="15687" xr:uid="{00000000-0005-0000-0000-0000463D0000}"/>
    <cellStyle name="20% - 强调文字颜色 6 3 2 7" xfId="15688" xr:uid="{00000000-0005-0000-0000-0000473D0000}"/>
    <cellStyle name="20% - 强调文字颜色 6 3 2 7 2" xfId="15689" xr:uid="{00000000-0005-0000-0000-0000483D0000}"/>
    <cellStyle name="20% - 强调文字颜色 6 3 2 8" xfId="15690" xr:uid="{00000000-0005-0000-0000-0000493D0000}"/>
    <cellStyle name="20% - 强调文字颜色 6 3 2 8 2" xfId="15691" xr:uid="{00000000-0005-0000-0000-00004A3D0000}"/>
    <cellStyle name="20% - 强调文字颜色 6 3 3" xfId="15692" xr:uid="{00000000-0005-0000-0000-00004B3D0000}"/>
    <cellStyle name="20% - 强调文字颜色 6 3 3 2" xfId="15693" xr:uid="{00000000-0005-0000-0000-00004C3D0000}"/>
    <cellStyle name="20% - 强调文字颜色 6 3 3 2 2" xfId="15694" xr:uid="{00000000-0005-0000-0000-00004D3D0000}"/>
    <cellStyle name="20% - 强调文字颜色 6 3 3 2 3" xfId="15695" xr:uid="{00000000-0005-0000-0000-00004E3D0000}"/>
    <cellStyle name="20% - 强调文字颜色 6 3 3 2 3 2" xfId="15696" xr:uid="{00000000-0005-0000-0000-00004F3D0000}"/>
    <cellStyle name="20% - 强调文字颜色 6 3 3 2 3 2 2" xfId="15697" xr:uid="{00000000-0005-0000-0000-0000503D0000}"/>
    <cellStyle name="20% - 强调文字颜色 6 3 3 2 4" xfId="15698" xr:uid="{00000000-0005-0000-0000-0000513D0000}"/>
    <cellStyle name="20% - 强调文字颜色 6 3 3 2 4 2" xfId="15699" xr:uid="{00000000-0005-0000-0000-0000523D0000}"/>
    <cellStyle name="20% - 强调文字颜色 6 3 3 2 5" xfId="15700" xr:uid="{00000000-0005-0000-0000-0000533D0000}"/>
    <cellStyle name="20% - 强调文字颜色 6 3 3 2 5 2" xfId="15701" xr:uid="{00000000-0005-0000-0000-0000543D0000}"/>
    <cellStyle name="20% - 强调文字颜色 6 3 3 2 6" xfId="15702" xr:uid="{00000000-0005-0000-0000-0000553D0000}"/>
    <cellStyle name="20% - 强调文字颜色 6 3 3 3" xfId="15703" xr:uid="{00000000-0005-0000-0000-0000563D0000}"/>
    <cellStyle name="20% - 强调文字颜色 6 3 3 3 2" xfId="15704" xr:uid="{00000000-0005-0000-0000-0000573D0000}"/>
    <cellStyle name="20% - 强调文字颜色 6 3 3 3 2 2" xfId="15705" xr:uid="{00000000-0005-0000-0000-0000583D0000}"/>
    <cellStyle name="20% - 强调文字颜色 6 3 3 3 2 2 2" xfId="15706" xr:uid="{00000000-0005-0000-0000-0000593D0000}"/>
    <cellStyle name="20% - 强调文字颜色 6 3 3 3 3" xfId="15707" xr:uid="{00000000-0005-0000-0000-00005A3D0000}"/>
    <cellStyle name="20% - 强调文字颜色 6 3 3 3 3 2" xfId="15708" xr:uid="{00000000-0005-0000-0000-00005B3D0000}"/>
    <cellStyle name="20% - 强调文字颜色 6 3 3 3 4" xfId="15709" xr:uid="{00000000-0005-0000-0000-00005C3D0000}"/>
    <cellStyle name="20% - 强调文字颜色 6 3 3 3 4 2" xfId="15710" xr:uid="{00000000-0005-0000-0000-00005D3D0000}"/>
    <cellStyle name="20% - 强调文字颜色 6 3 3 3 5" xfId="15711" xr:uid="{00000000-0005-0000-0000-00005E3D0000}"/>
    <cellStyle name="20% - 强调文字颜色 6 3 3 4" xfId="15712" xr:uid="{00000000-0005-0000-0000-00005F3D0000}"/>
    <cellStyle name="20% - 强调文字颜色 6 3 3 5" xfId="15713" xr:uid="{00000000-0005-0000-0000-0000603D0000}"/>
    <cellStyle name="20% - 强调文字颜色 6 3 3 6" xfId="15714" xr:uid="{00000000-0005-0000-0000-0000613D0000}"/>
    <cellStyle name="20% - 强调文字颜色 6 3 3 6 2" xfId="15715" xr:uid="{00000000-0005-0000-0000-0000623D0000}"/>
    <cellStyle name="20% - 强调文字颜色 6 3 3 7" xfId="15716" xr:uid="{00000000-0005-0000-0000-0000633D0000}"/>
    <cellStyle name="20% - 强调文字颜色 6 3 3 7 2" xfId="15717" xr:uid="{00000000-0005-0000-0000-0000643D0000}"/>
    <cellStyle name="20% - 强调文字颜色 6 3 4" xfId="15718" xr:uid="{00000000-0005-0000-0000-0000653D0000}"/>
    <cellStyle name="20% - 强调文字颜色 6 3 4 2" xfId="15719" xr:uid="{00000000-0005-0000-0000-0000663D0000}"/>
    <cellStyle name="20% - 强调文字颜色 6 3 4 2 2" xfId="15720" xr:uid="{00000000-0005-0000-0000-0000673D0000}"/>
    <cellStyle name="20% - 强调文字颜色 6 3 4 2 3" xfId="15721" xr:uid="{00000000-0005-0000-0000-0000683D0000}"/>
    <cellStyle name="20% - 强调文字颜色 6 3 4 2 3 2" xfId="15722" xr:uid="{00000000-0005-0000-0000-0000693D0000}"/>
    <cellStyle name="20% - 强调文字颜色 6 3 4 2 3 2 2" xfId="15723" xr:uid="{00000000-0005-0000-0000-00006A3D0000}"/>
    <cellStyle name="20% - 强调文字颜色 6 3 4 2 4" xfId="15724" xr:uid="{00000000-0005-0000-0000-00006B3D0000}"/>
    <cellStyle name="20% - 强调文字颜色 6 3 4 2 4 2" xfId="15725" xr:uid="{00000000-0005-0000-0000-00006C3D0000}"/>
    <cellStyle name="20% - 强调文字颜色 6 3 4 2 5" xfId="15726" xr:uid="{00000000-0005-0000-0000-00006D3D0000}"/>
    <cellStyle name="20% - 强调文字颜色 6 3 4 2 5 2" xfId="15727" xr:uid="{00000000-0005-0000-0000-00006E3D0000}"/>
    <cellStyle name="20% - 强调文字颜色 6 3 4 2 6" xfId="15728" xr:uid="{00000000-0005-0000-0000-00006F3D0000}"/>
    <cellStyle name="20% - 强调文字颜色 6 3 4 3" xfId="15729" xr:uid="{00000000-0005-0000-0000-0000703D0000}"/>
    <cellStyle name="20% - 强调文字颜色 6 3 4 4" xfId="15730" xr:uid="{00000000-0005-0000-0000-0000713D0000}"/>
    <cellStyle name="20% - 强调文字颜色 6 3 4 5" xfId="15731" xr:uid="{00000000-0005-0000-0000-0000723D0000}"/>
    <cellStyle name="20% - 强调文字颜色 6 3 4 6" xfId="15732" xr:uid="{00000000-0005-0000-0000-0000733D0000}"/>
    <cellStyle name="20% - 强调文字颜色 6 3 4 6 2" xfId="15733" xr:uid="{00000000-0005-0000-0000-0000743D0000}"/>
    <cellStyle name="20% - 强调文字颜色 6 3 4 7" xfId="15734" xr:uid="{00000000-0005-0000-0000-0000753D0000}"/>
    <cellStyle name="20% - 强调文字颜色 6 3 4 7 2" xfId="15735" xr:uid="{00000000-0005-0000-0000-0000763D0000}"/>
    <cellStyle name="20% - 强调文字颜色 6 3 5" xfId="15736" xr:uid="{00000000-0005-0000-0000-0000773D0000}"/>
    <cellStyle name="20% - 强调文字颜色 6 3 5 2" xfId="15737" xr:uid="{00000000-0005-0000-0000-0000783D0000}"/>
    <cellStyle name="20% - 强调文字颜色 6 3 5 2 2" xfId="15738" xr:uid="{00000000-0005-0000-0000-0000793D0000}"/>
    <cellStyle name="20% - 强调文字颜色 6 3 5 2 2 2" xfId="15739" xr:uid="{00000000-0005-0000-0000-00007A3D0000}"/>
    <cellStyle name="20% - 强调文字颜色 6 3 5 2 2 2 2" xfId="15740" xr:uid="{00000000-0005-0000-0000-00007B3D0000}"/>
    <cellStyle name="20% - 强调文字颜色 6 3 5 2 3" xfId="15741" xr:uid="{00000000-0005-0000-0000-00007C3D0000}"/>
    <cellStyle name="20% - 强调文字颜色 6 3 5 2 3 2" xfId="15742" xr:uid="{00000000-0005-0000-0000-00007D3D0000}"/>
    <cellStyle name="20% - 强调文字颜色 6 3 5 2 4" xfId="15743" xr:uid="{00000000-0005-0000-0000-00007E3D0000}"/>
    <cellStyle name="20% - 强调文字颜色 6 3 5 2 4 2" xfId="15744" xr:uid="{00000000-0005-0000-0000-00007F3D0000}"/>
    <cellStyle name="20% - 强调文字颜色 6 3 5 2 5" xfId="15745" xr:uid="{00000000-0005-0000-0000-0000803D0000}"/>
    <cellStyle name="20% - 强调文字颜色 6 3 5 3" xfId="15746" xr:uid="{00000000-0005-0000-0000-0000813D0000}"/>
    <cellStyle name="20% - 强调文字颜色 6 3 5 3 2" xfId="15747" xr:uid="{00000000-0005-0000-0000-0000823D0000}"/>
    <cellStyle name="20% - 强调文字颜色 6 3 5 3 2 2" xfId="15748" xr:uid="{00000000-0005-0000-0000-0000833D0000}"/>
    <cellStyle name="20% - 强调文字颜色 6 3 5 4" xfId="15749" xr:uid="{00000000-0005-0000-0000-0000843D0000}"/>
    <cellStyle name="20% - 强调文字颜色 6 3 5 4 2" xfId="15750" xr:uid="{00000000-0005-0000-0000-0000853D0000}"/>
    <cellStyle name="20% - 强调文字颜色 6 3 5 5" xfId="15751" xr:uid="{00000000-0005-0000-0000-0000863D0000}"/>
    <cellStyle name="20% - 强调文字颜色 6 3 5 5 2" xfId="15752" xr:uid="{00000000-0005-0000-0000-0000873D0000}"/>
    <cellStyle name="20% - 强调文字颜色 6 3 5 6" xfId="15753" xr:uid="{00000000-0005-0000-0000-0000883D0000}"/>
    <cellStyle name="20% - 强调文字颜色 6 3 6" xfId="15754" xr:uid="{00000000-0005-0000-0000-0000893D0000}"/>
    <cellStyle name="20% - 强调文字颜色 6 3 6 2" xfId="15755" xr:uid="{00000000-0005-0000-0000-00008A3D0000}"/>
    <cellStyle name="20% - 强调文字颜色 6 3 6 2 2" xfId="15756" xr:uid="{00000000-0005-0000-0000-00008B3D0000}"/>
    <cellStyle name="20% - 强调文字颜色 6 3 6 2 2 2" xfId="15757" xr:uid="{00000000-0005-0000-0000-00008C3D0000}"/>
    <cellStyle name="20% - 强调文字颜色 6 3 6 3" xfId="15758" xr:uid="{00000000-0005-0000-0000-00008D3D0000}"/>
    <cellStyle name="20% - 强调文字颜色 6 3 6 3 2" xfId="15759" xr:uid="{00000000-0005-0000-0000-00008E3D0000}"/>
    <cellStyle name="20% - 强调文字颜色 6 3 6 4" xfId="15760" xr:uid="{00000000-0005-0000-0000-00008F3D0000}"/>
    <cellStyle name="20% - 强调文字颜色 6 3 6 4 2" xfId="15761" xr:uid="{00000000-0005-0000-0000-0000903D0000}"/>
    <cellStyle name="20% - 强调文字颜色 6 3 6 5" xfId="15762" xr:uid="{00000000-0005-0000-0000-0000913D0000}"/>
    <cellStyle name="20% - 强调文字颜色 6 3 7" xfId="15763" xr:uid="{00000000-0005-0000-0000-0000923D0000}"/>
    <cellStyle name="20% - 强调文字颜色 6 3 8" xfId="15764" xr:uid="{00000000-0005-0000-0000-0000933D0000}"/>
    <cellStyle name="20% - 强调文字颜色 6 3 8 2" xfId="15765" xr:uid="{00000000-0005-0000-0000-0000943D0000}"/>
    <cellStyle name="20% - 强调文字颜色 6 3 9" xfId="15766" xr:uid="{00000000-0005-0000-0000-0000953D0000}"/>
    <cellStyle name="20% - 强调文字颜色 6 3 9 2" xfId="15767" xr:uid="{00000000-0005-0000-0000-0000963D0000}"/>
    <cellStyle name="40% - ?????? 1oft\Sh" xfId="15768" xr:uid="{00000000-0005-0000-0000-0000973D0000}"/>
    <cellStyle name="40% - ?????? 1oft\Sh 2" xfId="15769" xr:uid="{00000000-0005-0000-0000-0000983D0000}"/>
    <cellStyle name="40% - ?????? 1oft\Sh 2 2" xfId="15770" xr:uid="{00000000-0005-0000-0000-0000993D0000}"/>
    <cellStyle name="40% - ?????? 1oft\Sh 3" xfId="15771" xr:uid="{00000000-0005-0000-0000-00009A3D0000}"/>
    <cellStyle name="40% - ?????? 1oft\Sh 3 2" xfId="15772" xr:uid="{00000000-0005-0000-0000-00009B3D0000}"/>
    <cellStyle name="40% - ?????? 1oft\Sh 3 3" xfId="15773" xr:uid="{00000000-0005-0000-0000-00009C3D0000}"/>
    <cellStyle name="40% - ?????? 1oft\Sh 4" xfId="15774" xr:uid="{00000000-0005-0000-0000-00009D3D0000}"/>
    <cellStyle name="40% - ?????? 1oft\Sh 4 2" xfId="15775" xr:uid="{00000000-0005-0000-0000-00009E3D0000}"/>
    <cellStyle name="40% - ?????? 2oft\Sh" xfId="15776" xr:uid="{00000000-0005-0000-0000-00009F3D0000}"/>
    <cellStyle name="40% - ?????? 2oft\Sh 2" xfId="15777" xr:uid="{00000000-0005-0000-0000-0000A03D0000}"/>
    <cellStyle name="40% - ?????? 2oft\Sh 2 2" xfId="15778" xr:uid="{00000000-0005-0000-0000-0000A13D0000}"/>
    <cellStyle name="40% - ?????? 2oft\Sh 3" xfId="15779" xr:uid="{00000000-0005-0000-0000-0000A23D0000}"/>
    <cellStyle name="40% - ?????? 2oft\Sh 3 2" xfId="15780" xr:uid="{00000000-0005-0000-0000-0000A33D0000}"/>
    <cellStyle name="40% - ?????? 2oft\Sh 3 3" xfId="15781" xr:uid="{00000000-0005-0000-0000-0000A43D0000}"/>
    <cellStyle name="40% - ?????? 2oft\Sh 4" xfId="15782" xr:uid="{00000000-0005-0000-0000-0000A53D0000}"/>
    <cellStyle name="40% - ?????? 2oft\Sh 4 2" xfId="15783" xr:uid="{00000000-0005-0000-0000-0000A63D0000}"/>
    <cellStyle name="40% - ?????? 3oft\Sh" xfId="15784" xr:uid="{00000000-0005-0000-0000-0000A73D0000}"/>
    <cellStyle name="40% - ?????? 3oft\Sh 2" xfId="15785" xr:uid="{00000000-0005-0000-0000-0000A83D0000}"/>
    <cellStyle name="40% - ?????? 3oft\Sh 2 2" xfId="15786" xr:uid="{00000000-0005-0000-0000-0000A93D0000}"/>
    <cellStyle name="40% - ?????? 3oft\Sh 3" xfId="15787" xr:uid="{00000000-0005-0000-0000-0000AA3D0000}"/>
    <cellStyle name="40% - ?????? 3oft\Sh 3 2" xfId="15788" xr:uid="{00000000-0005-0000-0000-0000AB3D0000}"/>
    <cellStyle name="40% - ?????? 3oft\Sh 3 3" xfId="15789" xr:uid="{00000000-0005-0000-0000-0000AC3D0000}"/>
    <cellStyle name="40% - ?????? 3oft\Sh 4" xfId="15790" xr:uid="{00000000-0005-0000-0000-0000AD3D0000}"/>
    <cellStyle name="40% - ?????? 3oft\Sh 4 2" xfId="15791" xr:uid="{00000000-0005-0000-0000-0000AE3D0000}"/>
    <cellStyle name="40% - ?????? 4oft\Sh" xfId="15792" xr:uid="{00000000-0005-0000-0000-0000AF3D0000}"/>
    <cellStyle name="40% - ?????? 4oft\Sh 2" xfId="15793" xr:uid="{00000000-0005-0000-0000-0000B03D0000}"/>
    <cellStyle name="40% - ?????? 4oft\Sh 2 2" xfId="15794" xr:uid="{00000000-0005-0000-0000-0000B13D0000}"/>
    <cellStyle name="40% - ?????? 4oft\Sh 3" xfId="15795" xr:uid="{00000000-0005-0000-0000-0000B23D0000}"/>
    <cellStyle name="40% - ?????? 4oft\Sh 3 2" xfId="15796" xr:uid="{00000000-0005-0000-0000-0000B33D0000}"/>
    <cellStyle name="40% - ?????? 4oft\Sh 3 3" xfId="15797" xr:uid="{00000000-0005-0000-0000-0000B43D0000}"/>
    <cellStyle name="40% - ?????? 4oft\Sh 4" xfId="15798" xr:uid="{00000000-0005-0000-0000-0000B53D0000}"/>
    <cellStyle name="40% - ?????? 4oft\Sh 4 2" xfId="15799" xr:uid="{00000000-0005-0000-0000-0000B63D0000}"/>
    <cellStyle name="40% - ?????? 5oft\Sh" xfId="15800" xr:uid="{00000000-0005-0000-0000-0000B73D0000}"/>
    <cellStyle name="40% - ?????? 5oft\Sh 2" xfId="15801" xr:uid="{00000000-0005-0000-0000-0000B83D0000}"/>
    <cellStyle name="40% - ?????? 5oft\Sh 2 2" xfId="15802" xr:uid="{00000000-0005-0000-0000-0000B93D0000}"/>
    <cellStyle name="40% - ?????? 5oft\Sh 3" xfId="15803" xr:uid="{00000000-0005-0000-0000-0000BA3D0000}"/>
    <cellStyle name="40% - ?????? 5oft\Sh 3 2" xfId="15804" xr:uid="{00000000-0005-0000-0000-0000BB3D0000}"/>
    <cellStyle name="40% - ?????? 5oft\Sh 3 3" xfId="15805" xr:uid="{00000000-0005-0000-0000-0000BC3D0000}"/>
    <cellStyle name="40% - ?????? 5oft\Sh 4" xfId="15806" xr:uid="{00000000-0005-0000-0000-0000BD3D0000}"/>
    <cellStyle name="40% - ?????? 5oft\Sh 4 2" xfId="15807" xr:uid="{00000000-0005-0000-0000-0000BE3D0000}"/>
    <cellStyle name="40% - ?????? 6oft\Sh" xfId="15808" xr:uid="{00000000-0005-0000-0000-0000BF3D0000}"/>
    <cellStyle name="40% - ?????? 6oft\Sh 2" xfId="15809" xr:uid="{00000000-0005-0000-0000-0000C03D0000}"/>
    <cellStyle name="40% - ?????? 6oft\Sh 2 2" xfId="15810" xr:uid="{00000000-0005-0000-0000-0000C13D0000}"/>
    <cellStyle name="40% - ?????? 6oft\Sh 3" xfId="15811" xr:uid="{00000000-0005-0000-0000-0000C23D0000}"/>
    <cellStyle name="40% - ?????? 6oft\Sh 3 2" xfId="15812" xr:uid="{00000000-0005-0000-0000-0000C33D0000}"/>
    <cellStyle name="40% - ?????? 6oft\Sh 3 3" xfId="15813" xr:uid="{00000000-0005-0000-0000-0000C43D0000}"/>
    <cellStyle name="40% - ?????? 6oft\Sh 4" xfId="15814" xr:uid="{00000000-0005-0000-0000-0000C53D0000}"/>
    <cellStyle name="40% - ?????? 6oft\Sh 4 2" xfId="15815" xr:uid="{00000000-0005-0000-0000-0000C63D0000}"/>
    <cellStyle name="40% - ???1nt6" xfId="15816" xr:uid="{00000000-0005-0000-0000-0000C73D0000}"/>
    <cellStyle name="40% - ???1nt6 2" xfId="15817" xr:uid="{00000000-0005-0000-0000-0000C83D0000}"/>
    <cellStyle name="40% - ???1nt6 3" xfId="15818" xr:uid="{00000000-0005-0000-0000-0000C93D0000}"/>
    <cellStyle name="40% - ???1nt6 3 2" xfId="15819" xr:uid="{00000000-0005-0000-0000-0000CA3D0000}"/>
    <cellStyle name="40% - ???1nt6 3 3" xfId="15820" xr:uid="{00000000-0005-0000-0000-0000CB3D0000}"/>
    <cellStyle name="40% - ???1nt6 4" xfId="15821" xr:uid="{00000000-0005-0000-0000-0000CC3D0000}"/>
    <cellStyle name="40% - ???2nt6" xfId="15822" xr:uid="{00000000-0005-0000-0000-0000CD3D0000}"/>
    <cellStyle name="40% - ???2nt6 2" xfId="15823" xr:uid="{00000000-0005-0000-0000-0000CE3D0000}"/>
    <cellStyle name="40% - ???2nt6 3" xfId="15824" xr:uid="{00000000-0005-0000-0000-0000CF3D0000}"/>
    <cellStyle name="40% - ???2nt6 3 2" xfId="15825" xr:uid="{00000000-0005-0000-0000-0000D03D0000}"/>
    <cellStyle name="40% - ???2nt6 3 3" xfId="15826" xr:uid="{00000000-0005-0000-0000-0000D13D0000}"/>
    <cellStyle name="40% - ???2nt6 4" xfId="15827" xr:uid="{00000000-0005-0000-0000-0000D23D0000}"/>
    <cellStyle name="40% - ???3nt6" xfId="15828" xr:uid="{00000000-0005-0000-0000-0000D33D0000}"/>
    <cellStyle name="40% - ???3nt6 2" xfId="15829" xr:uid="{00000000-0005-0000-0000-0000D43D0000}"/>
    <cellStyle name="40% - ???3nt6 3" xfId="15830" xr:uid="{00000000-0005-0000-0000-0000D53D0000}"/>
    <cellStyle name="40% - ???3nt6 3 2" xfId="15831" xr:uid="{00000000-0005-0000-0000-0000D63D0000}"/>
    <cellStyle name="40% - ???3nt6 3 3" xfId="15832" xr:uid="{00000000-0005-0000-0000-0000D73D0000}"/>
    <cellStyle name="40% - ???3nt6 4" xfId="15833" xr:uid="{00000000-0005-0000-0000-0000D83D0000}"/>
    <cellStyle name="40% - ???4nt6" xfId="15834" xr:uid="{00000000-0005-0000-0000-0000D93D0000}"/>
    <cellStyle name="40% - ???4nt6 2" xfId="15835" xr:uid="{00000000-0005-0000-0000-0000DA3D0000}"/>
    <cellStyle name="40% - ???4nt6 3" xfId="15836" xr:uid="{00000000-0005-0000-0000-0000DB3D0000}"/>
    <cellStyle name="40% - ???4nt6 3 2" xfId="15837" xr:uid="{00000000-0005-0000-0000-0000DC3D0000}"/>
    <cellStyle name="40% - ???4nt6 3 3" xfId="15838" xr:uid="{00000000-0005-0000-0000-0000DD3D0000}"/>
    <cellStyle name="40% - ???4nt6 4" xfId="15839" xr:uid="{00000000-0005-0000-0000-0000DE3D0000}"/>
    <cellStyle name="40% - ???5nt6" xfId="15840" xr:uid="{00000000-0005-0000-0000-0000DF3D0000}"/>
    <cellStyle name="40% - ???5nt6 2" xfId="15841" xr:uid="{00000000-0005-0000-0000-0000E03D0000}"/>
    <cellStyle name="40% - ???5nt6 3" xfId="15842" xr:uid="{00000000-0005-0000-0000-0000E13D0000}"/>
    <cellStyle name="40% - ???5nt6 3 2" xfId="15843" xr:uid="{00000000-0005-0000-0000-0000E23D0000}"/>
    <cellStyle name="40% - ???5nt6 3 3" xfId="15844" xr:uid="{00000000-0005-0000-0000-0000E33D0000}"/>
    <cellStyle name="40% - ???5nt6 4" xfId="15845" xr:uid="{00000000-0005-0000-0000-0000E43D0000}"/>
    <cellStyle name="40% - ???6nt6" xfId="15846" xr:uid="{00000000-0005-0000-0000-0000E53D0000}"/>
    <cellStyle name="40% - ???6nt6 2" xfId="15847" xr:uid="{00000000-0005-0000-0000-0000E63D0000}"/>
    <cellStyle name="40% - ???6nt6 3" xfId="15848" xr:uid="{00000000-0005-0000-0000-0000E73D0000}"/>
    <cellStyle name="40% - ???6nt6 3 2" xfId="15849" xr:uid="{00000000-0005-0000-0000-0000E83D0000}"/>
    <cellStyle name="40% - ???6nt6 3 3" xfId="15850" xr:uid="{00000000-0005-0000-0000-0000E93D0000}"/>
    <cellStyle name="40% - ???6nt6 4" xfId="15851" xr:uid="{00000000-0005-0000-0000-0000EA3D0000}"/>
    <cellStyle name="40% - Accent1 10" xfId="15852" xr:uid="{00000000-0005-0000-0000-0000EB3D0000}"/>
    <cellStyle name="40% - Accent1 10 2" xfId="15853" xr:uid="{00000000-0005-0000-0000-0000EC3D0000}"/>
    <cellStyle name="40% - Accent1 2" xfId="15854" xr:uid="{00000000-0005-0000-0000-0000ED3D0000}"/>
    <cellStyle name="40% - Accent1 2 2" xfId="15855" xr:uid="{00000000-0005-0000-0000-0000EE3D0000}"/>
    <cellStyle name="40% - Accent1 2 3" xfId="15856" xr:uid="{00000000-0005-0000-0000-0000EF3D0000}"/>
    <cellStyle name="40% - Accent1 3" xfId="15857" xr:uid="{00000000-0005-0000-0000-0000F03D0000}"/>
    <cellStyle name="40% - Accent1 3 2" xfId="15858" xr:uid="{00000000-0005-0000-0000-0000F13D0000}"/>
    <cellStyle name="40% - Accent1 4" xfId="15859" xr:uid="{00000000-0005-0000-0000-0000F23D0000}"/>
    <cellStyle name="40% - Accent1 4 2" xfId="15860" xr:uid="{00000000-0005-0000-0000-0000F33D0000}"/>
    <cellStyle name="40% - Accent1 5" xfId="15861" xr:uid="{00000000-0005-0000-0000-0000F43D0000}"/>
    <cellStyle name="40% - Accent1 5 2" xfId="15862" xr:uid="{00000000-0005-0000-0000-0000F53D0000}"/>
    <cellStyle name="40% - Accent1 6" xfId="15863" xr:uid="{00000000-0005-0000-0000-0000F63D0000}"/>
    <cellStyle name="40% - Accent1 7" xfId="15864" xr:uid="{00000000-0005-0000-0000-0000F73D0000}"/>
    <cellStyle name="40% - Accent1 8" xfId="15865" xr:uid="{00000000-0005-0000-0000-0000F83D0000}"/>
    <cellStyle name="40% - Accent1 9" xfId="15866" xr:uid="{00000000-0005-0000-0000-0000F93D0000}"/>
    <cellStyle name="40% - Accent2 10" xfId="15867" xr:uid="{00000000-0005-0000-0000-0000FA3D0000}"/>
    <cellStyle name="40% - Accent2 10 2" xfId="15868" xr:uid="{00000000-0005-0000-0000-0000FB3D0000}"/>
    <cellStyle name="40% - Accent2 2" xfId="15869" xr:uid="{00000000-0005-0000-0000-0000FC3D0000}"/>
    <cellStyle name="40% - Accent2 2 2" xfId="15870" xr:uid="{00000000-0005-0000-0000-0000FD3D0000}"/>
    <cellStyle name="40% - Accent2 2 3" xfId="15871" xr:uid="{00000000-0005-0000-0000-0000FE3D0000}"/>
    <cellStyle name="40% - Accent2 3" xfId="15872" xr:uid="{00000000-0005-0000-0000-0000FF3D0000}"/>
    <cellStyle name="40% - Accent2 3 2" xfId="15873" xr:uid="{00000000-0005-0000-0000-0000003E0000}"/>
    <cellStyle name="40% - Accent2 4" xfId="15874" xr:uid="{00000000-0005-0000-0000-0000013E0000}"/>
    <cellStyle name="40% - Accent2 4 2" xfId="15875" xr:uid="{00000000-0005-0000-0000-0000023E0000}"/>
    <cellStyle name="40% - Accent2 5" xfId="15876" xr:uid="{00000000-0005-0000-0000-0000033E0000}"/>
    <cellStyle name="40% - Accent2 5 2" xfId="15877" xr:uid="{00000000-0005-0000-0000-0000043E0000}"/>
    <cellStyle name="40% - Accent2 6" xfId="15878" xr:uid="{00000000-0005-0000-0000-0000053E0000}"/>
    <cellStyle name="40% - Accent2 7" xfId="15879" xr:uid="{00000000-0005-0000-0000-0000063E0000}"/>
    <cellStyle name="40% - Accent2 8" xfId="15880" xr:uid="{00000000-0005-0000-0000-0000073E0000}"/>
    <cellStyle name="40% - Accent2 9" xfId="15881" xr:uid="{00000000-0005-0000-0000-0000083E0000}"/>
    <cellStyle name="40% - Accent3 10" xfId="15882" xr:uid="{00000000-0005-0000-0000-0000093E0000}"/>
    <cellStyle name="40% - Accent3 10 2" xfId="15883" xr:uid="{00000000-0005-0000-0000-00000A3E0000}"/>
    <cellStyle name="40% - Accent3 2" xfId="15884" xr:uid="{00000000-0005-0000-0000-00000B3E0000}"/>
    <cellStyle name="40% - Accent3 2 2" xfId="15885" xr:uid="{00000000-0005-0000-0000-00000C3E0000}"/>
    <cellStyle name="40% - Accent3 2 3" xfId="15886" xr:uid="{00000000-0005-0000-0000-00000D3E0000}"/>
    <cellStyle name="40% - Accent3 3" xfId="15887" xr:uid="{00000000-0005-0000-0000-00000E3E0000}"/>
    <cellStyle name="40% - Accent3 3 2" xfId="15888" xr:uid="{00000000-0005-0000-0000-00000F3E0000}"/>
    <cellStyle name="40% - Accent3 4" xfId="15889" xr:uid="{00000000-0005-0000-0000-0000103E0000}"/>
    <cellStyle name="40% - Accent3 4 2" xfId="15890" xr:uid="{00000000-0005-0000-0000-0000113E0000}"/>
    <cellStyle name="40% - Accent3 5" xfId="15891" xr:uid="{00000000-0005-0000-0000-0000123E0000}"/>
    <cellStyle name="40% - Accent3 5 2" xfId="15892" xr:uid="{00000000-0005-0000-0000-0000133E0000}"/>
    <cellStyle name="40% - Accent3 6" xfId="15893" xr:uid="{00000000-0005-0000-0000-0000143E0000}"/>
    <cellStyle name="40% - Accent3 7" xfId="15894" xr:uid="{00000000-0005-0000-0000-0000153E0000}"/>
    <cellStyle name="40% - Accent3 8" xfId="15895" xr:uid="{00000000-0005-0000-0000-0000163E0000}"/>
    <cellStyle name="40% - Accent3 9" xfId="15896" xr:uid="{00000000-0005-0000-0000-0000173E0000}"/>
    <cellStyle name="40% - Accent4 10" xfId="15897" xr:uid="{00000000-0005-0000-0000-0000183E0000}"/>
    <cellStyle name="40% - Accent4 10 2" xfId="15898" xr:uid="{00000000-0005-0000-0000-0000193E0000}"/>
    <cellStyle name="40% - Accent4 2" xfId="15899" xr:uid="{00000000-0005-0000-0000-00001A3E0000}"/>
    <cellStyle name="40% - Accent4 2 2" xfId="15900" xr:uid="{00000000-0005-0000-0000-00001B3E0000}"/>
    <cellStyle name="40% - Accent4 2 3" xfId="15901" xr:uid="{00000000-0005-0000-0000-00001C3E0000}"/>
    <cellStyle name="40% - Accent4 3" xfId="15902" xr:uid="{00000000-0005-0000-0000-00001D3E0000}"/>
    <cellStyle name="40% - Accent4 3 2" xfId="15903" xr:uid="{00000000-0005-0000-0000-00001E3E0000}"/>
    <cellStyle name="40% - Accent4 4" xfId="15904" xr:uid="{00000000-0005-0000-0000-00001F3E0000}"/>
    <cellStyle name="40% - Accent4 4 2" xfId="15905" xr:uid="{00000000-0005-0000-0000-0000203E0000}"/>
    <cellStyle name="40% - Accent4 5" xfId="15906" xr:uid="{00000000-0005-0000-0000-0000213E0000}"/>
    <cellStyle name="40% - Accent4 5 2" xfId="15907" xr:uid="{00000000-0005-0000-0000-0000223E0000}"/>
    <cellStyle name="40% - Accent4 6" xfId="15908" xr:uid="{00000000-0005-0000-0000-0000233E0000}"/>
    <cellStyle name="40% - Accent4 7" xfId="15909" xr:uid="{00000000-0005-0000-0000-0000243E0000}"/>
    <cellStyle name="40% - Accent4 8" xfId="15910" xr:uid="{00000000-0005-0000-0000-0000253E0000}"/>
    <cellStyle name="40% - Accent4 9" xfId="15911" xr:uid="{00000000-0005-0000-0000-0000263E0000}"/>
    <cellStyle name="40% - Accent5 10" xfId="15912" xr:uid="{00000000-0005-0000-0000-0000273E0000}"/>
    <cellStyle name="40% - Accent5 10 2" xfId="15913" xr:uid="{00000000-0005-0000-0000-0000283E0000}"/>
    <cellStyle name="40% - Accent5 2" xfId="15914" xr:uid="{00000000-0005-0000-0000-0000293E0000}"/>
    <cellStyle name="40% - Accent5 2 2" xfId="15915" xr:uid="{00000000-0005-0000-0000-00002A3E0000}"/>
    <cellStyle name="40% - Accent5 2 3" xfId="15916" xr:uid="{00000000-0005-0000-0000-00002B3E0000}"/>
    <cellStyle name="40% - Accent5 2 4" xfId="15917" xr:uid="{00000000-0005-0000-0000-00002C3E0000}"/>
    <cellStyle name="40% - Accent5 3" xfId="15918" xr:uid="{00000000-0005-0000-0000-00002D3E0000}"/>
    <cellStyle name="40% - Accent5 3 2" xfId="15919" xr:uid="{00000000-0005-0000-0000-00002E3E0000}"/>
    <cellStyle name="40% - Accent5 4" xfId="15920" xr:uid="{00000000-0005-0000-0000-00002F3E0000}"/>
    <cellStyle name="40% - Accent5 4 2" xfId="15921" xr:uid="{00000000-0005-0000-0000-0000303E0000}"/>
    <cellStyle name="40% - Accent5 5" xfId="15922" xr:uid="{00000000-0005-0000-0000-0000313E0000}"/>
    <cellStyle name="40% - Accent5 5 2" xfId="15923" xr:uid="{00000000-0005-0000-0000-0000323E0000}"/>
    <cellStyle name="40% - Accent5 6" xfId="15924" xr:uid="{00000000-0005-0000-0000-0000333E0000}"/>
    <cellStyle name="40% - Accent5 7" xfId="15925" xr:uid="{00000000-0005-0000-0000-0000343E0000}"/>
    <cellStyle name="40% - Accent5 8" xfId="15926" xr:uid="{00000000-0005-0000-0000-0000353E0000}"/>
    <cellStyle name="40% - Accent5 9" xfId="15927" xr:uid="{00000000-0005-0000-0000-0000363E0000}"/>
    <cellStyle name="40% - Accent6 10" xfId="15928" xr:uid="{00000000-0005-0000-0000-0000373E0000}"/>
    <cellStyle name="40% - Accent6 10 2" xfId="15929" xr:uid="{00000000-0005-0000-0000-0000383E0000}"/>
    <cellStyle name="40% - Accent6 2" xfId="15930" xr:uid="{00000000-0005-0000-0000-0000393E0000}"/>
    <cellStyle name="40% - Accent6 2 2" xfId="15931" xr:uid="{00000000-0005-0000-0000-00003A3E0000}"/>
    <cellStyle name="40% - Accent6 2 3" xfId="15932" xr:uid="{00000000-0005-0000-0000-00003B3E0000}"/>
    <cellStyle name="40% - Accent6 3" xfId="15933" xr:uid="{00000000-0005-0000-0000-00003C3E0000}"/>
    <cellStyle name="40% - Accent6 3 2" xfId="15934" xr:uid="{00000000-0005-0000-0000-00003D3E0000}"/>
    <cellStyle name="40% - Accent6 4" xfId="15935" xr:uid="{00000000-0005-0000-0000-00003E3E0000}"/>
    <cellStyle name="40% - Accent6 4 2" xfId="15936" xr:uid="{00000000-0005-0000-0000-00003F3E0000}"/>
    <cellStyle name="40% - Accent6 5" xfId="15937" xr:uid="{00000000-0005-0000-0000-0000403E0000}"/>
    <cellStyle name="40% - Accent6 5 2" xfId="15938" xr:uid="{00000000-0005-0000-0000-0000413E0000}"/>
    <cellStyle name="40% - Accent6 6" xfId="15939" xr:uid="{00000000-0005-0000-0000-0000423E0000}"/>
    <cellStyle name="40% - Accent6 7" xfId="15940" xr:uid="{00000000-0005-0000-0000-0000433E0000}"/>
    <cellStyle name="40% - Accent6 8" xfId="15941" xr:uid="{00000000-0005-0000-0000-0000443E0000}"/>
    <cellStyle name="40% - Accent6 9" xfId="15942" xr:uid="{00000000-0005-0000-0000-0000453E0000}"/>
    <cellStyle name="40% — акцент1 2" xfId="15943" xr:uid="{00000000-0005-0000-0000-0000463E0000}"/>
    <cellStyle name="40% — акцент1 2 2" xfId="15944" xr:uid="{00000000-0005-0000-0000-0000473E0000}"/>
    <cellStyle name="40% — акцент1 2 2 2" xfId="15945" xr:uid="{00000000-0005-0000-0000-0000483E0000}"/>
    <cellStyle name="40% — акцент1 2 2 3" xfId="15946" xr:uid="{00000000-0005-0000-0000-0000493E0000}"/>
    <cellStyle name="40% — акцент1 2 2 4" xfId="15947" xr:uid="{00000000-0005-0000-0000-00004A3E0000}"/>
    <cellStyle name="40% — акцент1 2 2 5" xfId="15948" xr:uid="{00000000-0005-0000-0000-00004B3E0000}"/>
    <cellStyle name="40% — акцент1 2 2 6" xfId="15949" xr:uid="{00000000-0005-0000-0000-00004C3E0000}"/>
    <cellStyle name="40% — акцент1 2 3" xfId="15950" xr:uid="{00000000-0005-0000-0000-00004D3E0000}"/>
    <cellStyle name="40% — акцент1 2 4" xfId="15951" xr:uid="{00000000-0005-0000-0000-00004E3E0000}"/>
    <cellStyle name="40% — акцент1 2 5" xfId="15952" xr:uid="{00000000-0005-0000-0000-00004F3E0000}"/>
    <cellStyle name="40% — акцент1 2 6" xfId="15953" xr:uid="{00000000-0005-0000-0000-0000503E0000}"/>
    <cellStyle name="40% — акцент1 2 7" xfId="15954" xr:uid="{00000000-0005-0000-0000-0000513E0000}"/>
    <cellStyle name="40% — акцент1 2 8" xfId="15955" xr:uid="{00000000-0005-0000-0000-0000523E0000}"/>
    <cellStyle name="40% — акцент1 3" xfId="15956" xr:uid="{00000000-0005-0000-0000-0000533E0000}"/>
    <cellStyle name="40% — акцент1 3 2" xfId="15957" xr:uid="{00000000-0005-0000-0000-0000543E0000}"/>
    <cellStyle name="40% — акцент1 3 3" xfId="15958" xr:uid="{00000000-0005-0000-0000-0000553E0000}"/>
    <cellStyle name="40% — акцент1 3 4" xfId="15959" xr:uid="{00000000-0005-0000-0000-0000563E0000}"/>
    <cellStyle name="40% — акцент1 3 5" xfId="15960" xr:uid="{00000000-0005-0000-0000-0000573E0000}"/>
    <cellStyle name="40% — акцент1 3 6" xfId="15961" xr:uid="{00000000-0005-0000-0000-0000583E0000}"/>
    <cellStyle name="40% — акцент1 4" xfId="15962" xr:uid="{00000000-0005-0000-0000-0000593E0000}"/>
    <cellStyle name="40% — акцент1 5" xfId="15963" xr:uid="{00000000-0005-0000-0000-00005A3E0000}"/>
    <cellStyle name="40% — акцент2 2" xfId="15964" xr:uid="{00000000-0005-0000-0000-00005B3E0000}"/>
    <cellStyle name="40% — акцент2 2 2" xfId="15965" xr:uid="{00000000-0005-0000-0000-00005C3E0000}"/>
    <cellStyle name="40% — акцент2 2 2 2" xfId="15966" xr:uid="{00000000-0005-0000-0000-00005D3E0000}"/>
    <cellStyle name="40% — акцент2 2 2 3" xfId="15967" xr:uid="{00000000-0005-0000-0000-00005E3E0000}"/>
    <cellStyle name="40% — акцент2 2 2 4" xfId="15968" xr:uid="{00000000-0005-0000-0000-00005F3E0000}"/>
    <cellStyle name="40% — акцент2 2 2 5" xfId="15969" xr:uid="{00000000-0005-0000-0000-0000603E0000}"/>
    <cellStyle name="40% — акцент2 2 2 6" xfId="15970" xr:uid="{00000000-0005-0000-0000-0000613E0000}"/>
    <cellStyle name="40% — акцент2 2 3" xfId="15971" xr:uid="{00000000-0005-0000-0000-0000623E0000}"/>
    <cellStyle name="40% — акцент2 2 4" xfId="15972" xr:uid="{00000000-0005-0000-0000-0000633E0000}"/>
    <cellStyle name="40% — акцент2 2 5" xfId="15973" xr:uid="{00000000-0005-0000-0000-0000643E0000}"/>
    <cellStyle name="40% — акцент2 2 6" xfId="15974" xr:uid="{00000000-0005-0000-0000-0000653E0000}"/>
    <cellStyle name="40% — акцент2 2 7" xfId="15975" xr:uid="{00000000-0005-0000-0000-0000663E0000}"/>
    <cellStyle name="40% — акцент2 2 8" xfId="15976" xr:uid="{00000000-0005-0000-0000-0000673E0000}"/>
    <cellStyle name="40% — акцент2 3" xfId="15977" xr:uid="{00000000-0005-0000-0000-0000683E0000}"/>
    <cellStyle name="40% — акцент2 3 2" xfId="15978" xr:uid="{00000000-0005-0000-0000-0000693E0000}"/>
    <cellStyle name="40% — акцент2 3 3" xfId="15979" xr:uid="{00000000-0005-0000-0000-00006A3E0000}"/>
    <cellStyle name="40% — акцент2 3 4" xfId="15980" xr:uid="{00000000-0005-0000-0000-00006B3E0000}"/>
    <cellStyle name="40% — акцент2 3 5" xfId="15981" xr:uid="{00000000-0005-0000-0000-00006C3E0000}"/>
    <cellStyle name="40% — акцент2 3 6" xfId="15982" xr:uid="{00000000-0005-0000-0000-00006D3E0000}"/>
    <cellStyle name="40% — акцент2 4" xfId="15983" xr:uid="{00000000-0005-0000-0000-00006E3E0000}"/>
    <cellStyle name="40% — акцент2 5" xfId="15984" xr:uid="{00000000-0005-0000-0000-00006F3E0000}"/>
    <cellStyle name="40% — акцент3 2" xfId="15985" xr:uid="{00000000-0005-0000-0000-0000703E0000}"/>
    <cellStyle name="40% — акцент3 2 2" xfId="15986" xr:uid="{00000000-0005-0000-0000-0000713E0000}"/>
    <cellStyle name="40% — акцент3 2 2 2" xfId="15987" xr:uid="{00000000-0005-0000-0000-0000723E0000}"/>
    <cellStyle name="40% — акцент3 2 2 3" xfId="15988" xr:uid="{00000000-0005-0000-0000-0000733E0000}"/>
    <cellStyle name="40% — акцент3 2 2 4" xfId="15989" xr:uid="{00000000-0005-0000-0000-0000743E0000}"/>
    <cellStyle name="40% — акцент3 2 2 5" xfId="15990" xr:uid="{00000000-0005-0000-0000-0000753E0000}"/>
    <cellStyle name="40% — акцент3 2 2 6" xfId="15991" xr:uid="{00000000-0005-0000-0000-0000763E0000}"/>
    <cellStyle name="40% — акцент3 2 3" xfId="15992" xr:uid="{00000000-0005-0000-0000-0000773E0000}"/>
    <cellStyle name="40% — акцент3 2 4" xfId="15993" xr:uid="{00000000-0005-0000-0000-0000783E0000}"/>
    <cellStyle name="40% — акцент3 2 5" xfId="15994" xr:uid="{00000000-0005-0000-0000-0000793E0000}"/>
    <cellStyle name="40% — акцент3 2 6" xfId="15995" xr:uid="{00000000-0005-0000-0000-00007A3E0000}"/>
    <cellStyle name="40% — акцент3 2 7" xfId="15996" xr:uid="{00000000-0005-0000-0000-00007B3E0000}"/>
    <cellStyle name="40% — акцент3 2 8" xfId="15997" xr:uid="{00000000-0005-0000-0000-00007C3E0000}"/>
    <cellStyle name="40% — акцент3 3" xfId="15998" xr:uid="{00000000-0005-0000-0000-00007D3E0000}"/>
    <cellStyle name="40% — акцент3 3 2" xfId="15999" xr:uid="{00000000-0005-0000-0000-00007E3E0000}"/>
    <cellStyle name="40% — акцент3 3 3" xfId="16000" xr:uid="{00000000-0005-0000-0000-00007F3E0000}"/>
    <cellStyle name="40% — акцент3 3 4" xfId="16001" xr:uid="{00000000-0005-0000-0000-0000803E0000}"/>
    <cellStyle name="40% — акцент3 3 5" xfId="16002" xr:uid="{00000000-0005-0000-0000-0000813E0000}"/>
    <cellStyle name="40% — акцент3 3 6" xfId="16003" xr:uid="{00000000-0005-0000-0000-0000823E0000}"/>
    <cellStyle name="40% — акцент3 4" xfId="16004" xr:uid="{00000000-0005-0000-0000-0000833E0000}"/>
    <cellStyle name="40% — акцент3 5" xfId="16005" xr:uid="{00000000-0005-0000-0000-0000843E0000}"/>
    <cellStyle name="40% — акцент4 2" xfId="16006" xr:uid="{00000000-0005-0000-0000-0000853E0000}"/>
    <cellStyle name="40% — акцент4 2 2" xfId="16007" xr:uid="{00000000-0005-0000-0000-0000863E0000}"/>
    <cellStyle name="40% — акцент4 2 2 2" xfId="16008" xr:uid="{00000000-0005-0000-0000-0000873E0000}"/>
    <cellStyle name="40% — акцент4 2 2 3" xfId="16009" xr:uid="{00000000-0005-0000-0000-0000883E0000}"/>
    <cellStyle name="40% — акцент4 2 2 4" xfId="16010" xr:uid="{00000000-0005-0000-0000-0000893E0000}"/>
    <cellStyle name="40% — акцент4 2 2 5" xfId="16011" xr:uid="{00000000-0005-0000-0000-00008A3E0000}"/>
    <cellStyle name="40% — акцент4 2 2 6" xfId="16012" xr:uid="{00000000-0005-0000-0000-00008B3E0000}"/>
    <cellStyle name="40% — акцент4 2 3" xfId="16013" xr:uid="{00000000-0005-0000-0000-00008C3E0000}"/>
    <cellStyle name="40% — акцент4 2 4" xfId="16014" xr:uid="{00000000-0005-0000-0000-00008D3E0000}"/>
    <cellStyle name="40% — акцент4 2 5" xfId="16015" xr:uid="{00000000-0005-0000-0000-00008E3E0000}"/>
    <cellStyle name="40% — акцент4 2 6" xfId="16016" xr:uid="{00000000-0005-0000-0000-00008F3E0000}"/>
    <cellStyle name="40% — акцент4 2 7" xfId="16017" xr:uid="{00000000-0005-0000-0000-0000903E0000}"/>
    <cellStyle name="40% — акцент4 2 8" xfId="16018" xr:uid="{00000000-0005-0000-0000-0000913E0000}"/>
    <cellStyle name="40% — акцент4 3" xfId="16019" xr:uid="{00000000-0005-0000-0000-0000923E0000}"/>
    <cellStyle name="40% — акцент4 3 2" xfId="16020" xr:uid="{00000000-0005-0000-0000-0000933E0000}"/>
    <cellStyle name="40% — акцент4 3 3" xfId="16021" xr:uid="{00000000-0005-0000-0000-0000943E0000}"/>
    <cellStyle name="40% — акцент4 3 4" xfId="16022" xr:uid="{00000000-0005-0000-0000-0000953E0000}"/>
    <cellStyle name="40% — акцент4 3 5" xfId="16023" xr:uid="{00000000-0005-0000-0000-0000963E0000}"/>
    <cellStyle name="40% — акцент4 3 6" xfId="16024" xr:uid="{00000000-0005-0000-0000-0000973E0000}"/>
    <cellStyle name="40% — акцент4 4" xfId="16025" xr:uid="{00000000-0005-0000-0000-0000983E0000}"/>
    <cellStyle name="40% — акцент4 5" xfId="16026" xr:uid="{00000000-0005-0000-0000-0000993E0000}"/>
    <cellStyle name="40% — акцент5 2" xfId="16027" xr:uid="{00000000-0005-0000-0000-00009A3E0000}"/>
    <cellStyle name="40% — акцент5 2 2" xfId="16028" xr:uid="{00000000-0005-0000-0000-00009B3E0000}"/>
    <cellStyle name="40% — акцент5 2 2 2" xfId="16029" xr:uid="{00000000-0005-0000-0000-00009C3E0000}"/>
    <cellStyle name="40% — акцент5 2 2 3" xfId="16030" xr:uid="{00000000-0005-0000-0000-00009D3E0000}"/>
    <cellStyle name="40% — акцент5 2 2 4" xfId="16031" xr:uid="{00000000-0005-0000-0000-00009E3E0000}"/>
    <cellStyle name="40% — акцент5 2 2 5" xfId="16032" xr:uid="{00000000-0005-0000-0000-00009F3E0000}"/>
    <cellStyle name="40% — акцент5 2 2 6" xfId="16033" xr:uid="{00000000-0005-0000-0000-0000A03E0000}"/>
    <cellStyle name="40% — акцент5 2 3" xfId="16034" xr:uid="{00000000-0005-0000-0000-0000A13E0000}"/>
    <cellStyle name="40% — акцент5 2 4" xfId="16035" xr:uid="{00000000-0005-0000-0000-0000A23E0000}"/>
    <cellStyle name="40% — акцент5 2 5" xfId="16036" xr:uid="{00000000-0005-0000-0000-0000A33E0000}"/>
    <cellStyle name="40% — акцент5 2 6" xfId="16037" xr:uid="{00000000-0005-0000-0000-0000A43E0000}"/>
    <cellStyle name="40% — акцент5 2 7" xfId="16038" xr:uid="{00000000-0005-0000-0000-0000A53E0000}"/>
    <cellStyle name="40% — акцент5 2 8" xfId="16039" xr:uid="{00000000-0005-0000-0000-0000A63E0000}"/>
    <cellStyle name="40% — акцент5 3" xfId="16040" xr:uid="{00000000-0005-0000-0000-0000A73E0000}"/>
    <cellStyle name="40% — акцент5 3 2" xfId="16041" xr:uid="{00000000-0005-0000-0000-0000A83E0000}"/>
    <cellStyle name="40% — акцент5 3 3" xfId="16042" xr:uid="{00000000-0005-0000-0000-0000A93E0000}"/>
    <cellStyle name="40% — акцент5 3 4" xfId="16043" xr:uid="{00000000-0005-0000-0000-0000AA3E0000}"/>
    <cellStyle name="40% — акцент5 3 5" xfId="16044" xr:uid="{00000000-0005-0000-0000-0000AB3E0000}"/>
    <cellStyle name="40% — акцент5 3 6" xfId="16045" xr:uid="{00000000-0005-0000-0000-0000AC3E0000}"/>
    <cellStyle name="40% — акцент5 4" xfId="16046" xr:uid="{00000000-0005-0000-0000-0000AD3E0000}"/>
    <cellStyle name="40% — акцент5 5" xfId="16047" xr:uid="{00000000-0005-0000-0000-0000AE3E0000}"/>
    <cellStyle name="40% — акцент6 2" xfId="16048" xr:uid="{00000000-0005-0000-0000-0000AF3E0000}"/>
    <cellStyle name="40% — акцент6 2 2" xfId="16049" xr:uid="{00000000-0005-0000-0000-0000B03E0000}"/>
    <cellStyle name="40% — акцент6 2 2 2" xfId="16050" xr:uid="{00000000-0005-0000-0000-0000B13E0000}"/>
    <cellStyle name="40% — акцент6 2 2 3" xfId="16051" xr:uid="{00000000-0005-0000-0000-0000B23E0000}"/>
    <cellStyle name="40% — акцент6 2 2 4" xfId="16052" xr:uid="{00000000-0005-0000-0000-0000B33E0000}"/>
    <cellStyle name="40% — акцент6 2 2 5" xfId="16053" xr:uid="{00000000-0005-0000-0000-0000B43E0000}"/>
    <cellStyle name="40% — акцент6 2 2 6" xfId="16054" xr:uid="{00000000-0005-0000-0000-0000B53E0000}"/>
    <cellStyle name="40% — акцент6 2 3" xfId="16055" xr:uid="{00000000-0005-0000-0000-0000B63E0000}"/>
    <cellStyle name="40% — акцент6 2 4" xfId="16056" xr:uid="{00000000-0005-0000-0000-0000B73E0000}"/>
    <cellStyle name="40% — акцент6 2 5" xfId="16057" xr:uid="{00000000-0005-0000-0000-0000B83E0000}"/>
    <cellStyle name="40% — акцент6 2 6" xfId="16058" xr:uid="{00000000-0005-0000-0000-0000B93E0000}"/>
    <cellStyle name="40% — акцент6 2 7" xfId="16059" xr:uid="{00000000-0005-0000-0000-0000BA3E0000}"/>
    <cellStyle name="40% — акцент6 2 8" xfId="16060" xr:uid="{00000000-0005-0000-0000-0000BB3E0000}"/>
    <cellStyle name="40% — акцент6 3" xfId="16061" xr:uid="{00000000-0005-0000-0000-0000BC3E0000}"/>
    <cellStyle name="40% — акцент6 3 2" xfId="16062" xr:uid="{00000000-0005-0000-0000-0000BD3E0000}"/>
    <cellStyle name="40% — акцент6 3 3" xfId="16063" xr:uid="{00000000-0005-0000-0000-0000BE3E0000}"/>
    <cellStyle name="40% — акцент6 3 4" xfId="16064" xr:uid="{00000000-0005-0000-0000-0000BF3E0000}"/>
    <cellStyle name="40% — акцент6 3 5" xfId="16065" xr:uid="{00000000-0005-0000-0000-0000C03E0000}"/>
    <cellStyle name="40% — акцент6 3 6" xfId="16066" xr:uid="{00000000-0005-0000-0000-0000C13E0000}"/>
    <cellStyle name="40% — акцент6 4" xfId="16067" xr:uid="{00000000-0005-0000-0000-0000C23E0000}"/>
    <cellStyle name="40% — акцент6 5" xfId="16068" xr:uid="{00000000-0005-0000-0000-0000C33E0000}"/>
    <cellStyle name="40% - 强调文字颜色 1 2" xfId="16069" xr:uid="{00000000-0005-0000-0000-0000C43E0000}"/>
    <cellStyle name="40% - 强调文字颜色 1 2 10" xfId="16070" xr:uid="{00000000-0005-0000-0000-0000C53E0000}"/>
    <cellStyle name="40% - 强调文字颜色 1 2 11" xfId="16071" xr:uid="{00000000-0005-0000-0000-0000C63E0000}"/>
    <cellStyle name="40% - 强调文字颜色 1 2 11 2" xfId="16072" xr:uid="{00000000-0005-0000-0000-0000C73E0000}"/>
    <cellStyle name="40% - 强调文字颜色 1 2 12" xfId="16073" xr:uid="{00000000-0005-0000-0000-0000C83E0000}"/>
    <cellStyle name="40% - 强调文字颜色 1 2 12 2" xfId="16074" xr:uid="{00000000-0005-0000-0000-0000C93E0000}"/>
    <cellStyle name="40% - 强调文字颜色 1 2 2" xfId="16075" xr:uid="{00000000-0005-0000-0000-0000CA3E0000}"/>
    <cellStyle name="40% - 强调文字颜色 1 2 2 10" xfId="16076" xr:uid="{00000000-0005-0000-0000-0000CB3E0000}"/>
    <cellStyle name="40% - 强调文字颜色 1 2 2 11" xfId="16077" xr:uid="{00000000-0005-0000-0000-0000CC3E0000}"/>
    <cellStyle name="40% - 强调文字颜色 1 2 2 11 2" xfId="16078" xr:uid="{00000000-0005-0000-0000-0000CD3E0000}"/>
    <cellStyle name="40% - 强调文字颜色 1 2 2 12" xfId="16079" xr:uid="{00000000-0005-0000-0000-0000CE3E0000}"/>
    <cellStyle name="40% - 强调文字颜色 1 2 2 12 2" xfId="16080" xr:uid="{00000000-0005-0000-0000-0000CF3E0000}"/>
    <cellStyle name="40% - 强调文字颜色 1 2 2 2" xfId="16081" xr:uid="{00000000-0005-0000-0000-0000D03E0000}"/>
    <cellStyle name="40% - 强调文字颜色 1 2 2 2 2" xfId="16082" xr:uid="{00000000-0005-0000-0000-0000D13E0000}"/>
    <cellStyle name="40% - 强调文字颜色 1 2 2 2 2 2" xfId="16083" xr:uid="{00000000-0005-0000-0000-0000D23E0000}"/>
    <cellStyle name="40% - 强调文字颜色 1 2 2 2 2 2 2" xfId="16084" xr:uid="{00000000-0005-0000-0000-0000D33E0000}"/>
    <cellStyle name="40% - 强调文字颜色 1 2 2 2 2 2 3" xfId="16085" xr:uid="{00000000-0005-0000-0000-0000D43E0000}"/>
    <cellStyle name="40% - 强调文字颜色 1 2 2 2 2 2 3 2" xfId="16086" xr:uid="{00000000-0005-0000-0000-0000D53E0000}"/>
    <cellStyle name="40% - 强调文字颜色 1 2 2 2 2 2 3 2 2" xfId="16087" xr:uid="{00000000-0005-0000-0000-0000D63E0000}"/>
    <cellStyle name="40% - 强调文字颜色 1 2 2 2 2 2 4" xfId="16088" xr:uid="{00000000-0005-0000-0000-0000D73E0000}"/>
    <cellStyle name="40% - 强调文字颜色 1 2 2 2 2 2 4 2" xfId="16089" xr:uid="{00000000-0005-0000-0000-0000D83E0000}"/>
    <cellStyle name="40% - 强调文字颜色 1 2 2 2 2 2 5" xfId="16090" xr:uid="{00000000-0005-0000-0000-0000D93E0000}"/>
    <cellStyle name="40% - 强调文字颜色 1 2 2 2 2 2 5 2" xfId="16091" xr:uid="{00000000-0005-0000-0000-0000DA3E0000}"/>
    <cellStyle name="40% - 强调文字颜色 1 2 2 2 2 2 6" xfId="16092" xr:uid="{00000000-0005-0000-0000-0000DB3E0000}"/>
    <cellStyle name="40% - 强调文字颜色 1 2 2 2 2 3" xfId="16093" xr:uid="{00000000-0005-0000-0000-0000DC3E0000}"/>
    <cellStyle name="40% - 强调文字颜色 1 2 2 2 2 3 2" xfId="16094" xr:uid="{00000000-0005-0000-0000-0000DD3E0000}"/>
    <cellStyle name="40% - 强调文字颜色 1 2 2 2 2 3 2 2" xfId="16095" xr:uid="{00000000-0005-0000-0000-0000DE3E0000}"/>
    <cellStyle name="40% - 强调文字颜色 1 2 2 2 2 3 2 2 2" xfId="16096" xr:uid="{00000000-0005-0000-0000-0000DF3E0000}"/>
    <cellStyle name="40% - 强调文字颜色 1 2 2 2 2 3 3" xfId="16097" xr:uid="{00000000-0005-0000-0000-0000E03E0000}"/>
    <cellStyle name="40% - 强调文字颜色 1 2 2 2 2 3 3 2" xfId="16098" xr:uid="{00000000-0005-0000-0000-0000E13E0000}"/>
    <cellStyle name="40% - 强调文字颜色 1 2 2 2 2 3 4" xfId="16099" xr:uid="{00000000-0005-0000-0000-0000E23E0000}"/>
    <cellStyle name="40% - 强调文字颜色 1 2 2 2 2 3 4 2" xfId="16100" xr:uid="{00000000-0005-0000-0000-0000E33E0000}"/>
    <cellStyle name="40% - 强调文字颜色 1 2 2 2 2 3 5" xfId="16101" xr:uid="{00000000-0005-0000-0000-0000E43E0000}"/>
    <cellStyle name="40% - 强调文字颜色 1 2 2 2 2 4" xfId="16102" xr:uid="{00000000-0005-0000-0000-0000E53E0000}"/>
    <cellStyle name="40% - 强调文字颜色 1 2 2 2 2 5" xfId="16103" xr:uid="{00000000-0005-0000-0000-0000E63E0000}"/>
    <cellStyle name="40% - 强调文字颜色 1 2 2 2 2 6" xfId="16104" xr:uid="{00000000-0005-0000-0000-0000E73E0000}"/>
    <cellStyle name="40% - 强调文字颜色 1 2 2 2 2 6 2" xfId="16105" xr:uid="{00000000-0005-0000-0000-0000E83E0000}"/>
    <cellStyle name="40% - 强调文字颜色 1 2 2 2 2 7" xfId="16106" xr:uid="{00000000-0005-0000-0000-0000E93E0000}"/>
    <cellStyle name="40% - 强调文字颜色 1 2 2 2 2 7 2" xfId="16107" xr:uid="{00000000-0005-0000-0000-0000EA3E0000}"/>
    <cellStyle name="40% - 强调文字颜色 1 2 2 2 3" xfId="16108" xr:uid="{00000000-0005-0000-0000-0000EB3E0000}"/>
    <cellStyle name="40% - 强调文字颜色 1 2 2 2 3 2" xfId="16109" xr:uid="{00000000-0005-0000-0000-0000EC3E0000}"/>
    <cellStyle name="40% - 强调文字颜色 1 2 2 2 3 3" xfId="16110" xr:uid="{00000000-0005-0000-0000-0000ED3E0000}"/>
    <cellStyle name="40% - 强调文字颜色 1 2 2 2 3 3 2" xfId="16111" xr:uid="{00000000-0005-0000-0000-0000EE3E0000}"/>
    <cellStyle name="40% - 强调文字颜色 1 2 2 2 3 3 2 2" xfId="16112" xr:uid="{00000000-0005-0000-0000-0000EF3E0000}"/>
    <cellStyle name="40% - 强调文字颜色 1 2 2 2 3 4" xfId="16113" xr:uid="{00000000-0005-0000-0000-0000F03E0000}"/>
    <cellStyle name="40% - 强调文字颜色 1 2 2 2 3 4 2" xfId="16114" xr:uid="{00000000-0005-0000-0000-0000F13E0000}"/>
    <cellStyle name="40% - 强调文字颜色 1 2 2 2 3 5" xfId="16115" xr:uid="{00000000-0005-0000-0000-0000F23E0000}"/>
    <cellStyle name="40% - 强调文字颜色 1 2 2 2 3 5 2" xfId="16116" xr:uid="{00000000-0005-0000-0000-0000F33E0000}"/>
    <cellStyle name="40% - 强调文字颜色 1 2 2 2 3 6" xfId="16117" xr:uid="{00000000-0005-0000-0000-0000F43E0000}"/>
    <cellStyle name="40% - 强调文字颜色 1 2 2 2 4" xfId="16118" xr:uid="{00000000-0005-0000-0000-0000F53E0000}"/>
    <cellStyle name="40% - 强调文字颜色 1 2 2 2 4 2" xfId="16119" xr:uid="{00000000-0005-0000-0000-0000F63E0000}"/>
    <cellStyle name="40% - 强调文字颜色 1 2 2 2 4 2 2" xfId="16120" xr:uid="{00000000-0005-0000-0000-0000F73E0000}"/>
    <cellStyle name="40% - 强调文字颜色 1 2 2 2 4 2 2 2" xfId="16121" xr:uid="{00000000-0005-0000-0000-0000F83E0000}"/>
    <cellStyle name="40% - 强调文字颜色 1 2 2 2 4 3" xfId="16122" xr:uid="{00000000-0005-0000-0000-0000F93E0000}"/>
    <cellStyle name="40% - 强调文字颜色 1 2 2 2 4 3 2" xfId="16123" xr:uid="{00000000-0005-0000-0000-0000FA3E0000}"/>
    <cellStyle name="40% - 强调文字颜色 1 2 2 2 4 4" xfId="16124" xr:uid="{00000000-0005-0000-0000-0000FB3E0000}"/>
    <cellStyle name="40% - 强调文字颜色 1 2 2 2 4 4 2" xfId="16125" xr:uid="{00000000-0005-0000-0000-0000FC3E0000}"/>
    <cellStyle name="40% - 强调文字颜色 1 2 2 2 4 5" xfId="16126" xr:uid="{00000000-0005-0000-0000-0000FD3E0000}"/>
    <cellStyle name="40% - 强调文字颜色 1 2 2 2 5" xfId="16127" xr:uid="{00000000-0005-0000-0000-0000FE3E0000}"/>
    <cellStyle name="40% - 强调文字颜色 1 2 2 2 6" xfId="16128" xr:uid="{00000000-0005-0000-0000-0000FF3E0000}"/>
    <cellStyle name="40% - 强调文字颜色 1 2 2 2 7" xfId="16129" xr:uid="{00000000-0005-0000-0000-0000003F0000}"/>
    <cellStyle name="40% - 强调文字颜色 1 2 2 2 7 2" xfId="16130" xr:uid="{00000000-0005-0000-0000-0000013F0000}"/>
    <cellStyle name="40% - 强调文字颜色 1 2 2 2 8" xfId="16131" xr:uid="{00000000-0005-0000-0000-0000023F0000}"/>
    <cellStyle name="40% - 强调文字颜色 1 2 2 2 8 2" xfId="16132" xr:uid="{00000000-0005-0000-0000-0000033F0000}"/>
    <cellStyle name="40% - 强调文字颜色 1 2 2 3" xfId="16133" xr:uid="{00000000-0005-0000-0000-0000043F0000}"/>
    <cellStyle name="40% - 强调文字颜色 1 2 2 3 2" xfId="16134" xr:uid="{00000000-0005-0000-0000-0000053F0000}"/>
    <cellStyle name="40% - 强调文字颜色 1 2 2 3 2 2" xfId="16135" xr:uid="{00000000-0005-0000-0000-0000063F0000}"/>
    <cellStyle name="40% - 强调文字颜色 1 2 2 3 2 3" xfId="16136" xr:uid="{00000000-0005-0000-0000-0000073F0000}"/>
    <cellStyle name="40% - 强调文字颜色 1 2 2 3 2 3 2" xfId="16137" xr:uid="{00000000-0005-0000-0000-0000083F0000}"/>
    <cellStyle name="40% - 强调文字颜色 1 2 2 3 2 3 2 2" xfId="16138" xr:uid="{00000000-0005-0000-0000-0000093F0000}"/>
    <cellStyle name="40% - 强调文字颜色 1 2 2 3 2 4" xfId="16139" xr:uid="{00000000-0005-0000-0000-00000A3F0000}"/>
    <cellStyle name="40% - 强调文字颜色 1 2 2 3 2 4 2" xfId="16140" xr:uid="{00000000-0005-0000-0000-00000B3F0000}"/>
    <cellStyle name="40% - 强调文字颜色 1 2 2 3 2 5" xfId="16141" xr:uid="{00000000-0005-0000-0000-00000C3F0000}"/>
    <cellStyle name="40% - 强调文字颜色 1 2 2 3 2 5 2" xfId="16142" xr:uid="{00000000-0005-0000-0000-00000D3F0000}"/>
    <cellStyle name="40% - 强调文字颜色 1 2 2 3 2 6" xfId="16143" xr:uid="{00000000-0005-0000-0000-00000E3F0000}"/>
    <cellStyle name="40% - 强调文字颜色 1 2 2 3 3" xfId="16144" xr:uid="{00000000-0005-0000-0000-00000F3F0000}"/>
    <cellStyle name="40% - 强调文字颜色 1 2 2 3 3 2" xfId="16145" xr:uid="{00000000-0005-0000-0000-0000103F0000}"/>
    <cellStyle name="40% - 强调文字颜色 1 2 2 3 3 2 2" xfId="16146" xr:uid="{00000000-0005-0000-0000-0000113F0000}"/>
    <cellStyle name="40% - 强调文字颜色 1 2 2 3 3 2 2 2" xfId="16147" xr:uid="{00000000-0005-0000-0000-0000123F0000}"/>
    <cellStyle name="40% - 强调文字颜色 1 2 2 3 3 3" xfId="16148" xr:uid="{00000000-0005-0000-0000-0000133F0000}"/>
    <cellStyle name="40% - 强调文字颜色 1 2 2 3 3 3 2" xfId="16149" xr:uid="{00000000-0005-0000-0000-0000143F0000}"/>
    <cellStyle name="40% - 强调文字颜色 1 2 2 3 3 4" xfId="16150" xr:uid="{00000000-0005-0000-0000-0000153F0000}"/>
    <cellStyle name="40% - 强调文字颜色 1 2 2 3 3 4 2" xfId="16151" xr:uid="{00000000-0005-0000-0000-0000163F0000}"/>
    <cellStyle name="40% - 强调文字颜色 1 2 2 3 3 5" xfId="16152" xr:uid="{00000000-0005-0000-0000-0000173F0000}"/>
    <cellStyle name="40% - 强调文字颜色 1 2 2 3 4" xfId="16153" xr:uid="{00000000-0005-0000-0000-0000183F0000}"/>
    <cellStyle name="40% - 强调文字颜色 1 2 2 3 5" xfId="16154" xr:uid="{00000000-0005-0000-0000-0000193F0000}"/>
    <cellStyle name="40% - 强调文字颜色 1 2 2 3 6" xfId="16155" xr:uid="{00000000-0005-0000-0000-00001A3F0000}"/>
    <cellStyle name="40% - 强调文字颜色 1 2 2 3 6 2" xfId="16156" xr:uid="{00000000-0005-0000-0000-00001B3F0000}"/>
    <cellStyle name="40% - 强调文字颜色 1 2 2 3 7" xfId="16157" xr:uid="{00000000-0005-0000-0000-00001C3F0000}"/>
    <cellStyle name="40% - 强调文字颜色 1 2 2 3 7 2" xfId="16158" xr:uid="{00000000-0005-0000-0000-00001D3F0000}"/>
    <cellStyle name="40% - 强调文字颜色 1 2 2 4" xfId="16159" xr:uid="{00000000-0005-0000-0000-00001E3F0000}"/>
    <cellStyle name="40% - 强调文字颜色 1 2 2 4 2" xfId="16160" xr:uid="{00000000-0005-0000-0000-00001F3F0000}"/>
    <cellStyle name="40% - 强调文字颜色 1 2 2 4 2 2" xfId="16161" xr:uid="{00000000-0005-0000-0000-0000203F0000}"/>
    <cellStyle name="40% - 强调文字颜色 1 2 2 4 2 3" xfId="16162" xr:uid="{00000000-0005-0000-0000-0000213F0000}"/>
    <cellStyle name="40% - 强调文字颜色 1 2 2 4 2 3 2" xfId="16163" xr:uid="{00000000-0005-0000-0000-0000223F0000}"/>
    <cellStyle name="40% - 强调文字颜色 1 2 2 4 2 3 2 2" xfId="16164" xr:uid="{00000000-0005-0000-0000-0000233F0000}"/>
    <cellStyle name="40% - 强调文字颜色 1 2 2 4 2 4" xfId="16165" xr:uid="{00000000-0005-0000-0000-0000243F0000}"/>
    <cellStyle name="40% - 强调文字颜色 1 2 2 4 2 4 2" xfId="16166" xr:uid="{00000000-0005-0000-0000-0000253F0000}"/>
    <cellStyle name="40% - 强调文字颜色 1 2 2 4 2 5" xfId="16167" xr:uid="{00000000-0005-0000-0000-0000263F0000}"/>
    <cellStyle name="40% - 强调文字颜色 1 2 2 4 2 5 2" xfId="16168" xr:uid="{00000000-0005-0000-0000-0000273F0000}"/>
    <cellStyle name="40% - 强调文字颜色 1 2 2 4 2 6" xfId="16169" xr:uid="{00000000-0005-0000-0000-0000283F0000}"/>
    <cellStyle name="40% - 强调文字颜色 1 2 2 4 3" xfId="16170" xr:uid="{00000000-0005-0000-0000-0000293F0000}"/>
    <cellStyle name="40% - 强调文字颜色 1 2 2 4 4" xfId="16171" xr:uid="{00000000-0005-0000-0000-00002A3F0000}"/>
    <cellStyle name="40% - 强调文字颜色 1 2 2 4 5" xfId="16172" xr:uid="{00000000-0005-0000-0000-00002B3F0000}"/>
    <cellStyle name="40% - 强调文字颜色 1 2 2 4 6" xfId="16173" xr:uid="{00000000-0005-0000-0000-00002C3F0000}"/>
    <cellStyle name="40% - 强调文字颜色 1 2 2 4 6 2" xfId="16174" xr:uid="{00000000-0005-0000-0000-00002D3F0000}"/>
    <cellStyle name="40% - 强调文字颜色 1 2 2 4 7" xfId="16175" xr:uid="{00000000-0005-0000-0000-00002E3F0000}"/>
    <cellStyle name="40% - 强调文字颜色 1 2 2 4 7 2" xfId="16176" xr:uid="{00000000-0005-0000-0000-00002F3F0000}"/>
    <cellStyle name="40% - 强调文字颜色 1 2 2 5" xfId="16177" xr:uid="{00000000-0005-0000-0000-0000303F0000}"/>
    <cellStyle name="40% - 强调文字颜色 1 2 2 5 2" xfId="16178" xr:uid="{00000000-0005-0000-0000-0000313F0000}"/>
    <cellStyle name="40% - 强调文字颜色 1 2 2 5 2 2" xfId="16179" xr:uid="{00000000-0005-0000-0000-0000323F0000}"/>
    <cellStyle name="40% - 强调文字颜色 1 2 2 5 2 2 2" xfId="16180" xr:uid="{00000000-0005-0000-0000-0000333F0000}"/>
    <cellStyle name="40% - 强调文字颜色 1 2 2 5 2 2 2 2" xfId="16181" xr:uid="{00000000-0005-0000-0000-0000343F0000}"/>
    <cellStyle name="40% - 强调文字颜色 1 2 2 5 2 3" xfId="16182" xr:uid="{00000000-0005-0000-0000-0000353F0000}"/>
    <cellStyle name="40% - 强调文字颜色 1 2 2 5 2 3 2" xfId="16183" xr:uid="{00000000-0005-0000-0000-0000363F0000}"/>
    <cellStyle name="40% - 强调文字颜色 1 2 2 5 2 4" xfId="16184" xr:uid="{00000000-0005-0000-0000-0000373F0000}"/>
    <cellStyle name="40% - 强调文字颜色 1 2 2 5 2 4 2" xfId="16185" xr:uid="{00000000-0005-0000-0000-0000383F0000}"/>
    <cellStyle name="40% - 强调文字颜色 1 2 2 5 2 5" xfId="16186" xr:uid="{00000000-0005-0000-0000-0000393F0000}"/>
    <cellStyle name="40% - 强调文字颜色 1 2 2 5 3" xfId="16187" xr:uid="{00000000-0005-0000-0000-00003A3F0000}"/>
    <cellStyle name="40% - 强调文字颜色 1 2 2 5 3 2" xfId="16188" xr:uid="{00000000-0005-0000-0000-00003B3F0000}"/>
    <cellStyle name="40% - 强调文字颜色 1 2 2 5 3 2 2" xfId="16189" xr:uid="{00000000-0005-0000-0000-00003C3F0000}"/>
    <cellStyle name="40% - 强调文字颜色 1 2 2 5 4" xfId="16190" xr:uid="{00000000-0005-0000-0000-00003D3F0000}"/>
    <cellStyle name="40% - 强调文字颜色 1 2 2 5 4 2" xfId="16191" xr:uid="{00000000-0005-0000-0000-00003E3F0000}"/>
    <cellStyle name="40% - 强调文字颜色 1 2 2 5 5" xfId="16192" xr:uid="{00000000-0005-0000-0000-00003F3F0000}"/>
    <cellStyle name="40% - 强调文字颜色 1 2 2 5 5 2" xfId="16193" xr:uid="{00000000-0005-0000-0000-0000403F0000}"/>
    <cellStyle name="40% - 强调文字颜色 1 2 2 5 6" xfId="16194" xr:uid="{00000000-0005-0000-0000-0000413F0000}"/>
    <cellStyle name="40% - 强调文字颜色 1 2 2 6" xfId="16195" xr:uid="{00000000-0005-0000-0000-0000423F0000}"/>
    <cellStyle name="40% - 强调文字颜色 1 2 2 6 2" xfId="16196" xr:uid="{00000000-0005-0000-0000-0000433F0000}"/>
    <cellStyle name="40% - 强调文字颜色 1 2 2 6 2 2" xfId="16197" xr:uid="{00000000-0005-0000-0000-0000443F0000}"/>
    <cellStyle name="40% - 强调文字颜色 1 2 2 6 2 2 2" xfId="16198" xr:uid="{00000000-0005-0000-0000-0000453F0000}"/>
    <cellStyle name="40% - 强调文字颜色 1 2 2 6 2 2 2 2" xfId="16199" xr:uid="{00000000-0005-0000-0000-0000463F0000}"/>
    <cellStyle name="40% - 强调文字颜色 1 2 2 6 2 3" xfId="16200" xr:uid="{00000000-0005-0000-0000-0000473F0000}"/>
    <cellStyle name="40% - 强调文字颜色 1 2 2 6 2 3 2" xfId="16201" xr:uid="{00000000-0005-0000-0000-0000483F0000}"/>
    <cellStyle name="40% - 强调文字颜色 1 2 2 6 2 4" xfId="16202" xr:uid="{00000000-0005-0000-0000-0000493F0000}"/>
    <cellStyle name="40% - 强调文字颜色 1 2 2 6 2 4 2" xfId="16203" xr:uid="{00000000-0005-0000-0000-00004A3F0000}"/>
    <cellStyle name="40% - 强调文字颜色 1 2 2 6 2 5" xfId="16204" xr:uid="{00000000-0005-0000-0000-00004B3F0000}"/>
    <cellStyle name="40% - 强调文字颜色 1 2 2 6 3" xfId="16205" xr:uid="{00000000-0005-0000-0000-00004C3F0000}"/>
    <cellStyle name="40% - 强调文字颜色 1 2 2 6 3 2" xfId="16206" xr:uid="{00000000-0005-0000-0000-00004D3F0000}"/>
    <cellStyle name="40% - 强调文字颜色 1 2 2 6 3 2 2" xfId="16207" xr:uid="{00000000-0005-0000-0000-00004E3F0000}"/>
    <cellStyle name="40% - 强调文字颜色 1 2 2 6 4" xfId="16208" xr:uid="{00000000-0005-0000-0000-00004F3F0000}"/>
    <cellStyle name="40% - 强调文字颜色 1 2 2 6 4 2" xfId="16209" xr:uid="{00000000-0005-0000-0000-0000503F0000}"/>
    <cellStyle name="40% - 强调文字颜色 1 2 2 6 5" xfId="16210" xr:uid="{00000000-0005-0000-0000-0000513F0000}"/>
    <cellStyle name="40% - 强调文字颜色 1 2 2 6 5 2" xfId="16211" xr:uid="{00000000-0005-0000-0000-0000523F0000}"/>
    <cellStyle name="40% - 强调文字颜色 1 2 2 6 6" xfId="16212" xr:uid="{00000000-0005-0000-0000-0000533F0000}"/>
    <cellStyle name="40% - 强调文字颜色 1 2 2 7" xfId="16213" xr:uid="{00000000-0005-0000-0000-0000543F0000}"/>
    <cellStyle name="40% - 强调文字颜色 1 2 2 7 2" xfId="16214" xr:uid="{00000000-0005-0000-0000-0000553F0000}"/>
    <cellStyle name="40% - 强调文字颜色 1 2 2 7 2 2" xfId="16215" xr:uid="{00000000-0005-0000-0000-0000563F0000}"/>
    <cellStyle name="40% - 强调文字颜色 1 2 2 7 2 2 2" xfId="16216" xr:uid="{00000000-0005-0000-0000-0000573F0000}"/>
    <cellStyle name="40% - 强调文字颜色 1 2 2 7 2 2 2 2" xfId="16217" xr:uid="{00000000-0005-0000-0000-0000583F0000}"/>
    <cellStyle name="40% - 强调文字颜色 1 2 2 7 2 3" xfId="16218" xr:uid="{00000000-0005-0000-0000-0000593F0000}"/>
    <cellStyle name="40% - 强调文字颜色 1 2 2 7 2 3 2" xfId="16219" xr:uid="{00000000-0005-0000-0000-00005A3F0000}"/>
    <cellStyle name="40% - 强调文字颜色 1 2 2 7 2 4" xfId="16220" xr:uid="{00000000-0005-0000-0000-00005B3F0000}"/>
    <cellStyle name="40% - 强调文字颜色 1 2 2 7 2 4 2" xfId="16221" xr:uid="{00000000-0005-0000-0000-00005C3F0000}"/>
    <cellStyle name="40% - 强调文字颜色 1 2 2 7 2 5" xfId="16222" xr:uid="{00000000-0005-0000-0000-00005D3F0000}"/>
    <cellStyle name="40% - 强调文字颜色 1 2 2 7 3" xfId="16223" xr:uid="{00000000-0005-0000-0000-00005E3F0000}"/>
    <cellStyle name="40% - 强调文字颜色 1 2 2 7 3 2" xfId="16224" xr:uid="{00000000-0005-0000-0000-00005F3F0000}"/>
    <cellStyle name="40% - 强调文字颜色 1 2 2 7 3 2 2" xfId="16225" xr:uid="{00000000-0005-0000-0000-0000603F0000}"/>
    <cellStyle name="40% - 强调文字颜色 1 2 2 7 4" xfId="16226" xr:uid="{00000000-0005-0000-0000-0000613F0000}"/>
    <cellStyle name="40% - 强调文字颜色 1 2 2 7 4 2" xfId="16227" xr:uid="{00000000-0005-0000-0000-0000623F0000}"/>
    <cellStyle name="40% - 强调文字颜色 1 2 2 7 5" xfId="16228" xr:uid="{00000000-0005-0000-0000-0000633F0000}"/>
    <cellStyle name="40% - 强调文字颜色 1 2 2 7 5 2" xfId="16229" xr:uid="{00000000-0005-0000-0000-0000643F0000}"/>
    <cellStyle name="40% - 强调文字颜色 1 2 2 7 6" xfId="16230" xr:uid="{00000000-0005-0000-0000-0000653F0000}"/>
    <cellStyle name="40% - 强调文字颜色 1 2 2 8" xfId="16231" xr:uid="{00000000-0005-0000-0000-0000663F0000}"/>
    <cellStyle name="40% - 强调文字颜色 1 2 2 8 2" xfId="16232" xr:uid="{00000000-0005-0000-0000-0000673F0000}"/>
    <cellStyle name="40% - 强调文字颜色 1 2 2 8 2 2" xfId="16233" xr:uid="{00000000-0005-0000-0000-0000683F0000}"/>
    <cellStyle name="40% - 强调文字颜色 1 2 2 8 2 2 2" xfId="16234" xr:uid="{00000000-0005-0000-0000-0000693F0000}"/>
    <cellStyle name="40% - 强调文字颜色 1 2 2 8 3" xfId="16235" xr:uid="{00000000-0005-0000-0000-00006A3F0000}"/>
    <cellStyle name="40% - 强调文字颜色 1 2 2 8 3 2" xfId="16236" xr:uid="{00000000-0005-0000-0000-00006B3F0000}"/>
    <cellStyle name="40% - 强调文字颜色 1 2 2 8 4" xfId="16237" xr:uid="{00000000-0005-0000-0000-00006C3F0000}"/>
    <cellStyle name="40% - 强调文字颜色 1 2 2 8 4 2" xfId="16238" xr:uid="{00000000-0005-0000-0000-00006D3F0000}"/>
    <cellStyle name="40% - 强调文字颜色 1 2 2 8 5" xfId="16239" xr:uid="{00000000-0005-0000-0000-00006E3F0000}"/>
    <cellStyle name="40% - 强调文字颜色 1 2 2 9" xfId="16240" xr:uid="{00000000-0005-0000-0000-00006F3F0000}"/>
    <cellStyle name="40% - 强调文字颜色 1 2 2 9 2" xfId="16241" xr:uid="{00000000-0005-0000-0000-0000703F0000}"/>
    <cellStyle name="40% - 强调文字颜色 1 2 2 9 2 2" xfId="16242" xr:uid="{00000000-0005-0000-0000-0000713F0000}"/>
    <cellStyle name="40% - 强调文字颜色 1 2 2 9 2 2 2" xfId="16243" xr:uid="{00000000-0005-0000-0000-0000723F0000}"/>
    <cellStyle name="40% - 强调文字颜色 1 2 2 9 3" xfId="16244" xr:uid="{00000000-0005-0000-0000-0000733F0000}"/>
    <cellStyle name="40% - 强调文字颜色 1 2 2 9 3 2" xfId="16245" xr:uid="{00000000-0005-0000-0000-0000743F0000}"/>
    <cellStyle name="40% - 强调文字颜色 1 2 2 9 4" xfId="16246" xr:uid="{00000000-0005-0000-0000-0000753F0000}"/>
    <cellStyle name="40% - 强调文字颜色 1 2 2 9 4 2" xfId="16247" xr:uid="{00000000-0005-0000-0000-0000763F0000}"/>
    <cellStyle name="40% - 强调文字颜色 1 2 2 9 5" xfId="16248" xr:uid="{00000000-0005-0000-0000-0000773F0000}"/>
    <cellStyle name="40% - 强调文字颜色 1 2 3" xfId="16249" xr:uid="{00000000-0005-0000-0000-0000783F0000}"/>
    <cellStyle name="40% - 强调文字颜色 1 2 3 10" xfId="16250" xr:uid="{00000000-0005-0000-0000-0000793F0000}"/>
    <cellStyle name="40% - 强调文字颜色 1 2 3 10 2" xfId="16251" xr:uid="{00000000-0005-0000-0000-00007A3F0000}"/>
    <cellStyle name="40% - 强调文字颜色 1 2 3 2" xfId="16252" xr:uid="{00000000-0005-0000-0000-00007B3F0000}"/>
    <cellStyle name="40% - 强调文字颜色 1 2 3 2 2" xfId="16253" xr:uid="{00000000-0005-0000-0000-00007C3F0000}"/>
    <cellStyle name="40% - 强调文字颜色 1 2 3 2 2 2" xfId="16254" xr:uid="{00000000-0005-0000-0000-00007D3F0000}"/>
    <cellStyle name="40% - 强调文字颜色 1 2 3 2 2 2 2" xfId="16255" xr:uid="{00000000-0005-0000-0000-00007E3F0000}"/>
    <cellStyle name="40% - 强调文字颜色 1 2 3 2 2 2 3" xfId="16256" xr:uid="{00000000-0005-0000-0000-00007F3F0000}"/>
    <cellStyle name="40% - 强调文字颜色 1 2 3 2 2 2 3 2" xfId="16257" xr:uid="{00000000-0005-0000-0000-0000803F0000}"/>
    <cellStyle name="40% - 强调文字颜色 1 2 3 2 2 2 3 2 2" xfId="16258" xr:uid="{00000000-0005-0000-0000-0000813F0000}"/>
    <cellStyle name="40% - 强调文字颜色 1 2 3 2 2 2 4" xfId="16259" xr:uid="{00000000-0005-0000-0000-0000823F0000}"/>
    <cellStyle name="40% - 强调文字颜色 1 2 3 2 2 2 4 2" xfId="16260" xr:uid="{00000000-0005-0000-0000-0000833F0000}"/>
    <cellStyle name="40% - 强调文字颜色 1 2 3 2 2 2 5" xfId="16261" xr:uid="{00000000-0005-0000-0000-0000843F0000}"/>
    <cellStyle name="40% - 强调文字颜色 1 2 3 2 2 2 5 2" xfId="16262" xr:uid="{00000000-0005-0000-0000-0000853F0000}"/>
    <cellStyle name="40% - 强调文字颜色 1 2 3 2 2 2 6" xfId="16263" xr:uid="{00000000-0005-0000-0000-0000863F0000}"/>
    <cellStyle name="40% - 强调文字颜色 1 2 3 2 2 3" xfId="16264" xr:uid="{00000000-0005-0000-0000-0000873F0000}"/>
    <cellStyle name="40% - 强调文字颜色 1 2 3 2 2 3 2" xfId="16265" xr:uid="{00000000-0005-0000-0000-0000883F0000}"/>
    <cellStyle name="40% - 强调文字颜色 1 2 3 2 2 3 2 2" xfId="16266" xr:uid="{00000000-0005-0000-0000-0000893F0000}"/>
    <cellStyle name="40% - 强调文字颜色 1 2 3 2 2 3 2 2 2" xfId="16267" xr:uid="{00000000-0005-0000-0000-00008A3F0000}"/>
    <cellStyle name="40% - 强调文字颜色 1 2 3 2 2 3 3" xfId="16268" xr:uid="{00000000-0005-0000-0000-00008B3F0000}"/>
    <cellStyle name="40% - 强调文字颜色 1 2 3 2 2 3 3 2" xfId="16269" xr:uid="{00000000-0005-0000-0000-00008C3F0000}"/>
    <cellStyle name="40% - 强调文字颜色 1 2 3 2 2 3 4" xfId="16270" xr:uid="{00000000-0005-0000-0000-00008D3F0000}"/>
    <cellStyle name="40% - 强调文字颜色 1 2 3 2 2 3 4 2" xfId="16271" xr:uid="{00000000-0005-0000-0000-00008E3F0000}"/>
    <cellStyle name="40% - 强调文字颜色 1 2 3 2 2 3 5" xfId="16272" xr:uid="{00000000-0005-0000-0000-00008F3F0000}"/>
    <cellStyle name="40% - 强调文字颜色 1 2 3 2 2 4" xfId="16273" xr:uid="{00000000-0005-0000-0000-0000903F0000}"/>
    <cellStyle name="40% - 强调文字颜色 1 2 3 2 2 5" xfId="16274" xr:uid="{00000000-0005-0000-0000-0000913F0000}"/>
    <cellStyle name="40% - 强调文字颜色 1 2 3 2 2 6" xfId="16275" xr:uid="{00000000-0005-0000-0000-0000923F0000}"/>
    <cellStyle name="40% - 强调文字颜色 1 2 3 2 2 6 2" xfId="16276" xr:uid="{00000000-0005-0000-0000-0000933F0000}"/>
    <cellStyle name="40% - 强调文字颜色 1 2 3 2 2 7" xfId="16277" xr:uid="{00000000-0005-0000-0000-0000943F0000}"/>
    <cellStyle name="40% - 强调文字颜色 1 2 3 2 2 7 2" xfId="16278" xr:uid="{00000000-0005-0000-0000-0000953F0000}"/>
    <cellStyle name="40% - 强调文字颜色 1 2 3 2 3" xfId="16279" xr:uid="{00000000-0005-0000-0000-0000963F0000}"/>
    <cellStyle name="40% - 强调文字颜色 1 2 3 2 3 2" xfId="16280" xr:uid="{00000000-0005-0000-0000-0000973F0000}"/>
    <cellStyle name="40% - 强调文字颜色 1 2 3 2 3 3" xfId="16281" xr:uid="{00000000-0005-0000-0000-0000983F0000}"/>
    <cellStyle name="40% - 强调文字颜色 1 2 3 2 3 3 2" xfId="16282" xr:uid="{00000000-0005-0000-0000-0000993F0000}"/>
    <cellStyle name="40% - 强调文字颜色 1 2 3 2 3 3 2 2" xfId="16283" xr:uid="{00000000-0005-0000-0000-00009A3F0000}"/>
    <cellStyle name="40% - 强调文字颜色 1 2 3 2 3 4" xfId="16284" xr:uid="{00000000-0005-0000-0000-00009B3F0000}"/>
    <cellStyle name="40% - 强调文字颜色 1 2 3 2 3 4 2" xfId="16285" xr:uid="{00000000-0005-0000-0000-00009C3F0000}"/>
    <cellStyle name="40% - 强调文字颜色 1 2 3 2 3 5" xfId="16286" xr:uid="{00000000-0005-0000-0000-00009D3F0000}"/>
    <cellStyle name="40% - 强调文字颜色 1 2 3 2 3 5 2" xfId="16287" xr:uid="{00000000-0005-0000-0000-00009E3F0000}"/>
    <cellStyle name="40% - 强调文字颜色 1 2 3 2 3 6" xfId="16288" xr:uid="{00000000-0005-0000-0000-00009F3F0000}"/>
    <cellStyle name="40% - 强调文字颜色 1 2 3 2 4" xfId="16289" xr:uid="{00000000-0005-0000-0000-0000A03F0000}"/>
    <cellStyle name="40% - 强调文字颜色 1 2 3 2 4 2" xfId="16290" xr:uid="{00000000-0005-0000-0000-0000A13F0000}"/>
    <cellStyle name="40% - 强调文字颜色 1 2 3 2 4 2 2" xfId="16291" xr:uid="{00000000-0005-0000-0000-0000A23F0000}"/>
    <cellStyle name="40% - 强调文字颜色 1 2 3 2 4 2 2 2" xfId="16292" xr:uid="{00000000-0005-0000-0000-0000A33F0000}"/>
    <cellStyle name="40% - 强调文字颜色 1 2 3 2 4 3" xfId="16293" xr:uid="{00000000-0005-0000-0000-0000A43F0000}"/>
    <cellStyle name="40% - 强调文字颜色 1 2 3 2 4 3 2" xfId="16294" xr:uid="{00000000-0005-0000-0000-0000A53F0000}"/>
    <cellStyle name="40% - 强调文字颜色 1 2 3 2 4 4" xfId="16295" xr:uid="{00000000-0005-0000-0000-0000A63F0000}"/>
    <cellStyle name="40% - 强调文字颜色 1 2 3 2 4 4 2" xfId="16296" xr:uid="{00000000-0005-0000-0000-0000A73F0000}"/>
    <cellStyle name="40% - 强调文字颜色 1 2 3 2 4 5" xfId="16297" xr:uid="{00000000-0005-0000-0000-0000A83F0000}"/>
    <cellStyle name="40% - 强调文字颜色 1 2 3 2 5" xfId="16298" xr:uid="{00000000-0005-0000-0000-0000A93F0000}"/>
    <cellStyle name="40% - 强调文字颜色 1 2 3 2 6" xfId="16299" xr:uid="{00000000-0005-0000-0000-0000AA3F0000}"/>
    <cellStyle name="40% - 强调文字颜色 1 2 3 2 7" xfId="16300" xr:uid="{00000000-0005-0000-0000-0000AB3F0000}"/>
    <cellStyle name="40% - 强调文字颜色 1 2 3 2 7 2" xfId="16301" xr:uid="{00000000-0005-0000-0000-0000AC3F0000}"/>
    <cellStyle name="40% - 强调文字颜色 1 2 3 2 8" xfId="16302" xr:uid="{00000000-0005-0000-0000-0000AD3F0000}"/>
    <cellStyle name="40% - 强调文字颜色 1 2 3 2 8 2" xfId="16303" xr:uid="{00000000-0005-0000-0000-0000AE3F0000}"/>
    <cellStyle name="40% - 强调文字颜色 1 2 3 3" xfId="16304" xr:uid="{00000000-0005-0000-0000-0000AF3F0000}"/>
    <cellStyle name="40% - 强调文字颜色 1 2 3 3 2" xfId="16305" xr:uid="{00000000-0005-0000-0000-0000B03F0000}"/>
    <cellStyle name="40% - 强调文字颜色 1 2 3 3 2 2" xfId="16306" xr:uid="{00000000-0005-0000-0000-0000B13F0000}"/>
    <cellStyle name="40% - 强调文字颜色 1 2 3 3 2 3" xfId="16307" xr:uid="{00000000-0005-0000-0000-0000B23F0000}"/>
    <cellStyle name="40% - 强调文字颜色 1 2 3 3 2 3 2" xfId="16308" xr:uid="{00000000-0005-0000-0000-0000B33F0000}"/>
    <cellStyle name="40% - 强调文字颜色 1 2 3 3 2 3 2 2" xfId="16309" xr:uid="{00000000-0005-0000-0000-0000B43F0000}"/>
    <cellStyle name="40% - 强调文字颜色 1 2 3 3 2 4" xfId="16310" xr:uid="{00000000-0005-0000-0000-0000B53F0000}"/>
    <cellStyle name="40% - 强调文字颜色 1 2 3 3 2 4 2" xfId="16311" xr:uid="{00000000-0005-0000-0000-0000B63F0000}"/>
    <cellStyle name="40% - 强调文字颜色 1 2 3 3 2 5" xfId="16312" xr:uid="{00000000-0005-0000-0000-0000B73F0000}"/>
    <cellStyle name="40% - 强调文字颜色 1 2 3 3 2 5 2" xfId="16313" xr:uid="{00000000-0005-0000-0000-0000B83F0000}"/>
    <cellStyle name="40% - 强调文字颜色 1 2 3 3 2 6" xfId="16314" xr:uid="{00000000-0005-0000-0000-0000B93F0000}"/>
    <cellStyle name="40% - 强调文字颜色 1 2 3 3 3" xfId="16315" xr:uid="{00000000-0005-0000-0000-0000BA3F0000}"/>
    <cellStyle name="40% - 强调文字颜色 1 2 3 3 3 2" xfId="16316" xr:uid="{00000000-0005-0000-0000-0000BB3F0000}"/>
    <cellStyle name="40% - 强调文字颜色 1 2 3 3 3 2 2" xfId="16317" xr:uid="{00000000-0005-0000-0000-0000BC3F0000}"/>
    <cellStyle name="40% - 强调文字颜色 1 2 3 3 3 2 2 2" xfId="16318" xr:uid="{00000000-0005-0000-0000-0000BD3F0000}"/>
    <cellStyle name="40% - 强调文字颜色 1 2 3 3 3 3" xfId="16319" xr:uid="{00000000-0005-0000-0000-0000BE3F0000}"/>
    <cellStyle name="40% - 强调文字颜色 1 2 3 3 3 3 2" xfId="16320" xr:uid="{00000000-0005-0000-0000-0000BF3F0000}"/>
    <cellStyle name="40% - 强调文字颜色 1 2 3 3 3 4" xfId="16321" xr:uid="{00000000-0005-0000-0000-0000C03F0000}"/>
    <cellStyle name="40% - 强调文字颜色 1 2 3 3 3 4 2" xfId="16322" xr:uid="{00000000-0005-0000-0000-0000C13F0000}"/>
    <cellStyle name="40% - 强调文字颜色 1 2 3 3 3 5" xfId="16323" xr:uid="{00000000-0005-0000-0000-0000C23F0000}"/>
    <cellStyle name="40% - 强调文字颜色 1 2 3 3 4" xfId="16324" xr:uid="{00000000-0005-0000-0000-0000C33F0000}"/>
    <cellStyle name="40% - 强调文字颜色 1 2 3 3 5" xfId="16325" xr:uid="{00000000-0005-0000-0000-0000C43F0000}"/>
    <cellStyle name="40% - 强调文字颜色 1 2 3 3 6" xfId="16326" xr:uid="{00000000-0005-0000-0000-0000C53F0000}"/>
    <cellStyle name="40% - 强调文字颜色 1 2 3 3 6 2" xfId="16327" xr:uid="{00000000-0005-0000-0000-0000C63F0000}"/>
    <cellStyle name="40% - 强调文字颜色 1 2 3 3 7" xfId="16328" xr:uid="{00000000-0005-0000-0000-0000C73F0000}"/>
    <cellStyle name="40% - 强调文字颜色 1 2 3 3 7 2" xfId="16329" xr:uid="{00000000-0005-0000-0000-0000C83F0000}"/>
    <cellStyle name="40% - 强调文字颜色 1 2 3 4" xfId="16330" xr:uid="{00000000-0005-0000-0000-0000C93F0000}"/>
    <cellStyle name="40% - 强调文字颜色 1 2 3 4 2" xfId="16331" xr:uid="{00000000-0005-0000-0000-0000CA3F0000}"/>
    <cellStyle name="40% - 强调文字颜色 1 2 3 4 2 2" xfId="16332" xr:uid="{00000000-0005-0000-0000-0000CB3F0000}"/>
    <cellStyle name="40% - 强调文字颜色 1 2 3 4 2 3" xfId="16333" xr:uid="{00000000-0005-0000-0000-0000CC3F0000}"/>
    <cellStyle name="40% - 强调文字颜色 1 2 3 4 2 3 2" xfId="16334" xr:uid="{00000000-0005-0000-0000-0000CD3F0000}"/>
    <cellStyle name="40% - 强调文字颜色 1 2 3 4 2 3 2 2" xfId="16335" xr:uid="{00000000-0005-0000-0000-0000CE3F0000}"/>
    <cellStyle name="40% - 强调文字颜色 1 2 3 4 2 4" xfId="16336" xr:uid="{00000000-0005-0000-0000-0000CF3F0000}"/>
    <cellStyle name="40% - 强调文字颜色 1 2 3 4 2 4 2" xfId="16337" xr:uid="{00000000-0005-0000-0000-0000D03F0000}"/>
    <cellStyle name="40% - 强调文字颜色 1 2 3 4 2 5" xfId="16338" xr:uid="{00000000-0005-0000-0000-0000D13F0000}"/>
    <cellStyle name="40% - 强调文字颜色 1 2 3 4 2 5 2" xfId="16339" xr:uid="{00000000-0005-0000-0000-0000D23F0000}"/>
    <cellStyle name="40% - 强调文字颜色 1 2 3 4 2 6" xfId="16340" xr:uid="{00000000-0005-0000-0000-0000D33F0000}"/>
    <cellStyle name="40% - 强调文字颜色 1 2 3 4 3" xfId="16341" xr:uid="{00000000-0005-0000-0000-0000D43F0000}"/>
    <cellStyle name="40% - 强调文字颜色 1 2 3 4 4" xfId="16342" xr:uid="{00000000-0005-0000-0000-0000D53F0000}"/>
    <cellStyle name="40% - 强调文字颜色 1 2 3 4 5" xfId="16343" xr:uid="{00000000-0005-0000-0000-0000D63F0000}"/>
    <cellStyle name="40% - 强调文字颜色 1 2 3 4 6" xfId="16344" xr:uid="{00000000-0005-0000-0000-0000D73F0000}"/>
    <cellStyle name="40% - 强调文字颜色 1 2 3 4 6 2" xfId="16345" xr:uid="{00000000-0005-0000-0000-0000D83F0000}"/>
    <cellStyle name="40% - 强调文字颜色 1 2 3 4 7" xfId="16346" xr:uid="{00000000-0005-0000-0000-0000D93F0000}"/>
    <cellStyle name="40% - 强调文字颜色 1 2 3 4 7 2" xfId="16347" xr:uid="{00000000-0005-0000-0000-0000DA3F0000}"/>
    <cellStyle name="40% - 强调文字颜色 1 2 3 5" xfId="16348" xr:uid="{00000000-0005-0000-0000-0000DB3F0000}"/>
    <cellStyle name="40% - 强调文字颜色 1 2 3 5 2" xfId="16349" xr:uid="{00000000-0005-0000-0000-0000DC3F0000}"/>
    <cellStyle name="40% - 强调文字颜色 1 2 3 5 2 2" xfId="16350" xr:uid="{00000000-0005-0000-0000-0000DD3F0000}"/>
    <cellStyle name="40% - 强调文字颜色 1 2 3 5 2 2 2" xfId="16351" xr:uid="{00000000-0005-0000-0000-0000DE3F0000}"/>
    <cellStyle name="40% - 强调文字颜色 1 2 3 5 2 2 2 2" xfId="16352" xr:uid="{00000000-0005-0000-0000-0000DF3F0000}"/>
    <cellStyle name="40% - 强调文字颜色 1 2 3 5 2 3" xfId="16353" xr:uid="{00000000-0005-0000-0000-0000E03F0000}"/>
    <cellStyle name="40% - 强调文字颜色 1 2 3 5 2 3 2" xfId="16354" xr:uid="{00000000-0005-0000-0000-0000E13F0000}"/>
    <cellStyle name="40% - 强调文字颜色 1 2 3 5 2 4" xfId="16355" xr:uid="{00000000-0005-0000-0000-0000E23F0000}"/>
    <cellStyle name="40% - 强调文字颜色 1 2 3 5 2 4 2" xfId="16356" xr:uid="{00000000-0005-0000-0000-0000E33F0000}"/>
    <cellStyle name="40% - 强调文字颜色 1 2 3 5 2 5" xfId="16357" xr:uid="{00000000-0005-0000-0000-0000E43F0000}"/>
    <cellStyle name="40% - 强调文字颜色 1 2 3 5 3" xfId="16358" xr:uid="{00000000-0005-0000-0000-0000E53F0000}"/>
    <cellStyle name="40% - 强调文字颜色 1 2 3 5 3 2" xfId="16359" xr:uid="{00000000-0005-0000-0000-0000E63F0000}"/>
    <cellStyle name="40% - 强调文字颜色 1 2 3 5 3 2 2" xfId="16360" xr:uid="{00000000-0005-0000-0000-0000E73F0000}"/>
    <cellStyle name="40% - 强调文字颜色 1 2 3 5 4" xfId="16361" xr:uid="{00000000-0005-0000-0000-0000E83F0000}"/>
    <cellStyle name="40% - 强调文字颜色 1 2 3 5 4 2" xfId="16362" xr:uid="{00000000-0005-0000-0000-0000E93F0000}"/>
    <cellStyle name="40% - 强调文字颜色 1 2 3 5 5" xfId="16363" xr:uid="{00000000-0005-0000-0000-0000EA3F0000}"/>
    <cellStyle name="40% - 强调文字颜色 1 2 3 5 5 2" xfId="16364" xr:uid="{00000000-0005-0000-0000-0000EB3F0000}"/>
    <cellStyle name="40% - 强调文字颜色 1 2 3 5 6" xfId="16365" xr:uid="{00000000-0005-0000-0000-0000EC3F0000}"/>
    <cellStyle name="40% - 强调文字颜色 1 2 3 6" xfId="16366" xr:uid="{00000000-0005-0000-0000-0000ED3F0000}"/>
    <cellStyle name="40% - 强调文字颜色 1 2 3 6 2" xfId="16367" xr:uid="{00000000-0005-0000-0000-0000EE3F0000}"/>
    <cellStyle name="40% - 强调文字颜色 1 2 3 6 2 2" xfId="16368" xr:uid="{00000000-0005-0000-0000-0000EF3F0000}"/>
    <cellStyle name="40% - 强调文字颜色 1 2 3 6 2 2 2" xfId="16369" xr:uid="{00000000-0005-0000-0000-0000F03F0000}"/>
    <cellStyle name="40% - 强调文字颜色 1 2 3 6 3" xfId="16370" xr:uid="{00000000-0005-0000-0000-0000F13F0000}"/>
    <cellStyle name="40% - 强调文字颜色 1 2 3 6 3 2" xfId="16371" xr:uid="{00000000-0005-0000-0000-0000F23F0000}"/>
    <cellStyle name="40% - 强调文字颜色 1 2 3 6 4" xfId="16372" xr:uid="{00000000-0005-0000-0000-0000F33F0000}"/>
    <cellStyle name="40% - 强调文字颜色 1 2 3 6 4 2" xfId="16373" xr:uid="{00000000-0005-0000-0000-0000F43F0000}"/>
    <cellStyle name="40% - 强调文字颜色 1 2 3 6 5" xfId="16374" xr:uid="{00000000-0005-0000-0000-0000F53F0000}"/>
    <cellStyle name="40% - 强调文字颜色 1 2 3 7" xfId="16375" xr:uid="{00000000-0005-0000-0000-0000F63F0000}"/>
    <cellStyle name="40% - 强调文字颜色 1 2 3 7 2" xfId="16376" xr:uid="{00000000-0005-0000-0000-0000F73F0000}"/>
    <cellStyle name="40% - 强调文字颜色 1 2 3 7 2 2" xfId="16377" xr:uid="{00000000-0005-0000-0000-0000F83F0000}"/>
    <cellStyle name="40% - 强调文字颜色 1 2 3 7 2 2 2" xfId="16378" xr:uid="{00000000-0005-0000-0000-0000F93F0000}"/>
    <cellStyle name="40% - 强调文字颜色 1 2 3 7 3" xfId="16379" xr:uid="{00000000-0005-0000-0000-0000FA3F0000}"/>
    <cellStyle name="40% - 强调文字颜色 1 2 3 7 3 2" xfId="16380" xr:uid="{00000000-0005-0000-0000-0000FB3F0000}"/>
    <cellStyle name="40% - 强调文字颜色 1 2 3 7 4" xfId="16381" xr:uid="{00000000-0005-0000-0000-0000FC3F0000}"/>
    <cellStyle name="40% - 强调文字颜色 1 2 3 7 4 2" xfId="16382" xr:uid="{00000000-0005-0000-0000-0000FD3F0000}"/>
    <cellStyle name="40% - 强调文字颜色 1 2 3 7 5" xfId="16383" xr:uid="{00000000-0005-0000-0000-0000FE3F0000}"/>
    <cellStyle name="40% - 强调文字颜色 1 2 3 8" xfId="16384" xr:uid="{00000000-0005-0000-0000-0000FF3F0000}"/>
    <cellStyle name="40% - 强调文字颜色 1 2 3 9" xfId="16385" xr:uid="{00000000-0005-0000-0000-000000400000}"/>
    <cellStyle name="40% - 强调文字颜色 1 2 3 9 2" xfId="16386" xr:uid="{00000000-0005-0000-0000-000001400000}"/>
    <cellStyle name="40% - 强调文字颜色 1 2 4" xfId="16387" xr:uid="{00000000-0005-0000-0000-000002400000}"/>
    <cellStyle name="40% - 强调文字颜色 1 2 4 2" xfId="16388" xr:uid="{00000000-0005-0000-0000-000003400000}"/>
    <cellStyle name="40% - 强调文字颜色 1 2 4 2 2" xfId="16389" xr:uid="{00000000-0005-0000-0000-000004400000}"/>
    <cellStyle name="40% - 强调文字颜色 1 2 4 2 3" xfId="16390" xr:uid="{00000000-0005-0000-0000-000005400000}"/>
    <cellStyle name="40% - 强调文字颜色 1 2 4 2 3 2" xfId="16391" xr:uid="{00000000-0005-0000-0000-000006400000}"/>
    <cellStyle name="40% - 强调文字颜色 1 2 4 2 3 2 2" xfId="16392" xr:uid="{00000000-0005-0000-0000-000007400000}"/>
    <cellStyle name="40% - 强调文字颜色 1 2 4 2 4" xfId="16393" xr:uid="{00000000-0005-0000-0000-000008400000}"/>
    <cellStyle name="40% - 强调文字颜色 1 2 4 2 4 2" xfId="16394" xr:uid="{00000000-0005-0000-0000-000009400000}"/>
    <cellStyle name="40% - 强调文字颜色 1 2 4 2 5" xfId="16395" xr:uid="{00000000-0005-0000-0000-00000A400000}"/>
    <cellStyle name="40% - 强调文字颜色 1 2 4 2 5 2" xfId="16396" xr:uid="{00000000-0005-0000-0000-00000B400000}"/>
    <cellStyle name="40% - 强调文字颜色 1 2 4 2 6" xfId="16397" xr:uid="{00000000-0005-0000-0000-00000C400000}"/>
    <cellStyle name="40% - 强调文字颜色 1 2 4 3" xfId="16398" xr:uid="{00000000-0005-0000-0000-00000D400000}"/>
    <cellStyle name="40% - 强调文字颜色 1 2 4 3 2" xfId="16399" xr:uid="{00000000-0005-0000-0000-00000E400000}"/>
    <cellStyle name="40% - 强调文字颜色 1 2 4 3 2 2" xfId="16400" xr:uid="{00000000-0005-0000-0000-00000F400000}"/>
    <cellStyle name="40% - 强调文字颜色 1 2 4 3 2 2 2" xfId="16401" xr:uid="{00000000-0005-0000-0000-000010400000}"/>
    <cellStyle name="40% - 强调文字颜色 1 2 4 3 3" xfId="16402" xr:uid="{00000000-0005-0000-0000-000011400000}"/>
    <cellStyle name="40% - 强调文字颜色 1 2 4 3 3 2" xfId="16403" xr:uid="{00000000-0005-0000-0000-000012400000}"/>
    <cellStyle name="40% - 强调文字颜色 1 2 4 3 4" xfId="16404" xr:uid="{00000000-0005-0000-0000-000013400000}"/>
    <cellStyle name="40% - 强调文字颜色 1 2 4 3 4 2" xfId="16405" xr:uid="{00000000-0005-0000-0000-000014400000}"/>
    <cellStyle name="40% - 强调文字颜色 1 2 4 3 5" xfId="16406" xr:uid="{00000000-0005-0000-0000-000015400000}"/>
    <cellStyle name="40% - 强调文字颜色 1 2 4 4" xfId="16407" xr:uid="{00000000-0005-0000-0000-000016400000}"/>
    <cellStyle name="40% - 强调文字颜色 1 2 4 5" xfId="16408" xr:uid="{00000000-0005-0000-0000-000017400000}"/>
    <cellStyle name="40% - 强调文字颜色 1 2 4 6" xfId="16409" xr:uid="{00000000-0005-0000-0000-000018400000}"/>
    <cellStyle name="40% - 强调文字颜色 1 2 4 6 2" xfId="16410" xr:uid="{00000000-0005-0000-0000-000019400000}"/>
    <cellStyle name="40% - 强调文字颜色 1 2 4 7" xfId="16411" xr:uid="{00000000-0005-0000-0000-00001A400000}"/>
    <cellStyle name="40% - 强调文字颜色 1 2 4 7 2" xfId="16412" xr:uid="{00000000-0005-0000-0000-00001B400000}"/>
    <cellStyle name="40% - 强调文字颜色 1 2 5" xfId="16413" xr:uid="{00000000-0005-0000-0000-00001C400000}"/>
    <cellStyle name="40% - 强调文字颜色 1 2 5 2" xfId="16414" xr:uid="{00000000-0005-0000-0000-00001D400000}"/>
    <cellStyle name="40% - 强调文字颜色 1 2 5 2 2" xfId="16415" xr:uid="{00000000-0005-0000-0000-00001E400000}"/>
    <cellStyle name="40% - 强调文字颜色 1 2 5 2 3" xfId="16416" xr:uid="{00000000-0005-0000-0000-00001F400000}"/>
    <cellStyle name="40% - 强调文字颜色 1 2 5 2 3 2" xfId="16417" xr:uid="{00000000-0005-0000-0000-000020400000}"/>
    <cellStyle name="40% - 强调文字颜色 1 2 5 2 3 2 2" xfId="16418" xr:uid="{00000000-0005-0000-0000-000021400000}"/>
    <cellStyle name="40% - 强调文字颜色 1 2 5 2 4" xfId="16419" xr:uid="{00000000-0005-0000-0000-000022400000}"/>
    <cellStyle name="40% - 强调文字颜色 1 2 5 2 4 2" xfId="16420" xr:uid="{00000000-0005-0000-0000-000023400000}"/>
    <cellStyle name="40% - 强调文字颜色 1 2 5 2 5" xfId="16421" xr:uid="{00000000-0005-0000-0000-000024400000}"/>
    <cellStyle name="40% - 强调文字颜色 1 2 5 2 5 2" xfId="16422" xr:uid="{00000000-0005-0000-0000-000025400000}"/>
    <cellStyle name="40% - 强调文字颜色 1 2 5 2 6" xfId="16423" xr:uid="{00000000-0005-0000-0000-000026400000}"/>
    <cellStyle name="40% - 强调文字颜色 1 2 5 3" xfId="16424" xr:uid="{00000000-0005-0000-0000-000027400000}"/>
    <cellStyle name="40% - 强调文字颜色 1 2 5 4" xfId="16425" xr:uid="{00000000-0005-0000-0000-000028400000}"/>
    <cellStyle name="40% - 强调文字颜色 1 2 5 5" xfId="16426" xr:uid="{00000000-0005-0000-0000-000029400000}"/>
    <cellStyle name="40% - 强调文字颜色 1 2 5 6" xfId="16427" xr:uid="{00000000-0005-0000-0000-00002A400000}"/>
    <cellStyle name="40% - 强调文字颜色 1 2 5 6 2" xfId="16428" xr:uid="{00000000-0005-0000-0000-00002B400000}"/>
    <cellStyle name="40% - 强调文字颜色 1 2 5 7" xfId="16429" xr:uid="{00000000-0005-0000-0000-00002C400000}"/>
    <cellStyle name="40% - 强调文字颜色 1 2 5 7 2" xfId="16430" xr:uid="{00000000-0005-0000-0000-00002D400000}"/>
    <cellStyle name="40% - 强调文字颜色 1 2 6" xfId="16431" xr:uid="{00000000-0005-0000-0000-00002E400000}"/>
    <cellStyle name="40% - 强调文字颜色 1 2 6 2" xfId="16432" xr:uid="{00000000-0005-0000-0000-00002F400000}"/>
    <cellStyle name="40% - 强调文字颜色 1 2 6 2 2" xfId="16433" xr:uid="{00000000-0005-0000-0000-000030400000}"/>
    <cellStyle name="40% - 强调文字颜色 1 2 6 2 2 2" xfId="16434" xr:uid="{00000000-0005-0000-0000-000031400000}"/>
    <cellStyle name="40% - 强调文字颜色 1 2 6 2 2 2 2" xfId="16435" xr:uid="{00000000-0005-0000-0000-000032400000}"/>
    <cellStyle name="40% - 强调文字颜色 1 2 6 2 3" xfId="16436" xr:uid="{00000000-0005-0000-0000-000033400000}"/>
    <cellStyle name="40% - 强调文字颜色 1 2 6 2 3 2" xfId="16437" xr:uid="{00000000-0005-0000-0000-000034400000}"/>
    <cellStyle name="40% - 强调文字颜色 1 2 6 2 4" xfId="16438" xr:uid="{00000000-0005-0000-0000-000035400000}"/>
    <cellStyle name="40% - 强调文字颜色 1 2 6 2 4 2" xfId="16439" xr:uid="{00000000-0005-0000-0000-000036400000}"/>
    <cellStyle name="40% - 强调文字颜色 1 2 6 2 5" xfId="16440" xr:uid="{00000000-0005-0000-0000-000037400000}"/>
    <cellStyle name="40% - 强调文字颜色 1 2 6 3" xfId="16441" xr:uid="{00000000-0005-0000-0000-000038400000}"/>
    <cellStyle name="40% - 强调文字颜色 1 2 6 3 2" xfId="16442" xr:uid="{00000000-0005-0000-0000-000039400000}"/>
    <cellStyle name="40% - 强调文字颜色 1 2 6 3 2 2" xfId="16443" xr:uid="{00000000-0005-0000-0000-00003A400000}"/>
    <cellStyle name="40% - 强调文字颜色 1 2 6 4" xfId="16444" xr:uid="{00000000-0005-0000-0000-00003B400000}"/>
    <cellStyle name="40% - 强调文字颜色 1 2 6 4 2" xfId="16445" xr:uid="{00000000-0005-0000-0000-00003C400000}"/>
    <cellStyle name="40% - 强调文字颜色 1 2 6 5" xfId="16446" xr:uid="{00000000-0005-0000-0000-00003D400000}"/>
    <cellStyle name="40% - 强调文字颜色 1 2 6 5 2" xfId="16447" xr:uid="{00000000-0005-0000-0000-00003E400000}"/>
    <cellStyle name="40% - 强调文字颜色 1 2 6 6" xfId="16448" xr:uid="{00000000-0005-0000-0000-00003F400000}"/>
    <cellStyle name="40% - 强调文字颜色 1 2 7" xfId="16449" xr:uid="{00000000-0005-0000-0000-000040400000}"/>
    <cellStyle name="40% - 强调文字颜色 1 2 7 2" xfId="16450" xr:uid="{00000000-0005-0000-0000-000041400000}"/>
    <cellStyle name="40% - 强调文字颜色 1 2 7 2 2" xfId="16451" xr:uid="{00000000-0005-0000-0000-000042400000}"/>
    <cellStyle name="40% - 强调文字颜色 1 2 7 2 2 2" xfId="16452" xr:uid="{00000000-0005-0000-0000-000043400000}"/>
    <cellStyle name="40% - 强调文字颜色 1 2 7 2 2 2 2" xfId="16453" xr:uid="{00000000-0005-0000-0000-000044400000}"/>
    <cellStyle name="40% - 强调文字颜色 1 2 7 2 3" xfId="16454" xr:uid="{00000000-0005-0000-0000-000045400000}"/>
    <cellStyle name="40% - 强调文字颜色 1 2 7 2 3 2" xfId="16455" xr:uid="{00000000-0005-0000-0000-000046400000}"/>
    <cellStyle name="40% - 强调文字颜色 1 2 7 2 4" xfId="16456" xr:uid="{00000000-0005-0000-0000-000047400000}"/>
    <cellStyle name="40% - 强调文字颜色 1 2 7 2 4 2" xfId="16457" xr:uid="{00000000-0005-0000-0000-000048400000}"/>
    <cellStyle name="40% - 强调文字颜色 1 2 7 2 5" xfId="16458" xr:uid="{00000000-0005-0000-0000-000049400000}"/>
    <cellStyle name="40% - 强调文字颜色 1 2 7 3" xfId="16459" xr:uid="{00000000-0005-0000-0000-00004A400000}"/>
    <cellStyle name="40% - 强调文字颜色 1 2 7 3 2" xfId="16460" xr:uid="{00000000-0005-0000-0000-00004B400000}"/>
    <cellStyle name="40% - 强调文字颜色 1 2 7 3 2 2" xfId="16461" xr:uid="{00000000-0005-0000-0000-00004C400000}"/>
    <cellStyle name="40% - 强调文字颜色 1 2 7 4" xfId="16462" xr:uid="{00000000-0005-0000-0000-00004D400000}"/>
    <cellStyle name="40% - 强调文字颜色 1 2 7 4 2" xfId="16463" xr:uid="{00000000-0005-0000-0000-00004E400000}"/>
    <cellStyle name="40% - 强调文字颜色 1 2 7 5" xfId="16464" xr:uid="{00000000-0005-0000-0000-00004F400000}"/>
    <cellStyle name="40% - 强调文字颜色 1 2 7 5 2" xfId="16465" xr:uid="{00000000-0005-0000-0000-000050400000}"/>
    <cellStyle name="40% - 强调文字颜色 1 2 7 6" xfId="16466" xr:uid="{00000000-0005-0000-0000-000051400000}"/>
    <cellStyle name="40% - 强调文字颜色 1 2 8" xfId="16467" xr:uid="{00000000-0005-0000-0000-000052400000}"/>
    <cellStyle name="40% - 强调文字颜色 1 2 8 2" xfId="16468" xr:uid="{00000000-0005-0000-0000-000053400000}"/>
    <cellStyle name="40% - 强调文字颜色 1 2 8 2 2" xfId="16469" xr:uid="{00000000-0005-0000-0000-000054400000}"/>
    <cellStyle name="40% - 强调文字颜色 1 2 8 2 2 2" xfId="16470" xr:uid="{00000000-0005-0000-0000-000055400000}"/>
    <cellStyle name="40% - 强调文字颜色 1 2 8 2 2 2 2" xfId="16471" xr:uid="{00000000-0005-0000-0000-000056400000}"/>
    <cellStyle name="40% - 强调文字颜色 1 2 8 2 3" xfId="16472" xr:uid="{00000000-0005-0000-0000-000057400000}"/>
    <cellStyle name="40% - 强调文字颜色 1 2 8 2 3 2" xfId="16473" xr:uid="{00000000-0005-0000-0000-000058400000}"/>
    <cellStyle name="40% - 强调文字颜色 1 2 8 2 4" xfId="16474" xr:uid="{00000000-0005-0000-0000-000059400000}"/>
    <cellStyle name="40% - 强调文字颜色 1 2 8 2 4 2" xfId="16475" xr:uid="{00000000-0005-0000-0000-00005A400000}"/>
    <cellStyle name="40% - 强调文字颜色 1 2 8 2 5" xfId="16476" xr:uid="{00000000-0005-0000-0000-00005B400000}"/>
    <cellStyle name="40% - 强调文字颜色 1 2 8 3" xfId="16477" xr:uid="{00000000-0005-0000-0000-00005C400000}"/>
    <cellStyle name="40% - 强调文字颜色 1 2 8 3 2" xfId="16478" xr:uid="{00000000-0005-0000-0000-00005D400000}"/>
    <cellStyle name="40% - 强调文字颜色 1 2 8 3 2 2" xfId="16479" xr:uid="{00000000-0005-0000-0000-00005E400000}"/>
    <cellStyle name="40% - 强调文字颜色 1 2 8 4" xfId="16480" xr:uid="{00000000-0005-0000-0000-00005F400000}"/>
    <cellStyle name="40% - 强调文字颜色 1 2 8 4 2" xfId="16481" xr:uid="{00000000-0005-0000-0000-000060400000}"/>
    <cellStyle name="40% - 强调文字颜色 1 2 8 5" xfId="16482" xr:uid="{00000000-0005-0000-0000-000061400000}"/>
    <cellStyle name="40% - 强调文字颜色 1 2 8 5 2" xfId="16483" xr:uid="{00000000-0005-0000-0000-000062400000}"/>
    <cellStyle name="40% - 强调文字颜色 1 2 8 6" xfId="16484" xr:uid="{00000000-0005-0000-0000-000063400000}"/>
    <cellStyle name="40% - 强调文字颜色 1 2 9" xfId="16485" xr:uid="{00000000-0005-0000-0000-000064400000}"/>
    <cellStyle name="40% - 强调文字颜色 1 2 9 2" xfId="16486" xr:uid="{00000000-0005-0000-0000-000065400000}"/>
    <cellStyle name="40% - 强调文字颜色 1 2 9 2 2" xfId="16487" xr:uid="{00000000-0005-0000-0000-000066400000}"/>
    <cellStyle name="40% - 强调文字颜色 1 2 9 2 2 2" xfId="16488" xr:uid="{00000000-0005-0000-0000-000067400000}"/>
    <cellStyle name="40% - 强调文字颜色 1 2 9 3" xfId="16489" xr:uid="{00000000-0005-0000-0000-000068400000}"/>
    <cellStyle name="40% - 强调文字颜色 1 2 9 3 2" xfId="16490" xr:uid="{00000000-0005-0000-0000-000069400000}"/>
    <cellStyle name="40% - 强调文字颜色 1 2 9 4" xfId="16491" xr:uid="{00000000-0005-0000-0000-00006A400000}"/>
    <cellStyle name="40% - 强调文字颜色 1 2 9 4 2" xfId="16492" xr:uid="{00000000-0005-0000-0000-00006B400000}"/>
    <cellStyle name="40% - 强调文字颜色 1 2 9 5" xfId="16493" xr:uid="{00000000-0005-0000-0000-00006C400000}"/>
    <cellStyle name="40% - 强调文字颜色 1 3" xfId="16494" xr:uid="{00000000-0005-0000-0000-00006D400000}"/>
    <cellStyle name="40% - 强调文字颜色 1 3 2" xfId="16495" xr:uid="{00000000-0005-0000-0000-00006E400000}"/>
    <cellStyle name="40% - 强调文字颜色 1 3 2 2" xfId="16496" xr:uid="{00000000-0005-0000-0000-00006F400000}"/>
    <cellStyle name="40% - 强调文字颜色 1 3 2 2 2" xfId="16497" xr:uid="{00000000-0005-0000-0000-000070400000}"/>
    <cellStyle name="40% - 强调文字颜色 1 3 2 2 2 2" xfId="16498" xr:uid="{00000000-0005-0000-0000-000071400000}"/>
    <cellStyle name="40% - 强调文字颜色 1 3 2 2 2 3" xfId="16499" xr:uid="{00000000-0005-0000-0000-000072400000}"/>
    <cellStyle name="40% - 强调文字颜色 1 3 2 2 2 3 2" xfId="16500" xr:uid="{00000000-0005-0000-0000-000073400000}"/>
    <cellStyle name="40% - 强调文字颜色 1 3 2 2 2 3 2 2" xfId="16501" xr:uid="{00000000-0005-0000-0000-000074400000}"/>
    <cellStyle name="40% - 强调文字颜色 1 3 2 2 2 4" xfId="16502" xr:uid="{00000000-0005-0000-0000-000075400000}"/>
    <cellStyle name="40% - 强调文字颜色 1 3 2 2 2 4 2" xfId="16503" xr:uid="{00000000-0005-0000-0000-000076400000}"/>
    <cellStyle name="40% - 强调文字颜色 1 3 2 2 2 5" xfId="16504" xr:uid="{00000000-0005-0000-0000-000077400000}"/>
    <cellStyle name="40% - 强调文字颜色 1 3 2 2 2 5 2" xfId="16505" xr:uid="{00000000-0005-0000-0000-000078400000}"/>
    <cellStyle name="40% - 强调文字颜色 1 3 2 2 2 6" xfId="16506" xr:uid="{00000000-0005-0000-0000-000079400000}"/>
    <cellStyle name="40% - 强调文字颜色 1 3 2 2 3" xfId="16507" xr:uid="{00000000-0005-0000-0000-00007A400000}"/>
    <cellStyle name="40% - 强调文字颜色 1 3 2 2 3 2" xfId="16508" xr:uid="{00000000-0005-0000-0000-00007B400000}"/>
    <cellStyle name="40% - 强调文字颜色 1 3 2 2 3 2 2" xfId="16509" xr:uid="{00000000-0005-0000-0000-00007C400000}"/>
    <cellStyle name="40% - 强调文字颜色 1 3 2 2 3 2 2 2" xfId="16510" xr:uid="{00000000-0005-0000-0000-00007D400000}"/>
    <cellStyle name="40% - 强调文字颜色 1 3 2 2 3 3" xfId="16511" xr:uid="{00000000-0005-0000-0000-00007E400000}"/>
    <cellStyle name="40% - 强调文字颜色 1 3 2 2 3 3 2" xfId="16512" xr:uid="{00000000-0005-0000-0000-00007F400000}"/>
    <cellStyle name="40% - 强调文字颜色 1 3 2 2 3 4" xfId="16513" xr:uid="{00000000-0005-0000-0000-000080400000}"/>
    <cellStyle name="40% - 强调文字颜色 1 3 2 2 3 4 2" xfId="16514" xr:uid="{00000000-0005-0000-0000-000081400000}"/>
    <cellStyle name="40% - 强调文字颜色 1 3 2 2 3 5" xfId="16515" xr:uid="{00000000-0005-0000-0000-000082400000}"/>
    <cellStyle name="40% - 强调文字颜色 1 3 2 2 4" xfId="16516" xr:uid="{00000000-0005-0000-0000-000083400000}"/>
    <cellStyle name="40% - 强调文字颜色 1 3 2 2 5" xfId="16517" xr:uid="{00000000-0005-0000-0000-000084400000}"/>
    <cellStyle name="40% - 强调文字颜色 1 3 2 2 6" xfId="16518" xr:uid="{00000000-0005-0000-0000-000085400000}"/>
    <cellStyle name="40% - 强调文字颜色 1 3 2 2 6 2" xfId="16519" xr:uid="{00000000-0005-0000-0000-000086400000}"/>
    <cellStyle name="40% - 强调文字颜色 1 3 2 2 7" xfId="16520" xr:uid="{00000000-0005-0000-0000-000087400000}"/>
    <cellStyle name="40% - 强调文字颜色 1 3 2 2 7 2" xfId="16521" xr:uid="{00000000-0005-0000-0000-000088400000}"/>
    <cellStyle name="40% - 强调文字颜色 1 3 2 3" xfId="16522" xr:uid="{00000000-0005-0000-0000-000089400000}"/>
    <cellStyle name="40% - 强调文字颜色 1 3 2 3 2" xfId="16523" xr:uid="{00000000-0005-0000-0000-00008A400000}"/>
    <cellStyle name="40% - 强调文字颜色 1 3 2 3 3" xfId="16524" xr:uid="{00000000-0005-0000-0000-00008B400000}"/>
    <cellStyle name="40% - 强调文字颜色 1 3 2 3 3 2" xfId="16525" xr:uid="{00000000-0005-0000-0000-00008C400000}"/>
    <cellStyle name="40% - 强调文字颜色 1 3 2 3 3 2 2" xfId="16526" xr:uid="{00000000-0005-0000-0000-00008D400000}"/>
    <cellStyle name="40% - 强调文字颜色 1 3 2 3 4" xfId="16527" xr:uid="{00000000-0005-0000-0000-00008E400000}"/>
    <cellStyle name="40% - 强调文字颜色 1 3 2 3 4 2" xfId="16528" xr:uid="{00000000-0005-0000-0000-00008F400000}"/>
    <cellStyle name="40% - 强调文字颜色 1 3 2 3 5" xfId="16529" xr:uid="{00000000-0005-0000-0000-000090400000}"/>
    <cellStyle name="40% - 强调文字颜色 1 3 2 3 5 2" xfId="16530" xr:uid="{00000000-0005-0000-0000-000091400000}"/>
    <cellStyle name="40% - 强调文字颜色 1 3 2 3 6" xfId="16531" xr:uid="{00000000-0005-0000-0000-000092400000}"/>
    <cellStyle name="40% - 强调文字颜色 1 3 2 4" xfId="16532" xr:uid="{00000000-0005-0000-0000-000093400000}"/>
    <cellStyle name="40% - 强调文字颜色 1 3 2 4 2" xfId="16533" xr:uid="{00000000-0005-0000-0000-000094400000}"/>
    <cellStyle name="40% - 强调文字颜色 1 3 2 4 2 2" xfId="16534" xr:uid="{00000000-0005-0000-0000-000095400000}"/>
    <cellStyle name="40% - 强调文字颜色 1 3 2 4 2 2 2" xfId="16535" xr:uid="{00000000-0005-0000-0000-000096400000}"/>
    <cellStyle name="40% - 强调文字颜色 1 3 2 4 3" xfId="16536" xr:uid="{00000000-0005-0000-0000-000097400000}"/>
    <cellStyle name="40% - 强调文字颜色 1 3 2 4 3 2" xfId="16537" xr:uid="{00000000-0005-0000-0000-000098400000}"/>
    <cellStyle name="40% - 强调文字颜色 1 3 2 4 4" xfId="16538" xr:uid="{00000000-0005-0000-0000-000099400000}"/>
    <cellStyle name="40% - 强调文字颜色 1 3 2 4 4 2" xfId="16539" xr:uid="{00000000-0005-0000-0000-00009A400000}"/>
    <cellStyle name="40% - 强调文字颜色 1 3 2 4 5" xfId="16540" xr:uid="{00000000-0005-0000-0000-00009B400000}"/>
    <cellStyle name="40% - 强调文字颜色 1 3 2 5" xfId="16541" xr:uid="{00000000-0005-0000-0000-00009C400000}"/>
    <cellStyle name="40% - 强调文字颜色 1 3 2 6" xfId="16542" xr:uid="{00000000-0005-0000-0000-00009D400000}"/>
    <cellStyle name="40% - 强调文字颜色 1 3 2 7" xfId="16543" xr:uid="{00000000-0005-0000-0000-00009E400000}"/>
    <cellStyle name="40% - 强调文字颜色 1 3 2 7 2" xfId="16544" xr:uid="{00000000-0005-0000-0000-00009F400000}"/>
    <cellStyle name="40% - 强调文字颜色 1 3 2 8" xfId="16545" xr:uid="{00000000-0005-0000-0000-0000A0400000}"/>
    <cellStyle name="40% - 强调文字颜色 1 3 2 8 2" xfId="16546" xr:uid="{00000000-0005-0000-0000-0000A1400000}"/>
    <cellStyle name="40% - 强调文字颜色 1 3 3" xfId="16547" xr:uid="{00000000-0005-0000-0000-0000A2400000}"/>
    <cellStyle name="40% - 强调文字颜色 1 3 3 2" xfId="16548" xr:uid="{00000000-0005-0000-0000-0000A3400000}"/>
    <cellStyle name="40% - 强调文字颜色 1 3 3 2 2" xfId="16549" xr:uid="{00000000-0005-0000-0000-0000A4400000}"/>
    <cellStyle name="40% - 强调文字颜色 1 3 3 2 3" xfId="16550" xr:uid="{00000000-0005-0000-0000-0000A5400000}"/>
    <cellStyle name="40% - 强调文字颜色 1 3 3 2 3 2" xfId="16551" xr:uid="{00000000-0005-0000-0000-0000A6400000}"/>
    <cellStyle name="40% - 强调文字颜色 1 3 3 2 3 2 2" xfId="16552" xr:uid="{00000000-0005-0000-0000-0000A7400000}"/>
    <cellStyle name="40% - 强调文字颜色 1 3 3 2 4" xfId="16553" xr:uid="{00000000-0005-0000-0000-0000A8400000}"/>
    <cellStyle name="40% - 强调文字颜色 1 3 3 2 4 2" xfId="16554" xr:uid="{00000000-0005-0000-0000-0000A9400000}"/>
    <cellStyle name="40% - 强调文字颜色 1 3 3 2 5" xfId="16555" xr:uid="{00000000-0005-0000-0000-0000AA400000}"/>
    <cellStyle name="40% - 强调文字颜色 1 3 3 2 5 2" xfId="16556" xr:uid="{00000000-0005-0000-0000-0000AB400000}"/>
    <cellStyle name="40% - 强调文字颜色 1 3 3 2 6" xfId="16557" xr:uid="{00000000-0005-0000-0000-0000AC400000}"/>
    <cellStyle name="40% - 强调文字颜色 1 3 3 3" xfId="16558" xr:uid="{00000000-0005-0000-0000-0000AD400000}"/>
    <cellStyle name="40% - 强调文字颜色 1 3 3 3 2" xfId="16559" xr:uid="{00000000-0005-0000-0000-0000AE400000}"/>
    <cellStyle name="40% - 强调文字颜色 1 3 3 3 2 2" xfId="16560" xr:uid="{00000000-0005-0000-0000-0000AF400000}"/>
    <cellStyle name="40% - 强调文字颜色 1 3 3 3 2 2 2" xfId="16561" xr:uid="{00000000-0005-0000-0000-0000B0400000}"/>
    <cellStyle name="40% - 强调文字颜色 1 3 3 3 3" xfId="16562" xr:uid="{00000000-0005-0000-0000-0000B1400000}"/>
    <cellStyle name="40% - 强调文字颜色 1 3 3 3 3 2" xfId="16563" xr:uid="{00000000-0005-0000-0000-0000B2400000}"/>
    <cellStyle name="40% - 强调文字颜色 1 3 3 3 4" xfId="16564" xr:uid="{00000000-0005-0000-0000-0000B3400000}"/>
    <cellStyle name="40% - 强调文字颜色 1 3 3 3 4 2" xfId="16565" xr:uid="{00000000-0005-0000-0000-0000B4400000}"/>
    <cellStyle name="40% - 强调文字颜色 1 3 3 3 5" xfId="16566" xr:uid="{00000000-0005-0000-0000-0000B5400000}"/>
    <cellStyle name="40% - 强调文字颜色 1 3 3 4" xfId="16567" xr:uid="{00000000-0005-0000-0000-0000B6400000}"/>
    <cellStyle name="40% - 强调文字颜色 1 3 3 5" xfId="16568" xr:uid="{00000000-0005-0000-0000-0000B7400000}"/>
    <cellStyle name="40% - 强调文字颜色 1 3 3 6" xfId="16569" xr:uid="{00000000-0005-0000-0000-0000B8400000}"/>
    <cellStyle name="40% - 强调文字颜色 1 3 3 6 2" xfId="16570" xr:uid="{00000000-0005-0000-0000-0000B9400000}"/>
    <cellStyle name="40% - 强调文字颜色 1 3 3 7" xfId="16571" xr:uid="{00000000-0005-0000-0000-0000BA400000}"/>
    <cellStyle name="40% - 强调文字颜色 1 3 3 7 2" xfId="16572" xr:uid="{00000000-0005-0000-0000-0000BB400000}"/>
    <cellStyle name="40% - 强调文字颜色 1 3 4" xfId="16573" xr:uid="{00000000-0005-0000-0000-0000BC400000}"/>
    <cellStyle name="40% - 强调文字颜色 1 3 4 2" xfId="16574" xr:uid="{00000000-0005-0000-0000-0000BD400000}"/>
    <cellStyle name="40% - 强调文字颜色 1 3 4 2 2" xfId="16575" xr:uid="{00000000-0005-0000-0000-0000BE400000}"/>
    <cellStyle name="40% - 强调文字颜色 1 3 4 2 3" xfId="16576" xr:uid="{00000000-0005-0000-0000-0000BF400000}"/>
    <cellStyle name="40% - 强调文字颜色 1 3 4 2 3 2" xfId="16577" xr:uid="{00000000-0005-0000-0000-0000C0400000}"/>
    <cellStyle name="40% - 强调文字颜色 1 3 4 2 3 2 2" xfId="16578" xr:uid="{00000000-0005-0000-0000-0000C1400000}"/>
    <cellStyle name="40% - 强调文字颜色 1 3 4 2 4" xfId="16579" xr:uid="{00000000-0005-0000-0000-0000C2400000}"/>
    <cellStyle name="40% - 强调文字颜色 1 3 4 2 4 2" xfId="16580" xr:uid="{00000000-0005-0000-0000-0000C3400000}"/>
    <cellStyle name="40% - 强调文字颜色 1 3 4 2 5" xfId="16581" xr:uid="{00000000-0005-0000-0000-0000C4400000}"/>
    <cellStyle name="40% - 强调文字颜色 1 3 4 2 5 2" xfId="16582" xr:uid="{00000000-0005-0000-0000-0000C5400000}"/>
    <cellStyle name="40% - 强调文字颜色 1 3 4 2 6" xfId="16583" xr:uid="{00000000-0005-0000-0000-0000C6400000}"/>
    <cellStyle name="40% - 强调文字颜色 1 3 4 3" xfId="16584" xr:uid="{00000000-0005-0000-0000-0000C7400000}"/>
    <cellStyle name="40% - 强调文字颜色 1 3 4 4" xfId="16585" xr:uid="{00000000-0005-0000-0000-0000C8400000}"/>
    <cellStyle name="40% - 强调文字颜色 1 3 4 5" xfId="16586" xr:uid="{00000000-0005-0000-0000-0000C9400000}"/>
    <cellStyle name="40% - 强调文字颜色 1 3 4 6" xfId="16587" xr:uid="{00000000-0005-0000-0000-0000CA400000}"/>
    <cellStyle name="40% - 强调文字颜色 1 3 4 6 2" xfId="16588" xr:uid="{00000000-0005-0000-0000-0000CB400000}"/>
    <cellStyle name="40% - 强调文字颜色 1 3 4 7" xfId="16589" xr:uid="{00000000-0005-0000-0000-0000CC400000}"/>
    <cellStyle name="40% - 强调文字颜色 1 3 4 7 2" xfId="16590" xr:uid="{00000000-0005-0000-0000-0000CD400000}"/>
    <cellStyle name="40% - 强调文字颜色 1 3 5" xfId="16591" xr:uid="{00000000-0005-0000-0000-0000CE400000}"/>
    <cellStyle name="40% - 强调文字颜色 1 3 5 2" xfId="16592" xr:uid="{00000000-0005-0000-0000-0000CF400000}"/>
    <cellStyle name="40% - 强调文字颜色 1 3 5 2 2" xfId="16593" xr:uid="{00000000-0005-0000-0000-0000D0400000}"/>
    <cellStyle name="40% - 强调文字颜色 1 3 5 2 2 2" xfId="16594" xr:uid="{00000000-0005-0000-0000-0000D1400000}"/>
    <cellStyle name="40% - 强调文字颜色 1 3 5 2 2 2 2" xfId="16595" xr:uid="{00000000-0005-0000-0000-0000D2400000}"/>
    <cellStyle name="40% - 强调文字颜色 1 3 5 2 3" xfId="16596" xr:uid="{00000000-0005-0000-0000-0000D3400000}"/>
    <cellStyle name="40% - 强调文字颜色 1 3 5 2 3 2" xfId="16597" xr:uid="{00000000-0005-0000-0000-0000D4400000}"/>
    <cellStyle name="40% - 强调文字颜色 1 3 5 2 4" xfId="16598" xr:uid="{00000000-0005-0000-0000-0000D5400000}"/>
    <cellStyle name="40% - 强调文字颜色 1 3 5 2 4 2" xfId="16599" xr:uid="{00000000-0005-0000-0000-0000D6400000}"/>
    <cellStyle name="40% - 强调文字颜色 1 3 5 2 5" xfId="16600" xr:uid="{00000000-0005-0000-0000-0000D7400000}"/>
    <cellStyle name="40% - 强调文字颜色 1 3 5 3" xfId="16601" xr:uid="{00000000-0005-0000-0000-0000D8400000}"/>
    <cellStyle name="40% - 强调文字颜色 1 3 5 3 2" xfId="16602" xr:uid="{00000000-0005-0000-0000-0000D9400000}"/>
    <cellStyle name="40% - 强调文字颜色 1 3 5 3 2 2" xfId="16603" xr:uid="{00000000-0005-0000-0000-0000DA400000}"/>
    <cellStyle name="40% - 强调文字颜色 1 3 5 4" xfId="16604" xr:uid="{00000000-0005-0000-0000-0000DB400000}"/>
    <cellStyle name="40% - 强调文字颜色 1 3 5 4 2" xfId="16605" xr:uid="{00000000-0005-0000-0000-0000DC400000}"/>
    <cellStyle name="40% - 强调文字颜色 1 3 5 5" xfId="16606" xr:uid="{00000000-0005-0000-0000-0000DD400000}"/>
    <cellStyle name="40% - 强调文字颜色 1 3 5 5 2" xfId="16607" xr:uid="{00000000-0005-0000-0000-0000DE400000}"/>
    <cellStyle name="40% - 强调文字颜色 1 3 5 6" xfId="16608" xr:uid="{00000000-0005-0000-0000-0000DF400000}"/>
    <cellStyle name="40% - 强调文字颜色 1 3 6" xfId="16609" xr:uid="{00000000-0005-0000-0000-0000E0400000}"/>
    <cellStyle name="40% - 强调文字颜色 1 3 6 2" xfId="16610" xr:uid="{00000000-0005-0000-0000-0000E1400000}"/>
    <cellStyle name="40% - 强调文字颜色 1 3 6 2 2" xfId="16611" xr:uid="{00000000-0005-0000-0000-0000E2400000}"/>
    <cellStyle name="40% - 强调文字颜色 1 3 6 2 2 2" xfId="16612" xr:uid="{00000000-0005-0000-0000-0000E3400000}"/>
    <cellStyle name="40% - 强调文字颜色 1 3 6 3" xfId="16613" xr:uid="{00000000-0005-0000-0000-0000E4400000}"/>
    <cellStyle name="40% - 强调文字颜色 1 3 6 3 2" xfId="16614" xr:uid="{00000000-0005-0000-0000-0000E5400000}"/>
    <cellStyle name="40% - 强调文字颜色 1 3 6 4" xfId="16615" xr:uid="{00000000-0005-0000-0000-0000E6400000}"/>
    <cellStyle name="40% - 强调文字颜色 1 3 6 4 2" xfId="16616" xr:uid="{00000000-0005-0000-0000-0000E7400000}"/>
    <cellStyle name="40% - 强调文字颜色 1 3 6 5" xfId="16617" xr:uid="{00000000-0005-0000-0000-0000E8400000}"/>
    <cellStyle name="40% - 强调文字颜色 1 3 7" xfId="16618" xr:uid="{00000000-0005-0000-0000-0000E9400000}"/>
    <cellStyle name="40% - 强调文字颜色 1 3 8" xfId="16619" xr:uid="{00000000-0005-0000-0000-0000EA400000}"/>
    <cellStyle name="40% - 强调文字颜色 1 3 8 2" xfId="16620" xr:uid="{00000000-0005-0000-0000-0000EB400000}"/>
    <cellStyle name="40% - 强调文字颜色 1 3 9" xfId="16621" xr:uid="{00000000-0005-0000-0000-0000EC400000}"/>
    <cellStyle name="40% - 强调文字颜色 1 3 9 2" xfId="16622" xr:uid="{00000000-0005-0000-0000-0000ED400000}"/>
    <cellStyle name="40% - 强调文字颜色 2 2" xfId="16623" xr:uid="{00000000-0005-0000-0000-0000EE400000}"/>
    <cellStyle name="40% - 强调文字颜色 2 2 10" xfId="16624" xr:uid="{00000000-0005-0000-0000-0000EF400000}"/>
    <cellStyle name="40% - 强调文字颜色 2 2 11" xfId="16625" xr:uid="{00000000-0005-0000-0000-0000F0400000}"/>
    <cellStyle name="40% - 强调文字颜色 2 2 11 2" xfId="16626" xr:uid="{00000000-0005-0000-0000-0000F1400000}"/>
    <cellStyle name="40% - 强调文字颜色 2 2 12" xfId="16627" xr:uid="{00000000-0005-0000-0000-0000F2400000}"/>
    <cellStyle name="40% - 强调文字颜色 2 2 12 2" xfId="16628" xr:uid="{00000000-0005-0000-0000-0000F3400000}"/>
    <cellStyle name="40% - 强调文字颜色 2 2 2" xfId="16629" xr:uid="{00000000-0005-0000-0000-0000F4400000}"/>
    <cellStyle name="40% - 强调文字颜色 2 2 2 10" xfId="16630" xr:uid="{00000000-0005-0000-0000-0000F5400000}"/>
    <cellStyle name="40% - 强调文字颜色 2 2 2 11" xfId="16631" xr:uid="{00000000-0005-0000-0000-0000F6400000}"/>
    <cellStyle name="40% - 强调文字颜色 2 2 2 11 2" xfId="16632" xr:uid="{00000000-0005-0000-0000-0000F7400000}"/>
    <cellStyle name="40% - 强调文字颜色 2 2 2 12" xfId="16633" xr:uid="{00000000-0005-0000-0000-0000F8400000}"/>
    <cellStyle name="40% - 强调文字颜色 2 2 2 12 2" xfId="16634" xr:uid="{00000000-0005-0000-0000-0000F9400000}"/>
    <cellStyle name="40% - 强调文字颜色 2 2 2 2" xfId="16635" xr:uid="{00000000-0005-0000-0000-0000FA400000}"/>
    <cellStyle name="40% - 强调文字颜色 2 2 2 2 2" xfId="16636" xr:uid="{00000000-0005-0000-0000-0000FB400000}"/>
    <cellStyle name="40% - 强调文字颜色 2 2 2 2 2 2" xfId="16637" xr:uid="{00000000-0005-0000-0000-0000FC400000}"/>
    <cellStyle name="40% - 强调文字颜色 2 2 2 2 2 2 2" xfId="16638" xr:uid="{00000000-0005-0000-0000-0000FD400000}"/>
    <cellStyle name="40% - 强调文字颜色 2 2 2 2 2 2 3" xfId="16639" xr:uid="{00000000-0005-0000-0000-0000FE400000}"/>
    <cellStyle name="40% - 强调文字颜色 2 2 2 2 2 2 3 2" xfId="16640" xr:uid="{00000000-0005-0000-0000-0000FF400000}"/>
    <cellStyle name="40% - 强调文字颜色 2 2 2 2 2 2 3 2 2" xfId="16641" xr:uid="{00000000-0005-0000-0000-000000410000}"/>
    <cellStyle name="40% - 强调文字颜色 2 2 2 2 2 2 4" xfId="16642" xr:uid="{00000000-0005-0000-0000-000001410000}"/>
    <cellStyle name="40% - 强调文字颜色 2 2 2 2 2 2 4 2" xfId="16643" xr:uid="{00000000-0005-0000-0000-000002410000}"/>
    <cellStyle name="40% - 强调文字颜色 2 2 2 2 2 2 5" xfId="16644" xr:uid="{00000000-0005-0000-0000-000003410000}"/>
    <cellStyle name="40% - 强调文字颜色 2 2 2 2 2 2 5 2" xfId="16645" xr:uid="{00000000-0005-0000-0000-000004410000}"/>
    <cellStyle name="40% - 强调文字颜色 2 2 2 2 2 2 6" xfId="16646" xr:uid="{00000000-0005-0000-0000-000005410000}"/>
    <cellStyle name="40% - 强调文字颜色 2 2 2 2 2 3" xfId="16647" xr:uid="{00000000-0005-0000-0000-000006410000}"/>
    <cellStyle name="40% - 强调文字颜色 2 2 2 2 2 3 2" xfId="16648" xr:uid="{00000000-0005-0000-0000-000007410000}"/>
    <cellStyle name="40% - 强调文字颜色 2 2 2 2 2 3 2 2" xfId="16649" xr:uid="{00000000-0005-0000-0000-000008410000}"/>
    <cellStyle name="40% - 强调文字颜色 2 2 2 2 2 3 2 2 2" xfId="16650" xr:uid="{00000000-0005-0000-0000-000009410000}"/>
    <cellStyle name="40% - 强调文字颜色 2 2 2 2 2 3 3" xfId="16651" xr:uid="{00000000-0005-0000-0000-00000A410000}"/>
    <cellStyle name="40% - 强调文字颜色 2 2 2 2 2 3 3 2" xfId="16652" xr:uid="{00000000-0005-0000-0000-00000B410000}"/>
    <cellStyle name="40% - 强调文字颜色 2 2 2 2 2 3 4" xfId="16653" xr:uid="{00000000-0005-0000-0000-00000C410000}"/>
    <cellStyle name="40% - 强调文字颜色 2 2 2 2 2 3 4 2" xfId="16654" xr:uid="{00000000-0005-0000-0000-00000D410000}"/>
    <cellStyle name="40% - 强调文字颜色 2 2 2 2 2 3 5" xfId="16655" xr:uid="{00000000-0005-0000-0000-00000E410000}"/>
    <cellStyle name="40% - 强调文字颜色 2 2 2 2 2 4" xfId="16656" xr:uid="{00000000-0005-0000-0000-00000F410000}"/>
    <cellStyle name="40% - 强调文字颜色 2 2 2 2 2 5" xfId="16657" xr:uid="{00000000-0005-0000-0000-000010410000}"/>
    <cellStyle name="40% - 强调文字颜色 2 2 2 2 2 6" xfId="16658" xr:uid="{00000000-0005-0000-0000-000011410000}"/>
    <cellStyle name="40% - 强调文字颜色 2 2 2 2 2 6 2" xfId="16659" xr:uid="{00000000-0005-0000-0000-000012410000}"/>
    <cellStyle name="40% - 强调文字颜色 2 2 2 2 2 7" xfId="16660" xr:uid="{00000000-0005-0000-0000-000013410000}"/>
    <cellStyle name="40% - 强调文字颜色 2 2 2 2 2 7 2" xfId="16661" xr:uid="{00000000-0005-0000-0000-000014410000}"/>
    <cellStyle name="40% - 强调文字颜色 2 2 2 2 3" xfId="16662" xr:uid="{00000000-0005-0000-0000-000015410000}"/>
    <cellStyle name="40% - 强调文字颜色 2 2 2 2 3 2" xfId="16663" xr:uid="{00000000-0005-0000-0000-000016410000}"/>
    <cellStyle name="40% - 强调文字颜色 2 2 2 2 3 3" xfId="16664" xr:uid="{00000000-0005-0000-0000-000017410000}"/>
    <cellStyle name="40% - 强调文字颜色 2 2 2 2 3 3 2" xfId="16665" xr:uid="{00000000-0005-0000-0000-000018410000}"/>
    <cellStyle name="40% - 强调文字颜色 2 2 2 2 3 3 2 2" xfId="16666" xr:uid="{00000000-0005-0000-0000-000019410000}"/>
    <cellStyle name="40% - 强调文字颜色 2 2 2 2 3 4" xfId="16667" xr:uid="{00000000-0005-0000-0000-00001A410000}"/>
    <cellStyle name="40% - 强调文字颜色 2 2 2 2 3 4 2" xfId="16668" xr:uid="{00000000-0005-0000-0000-00001B410000}"/>
    <cellStyle name="40% - 强调文字颜色 2 2 2 2 3 5" xfId="16669" xr:uid="{00000000-0005-0000-0000-00001C410000}"/>
    <cellStyle name="40% - 强调文字颜色 2 2 2 2 3 5 2" xfId="16670" xr:uid="{00000000-0005-0000-0000-00001D410000}"/>
    <cellStyle name="40% - 强调文字颜色 2 2 2 2 3 6" xfId="16671" xr:uid="{00000000-0005-0000-0000-00001E410000}"/>
    <cellStyle name="40% - 强调文字颜色 2 2 2 2 4" xfId="16672" xr:uid="{00000000-0005-0000-0000-00001F410000}"/>
    <cellStyle name="40% - 强调文字颜色 2 2 2 2 4 2" xfId="16673" xr:uid="{00000000-0005-0000-0000-000020410000}"/>
    <cellStyle name="40% - 强调文字颜色 2 2 2 2 4 2 2" xfId="16674" xr:uid="{00000000-0005-0000-0000-000021410000}"/>
    <cellStyle name="40% - 强调文字颜色 2 2 2 2 4 2 2 2" xfId="16675" xr:uid="{00000000-0005-0000-0000-000022410000}"/>
    <cellStyle name="40% - 强调文字颜色 2 2 2 2 4 3" xfId="16676" xr:uid="{00000000-0005-0000-0000-000023410000}"/>
    <cellStyle name="40% - 强调文字颜色 2 2 2 2 4 3 2" xfId="16677" xr:uid="{00000000-0005-0000-0000-000024410000}"/>
    <cellStyle name="40% - 强调文字颜色 2 2 2 2 4 4" xfId="16678" xr:uid="{00000000-0005-0000-0000-000025410000}"/>
    <cellStyle name="40% - 强调文字颜色 2 2 2 2 4 4 2" xfId="16679" xr:uid="{00000000-0005-0000-0000-000026410000}"/>
    <cellStyle name="40% - 强调文字颜色 2 2 2 2 4 5" xfId="16680" xr:uid="{00000000-0005-0000-0000-000027410000}"/>
    <cellStyle name="40% - 强调文字颜色 2 2 2 2 5" xfId="16681" xr:uid="{00000000-0005-0000-0000-000028410000}"/>
    <cellStyle name="40% - 强调文字颜色 2 2 2 2 6" xfId="16682" xr:uid="{00000000-0005-0000-0000-000029410000}"/>
    <cellStyle name="40% - 强调文字颜色 2 2 2 2 7" xfId="16683" xr:uid="{00000000-0005-0000-0000-00002A410000}"/>
    <cellStyle name="40% - 强调文字颜色 2 2 2 2 7 2" xfId="16684" xr:uid="{00000000-0005-0000-0000-00002B410000}"/>
    <cellStyle name="40% - 强调文字颜色 2 2 2 2 8" xfId="16685" xr:uid="{00000000-0005-0000-0000-00002C410000}"/>
    <cellStyle name="40% - 强调文字颜色 2 2 2 2 8 2" xfId="16686" xr:uid="{00000000-0005-0000-0000-00002D410000}"/>
    <cellStyle name="40% - 强调文字颜色 2 2 2 3" xfId="16687" xr:uid="{00000000-0005-0000-0000-00002E410000}"/>
    <cellStyle name="40% - 强调文字颜色 2 2 2 3 2" xfId="16688" xr:uid="{00000000-0005-0000-0000-00002F410000}"/>
    <cellStyle name="40% - 强调文字颜色 2 2 2 3 2 2" xfId="16689" xr:uid="{00000000-0005-0000-0000-000030410000}"/>
    <cellStyle name="40% - 强调文字颜色 2 2 2 3 2 3" xfId="16690" xr:uid="{00000000-0005-0000-0000-000031410000}"/>
    <cellStyle name="40% - 强调文字颜色 2 2 2 3 2 3 2" xfId="16691" xr:uid="{00000000-0005-0000-0000-000032410000}"/>
    <cellStyle name="40% - 强调文字颜色 2 2 2 3 2 3 2 2" xfId="16692" xr:uid="{00000000-0005-0000-0000-000033410000}"/>
    <cellStyle name="40% - 强调文字颜色 2 2 2 3 2 4" xfId="16693" xr:uid="{00000000-0005-0000-0000-000034410000}"/>
    <cellStyle name="40% - 强调文字颜色 2 2 2 3 2 4 2" xfId="16694" xr:uid="{00000000-0005-0000-0000-000035410000}"/>
    <cellStyle name="40% - 强调文字颜色 2 2 2 3 2 5" xfId="16695" xr:uid="{00000000-0005-0000-0000-000036410000}"/>
    <cellStyle name="40% - 强调文字颜色 2 2 2 3 2 5 2" xfId="16696" xr:uid="{00000000-0005-0000-0000-000037410000}"/>
    <cellStyle name="40% - 强调文字颜色 2 2 2 3 2 6" xfId="16697" xr:uid="{00000000-0005-0000-0000-000038410000}"/>
    <cellStyle name="40% - 强调文字颜色 2 2 2 3 3" xfId="16698" xr:uid="{00000000-0005-0000-0000-000039410000}"/>
    <cellStyle name="40% - 强调文字颜色 2 2 2 3 3 2" xfId="16699" xr:uid="{00000000-0005-0000-0000-00003A410000}"/>
    <cellStyle name="40% - 强调文字颜色 2 2 2 3 3 2 2" xfId="16700" xr:uid="{00000000-0005-0000-0000-00003B410000}"/>
    <cellStyle name="40% - 强调文字颜色 2 2 2 3 3 2 2 2" xfId="16701" xr:uid="{00000000-0005-0000-0000-00003C410000}"/>
    <cellStyle name="40% - 强调文字颜色 2 2 2 3 3 3" xfId="16702" xr:uid="{00000000-0005-0000-0000-00003D410000}"/>
    <cellStyle name="40% - 强调文字颜色 2 2 2 3 3 3 2" xfId="16703" xr:uid="{00000000-0005-0000-0000-00003E410000}"/>
    <cellStyle name="40% - 强调文字颜色 2 2 2 3 3 4" xfId="16704" xr:uid="{00000000-0005-0000-0000-00003F410000}"/>
    <cellStyle name="40% - 强调文字颜色 2 2 2 3 3 4 2" xfId="16705" xr:uid="{00000000-0005-0000-0000-000040410000}"/>
    <cellStyle name="40% - 强调文字颜色 2 2 2 3 3 5" xfId="16706" xr:uid="{00000000-0005-0000-0000-000041410000}"/>
    <cellStyle name="40% - 强调文字颜色 2 2 2 3 4" xfId="16707" xr:uid="{00000000-0005-0000-0000-000042410000}"/>
    <cellStyle name="40% - 强调文字颜色 2 2 2 3 5" xfId="16708" xr:uid="{00000000-0005-0000-0000-000043410000}"/>
    <cellStyle name="40% - 强调文字颜色 2 2 2 3 6" xfId="16709" xr:uid="{00000000-0005-0000-0000-000044410000}"/>
    <cellStyle name="40% - 强调文字颜色 2 2 2 3 6 2" xfId="16710" xr:uid="{00000000-0005-0000-0000-000045410000}"/>
    <cellStyle name="40% - 强调文字颜色 2 2 2 3 7" xfId="16711" xr:uid="{00000000-0005-0000-0000-000046410000}"/>
    <cellStyle name="40% - 强调文字颜色 2 2 2 3 7 2" xfId="16712" xr:uid="{00000000-0005-0000-0000-000047410000}"/>
    <cellStyle name="40% - 强调文字颜色 2 2 2 4" xfId="16713" xr:uid="{00000000-0005-0000-0000-000048410000}"/>
    <cellStyle name="40% - 强调文字颜色 2 2 2 4 2" xfId="16714" xr:uid="{00000000-0005-0000-0000-000049410000}"/>
    <cellStyle name="40% - 强调文字颜色 2 2 2 4 2 2" xfId="16715" xr:uid="{00000000-0005-0000-0000-00004A410000}"/>
    <cellStyle name="40% - 强调文字颜色 2 2 2 4 2 3" xfId="16716" xr:uid="{00000000-0005-0000-0000-00004B410000}"/>
    <cellStyle name="40% - 强调文字颜色 2 2 2 4 2 3 2" xfId="16717" xr:uid="{00000000-0005-0000-0000-00004C410000}"/>
    <cellStyle name="40% - 强调文字颜色 2 2 2 4 2 3 2 2" xfId="16718" xr:uid="{00000000-0005-0000-0000-00004D410000}"/>
    <cellStyle name="40% - 强调文字颜色 2 2 2 4 2 4" xfId="16719" xr:uid="{00000000-0005-0000-0000-00004E410000}"/>
    <cellStyle name="40% - 强调文字颜色 2 2 2 4 2 4 2" xfId="16720" xr:uid="{00000000-0005-0000-0000-00004F410000}"/>
    <cellStyle name="40% - 强调文字颜色 2 2 2 4 2 5" xfId="16721" xr:uid="{00000000-0005-0000-0000-000050410000}"/>
    <cellStyle name="40% - 强调文字颜色 2 2 2 4 2 5 2" xfId="16722" xr:uid="{00000000-0005-0000-0000-000051410000}"/>
    <cellStyle name="40% - 强调文字颜色 2 2 2 4 2 6" xfId="16723" xr:uid="{00000000-0005-0000-0000-000052410000}"/>
    <cellStyle name="40% - 强调文字颜色 2 2 2 4 3" xfId="16724" xr:uid="{00000000-0005-0000-0000-000053410000}"/>
    <cellStyle name="40% - 强调文字颜色 2 2 2 4 4" xfId="16725" xr:uid="{00000000-0005-0000-0000-000054410000}"/>
    <cellStyle name="40% - 强调文字颜色 2 2 2 4 5" xfId="16726" xr:uid="{00000000-0005-0000-0000-000055410000}"/>
    <cellStyle name="40% - 强调文字颜色 2 2 2 4 6" xfId="16727" xr:uid="{00000000-0005-0000-0000-000056410000}"/>
    <cellStyle name="40% - 强调文字颜色 2 2 2 4 6 2" xfId="16728" xr:uid="{00000000-0005-0000-0000-000057410000}"/>
    <cellStyle name="40% - 强调文字颜色 2 2 2 4 7" xfId="16729" xr:uid="{00000000-0005-0000-0000-000058410000}"/>
    <cellStyle name="40% - 强调文字颜色 2 2 2 4 7 2" xfId="16730" xr:uid="{00000000-0005-0000-0000-000059410000}"/>
    <cellStyle name="40% - 强调文字颜色 2 2 2 5" xfId="16731" xr:uid="{00000000-0005-0000-0000-00005A410000}"/>
    <cellStyle name="40% - 强调文字颜色 2 2 2 5 2" xfId="16732" xr:uid="{00000000-0005-0000-0000-00005B410000}"/>
    <cellStyle name="40% - 强调文字颜色 2 2 2 5 2 2" xfId="16733" xr:uid="{00000000-0005-0000-0000-00005C410000}"/>
    <cellStyle name="40% - 强调文字颜色 2 2 2 5 2 2 2" xfId="16734" xr:uid="{00000000-0005-0000-0000-00005D410000}"/>
    <cellStyle name="40% - 强调文字颜色 2 2 2 5 2 2 2 2" xfId="16735" xr:uid="{00000000-0005-0000-0000-00005E410000}"/>
    <cellStyle name="40% - 强调文字颜色 2 2 2 5 2 3" xfId="16736" xr:uid="{00000000-0005-0000-0000-00005F410000}"/>
    <cellStyle name="40% - 强调文字颜色 2 2 2 5 2 3 2" xfId="16737" xr:uid="{00000000-0005-0000-0000-000060410000}"/>
    <cellStyle name="40% - 强调文字颜色 2 2 2 5 2 4" xfId="16738" xr:uid="{00000000-0005-0000-0000-000061410000}"/>
    <cellStyle name="40% - 强调文字颜色 2 2 2 5 2 4 2" xfId="16739" xr:uid="{00000000-0005-0000-0000-000062410000}"/>
    <cellStyle name="40% - 强调文字颜色 2 2 2 5 2 5" xfId="16740" xr:uid="{00000000-0005-0000-0000-000063410000}"/>
    <cellStyle name="40% - 强调文字颜色 2 2 2 5 3" xfId="16741" xr:uid="{00000000-0005-0000-0000-000064410000}"/>
    <cellStyle name="40% - 强调文字颜色 2 2 2 5 3 2" xfId="16742" xr:uid="{00000000-0005-0000-0000-000065410000}"/>
    <cellStyle name="40% - 强调文字颜色 2 2 2 5 3 2 2" xfId="16743" xr:uid="{00000000-0005-0000-0000-000066410000}"/>
    <cellStyle name="40% - 强调文字颜色 2 2 2 5 4" xfId="16744" xr:uid="{00000000-0005-0000-0000-000067410000}"/>
    <cellStyle name="40% - 强调文字颜色 2 2 2 5 4 2" xfId="16745" xr:uid="{00000000-0005-0000-0000-000068410000}"/>
    <cellStyle name="40% - 强调文字颜色 2 2 2 5 5" xfId="16746" xr:uid="{00000000-0005-0000-0000-000069410000}"/>
    <cellStyle name="40% - 强调文字颜色 2 2 2 5 5 2" xfId="16747" xr:uid="{00000000-0005-0000-0000-00006A410000}"/>
    <cellStyle name="40% - 强调文字颜色 2 2 2 5 6" xfId="16748" xr:uid="{00000000-0005-0000-0000-00006B410000}"/>
    <cellStyle name="40% - 强调文字颜色 2 2 2 6" xfId="16749" xr:uid="{00000000-0005-0000-0000-00006C410000}"/>
    <cellStyle name="40% - 强调文字颜色 2 2 2 6 2" xfId="16750" xr:uid="{00000000-0005-0000-0000-00006D410000}"/>
    <cellStyle name="40% - 强调文字颜色 2 2 2 6 2 2" xfId="16751" xr:uid="{00000000-0005-0000-0000-00006E410000}"/>
    <cellStyle name="40% - 强调文字颜色 2 2 2 6 2 2 2" xfId="16752" xr:uid="{00000000-0005-0000-0000-00006F410000}"/>
    <cellStyle name="40% - 强调文字颜色 2 2 2 6 2 2 2 2" xfId="16753" xr:uid="{00000000-0005-0000-0000-000070410000}"/>
    <cellStyle name="40% - 强调文字颜色 2 2 2 6 2 3" xfId="16754" xr:uid="{00000000-0005-0000-0000-000071410000}"/>
    <cellStyle name="40% - 强调文字颜色 2 2 2 6 2 3 2" xfId="16755" xr:uid="{00000000-0005-0000-0000-000072410000}"/>
    <cellStyle name="40% - 强调文字颜色 2 2 2 6 2 4" xfId="16756" xr:uid="{00000000-0005-0000-0000-000073410000}"/>
    <cellStyle name="40% - 强调文字颜色 2 2 2 6 2 4 2" xfId="16757" xr:uid="{00000000-0005-0000-0000-000074410000}"/>
    <cellStyle name="40% - 强调文字颜色 2 2 2 6 2 5" xfId="16758" xr:uid="{00000000-0005-0000-0000-000075410000}"/>
    <cellStyle name="40% - 强调文字颜色 2 2 2 6 3" xfId="16759" xr:uid="{00000000-0005-0000-0000-000076410000}"/>
    <cellStyle name="40% - 强调文字颜色 2 2 2 6 3 2" xfId="16760" xr:uid="{00000000-0005-0000-0000-000077410000}"/>
    <cellStyle name="40% - 强调文字颜色 2 2 2 6 3 2 2" xfId="16761" xr:uid="{00000000-0005-0000-0000-000078410000}"/>
    <cellStyle name="40% - 强调文字颜色 2 2 2 6 4" xfId="16762" xr:uid="{00000000-0005-0000-0000-000079410000}"/>
    <cellStyle name="40% - 强调文字颜色 2 2 2 6 4 2" xfId="16763" xr:uid="{00000000-0005-0000-0000-00007A410000}"/>
    <cellStyle name="40% - 强调文字颜色 2 2 2 6 5" xfId="16764" xr:uid="{00000000-0005-0000-0000-00007B410000}"/>
    <cellStyle name="40% - 强调文字颜色 2 2 2 6 5 2" xfId="16765" xr:uid="{00000000-0005-0000-0000-00007C410000}"/>
    <cellStyle name="40% - 强调文字颜色 2 2 2 6 6" xfId="16766" xr:uid="{00000000-0005-0000-0000-00007D410000}"/>
    <cellStyle name="40% - 强调文字颜色 2 2 2 7" xfId="16767" xr:uid="{00000000-0005-0000-0000-00007E410000}"/>
    <cellStyle name="40% - 强调文字颜色 2 2 2 7 2" xfId="16768" xr:uid="{00000000-0005-0000-0000-00007F410000}"/>
    <cellStyle name="40% - 强调文字颜色 2 2 2 7 2 2" xfId="16769" xr:uid="{00000000-0005-0000-0000-000080410000}"/>
    <cellStyle name="40% - 强调文字颜色 2 2 2 7 2 2 2" xfId="16770" xr:uid="{00000000-0005-0000-0000-000081410000}"/>
    <cellStyle name="40% - 强调文字颜色 2 2 2 7 2 2 2 2" xfId="16771" xr:uid="{00000000-0005-0000-0000-000082410000}"/>
    <cellStyle name="40% - 强调文字颜色 2 2 2 7 2 3" xfId="16772" xr:uid="{00000000-0005-0000-0000-000083410000}"/>
    <cellStyle name="40% - 强调文字颜色 2 2 2 7 2 3 2" xfId="16773" xr:uid="{00000000-0005-0000-0000-000084410000}"/>
    <cellStyle name="40% - 强调文字颜色 2 2 2 7 2 4" xfId="16774" xr:uid="{00000000-0005-0000-0000-000085410000}"/>
    <cellStyle name="40% - 强调文字颜色 2 2 2 7 2 4 2" xfId="16775" xr:uid="{00000000-0005-0000-0000-000086410000}"/>
    <cellStyle name="40% - 强调文字颜色 2 2 2 7 2 5" xfId="16776" xr:uid="{00000000-0005-0000-0000-000087410000}"/>
    <cellStyle name="40% - 强调文字颜色 2 2 2 7 3" xfId="16777" xr:uid="{00000000-0005-0000-0000-000088410000}"/>
    <cellStyle name="40% - 强调文字颜色 2 2 2 7 3 2" xfId="16778" xr:uid="{00000000-0005-0000-0000-000089410000}"/>
    <cellStyle name="40% - 强调文字颜色 2 2 2 7 3 2 2" xfId="16779" xr:uid="{00000000-0005-0000-0000-00008A410000}"/>
    <cellStyle name="40% - 强调文字颜色 2 2 2 7 4" xfId="16780" xr:uid="{00000000-0005-0000-0000-00008B410000}"/>
    <cellStyle name="40% - 强调文字颜色 2 2 2 7 4 2" xfId="16781" xr:uid="{00000000-0005-0000-0000-00008C410000}"/>
    <cellStyle name="40% - 强调文字颜色 2 2 2 7 5" xfId="16782" xr:uid="{00000000-0005-0000-0000-00008D410000}"/>
    <cellStyle name="40% - 强调文字颜色 2 2 2 7 5 2" xfId="16783" xr:uid="{00000000-0005-0000-0000-00008E410000}"/>
    <cellStyle name="40% - 强调文字颜色 2 2 2 7 6" xfId="16784" xr:uid="{00000000-0005-0000-0000-00008F410000}"/>
    <cellStyle name="40% - 强调文字颜色 2 2 2 8" xfId="16785" xr:uid="{00000000-0005-0000-0000-000090410000}"/>
    <cellStyle name="40% - 强调文字颜色 2 2 2 8 2" xfId="16786" xr:uid="{00000000-0005-0000-0000-000091410000}"/>
    <cellStyle name="40% - 强调文字颜色 2 2 2 8 2 2" xfId="16787" xr:uid="{00000000-0005-0000-0000-000092410000}"/>
    <cellStyle name="40% - 强调文字颜色 2 2 2 8 2 2 2" xfId="16788" xr:uid="{00000000-0005-0000-0000-000093410000}"/>
    <cellStyle name="40% - 强调文字颜色 2 2 2 8 3" xfId="16789" xr:uid="{00000000-0005-0000-0000-000094410000}"/>
    <cellStyle name="40% - 强调文字颜色 2 2 2 8 3 2" xfId="16790" xr:uid="{00000000-0005-0000-0000-000095410000}"/>
    <cellStyle name="40% - 强调文字颜色 2 2 2 8 4" xfId="16791" xr:uid="{00000000-0005-0000-0000-000096410000}"/>
    <cellStyle name="40% - 强调文字颜色 2 2 2 8 4 2" xfId="16792" xr:uid="{00000000-0005-0000-0000-000097410000}"/>
    <cellStyle name="40% - 强调文字颜色 2 2 2 8 5" xfId="16793" xr:uid="{00000000-0005-0000-0000-000098410000}"/>
    <cellStyle name="40% - 强调文字颜色 2 2 2 9" xfId="16794" xr:uid="{00000000-0005-0000-0000-000099410000}"/>
    <cellStyle name="40% - 强调文字颜色 2 2 2 9 2" xfId="16795" xr:uid="{00000000-0005-0000-0000-00009A410000}"/>
    <cellStyle name="40% - 强调文字颜色 2 2 2 9 2 2" xfId="16796" xr:uid="{00000000-0005-0000-0000-00009B410000}"/>
    <cellStyle name="40% - 强调文字颜色 2 2 2 9 2 2 2" xfId="16797" xr:uid="{00000000-0005-0000-0000-00009C410000}"/>
    <cellStyle name="40% - 强调文字颜色 2 2 2 9 3" xfId="16798" xr:uid="{00000000-0005-0000-0000-00009D410000}"/>
    <cellStyle name="40% - 强调文字颜色 2 2 2 9 3 2" xfId="16799" xr:uid="{00000000-0005-0000-0000-00009E410000}"/>
    <cellStyle name="40% - 强调文字颜色 2 2 2 9 4" xfId="16800" xr:uid="{00000000-0005-0000-0000-00009F410000}"/>
    <cellStyle name="40% - 强调文字颜色 2 2 2 9 4 2" xfId="16801" xr:uid="{00000000-0005-0000-0000-0000A0410000}"/>
    <cellStyle name="40% - 强调文字颜色 2 2 2 9 5" xfId="16802" xr:uid="{00000000-0005-0000-0000-0000A1410000}"/>
    <cellStyle name="40% - 强调文字颜色 2 2 3" xfId="16803" xr:uid="{00000000-0005-0000-0000-0000A2410000}"/>
    <cellStyle name="40% - 强调文字颜色 2 2 3 10" xfId="16804" xr:uid="{00000000-0005-0000-0000-0000A3410000}"/>
    <cellStyle name="40% - 强调文字颜色 2 2 3 10 2" xfId="16805" xr:uid="{00000000-0005-0000-0000-0000A4410000}"/>
    <cellStyle name="40% - 强调文字颜色 2 2 3 2" xfId="16806" xr:uid="{00000000-0005-0000-0000-0000A5410000}"/>
    <cellStyle name="40% - 强调文字颜色 2 2 3 2 2" xfId="16807" xr:uid="{00000000-0005-0000-0000-0000A6410000}"/>
    <cellStyle name="40% - 强调文字颜色 2 2 3 2 2 2" xfId="16808" xr:uid="{00000000-0005-0000-0000-0000A7410000}"/>
    <cellStyle name="40% - 强调文字颜色 2 2 3 2 2 2 2" xfId="16809" xr:uid="{00000000-0005-0000-0000-0000A8410000}"/>
    <cellStyle name="40% - 强调文字颜色 2 2 3 2 2 2 3" xfId="16810" xr:uid="{00000000-0005-0000-0000-0000A9410000}"/>
    <cellStyle name="40% - 强调文字颜色 2 2 3 2 2 2 3 2" xfId="16811" xr:uid="{00000000-0005-0000-0000-0000AA410000}"/>
    <cellStyle name="40% - 强调文字颜色 2 2 3 2 2 2 3 2 2" xfId="16812" xr:uid="{00000000-0005-0000-0000-0000AB410000}"/>
    <cellStyle name="40% - 强调文字颜色 2 2 3 2 2 2 4" xfId="16813" xr:uid="{00000000-0005-0000-0000-0000AC410000}"/>
    <cellStyle name="40% - 强调文字颜色 2 2 3 2 2 2 4 2" xfId="16814" xr:uid="{00000000-0005-0000-0000-0000AD410000}"/>
    <cellStyle name="40% - 强调文字颜色 2 2 3 2 2 2 5" xfId="16815" xr:uid="{00000000-0005-0000-0000-0000AE410000}"/>
    <cellStyle name="40% - 强调文字颜色 2 2 3 2 2 2 5 2" xfId="16816" xr:uid="{00000000-0005-0000-0000-0000AF410000}"/>
    <cellStyle name="40% - 强调文字颜色 2 2 3 2 2 2 6" xfId="16817" xr:uid="{00000000-0005-0000-0000-0000B0410000}"/>
    <cellStyle name="40% - 强调文字颜色 2 2 3 2 2 3" xfId="16818" xr:uid="{00000000-0005-0000-0000-0000B1410000}"/>
    <cellStyle name="40% - 强调文字颜色 2 2 3 2 2 3 2" xfId="16819" xr:uid="{00000000-0005-0000-0000-0000B2410000}"/>
    <cellStyle name="40% - 强调文字颜色 2 2 3 2 2 3 2 2" xfId="16820" xr:uid="{00000000-0005-0000-0000-0000B3410000}"/>
    <cellStyle name="40% - 强调文字颜色 2 2 3 2 2 3 2 2 2" xfId="16821" xr:uid="{00000000-0005-0000-0000-0000B4410000}"/>
    <cellStyle name="40% - 强调文字颜色 2 2 3 2 2 3 3" xfId="16822" xr:uid="{00000000-0005-0000-0000-0000B5410000}"/>
    <cellStyle name="40% - 强调文字颜色 2 2 3 2 2 3 3 2" xfId="16823" xr:uid="{00000000-0005-0000-0000-0000B6410000}"/>
    <cellStyle name="40% - 强调文字颜色 2 2 3 2 2 3 4" xfId="16824" xr:uid="{00000000-0005-0000-0000-0000B7410000}"/>
    <cellStyle name="40% - 强调文字颜色 2 2 3 2 2 3 4 2" xfId="16825" xr:uid="{00000000-0005-0000-0000-0000B8410000}"/>
    <cellStyle name="40% - 强调文字颜色 2 2 3 2 2 3 5" xfId="16826" xr:uid="{00000000-0005-0000-0000-0000B9410000}"/>
    <cellStyle name="40% - 强调文字颜色 2 2 3 2 2 4" xfId="16827" xr:uid="{00000000-0005-0000-0000-0000BA410000}"/>
    <cellStyle name="40% - 强调文字颜色 2 2 3 2 2 5" xfId="16828" xr:uid="{00000000-0005-0000-0000-0000BB410000}"/>
    <cellStyle name="40% - 强调文字颜色 2 2 3 2 2 6" xfId="16829" xr:uid="{00000000-0005-0000-0000-0000BC410000}"/>
    <cellStyle name="40% - 强调文字颜色 2 2 3 2 2 6 2" xfId="16830" xr:uid="{00000000-0005-0000-0000-0000BD410000}"/>
    <cellStyle name="40% - 强调文字颜色 2 2 3 2 2 7" xfId="16831" xr:uid="{00000000-0005-0000-0000-0000BE410000}"/>
    <cellStyle name="40% - 强调文字颜色 2 2 3 2 2 7 2" xfId="16832" xr:uid="{00000000-0005-0000-0000-0000BF410000}"/>
    <cellStyle name="40% - 强调文字颜色 2 2 3 2 3" xfId="16833" xr:uid="{00000000-0005-0000-0000-0000C0410000}"/>
    <cellStyle name="40% - 强调文字颜色 2 2 3 2 3 2" xfId="16834" xr:uid="{00000000-0005-0000-0000-0000C1410000}"/>
    <cellStyle name="40% - 强调文字颜色 2 2 3 2 3 3" xfId="16835" xr:uid="{00000000-0005-0000-0000-0000C2410000}"/>
    <cellStyle name="40% - 强调文字颜色 2 2 3 2 3 3 2" xfId="16836" xr:uid="{00000000-0005-0000-0000-0000C3410000}"/>
    <cellStyle name="40% - 强调文字颜色 2 2 3 2 3 3 2 2" xfId="16837" xr:uid="{00000000-0005-0000-0000-0000C4410000}"/>
    <cellStyle name="40% - 强调文字颜色 2 2 3 2 3 4" xfId="16838" xr:uid="{00000000-0005-0000-0000-0000C5410000}"/>
    <cellStyle name="40% - 强调文字颜色 2 2 3 2 3 4 2" xfId="16839" xr:uid="{00000000-0005-0000-0000-0000C6410000}"/>
    <cellStyle name="40% - 强调文字颜色 2 2 3 2 3 5" xfId="16840" xr:uid="{00000000-0005-0000-0000-0000C7410000}"/>
    <cellStyle name="40% - 强调文字颜色 2 2 3 2 3 5 2" xfId="16841" xr:uid="{00000000-0005-0000-0000-0000C8410000}"/>
    <cellStyle name="40% - 强调文字颜色 2 2 3 2 3 6" xfId="16842" xr:uid="{00000000-0005-0000-0000-0000C9410000}"/>
    <cellStyle name="40% - 强调文字颜色 2 2 3 2 4" xfId="16843" xr:uid="{00000000-0005-0000-0000-0000CA410000}"/>
    <cellStyle name="40% - 强调文字颜色 2 2 3 2 4 2" xfId="16844" xr:uid="{00000000-0005-0000-0000-0000CB410000}"/>
    <cellStyle name="40% - 强调文字颜色 2 2 3 2 4 2 2" xfId="16845" xr:uid="{00000000-0005-0000-0000-0000CC410000}"/>
    <cellStyle name="40% - 强调文字颜色 2 2 3 2 4 2 2 2" xfId="16846" xr:uid="{00000000-0005-0000-0000-0000CD410000}"/>
    <cellStyle name="40% - 强调文字颜色 2 2 3 2 4 3" xfId="16847" xr:uid="{00000000-0005-0000-0000-0000CE410000}"/>
    <cellStyle name="40% - 强调文字颜色 2 2 3 2 4 3 2" xfId="16848" xr:uid="{00000000-0005-0000-0000-0000CF410000}"/>
    <cellStyle name="40% - 强调文字颜色 2 2 3 2 4 4" xfId="16849" xr:uid="{00000000-0005-0000-0000-0000D0410000}"/>
    <cellStyle name="40% - 强调文字颜色 2 2 3 2 4 4 2" xfId="16850" xr:uid="{00000000-0005-0000-0000-0000D1410000}"/>
    <cellStyle name="40% - 强调文字颜色 2 2 3 2 4 5" xfId="16851" xr:uid="{00000000-0005-0000-0000-0000D2410000}"/>
    <cellStyle name="40% - 强调文字颜色 2 2 3 2 5" xfId="16852" xr:uid="{00000000-0005-0000-0000-0000D3410000}"/>
    <cellStyle name="40% - 强调文字颜色 2 2 3 2 6" xfId="16853" xr:uid="{00000000-0005-0000-0000-0000D4410000}"/>
    <cellStyle name="40% - 强调文字颜色 2 2 3 2 7" xfId="16854" xr:uid="{00000000-0005-0000-0000-0000D5410000}"/>
    <cellStyle name="40% - 强调文字颜色 2 2 3 2 7 2" xfId="16855" xr:uid="{00000000-0005-0000-0000-0000D6410000}"/>
    <cellStyle name="40% - 强调文字颜色 2 2 3 2 8" xfId="16856" xr:uid="{00000000-0005-0000-0000-0000D7410000}"/>
    <cellStyle name="40% - 强调文字颜色 2 2 3 2 8 2" xfId="16857" xr:uid="{00000000-0005-0000-0000-0000D8410000}"/>
    <cellStyle name="40% - 强调文字颜色 2 2 3 3" xfId="16858" xr:uid="{00000000-0005-0000-0000-0000D9410000}"/>
    <cellStyle name="40% - 强调文字颜色 2 2 3 3 2" xfId="16859" xr:uid="{00000000-0005-0000-0000-0000DA410000}"/>
    <cellStyle name="40% - 强调文字颜色 2 2 3 3 2 2" xfId="16860" xr:uid="{00000000-0005-0000-0000-0000DB410000}"/>
    <cellStyle name="40% - 强调文字颜色 2 2 3 3 2 3" xfId="16861" xr:uid="{00000000-0005-0000-0000-0000DC410000}"/>
    <cellStyle name="40% - 强调文字颜色 2 2 3 3 2 3 2" xfId="16862" xr:uid="{00000000-0005-0000-0000-0000DD410000}"/>
    <cellStyle name="40% - 强调文字颜色 2 2 3 3 2 3 2 2" xfId="16863" xr:uid="{00000000-0005-0000-0000-0000DE410000}"/>
    <cellStyle name="40% - 强调文字颜色 2 2 3 3 2 4" xfId="16864" xr:uid="{00000000-0005-0000-0000-0000DF410000}"/>
    <cellStyle name="40% - 强调文字颜色 2 2 3 3 2 4 2" xfId="16865" xr:uid="{00000000-0005-0000-0000-0000E0410000}"/>
    <cellStyle name="40% - 强调文字颜色 2 2 3 3 2 5" xfId="16866" xr:uid="{00000000-0005-0000-0000-0000E1410000}"/>
    <cellStyle name="40% - 强调文字颜色 2 2 3 3 2 5 2" xfId="16867" xr:uid="{00000000-0005-0000-0000-0000E2410000}"/>
    <cellStyle name="40% - 强调文字颜色 2 2 3 3 2 6" xfId="16868" xr:uid="{00000000-0005-0000-0000-0000E3410000}"/>
    <cellStyle name="40% - 强调文字颜色 2 2 3 3 3" xfId="16869" xr:uid="{00000000-0005-0000-0000-0000E4410000}"/>
    <cellStyle name="40% - 强调文字颜色 2 2 3 3 3 2" xfId="16870" xr:uid="{00000000-0005-0000-0000-0000E5410000}"/>
    <cellStyle name="40% - 强调文字颜色 2 2 3 3 3 2 2" xfId="16871" xr:uid="{00000000-0005-0000-0000-0000E6410000}"/>
    <cellStyle name="40% - 强调文字颜色 2 2 3 3 3 2 2 2" xfId="16872" xr:uid="{00000000-0005-0000-0000-0000E7410000}"/>
    <cellStyle name="40% - 强调文字颜色 2 2 3 3 3 3" xfId="16873" xr:uid="{00000000-0005-0000-0000-0000E8410000}"/>
    <cellStyle name="40% - 强调文字颜色 2 2 3 3 3 3 2" xfId="16874" xr:uid="{00000000-0005-0000-0000-0000E9410000}"/>
    <cellStyle name="40% - 强调文字颜色 2 2 3 3 3 4" xfId="16875" xr:uid="{00000000-0005-0000-0000-0000EA410000}"/>
    <cellStyle name="40% - 强调文字颜色 2 2 3 3 3 4 2" xfId="16876" xr:uid="{00000000-0005-0000-0000-0000EB410000}"/>
    <cellStyle name="40% - 强调文字颜色 2 2 3 3 3 5" xfId="16877" xr:uid="{00000000-0005-0000-0000-0000EC410000}"/>
    <cellStyle name="40% - 强调文字颜色 2 2 3 3 4" xfId="16878" xr:uid="{00000000-0005-0000-0000-0000ED410000}"/>
    <cellStyle name="40% - 强调文字颜色 2 2 3 3 5" xfId="16879" xr:uid="{00000000-0005-0000-0000-0000EE410000}"/>
    <cellStyle name="40% - 强调文字颜色 2 2 3 3 6" xfId="16880" xr:uid="{00000000-0005-0000-0000-0000EF410000}"/>
    <cellStyle name="40% - 强调文字颜色 2 2 3 3 6 2" xfId="16881" xr:uid="{00000000-0005-0000-0000-0000F0410000}"/>
    <cellStyle name="40% - 强调文字颜色 2 2 3 3 7" xfId="16882" xr:uid="{00000000-0005-0000-0000-0000F1410000}"/>
    <cellStyle name="40% - 强调文字颜色 2 2 3 3 7 2" xfId="16883" xr:uid="{00000000-0005-0000-0000-0000F2410000}"/>
    <cellStyle name="40% - 强调文字颜色 2 2 3 4" xfId="16884" xr:uid="{00000000-0005-0000-0000-0000F3410000}"/>
    <cellStyle name="40% - 强调文字颜色 2 2 3 4 2" xfId="16885" xr:uid="{00000000-0005-0000-0000-0000F4410000}"/>
    <cellStyle name="40% - 强调文字颜色 2 2 3 4 2 2" xfId="16886" xr:uid="{00000000-0005-0000-0000-0000F5410000}"/>
    <cellStyle name="40% - 强调文字颜色 2 2 3 4 2 3" xfId="16887" xr:uid="{00000000-0005-0000-0000-0000F6410000}"/>
    <cellStyle name="40% - 强调文字颜色 2 2 3 4 2 3 2" xfId="16888" xr:uid="{00000000-0005-0000-0000-0000F7410000}"/>
    <cellStyle name="40% - 强调文字颜色 2 2 3 4 2 3 2 2" xfId="16889" xr:uid="{00000000-0005-0000-0000-0000F8410000}"/>
    <cellStyle name="40% - 强调文字颜色 2 2 3 4 2 4" xfId="16890" xr:uid="{00000000-0005-0000-0000-0000F9410000}"/>
    <cellStyle name="40% - 强调文字颜色 2 2 3 4 2 4 2" xfId="16891" xr:uid="{00000000-0005-0000-0000-0000FA410000}"/>
    <cellStyle name="40% - 强调文字颜色 2 2 3 4 2 5" xfId="16892" xr:uid="{00000000-0005-0000-0000-0000FB410000}"/>
    <cellStyle name="40% - 强调文字颜色 2 2 3 4 2 5 2" xfId="16893" xr:uid="{00000000-0005-0000-0000-0000FC410000}"/>
    <cellStyle name="40% - 强调文字颜色 2 2 3 4 2 6" xfId="16894" xr:uid="{00000000-0005-0000-0000-0000FD410000}"/>
    <cellStyle name="40% - 强调文字颜色 2 2 3 4 3" xfId="16895" xr:uid="{00000000-0005-0000-0000-0000FE410000}"/>
    <cellStyle name="40% - 强调文字颜色 2 2 3 4 4" xfId="16896" xr:uid="{00000000-0005-0000-0000-0000FF410000}"/>
    <cellStyle name="40% - 强调文字颜色 2 2 3 4 5" xfId="16897" xr:uid="{00000000-0005-0000-0000-000000420000}"/>
    <cellStyle name="40% - 强调文字颜色 2 2 3 4 6" xfId="16898" xr:uid="{00000000-0005-0000-0000-000001420000}"/>
    <cellStyle name="40% - 强调文字颜色 2 2 3 4 6 2" xfId="16899" xr:uid="{00000000-0005-0000-0000-000002420000}"/>
    <cellStyle name="40% - 强调文字颜色 2 2 3 4 7" xfId="16900" xr:uid="{00000000-0005-0000-0000-000003420000}"/>
    <cellStyle name="40% - 强调文字颜色 2 2 3 4 7 2" xfId="16901" xr:uid="{00000000-0005-0000-0000-000004420000}"/>
    <cellStyle name="40% - 强调文字颜色 2 2 3 5" xfId="16902" xr:uid="{00000000-0005-0000-0000-000005420000}"/>
    <cellStyle name="40% - 强调文字颜色 2 2 3 5 2" xfId="16903" xr:uid="{00000000-0005-0000-0000-000006420000}"/>
    <cellStyle name="40% - 强调文字颜色 2 2 3 5 2 2" xfId="16904" xr:uid="{00000000-0005-0000-0000-000007420000}"/>
    <cellStyle name="40% - 强调文字颜色 2 2 3 5 2 2 2" xfId="16905" xr:uid="{00000000-0005-0000-0000-000008420000}"/>
    <cellStyle name="40% - 强调文字颜色 2 2 3 5 2 2 2 2" xfId="16906" xr:uid="{00000000-0005-0000-0000-000009420000}"/>
    <cellStyle name="40% - 强调文字颜色 2 2 3 5 2 3" xfId="16907" xr:uid="{00000000-0005-0000-0000-00000A420000}"/>
    <cellStyle name="40% - 强调文字颜色 2 2 3 5 2 3 2" xfId="16908" xr:uid="{00000000-0005-0000-0000-00000B420000}"/>
    <cellStyle name="40% - 强调文字颜色 2 2 3 5 2 4" xfId="16909" xr:uid="{00000000-0005-0000-0000-00000C420000}"/>
    <cellStyle name="40% - 强调文字颜色 2 2 3 5 2 4 2" xfId="16910" xr:uid="{00000000-0005-0000-0000-00000D420000}"/>
    <cellStyle name="40% - 强调文字颜色 2 2 3 5 2 5" xfId="16911" xr:uid="{00000000-0005-0000-0000-00000E420000}"/>
    <cellStyle name="40% - 强调文字颜色 2 2 3 5 3" xfId="16912" xr:uid="{00000000-0005-0000-0000-00000F420000}"/>
    <cellStyle name="40% - 强调文字颜色 2 2 3 5 3 2" xfId="16913" xr:uid="{00000000-0005-0000-0000-000010420000}"/>
    <cellStyle name="40% - 强调文字颜色 2 2 3 5 3 2 2" xfId="16914" xr:uid="{00000000-0005-0000-0000-000011420000}"/>
    <cellStyle name="40% - 强调文字颜色 2 2 3 5 4" xfId="16915" xr:uid="{00000000-0005-0000-0000-000012420000}"/>
    <cellStyle name="40% - 强调文字颜色 2 2 3 5 4 2" xfId="16916" xr:uid="{00000000-0005-0000-0000-000013420000}"/>
    <cellStyle name="40% - 强调文字颜色 2 2 3 5 5" xfId="16917" xr:uid="{00000000-0005-0000-0000-000014420000}"/>
    <cellStyle name="40% - 强调文字颜色 2 2 3 5 5 2" xfId="16918" xr:uid="{00000000-0005-0000-0000-000015420000}"/>
    <cellStyle name="40% - 强调文字颜色 2 2 3 5 6" xfId="16919" xr:uid="{00000000-0005-0000-0000-000016420000}"/>
    <cellStyle name="40% - 强调文字颜色 2 2 3 6" xfId="16920" xr:uid="{00000000-0005-0000-0000-000017420000}"/>
    <cellStyle name="40% - 强调文字颜色 2 2 3 6 2" xfId="16921" xr:uid="{00000000-0005-0000-0000-000018420000}"/>
    <cellStyle name="40% - 强调文字颜色 2 2 3 6 2 2" xfId="16922" xr:uid="{00000000-0005-0000-0000-000019420000}"/>
    <cellStyle name="40% - 强调文字颜色 2 2 3 6 2 2 2" xfId="16923" xr:uid="{00000000-0005-0000-0000-00001A420000}"/>
    <cellStyle name="40% - 强调文字颜色 2 2 3 6 3" xfId="16924" xr:uid="{00000000-0005-0000-0000-00001B420000}"/>
    <cellStyle name="40% - 强调文字颜色 2 2 3 6 3 2" xfId="16925" xr:uid="{00000000-0005-0000-0000-00001C420000}"/>
    <cellStyle name="40% - 强调文字颜色 2 2 3 6 4" xfId="16926" xr:uid="{00000000-0005-0000-0000-00001D420000}"/>
    <cellStyle name="40% - 强调文字颜色 2 2 3 6 4 2" xfId="16927" xr:uid="{00000000-0005-0000-0000-00001E420000}"/>
    <cellStyle name="40% - 强调文字颜色 2 2 3 6 5" xfId="16928" xr:uid="{00000000-0005-0000-0000-00001F420000}"/>
    <cellStyle name="40% - 强调文字颜色 2 2 3 7" xfId="16929" xr:uid="{00000000-0005-0000-0000-000020420000}"/>
    <cellStyle name="40% - 强调文字颜色 2 2 3 7 2" xfId="16930" xr:uid="{00000000-0005-0000-0000-000021420000}"/>
    <cellStyle name="40% - 强调文字颜色 2 2 3 7 2 2" xfId="16931" xr:uid="{00000000-0005-0000-0000-000022420000}"/>
    <cellStyle name="40% - 强调文字颜色 2 2 3 7 2 2 2" xfId="16932" xr:uid="{00000000-0005-0000-0000-000023420000}"/>
    <cellStyle name="40% - 强调文字颜色 2 2 3 7 3" xfId="16933" xr:uid="{00000000-0005-0000-0000-000024420000}"/>
    <cellStyle name="40% - 强调文字颜色 2 2 3 7 3 2" xfId="16934" xr:uid="{00000000-0005-0000-0000-000025420000}"/>
    <cellStyle name="40% - 强调文字颜色 2 2 3 7 4" xfId="16935" xr:uid="{00000000-0005-0000-0000-000026420000}"/>
    <cellStyle name="40% - 强调文字颜色 2 2 3 7 4 2" xfId="16936" xr:uid="{00000000-0005-0000-0000-000027420000}"/>
    <cellStyle name="40% - 强调文字颜色 2 2 3 7 5" xfId="16937" xr:uid="{00000000-0005-0000-0000-000028420000}"/>
    <cellStyle name="40% - 强调文字颜色 2 2 3 8" xfId="16938" xr:uid="{00000000-0005-0000-0000-000029420000}"/>
    <cellStyle name="40% - 强调文字颜色 2 2 3 9" xfId="16939" xr:uid="{00000000-0005-0000-0000-00002A420000}"/>
    <cellStyle name="40% - 强调文字颜色 2 2 3 9 2" xfId="16940" xr:uid="{00000000-0005-0000-0000-00002B420000}"/>
    <cellStyle name="40% - 强调文字颜色 2 2 4" xfId="16941" xr:uid="{00000000-0005-0000-0000-00002C420000}"/>
    <cellStyle name="40% - 强调文字颜色 2 2 4 2" xfId="16942" xr:uid="{00000000-0005-0000-0000-00002D420000}"/>
    <cellStyle name="40% - 强调文字颜色 2 2 4 2 2" xfId="16943" xr:uid="{00000000-0005-0000-0000-00002E420000}"/>
    <cellStyle name="40% - 强调文字颜色 2 2 4 2 3" xfId="16944" xr:uid="{00000000-0005-0000-0000-00002F420000}"/>
    <cellStyle name="40% - 强调文字颜色 2 2 4 2 3 2" xfId="16945" xr:uid="{00000000-0005-0000-0000-000030420000}"/>
    <cellStyle name="40% - 强调文字颜色 2 2 4 2 3 2 2" xfId="16946" xr:uid="{00000000-0005-0000-0000-000031420000}"/>
    <cellStyle name="40% - 强调文字颜色 2 2 4 2 4" xfId="16947" xr:uid="{00000000-0005-0000-0000-000032420000}"/>
    <cellStyle name="40% - 强调文字颜色 2 2 4 2 4 2" xfId="16948" xr:uid="{00000000-0005-0000-0000-000033420000}"/>
    <cellStyle name="40% - 强调文字颜色 2 2 4 2 5" xfId="16949" xr:uid="{00000000-0005-0000-0000-000034420000}"/>
    <cellStyle name="40% - 强调文字颜色 2 2 4 2 5 2" xfId="16950" xr:uid="{00000000-0005-0000-0000-000035420000}"/>
    <cellStyle name="40% - 强调文字颜色 2 2 4 2 6" xfId="16951" xr:uid="{00000000-0005-0000-0000-000036420000}"/>
    <cellStyle name="40% - 强调文字颜色 2 2 4 3" xfId="16952" xr:uid="{00000000-0005-0000-0000-000037420000}"/>
    <cellStyle name="40% - 强调文字颜色 2 2 4 3 2" xfId="16953" xr:uid="{00000000-0005-0000-0000-000038420000}"/>
    <cellStyle name="40% - 强调文字颜色 2 2 4 3 2 2" xfId="16954" xr:uid="{00000000-0005-0000-0000-000039420000}"/>
    <cellStyle name="40% - 强调文字颜色 2 2 4 3 2 2 2" xfId="16955" xr:uid="{00000000-0005-0000-0000-00003A420000}"/>
    <cellStyle name="40% - 强调文字颜色 2 2 4 3 3" xfId="16956" xr:uid="{00000000-0005-0000-0000-00003B420000}"/>
    <cellStyle name="40% - 强调文字颜色 2 2 4 3 3 2" xfId="16957" xr:uid="{00000000-0005-0000-0000-00003C420000}"/>
    <cellStyle name="40% - 强调文字颜色 2 2 4 3 4" xfId="16958" xr:uid="{00000000-0005-0000-0000-00003D420000}"/>
    <cellStyle name="40% - 强调文字颜色 2 2 4 3 4 2" xfId="16959" xr:uid="{00000000-0005-0000-0000-00003E420000}"/>
    <cellStyle name="40% - 强调文字颜色 2 2 4 3 5" xfId="16960" xr:uid="{00000000-0005-0000-0000-00003F420000}"/>
    <cellStyle name="40% - 强调文字颜色 2 2 4 4" xfId="16961" xr:uid="{00000000-0005-0000-0000-000040420000}"/>
    <cellStyle name="40% - 强调文字颜色 2 2 4 5" xfId="16962" xr:uid="{00000000-0005-0000-0000-000041420000}"/>
    <cellStyle name="40% - 强调文字颜色 2 2 4 6" xfId="16963" xr:uid="{00000000-0005-0000-0000-000042420000}"/>
    <cellStyle name="40% - 强调文字颜色 2 2 4 6 2" xfId="16964" xr:uid="{00000000-0005-0000-0000-000043420000}"/>
    <cellStyle name="40% - 强调文字颜色 2 2 4 7" xfId="16965" xr:uid="{00000000-0005-0000-0000-000044420000}"/>
    <cellStyle name="40% - 强调文字颜色 2 2 4 7 2" xfId="16966" xr:uid="{00000000-0005-0000-0000-000045420000}"/>
    <cellStyle name="40% - 强调文字颜色 2 2 5" xfId="16967" xr:uid="{00000000-0005-0000-0000-000046420000}"/>
    <cellStyle name="40% - 强调文字颜色 2 2 5 2" xfId="16968" xr:uid="{00000000-0005-0000-0000-000047420000}"/>
    <cellStyle name="40% - 强调文字颜色 2 2 5 2 2" xfId="16969" xr:uid="{00000000-0005-0000-0000-000048420000}"/>
    <cellStyle name="40% - 强调文字颜色 2 2 5 2 3" xfId="16970" xr:uid="{00000000-0005-0000-0000-000049420000}"/>
    <cellStyle name="40% - 强调文字颜色 2 2 5 2 3 2" xfId="16971" xr:uid="{00000000-0005-0000-0000-00004A420000}"/>
    <cellStyle name="40% - 强调文字颜色 2 2 5 2 3 2 2" xfId="16972" xr:uid="{00000000-0005-0000-0000-00004B420000}"/>
    <cellStyle name="40% - 强调文字颜色 2 2 5 2 4" xfId="16973" xr:uid="{00000000-0005-0000-0000-00004C420000}"/>
    <cellStyle name="40% - 强调文字颜色 2 2 5 2 4 2" xfId="16974" xr:uid="{00000000-0005-0000-0000-00004D420000}"/>
    <cellStyle name="40% - 强调文字颜色 2 2 5 2 5" xfId="16975" xr:uid="{00000000-0005-0000-0000-00004E420000}"/>
    <cellStyle name="40% - 强调文字颜色 2 2 5 2 5 2" xfId="16976" xr:uid="{00000000-0005-0000-0000-00004F420000}"/>
    <cellStyle name="40% - 强调文字颜色 2 2 5 2 6" xfId="16977" xr:uid="{00000000-0005-0000-0000-000050420000}"/>
    <cellStyle name="40% - 强调文字颜色 2 2 5 3" xfId="16978" xr:uid="{00000000-0005-0000-0000-000051420000}"/>
    <cellStyle name="40% - 强调文字颜色 2 2 5 4" xfId="16979" xr:uid="{00000000-0005-0000-0000-000052420000}"/>
    <cellStyle name="40% - 强调文字颜色 2 2 5 5" xfId="16980" xr:uid="{00000000-0005-0000-0000-000053420000}"/>
    <cellStyle name="40% - 强调文字颜色 2 2 5 6" xfId="16981" xr:uid="{00000000-0005-0000-0000-000054420000}"/>
    <cellStyle name="40% - 强调文字颜色 2 2 5 6 2" xfId="16982" xr:uid="{00000000-0005-0000-0000-000055420000}"/>
    <cellStyle name="40% - 强调文字颜色 2 2 5 7" xfId="16983" xr:uid="{00000000-0005-0000-0000-000056420000}"/>
    <cellStyle name="40% - 强调文字颜色 2 2 5 7 2" xfId="16984" xr:uid="{00000000-0005-0000-0000-000057420000}"/>
    <cellStyle name="40% - 强调文字颜色 2 2 6" xfId="16985" xr:uid="{00000000-0005-0000-0000-000058420000}"/>
    <cellStyle name="40% - 强调文字颜色 2 2 6 2" xfId="16986" xr:uid="{00000000-0005-0000-0000-000059420000}"/>
    <cellStyle name="40% - 强调文字颜色 2 2 6 2 2" xfId="16987" xr:uid="{00000000-0005-0000-0000-00005A420000}"/>
    <cellStyle name="40% - 强调文字颜色 2 2 6 2 2 2" xfId="16988" xr:uid="{00000000-0005-0000-0000-00005B420000}"/>
    <cellStyle name="40% - 强调文字颜色 2 2 6 2 2 2 2" xfId="16989" xr:uid="{00000000-0005-0000-0000-00005C420000}"/>
    <cellStyle name="40% - 强调文字颜色 2 2 6 2 3" xfId="16990" xr:uid="{00000000-0005-0000-0000-00005D420000}"/>
    <cellStyle name="40% - 强调文字颜色 2 2 6 2 3 2" xfId="16991" xr:uid="{00000000-0005-0000-0000-00005E420000}"/>
    <cellStyle name="40% - 强调文字颜色 2 2 6 2 4" xfId="16992" xr:uid="{00000000-0005-0000-0000-00005F420000}"/>
    <cellStyle name="40% - 强调文字颜色 2 2 6 2 4 2" xfId="16993" xr:uid="{00000000-0005-0000-0000-000060420000}"/>
    <cellStyle name="40% - 强调文字颜色 2 2 6 2 5" xfId="16994" xr:uid="{00000000-0005-0000-0000-000061420000}"/>
    <cellStyle name="40% - 强调文字颜色 2 2 6 3" xfId="16995" xr:uid="{00000000-0005-0000-0000-000062420000}"/>
    <cellStyle name="40% - 强调文字颜色 2 2 6 3 2" xfId="16996" xr:uid="{00000000-0005-0000-0000-000063420000}"/>
    <cellStyle name="40% - 强调文字颜色 2 2 6 3 2 2" xfId="16997" xr:uid="{00000000-0005-0000-0000-000064420000}"/>
    <cellStyle name="40% - 强调文字颜色 2 2 6 4" xfId="16998" xr:uid="{00000000-0005-0000-0000-000065420000}"/>
    <cellStyle name="40% - 强调文字颜色 2 2 6 4 2" xfId="16999" xr:uid="{00000000-0005-0000-0000-000066420000}"/>
    <cellStyle name="40% - 强调文字颜色 2 2 6 5" xfId="17000" xr:uid="{00000000-0005-0000-0000-000067420000}"/>
    <cellStyle name="40% - 强调文字颜色 2 2 6 5 2" xfId="17001" xr:uid="{00000000-0005-0000-0000-000068420000}"/>
    <cellStyle name="40% - 强调文字颜色 2 2 6 6" xfId="17002" xr:uid="{00000000-0005-0000-0000-000069420000}"/>
    <cellStyle name="40% - 强调文字颜色 2 2 7" xfId="17003" xr:uid="{00000000-0005-0000-0000-00006A420000}"/>
    <cellStyle name="40% - 强调文字颜色 2 2 7 2" xfId="17004" xr:uid="{00000000-0005-0000-0000-00006B420000}"/>
    <cellStyle name="40% - 强调文字颜色 2 2 7 2 2" xfId="17005" xr:uid="{00000000-0005-0000-0000-00006C420000}"/>
    <cellStyle name="40% - 强调文字颜色 2 2 7 2 2 2" xfId="17006" xr:uid="{00000000-0005-0000-0000-00006D420000}"/>
    <cellStyle name="40% - 强调文字颜色 2 2 7 2 2 2 2" xfId="17007" xr:uid="{00000000-0005-0000-0000-00006E420000}"/>
    <cellStyle name="40% - 强调文字颜色 2 2 7 2 3" xfId="17008" xr:uid="{00000000-0005-0000-0000-00006F420000}"/>
    <cellStyle name="40% - 强调文字颜色 2 2 7 2 3 2" xfId="17009" xr:uid="{00000000-0005-0000-0000-000070420000}"/>
    <cellStyle name="40% - 强调文字颜色 2 2 7 2 4" xfId="17010" xr:uid="{00000000-0005-0000-0000-000071420000}"/>
    <cellStyle name="40% - 强调文字颜色 2 2 7 2 4 2" xfId="17011" xr:uid="{00000000-0005-0000-0000-000072420000}"/>
    <cellStyle name="40% - 强调文字颜色 2 2 7 2 5" xfId="17012" xr:uid="{00000000-0005-0000-0000-000073420000}"/>
    <cellStyle name="40% - 强调文字颜色 2 2 7 3" xfId="17013" xr:uid="{00000000-0005-0000-0000-000074420000}"/>
    <cellStyle name="40% - 强调文字颜色 2 2 7 3 2" xfId="17014" xr:uid="{00000000-0005-0000-0000-000075420000}"/>
    <cellStyle name="40% - 强调文字颜色 2 2 7 3 2 2" xfId="17015" xr:uid="{00000000-0005-0000-0000-000076420000}"/>
    <cellStyle name="40% - 强调文字颜色 2 2 7 4" xfId="17016" xr:uid="{00000000-0005-0000-0000-000077420000}"/>
    <cellStyle name="40% - 强调文字颜色 2 2 7 4 2" xfId="17017" xr:uid="{00000000-0005-0000-0000-000078420000}"/>
    <cellStyle name="40% - 强调文字颜色 2 2 7 5" xfId="17018" xr:uid="{00000000-0005-0000-0000-000079420000}"/>
    <cellStyle name="40% - 强调文字颜色 2 2 7 5 2" xfId="17019" xr:uid="{00000000-0005-0000-0000-00007A420000}"/>
    <cellStyle name="40% - 强调文字颜色 2 2 7 6" xfId="17020" xr:uid="{00000000-0005-0000-0000-00007B420000}"/>
    <cellStyle name="40% - 强调文字颜色 2 2 8" xfId="17021" xr:uid="{00000000-0005-0000-0000-00007C420000}"/>
    <cellStyle name="40% - 强调文字颜色 2 2 8 2" xfId="17022" xr:uid="{00000000-0005-0000-0000-00007D420000}"/>
    <cellStyle name="40% - 强调文字颜色 2 2 8 2 2" xfId="17023" xr:uid="{00000000-0005-0000-0000-00007E420000}"/>
    <cellStyle name="40% - 强调文字颜色 2 2 8 2 2 2" xfId="17024" xr:uid="{00000000-0005-0000-0000-00007F420000}"/>
    <cellStyle name="40% - 强调文字颜色 2 2 8 2 2 2 2" xfId="17025" xr:uid="{00000000-0005-0000-0000-000080420000}"/>
    <cellStyle name="40% - 强调文字颜色 2 2 8 2 3" xfId="17026" xr:uid="{00000000-0005-0000-0000-000081420000}"/>
    <cellStyle name="40% - 强调文字颜色 2 2 8 2 3 2" xfId="17027" xr:uid="{00000000-0005-0000-0000-000082420000}"/>
    <cellStyle name="40% - 强调文字颜色 2 2 8 2 4" xfId="17028" xr:uid="{00000000-0005-0000-0000-000083420000}"/>
    <cellStyle name="40% - 强调文字颜色 2 2 8 2 4 2" xfId="17029" xr:uid="{00000000-0005-0000-0000-000084420000}"/>
    <cellStyle name="40% - 强调文字颜色 2 2 8 2 5" xfId="17030" xr:uid="{00000000-0005-0000-0000-000085420000}"/>
    <cellStyle name="40% - 强调文字颜色 2 2 8 3" xfId="17031" xr:uid="{00000000-0005-0000-0000-000086420000}"/>
    <cellStyle name="40% - 强调文字颜色 2 2 8 3 2" xfId="17032" xr:uid="{00000000-0005-0000-0000-000087420000}"/>
    <cellStyle name="40% - 强调文字颜色 2 2 8 3 2 2" xfId="17033" xr:uid="{00000000-0005-0000-0000-000088420000}"/>
    <cellStyle name="40% - 强调文字颜色 2 2 8 4" xfId="17034" xr:uid="{00000000-0005-0000-0000-000089420000}"/>
    <cellStyle name="40% - 强调文字颜色 2 2 8 4 2" xfId="17035" xr:uid="{00000000-0005-0000-0000-00008A420000}"/>
    <cellStyle name="40% - 强调文字颜色 2 2 8 5" xfId="17036" xr:uid="{00000000-0005-0000-0000-00008B420000}"/>
    <cellStyle name="40% - 强调文字颜色 2 2 8 5 2" xfId="17037" xr:uid="{00000000-0005-0000-0000-00008C420000}"/>
    <cellStyle name="40% - 强调文字颜色 2 2 8 6" xfId="17038" xr:uid="{00000000-0005-0000-0000-00008D420000}"/>
    <cellStyle name="40% - 强调文字颜色 2 2 9" xfId="17039" xr:uid="{00000000-0005-0000-0000-00008E420000}"/>
    <cellStyle name="40% - 强调文字颜色 2 2 9 2" xfId="17040" xr:uid="{00000000-0005-0000-0000-00008F420000}"/>
    <cellStyle name="40% - 强调文字颜色 2 2 9 2 2" xfId="17041" xr:uid="{00000000-0005-0000-0000-000090420000}"/>
    <cellStyle name="40% - 强调文字颜色 2 2 9 2 2 2" xfId="17042" xr:uid="{00000000-0005-0000-0000-000091420000}"/>
    <cellStyle name="40% - 强调文字颜色 2 2 9 3" xfId="17043" xr:uid="{00000000-0005-0000-0000-000092420000}"/>
    <cellStyle name="40% - 强调文字颜色 2 2 9 3 2" xfId="17044" xr:uid="{00000000-0005-0000-0000-000093420000}"/>
    <cellStyle name="40% - 强调文字颜色 2 2 9 4" xfId="17045" xr:uid="{00000000-0005-0000-0000-000094420000}"/>
    <cellStyle name="40% - 强调文字颜色 2 2 9 4 2" xfId="17046" xr:uid="{00000000-0005-0000-0000-000095420000}"/>
    <cellStyle name="40% - 强调文字颜色 2 2 9 5" xfId="17047" xr:uid="{00000000-0005-0000-0000-000096420000}"/>
    <cellStyle name="40% - 强调文字颜色 2 3" xfId="17048" xr:uid="{00000000-0005-0000-0000-000097420000}"/>
    <cellStyle name="40% - 强调文字颜色 2 3 2" xfId="17049" xr:uid="{00000000-0005-0000-0000-000098420000}"/>
    <cellStyle name="40% - 强调文字颜色 2 3 2 2" xfId="17050" xr:uid="{00000000-0005-0000-0000-000099420000}"/>
    <cellStyle name="40% - 强调文字颜色 2 3 2 2 2" xfId="17051" xr:uid="{00000000-0005-0000-0000-00009A420000}"/>
    <cellStyle name="40% - 强调文字颜色 2 3 2 2 2 2" xfId="17052" xr:uid="{00000000-0005-0000-0000-00009B420000}"/>
    <cellStyle name="40% - 强调文字颜色 2 3 2 2 2 3" xfId="17053" xr:uid="{00000000-0005-0000-0000-00009C420000}"/>
    <cellStyle name="40% - 强调文字颜色 2 3 2 2 2 3 2" xfId="17054" xr:uid="{00000000-0005-0000-0000-00009D420000}"/>
    <cellStyle name="40% - 强调文字颜色 2 3 2 2 2 3 2 2" xfId="17055" xr:uid="{00000000-0005-0000-0000-00009E420000}"/>
    <cellStyle name="40% - 强调文字颜色 2 3 2 2 2 4" xfId="17056" xr:uid="{00000000-0005-0000-0000-00009F420000}"/>
    <cellStyle name="40% - 强调文字颜色 2 3 2 2 2 4 2" xfId="17057" xr:uid="{00000000-0005-0000-0000-0000A0420000}"/>
    <cellStyle name="40% - 强调文字颜色 2 3 2 2 2 5" xfId="17058" xr:uid="{00000000-0005-0000-0000-0000A1420000}"/>
    <cellStyle name="40% - 强调文字颜色 2 3 2 2 2 5 2" xfId="17059" xr:uid="{00000000-0005-0000-0000-0000A2420000}"/>
    <cellStyle name="40% - 强调文字颜色 2 3 2 2 2 6" xfId="17060" xr:uid="{00000000-0005-0000-0000-0000A3420000}"/>
    <cellStyle name="40% - 强调文字颜色 2 3 2 2 3" xfId="17061" xr:uid="{00000000-0005-0000-0000-0000A4420000}"/>
    <cellStyle name="40% - 强调文字颜色 2 3 2 2 3 2" xfId="17062" xr:uid="{00000000-0005-0000-0000-0000A5420000}"/>
    <cellStyle name="40% - 强调文字颜色 2 3 2 2 3 2 2" xfId="17063" xr:uid="{00000000-0005-0000-0000-0000A6420000}"/>
    <cellStyle name="40% - 强调文字颜色 2 3 2 2 3 2 2 2" xfId="17064" xr:uid="{00000000-0005-0000-0000-0000A7420000}"/>
    <cellStyle name="40% - 强调文字颜色 2 3 2 2 3 3" xfId="17065" xr:uid="{00000000-0005-0000-0000-0000A8420000}"/>
    <cellStyle name="40% - 强调文字颜色 2 3 2 2 3 3 2" xfId="17066" xr:uid="{00000000-0005-0000-0000-0000A9420000}"/>
    <cellStyle name="40% - 强调文字颜色 2 3 2 2 3 4" xfId="17067" xr:uid="{00000000-0005-0000-0000-0000AA420000}"/>
    <cellStyle name="40% - 强调文字颜色 2 3 2 2 3 4 2" xfId="17068" xr:uid="{00000000-0005-0000-0000-0000AB420000}"/>
    <cellStyle name="40% - 强调文字颜色 2 3 2 2 3 5" xfId="17069" xr:uid="{00000000-0005-0000-0000-0000AC420000}"/>
    <cellStyle name="40% - 强调文字颜色 2 3 2 2 4" xfId="17070" xr:uid="{00000000-0005-0000-0000-0000AD420000}"/>
    <cellStyle name="40% - 强调文字颜色 2 3 2 2 5" xfId="17071" xr:uid="{00000000-0005-0000-0000-0000AE420000}"/>
    <cellStyle name="40% - 强调文字颜色 2 3 2 2 6" xfId="17072" xr:uid="{00000000-0005-0000-0000-0000AF420000}"/>
    <cellStyle name="40% - 强调文字颜色 2 3 2 2 6 2" xfId="17073" xr:uid="{00000000-0005-0000-0000-0000B0420000}"/>
    <cellStyle name="40% - 强调文字颜色 2 3 2 2 7" xfId="17074" xr:uid="{00000000-0005-0000-0000-0000B1420000}"/>
    <cellStyle name="40% - 强调文字颜色 2 3 2 2 7 2" xfId="17075" xr:uid="{00000000-0005-0000-0000-0000B2420000}"/>
    <cellStyle name="40% - 强调文字颜色 2 3 2 3" xfId="17076" xr:uid="{00000000-0005-0000-0000-0000B3420000}"/>
    <cellStyle name="40% - 强调文字颜色 2 3 2 3 2" xfId="17077" xr:uid="{00000000-0005-0000-0000-0000B4420000}"/>
    <cellStyle name="40% - 强调文字颜色 2 3 2 3 3" xfId="17078" xr:uid="{00000000-0005-0000-0000-0000B5420000}"/>
    <cellStyle name="40% - 强调文字颜色 2 3 2 3 3 2" xfId="17079" xr:uid="{00000000-0005-0000-0000-0000B6420000}"/>
    <cellStyle name="40% - 强调文字颜色 2 3 2 3 3 2 2" xfId="17080" xr:uid="{00000000-0005-0000-0000-0000B7420000}"/>
    <cellStyle name="40% - 强调文字颜色 2 3 2 3 4" xfId="17081" xr:uid="{00000000-0005-0000-0000-0000B8420000}"/>
    <cellStyle name="40% - 强调文字颜色 2 3 2 3 4 2" xfId="17082" xr:uid="{00000000-0005-0000-0000-0000B9420000}"/>
    <cellStyle name="40% - 强调文字颜色 2 3 2 3 5" xfId="17083" xr:uid="{00000000-0005-0000-0000-0000BA420000}"/>
    <cellStyle name="40% - 强调文字颜色 2 3 2 3 5 2" xfId="17084" xr:uid="{00000000-0005-0000-0000-0000BB420000}"/>
    <cellStyle name="40% - 强调文字颜色 2 3 2 3 6" xfId="17085" xr:uid="{00000000-0005-0000-0000-0000BC420000}"/>
    <cellStyle name="40% - 强调文字颜色 2 3 2 4" xfId="17086" xr:uid="{00000000-0005-0000-0000-0000BD420000}"/>
    <cellStyle name="40% - 强调文字颜色 2 3 2 4 2" xfId="17087" xr:uid="{00000000-0005-0000-0000-0000BE420000}"/>
    <cellStyle name="40% - 强调文字颜色 2 3 2 4 2 2" xfId="17088" xr:uid="{00000000-0005-0000-0000-0000BF420000}"/>
    <cellStyle name="40% - 强调文字颜色 2 3 2 4 2 2 2" xfId="17089" xr:uid="{00000000-0005-0000-0000-0000C0420000}"/>
    <cellStyle name="40% - 强调文字颜色 2 3 2 4 3" xfId="17090" xr:uid="{00000000-0005-0000-0000-0000C1420000}"/>
    <cellStyle name="40% - 强调文字颜色 2 3 2 4 3 2" xfId="17091" xr:uid="{00000000-0005-0000-0000-0000C2420000}"/>
    <cellStyle name="40% - 强调文字颜色 2 3 2 4 4" xfId="17092" xr:uid="{00000000-0005-0000-0000-0000C3420000}"/>
    <cellStyle name="40% - 强调文字颜色 2 3 2 4 4 2" xfId="17093" xr:uid="{00000000-0005-0000-0000-0000C4420000}"/>
    <cellStyle name="40% - 强调文字颜色 2 3 2 4 5" xfId="17094" xr:uid="{00000000-0005-0000-0000-0000C5420000}"/>
    <cellStyle name="40% - 强调文字颜色 2 3 2 5" xfId="17095" xr:uid="{00000000-0005-0000-0000-0000C6420000}"/>
    <cellStyle name="40% - 强调文字颜色 2 3 2 6" xfId="17096" xr:uid="{00000000-0005-0000-0000-0000C7420000}"/>
    <cellStyle name="40% - 强调文字颜色 2 3 2 7" xfId="17097" xr:uid="{00000000-0005-0000-0000-0000C8420000}"/>
    <cellStyle name="40% - 强调文字颜色 2 3 2 7 2" xfId="17098" xr:uid="{00000000-0005-0000-0000-0000C9420000}"/>
    <cellStyle name="40% - 强调文字颜色 2 3 2 8" xfId="17099" xr:uid="{00000000-0005-0000-0000-0000CA420000}"/>
    <cellStyle name="40% - 强调文字颜色 2 3 2 8 2" xfId="17100" xr:uid="{00000000-0005-0000-0000-0000CB420000}"/>
    <cellStyle name="40% - 强调文字颜色 2 3 3" xfId="17101" xr:uid="{00000000-0005-0000-0000-0000CC420000}"/>
    <cellStyle name="40% - 强调文字颜色 2 3 3 2" xfId="17102" xr:uid="{00000000-0005-0000-0000-0000CD420000}"/>
    <cellStyle name="40% - 强调文字颜色 2 3 3 2 2" xfId="17103" xr:uid="{00000000-0005-0000-0000-0000CE420000}"/>
    <cellStyle name="40% - 强调文字颜色 2 3 3 2 3" xfId="17104" xr:uid="{00000000-0005-0000-0000-0000CF420000}"/>
    <cellStyle name="40% - 强调文字颜色 2 3 3 2 3 2" xfId="17105" xr:uid="{00000000-0005-0000-0000-0000D0420000}"/>
    <cellStyle name="40% - 强调文字颜色 2 3 3 2 3 2 2" xfId="17106" xr:uid="{00000000-0005-0000-0000-0000D1420000}"/>
    <cellStyle name="40% - 强调文字颜色 2 3 3 2 4" xfId="17107" xr:uid="{00000000-0005-0000-0000-0000D2420000}"/>
    <cellStyle name="40% - 强调文字颜色 2 3 3 2 4 2" xfId="17108" xr:uid="{00000000-0005-0000-0000-0000D3420000}"/>
    <cellStyle name="40% - 强调文字颜色 2 3 3 2 5" xfId="17109" xr:uid="{00000000-0005-0000-0000-0000D4420000}"/>
    <cellStyle name="40% - 强调文字颜色 2 3 3 2 5 2" xfId="17110" xr:uid="{00000000-0005-0000-0000-0000D5420000}"/>
    <cellStyle name="40% - 强调文字颜色 2 3 3 2 6" xfId="17111" xr:uid="{00000000-0005-0000-0000-0000D6420000}"/>
    <cellStyle name="40% - 强调文字颜色 2 3 3 3" xfId="17112" xr:uid="{00000000-0005-0000-0000-0000D7420000}"/>
    <cellStyle name="40% - 强调文字颜色 2 3 3 3 2" xfId="17113" xr:uid="{00000000-0005-0000-0000-0000D8420000}"/>
    <cellStyle name="40% - 强调文字颜色 2 3 3 3 2 2" xfId="17114" xr:uid="{00000000-0005-0000-0000-0000D9420000}"/>
    <cellStyle name="40% - 强调文字颜色 2 3 3 3 2 2 2" xfId="17115" xr:uid="{00000000-0005-0000-0000-0000DA420000}"/>
    <cellStyle name="40% - 强调文字颜色 2 3 3 3 3" xfId="17116" xr:uid="{00000000-0005-0000-0000-0000DB420000}"/>
    <cellStyle name="40% - 强调文字颜色 2 3 3 3 3 2" xfId="17117" xr:uid="{00000000-0005-0000-0000-0000DC420000}"/>
    <cellStyle name="40% - 强调文字颜色 2 3 3 3 4" xfId="17118" xr:uid="{00000000-0005-0000-0000-0000DD420000}"/>
    <cellStyle name="40% - 强调文字颜色 2 3 3 3 4 2" xfId="17119" xr:uid="{00000000-0005-0000-0000-0000DE420000}"/>
    <cellStyle name="40% - 强调文字颜色 2 3 3 3 5" xfId="17120" xr:uid="{00000000-0005-0000-0000-0000DF420000}"/>
    <cellStyle name="40% - 强调文字颜色 2 3 3 4" xfId="17121" xr:uid="{00000000-0005-0000-0000-0000E0420000}"/>
    <cellStyle name="40% - 强调文字颜色 2 3 3 5" xfId="17122" xr:uid="{00000000-0005-0000-0000-0000E1420000}"/>
    <cellStyle name="40% - 强调文字颜色 2 3 3 6" xfId="17123" xr:uid="{00000000-0005-0000-0000-0000E2420000}"/>
    <cellStyle name="40% - 强调文字颜色 2 3 3 6 2" xfId="17124" xr:uid="{00000000-0005-0000-0000-0000E3420000}"/>
    <cellStyle name="40% - 强调文字颜色 2 3 3 7" xfId="17125" xr:uid="{00000000-0005-0000-0000-0000E4420000}"/>
    <cellStyle name="40% - 强调文字颜色 2 3 3 7 2" xfId="17126" xr:uid="{00000000-0005-0000-0000-0000E5420000}"/>
    <cellStyle name="40% - 强调文字颜色 2 3 4" xfId="17127" xr:uid="{00000000-0005-0000-0000-0000E6420000}"/>
    <cellStyle name="40% - 强调文字颜色 2 3 4 2" xfId="17128" xr:uid="{00000000-0005-0000-0000-0000E7420000}"/>
    <cellStyle name="40% - 强调文字颜色 2 3 4 2 2" xfId="17129" xr:uid="{00000000-0005-0000-0000-0000E8420000}"/>
    <cellStyle name="40% - 强调文字颜色 2 3 4 2 3" xfId="17130" xr:uid="{00000000-0005-0000-0000-0000E9420000}"/>
    <cellStyle name="40% - 强调文字颜色 2 3 4 2 3 2" xfId="17131" xr:uid="{00000000-0005-0000-0000-0000EA420000}"/>
    <cellStyle name="40% - 强调文字颜色 2 3 4 2 3 2 2" xfId="17132" xr:uid="{00000000-0005-0000-0000-0000EB420000}"/>
    <cellStyle name="40% - 强调文字颜色 2 3 4 2 4" xfId="17133" xr:uid="{00000000-0005-0000-0000-0000EC420000}"/>
    <cellStyle name="40% - 强调文字颜色 2 3 4 2 4 2" xfId="17134" xr:uid="{00000000-0005-0000-0000-0000ED420000}"/>
    <cellStyle name="40% - 强调文字颜色 2 3 4 2 5" xfId="17135" xr:uid="{00000000-0005-0000-0000-0000EE420000}"/>
    <cellStyle name="40% - 强调文字颜色 2 3 4 2 5 2" xfId="17136" xr:uid="{00000000-0005-0000-0000-0000EF420000}"/>
    <cellStyle name="40% - 强调文字颜色 2 3 4 2 6" xfId="17137" xr:uid="{00000000-0005-0000-0000-0000F0420000}"/>
    <cellStyle name="40% - 强调文字颜色 2 3 4 3" xfId="17138" xr:uid="{00000000-0005-0000-0000-0000F1420000}"/>
    <cellStyle name="40% - 强调文字颜色 2 3 4 4" xfId="17139" xr:uid="{00000000-0005-0000-0000-0000F2420000}"/>
    <cellStyle name="40% - 强调文字颜色 2 3 4 5" xfId="17140" xr:uid="{00000000-0005-0000-0000-0000F3420000}"/>
    <cellStyle name="40% - 强调文字颜色 2 3 4 6" xfId="17141" xr:uid="{00000000-0005-0000-0000-0000F4420000}"/>
    <cellStyle name="40% - 强调文字颜色 2 3 4 6 2" xfId="17142" xr:uid="{00000000-0005-0000-0000-0000F5420000}"/>
    <cellStyle name="40% - 强调文字颜色 2 3 4 7" xfId="17143" xr:uid="{00000000-0005-0000-0000-0000F6420000}"/>
    <cellStyle name="40% - 强调文字颜色 2 3 4 7 2" xfId="17144" xr:uid="{00000000-0005-0000-0000-0000F7420000}"/>
    <cellStyle name="40% - 强调文字颜色 2 3 5" xfId="17145" xr:uid="{00000000-0005-0000-0000-0000F8420000}"/>
    <cellStyle name="40% - 强调文字颜色 2 3 5 2" xfId="17146" xr:uid="{00000000-0005-0000-0000-0000F9420000}"/>
    <cellStyle name="40% - 强调文字颜色 2 3 5 2 2" xfId="17147" xr:uid="{00000000-0005-0000-0000-0000FA420000}"/>
    <cellStyle name="40% - 强调文字颜色 2 3 5 2 2 2" xfId="17148" xr:uid="{00000000-0005-0000-0000-0000FB420000}"/>
    <cellStyle name="40% - 强调文字颜色 2 3 5 2 2 2 2" xfId="17149" xr:uid="{00000000-0005-0000-0000-0000FC420000}"/>
    <cellStyle name="40% - 强调文字颜色 2 3 5 2 3" xfId="17150" xr:uid="{00000000-0005-0000-0000-0000FD420000}"/>
    <cellStyle name="40% - 强调文字颜色 2 3 5 2 3 2" xfId="17151" xr:uid="{00000000-0005-0000-0000-0000FE420000}"/>
    <cellStyle name="40% - 强调文字颜色 2 3 5 2 4" xfId="17152" xr:uid="{00000000-0005-0000-0000-0000FF420000}"/>
    <cellStyle name="40% - 强调文字颜色 2 3 5 2 4 2" xfId="17153" xr:uid="{00000000-0005-0000-0000-000000430000}"/>
    <cellStyle name="40% - 强调文字颜色 2 3 5 2 5" xfId="17154" xr:uid="{00000000-0005-0000-0000-000001430000}"/>
    <cellStyle name="40% - 强调文字颜色 2 3 5 3" xfId="17155" xr:uid="{00000000-0005-0000-0000-000002430000}"/>
    <cellStyle name="40% - 强调文字颜色 2 3 5 3 2" xfId="17156" xr:uid="{00000000-0005-0000-0000-000003430000}"/>
    <cellStyle name="40% - 强调文字颜色 2 3 5 3 2 2" xfId="17157" xr:uid="{00000000-0005-0000-0000-000004430000}"/>
    <cellStyle name="40% - 强调文字颜色 2 3 5 4" xfId="17158" xr:uid="{00000000-0005-0000-0000-000005430000}"/>
    <cellStyle name="40% - 强调文字颜色 2 3 5 4 2" xfId="17159" xr:uid="{00000000-0005-0000-0000-000006430000}"/>
    <cellStyle name="40% - 强调文字颜色 2 3 5 5" xfId="17160" xr:uid="{00000000-0005-0000-0000-000007430000}"/>
    <cellStyle name="40% - 强调文字颜色 2 3 5 5 2" xfId="17161" xr:uid="{00000000-0005-0000-0000-000008430000}"/>
    <cellStyle name="40% - 强调文字颜色 2 3 5 6" xfId="17162" xr:uid="{00000000-0005-0000-0000-000009430000}"/>
    <cellStyle name="40% - 强调文字颜色 2 3 6" xfId="17163" xr:uid="{00000000-0005-0000-0000-00000A430000}"/>
    <cellStyle name="40% - 强调文字颜色 2 3 6 2" xfId="17164" xr:uid="{00000000-0005-0000-0000-00000B430000}"/>
    <cellStyle name="40% - 强调文字颜色 2 3 6 2 2" xfId="17165" xr:uid="{00000000-0005-0000-0000-00000C430000}"/>
    <cellStyle name="40% - 强调文字颜色 2 3 6 2 2 2" xfId="17166" xr:uid="{00000000-0005-0000-0000-00000D430000}"/>
    <cellStyle name="40% - 强调文字颜色 2 3 6 3" xfId="17167" xr:uid="{00000000-0005-0000-0000-00000E430000}"/>
    <cellStyle name="40% - 强调文字颜色 2 3 6 3 2" xfId="17168" xr:uid="{00000000-0005-0000-0000-00000F430000}"/>
    <cellStyle name="40% - 强调文字颜色 2 3 6 4" xfId="17169" xr:uid="{00000000-0005-0000-0000-000010430000}"/>
    <cellStyle name="40% - 强调文字颜色 2 3 6 4 2" xfId="17170" xr:uid="{00000000-0005-0000-0000-000011430000}"/>
    <cellStyle name="40% - 强调文字颜色 2 3 6 5" xfId="17171" xr:uid="{00000000-0005-0000-0000-000012430000}"/>
    <cellStyle name="40% - 强调文字颜色 2 3 7" xfId="17172" xr:uid="{00000000-0005-0000-0000-000013430000}"/>
    <cellStyle name="40% - 强调文字颜色 2 3 8" xfId="17173" xr:uid="{00000000-0005-0000-0000-000014430000}"/>
    <cellStyle name="40% - 强调文字颜色 2 3 8 2" xfId="17174" xr:uid="{00000000-0005-0000-0000-000015430000}"/>
    <cellStyle name="40% - 强调文字颜色 2 3 9" xfId="17175" xr:uid="{00000000-0005-0000-0000-000016430000}"/>
    <cellStyle name="40% - 强调文字颜色 2 3 9 2" xfId="17176" xr:uid="{00000000-0005-0000-0000-000017430000}"/>
    <cellStyle name="40% - 强调文字颜色 3 2" xfId="17177" xr:uid="{00000000-0005-0000-0000-000018430000}"/>
    <cellStyle name="40% - 强调文字颜色 3 2 10" xfId="17178" xr:uid="{00000000-0005-0000-0000-000019430000}"/>
    <cellStyle name="40% - 强调文字颜色 3 2 11" xfId="17179" xr:uid="{00000000-0005-0000-0000-00001A430000}"/>
    <cellStyle name="40% - 强调文字颜色 3 2 11 2" xfId="17180" xr:uid="{00000000-0005-0000-0000-00001B430000}"/>
    <cellStyle name="40% - 强调文字颜色 3 2 12" xfId="17181" xr:uid="{00000000-0005-0000-0000-00001C430000}"/>
    <cellStyle name="40% - 强调文字颜色 3 2 12 2" xfId="17182" xr:uid="{00000000-0005-0000-0000-00001D430000}"/>
    <cellStyle name="40% - 强调文字颜色 3 2 2" xfId="17183" xr:uid="{00000000-0005-0000-0000-00001E430000}"/>
    <cellStyle name="40% - 强调文字颜色 3 2 2 10" xfId="17184" xr:uid="{00000000-0005-0000-0000-00001F430000}"/>
    <cellStyle name="40% - 强调文字颜色 3 2 2 11" xfId="17185" xr:uid="{00000000-0005-0000-0000-000020430000}"/>
    <cellStyle name="40% - 强调文字颜色 3 2 2 11 2" xfId="17186" xr:uid="{00000000-0005-0000-0000-000021430000}"/>
    <cellStyle name="40% - 强调文字颜色 3 2 2 12" xfId="17187" xr:uid="{00000000-0005-0000-0000-000022430000}"/>
    <cellStyle name="40% - 强调文字颜色 3 2 2 12 2" xfId="17188" xr:uid="{00000000-0005-0000-0000-000023430000}"/>
    <cellStyle name="40% - 强调文字颜色 3 2 2 2" xfId="17189" xr:uid="{00000000-0005-0000-0000-000024430000}"/>
    <cellStyle name="40% - 强调文字颜色 3 2 2 2 2" xfId="17190" xr:uid="{00000000-0005-0000-0000-000025430000}"/>
    <cellStyle name="40% - 强调文字颜色 3 2 2 2 2 2" xfId="17191" xr:uid="{00000000-0005-0000-0000-000026430000}"/>
    <cellStyle name="40% - 强调文字颜色 3 2 2 2 2 2 2" xfId="17192" xr:uid="{00000000-0005-0000-0000-000027430000}"/>
    <cellStyle name="40% - 强调文字颜色 3 2 2 2 2 2 3" xfId="17193" xr:uid="{00000000-0005-0000-0000-000028430000}"/>
    <cellStyle name="40% - 强调文字颜色 3 2 2 2 2 2 3 2" xfId="17194" xr:uid="{00000000-0005-0000-0000-000029430000}"/>
    <cellStyle name="40% - 强调文字颜色 3 2 2 2 2 2 3 2 2" xfId="17195" xr:uid="{00000000-0005-0000-0000-00002A430000}"/>
    <cellStyle name="40% - 强调文字颜色 3 2 2 2 2 2 4" xfId="17196" xr:uid="{00000000-0005-0000-0000-00002B430000}"/>
    <cellStyle name="40% - 强调文字颜色 3 2 2 2 2 2 4 2" xfId="17197" xr:uid="{00000000-0005-0000-0000-00002C430000}"/>
    <cellStyle name="40% - 强调文字颜色 3 2 2 2 2 2 5" xfId="17198" xr:uid="{00000000-0005-0000-0000-00002D430000}"/>
    <cellStyle name="40% - 强调文字颜色 3 2 2 2 2 2 5 2" xfId="17199" xr:uid="{00000000-0005-0000-0000-00002E430000}"/>
    <cellStyle name="40% - 强调文字颜色 3 2 2 2 2 2 6" xfId="17200" xr:uid="{00000000-0005-0000-0000-00002F430000}"/>
    <cellStyle name="40% - 强调文字颜色 3 2 2 2 2 3" xfId="17201" xr:uid="{00000000-0005-0000-0000-000030430000}"/>
    <cellStyle name="40% - 强调文字颜色 3 2 2 2 2 3 2" xfId="17202" xr:uid="{00000000-0005-0000-0000-000031430000}"/>
    <cellStyle name="40% - 强调文字颜色 3 2 2 2 2 3 2 2" xfId="17203" xr:uid="{00000000-0005-0000-0000-000032430000}"/>
    <cellStyle name="40% - 强调文字颜色 3 2 2 2 2 3 2 2 2" xfId="17204" xr:uid="{00000000-0005-0000-0000-000033430000}"/>
    <cellStyle name="40% - 强调文字颜色 3 2 2 2 2 3 3" xfId="17205" xr:uid="{00000000-0005-0000-0000-000034430000}"/>
    <cellStyle name="40% - 强调文字颜色 3 2 2 2 2 3 3 2" xfId="17206" xr:uid="{00000000-0005-0000-0000-000035430000}"/>
    <cellStyle name="40% - 强调文字颜色 3 2 2 2 2 3 4" xfId="17207" xr:uid="{00000000-0005-0000-0000-000036430000}"/>
    <cellStyle name="40% - 强调文字颜色 3 2 2 2 2 3 4 2" xfId="17208" xr:uid="{00000000-0005-0000-0000-000037430000}"/>
    <cellStyle name="40% - 强调文字颜色 3 2 2 2 2 3 5" xfId="17209" xr:uid="{00000000-0005-0000-0000-000038430000}"/>
    <cellStyle name="40% - 强调文字颜色 3 2 2 2 2 4" xfId="17210" xr:uid="{00000000-0005-0000-0000-000039430000}"/>
    <cellStyle name="40% - 强调文字颜色 3 2 2 2 2 5" xfId="17211" xr:uid="{00000000-0005-0000-0000-00003A430000}"/>
    <cellStyle name="40% - 强调文字颜色 3 2 2 2 2 6" xfId="17212" xr:uid="{00000000-0005-0000-0000-00003B430000}"/>
    <cellStyle name="40% - 强调文字颜色 3 2 2 2 2 6 2" xfId="17213" xr:uid="{00000000-0005-0000-0000-00003C430000}"/>
    <cellStyle name="40% - 强调文字颜色 3 2 2 2 2 7" xfId="17214" xr:uid="{00000000-0005-0000-0000-00003D430000}"/>
    <cellStyle name="40% - 强调文字颜色 3 2 2 2 2 7 2" xfId="17215" xr:uid="{00000000-0005-0000-0000-00003E430000}"/>
    <cellStyle name="40% - 强调文字颜色 3 2 2 2 3" xfId="17216" xr:uid="{00000000-0005-0000-0000-00003F430000}"/>
    <cellStyle name="40% - 强调文字颜色 3 2 2 2 3 2" xfId="17217" xr:uid="{00000000-0005-0000-0000-000040430000}"/>
    <cellStyle name="40% - 强调文字颜色 3 2 2 2 3 3" xfId="17218" xr:uid="{00000000-0005-0000-0000-000041430000}"/>
    <cellStyle name="40% - 强调文字颜色 3 2 2 2 3 3 2" xfId="17219" xr:uid="{00000000-0005-0000-0000-000042430000}"/>
    <cellStyle name="40% - 强调文字颜色 3 2 2 2 3 3 2 2" xfId="17220" xr:uid="{00000000-0005-0000-0000-000043430000}"/>
    <cellStyle name="40% - 强调文字颜色 3 2 2 2 3 4" xfId="17221" xr:uid="{00000000-0005-0000-0000-000044430000}"/>
    <cellStyle name="40% - 强调文字颜色 3 2 2 2 3 4 2" xfId="17222" xr:uid="{00000000-0005-0000-0000-000045430000}"/>
    <cellStyle name="40% - 强调文字颜色 3 2 2 2 3 5" xfId="17223" xr:uid="{00000000-0005-0000-0000-000046430000}"/>
    <cellStyle name="40% - 强调文字颜色 3 2 2 2 3 5 2" xfId="17224" xr:uid="{00000000-0005-0000-0000-000047430000}"/>
    <cellStyle name="40% - 强调文字颜色 3 2 2 2 3 6" xfId="17225" xr:uid="{00000000-0005-0000-0000-000048430000}"/>
    <cellStyle name="40% - 强调文字颜色 3 2 2 2 4" xfId="17226" xr:uid="{00000000-0005-0000-0000-000049430000}"/>
    <cellStyle name="40% - 强调文字颜色 3 2 2 2 4 2" xfId="17227" xr:uid="{00000000-0005-0000-0000-00004A430000}"/>
    <cellStyle name="40% - 强调文字颜色 3 2 2 2 4 2 2" xfId="17228" xr:uid="{00000000-0005-0000-0000-00004B430000}"/>
    <cellStyle name="40% - 强调文字颜色 3 2 2 2 4 2 2 2" xfId="17229" xr:uid="{00000000-0005-0000-0000-00004C430000}"/>
    <cellStyle name="40% - 强调文字颜色 3 2 2 2 4 3" xfId="17230" xr:uid="{00000000-0005-0000-0000-00004D430000}"/>
    <cellStyle name="40% - 强调文字颜色 3 2 2 2 4 3 2" xfId="17231" xr:uid="{00000000-0005-0000-0000-00004E430000}"/>
    <cellStyle name="40% - 强调文字颜色 3 2 2 2 4 4" xfId="17232" xr:uid="{00000000-0005-0000-0000-00004F430000}"/>
    <cellStyle name="40% - 强调文字颜色 3 2 2 2 4 4 2" xfId="17233" xr:uid="{00000000-0005-0000-0000-000050430000}"/>
    <cellStyle name="40% - 强调文字颜色 3 2 2 2 4 5" xfId="17234" xr:uid="{00000000-0005-0000-0000-000051430000}"/>
    <cellStyle name="40% - 强调文字颜色 3 2 2 2 5" xfId="17235" xr:uid="{00000000-0005-0000-0000-000052430000}"/>
    <cellStyle name="40% - 强调文字颜色 3 2 2 2 6" xfId="17236" xr:uid="{00000000-0005-0000-0000-000053430000}"/>
    <cellStyle name="40% - 强调文字颜色 3 2 2 2 7" xfId="17237" xr:uid="{00000000-0005-0000-0000-000054430000}"/>
    <cellStyle name="40% - 强调文字颜色 3 2 2 2 7 2" xfId="17238" xr:uid="{00000000-0005-0000-0000-000055430000}"/>
    <cellStyle name="40% - 强调文字颜色 3 2 2 2 8" xfId="17239" xr:uid="{00000000-0005-0000-0000-000056430000}"/>
    <cellStyle name="40% - 强调文字颜色 3 2 2 2 8 2" xfId="17240" xr:uid="{00000000-0005-0000-0000-000057430000}"/>
    <cellStyle name="40% - 强调文字颜色 3 2 2 3" xfId="17241" xr:uid="{00000000-0005-0000-0000-000058430000}"/>
    <cellStyle name="40% - 强调文字颜色 3 2 2 3 2" xfId="17242" xr:uid="{00000000-0005-0000-0000-000059430000}"/>
    <cellStyle name="40% - 强调文字颜色 3 2 2 3 2 2" xfId="17243" xr:uid="{00000000-0005-0000-0000-00005A430000}"/>
    <cellStyle name="40% - 强调文字颜色 3 2 2 3 2 3" xfId="17244" xr:uid="{00000000-0005-0000-0000-00005B430000}"/>
    <cellStyle name="40% - 强调文字颜色 3 2 2 3 2 3 2" xfId="17245" xr:uid="{00000000-0005-0000-0000-00005C430000}"/>
    <cellStyle name="40% - 强调文字颜色 3 2 2 3 2 3 2 2" xfId="17246" xr:uid="{00000000-0005-0000-0000-00005D430000}"/>
    <cellStyle name="40% - 强调文字颜色 3 2 2 3 2 4" xfId="17247" xr:uid="{00000000-0005-0000-0000-00005E430000}"/>
    <cellStyle name="40% - 强调文字颜色 3 2 2 3 2 4 2" xfId="17248" xr:uid="{00000000-0005-0000-0000-00005F430000}"/>
    <cellStyle name="40% - 强调文字颜色 3 2 2 3 2 5" xfId="17249" xr:uid="{00000000-0005-0000-0000-000060430000}"/>
    <cellStyle name="40% - 强调文字颜色 3 2 2 3 2 5 2" xfId="17250" xr:uid="{00000000-0005-0000-0000-000061430000}"/>
    <cellStyle name="40% - 强调文字颜色 3 2 2 3 2 6" xfId="17251" xr:uid="{00000000-0005-0000-0000-000062430000}"/>
    <cellStyle name="40% - 强调文字颜色 3 2 2 3 3" xfId="17252" xr:uid="{00000000-0005-0000-0000-000063430000}"/>
    <cellStyle name="40% - 强调文字颜色 3 2 2 3 3 2" xfId="17253" xr:uid="{00000000-0005-0000-0000-000064430000}"/>
    <cellStyle name="40% - 强调文字颜色 3 2 2 3 3 2 2" xfId="17254" xr:uid="{00000000-0005-0000-0000-000065430000}"/>
    <cellStyle name="40% - 强调文字颜色 3 2 2 3 3 2 2 2" xfId="17255" xr:uid="{00000000-0005-0000-0000-000066430000}"/>
    <cellStyle name="40% - 强调文字颜色 3 2 2 3 3 3" xfId="17256" xr:uid="{00000000-0005-0000-0000-000067430000}"/>
    <cellStyle name="40% - 强调文字颜色 3 2 2 3 3 3 2" xfId="17257" xr:uid="{00000000-0005-0000-0000-000068430000}"/>
    <cellStyle name="40% - 强调文字颜色 3 2 2 3 3 4" xfId="17258" xr:uid="{00000000-0005-0000-0000-000069430000}"/>
    <cellStyle name="40% - 强调文字颜色 3 2 2 3 3 4 2" xfId="17259" xr:uid="{00000000-0005-0000-0000-00006A430000}"/>
    <cellStyle name="40% - 强调文字颜色 3 2 2 3 3 5" xfId="17260" xr:uid="{00000000-0005-0000-0000-00006B430000}"/>
    <cellStyle name="40% - 强调文字颜色 3 2 2 3 4" xfId="17261" xr:uid="{00000000-0005-0000-0000-00006C430000}"/>
    <cellStyle name="40% - 强调文字颜色 3 2 2 3 5" xfId="17262" xr:uid="{00000000-0005-0000-0000-00006D430000}"/>
    <cellStyle name="40% - 强调文字颜色 3 2 2 3 6" xfId="17263" xr:uid="{00000000-0005-0000-0000-00006E430000}"/>
    <cellStyle name="40% - 强调文字颜色 3 2 2 3 6 2" xfId="17264" xr:uid="{00000000-0005-0000-0000-00006F430000}"/>
    <cellStyle name="40% - 强调文字颜色 3 2 2 3 7" xfId="17265" xr:uid="{00000000-0005-0000-0000-000070430000}"/>
    <cellStyle name="40% - 强调文字颜色 3 2 2 3 7 2" xfId="17266" xr:uid="{00000000-0005-0000-0000-000071430000}"/>
    <cellStyle name="40% - 强调文字颜色 3 2 2 4" xfId="17267" xr:uid="{00000000-0005-0000-0000-000072430000}"/>
    <cellStyle name="40% - 强调文字颜色 3 2 2 4 2" xfId="17268" xr:uid="{00000000-0005-0000-0000-000073430000}"/>
    <cellStyle name="40% - 强调文字颜色 3 2 2 4 2 2" xfId="17269" xr:uid="{00000000-0005-0000-0000-000074430000}"/>
    <cellStyle name="40% - 强调文字颜色 3 2 2 4 2 3" xfId="17270" xr:uid="{00000000-0005-0000-0000-000075430000}"/>
    <cellStyle name="40% - 强调文字颜色 3 2 2 4 2 3 2" xfId="17271" xr:uid="{00000000-0005-0000-0000-000076430000}"/>
    <cellStyle name="40% - 强调文字颜色 3 2 2 4 2 3 2 2" xfId="17272" xr:uid="{00000000-0005-0000-0000-000077430000}"/>
    <cellStyle name="40% - 强调文字颜色 3 2 2 4 2 4" xfId="17273" xr:uid="{00000000-0005-0000-0000-000078430000}"/>
    <cellStyle name="40% - 强调文字颜色 3 2 2 4 2 4 2" xfId="17274" xr:uid="{00000000-0005-0000-0000-000079430000}"/>
    <cellStyle name="40% - 强调文字颜色 3 2 2 4 2 5" xfId="17275" xr:uid="{00000000-0005-0000-0000-00007A430000}"/>
    <cellStyle name="40% - 强调文字颜色 3 2 2 4 2 5 2" xfId="17276" xr:uid="{00000000-0005-0000-0000-00007B430000}"/>
    <cellStyle name="40% - 强调文字颜色 3 2 2 4 2 6" xfId="17277" xr:uid="{00000000-0005-0000-0000-00007C430000}"/>
    <cellStyle name="40% - 强调文字颜色 3 2 2 4 3" xfId="17278" xr:uid="{00000000-0005-0000-0000-00007D430000}"/>
    <cellStyle name="40% - 强调文字颜色 3 2 2 4 4" xfId="17279" xr:uid="{00000000-0005-0000-0000-00007E430000}"/>
    <cellStyle name="40% - 强调文字颜色 3 2 2 4 5" xfId="17280" xr:uid="{00000000-0005-0000-0000-00007F430000}"/>
    <cellStyle name="40% - 强调文字颜色 3 2 2 4 6" xfId="17281" xr:uid="{00000000-0005-0000-0000-000080430000}"/>
    <cellStyle name="40% - 强调文字颜色 3 2 2 4 6 2" xfId="17282" xr:uid="{00000000-0005-0000-0000-000081430000}"/>
    <cellStyle name="40% - 强调文字颜色 3 2 2 4 7" xfId="17283" xr:uid="{00000000-0005-0000-0000-000082430000}"/>
    <cellStyle name="40% - 强调文字颜色 3 2 2 4 7 2" xfId="17284" xr:uid="{00000000-0005-0000-0000-000083430000}"/>
    <cellStyle name="40% - 强调文字颜色 3 2 2 5" xfId="17285" xr:uid="{00000000-0005-0000-0000-000084430000}"/>
    <cellStyle name="40% - 强调文字颜色 3 2 2 5 2" xfId="17286" xr:uid="{00000000-0005-0000-0000-000085430000}"/>
    <cellStyle name="40% - 强调文字颜色 3 2 2 5 2 2" xfId="17287" xr:uid="{00000000-0005-0000-0000-000086430000}"/>
    <cellStyle name="40% - 强调文字颜色 3 2 2 5 2 2 2" xfId="17288" xr:uid="{00000000-0005-0000-0000-000087430000}"/>
    <cellStyle name="40% - 强调文字颜色 3 2 2 5 2 2 2 2" xfId="17289" xr:uid="{00000000-0005-0000-0000-000088430000}"/>
    <cellStyle name="40% - 强调文字颜色 3 2 2 5 2 3" xfId="17290" xr:uid="{00000000-0005-0000-0000-000089430000}"/>
    <cellStyle name="40% - 强调文字颜色 3 2 2 5 2 3 2" xfId="17291" xr:uid="{00000000-0005-0000-0000-00008A430000}"/>
    <cellStyle name="40% - 强调文字颜色 3 2 2 5 2 4" xfId="17292" xr:uid="{00000000-0005-0000-0000-00008B430000}"/>
    <cellStyle name="40% - 强调文字颜色 3 2 2 5 2 4 2" xfId="17293" xr:uid="{00000000-0005-0000-0000-00008C430000}"/>
    <cellStyle name="40% - 强调文字颜色 3 2 2 5 2 5" xfId="17294" xr:uid="{00000000-0005-0000-0000-00008D430000}"/>
    <cellStyle name="40% - 强调文字颜色 3 2 2 5 3" xfId="17295" xr:uid="{00000000-0005-0000-0000-00008E430000}"/>
    <cellStyle name="40% - 强调文字颜色 3 2 2 5 3 2" xfId="17296" xr:uid="{00000000-0005-0000-0000-00008F430000}"/>
    <cellStyle name="40% - 强调文字颜色 3 2 2 5 3 2 2" xfId="17297" xr:uid="{00000000-0005-0000-0000-000090430000}"/>
    <cellStyle name="40% - 强调文字颜色 3 2 2 5 4" xfId="17298" xr:uid="{00000000-0005-0000-0000-000091430000}"/>
    <cellStyle name="40% - 强调文字颜色 3 2 2 5 4 2" xfId="17299" xr:uid="{00000000-0005-0000-0000-000092430000}"/>
    <cellStyle name="40% - 强调文字颜色 3 2 2 5 5" xfId="17300" xr:uid="{00000000-0005-0000-0000-000093430000}"/>
    <cellStyle name="40% - 强调文字颜色 3 2 2 5 5 2" xfId="17301" xr:uid="{00000000-0005-0000-0000-000094430000}"/>
    <cellStyle name="40% - 强调文字颜色 3 2 2 5 6" xfId="17302" xr:uid="{00000000-0005-0000-0000-000095430000}"/>
    <cellStyle name="40% - 强调文字颜色 3 2 2 6" xfId="17303" xr:uid="{00000000-0005-0000-0000-000096430000}"/>
    <cellStyle name="40% - 强调文字颜色 3 2 2 6 2" xfId="17304" xr:uid="{00000000-0005-0000-0000-000097430000}"/>
    <cellStyle name="40% - 强调文字颜色 3 2 2 6 2 2" xfId="17305" xr:uid="{00000000-0005-0000-0000-000098430000}"/>
    <cellStyle name="40% - 强调文字颜色 3 2 2 6 2 2 2" xfId="17306" xr:uid="{00000000-0005-0000-0000-000099430000}"/>
    <cellStyle name="40% - 强调文字颜色 3 2 2 6 2 2 2 2" xfId="17307" xr:uid="{00000000-0005-0000-0000-00009A430000}"/>
    <cellStyle name="40% - 强调文字颜色 3 2 2 6 2 3" xfId="17308" xr:uid="{00000000-0005-0000-0000-00009B430000}"/>
    <cellStyle name="40% - 强调文字颜色 3 2 2 6 2 3 2" xfId="17309" xr:uid="{00000000-0005-0000-0000-00009C430000}"/>
    <cellStyle name="40% - 强调文字颜色 3 2 2 6 2 4" xfId="17310" xr:uid="{00000000-0005-0000-0000-00009D430000}"/>
    <cellStyle name="40% - 强调文字颜色 3 2 2 6 2 4 2" xfId="17311" xr:uid="{00000000-0005-0000-0000-00009E430000}"/>
    <cellStyle name="40% - 强调文字颜色 3 2 2 6 2 5" xfId="17312" xr:uid="{00000000-0005-0000-0000-00009F430000}"/>
    <cellStyle name="40% - 强调文字颜色 3 2 2 6 3" xfId="17313" xr:uid="{00000000-0005-0000-0000-0000A0430000}"/>
    <cellStyle name="40% - 强调文字颜色 3 2 2 6 3 2" xfId="17314" xr:uid="{00000000-0005-0000-0000-0000A1430000}"/>
    <cellStyle name="40% - 强调文字颜色 3 2 2 6 3 2 2" xfId="17315" xr:uid="{00000000-0005-0000-0000-0000A2430000}"/>
    <cellStyle name="40% - 强调文字颜色 3 2 2 6 4" xfId="17316" xr:uid="{00000000-0005-0000-0000-0000A3430000}"/>
    <cellStyle name="40% - 强调文字颜色 3 2 2 6 4 2" xfId="17317" xr:uid="{00000000-0005-0000-0000-0000A4430000}"/>
    <cellStyle name="40% - 强调文字颜色 3 2 2 6 5" xfId="17318" xr:uid="{00000000-0005-0000-0000-0000A5430000}"/>
    <cellStyle name="40% - 强调文字颜色 3 2 2 6 5 2" xfId="17319" xr:uid="{00000000-0005-0000-0000-0000A6430000}"/>
    <cellStyle name="40% - 强调文字颜色 3 2 2 6 6" xfId="17320" xr:uid="{00000000-0005-0000-0000-0000A7430000}"/>
    <cellStyle name="40% - 强调文字颜色 3 2 2 7" xfId="17321" xr:uid="{00000000-0005-0000-0000-0000A8430000}"/>
    <cellStyle name="40% - 强调文字颜色 3 2 2 7 2" xfId="17322" xr:uid="{00000000-0005-0000-0000-0000A9430000}"/>
    <cellStyle name="40% - 强调文字颜色 3 2 2 7 2 2" xfId="17323" xr:uid="{00000000-0005-0000-0000-0000AA430000}"/>
    <cellStyle name="40% - 强调文字颜色 3 2 2 7 2 2 2" xfId="17324" xr:uid="{00000000-0005-0000-0000-0000AB430000}"/>
    <cellStyle name="40% - 强调文字颜色 3 2 2 7 2 2 2 2" xfId="17325" xr:uid="{00000000-0005-0000-0000-0000AC430000}"/>
    <cellStyle name="40% - 强调文字颜色 3 2 2 7 2 3" xfId="17326" xr:uid="{00000000-0005-0000-0000-0000AD430000}"/>
    <cellStyle name="40% - 强调文字颜色 3 2 2 7 2 3 2" xfId="17327" xr:uid="{00000000-0005-0000-0000-0000AE430000}"/>
    <cellStyle name="40% - 强调文字颜色 3 2 2 7 2 4" xfId="17328" xr:uid="{00000000-0005-0000-0000-0000AF430000}"/>
    <cellStyle name="40% - 强调文字颜色 3 2 2 7 2 4 2" xfId="17329" xr:uid="{00000000-0005-0000-0000-0000B0430000}"/>
    <cellStyle name="40% - 强调文字颜色 3 2 2 7 2 5" xfId="17330" xr:uid="{00000000-0005-0000-0000-0000B1430000}"/>
    <cellStyle name="40% - 强调文字颜色 3 2 2 7 3" xfId="17331" xr:uid="{00000000-0005-0000-0000-0000B2430000}"/>
    <cellStyle name="40% - 强调文字颜色 3 2 2 7 3 2" xfId="17332" xr:uid="{00000000-0005-0000-0000-0000B3430000}"/>
    <cellStyle name="40% - 强调文字颜色 3 2 2 7 3 2 2" xfId="17333" xr:uid="{00000000-0005-0000-0000-0000B4430000}"/>
    <cellStyle name="40% - 强调文字颜色 3 2 2 7 4" xfId="17334" xr:uid="{00000000-0005-0000-0000-0000B5430000}"/>
    <cellStyle name="40% - 强调文字颜色 3 2 2 7 4 2" xfId="17335" xr:uid="{00000000-0005-0000-0000-0000B6430000}"/>
    <cellStyle name="40% - 强调文字颜色 3 2 2 7 5" xfId="17336" xr:uid="{00000000-0005-0000-0000-0000B7430000}"/>
    <cellStyle name="40% - 强调文字颜色 3 2 2 7 5 2" xfId="17337" xr:uid="{00000000-0005-0000-0000-0000B8430000}"/>
    <cellStyle name="40% - 强调文字颜色 3 2 2 7 6" xfId="17338" xr:uid="{00000000-0005-0000-0000-0000B9430000}"/>
    <cellStyle name="40% - 强调文字颜色 3 2 2 8" xfId="17339" xr:uid="{00000000-0005-0000-0000-0000BA430000}"/>
    <cellStyle name="40% - 强调文字颜色 3 2 2 8 2" xfId="17340" xr:uid="{00000000-0005-0000-0000-0000BB430000}"/>
    <cellStyle name="40% - 强调文字颜色 3 2 2 8 2 2" xfId="17341" xr:uid="{00000000-0005-0000-0000-0000BC430000}"/>
    <cellStyle name="40% - 强调文字颜色 3 2 2 8 2 2 2" xfId="17342" xr:uid="{00000000-0005-0000-0000-0000BD430000}"/>
    <cellStyle name="40% - 强调文字颜色 3 2 2 8 3" xfId="17343" xr:uid="{00000000-0005-0000-0000-0000BE430000}"/>
    <cellStyle name="40% - 强调文字颜色 3 2 2 8 3 2" xfId="17344" xr:uid="{00000000-0005-0000-0000-0000BF430000}"/>
    <cellStyle name="40% - 强调文字颜色 3 2 2 8 4" xfId="17345" xr:uid="{00000000-0005-0000-0000-0000C0430000}"/>
    <cellStyle name="40% - 强调文字颜色 3 2 2 8 4 2" xfId="17346" xr:uid="{00000000-0005-0000-0000-0000C1430000}"/>
    <cellStyle name="40% - 强调文字颜色 3 2 2 8 5" xfId="17347" xr:uid="{00000000-0005-0000-0000-0000C2430000}"/>
    <cellStyle name="40% - 强调文字颜色 3 2 2 9" xfId="17348" xr:uid="{00000000-0005-0000-0000-0000C3430000}"/>
    <cellStyle name="40% - 强调文字颜色 3 2 2 9 2" xfId="17349" xr:uid="{00000000-0005-0000-0000-0000C4430000}"/>
    <cellStyle name="40% - 强调文字颜色 3 2 2 9 2 2" xfId="17350" xr:uid="{00000000-0005-0000-0000-0000C5430000}"/>
    <cellStyle name="40% - 强调文字颜色 3 2 2 9 2 2 2" xfId="17351" xr:uid="{00000000-0005-0000-0000-0000C6430000}"/>
    <cellStyle name="40% - 强调文字颜色 3 2 2 9 3" xfId="17352" xr:uid="{00000000-0005-0000-0000-0000C7430000}"/>
    <cellStyle name="40% - 强调文字颜色 3 2 2 9 3 2" xfId="17353" xr:uid="{00000000-0005-0000-0000-0000C8430000}"/>
    <cellStyle name="40% - 强调文字颜色 3 2 2 9 4" xfId="17354" xr:uid="{00000000-0005-0000-0000-0000C9430000}"/>
    <cellStyle name="40% - 强调文字颜色 3 2 2 9 4 2" xfId="17355" xr:uid="{00000000-0005-0000-0000-0000CA430000}"/>
    <cellStyle name="40% - 强调文字颜色 3 2 2 9 5" xfId="17356" xr:uid="{00000000-0005-0000-0000-0000CB430000}"/>
    <cellStyle name="40% - 强调文字颜色 3 2 3" xfId="17357" xr:uid="{00000000-0005-0000-0000-0000CC430000}"/>
    <cellStyle name="40% - 强调文字颜色 3 2 3 10" xfId="17358" xr:uid="{00000000-0005-0000-0000-0000CD430000}"/>
    <cellStyle name="40% - 强调文字颜色 3 2 3 10 2" xfId="17359" xr:uid="{00000000-0005-0000-0000-0000CE430000}"/>
    <cellStyle name="40% - 强调文字颜色 3 2 3 2" xfId="17360" xr:uid="{00000000-0005-0000-0000-0000CF430000}"/>
    <cellStyle name="40% - 强调文字颜色 3 2 3 2 2" xfId="17361" xr:uid="{00000000-0005-0000-0000-0000D0430000}"/>
    <cellStyle name="40% - 强调文字颜色 3 2 3 2 2 2" xfId="17362" xr:uid="{00000000-0005-0000-0000-0000D1430000}"/>
    <cellStyle name="40% - 强调文字颜色 3 2 3 2 2 2 2" xfId="17363" xr:uid="{00000000-0005-0000-0000-0000D2430000}"/>
    <cellStyle name="40% - 强调文字颜色 3 2 3 2 2 2 3" xfId="17364" xr:uid="{00000000-0005-0000-0000-0000D3430000}"/>
    <cellStyle name="40% - 强调文字颜色 3 2 3 2 2 2 3 2" xfId="17365" xr:uid="{00000000-0005-0000-0000-0000D4430000}"/>
    <cellStyle name="40% - 强调文字颜色 3 2 3 2 2 2 3 2 2" xfId="17366" xr:uid="{00000000-0005-0000-0000-0000D5430000}"/>
    <cellStyle name="40% - 强调文字颜色 3 2 3 2 2 2 4" xfId="17367" xr:uid="{00000000-0005-0000-0000-0000D6430000}"/>
    <cellStyle name="40% - 强调文字颜色 3 2 3 2 2 2 4 2" xfId="17368" xr:uid="{00000000-0005-0000-0000-0000D7430000}"/>
    <cellStyle name="40% - 强调文字颜色 3 2 3 2 2 2 5" xfId="17369" xr:uid="{00000000-0005-0000-0000-0000D8430000}"/>
    <cellStyle name="40% - 强调文字颜色 3 2 3 2 2 2 5 2" xfId="17370" xr:uid="{00000000-0005-0000-0000-0000D9430000}"/>
    <cellStyle name="40% - 强调文字颜色 3 2 3 2 2 2 6" xfId="17371" xr:uid="{00000000-0005-0000-0000-0000DA430000}"/>
    <cellStyle name="40% - 强调文字颜色 3 2 3 2 2 3" xfId="17372" xr:uid="{00000000-0005-0000-0000-0000DB430000}"/>
    <cellStyle name="40% - 强调文字颜色 3 2 3 2 2 3 2" xfId="17373" xr:uid="{00000000-0005-0000-0000-0000DC430000}"/>
    <cellStyle name="40% - 强调文字颜色 3 2 3 2 2 3 2 2" xfId="17374" xr:uid="{00000000-0005-0000-0000-0000DD430000}"/>
    <cellStyle name="40% - 强调文字颜色 3 2 3 2 2 3 2 2 2" xfId="17375" xr:uid="{00000000-0005-0000-0000-0000DE430000}"/>
    <cellStyle name="40% - 强调文字颜色 3 2 3 2 2 3 3" xfId="17376" xr:uid="{00000000-0005-0000-0000-0000DF430000}"/>
    <cellStyle name="40% - 强调文字颜色 3 2 3 2 2 3 3 2" xfId="17377" xr:uid="{00000000-0005-0000-0000-0000E0430000}"/>
    <cellStyle name="40% - 强调文字颜色 3 2 3 2 2 3 4" xfId="17378" xr:uid="{00000000-0005-0000-0000-0000E1430000}"/>
    <cellStyle name="40% - 强调文字颜色 3 2 3 2 2 3 4 2" xfId="17379" xr:uid="{00000000-0005-0000-0000-0000E2430000}"/>
    <cellStyle name="40% - 强调文字颜色 3 2 3 2 2 3 5" xfId="17380" xr:uid="{00000000-0005-0000-0000-0000E3430000}"/>
    <cellStyle name="40% - 强调文字颜色 3 2 3 2 2 4" xfId="17381" xr:uid="{00000000-0005-0000-0000-0000E4430000}"/>
    <cellStyle name="40% - 强调文字颜色 3 2 3 2 2 5" xfId="17382" xr:uid="{00000000-0005-0000-0000-0000E5430000}"/>
    <cellStyle name="40% - 强调文字颜色 3 2 3 2 2 6" xfId="17383" xr:uid="{00000000-0005-0000-0000-0000E6430000}"/>
    <cellStyle name="40% - 强调文字颜色 3 2 3 2 2 6 2" xfId="17384" xr:uid="{00000000-0005-0000-0000-0000E7430000}"/>
    <cellStyle name="40% - 强调文字颜色 3 2 3 2 2 7" xfId="17385" xr:uid="{00000000-0005-0000-0000-0000E8430000}"/>
    <cellStyle name="40% - 强调文字颜色 3 2 3 2 2 7 2" xfId="17386" xr:uid="{00000000-0005-0000-0000-0000E9430000}"/>
    <cellStyle name="40% - 强调文字颜色 3 2 3 2 3" xfId="17387" xr:uid="{00000000-0005-0000-0000-0000EA430000}"/>
    <cellStyle name="40% - 强调文字颜色 3 2 3 2 3 2" xfId="17388" xr:uid="{00000000-0005-0000-0000-0000EB430000}"/>
    <cellStyle name="40% - 强调文字颜色 3 2 3 2 3 3" xfId="17389" xr:uid="{00000000-0005-0000-0000-0000EC430000}"/>
    <cellStyle name="40% - 强调文字颜色 3 2 3 2 3 3 2" xfId="17390" xr:uid="{00000000-0005-0000-0000-0000ED430000}"/>
    <cellStyle name="40% - 强调文字颜色 3 2 3 2 3 3 2 2" xfId="17391" xr:uid="{00000000-0005-0000-0000-0000EE430000}"/>
    <cellStyle name="40% - 强调文字颜色 3 2 3 2 3 4" xfId="17392" xr:uid="{00000000-0005-0000-0000-0000EF430000}"/>
    <cellStyle name="40% - 强调文字颜色 3 2 3 2 3 4 2" xfId="17393" xr:uid="{00000000-0005-0000-0000-0000F0430000}"/>
    <cellStyle name="40% - 强调文字颜色 3 2 3 2 3 5" xfId="17394" xr:uid="{00000000-0005-0000-0000-0000F1430000}"/>
    <cellStyle name="40% - 强调文字颜色 3 2 3 2 3 5 2" xfId="17395" xr:uid="{00000000-0005-0000-0000-0000F2430000}"/>
    <cellStyle name="40% - 强调文字颜色 3 2 3 2 3 6" xfId="17396" xr:uid="{00000000-0005-0000-0000-0000F3430000}"/>
    <cellStyle name="40% - 强调文字颜色 3 2 3 2 4" xfId="17397" xr:uid="{00000000-0005-0000-0000-0000F4430000}"/>
    <cellStyle name="40% - 强调文字颜色 3 2 3 2 4 2" xfId="17398" xr:uid="{00000000-0005-0000-0000-0000F5430000}"/>
    <cellStyle name="40% - 强调文字颜色 3 2 3 2 4 2 2" xfId="17399" xr:uid="{00000000-0005-0000-0000-0000F6430000}"/>
    <cellStyle name="40% - 强调文字颜色 3 2 3 2 4 2 2 2" xfId="17400" xr:uid="{00000000-0005-0000-0000-0000F7430000}"/>
    <cellStyle name="40% - 强调文字颜色 3 2 3 2 4 3" xfId="17401" xr:uid="{00000000-0005-0000-0000-0000F8430000}"/>
    <cellStyle name="40% - 强调文字颜色 3 2 3 2 4 3 2" xfId="17402" xr:uid="{00000000-0005-0000-0000-0000F9430000}"/>
    <cellStyle name="40% - 强调文字颜色 3 2 3 2 4 4" xfId="17403" xr:uid="{00000000-0005-0000-0000-0000FA430000}"/>
    <cellStyle name="40% - 强调文字颜色 3 2 3 2 4 4 2" xfId="17404" xr:uid="{00000000-0005-0000-0000-0000FB430000}"/>
    <cellStyle name="40% - 强调文字颜色 3 2 3 2 4 5" xfId="17405" xr:uid="{00000000-0005-0000-0000-0000FC430000}"/>
    <cellStyle name="40% - 强调文字颜色 3 2 3 2 5" xfId="17406" xr:uid="{00000000-0005-0000-0000-0000FD430000}"/>
    <cellStyle name="40% - 强调文字颜色 3 2 3 2 6" xfId="17407" xr:uid="{00000000-0005-0000-0000-0000FE430000}"/>
    <cellStyle name="40% - 强调文字颜色 3 2 3 2 7" xfId="17408" xr:uid="{00000000-0005-0000-0000-0000FF430000}"/>
    <cellStyle name="40% - 强调文字颜色 3 2 3 2 7 2" xfId="17409" xr:uid="{00000000-0005-0000-0000-000000440000}"/>
    <cellStyle name="40% - 强调文字颜色 3 2 3 2 8" xfId="17410" xr:uid="{00000000-0005-0000-0000-000001440000}"/>
    <cellStyle name="40% - 强调文字颜色 3 2 3 2 8 2" xfId="17411" xr:uid="{00000000-0005-0000-0000-000002440000}"/>
    <cellStyle name="40% - 强调文字颜色 3 2 3 3" xfId="17412" xr:uid="{00000000-0005-0000-0000-000003440000}"/>
    <cellStyle name="40% - 强调文字颜色 3 2 3 3 2" xfId="17413" xr:uid="{00000000-0005-0000-0000-000004440000}"/>
    <cellStyle name="40% - 强调文字颜色 3 2 3 3 2 2" xfId="17414" xr:uid="{00000000-0005-0000-0000-000005440000}"/>
    <cellStyle name="40% - 强调文字颜色 3 2 3 3 2 3" xfId="17415" xr:uid="{00000000-0005-0000-0000-000006440000}"/>
    <cellStyle name="40% - 强调文字颜色 3 2 3 3 2 3 2" xfId="17416" xr:uid="{00000000-0005-0000-0000-000007440000}"/>
    <cellStyle name="40% - 强调文字颜色 3 2 3 3 2 3 2 2" xfId="17417" xr:uid="{00000000-0005-0000-0000-000008440000}"/>
    <cellStyle name="40% - 强调文字颜色 3 2 3 3 2 4" xfId="17418" xr:uid="{00000000-0005-0000-0000-000009440000}"/>
    <cellStyle name="40% - 强调文字颜色 3 2 3 3 2 4 2" xfId="17419" xr:uid="{00000000-0005-0000-0000-00000A440000}"/>
    <cellStyle name="40% - 强调文字颜色 3 2 3 3 2 5" xfId="17420" xr:uid="{00000000-0005-0000-0000-00000B440000}"/>
    <cellStyle name="40% - 强调文字颜色 3 2 3 3 2 5 2" xfId="17421" xr:uid="{00000000-0005-0000-0000-00000C440000}"/>
    <cellStyle name="40% - 强调文字颜色 3 2 3 3 2 6" xfId="17422" xr:uid="{00000000-0005-0000-0000-00000D440000}"/>
    <cellStyle name="40% - 强调文字颜色 3 2 3 3 3" xfId="17423" xr:uid="{00000000-0005-0000-0000-00000E440000}"/>
    <cellStyle name="40% - 强调文字颜色 3 2 3 3 3 2" xfId="17424" xr:uid="{00000000-0005-0000-0000-00000F440000}"/>
    <cellStyle name="40% - 强调文字颜色 3 2 3 3 3 2 2" xfId="17425" xr:uid="{00000000-0005-0000-0000-000010440000}"/>
    <cellStyle name="40% - 强调文字颜色 3 2 3 3 3 2 2 2" xfId="17426" xr:uid="{00000000-0005-0000-0000-000011440000}"/>
    <cellStyle name="40% - 强调文字颜色 3 2 3 3 3 3" xfId="17427" xr:uid="{00000000-0005-0000-0000-000012440000}"/>
    <cellStyle name="40% - 强调文字颜色 3 2 3 3 3 3 2" xfId="17428" xr:uid="{00000000-0005-0000-0000-000013440000}"/>
    <cellStyle name="40% - 强调文字颜色 3 2 3 3 3 4" xfId="17429" xr:uid="{00000000-0005-0000-0000-000014440000}"/>
    <cellStyle name="40% - 强调文字颜色 3 2 3 3 3 4 2" xfId="17430" xr:uid="{00000000-0005-0000-0000-000015440000}"/>
    <cellStyle name="40% - 强调文字颜色 3 2 3 3 3 5" xfId="17431" xr:uid="{00000000-0005-0000-0000-000016440000}"/>
    <cellStyle name="40% - 强调文字颜色 3 2 3 3 4" xfId="17432" xr:uid="{00000000-0005-0000-0000-000017440000}"/>
    <cellStyle name="40% - 强调文字颜色 3 2 3 3 5" xfId="17433" xr:uid="{00000000-0005-0000-0000-000018440000}"/>
    <cellStyle name="40% - 强调文字颜色 3 2 3 3 6" xfId="17434" xr:uid="{00000000-0005-0000-0000-000019440000}"/>
    <cellStyle name="40% - 强调文字颜色 3 2 3 3 6 2" xfId="17435" xr:uid="{00000000-0005-0000-0000-00001A440000}"/>
    <cellStyle name="40% - 强调文字颜色 3 2 3 3 7" xfId="17436" xr:uid="{00000000-0005-0000-0000-00001B440000}"/>
    <cellStyle name="40% - 强调文字颜色 3 2 3 3 7 2" xfId="17437" xr:uid="{00000000-0005-0000-0000-00001C440000}"/>
    <cellStyle name="40% - 强调文字颜色 3 2 3 4" xfId="17438" xr:uid="{00000000-0005-0000-0000-00001D440000}"/>
    <cellStyle name="40% - 强调文字颜色 3 2 3 4 2" xfId="17439" xr:uid="{00000000-0005-0000-0000-00001E440000}"/>
    <cellStyle name="40% - 强调文字颜色 3 2 3 4 2 2" xfId="17440" xr:uid="{00000000-0005-0000-0000-00001F440000}"/>
    <cellStyle name="40% - 强调文字颜色 3 2 3 4 2 3" xfId="17441" xr:uid="{00000000-0005-0000-0000-000020440000}"/>
    <cellStyle name="40% - 强调文字颜色 3 2 3 4 2 3 2" xfId="17442" xr:uid="{00000000-0005-0000-0000-000021440000}"/>
    <cellStyle name="40% - 强调文字颜色 3 2 3 4 2 3 2 2" xfId="17443" xr:uid="{00000000-0005-0000-0000-000022440000}"/>
    <cellStyle name="40% - 强调文字颜色 3 2 3 4 2 4" xfId="17444" xr:uid="{00000000-0005-0000-0000-000023440000}"/>
    <cellStyle name="40% - 强调文字颜色 3 2 3 4 2 4 2" xfId="17445" xr:uid="{00000000-0005-0000-0000-000024440000}"/>
    <cellStyle name="40% - 强调文字颜色 3 2 3 4 2 5" xfId="17446" xr:uid="{00000000-0005-0000-0000-000025440000}"/>
    <cellStyle name="40% - 强调文字颜色 3 2 3 4 2 5 2" xfId="17447" xr:uid="{00000000-0005-0000-0000-000026440000}"/>
    <cellStyle name="40% - 强调文字颜色 3 2 3 4 2 6" xfId="17448" xr:uid="{00000000-0005-0000-0000-000027440000}"/>
    <cellStyle name="40% - 强调文字颜色 3 2 3 4 3" xfId="17449" xr:uid="{00000000-0005-0000-0000-000028440000}"/>
    <cellStyle name="40% - 强调文字颜色 3 2 3 4 4" xfId="17450" xr:uid="{00000000-0005-0000-0000-000029440000}"/>
    <cellStyle name="40% - 强调文字颜色 3 2 3 4 5" xfId="17451" xr:uid="{00000000-0005-0000-0000-00002A440000}"/>
    <cellStyle name="40% - 强调文字颜色 3 2 3 4 6" xfId="17452" xr:uid="{00000000-0005-0000-0000-00002B440000}"/>
    <cellStyle name="40% - 强调文字颜色 3 2 3 4 6 2" xfId="17453" xr:uid="{00000000-0005-0000-0000-00002C440000}"/>
    <cellStyle name="40% - 强调文字颜色 3 2 3 4 7" xfId="17454" xr:uid="{00000000-0005-0000-0000-00002D440000}"/>
    <cellStyle name="40% - 强调文字颜色 3 2 3 4 7 2" xfId="17455" xr:uid="{00000000-0005-0000-0000-00002E440000}"/>
    <cellStyle name="40% - 强调文字颜色 3 2 3 5" xfId="17456" xr:uid="{00000000-0005-0000-0000-00002F440000}"/>
    <cellStyle name="40% - 强调文字颜色 3 2 3 5 2" xfId="17457" xr:uid="{00000000-0005-0000-0000-000030440000}"/>
    <cellStyle name="40% - 强调文字颜色 3 2 3 5 2 2" xfId="17458" xr:uid="{00000000-0005-0000-0000-000031440000}"/>
    <cellStyle name="40% - 强调文字颜色 3 2 3 5 2 2 2" xfId="17459" xr:uid="{00000000-0005-0000-0000-000032440000}"/>
    <cellStyle name="40% - 强调文字颜色 3 2 3 5 2 2 2 2" xfId="17460" xr:uid="{00000000-0005-0000-0000-000033440000}"/>
    <cellStyle name="40% - 强调文字颜色 3 2 3 5 2 3" xfId="17461" xr:uid="{00000000-0005-0000-0000-000034440000}"/>
    <cellStyle name="40% - 强调文字颜色 3 2 3 5 2 3 2" xfId="17462" xr:uid="{00000000-0005-0000-0000-000035440000}"/>
    <cellStyle name="40% - 强调文字颜色 3 2 3 5 2 4" xfId="17463" xr:uid="{00000000-0005-0000-0000-000036440000}"/>
    <cellStyle name="40% - 强调文字颜色 3 2 3 5 2 4 2" xfId="17464" xr:uid="{00000000-0005-0000-0000-000037440000}"/>
    <cellStyle name="40% - 强调文字颜色 3 2 3 5 2 5" xfId="17465" xr:uid="{00000000-0005-0000-0000-000038440000}"/>
    <cellStyle name="40% - 强调文字颜色 3 2 3 5 3" xfId="17466" xr:uid="{00000000-0005-0000-0000-000039440000}"/>
    <cellStyle name="40% - 强调文字颜色 3 2 3 5 3 2" xfId="17467" xr:uid="{00000000-0005-0000-0000-00003A440000}"/>
    <cellStyle name="40% - 强调文字颜色 3 2 3 5 3 2 2" xfId="17468" xr:uid="{00000000-0005-0000-0000-00003B440000}"/>
    <cellStyle name="40% - 强调文字颜色 3 2 3 5 4" xfId="17469" xr:uid="{00000000-0005-0000-0000-00003C440000}"/>
    <cellStyle name="40% - 强调文字颜色 3 2 3 5 4 2" xfId="17470" xr:uid="{00000000-0005-0000-0000-00003D440000}"/>
    <cellStyle name="40% - 强调文字颜色 3 2 3 5 5" xfId="17471" xr:uid="{00000000-0005-0000-0000-00003E440000}"/>
    <cellStyle name="40% - 强调文字颜色 3 2 3 5 5 2" xfId="17472" xr:uid="{00000000-0005-0000-0000-00003F440000}"/>
    <cellStyle name="40% - 强调文字颜色 3 2 3 5 6" xfId="17473" xr:uid="{00000000-0005-0000-0000-000040440000}"/>
    <cellStyle name="40% - 强调文字颜色 3 2 3 6" xfId="17474" xr:uid="{00000000-0005-0000-0000-000041440000}"/>
    <cellStyle name="40% - 强调文字颜色 3 2 3 6 2" xfId="17475" xr:uid="{00000000-0005-0000-0000-000042440000}"/>
    <cellStyle name="40% - 强调文字颜色 3 2 3 6 2 2" xfId="17476" xr:uid="{00000000-0005-0000-0000-000043440000}"/>
    <cellStyle name="40% - 强调文字颜色 3 2 3 6 2 2 2" xfId="17477" xr:uid="{00000000-0005-0000-0000-000044440000}"/>
    <cellStyle name="40% - 强调文字颜色 3 2 3 6 3" xfId="17478" xr:uid="{00000000-0005-0000-0000-000045440000}"/>
    <cellStyle name="40% - 强调文字颜色 3 2 3 6 3 2" xfId="17479" xr:uid="{00000000-0005-0000-0000-000046440000}"/>
    <cellStyle name="40% - 强调文字颜色 3 2 3 6 4" xfId="17480" xr:uid="{00000000-0005-0000-0000-000047440000}"/>
    <cellStyle name="40% - 强调文字颜色 3 2 3 6 4 2" xfId="17481" xr:uid="{00000000-0005-0000-0000-000048440000}"/>
    <cellStyle name="40% - 强调文字颜色 3 2 3 6 5" xfId="17482" xr:uid="{00000000-0005-0000-0000-000049440000}"/>
    <cellStyle name="40% - 强调文字颜色 3 2 3 7" xfId="17483" xr:uid="{00000000-0005-0000-0000-00004A440000}"/>
    <cellStyle name="40% - 强调文字颜色 3 2 3 7 2" xfId="17484" xr:uid="{00000000-0005-0000-0000-00004B440000}"/>
    <cellStyle name="40% - 强调文字颜色 3 2 3 7 2 2" xfId="17485" xr:uid="{00000000-0005-0000-0000-00004C440000}"/>
    <cellStyle name="40% - 强调文字颜色 3 2 3 7 2 2 2" xfId="17486" xr:uid="{00000000-0005-0000-0000-00004D440000}"/>
    <cellStyle name="40% - 强调文字颜色 3 2 3 7 3" xfId="17487" xr:uid="{00000000-0005-0000-0000-00004E440000}"/>
    <cellStyle name="40% - 强调文字颜色 3 2 3 7 3 2" xfId="17488" xr:uid="{00000000-0005-0000-0000-00004F440000}"/>
    <cellStyle name="40% - 强调文字颜色 3 2 3 7 4" xfId="17489" xr:uid="{00000000-0005-0000-0000-000050440000}"/>
    <cellStyle name="40% - 强调文字颜色 3 2 3 7 4 2" xfId="17490" xr:uid="{00000000-0005-0000-0000-000051440000}"/>
    <cellStyle name="40% - 强调文字颜色 3 2 3 7 5" xfId="17491" xr:uid="{00000000-0005-0000-0000-000052440000}"/>
    <cellStyle name="40% - 强调文字颜色 3 2 3 8" xfId="17492" xr:uid="{00000000-0005-0000-0000-000053440000}"/>
    <cellStyle name="40% - 强调文字颜色 3 2 3 9" xfId="17493" xr:uid="{00000000-0005-0000-0000-000054440000}"/>
    <cellStyle name="40% - 强调文字颜色 3 2 3 9 2" xfId="17494" xr:uid="{00000000-0005-0000-0000-000055440000}"/>
    <cellStyle name="40% - 强调文字颜色 3 2 4" xfId="17495" xr:uid="{00000000-0005-0000-0000-000056440000}"/>
    <cellStyle name="40% - 强调文字颜色 3 2 4 2" xfId="17496" xr:uid="{00000000-0005-0000-0000-000057440000}"/>
    <cellStyle name="40% - 强调文字颜色 3 2 4 2 2" xfId="17497" xr:uid="{00000000-0005-0000-0000-000058440000}"/>
    <cellStyle name="40% - 强调文字颜色 3 2 4 2 3" xfId="17498" xr:uid="{00000000-0005-0000-0000-000059440000}"/>
    <cellStyle name="40% - 强调文字颜色 3 2 4 2 3 2" xfId="17499" xr:uid="{00000000-0005-0000-0000-00005A440000}"/>
    <cellStyle name="40% - 强调文字颜色 3 2 4 2 3 2 2" xfId="17500" xr:uid="{00000000-0005-0000-0000-00005B440000}"/>
    <cellStyle name="40% - 强调文字颜色 3 2 4 2 4" xfId="17501" xr:uid="{00000000-0005-0000-0000-00005C440000}"/>
    <cellStyle name="40% - 强调文字颜色 3 2 4 2 4 2" xfId="17502" xr:uid="{00000000-0005-0000-0000-00005D440000}"/>
    <cellStyle name="40% - 强调文字颜色 3 2 4 2 5" xfId="17503" xr:uid="{00000000-0005-0000-0000-00005E440000}"/>
    <cellStyle name="40% - 强调文字颜色 3 2 4 2 5 2" xfId="17504" xr:uid="{00000000-0005-0000-0000-00005F440000}"/>
    <cellStyle name="40% - 强调文字颜色 3 2 4 2 6" xfId="17505" xr:uid="{00000000-0005-0000-0000-000060440000}"/>
    <cellStyle name="40% - 强调文字颜色 3 2 4 3" xfId="17506" xr:uid="{00000000-0005-0000-0000-000061440000}"/>
    <cellStyle name="40% - 强调文字颜色 3 2 4 3 2" xfId="17507" xr:uid="{00000000-0005-0000-0000-000062440000}"/>
    <cellStyle name="40% - 强调文字颜色 3 2 4 3 2 2" xfId="17508" xr:uid="{00000000-0005-0000-0000-000063440000}"/>
    <cellStyle name="40% - 强调文字颜色 3 2 4 3 2 2 2" xfId="17509" xr:uid="{00000000-0005-0000-0000-000064440000}"/>
    <cellStyle name="40% - 强调文字颜色 3 2 4 3 3" xfId="17510" xr:uid="{00000000-0005-0000-0000-000065440000}"/>
    <cellStyle name="40% - 强调文字颜色 3 2 4 3 3 2" xfId="17511" xr:uid="{00000000-0005-0000-0000-000066440000}"/>
    <cellStyle name="40% - 强调文字颜色 3 2 4 3 4" xfId="17512" xr:uid="{00000000-0005-0000-0000-000067440000}"/>
    <cellStyle name="40% - 强调文字颜色 3 2 4 3 4 2" xfId="17513" xr:uid="{00000000-0005-0000-0000-000068440000}"/>
    <cellStyle name="40% - 强调文字颜色 3 2 4 3 5" xfId="17514" xr:uid="{00000000-0005-0000-0000-000069440000}"/>
    <cellStyle name="40% - 强调文字颜色 3 2 4 4" xfId="17515" xr:uid="{00000000-0005-0000-0000-00006A440000}"/>
    <cellStyle name="40% - 强调文字颜色 3 2 4 5" xfId="17516" xr:uid="{00000000-0005-0000-0000-00006B440000}"/>
    <cellStyle name="40% - 强调文字颜色 3 2 4 6" xfId="17517" xr:uid="{00000000-0005-0000-0000-00006C440000}"/>
    <cellStyle name="40% - 强调文字颜色 3 2 4 6 2" xfId="17518" xr:uid="{00000000-0005-0000-0000-00006D440000}"/>
    <cellStyle name="40% - 强调文字颜色 3 2 4 7" xfId="17519" xr:uid="{00000000-0005-0000-0000-00006E440000}"/>
    <cellStyle name="40% - 强调文字颜色 3 2 4 7 2" xfId="17520" xr:uid="{00000000-0005-0000-0000-00006F440000}"/>
    <cellStyle name="40% - 强调文字颜色 3 2 5" xfId="17521" xr:uid="{00000000-0005-0000-0000-000070440000}"/>
    <cellStyle name="40% - 强调文字颜色 3 2 5 2" xfId="17522" xr:uid="{00000000-0005-0000-0000-000071440000}"/>
    <cellStyle name="40% - 强调文字颜色 3 2 5 2 2" xfId="17523" xr:uid="{00000000-0005-0000-0000-000072440000}"/>
    <cellStyle name="40% - 强调文字颜色 3 2 5 2 3" xfId="17524" xr:uid="{00000000-0005-0000-0000-000073440000}"/>
    <cellStyle name="40% - 强调文字颜色 3 2 5 2 3 2" xfId="17525" xr:uid="{00000000-0005-0000-0000-000074440000}"/>
    <cellStyle name="40% - 强调文字颜色 3 2 5 2 3 2 2" xfId="17526" xr:uid="{00000000-0005-0000-0000-000075440000}"/>
    <cellStyle name="40% - 强调文字颜色 3 2 5 2 4" xfId="17527" xr:uid="{00000000-0005-0000-0000-000076440000}"/>
    <cellStyle name="40% - 强调文字颜色 3 2 5 2 4 2" xfId="17528" xr:uid="{00000000-0005-0000-0000-000077440000}"/>
    <cellStyle name="40% - 强调文字颜色 3 2 5 2 5" xfId="17529" xr:uid="{00000000-0005-0000-0000-000078440000}"/>
    <cellStyle name="40% - 强调文字颜色 3 2 5 2 5 2" xfId="17530" xr:uid="{00000000-0005-0000-0000-000079440000}"/>
    <cellStyle name="40% - 强调文字颜色 3 2 5 2 6" xfId="17531" xr:uid="{00000000-0005-0000-0000-00007A440000}"/>
    <cellStyle name="40% - 强调文字颜色 3 2 5 3" xfId="17532" xr:uid="{00000000-0005-0000-0000-00007B440000}"/>
    <cellStyle name="40% - 强调文字颜色 3 2 5 4" xfId="17533" xr:uid="{00000000-0005-0000-0000-00007C440000}"/>
    <cellStyle name="40% - 强调文字颜色 3 2 5 5" xfId="17534" xr:uid="{00000000-0005-0000-0000-00007D440000}"/>
    <cellStyle name="40% - 强调文字颜色 3 2 5 6" xfId="17535" xr:uid="{00000000-0005-0000-0000-00007E440000}"/>
    <cellStyle name="40% - 强调文字颜色 3 2 5 6 2" xfId="17536" xr:uid="{00000000-0005-0000-0000-00007F440000}"/>
    <cellStyle name="40% - 强调文字颜色 3 2 5 7" xfId="17537" xr:uid="{00000000-0005-0000-0000-000080440000}"/>
    <cellStyle name="40% - 强调文字颜色 3 2 5 7 2" xfId="17538" xr:uid="{00000000-0005-0000-0000-000081440000}"/>
    <cellStyle name="40% - 强调文字颜色 3 2 6" xfId="17539" xr:uid="{00000000-0005-0000-0000-000082440000}"/>
    <cellStyle name="40% - 强调文字颜色 3 2 6 2" xfId="17540" xr:uid="{00000000-0005-0000-0000-000083440000}"/>
    <cellStyle name="40% - 强调文字颜色 3 2 6 2 2" xfId="17541" xr:uid="{00000000-0005-0000-0000-000084440000}"/>
    <cellStyle name="40% - 强调文字颜色 3 2 6 2 2 2" xfId="17542" xr:uid="{00000000-0005-0000-0000-000085440000}"/>
    <cellStyle name="40% - 强调文字颜色 3 2 6 2 2 2 2" xfId="17543" xr:uid="{00000000-0005-0000-0000-000086440000}"/>
    <cellStyle name="40% - 强调文字颜色 3 2 6 2 3" xfId="17544" xr:uid="{00000000-0005-0000-0000-000087440000}"/>
    <cellStyle name="40% - 强调文字颜色 3 2 6 2 3 2" xfId="17545" xr:uid="{00000000-0005-0000-0000-000088440000}"/>
    <cellStyle name="40% - 强调文字颜色 3 2 6 2 4" xfId="17546" xr:uid="{00000000-0005-0000-0000-000089440000}"/>
    <cellStyle name="40% - 强调文字颜色 3 2 6 2 4 2" xfId="17547" xr:uid="{00000000-0005-0000-0000-00008A440000}"/>
    <cellStyle name="40% - 强调文字颜色 3 2 6 2 5" xfId="17548" xr:uid="{00000000-0005-0000-0000-00008B440000}"/>
    <cellStyle name="40% - 强调文字颜色 3 2 6 3" xfId="17549" xr:uid="{00000000-0005-0000-0000-00008C440000}"/>
    <cellStyle name="40% - 强调文字颜色 3 2 6 3 2" xfId="17550" xr:uid="{00000000-0005-0000-0000-00008D440000}"/>
    <cellStyle name="40% - 强调文字颜色 3 2 6 3 2 2" xfId="17551" xr:uid="{00000000-0005-0000-0000-00008E440000}"/>
    <cellStyle name="40% - 强调文字颜色 3 2 6 4" xfId="17552" xr:uid="{00000000-0005-0000-0000-00008F440000}"/>
    <cellStyle name="40% - 强调文字颜色 3 2 6 4 2" xfId="17553" xr:uid="{00000000-0005-0000-0000-000090440000}"/>
    <cellStyle name="40% - 强调文字颜色 3 2 6 5" xfId="17554" xr:uid="{00000000-0005-0000-0000-000091440000}"/>
    <cellStyle name="40% - 强调文字颜色 3 2 6 5 2" xfId="17555" xr:uid="{00000000-0005-0000-0000-000092440000}"/>
    <cellStyle name="40% - 强调文字颜色 3 2 6 6" xfId="17556" xr:uid="{00000000-0005-0000-0000-000093440000}"/>
    <cellStyle name="40% - 强调文字颜色 3 2 7" xfId="17557" xr:uid="{00000000-0005-0000-0000-000094440000}"/>
    <cellStyle name="40% - 强调文字颜色 3 2 7 2" xfId="17558" xr:uid="{00000000-0005-0000-0000-000095440000}"/>
    <cellStyle name="40% - 强调文字颜色 3 2 7 2 2" xfId="17559" xr:uid="{00000000-0005-0000-0000-000096440000}"/>
    <cellStyle name="40% - 强调文字颜色 3 2 7 2 2 2" xfId="17560" xr:uid="{00000000-0005-0000-0000-000097440000}"/>
    <cellStyle name="40% - 强调文字颜色 3 2 7 2 2 2 2" xfId="17561" xr:uid="{00000000-0005-0000-0000-000098440000}"/>
    <cellStyle name="40% - 强调文字颜色 3 2 7 2 3" xfId="17562" xr:uid="{00000000-0005-0000-0000-000099440000}"/>
    <cellStyle name="40% - 强调文字颜色 3 2 7 2 3 2" xfId="17563" xr:uid="{00000000-0005-0000-0000-00009A440000}"/>
    <cellStyle name="40% - 强调文字颜色 3 2 7 2 4" xfId="17564" xr:uid="{00000000-0005-0000-0000-00009B440000}"/>
    <cellStyle name="40% - 强调文字颜色 3 2 7 2 4 2" xfId="17565" xr:uid="{00000000-0005-0000-0000-00009C440000}"/>
    <cellStyle name="40% - 强调文字颜色 3 2 7 2 5" xfId="17566" xr:uid="{00000000-0005-0000-0000-00009D440000}"/>
    <cellStyle name="40% - 强调文字颜色 3 2 7 3" xfId="17567" xr:uid="{00000000-0005-0000-0000-00009E440000}"/>
    <cellStyle name="40% - 强调文字颜色 3 2 7 3 2" xfId="17568" xr:uid="{00000000-0005-0000-0000-00009F440000}"/>
    <cellStyle name="40% - 强调文字颜色 3 2 7 3 2 2" xfId="17569" xr:uid="{00000000-0005-0000-0000-0000A0440000}"/>
    <cellStyle name="40% - 强调文字颜色 3 2 7 4" xfId="17570" xr:uid="{00000000-0005-0000-0000-0000A1440000}"/>
    <cellStyle name="40% - 强调文字颜色 3 2 7 4 2" xfId="17571" xr:uid="{00000000-0005-0000-0000-0000A2440000}"/>
    <cellStyle name="40% - 强调文字颜色 3 2 7 5" xfId="17572" xr:uid="{00000000-0005-0000-0000-0000A3440000}"/>
    <cellStyle name="40% - 强调文字颜色 3 2 7 5 2" xfId="17573" xr:uid="{00000000-0005-0000-0000-0000A4440000}"/>
    <cellStyle name="40% - 强调文字颜色 3 2 7 6" xfId="17574" xr:uid="{00000000-0005-0000-0000-0000A5440000}"/>
    <cellStyle name="40% - 强调文字颜色 3 2 8" xfId="17575" xr:uid="{00000000-0005-0000-0000-0000A6440000}"/>
    <cellStyle name="40% - 强调文字颜色 3 2 8 2" xfId="17576" xr:uid="{00000000-0005-0000-0000-0000A7440000}"/>
    <cellStyle name="40% - 强调文字颜色 3 2 8 2 2" xfId="17577" xr:uid="{00000000-0005-0000-0000-0000A8440000}"/>
    <cellStyle name="40% - 强调文字颜色 3 2 8 2 2 2" xfId="17578" xr:uid="{00000000-0005-0000-0000-0000A9440000}"/>
    <cellStyle name="40% - 强调文字颜色 3 2 8 2 2 2 2" xfId="17579" xr:uid="{00000000-0005-0000-0000-0000AA440000}"/>
    <cellStyle name="40% - 强调文字颜色 3 2 8 2 3" xfId="17580" xr:uid="{00000000-0005-0000-0000-0000AB440000}"/>
    <cellStyle name="40% - 强调文字颜色 3 2 8 2 3 2" xfId="17581" xr:uid="{00000000-0005-0000-0000-0000AC440000}"/>
    <cellStyle name="40% - 强调文字颜色 3 2 8 2 4" xfId="17582" xr:uid="{00000000-0005-0000-0000-0000AD440000}"/>
    <cellStyle name="40% - 强调文字颜色 3 2 8 2 4 2" xfId="17583" xr:uid="{00000000-0005-0000-0000-0000AE440000}"/>
    <cellStyle name="40% - 强调文字颜色 3 2 8 2 5" xfId="17584" xr:uid="{00000000-0005-0000-0000-0000AF440000}"/>
    <cellStyle name="40% - 强调文字颜色 3 2 8 3" xfId="17585" xr:uid="{00000000-0005-0000-0000-0000B0440000}"/>
    <cellStyle name="40% - 强调文字颜色 3 2 8 3 2" xfId="17586" xr:uid="{00000000-0005-0000-0000-0000B1440000}"/>
    <cellStyle name="40% - 强调文字颜色 3 2 8 3 2 2" xfId="17587" xr:uid="{00000000-0005-0000-0000-0000B2440000}"/>
    <cellStyle name="40% - 强调文字颜色 3 2 8 4" xfId="17588" xr:uid="{00000000-0005-0000-0000-0000B3440000}"/>
    <cellStyle name="40% - 强调文字颜色 3 2 8 4 2" xfId="17589" xr:uid="{00000000-0005-0000-0000-0000B4440000}"/>
    <cellStyle name="40% - 强调文字颜色 3 2 8 5" xfId="17590" xr:uid="{00000000-0005-0000-0000-0000B5440000}"/>
    <cellStyle name="40% - 强调文字颜色 3 2 8 5 2" xfId="17591" xr:uid="{00000000-0005-0000-0000-0000B6440000}"/>
    <cellStyle name="40% - 强调文字颜色 3 2 8 6" xfId="17592" xr:uid="{00000000-0005-0000-0000-0000B7440000}"/>
    <cellStyle name="40% - 强调文字颜色 3 2 9" xfId="17593" xr:uid="{00000000-0005-0000-0000-0000B8440000}"/>
    <cellStyle name="40% - 强调文字颜色 3 2 9 2" xfId="17594" xr:uid="{00000000-0005-0000-0000-0000B9440000}"/>
    <cellStyle name="40% - 强调文字颜色 3 2 9 2 2" xfId="17595" xr:uid="{00000000-0005-0000-0000-0000BA440000}"/>
    <cellStyle name="40% - 强调文字颜色 3 2 9 2 2 2" xfId="17596" xr:uid="{00000000-0005-0000-0000-0000BB440000}"/>
    <cellStyle name="40% - 强调文字颜色 3 2 9 3" xfId="17597" xr:uid="{00000000-0005-0000-0000-0000BC440000}"/>
    <cellStyle name="40% - 强调文字颜色 3 2 9 3 2" xfId="17598" xr:uid="{00000000-0005-0000-0000-0000BD440000}"/>
    <cellStyle name="40% - 强调文字颜色 3 2 9 4" xfId="17599" xr:uid="{00000000-0005-0000-0000-0000BE440000}"/>
    <cellStyle name="40% - 强调文字颜色 3 2 9 4 2" xfId="17600" xr:uid="{00000000-0005-0000-0000-0000BF440000}"/>
    <cellStyle name="40% - 强调文字颜色 3 2 9 5" xfId="17601" xr:uid="{00000000-0005-0000-0000-0000C0440000}"/>
    <cellStyle name="40% - 强调文字颜色 3 3" xfId="17602" xr:uid="{00000000-0005-0000-0000-0000C1440000}"/>
    <cellStyle name="40% - 强调文字颜色 3 3 2" xfId="17603" xr:uid="{00000000-0005-0000-0000-0000C2440000}"/>
    <cellStyle name="40% - 强调文字颜色 3 3 2 2" xfId="17604" xr:uid="{00000000-0005-0000-0000-0000C3440000}"/>
    <cellStyle name="40% - 强调文字颜色 3 3 2 2 2" xfId="17605" xr:uid="{00000000-0005-0000-0000-0000C4440000}"/>
    <cellStyle name="40% - 强调文字颜色 3 3 2 2 2 2" xfId="17606" xr:uid="{00000000-0005-0000-0000-0000C5440000}"/>
    <cellStyle name="40% - 强调文字颜色 3 3 2 2 2 3" xfId="17607" xr:uid="{00000000-0005-0000-0000-0000C6440000}"/>
    <cellStyle name="40% - 强调文字颜色 3 3 2 2 2 3 2" xfId="17608" xr:uid="{00000000-0005-0000-0000-0000C7440000}"/>
    <cellStyle name="40% - 强调文字颜色 3 3 2 2 2 3 2 2" xfId="17609" xr:uid="{00000000-0005-0000-0000-0000C8440000}"/>
    <cellStyle name="40% - 强调文字颜色 3 3 2 2 2 4" xfId="17610" xr:uid="{00000000-0005-0000-0000-0000C9440000}"/>
    <cellStyle name="40% - 强调文字颜色 3 3 2 2 2 4 2" xfId="17611" xr:uid="{00000000-0005-0000-0000-0000CA440000}"/>
    <cellStyle name="40% - 强调文字颜色 3 3 2 2 2 5" xfId="17612" xr:uid="{00000000-0005-0000-0000-0000CB440000}"/>
    <cellStyle name="40% - 强调文字颜色 3 3 2 2 2 5 2" xfId="17613" xr:uid="{00000000-0005-0000-0000-0000CC440000}"/>
    <cellStyle name="40% - 强调文字颜色 3 3 2 2 2 6" xfId="17614" xr:uid="{00000000-0005-0000-0000-0000CD440000}"/>
    <cellStyle name="40% - 强调文字颜色 3 3 2 2 3" xfId="17615" xr:uid="{00000000-0005-0000-0000-0000CE440000}"/>
    <cellStyle name="40% - 强调文字颜色 3 3 2 2 3 2" xfId="17616" xr:uid="{00000000-0005-0000-0000-0000CF440000}"/>
    <cellStyle name="40% - 强调文字颜色 3 3 2 2 3 2 2" xfId="17617" xr:uid="{00000000-0005-0000-0000-0000D0440000}"/>
    <cellStyle name="40% - 强调文字颜色 3 3 2 2 3 2 2 2" xfId="17618" xr:uid="{00000000-0005-0000-0000-0000D1440000}"/>
    <cellStyle name="40% - 强调文字颜色 3 3 2 2 3 3" xfId="17619" xr:uid="{00000000-0005-0000-0000-0000D2440000}"/>
    <cellStyle name="40% - 强调文字颜色 3 3 2 2 3 3 2" xfId="17620" xr:uid="{00000000-0005-0000-0000-0000D3440000}"/>
    <cellStyle name="40% - 强调文字颜色 3 3 2 2 3 4" xfId="17621" xr:uid="{00000000-0005-0000-0000-0000D4440000}"/>
    <cellStyle name="40% - 强调文字颜色 3 3 2 2 3 4 2" xfId="17622" xr:uid="{00000000-0005-0000-0000-0000D5440000}"/>
    <cellStyle name="40% - 强调文字颜色 3 3 2 2 3 5" xfId="17623" xr:uid="{00000000-0005-0000-0000-0000D6440000}"/>
    <cellStyle name="40% - 强调文字颜色 3 3 2 2 4" xfId="17624" xr:uid="{00000000-0005-0000-0000-0000D7440000}"/>
    <cellStyle name="40% - 强调文字颜色 3 3 2 2 5" xfId="17625" xr:uid="{00000000-0005-0000-0000-0000D8440000}"/>
    <cellStyle name="40% - 强调文字颜色 3 3 2 2 6" xfId="17626" xr:uid="{00000000-0005-0000-0000-0000D9440000}"/>
    <cellStyle name="40% - 强调文字颜色 3 3 2 2 6 2" xfId="17627" xr:uid="{00000000-0005-0000-0000-0000DA440000}"/>
    <cellStyle name="40% - 强调文字颜色 3 3 2 2 7" xfId="17628" xr:uid="{00000000-0005-0000-0000-0000DB440000}"/>
    <cellStyle name="40% - 强调文字颜色 3 3 2 2 7 2" xfId="17629" xr:uid="{00000000-0005-0000-0000-0000DC440000}"/>
    <cellStyle name="40% - 强调文字颜色 3 3 2 3" xfId="17630" xr:uid="{00000000-0005-0000-0000-0000DD440000}"/>
    <cellStyle name="40% - 强调文字颜色 3 3 2 3 2" xfId="17631" xr:uid="{00000000-0005-0000-0000-0000DE440000}"/>
    <cellStyle name="40% - 强调文字颜色 3 3 2 3 3" xfId="17632" xr:uid="{00000000-0005-0000-0000-0000DF440000}"/>
    <cellStyle name="40% - 强调文字颜色 3 3 2 3 3 2" xfId="17633" xr:uid="{00000000-0005-0000-0000-0000E0440000}"/>
    <cellStyle name="40% - 强调文字颜色 3 3 2 3 3 2 2" xfId="17634" xr:uid="{00000000-0005-0000-0000-0000E1440000}"/>
    <cellStyle name="40% - 强调文字颜色 3 3 2 3 4" xfId="17635" xr:uid="{00000000-0005-0000-0000-0000E2440000}"/>
    <cellStyle name="40% - 强调文字颜色 3 3 2 3 4 2" xfId="17636" xr:uid="{00000000-0005-0000-0000-0000E3440000}"/>
    <cellStyle name="40% - 强调文字颜色 3 3 2 3 5" xfId="17637" xr:uid="{00000000-0005-0000-0000-0000E4440000}"/>
    <cellStyle name="40% - 强调文字颜色 3 3 2 3 5 2" xfId="17638" xr:uid="{00000000-0005-0000-0000-0000E5440000}"/>
    <cellStyle name="40% - 强调文字颜色 3 3 2 3 6" xfId="17639" xr:uid="{00000000-0005-0000-0000-0000E6440000}"/>
    <cellStyle name="40% - 强调文字颜色 3 3 2 4" xfId="17640" xr:uid="{00000000-0005-0000-0000-0000E7440000}"/>
    <cellStyle name="40% - 强调文字颜色 3 3 2 4 2" xfId="17641" xr:uid="{00000000-0005-0000-0000-0000E8440000}"/>
    <cellStyle name="40% - 强调文字颜色 3 3 2 4 2 2" xfId="17642" xr:uid="{00000000-0005-0000-0000-0000E9440000}"/>
    <cellStyle name="40% - 强调文字颜色 3 3 2 4 2 2 2" xfId="17643" xr:uid="{00000000-0005-0000-0000-0000EA440000}"/>
    <cellStyle name="40% - 强调文字颜色 3 3 2 4 3" xfId="17644" xr:uid="{00000000-0005-0000-0000-0000EB440000}"/>
    <cellStyle name="40% - 强调文字颜色 3 3 2 4 3 2" xfId="17645" xr:uid="{00000000-0005-0000-0000-0000EC440000}"/>
    <cellStyle name="40% - 强调文字颜色 3 3 2 4 4" xfId="17646" xr:uid="{00000000-0005-0000-0000-0000ED440000}"/>
    <cellStyle name="40% - 强调文字颜色 3 3 2 4 4 2" xfId="17647" xr:uid="{00000000-0005-0000-0000-0000EE440000}"/>
    <cellStyle name="40% - 强调文字颜色 3 3 2 4 5" xfId="17648" xr:uid="{00000000-0005-0000-0000-0000EF440000}"/>
    <cellStyle name="40% - 强调文字颜色 3 3 2 5" xfId="17649" xr:uid="{00000000-0005-0000-0000-0000F0440000}"/>
    <cellStyle name="40% - 强调文字颜色 3 3 2 6" xfId="17650" xr:uid="{00000000-0005-0000-0000-0000F1440000}"/>
    <cellStyle name="40% - 强调文字颜色 3 3 2 7" xfId="17651" xr:uid="{00000000-0005-0000-0000-0000F2440000}"/>
    <cellStyle name="40% - 强调文字颜色 3 3 2 7 2" xfId="17652" xr:uid="{00000000-0005-0000-0000-0000F3440000}"/>
    <cellStyle name="40% - 强调文字颜色 3 3 2 8" xfId="17653" xr:uid="{00000000-0005-0000-0000-0000F4440000}"/>
    <cellStyle name="40% - 强调文字颜色 3 3 2 8 2" xfId="17654" xr:uid="{00000000-0005-0000-0000-0000F5440000}"/>
    <cellStyle name="40% - 强调文字颜色 3 3 3" xfId="17655" xr:uid="{00000000-0005-0000-0000-0000F6440000}"/>
    <cellStyle name="40% - 强调文字颜色 3 3 3 2" xfId="17656" xr:uid="{00000000-0005-0000-0000-0000F7440000}"/>
    <cellStyle name="40% - 强调文字颜色 3 3 3 2 2" xfId="17657" xr:uid="{00000000-0005-0000-0000-0000F8440000}"/>
    <cellStyle name="40% - 强调文字颜色 3 3 3 2 3" xfId="17658" xr:uid="{00000000-0005-0000-0000-0000F9440000}"/>
    <cellStyle name="40% - 强调文字颜色 3 3 3 2 3 2" xfId="17659" xr:uid="{00000000-0005-0000-0000-0000FA440000}"/>
    <cellStyle name="40% - 强调文字颜色 3 3 3 2 3 2 2" xfId="17660" xr:uid="{00000000-0005-0000-0000-0000FB440000}"/>
    <cellStyle name="40% - 强调文字颜色 3 3 3 2 4" xfId="17661" xr:uid="{00000000-0005-0000-0000-0000FC440000}"/>
    <cellStyle name="40% - 强调文字颜色 3 3 3 2 4 2" xfId="17662" xr:uid="{00000000-0005-0000-0000-0000FD440000}"/>
    <cellStyle name="40% - 强调文字颜色 3 3 3 2 5" xfId="17663" xr:uid="{00000000-0005-0000-0000-0000FE440000}"/>
    <cellStyle name="40% - 强调文字颜色 3 3 3 2 5 2" xfId="17664" xr:uid="{00000000-0005-0000-0000-0000FF440000}"/>
    <cellStyle name="40% - 强调文字颜色 3 3 3 2 6" xfId="17665" xr:uid="{00000000-0005-0000-0000-000000450000}"/>
    <cellStyle name="40% - 强调文字颜色 3 3 3 3" xfId="17666" xr:uid="{00000000-0005-0000-0000-000001450000}"/>
    <cellStyle name="40% - 强调文字颜色 3 3 3 3 2" xfId="17667" xr:uid="{00000000-0005-0000-0000-000002450000}"/>
    <cellStyle name="40% - 强调文字颜色 3 3 3 3 2 2" xfId="17668" xr:uid="{00000000-0005-0000-0000-000003450000}"/>
    <cellStyle name="40% - 强调文字颜色 3 3 3 3 2 2 2" xfId="17669" xr:uid="{00000000-0005-0000-0000-000004450000}"/>
    <cellStyle name="40% - 强调文字颜色 3 3 3 3 3" xfId="17670" xr:uid="{00000000-0005-0000-0000-000005450000}"/>
    <cellStyle name="40% - 强调文字颜色 3 3 3 3 3 2" xfId="17671" xr:uid="{00000000-0005-0000-0000-000006450000}"/>
    <cellStyle name="40% - 强调文字颜色 3 3 3 3 4" xfId="17672" xr:uid="{00000000-0005-0000-0000-000007450000}"/>
    <cellStyle name="40% - 强调文字颜色 3 3 3 3 4 2" xfId="17673" xr:uid="{00000000-0005-0000-0000-000008450000}"/>
    <cellStyle name="40% - 强调文字颜色 3 3 3 3 5" xfId="17674" xr:uid="{00000000-0005-0000-0000-000009450000}"/>
    <cellStyle name="40% - 强调文字颜色 3 3 3 4" xfId="17675" xr:uid="{00000000-0005-0000-0000-00000A450000}"/>
    <cellStyle name="40% - 强调文字颜色 3 3 3 5" xfId="17676" xr:uid="{00000000-0005-0000-0000-00000B450000}"/>
    <cellStyle name="40% - 强调文字颜色 3 3 3 6" xfId="17677" xr:uid="{00000000-0005-0000-0000-00000C450000}"/>
    <cellStyle name="40% - 强调文字颜色 3 3 3 6 2" xfId="17678" xr:uid="{00000000-0005-0000-0000-00000D450000}"/>
    <cellStyle name="40% - 强调文字颜色 3 3 3 7" xfId="17679" xr:uid="{00000000-0005-0000-0000-00000E450000}"/>
    <cellStyle name="40% - 强调文字颜色 3 3 3 7 2" xfId="17680" xr:uid="{00000000-0005-0000-0000-00000F450000}"/>
    <cellStyle name="40% - 强调文字颜色 3 3 4" xfId="17681" xr:uid="{00000000-0005-0000-0000-000010450000}"/>
    <cellStyle name="40% - 强调文字颜色 3 3 4 2" xfId="17682" xr:uid="{00000000-0005-0000-0000-000011450000}"/>
    <cellStyle name="40% - 强调文字颜色 3 3 4 2 2" xfId="17683" xr:uid="{00000000-0005-0000-0000-000012450000}"/>
    <cellStyle name="40% - 强调文字颜色 3 3 4 2 3" xfId="17684" xr:uid="{00000000-0005-0000-0000-000013450000}"/>
    <cellStyle name="40% - 强调文字颜色 3 3 4 2 3 2" xfId="17685" xr:uid="{00000000-0005-0000-0000-000014450000}"/>
    <cellStyle name="40% - 强调文字颜色 3 3 4 2 3 2 2" xfId="17686" xr:uid="{00000000-0005-0000-0000-000015450000}"/>
    <cellStyle name="40% - 强调文字颜色 3 3 4 2 4" xfId="17687" xr:uid="{00000000-0005-0000-0000-000016450000}"/>
    <cellStyle name="40% - 强调文字颜色 3 3 4 2 4 2" xfId="17688" xr:uid="{00000000-0005-0000-0000-000017450000}"/>
    <cellStyle name="40% - 强调文字颜色 3 3 4 2 5" xfId="17689" xr:uid="{00000000-0005-0000-0000-000018450000}"/>
    <cellStyle name="40% - 强调文字颜色 3 3 4 2 5 2" xfId="17690" xr:uid="{00000000-0005-0000-0000-000019450000}"/>
    <cellStyle name="40% - 强调文字颜色 3 3 4 2 6" xfId="17691" xr:uid="{00000000-0005-0000-0000-00001A450000}"/>
    <cellStyle name="40% - 强调文字颜色 3 3 4 3" xfId="17692" xr:uid="{00000000-0005-0000-0000-00001B450000}"/>
    <cellStyle name="40% - 强调文字颜色 3 3 4 4" xfId="17693" xr:uid="{00000000-0005-0000-0000-00001C450000}"/>
    <cellStyle name="40% - 强调文字颜色 3 3 4 5" xfId="17694" xr:uid="{00000000-0005-0000-0000-00001D450000}"/>
    <cellStyle name="40% - 强调文字颜色 3 3 4 6" xfId="17695" xr:uid="{00000000-0005-0000-0000-00001E450000}"/>
    <cellStyle name="40% - 强调文字颜色 3 3 4 6 2" xfId="17696" xr:uid="{00000000-0005-0000-0000-00001F450000}"/>
    <cellStyle name="40% - 强调文字颜色 3 3 4 7" xfId="17697" xr:uid="{00000000-0005-0000-0000-000020450000}"/>
    <cellStyle name="40% - 强调文字颜色 3 3 4 7 2" xfId="17698" xr:uid="{00000000-0005-0000-0000-000021450000}"/>
    <cellStyle name="40% - 强调文字颜色 3 3 5" xfId="17699" xr:uid="{00000000-0005-0000-0000-000022450000}"/>
    <cellStyle name="40% - 强调文字颜色 3 3 5 2" xfId="17700" xr:uid="{00000000-0005-0000-0000-000023450000}"/>
    <cellStyle name="40% - 强调文字颜色 3 3 5 2 2" xfId="17701" xr:uid="{00000000-0005-0000-0000-000024450000}"/>
    <cellStyle name="40% - 强调文字颜色 3 3 5 2 2 2" xfId="17702" xr:uid="{00000000-0005-0000-0000-000025450000}"/>
    <cellStyle name="40% - 强调文字颜色 3 3 5 2 2 2 2" xfId="17703" xr:uid="{00000000-0005-0000-0000-000026450000}"/>
    <cellStyle name="40% - 强调文字颜色 3 3 5 2 3" xfId="17704" xr:uid="{00000000-0005-0000-0000-000027450000}"/>
    <cellStyle name="40% - 强调文字颜色 3 3 5 2 3 2" xfId="17705" xr:uid="{00000000-0005-0000-0000-000028450000}"/>
    <cellStyle name="40% - 强调文字颜色 3 3 5 2 4" xfId="17706" xr:uid="{00000000-0005-0000-0000-000029450000}"/>
    <cellStyle name="40% - 强调文字颜色 3 3 5 2 4 2" xfId="17707" xr:uid="{00000000-0005-0000-0000-00002A450000}"/>
    <cellStyle name="40% - 强调文字颜色 3 3 5 2 5" xfId="17708" xr:uid="{00000000-0005-0000-0000-00002B450000}"/>
    <cellStyle name="40% - 强调文字颜色 3 3 5 3" xfId="17709" xr:uid="{00000000-0005-0000-0000-00002C450000}"/>
    <cellStyle name="40% - 强调文字颜色 3 3 5 3 2" xfId="17710" xr:uid="{00000000-0005-0000-0000-00002D450000}"/>
    <cellStyle name="40% - 强调文字颜色 3 3 5 3 2 2" xfId="17711" xr:uid="{00000000-0005-0000-0000-00002E450000}"/>
    <cellStyle name="40% - 强调文字颜色 3 3 5 4" xfId="17712" xr:uid="{00000000-0005-0000-0000-00002F450000}"/>
    <cellStyle name="40% - 强调文字颜色 3 3 5 4 2" xfId="17713" xr:uid="{00000000-0005-0000-0000-000030450000}"/>
    <cellStyle name="40% - 强调文字颜色 3 3 5 5" xfId="17714" xr:uid="{00000000-0005-0000-0000-000031450000}"/>
    <cellStyle name="40% - 强调文字颜色 3 3 5 5 2" xfId="17715" xr:uid="{00000000-0005-0000-0000-000032450000}"/>
    <cellStyle name="40% - 强调文字颜色 3 3 5 6" xfId="17716" xr:uid="{00000000-0005-0000-0000-000033450000}"/>
    <cellStyle name="40% - 强调文字颜色 3 3 6" xfId="17717" xr:uid="{00000000-0005-0000-0000-000034450000}"/>
    <cellStyle name="40% - 强调文字颜色 3 3 6 2" xfId="17718" xr:uid="{00000000-0005-0000-0000-000035450000}"/>
    <cellStyle name="40% - 强调文字颜色 3 3 6 2 2" xfId="17719" xr:uid="{00000000-0005-0000-0000-000036450000}"/>
    <cellStyle name="40% - 强调文字颜色 3 3 6 2 2 2" xfId="17720" xr:uid="{00000000-0005-0000-0000-000037450000}"/>
    <cellStyle name="40% - 强调文字颜色 3 3 6 3" xfId="17721" xr:uid="{00000000-0005-0000-0000-000038450000}"/>
    <cellStyle name="40% - 强调文字颜色 3 3 6 3 2" xfId="17722" xr:uid="{00000000-0005-0000-0000-000039450000}"/>
    <cellStyle name="40% - 强调文字颜色 3 3 6 4" xfId="17723" xr:uid="{00000000-0005-0000-0000-00003A450000}"/>
    <cellStyle name="40% - 强调文字颜色 3 3 6 4 2" xfId="17724" xr:uid="{00000000-0005-0000-0000-00003B450000}"/>
    <cellStyle name="40% - 强调文字颜色 3 3 6 5" xfId="17725" xr:uid="{00000000-0005-0000-0000-00003C450000}"/>
    <cellStyle name="40% - 强调文字颜色 3 3 7" xfId="17726" xr:uid="{00000000-0005-0000-0000-00003D450000}"/>
    <cellStyle name="40% - 强调文字颜色 3 3 8" xfId="17727" xr:uid="{00000000-0005-0000-0000-00003E450000}"/>
    <cellStyle name="40% - 强调文字颜色 3 3 8 2" xfId="17728" xr:uid="{00000000-0005-0000-0000-00003F450000}"/>
    <cellStyle name="40% - 强调文字颜色 3 3 9" xfId="17729" xr:uid="{00000000-0005-0000-0000-000040450000}"/>
    <cellStyle name="40% - 强调文字颜色 3 3 9 2" xfId="17730" xr:uid="{00000000-0005-0000-0000-000041450000}"/>
    <cellStyle name="40% - 强调文字颜色 4 2" xfId="17731" xr:uid="{00000000-0005-0000-0000-000042450000}"/>
    <cellStyle name="40% - 强调文字颜色 4 2 10" xfId="17732" xr:uid="{00000000-0005-0000-0000-000043450000}"/>
    <cellStyle name="40% - 强调文字颜色 4 2 11" xfId="17733" xr:uid="{00000000-0005-0000-0000-000044450000}"/>
    <cellStyle name="40% - 强调文字颜色 4 2 11 2" xfId="17734" xr:uid="{00000000-0005-0000-0000-000045450000}"/>
    <cellStyle name="40% - 强调文字颜色 4 2 12" xfId="17735" xr:uid="{00000000-0005-0000-0000-000046450000}"/>
    <cellStyle name="40% - 强调文字颜色 4 2 12 2" xfId="17736" xr:uid="{00000000-0005-0000-0000-000047450000}"/>
    <cellStyle name="40% - 强调文字颜色 4 2 2" xfId="17737" xr:uid="{00000000-0005-0000-0000-000048450000}"/>
    <cellStyle name="40% - 强调文字颜色 4 2 2 10" xfId="17738" xr:uid="{00000000-0005-0000-0000-000049450000}"/>
    <cellStyle name="40% - 强调文字颜色 4 2 2 11" xfId="17739" xr:uid="{00000000-0005-0000-0000-00004A450000}"/>
    <cellStyle name="40% - 强调文字颜色 4 2 2 11 2" xfId="17740" xr:uid="{00000000-0005-0000-0000-00004B450000}"/>
    <cellStyle name="40% - 强调文字颜色 4 2 2 12" xfId="17741" xr:uid="{00000000-0005-0000-0000-00004C450000}"/>
    <cellStyle name="40% - 强调文字颜色 4 2 2 12 2" xfId="17742" xr:uid="{00000000-0005-0000-0000-00004D450000}"/>
    <cellStyle name="40% - 强调文字颜色 4 2 2 2" xfId="17743" xr:uid="{00000000-0005-0000-0000-00004E450000}"/>
    <cellStyle name="40% - 强调文字颜色 4 2 2 2 2" xfId="17744" xr:uid="{00000000-0005-0000-0000-00004F450000}"/>
    <cellStyle name="40% - 强调文字颜色 4 2 2 2 2 2" xfId="17745" xr:uid="{00000000-0005-0000-0000-000050450000}"/>
    <cellStyle name="40% - 强调文字颜色 4 2 2 2 2 2 2" xfId="17746" xr:uid="{00000000-0005-0000-0000-000051450000}"/>
    <cellStyle name="40% - 强调文字颜色 4 2 2 2 2 2 3" xfId="17747" xr:uid="{00000000-0005-0000-0000-000052450000}"/>
    <cellStyle name="40% - 强调文字颜色 4 2 2 2 2 2 3 2" xfId="17748" xr:uid="{00000000-0005-0000-0000-000053450000}"/>
    <cellStyle name="40% - 强调文字颜色 4 2 2 2 2 2 3 2 2" xfId="17749" xr:uid="{00000000-0005-0000-0000-000054450000}"/>
    <cellStyle name="40% - 强调文字颜色 4 2 2 2 2 2 4" xfId="17750" xr:uid="{00000000-0005-0000-0000-000055450000}"/>
    <cellStyle name="40% - 强调文字颜色 4 2 2 2 2 2 4 2" xfId="17751" xr:uid="{00000000-0005-0000-0000-000056450000}"/>
    <cellStyle name="40% - 强调文字颜色 4 2 2 2 2 2 5" xfId="17752" xr:uid="{00000000-0005-0000-0000-000057450000}"/>
    <cellStyle name="40% - 强调文字颜色 4 2 2 2 2 2 5 2" xfId="17753" xr:uid="{00000000-0005-0000-0000-000058450000}"/>
    <cellStyle name="40% - 强调文字颜色 4 2 2 2 2 2 6" xfId="17754" xr:uid="{00000000-0005-0000-0000-000059450000}"/>
    <cellStyle name="40% - 强调文字颜色 4 2 2 2 2 3" xfId="17755" xr:uid="{00000000-0005-0000-0000-00005A450000}"/>
    <cellStyle name="40% - 强调文字颜色 4 2 2 2 2 3 2" xfId="17756" xr:uid="{00000000-0005-0000-0000-00005B450000}"/>
    <cellStyle name="40% - 强调文字颜色 4 2 2 2 2 3 2 2" xfId="17757" xr:uid="{00000000-0005-0000-0000-00005C450000}"/>
    <cellStyle name="40% - 强调文字颜色 4 2 2 2 2 3 2 2 2" xfId="17758" xr:uid="{00000000-0005-0000-0000-00005D450000}"/>
    <cellStyle name="40% - 强调文字颜色 4 2 2 2 2 3 3" xfId="17759" xr:uid="{00000000-0005-0000-0000-00005E450000}"/>
    <cellStyle name="40% - 强调文字颜色 4 2 2 2 2 3 3 2" xfId="17760" xr:uid="{00000000-0005-0000-0000-00005F450000}"/>
    <cellStyle name="40% - 强调文字颜色 4 2 2 2 2 3 4" xfId="17761" xr:uid="{00000000-0005-0000-0000-000060450000}"/>
    <cellStyle name="40% - 强调文字颜色 4 2 2 2 2 3 4 2" xfId="17762" xr:uid="{00000000-0005-0000-0000-000061450000}"/>
    <cellStyle name="40% - 强调文字颜色 4 2 2 2 2 3 5" xfId="17763" xr:uid="{00000000-0005-0000-0000-000062450000}"/>
    <cellStyle name="40% - 强调文字颜色 4 2 2 2 2 4" xfId="17764" xr:uid="{00000000-0005-0000-0000-000063450000}"/>
    <cellStyle name="40% - 强调文字颜色 4 2 2 2 2 5" xfId="17765" xr:uid="{00000000-0005-0000-0000-000064450000}"/>
    <cellStyle name="40% - 强调文字颜色 4 2 2 2 2 6" xfId="17766" xr:uid="{00000000-0005-0000-0000-000065450000}"/>
    <cellStyle name="40% - 强调文字颜色 4 2 2 2 2 6 2" xfId="17767" xr:uid="{00000000-0005-0000-0000-000066450000}"/>
    <cellStyle name="40% - 强调文字颜色 4 2 2 2 2 7" xfId="17768" xr:uid="{00000000-0005-0000-0000-000067450000}"/>
    <cellStyle name="40% - 强调文字颜色 4 2 2 2 2 7 2" xfId="17769" xr:uid="{00000000-0005-0000-0000-000068450000}"/>
    <cellStyle name="40% - 强调文字颜色 4 2 2 2 3" xfId="17770" xr:uid="{00000000-0005-0000-0000-000069450000}"/>
    <cellStyle name="40% - 强调文字颜色 4 2 2 2 3 2" xfId="17771" xr:uid="{00000000-0005-0000-0000-00006A450000}"/>
    <cellStyle name="40% - 强调文字颜色 4 2 2 2 3 3" xfId="17772" xr:uid="{00000000-0005-0000-0000-00006B450000}"/>
    <cellStyle name="40% - 强调文字颜色 4 2 2 2 3 3 2" xfId="17773" xr:uid="{00000000-0005-0000-0000-00006C450000}"/>
    <cellStyle name="40% - 强调文字颜色 4 2 2 2 3 3 2 2" xfId="17774" xr:uid="{00000000-0005-0000-0000-00006D450000}"/>
    <cellStyle name="40% - 强调文字颜色 4 2 2 2 3 4" xfId="17775" xr:uid="{00000000-0005-0000-0000-00006E450000}"/>
    <cellStyle name="40% - 强调文字颜色 4 2 2 2 3 4 2" xfId="17776" xr:uid="{00000000-0005-0000-0000-00006F450000}"/>
    <cellStyle name="40% - 强调文字颜色 4 2 2 2 3 5" xfId="17777" xr:uid="{00000000-0005-0000-0000-000070450000}"/>
    <cellStyle name="40% - 强调文字颜色 4 2 2 2 3 5 2" xfId="17778" xr:uid="{00000000-0005-0000-0000-000071450000}"/>
    <cellStyle name="40% - 强调文字颜色 4 2 2 2 3 6" xfId="17779" xr:uid="{00000000-0005-0000-0000-000072450000}"/>
    <cellStyle name="40% - 强调文字颜色 4 2 2 2 4" xfId="17780" xr:uid="{00000000-0005-0000-0000-000073450000}"/>
    <cellStyle name="40% - 强调文字颜色 4 2 2 2 4 2" xfId="17781" xr:uid="{00000000-0005-0000-0000-000074450000}"/>
    <cellStyle name="40% - 强调文字颜色 4 2 2 2 4 2 2" xfId="17782" xr:uid="{00000000-0005-0000-0000-000075450000}"/>
    <cellStyle name="40% - 强调文字颜色 4 2 2 2 4 2 2 2" xfId="17783" xr:uid="{00000000-0005-0000-0000-000076450000}"/>
    <cellStyle name="40% - 强调文字颜色 4 2 2 2 4 3" xfId="17784" xr:uid="{00000000-0005-0000-0000-000077450000}"/>
    <cellStyle name="40% - 强调文字颜色 4 2 2 2 4 3 2" xfId="17785" xr:uid="{00000000-0005-0000-0000-000078450000}"/>
    <cellStyle name="40% - 强调文字颜色 4 2 2 2 4 4" xfId="17786" xr:uid="{00000000-0005-0000-0000-000079450000}"/>
    <cellStyle name="40% - 强调文字颜色 4 2 2 2 4 4 2" xfId="17787" xr:uid="{00000000-0005-0000-0000-00007A450000}"/>
    <cellStyle name="40% - 强调文字颜色 4 2 2 2 4 5" xfId="17788" xr:uid="{00000000-0005-0000-0000-00007B450000}"/>
    <cellStyle name="40% - 强调文字颜色 4 2 2 2 5" xfId="17789" xr:uid="{00000000-0005-0000-0000-00007C450000}"/>
    <cellStyle name="40% - 强调文字颜色 4 2 2 2 6" xfId="17790" xr:uid="{00000000-0005-0000-0000-00007D450000}"/>
    <cellStyle name="40% - 强调文字颜色 4 2 2 2 7" xfId="17791" xr:uid="{00000000-0005-0000-0000-00007E450000}"/>
    <cellStyle name="40% - 强调文字颜色 4 2 2 2 7 2" xfId="17792" xr:uid="{00000000-0005-0000-0000-00007F450000}"/>
    <cellStyle name="40% - 强调文字颜色 4 2 2 2 8" xfId="17793" xr:uid="{00000000-0005-0000-0000-000080450000}"/>
    <cellStyle name="40% - 强调文字颜色 4 2 2 2 8 2" xfId="17794" xr:uid="{00000000-0005-0000-0000-000081450000}"/>
    <cellStyle name="40% - 强调文字颜色 4 2 2 3" xfId="17795" xr:uid="{00000000-0005-0000-0000-000082450000}"/>
    <cellStyle name="40% - 强调文字颜色 4 2 2 3 2" xfId="17796" xr:uid="{00000000-0005-0000-0000-000083450000}"/>
    <cellStyle name="40% - 强调文字颜色 4 2 2 3 2 2" xfId="17797" xr:uid="{00000000-0005-0000-0000-000084450000}"/>
    <cellStyle name="40% - 强调文字颜色 4 2 2 3 2 3" xfId="17798" xr:uid="{00000000-0005-0000-0000-000085450000}"/>
    <cellStyle name="40% - 强调文字颜色 4 2 2 3 2 3 2" xfId="17799" xr:uid="{00000000-0005-0000-0000-000086450000}"/>
    <cellStyle name="40% - 强调文字颜色 4 2 2 3 2 3 2 2" xfId="17800" xr:uid="{00000000-0005-0000-0000-000087450000}"/>
    <cellStyle name="40% - 强调文字颜色 4 2 2 3 2 4" xfId="17801" xr:uid="{00000000-0005-0000-0000-000088450000}"/>
    <cellStyle name="40% - 强调文字颜色 4 2 2 3 2 4 2" xfId="17802" xr:uid="{00000000-0005-0000-0000-000089450000}"/>
    <cellStyle name="40% - 强调文字颜色 4 2 2 3 2 5" xfId="17803" xr:uid="{00000000-0005-0000-0000-00008A450000}"/>
    <cellStyle name="40% - 强调文字颜色 4 2 2 3 2 5 2" xfId="17804" xr:uid="{00000000-0005-0000-0000-00008B450000}"/>
    <cellStyle name="40% - 强调文字颜色 4 2 2 3 2 6" xfId="17805" xr:uid="{00000000-0005-0000-0000-00008C450000}"/>
    <cellStyle name="40% - 强调文字颜色 4 2 2 3 3" xfId="17806" xr:uid="{00000000-0005-0000-0000-00008D450000}"/>
    <cellStyle name="40% - 强调文字颜色 4 2 2 3 3 2" xfId="17807" xr:uid="{00000000-0005-0000-0000-00008E450000}"/>
    <cellStyle name="40% - 强调文字颜色 4 2 2 3 3 2 2" xfId="17808" xr:uid="{00000000-0005-0000-0000-00008F450000}"/>
    <cellStyle name="40% - 强调文字颜色 4 2 2 3 3 2 2 2" xfId="17809" xr:uid="{00000000-0005-0000-0000-000090450000}"/>
    <cellStyle name="40% - 强调文字颜色 4 2 2 3 3 3" xfId="17810" xr:uid="{00000000-0005-0000-0000-000091450000}"/>
    <cellStyle name="40% - 强调文字颜色 4 2 2 3 3 3 2" xfId="17811" xr:uid="{00000000-0005-0000-0000-000092450000}"/>
    <cellStyle name="40% - 强调文字颜色 4 2 2 3 3 4" xfId="17812" xr:uid="{00000000-0005-0000-0000-000093450000}"/>
    <cellStyle name="40% - 强调文字颜色 4 2 2 3 3 4 2" xfId="17813" xr:uid="{00000000-0005-0000-0000-000094450000}"/>
    <cellStyle name="40% - 强调文字颜色 4 2 2 3 3 5" xfId="17814" xr:uid="{00000000-0005-0000-0000-000095450000}"/>
    <cellStyle name="40% - 强调文字颜色 4 2 2 3 4" xfId="17815" xr:uid="{00000000-0005-0000-0000-000096450000}"/>
    <cellStyle name="40% - 强调文字颜色 4 2 2 3 5" xfId="17816" xr:uid="{00000000-0005-0000-0000-000097450000}"/>
    <cellStyle name="40% - 强调文字颜色 4 2 2 3 6" xfId="17817" xr:uid="{00000000-0005-0000-0000-000098450000}"/>
    <cellStyle name="40% - 强调文字颜色 4 2 2 3 6 2" xfId="17818" xr:uid="{00000000-0005-0000-0000-000099450000}"/>
    <cellStyle name="40% - 强调文字颜色 4 2 2 3 7" xfId="17819" xr:uid="{00000000-0005-0000-0000-00009A450000}"/>
    <cellStyle name="40% - 强调文字颜色 4 2 2 3 7 2" xfId="17820" xr:uid="{00000000-0005-0000-0000-00009B450000}"/>
    <cellStyle name="40% - 强调文字颜色 4 2 2 4" xfId="17821" xr:uid="{00000000-0005-0000-0000-00009C450000}"/>
    <cellStyle name="40% - 强调文字颜色 4 2 2 4 2" xfId="17822" xr:uid="{00000000-0005-0000-0000-00009D450000}"/>
    <cellStyle name="40% - 强调文字颜色 4 2 2 4 2 2" xfId="17823" xr:uid="{00000000-0005-0000-0000-00009E450000}"/>
    <cellStyle name="40% - 强调文字颜色 4 2 2 4 2 3" xfId="17824" xr:uid="{00000000-0005-0000-0000-00009F450000}"/>
    <cellStyle name="40% - 强调文字颜色 4 2 2 4 2 3 2" xfId="17825" xr:uid="{00000000-0005-0000-0000-0000A0450000}"/>
    <cellStyle name="40% - 强调文字颜色 4 2 2 4 2 3 2 2" xfId="17826" xr:uid="{00000000-0005-0000-0000-0000A1450000}"/>
    <cellStyle name="40% - 强调文字颜色 4 2 2 4 2 4" xfId="17827" xr:uid="{00000000-0005-0000-0000-0000A2450000}"/>
    <cellStyle name="40% - 强调文字颜色 4 2 2 4 2 4 2" xfId="17828" xr:uid="{00000000-0005-0000-0000-0000A3450000}"/>
    <cellStyle name="40% - 强调文字颜色 4 2 2 4 2 5" xfId="17829" xr:uid="{00000000-0005-0000-0000-0000A4450000}"/>
    <cellStyle name="40% - 强调文字颜色 4 2 2 4 2 5 2" xfId="17830" xr:uid="{00000000-0005-0000-0000-0000A5450000}"/>
    <cellStyle name="40% - 强调文字颜色 4 2 2 4 2 6" xfId="17831" xr:uid="{00000000-0005-0000-0000-0000A6450000}"/>
    <cellStyle name="40% - 强调文字颜色 4 2 2 4 3" xfId="17832" xr:uid="{00000000-0005-0000-0000-0000A7450000}"/>
    <cellStyle name="40% - 强调文字颜色 4 2 2 4 4" xfId="17833" xr:uid="{00000000-0005-0000-0000-0000A8450000}"/>
    <cellStyle name="40% - 强调文字颜色 4 2 2 4 5" xfId="17834" xr:uid="{00000000-0005-0000-0000-0000A9450000}"/>
    <cellStyle name="40% - 强调文字颜色 4 2 2 4 6" xfId="17835" xr:uid="{00000000-0005-0000-0000-0000AA450000}"/>
    <cellStyle name="40% - 强调文字颜色 4 2 2 4 6 2" xfId="17836" xr:uid="{00000000-0005-0000-0000-0000AB450000}"/>
    <cellStyle name="40% - 强调文字颜色 4 2 2 4 7" xfId="17837" xr:uid="{00000000-0005-0000-0000-0000AC450000}"/>
    <cellStyle name="40% - 强调文字颜色 4 2 2 4 7 2" xfId="17838" xr:uid="{00000000-0005-0000-0000-0000AD450000}"/>
    <cellStyle name="40% - 强调文字颜色 4 2 2 5" xfId="17839" xr:uid="{00000000-0005-0000-0000-0000AE450000}"/>
    <cellStyle name="40% - 强调文字颜色 4 2 2 5 2" xfId="17840" xr:uid="{00000000-0005-0000-0000-0000AF450000}"/>
    <cellStyle name="40% - 强调文字颜色 4 2 2 5 2 2" xfId="17841" xr:uid="{00000000-0005-0000-0000-0000B0450000}"/>
    <cellStyle name="40% - 强调文字颜色 4 2 2 5 2 2 2" xfId="17842" xr:uid="{00000000-0005-0000-0000-0000B1450000}"/>
    <cellStyle name="40% - 强调文字颜色 4 2 2 5 2 2 2 2" xfId="17843" xr:uid="{00000000-0005-0000-0000-0000B2450000}"/>
    <cellStyle name="40% - 强调文字颜色 4 2 2 5 2 3" xfId="17844" xr:uid="{00000000-0005-0000-0000-0000B3450000}"/>
    <cellStyle name="40% - 强调文字颜色 4 2 2 5 2 3 2" xfId="17845" xr:uid="{00000000-0005-0000-0000-0000B4450000}"/>
    <cellStyle name="40% - 强调文字颜色 4 2 2 5 2 4" xfId="17846" xr:uid="{00000000-0005-0000-0000-0000B5450000}"/>
    <cellStyle name="40% - 强调文字颜色 4 2 2 5 2 4 2" xfId="17847" xr:uid="{00000000-0005-0000-0000-0000B6450000}"/>
    <cellStyle name="40% - 强调文字颜色 4 2 2 5 2 5" xfId="17848" xr:uid="{00000000-0005-0000-0000-0000B7450000}"/>
    <cellStyle name="40% - 强调文字颜色 4 2 2 5 3" xfId="17849" xr:uid="{00000000-0005-0000-0000-0000B8450000}"/>
    <cellStyle name="40% - 强调文字颜色 4 2 2 5 3 2" xfId="17850" xr:uid="{00000000-0005-0000-0000-0000B9450000}"/>
    <cellStyle name="40% - 强调文字颜色 4 2 2 5 3 2 2" xfId="17851" xr:uid="{00000000-0005-0000-0000-0000BA450000}"/>
    <cellStyle name="40% - 强调文字颜色 4 2 2 5 4" xfId="17852" xr:uid="{00000000-0005-0000-0000-0000BB450000}"/>
    <cellStyle name="40% - 强调文字颜色 4 2 2 5 4 2" xfId="17853" xr:uid="{00000000-0005-0000-0000-0000BC450000}"/>
    <cellStyle name="40% - 强调文字颜色 4 2 2 5 5" xfId="17854" xr:uid="{00000000-0005-0000-0000-0000BD450000}"/>
    <cellStyle name="40% - 强调文字颜色 4 2 2 5 5 2" xfId="17855" xr:uid="{00000000-0005-0000-0000-0000BE450000}"/>
    <cellStyle name="40% - 强调文字颜色 4 2 2 5 6" xfId="17856" xr:uid="{00000000-0005-0000-0000-0000BF450000}"/>
    <cellStyle name="40% - 强调文字颜色 4 2 2 6" xfId="17857" xr:uid="{00000000-0005-0000-0000-0000C0450000}"/>
    <cellStyle name="40% - 强调文字颜色 4 2 2 6 2" xfId="17858" xr:uid="{00000000-0005-0000-0000-0000C1450000}"/>
    <cellStyle name="40% - 强调文字颜色 4 2 2 6 2 2" xfId="17859" xr:uid="{00000000-0005-0000-0000-0000C2450000}"/>
    <cellStyle name="40% - 强调文字颜色 4 2 2 6 2 2 2" xfId="17860" xr:uid="{00000000-0005-0000-0000-0000C3450000}"/>
    <cellStyle name="40% - 强调文字颜色 4 2 2 6 2 2 2 2" xfId="17861" xr:uid="{00000000-0005-0000-0000-0000C4450000}"/>
    <cellStyle name="40% - 强调文字颜色 4 2 2 6 2 3" xfId="17862" xr:uid="{00000000-0005-0000-0000-0000C5450000}"/>
    <cellStyle name="40% - 强调文字颜色 4 2 2 6 2 3 2" xfId="17863" xr:uid="{00000000-0005-0000-0000-0000C6450000}"/>
    <cellStyle name="40% - 强调文字颜色 4 2 2 6 2 4" xfId="17864" xr:uid="{00000000-0005-0000-0000-0000C7450000}"/>
    <cellStyle name="40% - 强调文字颜色 4 2 2 6 2 4 2" xfId="17865" xr:uid="{00000000-0005-0000-0000-0000C8450000}"/>
    <cellStyle name="40% - 强调文字颜色 4 2 2 6 2 5" xfId="17866" xr:uid="{00000000-0005-0000-0000-0000C9450000}"/>
    <cellStyle name="40% - 强调文字颜色 4 2 2 6 3" xfId="17867" xr:uid="{00000000-0005-0000-0000-0000CA450000}"/>
    <cellStyle name="40% - 强调文字颜色 4 2 2 6 3 2" xfId="17868" xr:uid="{00000000-0005-0000-0000-0000CB450000}"/>
    <cellStyle name="40% - 强调文字颜色 4 2 2 6 3 2 2" xfId="17869" xr:uid="{00000000-0005-0000-0000-0000CC450000}"/>
    <cellStyle name="40% - 强调文字颜色 4 2 2 6 4" xfId="17870" xr:uid="{00000000-0005-0000-0000-0000CD450000}"/>
    <cellStyle name="40% - 强调文字颜色 4 2 2 6 4 2" xfId="17871" xr:uid="{00000000-0005-0000-0000-0000CE450000}"/>
    <cellStyle name="40% - 强调文字颜色 4 2 2 6 5" xfId="17872" xr:uid="{00000000-0005-0000-0000-0000CF450000}"/>
    <cellStyle name="40% - 强调文字颜色 4 2 2 6 5 2" xfId="17873" xr:uid="{00000000-0005-0000-0000-0000D0450000}"/>
    <cellStyle name="40% - 强调文字颜色 4 2 2 6 6" xfId="17874" xr:uid="{00000000-0005-0000-0000-0000D1450000}"/>
    <cellStyle name="40% - 强调文字颜色 4 2 2 7" xfId="17875" xr:uid="{00000000-0005-0000-0000-0000D2450000}"/>
    <cellStyle name="40% - 强调文字颜色 4 2 2 7 2" xfId="17876" xr:uid="{00000000-0005-0000-0000-0000D3450000}"/>
    <cellStyle name="40% - 强调文字颜色 4 2 2 7 2 2" xfId="17877" xr:uid="{00000000-0005-0000-0000-0000D4450000}"/>
    <cellStyle name="40% - 强调文字颜色 4 2 2 7 2 2 2" xfId="17878" xr:uid="{00000000-0005-0000-0000-0000D5450000}"/>
    <cellStyle name="40% - 强调文字颜色 4 2 2 7 2 2 2 2" xfId="17879" xr:uid="{00000000-0005-0000-0000-0000D6450000}"/>
    <cellStyle name="40% - 强调文字颜色 4 2 2 7 2 3" xfId="17880" xr:uid="{00000000-0005-0000-0000-0000D7450000}"/>
    <cellStyle name="40% - 强调文字颜色 4 2 2 7 2 3 2" xfId="17881" xr:uid="{00000000-0005-0000-0000-0000D8450000}"/>
    <cellStyle name="40% - 强调文字颜色 4 2 2 7 2 4" xfId="17882" xr:uid="{00000000-0005-0000-0000-0000D9450000}"/>
    <cellStyle name="40% - 强调文字颜色 4 2 2 7 2 4 2" xfId="17883" xr:uid="{00000000-0005-0000-0000-0000DA450000}"/>
    <cellStyle name="40% - 强调文字颜色 4 2 2 7 2 5" xfId="17884" xr:uid="{00000000-0005-0000-0000-0000DB450000}"/>
    <cellStyle name="40% - 强调文字颜色 4 2 2 7 3" xfId="17885" xr:uid="{00000000-0005-0000-0000-0000DC450000}"/>
    <cellStyle name="40% - 强调文字颜色 4 2 2 7 3 2" xfId="17886" xr:uid="{00000000-0005-0000-0000-0000DD450000}"/>
    <cellStyle name="40% - 强调文字颜色 4 2 2 7 3 2 2" xfId="17887" xr:uid="{00000000-0005-0000-0000-0000DE450000}"/>
    <cellStyle name="40% - 强调文字颜色 4 2 2 7 4" xfId="17888" xr:uid="{00000000-0005-0000-0000-0000DF450000}"/>
    <cellStyle name="40% - 强调文字颜色 4 2 2 7 4 2" xfId="17889" xr:uid="{00000000-0005-0000-0000-0000E0450000}"/>
    <cellStyle name="40% - 强调文字颜色 4 2 2 7 5" xfId="17890" xr:uid="{00000000-0005-0000-0000-0000E1450000}"/>
    <cellStyle name="40% - 强调文字颜色 4 2 2 7 5 2" xfId="17891" xr:uid="{00000000-0005-0000-0000-0000E2450000}"/>
    <cellStyle name="40% - 强调文字颜色 4 2 2 7 6" xfId="17892" xr:uid="{00000000-0005-0000-0000-0000E3450000}"/>
    <cellStyle name="40% - 强调文字颜色 4 2 2 8" xfId="17893" xr:uid="{00000000-0005-0000-0000-0000E4450000}"/>
    <cellStyle name="40% - 强调文字颜色 4 2 2 8 2" xfId="17894" xr:uid="{00000000-0005-0000-0000-0000E5450000}"/>
    <cellStyle name="40% - 强调文字颜色 4 2 2 8 2 2" xfId="17895" xr:uid="{00000000-0005-0000-0000-0000E6450000}"/>
    <cellStyle name="40% - 强调文字颜色 4 2 2 8 2 2 2" xfId="17896" xr:uid="{00000000-0005-0000-0000-0000E7450000}"/>
    <cellStyle name="40% - 强调文字颜色 4 2 2 8 3" xfId="17897" xr:uid="{00000000-0005-0000-0000-0000E8450000}"/>
    <cellStyle name="40% - 强调文字颜色 4 2 2 8 3 2" xfId="17898" xr:uid="{00000000-0005-0000-0000-0000E9450000}"/>
    <cellStyle name="40% - 强调文字颜色 4 2 2 8 4" xfId="17899" xr:uid="{00000000-0005-0000-0000-0000EA450000}"/>
    <cellStyle name="40% - 强调文字颜色 4 2 2 8 4 2" xfId="17900" xr:uid="{00000000-0005-0000-0000-0000EB450000}"/>
    <cellStyle name="40% - 强调文字颜色 4 2 2 8 5" xfId="17901" xr:uid="{00000000-0005-0000-0000-0000EC450000}"/>
    <cellStyle name="40% - 强调文字颜色 4 2 2 9" xfId="17902" xr:uid="{00000000-0005-0000-0000-0000ED450000}"/>
    <cellStyle name="40% - 强调文字颜色 4 2 2 9 2" xfId="17903" xr:uid="{00000000-0005-0000-0000-0000EE450000}"/>
    <cellStyle name="40% - 强调文字颜色 4 2 2 9 2 2" xfId="17904" xr:uid="{00000000-0005-0000-0000-0000EF450000}"/>
    <cellStyle name="40% - 强调文字颜色 4 2 2 9 2 2 2" xfId="17905" xr:uid="{00000000-0005-0000-0000-0000F0450000}"/>
    <cellStyle name="40% - 强调文字颜色 4 2 2 9 3" xfId="17906" xr:uid="{00000000-0005-0000-0000-0000F1450000}"/>
    <cellStyle name="40% - 强调文字颜色 4 2 2 9 3 2" xfId="17907" xr:uid="{00000000-0005-0000-0000-0000F2450000}"/>
    <cellStyle name="40% - 强调文字颜色 4 2 2 9 4" xfId="17908" xr:uid="{00000000-0005-0000-0000-0000F3450000}"/>
    <cellStyle name="40% - 强调文字颜色 4 2 2 9 4 2" xfId="17909" xr:uid="{00000000-0005-0000-0000-0000F4450000}"/>
    <cellStyle name="40% - 强调文字颜色 4 2 2 9 5" xfId="17910" xr:uid="{00000000-0005-0000-0000-0000F5450000}"/>
    <cellStyle name="40% - 强调文字颜色 4 2 3" xfId="17911" xr:uid="{00000000-0005-0000-0000-0000F6450000}"/>
    <cellStyle name="40% - 强调文字颜色 4 2 3 10" xfId="17912" xr:uid="{00000000-0005-0000-0000-0000F7450000}"/>
    <cellStyle name="40% - 强调文字颜色 4 2 3 10 2" xfId="17913" xr:uid="{00000000-0005-0000-0000-0000F8450000}"/>
    <cellStyle name="40% - 强调文字颜色 4 2 3 2" xfId="17914" xr:uid="{00000000-0005-0000-0000-0000F9450000}"/>
    <cellStyle name="40% - 强调文字颜色 4 2 3 2 2" xfId="17915" xr:uid="{00000000-0005-0000-0000-0000FA450000}"/>
    <cellStyle name="40% - 强调文字颜色 4 2 3 2 2 2" xfId="17916" xr:uid="{00000000-0005-0000-0000-0000FB450000}"/>
    <cellStyle name="40% - 强调文字颜色 4 2 3 2 2 2 2" xfId="17917" xr:uid="{00000000-0005-0000-0000-0000FC450000}"/>
    <cellStyle name="40% - 强调文字颜色 4 2 3 2 2 2 3" xfId="17918" xr:uid="{00000000-0005-0000-0000-0000FD450000}"/>
    <cellStyle name="40% - 强调文字颜色 4 2 3 2 2 2 3 2" xfId="17919" xr:uid="{00000000-0005-0000-0000-0000FE450000}"/>
    <cellStyle name="40% - 强调文字颜色 4 2 3 2 2 2 3 2 2" xfId="17920" xr:uid="{00000000-0005-0000-0000-0000FF450000}"/>
    <cellStyle name="40% - 强调文字颜色 4 2 3 2 2 2 4" xfId="17921" xr:uid="{00000000-0005-0000-0000-000000460000}"/>
    <cellStyle name="40% - 强调文字颜色 4 2 3 2 2 2 4 2" xfId="17922" xr:uid="{00000000-0005-0000-0000-000001460000}"/>
    <cellStyle name="40% - 强调文字颜色 4 2 3 2 2 2 5" xfId="17923" xr:uid="{00000000-0005-0000-0000-000002460000}"/>
    <cellStyle name="40% - 强调文字颜色 4 2 3 2 2 2 5 2" xfId="17924" xr:uid="{00000000-0005-0000-0000-000003460000}"/>
    <cellStyle name="40% - 强调文字颜色 4 2 3 2 2 2 6" xfId="17925" xr:uid="{00000000-0005-0000-0000-000004460000}"/>
    <cellStyle name="40% - 强调文字颜色 4 2 3 2 2 3" xfId="17926" xr:uid="{00000000-0005-0000-0000-000005460000}"/>
    <cellStyle name="40% - 强调文字颜色 4 2 3 2 2 3 2" xfId="17927" xr:uid="{00000000-0005-0000-0000-000006460000}"/>
    <cellStyle name="40% - 强调文字颜色 4 2 3 2 2 3 2 2" xfId="17928" xr:uid="{00000000-0005-0000-0000-000007460000}"/>
    <cellStyle name="40% - 强调文字颜色 4 2 3 2 2 3 2 2 2" xfId="17929" xr:uid="{00000000-0005-0000-0000-000008460000}"/>
    <cellStyle name="40% - 强调文字颜色 4 2 3 2 2 3 3" xfId="17930" xr:uid="{00000000-0005-0000-0000-000009460000}"/>
    <cellStyle name="40% - 强调文字颜色 4 2 3 2 2 3 3 2" xfId="17931" xr:uid="{00000000-0005-0000-0000-00000A460000}"/>
    <cellStyle name="40% - 强调文字颜色 4 2 3 2 2 3 4" xfId="17932" xr:uid="{00000000-0005-0000-0000-00000B460000}"/>
    <cellStyle name="40% - 强调文字颜色 4 2 3 2 2 3 4 2" xfId="17933" xr:uid="{00000000-0005-0000-0000-00000C460000}"/>
    <cellStyle name="40% - 强调文字颜色 4 2 3 2 2 3 5" xfId="17934" xr:uid="{00000000-0005-0000-0000-00000D460000}"/>
    <cellStyle name="40% - 强调文字颜色 4 2 3 2 2 4" xfId="17935" xr:uid="{00000000-0005-0000-0000-00000E460000}"/>
    <cellStyle name="40% - 强调文字颜色 4 2 3 2 2 5" xfId="17936" xr:uid="{00000000-0005-0000-0000-00000F460000}"/>
    <cellStyle name="40% - 强调文字颜色 4 2 3 2 2 6" xfId="17937" xr:uid="{00000000-0005-0000-0000-000010460000}"/>
    <cellStyle name="40% - 强调文字颜色 4 2 3 2 2 6 2" xfId="17938" xr:uid="{00000000-0005-0000-0000-000011460000}"/>
    <cellStyle name="40% - 强调文字颜色 4 2 3 2 2 7" xfId="17939" xr:uid="{00000000-0005-0000-0000-000012460000}"/>
    <cellStyle name="40% - 强调文字颜色 4 2 3 2 2 7 2" xfId="17940" xr:uid="{00000000-0005-0000-0000-000013460000}"/>
    <cellStyle name="40% - 强调文字颜色 4 2 3 2 3" xfId="17941" xr:uid="{00000000-0005-0000-0000-000014460000}"/>
    <cellStyle name="40% - 强调文字颜色 4 2 3 2 3 2" xfId="17942" xr:uid="{00000000-0005-0000-0000-000015460000}"/>
    <cellStyle name="40% - 强调文字颜色 4 2 3 2 3 3" xfId="17943" xr:uid="{00000000-0005-0000-0000-000016460000}"/>
    <cellStyle name="40% - 强调文字颜色 4 2 3 2 3 3 2" xfId="17944" xr:uid="{00000000-0005-0000-0000-000017460000}"/>
    <cellStyle name="40% - 强调文字颜色 4 2 3 2 3 3 2 2" xfId="17945" xr:uid="{00000000-0005-0000-0000-000018460000}"/>
    <cellStyle name="40% - 强调文字颜色 4 2 3 2 3 4" xfId="17946" xr:uid="{00000000-0005-0000-0000-000019460000}"/>
    <cellStyle name="40% - 强调文字颜色 4 2 3 2 3 4 2" xfId="17947" xr:uid="{00000000-0005-0000-0000-00001A460000}"/>
    <cellStyle name="40% - 强调文字颜色 4 2 3 2 3 5" xfId="17948" xr:uid="{00000000-0005-0000-0000-00001B460000}"/>
    <cellStyle name="40% - 强调文字颜色 4 2 3 2 3 5 2" xfId="17949" xr:uid="{00000000-0005-0000-0000-00001C460000}"/>
    <cellStyle name="40% - 强调文字颜色 4 2 3 2 3 6" xfId="17950" xr:uid="{00000000-0005-0000-0000-00001D460000}"/>
    <cellStyle name="40% - 强调文字颜色 4 2 3 2 4" xfId="17951" xr:uid="{00000000-0005-0000-0000-00001E460000}"/>
    <cellStyle name="40% - 强调文字颜色 4 2 3 2 4 2" xfId="17952" xr:uid="{00000000-0005-0000-0000-00001F460000}"/>
    <cellStyle name="40% - 强调文字颜色 4 2 3 2 4 2 2" xfId="17953" xr:uid="{00000000-0005-0000-0000-000020460000}"/>
    <cellStyle name="40% - 强调文字颜色 4 2 3 2 4 2 2 2" xfId="17954" xr:uid="{00000000-0005-0000-0000-000021460000}"/>
    <cellStyle name="40% - 强调文字颜色 4 2 3 2 4 3" xfId="17955" xr:uid="{00000000-0005-0000-0000-000022460000}"/>
    <cellStyle name="40% - 强调文字颜色 4 2 3 2 4 3 2" xfId="17956" xr:uid="{00000000-0005-0000-0000-000023460000}"/>
    <cellStyle name="40% - 强调文字颜色 4 2 3 2 4 4" xfId="17957" xr:uid="{00000000-0005-0000-0000-000024460000}"/>
    <cellStyle name="40% - 强调文字颜色 4 2 3 2 4 4 2" xfId="17958" xr:uid="{00000000-0005-0000-0000-000025460000}"/>
    <cellStyle name="40% - 强调文字颜色 4 2 3 2 4 5" xfId="17959" xr:uid="{00000000-0005-0000-0000-000026460000}"/>
    <cellStyle name="40% - 强调文字颜色 4 2 3 2 5" xfId="17960" xr:uid="{00000000-0005-0000-0000-000027460000}"/>
    <cellStyle name="40% - 强调文字颜色 4 2 3 2 6" xfId="17961" xr:uid="{00000000-0005-0000-0000-000028460000}"/>
    <cellStyle name="40% - 强调文字颜色 4 2 3 2 7" xfId="17962" xr:uid="{00000000-0005-0000-0000-000029460000}"/>
    <cellStyle name="40% - 强调文字颜色 4 2 3 2 7 2" xfId="17963" xr:uid="{00000000-0005-0000-0000-00002A460000}"/>
    <cellStyle name="40% - 强调文字颜色 4 2 3 2 8" xfId="17964" xr:uid="{00000000-0005-0000-0000-00002B460000}"/>
    <cellStyle name="40% - 强调文字颜色 4 2 3 2 8 2" xfId="17965" xr:uid="{00000000-0005-0000-0000-00002C460000}"/>
    <cellStyle name="40% - 强调文字颜色 4 2 3 3" xfId="17966" xr:uid="{00000000-0005-0000-0000-00002D460000}"/>
    <cellStyle name="40% - 强调文字颜色 4 2 3 3 2" xfId="17967" xr:uid="{00000000-0005-0000-0000-00002E460000}"/>
    <cellStyle name="40% - 强调文字颜色 4 2 3 3 2 2" xfId="17968" xr:uid="{00000000-0005-0000-0000-00002F460000}"/>
    <cellStyle name="40% - 强调文字颜色 4 2 3 3 2 3" xfId="17969" xr:uid="{00000000-0005-0000-0000-000030460000}"/>
    <cellStyle name="40% - 强调文字颜色 4 2 3 3 2 3 2" xfId="17970" xr:uid="{00000000-0005-0000-0000-000031460000}"/>
    <cellStyle name="40% - 强调文字颜色 4 2 3 3 2 3 2 2" xfId="17971" xr:uid="{00000000-0005-0000-0000-000032460000}"/>
    <cellStyle name="40% - 强调文字颜色 4 2 3 3 2 4" xfId="17972" xr:uid="{00000000-0005-0000-0000-000033460000}"/>
    <cellStyle name="40% - 强调文字颜色 4 2 3 3 2 4 2" xfId="17973" xr:uid="{00000000-0005-0000-0000-000034460000}"/>
    <cellStyle name="40% - 强调文字颜色 4 2 3 3 2 5" xfId="17974" xr:uid="{00000000-0005-0000-0000-000035460000}"/>
    <cellStyle name="40% - 强调文字颜色 4 2 3 3 2 5 2" xfId="17975" xr:uid="{00000000-0005-0000-0000-000036460000}"/>
    <cellStyle name="40% - 强调文字颜色 4 2 3 3 2 6" xfId="17976" xr:uid="{00000000-0005-0000-0000-000037460000}"/>
    <cellStyle name="40% - 强调文字颜色 4 2 3 3 3" xfId="17977" xr:uid="{00000000-0005-0000-0000-000038460000}"/>
    <cellStyle name="40% - 强调文字颜色 4 2 3 3 3 2" xfId="17978" xr:uid="{00000000-0005-0000-0000-000039460000}"/>
    <cellStyle name="40% - 强调文字颜色 4 2 3 3 3 2 2" xfId="17979" xr:uid="{00000000-0005-0000-0000-00003A460000}"/>
    <cellStyle name="40% - 强调文字颜色 4 2 3 3 3 2 2 2" xfId="17980" xr:uid="{00000000-0005-0000-0000-00003B460000}"/>
    <cellStyle name="40% - 强调文字颜色 4 2 3 3 3 3" xfId="17981" xr:uid="{00000000-0005-0000-0000-00003C460000}"/>
    <cellStyle name="40% - 强调文字颜色 4 2 3 3 3 3 2" xfId="17982" xr:uid="{00000000-0005-0000-0000-00003D460000}"/>
    <cellStyle name="40% - 强调文字颜色 4 2 3 3 3 4" xfId="17983" xr:uid="{00000000-0005-0000-0000-00003E460000}"/>
    <cellStyle name="40% - 强调文字颜色 4 2 3 3 3 4 2" xfId="17984" xr:uid="{00000000-0005-0000-0000-00003F460000}"/>
    <cellStyle name="40% - 强调文字颜色 4 2 3 3 3 5" xfId="17985" xr:uid="{00000000-0005-0000-0000-000040460000}"/>
    <cellStyle name="40% - 强调文字颜色 4 2 3 3 4" xfId="17986" xr:uid="{00000000-0005-0000-0000-000041460000}"/>
    <cellStyle name="40% - 强调文字颜色 4 2 3 3 5" xfId="17987" xr:uid="{00000000-0005-0000-0000-000042460000}"/>
    <cellStyle name="40% - 强调文字颜色 4 2 3 3 6" xfId="17988" xr:uid="{00000000-0005-0000-0000-000043460000}"/>
    <cellStyle name="40% - 强调文字颜色 4 2 3 3 6 2" xfId="17989" xr:uid="{00000000-0005-0000-0000-000044460000}"/>
    <cellStyle name="40% - 强调文字颜色 4 2 3 3 7" xfId="17990" xr:uid="{00000000-0005-0000-0000-000045460000}"/>
    <cellStyle name="40% - 强调文字颜色 4 2 3 3 7 2" xfId="17991" xr:uid="{00000000-0005-0000-0000-000046460000}"/>
    <cellStyle name="40% - 强调文字颜色 4 2 3 4" xfId="17992" xr:uid="{00000000-0005-0000-0000-000047460000}"/>
    <cellStyle name="40% - 强调文字颜色 4 2 3 4 2" xfId="17993" xr:uid="{00000000-0005-0000-0000-000048460000}"/>
    <cellStyle name="40% - 强调文字颜色 4 2 3 4 2 2" xfId="17994" xr:uid="{00000000-0005-0000-0000-000049460000}"/>
    <cellStyle name="40% - 强调文字颜色 4 2 3 4 2 3" xfId="17995" xr:uid="{00000000-0005-0000-0000-00004A460000}"/>
    <cellStyle name="40% - 强调文字颜色 4 2 3 4 2 3 2" xfId="17996" xr:uid="{00000000-0005-0000-0000-00004B460000}"/>
    <cellStyle name="40% - 强调文字颜色 4 2 3 4 2 3 2 2" xfId="17997" xr:uid="{00000000-0005-0000-0000-00004C460000}"/>
    <cellStyle name="40% - 强调文字颜色 4 2 3 4 2 4" xfId="17998" xr:uid="{00000000-0005-0000-0000-00004D460000}"/>
    <cellStyle name="40% - 强调文字颜色 4 2 3 4 2 4 2" xfId="17999" xr:uid="{00000000-0005-0000-0000-00004E460000}"/>
    <cellStyle name="40% - 强调文字颜色 4 2 3 4 2 5" xfId="18000" xr:uid="{00000000-0005-0000-0000-00004F460000}"/>
    <cellStyle name="40% - 强调文字颜色 4 2 3 4 2 5 2" xfId="18001" xr:uid="{00000000-0005-0000-0000-000050460000}"/>
    <cellStyle name="40% - 强调文字颜色 4 2 3 4 2 6" xfId="18002" xr:uid="{00000000-0005-0000-0000-000051460000}"/>
    <cellStyle name="40% - 强调文字颜色 4 2 3 4 3" xfId="18003" xr:uid="{00000000-0005-0000-0000-000052460000}"/>
    <cellStyle name="40% - 强调文字颜色 4 2 3 4 4" xfId="18004" xr:uid="{00000000-0005-0000-0000-000053460000}"/>
    <cellStyle name="40% - 强调文字颜色 4 2 3 4 5" xfId="18005" xr:uid="{00000000-0005-0000-0000-000054460000}"/>
    <cellStyle name="40% - 强调文字颜色 4 2 3 4 6" xfId="18006" xr:uid="{00000000-0005-0000-0000-000055460000}"/>
    <cellStyle name="40% - 强调文字颜色 4 2 3 4 6 2" xfId="18007" xr:uid="{00000000-0005-0000-0000-000056460000}"/>
    <cellStyle name="40% - 强调文字颜色 4 2 3 4 7" xfId="18008" xr:uid="{00000000-0005-0000-0000-000057460000}"/>
    <cellStyle name="40% - 强调文字颜色 4 2 3 4 7 2" xfId="18009" xr:uid="{00000000-0005-0000-0000-000058460000}"/>
    <cellStyle name="40% - 强调文字颜色 4 2 3 5" xfId="18010" xr:uid="{00000000-0005-0000-0000-000059460000}"/>
    <cellStyle name="40% - 强调文字颜色 4 2 3 5 2" xfId="18011" xr:uid="{00000000-0005-0000-0000-00005A460000}"/>
    <cellStyle name="40% - 强调文字颜色 4 2 3 5 2 2" xfId="18012" xr:uid="{00000000-0005-0000-0000-00005B460000}"/>
    <cellStyle name="40% - 强调文字颜色 4 2 3 5 2 2 2" xfId="18013" xr:uid="{00000000-0005-0000-0000-00005C460000}"/>
    <cellStyle name="40% - 强调文字颜色 4 2 3 5 2 2 2 2" xfId="18014" xr:uid="{00000000-0005-0000-0000-00005D460000}"/>
    <cellStyle name="40% - 强调文字颜色 4 2 3 5 2 3" xfId="18015" xr:uid="{00000000-0005-0000-0000-00005E460000}"/>
    <cellStyle name="40% - 强调文字颜色 4 2 3 5 2 3 2" xfId="18016" xr:uid="{00000000-0005-0000-0000-00005F460000}"/>
    <cellStyle name="40% - 强调文字颜色 4 2 3 5 2 4" xfId="18017" xr:uid="{00000000-0005-0000-0000-000060460000}"/>
    <cellStyle name="40% - 强调文字颜色 4 2 3 5 2 4 2" xfId="18018" xr:uid="{00000000-0005-0000-0000-000061460000}"/>
    <cellStyle name="40% - 强调文字颜色 4 2 3 5 2 5" xfId="18019" xr:uid="{00000000-0005-0000-0000-000062460000}"/>
    <cellStyle name="40% - 强调文字颜色 4 2 3 5 3" xfId="18020" xr:uid="{00000000-0005-0000-0000-000063460000}"/>
    <cellStyle name="40% - 强调文字颜色 4 2 3 5 3 2" xfId="18021" xr:uid="{00000000-0005-0000-0000-000064460000}"/>
    <cellStyle name="40% - 强调文字颜色 4 2 3 5 3 2 2" xfId="18022" xr:uid="{00000000-0005-0000-0000-000065460000}"/>
    <cellStyle name="40% - 强调文字颜色 4 2 3 5 4" xfId="18023" xr:uid="{00000000-0005-0000-0000-000066460000}"/>
    <cellStyle name="40% - 强调文字颜色 4 2 3 5 4 2" xfId="18024" xr:uid="{00000000-0005-0000-0000-000067460000}"/>
    <cellStyle name="40% - 强调文字颜色 4 2 3 5 5" xfId="18025" xr:uid="{00000000-0005-0000-0000-000068460000}"/>
    <cellStyle name="40% - 强调文字颜色 4 2 3 5 5 2" xfId="18026" xr:uid="{00000000-0005-0000-0000-000069460000}"/>
    <cellStyle name="40% - 强调文字颜色 4 2 3 5 6" xfId="18027" xr:uid="{00000000-0005-0000-0000-00006A460000}"/>
    <cellStyle name="40% - 强调文字颜色 4 2 3 6" xfId="18028" xr:uid="{00000000-0005-0000-0000-00006B460000}"/>
    <cellStyle name="40% - 强调文字颜色 4 2 3 6 2" xfId="18029" xr:uid="{00000000-0005-0000-0000-00006C460000}"/>
    <cellStyle name="40% - 强调文字颜色 4 2 3 6 2 2" xfId="18030" xr:uid="{00000000-0005-0000-0000-00006D460000}"/>
    <cellStyle name="40% - 强调文字颜色 4 2 3 6 2 2 2" xfId="18031" xr:uid="{00000000-0005-0000-0000-00006E460000}"/>
    <cellStyle name="40% - 强调文字颜色 4 2 3 6 3" xfId="18032" xr:uid="{00000000-0005-0000-0000-00006F460000}"/>
    <cellStyle name="40% - 强调文字颜色 4 2 3 6 3 2" xfId="18033" xr:uid="{00000000-0005-0000-0000-000070460000}"/>
    <cellStyle name="40% - 强调文字颜色 4 2 3 6 4" xfId="18034" xr:uid="{00000000-0005-0000-0000-000071460000}"/>
    <cellStyle name="40% - 强调文字颜色 4 2 3 6 4 2" xfId="18035" xr:uid="{00000000-0005-0000-0000-000072460000}"/>
    <cellStyle name="40% - 强调文字颜色 4 2 3 6 5" xfId="18036" xr:uid="{00000000-0005-0000-0000-000073460000}"/>
    <cellStyle name="40% - 强调文字颜色 4 2 3 7" xfId="18037" xr:uid="{00000000-0005-0000-0000-000074460000}"/>
    <cellStyle name="40% - 强调文字颜色 4 2 3 7 2" xfId="18038" xr:uid="{00000000-0005-0000-0000-000075460000}"/>
    <cellStyle name="40% - 强调文字颜色 4 2 3 7 2 2" xfId="18039" xr:uid="{00000000-0005-0000-0000-000076460000}"/>
    <cellStyle name="40% - 强调文字颜色 4 2 3 7 2 2 2" xfId="18040" xr:uid="{00000000-0005-0000-0000-000077460000}"/>
    <cellStyle name="40% - 强调文字颜色 4 2 3 7 3" xfId="18041" xr:uid="{00000000-0005-0000-0000-000078460000}"/>
    <cellStyle name="40% - 强调文字颜色 4 2 3 7 3 2" xfId="18042" xr:uid="{00000000-0005-0000-0000-000079460000}"/>
    <cellStyle name="40% - 强调文字颜色 4 2 3 7 4" xfId="18043" xr:uid="{00000000-0005-0000-0000-00007A460000}"/>
    <cellStyle name="40% - 强调文字颜色 4 2 3 7 4 2" xfId="18044" xr:uid="{00000000-0005-0000-0000-00007B460000}"/>
    <cellStyle name="40% - 强调文字颜色 4 2 3 7 5" xfId="18045" xr:uid="{00000000-0005-0000-0000-00007C460000}"/>
    <cellStyle name="40% - 强调文字颜色 4 2 3 8" xfId="18046" xr:uid="{00000000-0005-0000-0000-00007D460000}"/>
    <cellStyle name="40% - 强调文字颜色 4 2 3 9" xfId="18047" xr:uid="{00000000-0005-0000-0000-00007E460000}"/>
    <cellStyle name="40% - 强调文字颜色 4 2 3 9 2" xfId="18048" xr:uid="{00000000-0005-0000-0000-00007F460000}"/>
    <cellStyle name="40% - 强调文字颜色 4 2 4" xfId="18049" xr:uid="{00000000-0005-0000-0000-000080460000}"/>
    <cellStyle name="40% - 强调文字颜色 4 2 4 2" xfId="18050" xr:uid="{00000000-0005-0000-0000-000081460000}"/>
    <cellStyle name="40% - 强调文字颜色 4 2 4 2 2" xfId="18051" xr:uid="{00000000-0005-0000-0000-000082460000}"/>
    <cellStyle name="40% - 强调文字颜色 4 2 4 2 3" xfId="18052" xr:uid="{00000000-0005-0000-0000-000083460000}"/>
    <cellStyle name="40% - 强调文字颜色 4 2 4 2 3 2" xfId="18053" xr:uid="{00000000-0005-0000-0000-000084460000}"/>
    <cellStyle name="40% - 强调文字颜色 4 2 4 2 3 2 2" xfId="18054" xr:uid="{00000000-0005-0000-0000-000085460000}"/>
    <cellStyle name="40% - 强调文字颜色 4 2 4 2 4" xfId="18055" xr:uid="{00000000-0005-0000-0000-000086460000}"/>
    <cellStyle name="40% - 强调文字颜色 4 2 4 2 4 2" xfId="18056" xr:uid="{00000000-0005-0000-0000-000087460000}"/>
    <cellStyle name="40% - 强调文字颜色 4 2 4 2 5" xfId="18057" xr:uid="{00000000-0005-0000-0000-000088460000}"/>
    <cellStyle name="40% - 强调文字颜色 4 2 4 2 5 2" xfId="18058" xr:uid="{00000000-0005-0000-0000-000089460000}"/>
    <cellStyle name="40% - 强调文字颜色 4 2 4 2 6" xfId="18059" xr:uid="{00000000-0005-0000-0000-00008A460000}"/>
    <cellStyle name="40% - 强调文字颜色 4 2 4 3" xfId="18060" xr:uid="{00000000-0005-0000-0000-00008B460000}"/>
    <cellStyle name="40% - 强调文字颜色 4 2 4 3 2" xfId="18061" xr:uid="{00000000-0005-0000-0000-00008C460000}"/>
    <cellStyle name="40% - 强调文字颜色 4 2 4 3 2 2" xfId="18062" xr:uid="{00000000-0005-0000-0000-00008D460000}"/>
    <cellStyle name="40% - 强调文字颜色 4 2 4 3 2 2 2" xfId="18063" xr:uid="{00000000-0005-0000-0000-00008E460000}"/>
    <cellStyle name="40% - 强调文字颜色 4 2 4 3 3" xfId="18064" xr:uid="{00000000-0005-0000-0000-00008F460000}"/>
    <cellStyle name="40% - 强调文字颜色 4 2 4 3 3 2" xfId="18065" xr:uid="{00000000-0005-0000-0000-000090460000}"/>
    <cellStyle name="40% - 强调文字颜色 4 2 4 3 4" xfId="18066" xr:uid="{00000000-0005-0000-0000-000091460000}"/>
    <cellStyle name="40% - 强调文字颜色 4 2 4 3 4 2" xfId="18067" xr:uid="{00000000-0005-0000-0000-000092460000}"/>
    <cellStyle name="40% - 强调文字颜色 4 2 4 3 5" xfId="18068" xr:uid="{00000000-0005-0000-0000-000093460000}"/>
    <cellStyle name="40% - 强调文字颜色 4 2 4 4" xfId="18069" xr:uid="{00000000-0005-0000-0000-000094460000}"/>
    <cellStyle name="40% - 强调文字颜色 4 2 4 5" xfId="18070" xr:uid="{00000000-0005-0000-0000-000095460000}"/>
    <cellStyle name="40% - 强调文字颜色 4 2 4 6" xfId="18071" xr:uid="{00000000-0005-0000-0000-000096460000}"/>
    <cellStyle name="40% - 强调文字颜色 4 2 4 6 2" xfId="18072" xr:uid="{00000000-0005-0000-0000-000097460000}"/>
    <cellStyle name="40% - 强调文字颜色 4 2 4 7" xfId="18073" xr:uid="{00000000-0005-0000-0000-000098460000}"/>
    <cellStyle name="40% - 强调文字颜色 4 2 4 7 2" xfId="18074" xr:uid="{00000000-0005-0000-0000-000099460000}"/>
    <cellStyle name="40% - 强调文字颜色 4 2 5" xfId="18075" xr:uid="{00000000-0005-0000-0000-00009A460000}"/>
    <cellStyle name="40% - 强调文字颜色 4 2 5 2" xfId="18076" xr:uid="{00000000-0005-0000-0000-00009B460000}"/>
    <cellStyle name="40% - 强调文字颜色 4 2 5 2 2" xfId="18077" xr:uid="{00000000-0005-0000-0000-00009C460000}"/>
    <cellStyle name="40% - 强调文字颜色 4 2 5 2 3" xfId="18078" xr:uid="{00000000-0005-0000-0000-00009D460000}"/>
    <cellStyle name="40% - 强调文字颜色 4 2 5 2 3 2" xfId="18079" xr:uid="{00000000-0005-0000-0000-00009E460000}"/>
    <cellStyle name="40% - 强调文字颜色 4 2 5 2 3 2 2" xfId="18080" xr:uid="{00000000-0005-0000-0000-00009F460000}"/>
    <cellStyle name="40% - 强调文字颜色 4 2 5 2 4" xfId="18081" xr:uid="{00000000-0005-0000-0000-0000A0460000}"/>
    <cellStyle name="40% - 强调文字颜色 4 2 5 2 4 2" xfId="18082" xr:uid="{00000000-0005-0000-0000-0000A1460000}"/>
    <cellStyle name="40% - 强调文字颜色 4 2 5 2 5" xfId="18083" xr:uid="{00000000-0005-0000-0000-0000A2460000}"/>
    <cellStyle name="40% - 强调文字颜色 4 2 5 2 5 2" xfId="18084" xr:uid="{00000000-0005-0000-0000-0000A3460000}"/>
    <cellStyle name="40% - 强调文字颜色 4 2 5 2 6" xfId="18085" xr:uid="{00000000-0005-0000-0000-0000A4460000}"/>
    <cellStyle name="40% - 强调文字颜色 4 2 5 3" xfId="18086" xr:uid="{00000000-0005-0000-0000-0000A5460000}"/>
    <cellStyle name="40% - 强调文字颜色 4 2 5 4" xfId="18087" xr:uid="{00000000-0005-0000-0000-0000A6460000}"/>
    <cellStyle name="40% - 强调文字颜色 4 2 5 5" xfId="18088" xr:uid="{00000000-0005-0000-0000-0000A7460000}"/>
    <cellStyle name="40% - 强调文字颜色 4 2 5 6" xfId="18089" xr:uid="{00000000-0005-0000-0000-0000A8460000}"/>
    <cellStyle name="40% - 强调文字颜色 4 2 5 6 2" xfId="18090" xr:uid="{00000000-0005-0000-0000-0000A9460000}"/>
    <cellStyle name="40% - 强调文字颜色 4 2 5 7" xfId="18091" xr:uid="{00000000-0005-0000-0000-0000AA460000}"/>
    <cellStyle name="40% - 强调文字颜色 4 2 5 7 2" xfId="18092" xr:uid="{00000000-0005-0000-0000-0000AB460000}"/>
    <cellStyle name="40% - 强调文字颜色 4 2 6" xfId="18093" xr:uid="{00000000-0005-0000-0000-0000AC460000}"/>
    <cellStyle name="40% - 强调文字颜色 4 2 6 2" xfId="18094" xr:uid="{00000000-0005-0000-0000-0000AD460000}"/>
    <cellStyle name="40% - 强调文字颜色 4 2 6 2 2" xfId="18095" xr:uid="{00000000-0005-0000-0000-0000AE460000}"/>
    <cellStyle name="40% - 强调文字颜色 4 2 6 2 2 2" xfId="18096" xr:uid="{00000000-0005-0000-0000-0000AF460000}"/>
    <cellStyle name="40% - 强调文字颜色 4 2 6 2 2 2 2" xfId="18097" xr:uid="{00000000-0005-0000-0000-0000B0460000}"/>
    <cellStyle name="40% - 强调文字颜色 4 2 6 2 3" xfId="18098" xr:uid="{00000000-0005-0000-0000-0000B1460000}"/>
    <cellStyle name="40% - 强调文字颜色 4 2 6 2 3 2" xfId="18099" xr:uid="{00000000-0005-0000-0000-0000B2460000}"/>
    <cellStyle name="40% - 强调文字颜色 4 2 6 2 4" xfId="18100" xr:uid="{00000000-0005-0000-0000-0000B3460000}"/>
    <cellStyle name="40% - 强调文字颜色 4 2 6 2 4 2" xfId="18101" xr:uid="{00000000-0005-0000-0000-0000B4460000}"/>
    <cellStyle name="40% - 强调文字颜色 4 2 6 2 5" xfId="18102" xr:uid="{00000000-0005-0000-0000-0000B5460000}"/>
    <cellStyle name="40% - 强调文字颜色 4 2 6 3" xfId="18103" xr:uid="{00000000-0005-0000-0000-0000B6460000}"/>
    <cellStyle name="40% - 强调文字颜色 4 2 6 3 2" xfId="18104" xr:uid="{00000000-0005-0000-0000-0000B7460000}"/>
    <cellStyle name="40% - 强调文字颜色 4 2 6 3 2 2" xfId="18105" xr:uid="{00000000-0005-0000-0000-0000B8460000}"/>
    <cellStyle name="40% - 强调文字颜色 4 2 6 4" xfId="18106" xr:uid="{00000000-0005-0000-0000-0000B9460000}"/>
    <cellStyle name="40% - 强调文字颜色 4 2 6 4 2" xfId="18107" xr:uid="{00000000-0005-0000-0000-0000BA460000}"/>
    <cellStyle name="40% - 强调文字颜色 4 2 6 5" xfId="18108" xr:uid="{00000000-0005-0000-0000-0000BB460000}"/>
    <cellStyle name="40% - 强调文字颜色 4 2 6 5 2" xfId="18109" xr:uid="{00000000-0005-0000-0000-0000BC460000}"/>
    <cellStyle name="40% - 强调文字颜色 4 2 6 6" xfId="18110" xr:uid="{00000000-0005-0000-0000-0000BD460000}"/>
    <cellStyle name="40% - 强调文字颜色 4 2 7" xfId="18111" xr:uid="{00000000-0005-0000-0000-0000BE460000}"/>
    <cellStyle name="40% - 强调文字颜色 4 2 7 2" xfId="18112" xr:uid="{00000000-0005-0000-0000-0000BF460000}"/>
    <cellStyle name="40% - 强调文字颜色 4 2 7 2 2" xfId="18113" xr:uid="{00000000-0005-0000-0000-0000C0460000}"/>
    <cellStyle name="40% - 强调文字颜色 4 2 7 2 2 2" xfId="18114" xr:uid="{00000000-0005-0000-0000-0000C1460000}"/>
    <cellStyle name="40% - 强调文字颜色 4 2 7 2 2 2 2" xfId="18115" xr:uid="{00000000-0005-0000-0000-0000C2460000}"/>
    <cellStyle name="40% - 强调文字颜色 4 2 7 2 3" xfId="18116" xr:uid="{00000000-0005-0000-0000-0000C3460000}"/>
    <cellStyle name="40% - 强调文字颜色 4 2 7 2 3 2" xfId="18117" xr:uid="{00000000-0005-0000-0000-0000C4460000}"/>
    <cellStyle name="40% - 强调文字颜色 4 2 7 2 4" xfId="18118" xr:uid="{00000000-0005-0000-0000-0000C5460000}"/>
    <cellStyle name="40% - 强调文字颜色 4 2 7 2 4 2" xfId="18119" xr:uid="{00000000-0005-0000-0000-0000C6460000}"/>
    <cellStyle name="40% - 强调文字颜色 4 2 7 2 5" xfId="18120" xr:uid="{00000000-0005-0000-0000-0000C7460000}"/>
    <cellStyle name="40% - 强调文字颜色 4 2 7 3" xfId="18121" xr:uid="{00000000-0005-0000-0000-0000C8460000}"/>
    <cellStyle name="40% - 强调文字颜色 4 2 7 3 2" xfId="18122" xr:uid="{00000000-0005-0000-0000-0000C9460000}"/>
    <cellStyle name="40% - 强调文字颜色 4 2 7 3 2 2" xfId="18123" xr:uid="{00000000-0005-0000-0000-0000CA460000}"/>
    <cellStyle name="40% - 强调文字颜色 4 2 7 4" xfId="18124" xr:uid="{00000000-0005-0000-0000-0000CB460000}"/>
    <cellStyle name="40% - 强调文字颜色 4 2 7 4 2" xfId="18125" xr:uid="{00000000-0005-0000-0000-0000CC460000}"/>
    <cellStyle name="40% - 强调文字颜色 4 2 7 5" xfId="18126" xr:uid="{00000000-0005-0000-0000-0000CD460000}"/>
    <cellStyle name="40% - 强调文字颜色 4 2 7 5 2" xfId="18127" xr:uid="{00000000-0005-0000-0000-0000CE460000}"/>
    <cellStyle name="40% - 强调文字颜色 4 2 7 6" xfId="18128" xr:uid="{00000000-0005-0000-0000-0000CF460000}"/>
    <cellStyle name="40% - 强调文字颜色 4 2 8" xfId="18129" xr:uid="{00000000-0005-0000-0000-0000D0460000}"/>
    <cellStyle name="40% - 强调文字颜色 4 2 8 2" xfId="18130" xr:uid="{00000000-0005-0000-0000-0000D1460000}"/>
    <cellStyle name="40% - 强调文字颜色 4 2 8 2 2" xfId="18131" xr:uid="{00000000-0005-0000-0000-0000D2460000}"/>
    <cellStyle name="40% - 强调文字颜色 4 2 8 2 2 2" xfId="18132" xr:uid="{00000000-0005-0000-0000-0000D3460000}"/>
    <cellStyle name="40% - 强调文字颜色 4 2 8 2 2 2 2" xfId="18133" xr:uid="{00000000-0005-0000-0000-0000D4460000}"/>
    <cellStyle name="40% - 强调文字颜色 4 2 8 2 3" xfId="18134" xr:uid="{00000000-0005-0000-0000-0000D5460000}"/>
    <cellStyle name="40% - 强调文字颜色 4 2 8 2 3 2" xfId="18135" xr:uid="{00000000-0005-0000-0000-0000D6460000}"/>
    <cellStyle name="40% - 强调文字颜色 4 2 8 2 4" xfId="18136" xr:uid="{00000000-0005-0000-0000-0000D7460000}"/>
    <cellStyle name="40% - 强调文字颜色 4 2 8 2 4 2" xfId="18137" xr:uid="{00000000-0005-0000-0000-0000D8460000}"/>
    <cellStyle name="40% - 强调文字颜色 4 2 8 2 5" xfId="18138" xr:uid="{00000000-0005-0000-0000-0000D9460000}"/>
    <cellStyle name="40% - 强调文字颜色 4 2 8 3" xfId="18139" xr:uid="{00000000-0005-0000-0000-0000DA460000}"/>
    <cellStyle name="40% - 强调文字颜色 4 2 8 3 2" xfId="18140" xr:uid="{00000000-0005-0000-0000-0000DB460000}"/>
    <cellStyle name="40% - 强调文字颜色 4 2 8 3 2 2" xfId="18141" xr:uid="{00000000-0005-0000-0000-0000DC460000}"/>
    <cellStyle name="40% - 强调文字颜色 4 2 8 4" xfId="18142" xr:uid="{00000000-0005-0000-0000-0000DD460000}"/>
    <cellStyle name="40% - 强调文字颜色 4 2 8 4 2" xfId="18143" xr:uid="{00000000-0005-0000-0000-0000DE460000}"/>
    <cellStyle name="40% - 强调文字颜色 4 2 8 5" xfId="18144" xr:uid="{00000000-0005-0000-0000-0000DF460000}"/>
    <cellStyle name="40% - 强调文字颜色 4 2 8 5 2" xfId="18145" xr:uid="{00000000-0005-0000-0000-0000E0460000}"/>
    <cellStyle name="40% - 强调文字颜色 4 2 8 6" xfId="18146" xr:uid="{00000000-0005-0000-0000-0000E1460000}"/>
    <cellStyle name="40% - 强调文字颜色 4 2 9" xfId="18147" xr:uid="{00000000-0005-0000-0000-0000E2460000}"/>
    <cellStyle name="40% - 强调文字颜色 4 2 9 2" xfId="18148" xr:uid="{00000000-0005-0000-0000-0000E3460000}"/>
    <cellStyle name="40% - 强调文字颜色 4 2 9 2 2" xfId="18149" xr:uid="{00000000-0005-0000-0000-0000E4460000}"/>
    <cellStyle name="40% - 强调文字颜色 4 2 9 2 2 2" xfId="18150" xr:uid="{00000000-0005-0000-0000-0000E5460000}"/>
    <cellStyle name="40% - 强调文字颜色 4 2 9 3" xfId="18151" xr:uid="{00000000-0005-0000-0000-0000E6460000}"/>
    <cellStyle name="40% - 强调文字颜色 4 2 9 3 2" xfId="18152" xr:uid="{00000000-0005-0000-0000-0000E7460000}"/>
    <cellStyle name="40% - 强调文字颜色 4 2 9 4" xfId="18153" xr:uid="{00000000-0005-0000-0000-0000E8460000}"/>
    <cellStyle name="40% - 强调文字颜色 4 2 9 4 2" xfId="18154" xr:uid="{00000000-0005-0000-0000-0000E9460000}"/>
    <cellStyle name="40% - 强调文字颜色 4 2 9 5" xfId="18155" xr:uid="{00000000-0005-0000-0000-0000EA460000}"/>
    <cellStyle name="40% - 强调文字颜色 4 3" xfId="18156" xr:uid="{00000000-0005-0000-0000-0000EB460000}"/>
    <cellStyle name="40% - 强调文字颜色 4 3 2" xfId="18157" xr:uid="{00000000-0005-0000-0000-0000EC460000}"/>
    <cellStyle name="40% - 强调文字颜色 4 3 2 2" xfId="18158" xr:uid="{00000000-0005-0000-0000-0000ED460000}"/>
    <cellStyle name="40% - 强调文字颜色 4 3 2 2 2" xfId="18159" xr:uid="{00000000-0005-0000-0000-0000EE460000}"/>
    <cellStyle name="40% - 强调文字颜色 4 3 2 2 2 2" xfId="18160" xr:uid="{00000000-0005-0000-0000-0000EF460000}"/>
    <cellStyle name="40% - 强调文字颜色 4 3 2 2 2 3" xfId="18161" xr:uid="{00000000-0005-0000-0000-0000F0460000}"/>
    <cellStyle name="40% - 强调文字颜色 4 3 2 2 2 3 2" xfId="18162" xr:uid="{00000000-0005-0000-0000-0000F1460000}"/>
    <cellStyle name="40% - 强调文字颜色 4 3 2 2 2 3 2 2" xfId="18163" xr:uid="{00000000-0005-0000-0000-0000F2460000}"/>
    <cellStyle name="40% - 强调文字颜色 4 3 2 2 2 4" xfId="18164" xr:uid="{00000000-0005-0000-0000-0000F3460000}"/>
    <cellStyle name="40% - 强调文字颜色 4 3 2 2 2 4 2" xfId="18165" xr:uid="{00000000-0005-0000-0000-0000F4460000}"/>
    <cellStyle name="40% - 强调文字颜色 4 3 2 2 2 5" xfId="18166" xr:uid="{00000000-0005-0000-0000-0000F5460000}"/>
    <cellStyle name="40% - 强调文字颜色 4 3 2 2 2 5 2" xfId="18167" xr:uid="{00000000-0005-0000-0000-0000F6460000}"/>
    <cellStyle name="40% - 强调文字颜色 4 3 2 2 2 6" xfId="18168" xr:uid="{00000000-0005-0000-0000-0000F7460000}"/>
    <cellStyle name="40% - 强调文字颜色 4 3 2 2 3" xfId="18169" xr:uid="{00000000-0005-0000-0000-0000F8460000}"/>
    <cellStyle name="40% - 强调文字颜色 4 3 2 2 3 2" xfId="18170" xr:uid="{00000000-0005-0000-0000-0000F9460000}"/>
    <cellStyle name="40% - 强调文字颜色 4 3 2 2 3 2 2" xfId="18171" xr:uid="{00000000-0005-0000-0000-0000FA460000}"/>
    <cellStyle name="40% - 强调文字颜色 4 3 2 2 3 2 2 2" xfId="18172" xr:uid="{00000000-0005-0000-0000-0000FB460000}"/>
    <cellStyle name="40% - 强调文字颜色 4 3 2 2 3 3" xfId="18173" xr:uid="{00000000-0005-0000-0000-0000FC460000}"/>
    <cellStyle name="40% - 强调文字颜色 4 3 2 2 3 3 2" xfId="18174" xr:uid="{00000000-0005-0000-0000-0000FD460000}"/>
    <cellStyle name="40% - 强调文字颜色 4 3 2 2 3 4" xfId="18175" xr:uid="{00000000-0005-0000-0000-0000FE460000}"/>
    <cellStyle name="40% - 强调文字颜色 4 3 2 2 3 4 2" xfId="18176" xr:uid="{00000000-0005-0000-0000-0000FF460000}"/>
    <cellStyle name="40% - 强调文字颜色 4 3 2 2 3 5" xfId="18177" xr:uid="{00000000-0005-0000-0000-000000470000}"/>
    <cellStyle name="40% - 强调文字颜色 4 3 2 2 4" xfId="18178" xr:uid="{00000000-0005-0000-0000-000001470000}"/>
    <cellStyle name="40% - 强调文字颜色 4 3 2 2 5" xfId="18179" xr:uid="{00000000-0005-0000-0000-000002470000}"/>
    <cellStyle name="40% - 强调文字颜色 4 3 2 2 6" xfId="18180" xr:uid="{00000000-0005-0000-0000-000003470000}"/>
    <cellStyle name="40% - 强调文字颜色 4 3 2 2 6 2" xfId="18181" xr:uid="{00000000-0005-0000-0000-000004470000}"/>
    <cellStyle name="40% - 强调文字颜色 4 3 2 2 7" xfId="18182" xr:uid="{00000000-0005-0000-0000-000005470000}"/>
    <cellStyle name="40% - 强调文字颜色 4 3 2 2 7 2" xfId="18183" xr:uid="{00000000-0005-0000-0000-000006470000}"/>
    <cellStyle name="40% - 强调文字颜色 4 3 2 3" xfId="18184" xr:uid="{00000000-0005-0000-0000-000007470000}"/>
    <cellStyle name="40% - 强调文字颜色 4 3 2 3 2" xfId="18185" xr:uid="{00000000-0005-0000-0000-000008470000}"/>
    <cellStyle name="40% - 强调文字颜色 4 3 2 3 3" xfId="18186" xr:uid="{00000000-0005-0000-0000-000009470000}"/>
    <cellStyle name="40% - 强调文字颜色 4 3 2 3 3 2" xfId="18187" xr:uid="{00000000-0005-0000-0000-00000A470000}"/>
    <cellStyle name="40% - 强调文字颜色 4 3 2 3 3 2 2" xfId="18188" xr:uid="{00000000-0005-0000-0000-00000B470000}"/>
    <cellStyle name="40% - 强调文字颜色 4 3 2 3 4" xfId="18189" xr:uid="{00000000-0005-0000-0000-00000C470000}"/>
    <cellStyle name="40% - 强调文字颜色 4 3 2 3 4 2" xfId="18190" xr:uid="{00000000-0005-0000-0000-00000D470000}"/>
    <cellStyle name="40% - 强调文字颜色 4 3 2 3 5" xfId="18191" xr:uid="{00000000-0005-0000-0000-00000E470000}"/>
    <cellStyle name="40% - 强调文字颜色 4 3 2 3 5 2" xfId="18192" xr:uid="{00000000-0005-0000-0000-00000F470000}"/>
    <cellStyle name="40% - 强调文字颜色 4 3 2 3 6" xfId="18193" xr:uid="{00000000-0005-0000-0000-000010470000}"/>
    <cellStyle name="40% - 强调文字颜色 4 3 2 4" xfId="18194" xr:uid="{00000000-0005-0000-0000-000011470000}"/>
    <cellStyle name="40% - 强调文字颜色 4 3 2 4 2" xfId="18195" xr:uid="{00000000-0005-0000-0000-000012470000}"/>
    <cellStyle name="40% - 强调文字颜色 4 3 2 4 2 2" xfId="18196" xr:uid="{00000000-0005-0000-0000-000013470000}"/>
    <cellStyle name="40% - 强调文字颜色 4 3 2 4 2 2 2" xfId="18197" xr:uid="{00000000-0005-0000-0000-000014470000}"/>
    <cellStyle name="40% - 强调文字颜色 4 3 2 4 3" xfId="18198" xr:uid="{00000000-0005-0000-0000-000015470000}"/>
    <cellStyle name="40% - 强调文字颜色 4 3 2 4 3 2" xfId="18199" xr:uid="{00000000-0005-0000-0000-000016470000}"/>
    <cellStyle name="40% - 强调文字颜色 4 3 2 4 4" xfId="18200" xr:uid="{00000000-0005-0000-0000-000017470000}"/>
    <cellStyle name="40% - 强调文字颜色 4 3 2 4 4 2" xfId="18201" xr:uid="{00000000-0005-0000-0000-000018470000}"/>
    <cellStyle name="40% - 强调文字颜色 4 3 2 4 5" xfId="18202" xr:uid="{00000000-0005-0000-0000-000019470000}"/>
    <cellStyle name="40% - 强调文字颜色 4 3 2 5" xfId="18203" xr:uid="{00000000-0005-0000-0000-00001A470000}"/>
    <cellStyle name="40% - 强调文字颜色 4 3 2 6" xfId="18204" xr:uid="{00000000-0005-0000-0000-00001B470000}"/>
    <cellStyle name="40% - 强调文字颜色 4 3 2 7" xfId="18205" xr:uid="{00000000-0005-0000-0000-00001C470000}"/>
    <cellStyle name="40% - 强调文字颜色 4 3 2 7 2" xfId="18206" xr:uid="{00000000-0005-0000-0000-00001D470000}"/>
    <cellStyle name="40% - 强调文字颜色 4 3 2 8" xfId="18207" xr:uid="{00000000-0005-0000-0000-00001E470000}"/>
    <cellStyle name="40% - 强调文字颜色 4 3 2 8 2" xfId="18208" xr:uid="{00000000-0005-0000-0000-00001F470000}"/>
    <cellStyle name="40% - 强调文字颜色 4 3 3" xfId="18209" xr:uid="{00000000-0005-0000-0000-000020470000}"/>
    <cellStyle name="40% - 强调文字颜色 4 3 3 2" xfId="18210" xr:uid="{00000000-0005-0000-0000-000021470000}"/>
    <cellStyle name="40% - 强调文字颜色 4 3 3 2 2" xfId="18211" xr:uid="{00000000-0005-0000-0000-000022470000}"/>
    <cellStyle name="40% - 强调文字颜色 4 3 3 2 3" xfId="18212" xr:uid="{00000000-0005-0000-0000-000023470000}"/>
    <cellStyle name="40% - 强调文字颜色 4 3 3 2 3 2" xfId="18213" xr:uid="{00000000-0005-0000-0000-000024470000}"/>
    <cellStyle name="40% - 强调文字颜色 4 3 3 2 3 2 2" xfId="18214" xr:uid="{00000000-0005-0000-0000-000025470000}"/>
    <cellStyle name="40% - 强调文字颜色 4 3 3 2 4" xfId="18215" xr:uid="{00000000-0005-0000-0000-000026470000}"/>
    <cellStyle name="40% - 强调文字颜色 4 3 3 2 4 2" xfId="18216" xr:uid="{00000000-0005-0000-0000-000027470000}"/>
    <cellStyle name="40% - 强调文字颜色 4 3 3 2 5" xfId="18217" xr:uid="{00000000-0005-0000-0000-000028470000}"/>
    <cellStyle name="40% - 强调文字颜色 4 3 3 2 5 2" xfId="18218" xr:uid="{00000000-0005-0000-0000-000029470000}"/>
    <cellStyle name="40% - 强调文字颜色 4 3 3 2 6" xfId="18219" xr:uid="{00000000-0005-0000-0000-00002A470000}"/>
    <cellStyle name="40% - 强调文字颜色 4 3 3 3" xfId="18220" xr:uid="{00000000-0005-0000-0000-00002B470000}"/>
    <cellStyle name="40% - 强调文字颜色 4 3 3 3 2" xfId="18221" xr:uid="{00000000-0005-0000-0000-00002C470000}"/>
    <cellStyle name="40% - 强调文字颜色 4 3 3 3 2 2" xfId="18222" xr:uid="{00000000-0005-0000-0000-00002D470000}"/>
    <cellStyle name="40% - 强调文字颜色 4 3 3 3 2 2 2" xfId="18223" xr:uid="{00000000-0005-0000-0000-00002E470000}"/>
    <cellStyle name="40% - 强调文字颜色 4 3 3 3 3" xfId="18224" xr:uid="{00000000-0005-0000-0000-00002F470000}"/>
    <cellStyle name="40% - 强调文字颜色 4 3 3 3 3 2" xfId="18225" xr:uid="{00000000-0005-0000-0000-000030470000}"/>
    <cellStyle name="40% - 强调文字颜色 4 3 3 3 4" xfId="18226" xr:uid="{00000000-0005-0000-0000-000031470000}"/>
    <cellStyle name="40% - 强调文字颜色 4 3 3 3 4 2" xfId="18227" xr:uid="{00000000-0005-0000-0000-000032470000}"/>
    <cellStyle name="40% - 强调文字颜色 4 3 3 3 5" xfId="18228" xr:uid="{00000000-0005-0000-0000-000033470000}"/>
    <cellStyle name="40% - 强调文字颜色 4 3 3 4" xfId="18229" xr:uid="{00000000-0005-0000-0000-000034470000}"/>
    <cellStyle name="40% - 强调文字颜色 4 3 3 5" xfId="18230" xr:uid="{00000000-0005-0000-0000-000035470000}"/>
    <cellStyle name="40% - 强调文字颜色 4 3 3 6" xfId="18231" xr:uid="{00000000-0005-0000-0000-000036470000}"/>
    <cellStyle name="40% - 强调文字颜色 4 3 3 6 2" xfId="18232" xr:uid="{00000000-0005-0000-0000-000037470000}"/>
    <cellStyle name="40% - 强调文字颜色 4 3 3 7" xfId="18233" xr:uid="{00000000-0005-0000-0000-000038470000}"/>
    <cellStyle name="40% - 强调文字颜色 4 3 3 7 2" xfId="18234" xr:uid="{00000000-0005-0000-0000-000039470000}"/>
    <cellStyle name="40% - 强调文字颜色 4 3 4" xfId="18235" xr:uid="{00000000-0005-0000-0000-00003A470000}"/>
    <cellStyle name="40% - 强调文字颜色 4 3 4 2" xfId="18236" xr:uid="{00000000-0005-0000-0000-00003B470000}"/>
    <cellStyle name="40% - 强调文字颜色 4 3 4 2 2" xfId="18237" xr:uid="{00000000-0005-0000-0000-00003C470000}"/>
    <cellStyle name="40% - 强调文字颜色 4 3 4 2 3" xfId="18238" xr:uid="{00000000-0005-0000-0000-00003D470000}"/>
    <cellStyle name="40% - 强调文字颜色 4 3 4 2 3 2" xfId="18239" xr:uid="{00000000-0005-0000-0000-00003E470000}"/>
    <cellStyle name="40% - 强调文字颜色 4 3 4 2 3 2 2" xfId="18240" xr:uid="{00000000-0005-0000-0000-00003F470000}"/>
    <cellStyle name="40% - 强调文字颜色 4 3 4 2 4" xfId="18241" xr:uid="{00000000-0005-0000-0000-000040470000}"/>
    <cellStyle name="40% - 强调文字颜色 4 3 4 2 4 2" xfId="18242" xr:uid="{00000000-0005-0000-0000-000041470000}"/>
    <cellStyle name="40% - 强调文字颜色 4 3 4 2 5" xfId="18243" xr:uid="{00000000-0005-0000-0000-000042470000}"/>
    <cellStyle name="40% - 强调文字颜色 4 3 4 2 5 2" xfId="18244" xr:uid="{00000000-0005-0000-0000-000043470000}"/>
    <cellStyle name="40% - 强调文字颜色 4 3 4 2 6" xfId="18245" xr:uid="{00000000-0005-0000-0000-000044470000}"/>
    <cellStyle name="40% - 强调文字颜色 4 3 4 3" xfId="18246" xr:uid="{00000000-0005-0000-0000-000045470000}"/>
    <cellStyle name="40% - 强调文字颜色 4 3 4 4" xfId="18247" xr:uid="{00000000-0005-0000-0000-000046470000}"/>
    <cellStyle name="40% - 强调文字颜色 4 3 4 5" xfId="18248" xr:uid="{00000000-0005-0000-0000-000047470000}"/>
    <cellStyle name="40% - 强调文字颜色 4 3 4 6" xfId="18249" xr:uid="{00000000-0005-0000-0000-000048470000}"/>
    <cellStyle name="40% - 强调文字颜色 4 3 4 6 2" xfId="18250" xr:uid="{00000000-0005-0000-0000-000049470000}"/>
    <cellStyle name="40% - 强调文字颜色 4 3 4 7" xfId="18251" xr:uid="{00000000-0005-0000-0000-00004A470000}"/>
    <cellStyle name="40% - 强调文字颜色 4 3 4 7 2" xfId="18252" xr:uid="{00000000-0005-0000-0000-00004B470000}"/>
    <cellStyle name="40% - 强调文字颜色 4 3 5" xfId="18253" xr:uid="{00000000-0005-0000-0000-00004C470000}"/>
    <cellStyle name="40% - 强调文字颜色 4 3 5 2" xfId="18254" xr:uid="{00000000-0005-0000-0000-00004D470000}"/>
    <cellStyle name="40% - 强调文字颜色 4 3 5 2 2" xfId="18255" xr:uid="{00000000-0005-0000-0000-00004E470000}"/>
    <cellStyle name="40% - 强调文字颜色 4 3 5 2 2 2" xfId="18256" xr:uid="{00000000-0005-0000-0000-00004F470000}"/>
    <cellStyle name="40% - 强调文字颜色 4 3 5 2 2 2 2" xfId="18257" xr:uid="{00000000-0005-0000-0000-000050470000}"/>
    <cellStyle name="40% - 强调文字颜色 4 3 5 2 3" xfId="18258" xr:uid="{00000000-0005-0000-0000-000051470000}"/>
    <cellStyle name="40% - 强调文字颜色 4 3 5 2 3 2" xfId="18259" xr:uid="{00000000-0005-0000-0000-000052470000}"/>
    <cellStyle name="40% - 强调文字颜色 4 3 5 2 4" xfId="18260" xr:uid="{00000000-0005-0000-0000-000053470000}"/>
    <cellStyle name="40% - 强调文字颜色 4 3 5 2 4 2" xfId="18261" xr:uid="{00000000-0005-0000-0000-000054470000}"/>
    <cellStyle name="40% - 强调文字颜色 4 3 5 2 5" xfId="18262" xr:uid="{00000000-0005-0000-0000-000055470000}"/>
    <cellStyle name="40% - 强调文字颜色 4 3 5 3" xfId="18263" xr:uid="{00000000-0005-0000-0000-000056470000}"/>
    <cellStyle name="40% - 强调文字颜色 4 3 5 3 2" xfId="18264" xr:uid="{00000000-0005-0000-0000-000057470000}"/>
    <cellStyle name="40% - 强调文字颜色 4 3 5 3 2 2" xfId="18265" xr:uid="{00000000-0005-0000-0000-000058470000}"/>
    <cellStyle name="40% - 强调文字颜色 4 3 5 4" xfId="18266" xr:uid="{00000000-0005-0000-0000-000059470000}"/>
    <cellStyle name="40% - 强调文字颜色 4 3 5 4 2" xfId="18267" xr:uid="{00000000-0005-0000-0000-00005A470000}"/>
    <cellStyle name="40% - 强调文字颜色 4 3 5 5" xfId="18268" xr:uid="{00000000-0005-0000-0000-00005B470000}"/>
    <cellStyle name="40% - 强调文字颜色 4 3 5 5 2" xfId="18269" xr:uid="{00000000-0005-0000-0000-00005C470000}"/>
    <cellStyle name="40% - 强调文字颜色 4 3 5 6" xfId="18270" xr:uid="{00000000-0005-0000-0000-00005D470000}"/>
    <cellStyle name="40% - 强调文字颜色 4 3 6" xfId="18271" xr:uid="{00000000-0005-0000-0000-00005E470000}"/>
    <cellStyle name="40% - 强调文字颜色 4 3 6 2" xfId="18272" xr:uid="{00000000-0005-0000-0000-00005F470000}"/>
    <cellStyle name="40% - 强调文字颜色 4 3 6 2 2" xfId="18273" xr:uid="{00000000-0005-0000-0000-000060470000}"/>
    <cellStyle name="40% - 强调文字颜色 4 3 6 2 2 2" xfId="18274" xr:uid="{00000000-0005-0000-0000-000061470000}"/>
    <cellStyle name="40% - 强调文字颜色 4 3 6 3" xfId="18275" xr:uid="{00000000-0005-0000-0000-000062470000}"/>
    <cellStyle name="40% - 强调文字颜色 4 3 6 3 2" xfId="18276" xr:uid="{00000000-0005-0000-0000-000063470000}"/>
    <cellStyle name="40% - 强调文字颜色 4 3 6 4" xfId="18277" xr:uid="{00000000-0005-0000-0000-000064470000}"/>
    <cellStyle name="40% - 强调文字颜色 4 3 6 4 2" xfId="18278" xr:uid="{00000000-0005-0000-0000-000065470000}"/>
    <cellStyle name="40% - 强调文字颜色 4 3 6 5" xfId="18279" xr:uid="{00000000-0005-0000-0000-000066470000}"/>
    <cellStyle name="40% - 强调文字颜色 4 3 7" xfId="18280" xr:uid="{00000000-0005-0000-0000-000067470000}"/>
    <cellStyle name="40% - 强调文字颜色 4 3 8" xfId="18281" xr:uid="{00000000-0005-0000-0000-000068470000}"/>
    <cellStyle name="40% - 强调文字颜色 4 3 8 2" xfId="18282" xr:uid="{00000000-0005-0000-0000-000069470000}"/>
    <cellStyle name="40% - 强调文字颜色 4 3 9" xfId="18283" xr:uid="{00000000-0005-0000-0000-00006A470000}"/>
    <cellStyle name="40% - 强调文字颜色 4 3 9 2" xfId="18284" xr:uid="{00000000-0005-0000-0000-00006B470000}"/>
    <cellStyle name="40% - 强调文字颜色 5 2" xfId="18285" xr:uid="{00000000-0005-0000-0000-00006C470000}"/>
    <cellStyle name="40% - 强调文字颜色 5 2 10" xfId="18286" xr:uid="{00000000-0005-0000-0000-00006D470000}"/>
    <cellStyle name="40% - 强调文字颜色 5 2 11" xfId="18287" xr:uid="{00000000-0005-0000-0000-00006E470000}"/>
    <cellStyle name="40% - 强调文字颜色 5 2 11 2" xfId="18288" xr:uid="{00000000-0005-0000-0000-00006F470000}"/>
    <cellStyle name="40% - 强调文字颜色 5 2 12" xfId="18289" xr:uid="{00000000-0005-0000-0000-000070470000}"/>
    <cellStyle name="40% - 强调文字颜色 5 2 12 2" xfId="18290" xr:uid="{00000000-0005-0000-0000-000071470000}"/>
    <cellStyle name="40% - 强调文字颜色 5 2 2" xfId="18291" xr:uid="{00000000-0005-0000-0000-000072470000}"/>
    <cellStyle name="40% - 强调文字颜色 5 2 2 10" xfId="18292" xr:uid="{00000000-0005-0000-0000-000073470000}"/>
    <cellStyle name="40% - 强调文字颜色 5 2 2 11" xfId="18293" xr:uid="{00000000-0005-0000-0000-000074470000}"/>
    <cellStyle name="40% - 强调文字颜色 5 2 2 11 2" xfId="18294" xr:uid="{00000000-0005-0000-0000-000075470000}"/>
    <cellStyle name="40% - 强调文字颜色 5 2 2 12" xfId="18295" xr:uid="{00000000-0005-0000-0000-000076470000}"/>
    <cellStyle name="40% - 强调文字颜色 5 2 2 12 2" xfId="18296" xr:uid="{00000000-0005-0000-0000-000077470000}"/>
    <cellStyle name="40% - 强调文字颜色 5 2 2 2" xfId="18297" xr:uid="{00000000-0005-0000-0000-000078470000}"/>
    <cellStyle name="40% - 强调文字颜色 5 2 2 2 2" xfId="18298" xr:uid="{00000000-0005-0000-0000-000079470000}"/>
    <cellStyle name="40% - 强调文字颜色 5 2 2 2 2 2" xfId="18299" xr:uid="{00000000-0005-0000-0000-00007A470000}"/>
    <cellStyle name="40% - 强调文字颜色 5 2 2 2 2 2 2" xfId="18300" xr:uid="{00000000-0005-0000-0000-00007B470000}"/>
    <cellStyle name="40% - 强调文字颜色 5 2 2 2 2 2 3" xfId="18301" xr:uid="{00000000-0005-0000-0000-00007C470000}"/>
    <cellStyle name="40% - 强调文字颜色 5 2 2 2 2 2 3 2" xfId="18302" xr:uid="{00000000-0005-0000-0000-00007D470000}"/>
    <cellStyle name="40% - 强调文字颜色 5 2 2 2 2 2 3 2 2" xfId="18303" xr:uid="{00000000-0005-0000-0000-00007E470000}"/>
    <cellStyle name="40% - 强调文字颜色 5 2 2 2 2 2 4" xfId="18304" xr:uid="{00000000-0005-0000-0000-00007F470000}"/>
    <cellStyle name="40% - 强调文字颜色 5 2 2 2 2 2 4 2" xfId="18305" xr:uid="{00000000-0005-0000-0000-000080470000}"/>
    <cellStyle name="40% - 强调文字颜色 5 2 2 2 2 2 5" xfId="18306" xr:uid="{00000000-0005-0000-0000-000081470000}"/>
    <cellStyle name="40% - 强调文字颜色 5 2 2 2 2 2 5 2" xfId="18307" xr:uid="{00000000-0005-0000-0000-000082470000}"/>
    <cellStyle name="40% - 强调文字颜色 5 2 2 2 2 2 6" xfId="18308" xr:uid="{00000000-0005-0000-0000-000083470000}"/>
    <cellStyle name="40% - 强调文字颜色 5 2 2 2 2 3" xfId="18309" xr:uid="{00000000-0005-0000-0000-000084470000}"/>
    <cellStyle name="40% - 强调文字颜色 5 2 2 2 2 3 2" xfId="18310" xr:uid="{00000000-0005-0000-0000-000085470000}"/>
    <cellStyle name="40% - 强调文字颜色 5 2 2 2 2 3 2 2" xfId="18311" xr:uid="{00000000-0005-0000-0000-000086470000}"/>
    <cellStyle name="40% - 强调文字颜色 5 2 2 2 2 3 2 2 2" xfId="18312" xr:uid="{00000000-0005-0000-0000-000087470000}"/>
    <cellStyle name="40% - 强调文字颜色 5 2 2 2 2 3 3" xfId="18313" xr:uid="{00000000-0005-0000-0000-000088470000}"/>
    <cellStyle name="40% - 强调文字颜色 5 2 2 2 2 3 3 2" xfId="18314" xr:uid="{00000000-0005-0000-0000-000089470000}"/>
    <cellStyle name="40% - 强调文字颜色 5 2 2 2 2 3 4" xfId="18315" xr:uid="{00000000-0005-0000-0000-00008A470000}"/>
    <cellStyle name="40% - 强调文字颜色 5 2 2 2 2 3 4 2" xfId="18316" xr:uid="{00000000-0005-0000-0000-00008B470000}"/>
    <cellStyle name="40% - 强调文字颜色 5 2 2 2 2 3 5" xfId="18317" xr:uid="{00000000-0005-0000-0000-00008C470000}"/>
    <cellStyle name="40% - 强调文字颜色 5 2 2 2 2 4" xfId="18318" xr:uid="{00000000-0005-0000-0000-00008D470000}"/>
    <cellStyle name="40% - 强调文字颜色 5 2 2 2 2 5" xfId="18319" xr:uid="{00000000-0005-0000-0000-00008E470000}"/>
    <cellStyle name="40% - 强调文字颜色 5 2 2 2 2 6" xfId="18320" xr:uid="{00000000-0005-0000-0000-00008F470000}"/>
    <cellStyle name="40% - 强调文字颜色 5 2 2 2 2 6 2" xfId="18321" xr:uid="{00000000-0005-0000-0000-000090470000}"/>
    <cellStyle name="40% - 强调文字颜色 5 2 2 2 2 7" xfId="18322" xr:uid="{00000000-0005-0000-0000-000091470000}"/>
    <cellStyle name="40% - 强调文字颜色 5 2 2 2 2 7 2" xfId="18323" xr:uid="{00000000-0005-0000-0000-000092470000}"/>
    <cellStyle name="40% - 强调文字颜色 5 2 2 2 3" xfId="18324" xr:uid="{00000000-0005-0000-0000-000093470000}"/>
    <cellStyle name="40% - 强调文字颜色 5 2 2 2 3 2" xfId="18325" xr:uid="{00000000-0005-0000-0000-000094470000}"/>
    <cellStyle name="40% - 强调文字颜色 5 2 2 2 3 3" xfId="18326" xr:uid="{00000000-0005-0000-0000-000095470000}"/>
    <cellStyle name="40% - 强调文字颜色 5 2 2 2 3 3 2" xfId="18327" xr:uid="{00000000-0005-0000-0000-000096470000}"/>
    <cellStyle name="40% - 强调文字颜色 5 2 2 2 3 3 2 2" xfId="18328" xr:uid="{00000000-0005-0000-0000-000097470000}"/>
    <cellStyle name="40% - 强调文字颜色 5 2 2 2 3 4" xfId="18329" xr:uid="{00000000-0005-0000-0000-000098470000}"/>
    <cellStyle name="40% - 强调文字颜色 5 2 2 2 3 4 2" xfId="18330" xr:uid="{00000000-0005-0000-0000-000099470000}"/>
    <cellStyle name="40% - 强调文字颜色 5 2 2 2 3 5" xfId="18331" xr:uid="{00000000-0005-0000-0000-00009A470000}"/>
    <cellStyle name="40% - 强调文字颜色 5 2 2 2 3 5 2" xfId="18332" xr:uid="{00000000-0005-0000-0000-00009B470000}"/>
    <cellStyle name="40% - 强调文字颜色 5 2 2 2 3 6" xfId="18333" xr:uid="{00000000-0005-0000-0000-00009C470000}"/>
    <cellStyle name="40% - 强调文字颜色 5 2 2 2 4" xfId="18334" xr:uid="{00000000-0005-0000-0000-00009D470000}"/>
    <cellStyle name="40% - 强调文字颜色 5 2 2 2 4 2" xfId="18335" xr:uid="{00000000-0005-0000-0000-00009E470000}"/>
    <cellStyle name="40% - 强调文字颜色 5 2 2 2 4 2 2" xfId="18336" xr:uid="{00000000-0005-0000-0000-00009F470000}"/>
    <cellStyle name="40% - 强调文字颜色 5 2 2 2 4 2 2 2" xfId="18337" xr:uid="{00000000-0005-0000-0000-0000A0470000}"/>
    <cellStyle name="40% - 强调文字颜色 5 2 2 2 4 3" xfId="18338" xr:uid="{00000000-0005-0000-0000-0000A1470000}"/>
    <cellStyle name="40% - 强调文字颜色 5 2 2 2 4 3 2" xfId="18339" xr:uid="{00000000-0005-0000-0000-0000A2470000}"/>
    <cellStyle name="40% - 强调文字颜色 5 2 2 2 4 4" xfId="18340" xr:uid="{00000000-0005-0000-0000-0000A3470000}"/>
    <cellStyle name="40% - 强调文字颜色 5 2 2 2 4 4 2" xfId="18341" xr:uid="{00000000-0005-0000-0000-0000A4470000}"/>
    <cellStyle name="40% - 强调文字颜色 5 2 2 2 4 5" xfId="18342" xr:uid="{00000000-0005-0000-0000-0000A5470000}"/>
    <cellStyle name="40% - 强调文字颜色 5 2 2 2 5" xfId="18343" xr:uid="{00000000-0005-0000-0000-0000A6470000}"/>
    <cellStyle name="40% - 强调文字颜色 5 2 2 2 6" xfId="18344" xr:uid="{00000000-0005-0000-0000-0000A7470000}"/>
    <cellStyle name="40% - 强调文字颜色 5 2 2 2 7" xfId="18345" xr:uid="{00000000-0005-0000-0000-0000A8470000}"/>
    <cellStyle name="40% - 强调文字颜色 5 2 2 2 7 2" xfId="18346" xr:uid="{00000000-0005-0000-0000-0000A9470000}"/>
    <cellStyle name="40% - 强调文字颜色 5 2 2 2 8" xfId="18347" xr:uid="{00000000-0005-0000-0000-0000AA470000}"/>
    <cellStyle name="40% - 强调文字颜色 5 2 2 2 8 2" xfId="18348" xr:uid="{00000000-0005-0000-0000-0000AB470000}"/>
    <cellStyle name="40% - 强调文字颜色 5 2 2 3" xfId="18349" xr:uid="{00000000-0005-0000-0000-0000AC470000}"/>
    <cellStyle name="40% - 强调文字颜色 5 2 2 3 2" xfId="18350" xr:uid="{00000000-0005-0000-0000-0000AD470000}"/>
    <cellStyle name="40% - 强调文字颜色 5 2 2 3 2 2" xfId="18351" xr:uid="{00000000-0005-0000-0000-0000AE470000}"/>
    <cellStyle name="40% - 强调文字颜色 5 2 2 3 2 3" xfId="18352" xr:uid="{00000000-0005-0000-0000-0000AF470000}"/>
    <cellStyle name="40% - 强调文字颜色 5 2 2 3 2 3 2" xfId="18353" xr:uid="{00000000-0005-0000-0000-0000B0470000}"/>
    <cellStyle name="40% - 强调文字颜色 5 2 2 3 2 3 2 2" xfId="18354" xr:uid="{00000000-0005-0000-0000-0000B1470000}"/>
    <cellStyle name="40% - 强调文字颜色 5 2 2 3 2 4" xfId="18355" xr:uid="{00000000-0005-0000-0000-0000B2470000}"/>
    <cellStyle name="40% - 强调文字颜色 5 2 2 3 2 4 2" xfId="18356" xr:uid="{00000000-0005-0000-0000-0000B3470000}"/>
    <cellStyle name="40% - 强调文字颜色 5 2 2 3 2 5" xfId="18357" xr:uid="{00000000-0005-0000-0000-0000B4470000}"/>
    <cellStyle name="40% - 强调文字颜色 5 2 2 3 2 5 2" xfId="18358" xr:uid="{00000000-0005-0000-0000-0000B5470000}"/>
    <cellStyle name="40% - 强调文字颜色 5 2 2 3 2 6" xfId="18359" xr:uid="{00000000-0005-0000-0000-0000B6470000}"/>
    <cellStyle name="40% - 强调文字颜色 5 2 2 3 3" xfId="18360" xr:uid="{00000000-0005-0000-0000-0000B7470000}"/>
    <cellStyle name="40% - 强调文字颜色 5 2 2 3 3 2" xfId="18361" xr:uid="{00000000-0005-0000-0000-0000B8470000}"/>
    <cellStyle name="40% - 强调文字颜色 5 2 2 3 3 2 2" xfId="18362" xr:uid="{00000000-0005-0000-0000-0000B9470000}"/>
    <cellStyle name="40% - 强调文字颜色 5 2 2 3 3 2 2 2" xfId="18363" xr:uid="{00000000-0005-0000-0000-0000BA470000}"/>
    <cellStyle name="40% - 强调文字颜色 5 2 2 3 3 3" xfId="18364" xr:uid="{00000000-0005-0000-0000-0000BB470000}"/>
    <cellStyle name="40% - 强调文字颜色 5 2 2 3 3 3 2" xfId="18365" xr:uid="{00000000-0005-0000-0000-0000BC470000}"/>
    <cellStyle name="40% - 强调文字颜色 5 2 2 3 3 4" xfId="18366" xr:uid="{00000000-0005-0000-0000-0000BD470000}"/>
    <cellStyle name="40% - 强调文字颜色 5 2 2 3 3 4 2" xfId="18367" xr:uid="{00000000-0005-0000-0000-0000BE470000}"/>
    <cellStyle name="40% - 强调文字颜色 5 2 2 3 3 5" xfId="18368" xr:uid="{00000000-0005-0000-0000-0000BF470000}"/>
    <cellStyle name="40% - 强调文字颜色 5 2 2 3 4" xfId="18369" xr:uid="{00000000-0005-0000-0000-0000C0470000}"/>
    <cellStyle name="40% - 强调文字颜色 5 2 2 3 5" xfId="18370" xr:uid="{00000000-0005-0000-0000-0000C1470000}"/>
    <cellStyle name="40% - 强调文字颜色 5 2 2 3 6" xfId="18371" xr:uid="{00000000-0005-0000-0000-0000C2470000}"/>
    <cellStyle name="40% - 强调文字颜色 5 2 2 3 6 2" xfId="18372" xr:uid="{00000000-0005-0000-0000-0000C3470000}"/>
    <cellStyle name="40% - 强调文字颜色 5 2 2 3 7" xfId="18373" xr:uid="{00000000-0005-0000-0000-0000C4470000}"/>
    <cellStyle name="40% - 强调文字颜色 5 2 2 3 7 2" xfId="18374" xr:uid="{00000000-0005-0000-0000-0000C5470000}"/>
    <cellStyle name="40% - 强调文字颜色 5 2 2 4" xfId="18375" xr:uid="{00000000-0005-0000-0000-0000C6470000}"/>
    <cellStyle name="40% - 强调文字颜色 5 2 2 4 2" xfId="18376" xr:uid="{00000000-0005-0000-0000-0000C7470000}"/>
    <cellStyle name="40% - 强调文字颜色 5 2 2 4 2 2" xfId="18377" xr:uid="{00000000-0005-0000-0000-0000C8470000}"/>
    <cellStyle name="40% - 强调文字颜色 5 2 2 4 2 3" xfId="18378" xr:uid="{00000000-0005-0000-0000-0000C9470000}"/>
    <cellStyle name="40% - 强调文字颜色 5 2 2 4 2 3 2" xfId="18379" xr:uid="{00000000-0005-0000-0000-0000CA470000}"/>
    <cellStyle name="40% - 强调文字颜色 5 2 2 4 2 3 2 2" xfId="18380" xr:uid="{00000000-0005-0000-0000-0000CB470000}"/>
    <cellStyle name="40% - 强调文字颜色 5 2 2 4 2 4" xfId="18381" xr:uid="{00000000-0005-0000-0000-0000CC470000}"/>
    <cellStyle name="40% - 强调文字颜色 5 2 2 4 2 4 2" xfId="18382" xr:uid="{00000000-0005-0000-0000-0000CD470000}"/>
    <cellStyle name="40% - 强调文字颜色 5 2 2 4 2 5" xfId="18383" xr:uid="{00000000-0005-0000-0000-0000CE470000}"/>
    <cellStyle name="40% - 强调文字颜色 5 2 2 4 2 5 2" xfId="18384" xr:uid="{00000000-0005-0000-0000-0000CF470000}"/>
    <cellStyle name="40% - 强调文字颜色 5 2 2 4 2 6" xfId="18385" xr:uid="{00000000-0005-0000-0000-0000D0470000}"/>
    <cellStyle name="40% - 强调文字颜色 5 2 2 4 3" xfId="18386" xr:uid="{00000000-0005-0000-0000-0000D1470000}"/>
    <cellStyle name="40% - 强调文字颜色 5 2 2 4 4" xfId="18387" xr:uid="{00000000-0005-0000-0000-0000D2470000}"/>
    <cellStyle name="40% - 强调文字颜色 5 2 2 4 5" xfId="18388" xr:uid="{00000000-0005-0000-0000-0000D3470000}"/>
    <cellStyle name="40% - 强调文字颜色 5 2 2 4 6" xfId="18389" xr:uid="{00000000-0005-0000-0000-0000D4470000}"/>
    <cellStyle name="40% - 强调文字颜色 5 2 2 4 6 2" xfId="18390" xr:uid="{00000000-0005-0000-0000-0000D5470000}"/>
    <cellStyle name="40% - 强调文字颜色 5 2 2 4 7" xfId="18391" xr:uid="{00000000-0005-0000-0000-0000D6470000}"/>
    <cellStyle name="40% - 强调文字颜色 5 2 2 4 7 2" xfId="18392" xr:uid="{00000000-0005-0000-0000-0000D7470000}"/>
    <cellStyle name="40% - 强调文字颜色 5 2 2 5" xfId="18393" xr:uid="{00000000-0005-0000-0000-0000D8470000}"/>
    <cellStyle name="40% - 强调文字颜色 5 2 2 5 2" xfId="18394" xr:uid="{00000000-0005-0000-0000-0000D9470000}"/>
    <cellStyle name="40% - 强调文字颜色 5 2 2 5 2 2" xfId="18395" xr:uid="{00000000-0005-0000-0000-0000DA470000}"/>
    <cellStyle name="40% - 强调文字颜色 5 2 2 5 2 2 2" xfId="18396" xr:uid="{00000000-0005-0000-0000-0000DB470000}"/>
    <cellStyle name="40% - 强调文字颜色 5 2 2 5 2 2 2 2" xfId="18397" xr:uid="{00000000-0005-0000-0000-0000DC470000}"/>
    <cellStyle name="40% - 强调文字颜色 5 2 2 5 2 3" xfId="18398" xr:uid="{00000000-0005-0000-0000-0000DD470000}"/>
    <cellStyle name="40% - 强调文字颜色 5 2 2 5 2 3 2" xfId="18399" xr:uid="{00000000-0005-0000-0000-0000DE470000}"/>
    <cellStyle name="40% - 强调文字颜色 5 2 2 5 2 4" xfId="18400" xr:uid="{00000000-0005-0000-0000-0000DF470000}"/>
    <cellStyle name="40% - 强调文字颜色 5 2 2 5 2 4 2" xfId="18401" xr:uid="{00000000-0005-0000-0000-0000E0470000}"/>
    <cellStyle name="40% - 强调文字颜色 5 2 2 5 2 5" xfId="18402" xr:uid="{00000000-0005-0000-0000-0000E1470000}"/>
    <cellStyle name="40% - 强调文字颜色 5 2 2 5 3" xfId="18403" xr:uid="{00000000-0005-0000-0000-0000E2470000}"/>
    <cellStyle name="40% - 强调文字颜色 5 2 2 5 3 2" xfId="18404" xr:uid="{00000000-0005-0000-0000-0000E3470000}"/>
    <cellStyle name="40% - 强调文字颜色 5 2 2 5 3 2 2" xfId="18405" xr:uid="{00000000-0005-0000-0000-0000E4470000}"/>
    <cellStyle name="40% - 强调文字颜色 5 2 2 5 4" xfId="18406" xr:uid="{00000000-0005-0000-0000-0000E5470000}"/>
    <cellStyle name="40% - 强调文字颜色 5 2 2 5 4 2" xfId="18407" xr:uid="{00000000-0005-0000-0000-0000E6470000}"/>
    <cellStyle name="40% - 强调文字颜色 5 2 2 5 5" xfId="18408" xr:uid="{00000000-0005-0000-0000-0000E7470000}"/>
    <cellStyle name="40% - 强调文字颜色 5 2 2 5 5 2" xfId="18409" xr:uid="{00000000-0005-0000-0000-0000E8470000}"/>
    <cellStyle name="40% - 强调文字颜色 5 2 2 5 6" xfId="18410" xr:uid="{00000000-0005-0000-0000-0000E9470000}"/>
    <cellStyle name="40% - 强调文字颜色 5 2 2 6" xfId="18411" xr:uid="{00000000-0005-0000-0000-0000EA470000}"/>
    <cellStyle name="40% - 强调文字颜色 5 2 2 6 2" xfId="18412" xr:uid="{00000000-0005-0000-0000-0000EB470000}"/>
    <cellStyle name="40% - 强调文字颜色 5 2 2 6 2 2" xfId="18413" xr:uid="{00000000-0005-0000-0000-0000EC470000}"/>
    <cellStyle name="40% - 强调文字颜色 5 2 2 6 2 2 2" xfId="18414" xr:uid="{00000000-0005-0000-0000-0000ED470000}"/>
    <cellStyle name="40% - 强调文字颜色 5 2 2 6 2 2 2 2" xfId="18415" xr:uid="{00000000-0005-0000-0000-0000EE470000}"/>
    <cellStyle name="40% - 强调文字颜色 5 2 2 6 2 3" xfId="18416" xr:uid="{00000000-0005-0000-0000-0000EF470000}"/>
    <cellStyle name="40% - 强调文字颜色 5 2 2 6 2 3 2" xfId="18417" xr:uid="{00000000-0005-0000-0000-0000F0470000}"/>
    <cellStyle name="40% - 强调文字颜色 5 2 2 6 2 4" xfId="18418" xr:uid="{00000000-0005-0000-0000-0000F1470000}"/>
    <cellStyle name="40% - 强调文字颜色 5 2 2 6 2 4 2" xfId="18419" xr:uid="{00000000-0005-0000-0000-0000F2470000}"/>
    <cellStyle name="40% - 强调文字颜色 5 2 2 6 2 5" xfId="18420" xr:uid="{00000000-0005-0000-0000-0000F3470000}"/>
    <cellStyle name="40% - 强调文字颜色 5 2 2 6 3" xfId="18421" xr:uid="{00000000-0005-0000-0000-0000F4470000}"/>
    <cellStyle name="40% - 强调文字颜色 5 2 2 6 3 2" xfId="18422" xr:uid="{00000000-0005-0000-0000-0000F5470000}"/>
    <cellStyle name="40% - 强调文字颜色 5 2 2 6 3 2 2" xfId="18423" xr:uid="{00000000-0005-0000-0000-0000F6470000}"/>
    <cellStyle name="40% - 强调文字颜色 5 2 2 6 4" xfId="18424" xr:uid="{00000000-0005-0000-0000-0000F7470000}"/>
    <cellStyle name="40% - 强调文字颜色 5 2 2 6 4 2" xfId="18425" xr:uid="{00000000-0005-0000-0000-0000F8470000}"/>
    <cellStyle name="40% - 强调文字颜色 5 2 2 6 5" xfId="18426" xr:uid="{00000000-0005-0000-0000-0000F9470000}"/>
    <cellStyle name="40% - 强调文字颜色 5 2 2 6 5 2" xfId="18427" xr:uid="{00000000-0005-0000-0000-0000FA470000}"/>
    <cellStyle name="40% - 强调文字颜色 5 2 2 6 6" xfId="18428" xr:uid="{00000000-0005-0000-0000-0000FB470000}"/>
    <cellStyle name="40% - 强调文字颜色 5 2 2 7" xfId="18429" xr:uid="{00000000-0005-0000-0000-0000FC470000}"/>
    <cellStyle name="40% - 强调文字颜色 5 2 2 7 2" xfId="18430" xr:uid="{00000000-0005-0000-0000-0000FD470000}"/>
    <cellStyle name="40% - 强调文字颜色 5 2 2 7 2 2" xfId="18431" xr:uid="{00000000-0005-0000-0000-0000FE470000}"/>
    <cellStyle name="40% - 强调文字颜色 5 2 2 7 2 2 2" xfId="18432" xr:uid="{00000000-0005-0000-0000-0000FF470000}"/>
    <cellStyle name="40% - 强调文字颜色 5 2 2 7 2 2 2 2" xfId="18433" xr:uid="{00000000-0005-0000-0000-000000480000}"/>
    <cellStyle name="40% - 强调文字颜色 5 2 2 7 2 3" xfId="18434" xr:uid="{00000000-0005-0000-0000-000001480000}"/>
    <cellStyle name="40% - 强调文字颜色 5 2 2 7 2 3 2" xfId="18435" xr:uid="{00000000-0005-0000-0000-000002480000}"/>
    <cellStyle name="40% - 强调文字颜色 5 2 2 7 2 4" xfId="18436" xr:uid="{00000000-0005-0000-0000-000003480000}"/>
    <cellStyle name="40% - 强调文字颜色 5 2 2 7 2 4 2" xfId="18437" xr:uid="{00000000-0005-0000-0000-000004480000}"/>
    <cellStyle name="40% - 强调文字颜色 5 2 2 7 2 5" xfId="18438" xr:uid="{00000000-0005-0000-0000-000005480000}"/>
    <cellStyle name="40% - 强调文字颜色 5 2 2 7 3" xfId="18439" xr:uid="{00000000-0005-0000-0000-000006480000}"/>
    <cellStyle name="40% - 强调文字颜色 5 2 2 7 3 2" xfId="18440" xr:uid="{00000000-0005-0000-0000-000007480000}"/>
    <cellStyle name="40% - 强调文字颜色 5 2 2 7 3 2 2" xfId="18441" xr:uid="{00000000-0005-0000-0000-000008480000}"/>
    <cellStyle name="40% - 强调文字颜色 5 2 2 7 4" xfId="18442" xr:uid="{00000000-0005-0000-0000-000009480000}"/>
    <cellStyle name="40% - 强调文字颜色 5 2 2 7 4 2" xfId="18443" xr:uid="{00000000-0005-0000-0000-00000A480000}"/>
    <cellStyle name="40% - 强调文字颜色 5 2 2 7 5" xfId="18444" xr:uid="{00000000-0005-0000-0000-00000B480000}"/>
    <cellStyle name="40% - 强调文字颜色 5 2 2 7 5 2" xfId="18445" xr:uid="{00000000-0005-0000-0000-00000C480000}"/>
    <cellStyle name="40% - 强调文字颜色 5 2 2 7 6" xfId="18446" xr:uid="{00000000-0005-0000-0000-00000D480000}"/>
    <cellStyle name="40% - 强调文字颜色 5 2 2 8" xfId="18447" xr:uid="{00000000-0005-0000-0000-00000E480000}"/>
    <cellStyle name="40% - 强调文字颜色 5 2 2 8 2" xfId="18448" xr:uid="{00000000-0005-0000-0000-00000F480000}"/>
    <cellStyle name="40% - 强调文字颜色 5 2 2 8 2 2" xfId="18449" xr:uid="{00000000-0005-0000-0000-000010480000}"/>
    <cellStyle name="40% - 强调文字颜色 5 2 2 8 2 2 2" xfId="18450" xr:uid="{00000000-0005-0000-0000-000011480000}"/>
    <cellStyle name="40% - 强调文字颜色 5 2 2 8 3" xfId="18451" xr:uid="{00000000-0005-0000-0000-000012480000}"/>
    <cellStyle name="40% - 强调文字颜色 5 2 2 8 3 2" xfId="18452" xr:uid="{00000000-0005-0000-0000-000013480000}"/>
    <cellStyle name="40% - 强调文字颜色 5 2 2 8 4" xfId="18453" xr:uid="{00000000-0005-0000-0000-000014480000}"/>
    <cellStyle name="40% - 强调文字颜色 5 2 2 8 4 2" xfId="18454" xr:uid="{00000000-0005-0000-0000-000015480000}"/>
    <cellStyle name="40% - 强调文字颜色 5 2 2 8 5" xfId="18455" xr:uid="{00000000-0005-0000-0000-000016480000}"/>
    <cellStyle name="40% - 强调文字颜色 5 2 2 9" xfId="18456" xr:uid="{00000000-0005-0000-0000-000017480000}"/>
    <cellStyle name="40% - 强调文字颜色 5 2 2 9 2" xfId="18457" xr:uid="{00000000-0005-0000-0000-000018480000}"/>
    <cellStyle name="40% - 强调文字颜色 5 2 2 9 2 2" xfId="18458" xr:uid="{00000000-0005-0000-0000-000019480000}"/>
    <cellStyle name="40% - 强调文字颜色 5 2 2 9 2 2 2" xfId="18459" xr:uid="{00000000-0005-0000-0000-00001A480000}"/>
    <cellStyle name="40% - 强调文字颜色 5 2 2 9 3" xfId="18460" xr:uid="{00000000-0005-0000-0000-00001B480000}"/>
    <cellStyle name="40% - 强调文字颜色 5 2 2 9 3 2" xfId="18461" xr:uid="{00000000-0005-0000-0000-00001C480000}"/>
    <cellStyle name="40% - 强调文字颜色 5 2 2 9 4" xfId="18462" xr:uid="{00000000-0005-0000-0000-00001D480000}"/>
    <cellStyle name="40% - 强调文字颜色 5 2 2 9 4 2" xfId="18463" xr:uid="{00000000-0005-0000-0000-00001E480000}"/>
    <cellStyle name="40% - 强调文字颜色 5 2 2 9 5" xfId="18464" xr:uid="{00000000-0005-0000-0000-00001F480000}"/>
    <cellStyle name="40% - 强调文字颜色 5 2 3" xfId="18465" xr:uid="{00000000-0005-0000-0000-000020480000}"/>
    <cellStyle name="40% - 强调文字颜色 5 2 3 10" xfId="18466" xr:uid="{00000000-0005-0000-0000-000021480000}"/>
    <cellStyle name="40% - 强调文字颜色 5 2 3 10 2" xfId="18467" xr:uid="{00000000-0005-0000-0000-000022480000}"/>
    <cellStyle name="40% - 强调文字颜色 5 2 3 2" xfId="18468" xr:uid="{00000000-0005-0000-0000-000023480000}"/>
    <cellStyle name="40% - 强调文字颜色 5 2 3 2 2" xfId="18469" xr:uid="{00000000-0005-0000-0000-000024480000}"/>
    <cellStyle name="40% - 强调文字颜色 5 2 3 2 2 2" xfId="18470" xr:uid="{00000000-0005-0000-0000-000025480000}"/>
    <cellStyle name="40% - 强调文字颜色 5 2 3 2 2 2 2" xfId="18471" xr:uid="{00000000-0005-0000-0000-000026480000}"/>
    <cellStyle name="40% - 强调文字颜色 5 2 3 2 2 2 3" xfId="18472" xr:uid="{00000000-0005-0000-0000-000027480000}"/>
    <cellStyle name="40% - 强调文字颜色 5 2 3 2 2 2 3 2" xfId="18473" xr:uid="{00000000-0005-0000-0000-000028480000}"/>
    <cellStyle name="40% - 强调文字颜色 5 2 3 2 2 2 3 2 2" xfId="18474" xr:uid="{00000000-0005-0000-0000-000029480000}"/>
    <cellStyle name="40% - 强调文字颜色 5 2 3 2 2 2 4" xfId="18475" xr:uid="{00000000-0005-0000-0000-00002A480000}"/>
    <cellStyle name="40% - 强调文字颜色 5 2 3 2 2 2 4 2" xfId="18476" xr:uid="{00000000-0005-0000-0000-00002B480000}"/>
    <cellStyle name="40% - 强调文字颜色 5 2 3 2 2 2 5" xfId="18477" xr:uid="{00000000-0005-0000-0000-00002C480000}"/>
    <cellStyle name="40% - 强调文字颜色 5 2 3 2 2 2 5 2" xfId="18478" xr:uid="{00000000-0005-0000-0000-00002D480000}"/>
    <cellStyle name="40% - 强调文字颜色 5 2 3 2 2 2 6" xfId="18479" xr:uid="{00000000-0005-0000-0000-00002E480000}"/>
    <cellStyle name="40% - 强调文字颜色 5 2 3 2 2 3" xfId="18480" xr:uid="{00000000-0005-0000-0000-00002F480000}"/>
    <cellStyle name="40% - 强调文字颜色 5 2 3 2 2 3 2" xfId="18481" xr:uid="{00000000-0005-0000-0000-000030480000}"/>
    <cellStyle name="40% - 强调文字颜色 5 2 3 2 2 3 2 2" xfId="18482" xr:uid="{00000000-0005-0000-0000-000031480000}"/>
    <cellStyle name="40% - 强调文字颜色 5 2 3 2 2 3 2 2 2" xfId="18483" xr:uid="{00000000-0005-0000-0000-000032480000}"/>
    <cellStyle name="40% - 强调文字颜色 5 2 3 2 2 3 3" xfId="18484" xr:uid="{00000000-0005-0000-0000-000033480000}"/>
    <cellStyle name="40% - 强调文字颜色 5 2 3 2 2 3 3 2" xfId="18485" xr:uid="{00000000-0005-0000-0000-000034480000}"/>
    <cellStyle name="40% - 强调文字颜色 5 2 3 2 2 3 4" xfId="18486" xr:uid="{00000000-0005-0000-0000-000035480000}"/>
    <cellStyle name="40% - 强调文字颜色 5 2 3 2 2 3 4 2" xfId="18487" xr:uid="{00000000-0005-0000-0000-000036480000}"/>
    <cellStyle name="40% - 强调文字颜色 5 2 3 2 2 3 5" xfId="18488" xr:uid="{00000000-0005-0000-0000-000037480000}"/>
    <cellStyle name="40% - 强调文字颜色 5 2 3 2 2 4" xfId="18489" xr:uid="{00000000-0005-0000-0000-000038480000}"/>
    <cellStyle name="40% - 强调文字颜色 5 2 3 2 2 5" xfId="18490" xr:uid="{00000000-0005-0000-0000-000039480000}"/>
    <cellStyle name="40% - 强调文字颜色 5 2 3 2 2 6" xfId="18491" xr:uid="{00000000-0005-0000-0000-00003A480000}"/>
    <cellStyle name="40% - 强调文字颜色 5 2 3 2 2 6 2" xfId="18492" xr:uid="{00000000-0005-0000-0000-00003B480000}"/>
    <cellStyle name="40% - 强调文字颜色 5 2 3 2 2 7" xfId="18493" xr:uid="{00000000-0005-0000-0000-00003C480000}"/>
    <cellStyle name="40% - 强调文字颜色 5 2 3 2 2 7 2" xfId="18494" xr:uid="{00000000-0005-0000-0000-00003D480000}"/>
    <cellStyle name="40% - 强调文字颜色 5 2 3 2 3" xfId="18495" xr:uid="{00000000-0005-0000-0000-00003E480000}"/>
    <cellStyle name="40% - 强调文字颜色 5 2 3 2 3 2" xfId="18496" xr:uid="{00000000-0005-0000-0000-00003F480000}"/>
    <cellStyle name="40% - 强调文字颜色 5 2 3 2 3 3" xfId="18497" xr:uid="{00000000-0005-0000-0000-000040480000}"/>
    <cellStyle name="40% - 强调文字颜色 5 2 3 2 3 3 2" xfId="18498" xr:uid="{00000000-0005-0000-0000-000041480000}"/>
    <cellStyle name="40% - 强调文字颜色 5 2 3 2 3 3 2 2" xfId="18499" xr:uid="{00000000-0005-0000-0000-000042480000}"/>
    <cellStyle name="40% - 强调文字颜色 5 2 3 2 3 4" xfId="18500" xr:uid="{00000000-0005-0000-0000-000043480000}"/>
    <cellStyle name="40% - 强调文字颜色 5 2 3 2 3 4 2" xfId="18501" xr:uid="{00000000-0005-0000-0000-000044480000}"/>
    <cellStyle name="40% - 强调文字颜色 5 2 3 2 3 5" xfId="18502" xr:uid="{00000000-0005-0000-0000-000045480000}"/>
    <cellStyle name="40% - 强调文字颜色 5 2 3 2 3 5 2" xfId="18503" xr:uid="{00000000-0005-0000-0000-000046480000}"/>
    <cellStyle name="40% - 强调文字颜色 5 2 3 2 3 6" xfId="18504" xr:uid="{00000000-0005-0000-0000-000047480000}"/>
    <cellStyle name="40% - 强调文字颜色 5 2 3 2 4" xfId="18505" xr:uid="{00000000-0005-0000-0000-000048480000}"/>
    <cellStyle name="40% - 强调文字颜色 5 2 3 2 4 2" xfId="18506" xr:uid="{00000000-0005-0000-0000-000049480000}"/>
    <cellStyle name="40% - 强调文字颜色 5 2 3 2 4 2 2" xfId="18507" xr:uid="{00000000-0005-0000-0000-00004A480000}"/>
    <cellStyle name="40% - 强调文字颜色 5 2 3 2 4 2 2 2" xfId="18508" xr:uid="{00000000-0005-0000-0000-00004B480000}"/>
    <cellStyle name="40% - 强调文字颜色 5 2 3 2 4 3" xfId="18509" xr:uid="{00000000-0005-0000-0000-00004C480000}"/>
    <cellStyle name="40% - 强调文字颜色 5 2 3 2 4 3 2" xfId="18510" xr:uid="{00000000-0005-0000-0000-00004D480000}"/>
    <cellStyle name="40% - 强调文字颜色 5 2 3 2 4 4" xfId="18511" xr:uid="{00000000-0005-0000-0000-00004E480000}"/>
    <cellStyle name="40% - 强调文字颜色 5 2 3 2 4 4 2" xfId="18512" xr:uid="{00000000-0005-0000-0000-00004F480000}"/>
    <cellStyle name="40% - 强调文字颜色 5 2 3 2 4 5" xfId="18513" xr:uid="{00000000-0005-0000-0000-000050480000}"/>
    <cellStyle name="40% - 强调文字颜色 5 2 3 2 5" xfId="18514" xr:uid="{00000000-0005-0000-0000-000051480000}"/>
    <cellStyle name="40% - 强调文字颜色 5 2 3 2 6" xfId="18515" xr:uid="{00000000-0005-0000-0000-000052480000}"/>
    <cellStyle name="40% - 强调文字颜色 5 2 3 2 7" xfId="18516" xr:uid="{00000000-0005-0000-0000-000053480000}"/>
    <cellStyle name="40% - 强调文字颜色 5 2 3 2 7 2" xfId="18517" xr:uid="{00000000-0005-0000-0000-000054480000}"/>
    <cellStyle name="40% - 强调文字颜色 5 2 3 2 8" xfId="18518" xr:uid="{00000000-0005-0000-0000-000055480000}"/>
    <cellStyle name="40% - 强调文字颜色 5 2 3 2 8 2" xfId="18519" xr:uid="{00000000-0005-0000-0000-000056480000}"/>
    <cellStyle name="40% - 强调文字颜色 5 2 3 3" xfId="18520" xr:uid="{00000000-0005-0000-0000-000057480000}"/>
    <cellStyle name="40% - 强调文字颜色 5 2 3 3 2" xfId="18521" xr:uid="{00000000-0005-0000-0000-000058480000}"/>
    <cellStyle name="40% - 强调文字颜色 5 2 3 3 2 2" xfId="18522" xr:uid="{00000000-0005-0000-0000-000059480000}"/>
    <cellStyle name="40% - 强调文字颜色 5 2 3 3 2 3" xfId="18523" xr:uid="{00000000-0005-0000-0000-00005A480000}"/>
    <cellStyle name="40% - 强调文字颜色 5 2 3 3 2 3 2" xfId="18524" xr:uid="{00000000-0005-0000-0000-00005B480000}"/>
    <cellStyle name="40% - 强调文字颜色 5 2 3 3 2 3 2 2" xfId="18525" xr:uid="{00000000-0005-0000-0000-00005C480000}"/>
    <cellStyle name="40% - 强调文字颜色 5 2 3 3 2 4" xfId="18526" xr:uid="{00000000-0005-0000-0000-00005D480000}"/>
    <cellStyle name="40% - 强调文字颜色 5 2 3 3 2 4 2" xfId="18527" xr:uid="{00000000-0005-0000-0000-00005E480000}"/>
    <cellStyle name="40% - 强调文字颜色 5 2 3 3 2 5" xfId="18528" xr:uid="{00000000-0005-0000-0000-00005F480000}"/>
    <cellStyle name="40% - 强调文字颜色 5 2 3 3 2 5 2" xfId="18529" xr:uid="{00000000-0005-0000-0000-000060480000}"/>
    <cellStyle name="40% - 强调文字颜色 5 2 3 3 2 6" xfId="18530" xr:uid="{00000000-0005-0000-0000-000061480000}"/>
    <cellStyle name="40% - 强调文字颜色 5 2 3 3 3" xfId="18531" xr:uid="{00000000-0005-0000-0000-000062480000}"/>
    <cellStyle name="40% - 强调文字颜色 5 2 3 3 3 2" xfId="18532" xr:uid="{00000000-0005-0000-0000-000063480000}"/>
    <cellStyle name="40% - 强调文字颜色 5 2 3 3 3 2 2" xfId="18533" xr:uid="{00000000-0005-0000-0000-000064480000}"/>
    <cellStyle name="40% - 强调文字颜色 5 2 3 3 3 2 2 2" xfId="18534" xr:uid="{00000000-0005-0000-0000-000065480000}"/>
    <cellStyle name="40% - 强调文字颜色 5 2 3 3 3 3" xfId="18535" xr:uid="{00000000-0005-0000-0000-000066480000}"/>
    <cellStyle name="40% - 强调文字颜色 5 2 3 3 3 3 2" xfId="18536" xr:uid="{00000000-0005-0000-0000-000067480000}"/>
    <cellStyle name="40% - 强调文字颜色 5 2 3 3 3 4" xfId="18537" xr:uid="{00000000-0005-0000-0000-000068480000}"/>
    <cellStyle name="40% - 强调文字颜色 5 2 3 3 3 4 2" xfId="18538" xr:uid="{00000000-0005-0000-0000-000069480000}"/>
    <cellStyle name="40% - 强调文字颜色 5 2 3 3 3 5" xfId="18539" xr:uid="{00000000-0005-0000-0000-00006A480000}"/>
    <cellStyle name="40% - 强调文字颜色 5 2 3 3 4" xfId="18540" xr:uid="{00000000-0005-0000-0000-00006B480000}"/>
    <cellStyle name="40% - 强调文字颜色 5 2 3 3 5" xfId="18541" xr:uid="{00000000-0005-0000-0000-00006C480000}"/>
    <cellStyle name="40% - 强调文字颜色 5 2 3 3 6" xfId="18542" xr:uid="{00000000-0005-0000-0000-00006D480000}"/>
    <cellStyle name="40% - 强调文字颜色 5 2 3 3 6 2" xfId="18543" xr:uid="{00000000-0005-0000-0000-00006E480000}"/>
    <cellStyle name="40% - 强调文字颜色 5 2 3 3 7" xfId="18544" xr:uid="{00000000-0005-0000-0000-00006F480000}"/>
    <cellStyle name="40% - 强调文字颜色 5 2 3 3 7 2" xfId="18545" xr:uid="{00000000-0005-0000-0000-000070480000}"/>
    <cellStyle name="40% - 强调文字颜色 5 2 3 4" xfId="18546" xr:uid="{00000000-0005-0000-0000-000071480000}"/>
    <cellStyle name="40% - 强调文字颜色 5 2 3 4 2" xfId="18547" xr:uid="{00000000-0005-0000-0000-000072480000}"/>
    <cellStyle name="40% - 强调文字颜色 5 2 3 4 2 2" xfId="18548" xr:uid="{00000000-0005-0000-0000-000073480000}"/>
    <cellStyle name="40% - 强调文字颜色 5 2 3 4 2 3" xfId="18549" xr:uid="{00000000-0005-0000-0000-000074480000}"/>
    <cellStyle name="40% - 强调文字颜色 5 2 3 4 2 3 2" xfId="18550" xr:uid="{00000000-0005-0000-0000-000075480000}"/>
    <cellStyle name="40% - 强调文字颜色 5 2 3 4 2 3 2 2" xfId="18551" xr:uid="{00000000-0005-0000-0000-000076480000}"/>
    <cellStyle name="40% - 强调文字颜色 5 2 3 4 2 4" xfId="18552" xr:uid="{00000000-0005-0000-0000-000077480000}"/>
    <cellStyle name="40% - 强调文字颜色 5 2 3 4 2 4 2" xfId="18553" xr:uid="{00000000-0005-0000-0000-000078480000}"/>
    <cellStyle name="40% - 强调文字颜色 5 2 3 4 2 5" xfId="18554" xr:uid="{00000000-0005-0000-0000-000079480000}"/>
    <cellStyle name="40% - 强调文字颜色 5 2 3 4 2 5 2" xfId="18555" xr:uid="{00000000-0005-0000-0000-00007A480000}"/>
    <cellStyle name="40% - 强调文字颜色 5 2 3 4 2 6" xfId="18556" xr:uid="{00000000-0005-0000-0000-00007B480000}"/>
    <cellStyle name="40% - 强调文字颜色 5 2 3 4 3" xfId="18557" xr:uid="{00000000-0005-0000-0000-00007C480000}"/>
    <cellStyle name="40% - 强调文字颜色 5 2 3 4 4" xfId="18558" xr:uid="{00000000-0005-0000-0000-00007D480000}"/>
    <cellStyle name="40% - 强调文字颜色 5 2 3 4 5" xfId="18559" xr:uid="{00000000-0005-0000-0000-00007E480000}"/>
    <cellStyle name="40% - 强调文字颜色 5 2 3 4 6" xfId="18560" xr:uid="{00000000-0005-0000-0000-00007F480000}"/>
    <cellStyle name="40% - 强调文字颜色 5 2 3 4 6 2" xfId="18561" xr:uid="{00000000-0005-0000-0000-000080480000}"/>
    <cellStyle name="40% - 强调文字颜色 5 2 3 4 7" xfId="18562" xr:uid="{00000000-0005-0000-0000-000081480000}"/>
    <cellStyle name="40% - 强调文字颜色 5 2 3 4 7 2" xfId="18563" xr:uid="{00000000-0005-0000-0000-000082480000}"/>
    <cellStyle name="40% - 强调文字颜色 5 2 3 5" xfId="18564" xr:uid="{00000000-0005-0000-0000-000083480000}"/>
    <cellStyle name="40% - 强调文字颜色 5 2 3 5 2" xfId="18565" xr:uid="{00000000-0005-0000-0000-000084480000}"/>
    <cellStyle name="40% - 强调文字颜色 5 2 3 5 2 2" xfId="18566" xr:uid="{00000000-0005-0000-0000-000085480000}"/>
    <cellStyle name="40% - 强调文字颜色 5 2 3 5 2 2 2" xfId="18567" xr:uid="{00000000-0005-0000-0000-000086480000}"/>
    <cellStyle name="40% - 强调文字颜色 5 2 3 5 2 2 2 2" xfId="18568" xr:uid="{00000000-0005-0000-0000-000087480000}"/>
    <cellStyle name="40% - 强调文字颜色 5 2 3 5 2 3" xfId="18569" xr:uid="{00000000-0005-0000-0000-000088480000}"/>
    <cellStyle name="40% - 强调文字颜色 5 2 3 5 2 3 2" xfId="18570" xr:uid="{00000000-0005-0000-0000-000089480000}"/>
    <cellStyle name="40% - 强调文字颜色 5 2 3 5 2 4" xfId="18571" xr:uid="{00000000-0005-0000-0000-00008A480000}"/>
    <cellStyle name="40% - 强调文字颜色 5 2 3 5 2 4 2" xfId="18572" xr:uid="{00000000-0005-0000-0000-00008B480000}"/>
    <cellStyle name="40% - 强调文字颜色 5 2 3 5 2 5" xfId="18573" xr:uid="{00000000-0005-0000-0000-00008C480000}"/>
    <cellStyle name="40% - 强调文字颜色 5 2 3 5 3" xfId="18574" xr:uid="{00000000-0005-0000-0000-00008D480000}"/>
    <cellStyle name="40% - 强调文字颜色 5 2 3 5 3 2" xfId="18575" xr:uid="{00000000-0005-0000-0000-00008E480000}"/>
    <cellStyle name="40% - 强调文字颜色 5 2 3 5 3 2 2" xfId="18576" xr:uid="{00000000-0005-0000-0000-00008F480000}"/>
    <cellStyle name="40% - 强调文字颜色 5 2 3 5 4" xfId="18577" xr:uid="{00000000-0005-0000-0000-000090480000}"/>
    <cellStyle name="40% - 强调文字颜色 5 2 3 5 4 2" xfId="18578" xr:uid="{00000000-0005-0000-0000-000091480000}"/>
    <cellStyle name="40% - 强调文字颜色 5 2 3 5 5" xfId="18579" xr:uid="{00000000-0005-0000-0000-000092480000}"/>
    <cellStyle name="40% - 强调文字颜色 5 2 3 5 5 2" xfId="18580" xr:uid="{00000000-0005-0000-0000-000093480000}"/>
    <cellStyle name="40% - 强调文字颜色 5 2 3 5 6" xfId="18581" xr:uid="{00000000-0005-0000-0000-000094480000}"/>
    <cellStyle name="40% - 强调文字颜色 5 2 3 6" xfId="18582" xr:uid="{00000000-0005-0000-0000-000095480000}"/>
    <cellStyle name="40% - 强调文字颜色 5 2 3 6 2" xfId="18583" xr:uid="{00000000-0005-0000-0000-000096480000}"/>
    <cellStyle name="40% - 强调文字颜色 5 2 3 6 2 2" xfId="18584" xr:uid="{00000000-0005-0000-0000-000097480000}"/>
    <cellStyle name="40% - 强调文字颜色 5 2 3 6 2 2 2" xfId="18585" xr:uid="{00000000-0005-0000-0000-000098480000}"/>
    <cellStyle name="40% - 强调文字颜色 5 2 3 6 3" xfId="18586" xr:uid="{00000000-0005-0000-0000-000099480000}"/>
    <cellStyle name="40% - 强调文字颜色 5 2 3 6 3 2" xfId="18587" xr:uid="{00000000-0005-0000-0000-00009A480000}"/>
    <cellStyle name="40% - 强调文字颜色 5 2 3 6 4" xfId="18588" xr:uid="{00000000-0005-0000-0000-00009B480000}"/>
    <cellStyle name="40% - 强调文字颜色 5 2 3 6 4 2" xfId="18589" xr:uid="{00000000-0005-0000-0000-00009C480000}"/>
    <cellStyle name="40% - 强调文字颜色 5 2 3 6 5" xfId="18590" xr:uid="{00000000-0005-0000-0000-00009D480000}"/>
    <cellStyle name="40% - 强调文字颜色 5 2 3 7" xfId="18591" xr:uid="{00000000-0005-0000-0000-00009E480000}"/>
    <cellStyle name="40% - 强调文字颜色 5 2 3 7 2" xfId="18592" xr:uid="{00000000-0005-0000-0000-00009F480000}"/>
    <cellStyle name="40% - 强调文字颜色 5 2 3 7 2 2" xfId="18593" xr:uid="{00000000-0005-0000-0000-0000A0480000}"/>
    <cellStyle name="40% - 强调文字颜色 5 2 3 7 2 2 2" xfId="18594" xr:uid="{00000000-0005-0000-0000-0000A1480000}"/>
    <cellStyle name="40% - 强调文字颜色 5 2 3 7 3" xfId="18595" xr:uid="{00000000-0005-0000-0000-0000A2480000}"/>
    <cellStyle name="40% - 强调文字颜色 5 2 3 7 3 2" xfId="18596" xr:uid="{00000000-0005-0000-0000-0000A3480000}"/>
    <cellStyle name="40% - 强调文字颜色 5 2 3 7 4" xfId="18597" xr:uid="{00000000-0005-0000-0000-0000A4480000}"/>
    <cellStyle name="40% - 强调文字颜色 5 2 3 7 4 2" xfId="18598" xr:uid="{00000000-0005-0000-0000-0000A5480000}"/>
    <cellStyle name="40% - 强调文字颜色 5 2 3 7 5" xfId="18599" xr:uid="{00000000-0005-0000-0000-0000A6480000}"/>
    <cellStyle name="40% - 强调文字颜色 5 2 3 8" xfId="18600" xr:uid="{00000000-0005-0000-0000-0000A7480000}"/>
    <cellStyle name="40% - 强调文字颜色 5 2 3 9" xfId="18601" xr:uid="{00000000-0005-0000-0000-0000A8480000}"/>
    <cellStyle name="40% - 强调文字颜色 5 2 3 9 2" xfId="18602" xr:uid="{00000000-0005-0000-0000-0000A9480000}"/>
    <cellStyle name="40% - 强调文字颜色 5 2 4" xfId="18603" xr:uid="{00000000-0005-0000-0000-0000AA480000}"/>
    <cellStyle name="40% - 强调文字颜色 5 2 4 2" xfId="18604" xr:uid="{00000000-0005-0000-0000-0000AB480000}"/>
    <cellStyle name="40% - 强调文字颜色 5 2 4 2 2" xfId="18605" xr:uid="{00000000-0005-0000-0000-0000AC480000}"/>
    <cellStyle name="40% - 强调文字颜色 5 2 4 2 3" xfId="18606" xr:uid="{00000000-0005-0000-0000-0000AD480000}"/>
    <cellStyle name="40% - 强调文字颜色 5 2 4 2 3 2" xfId="18607" xr:uid="{00000000-0005-0000-0000-0000AE480000}"/>
    <cellStyle name="40% - 强调文字颜色 5 2 4 2 3 2 2" xfId="18608" xr:uid="{00000000-0005-0000-0000-0000AF480000}"/>
    <cellStyle name="40% - 强调文字颜色 5 2 4 2 4" xfId="18609" xr:uid="{00000000-0005-0000-0000-0000B0480000}"/>
    <cellStyle name="40% - 强调文字颜色 5 2 4 2 4 2" xfId="18610" xr:uid="{00000000-0005-0000-0000-0000B1480000}"/>
    <cellStyle name="40% - 强调文字颜色 5 2 4 2 5" xfId="18611" xr:uid="{00000000-0005-0000-0000-0000B2480000}"/>
    <cellStyle name="40% - 强调文字颜色 5 2 4 2 5 2" xfId="18612" xr:uid="{00000000-0005-0000-0000-0000B3480000}"/>
    <cellStyle name="40% - 强调文字颜色 5 2 4 2 6" xfId="18613" xr:uid="{00000000-0005-0000-0000-0000B4480000}"/>
    <cellStyle name="40% - 强调文字颜色 5 2 4 3" xfId="18614" xr:uid="{00000000-0005-0000-0000-0000B5480000}"/>
    <cellStyle name="40% - 强调文字颜色 5 2 4 3 2" xfId="18615" xr:uid="{00000000-0005-0000-0000-0000B6480000}"/>
    <cellStyle name="40% - 强调文字颜色 5 2 4 3 2 2" xfId="18616" xr:uid="{00000000-0005-0000-0000-0000B7480000}"/>
    <cellStyle name="40% - 强调文字颜色 5 2 4 3 2 2 2" xfId="18617" xr:uid="{00000000-0005-0000-0000-0000B8480000}"/>
    <cellStyle name="40% - 强调文字颜色 5 2 4 3 3" xfId="18618" xr:uid="{00000000-0005-0000-0000-0000B9480000}"/>
    <cellStyle name="40% - 强调文字颜色 5 2 4 3 3 2" xfId="18619" xr:uid="{00000000-0005-0000-0000-0000BA480000}"/>
    <cellStyle name="40% - 强调文字颜色 5 2 4 3 4" xfId="18620" xr:uid="{00000000-0005-0000-0000-0000BB480000}"/>
    <cellStyle name="40% - 强调文字颜色 5 2 4 3 4 2" xfId="18621" xr:uid="{00000000-0005-0000-0000-0000BC480000}"/>
    <cellStyle name="40% - 强调文字颜色 5 2 4 3 5" xfId="18622" xr:uid="{00000000-0005-0000-0000-0000BD480000}"/>
    <cellStyle name="40% - 强调文字颜色 5 2 4 4" xfId="18623" xr:uid="{00000000-0005-0000-0000-0000BE480000}"/>
    <cellStyle name="40% - 强调文字颜色 5 2 4 5" xfId="18624" xr:uid="{00000000-0005-0000-0000-0000BF480000}"/>
    <cellStyle name="40% - 强调文字颜色 5 2 4 6" xfId="18625" xr:uid="{00000000-0005-0000-0000-0000C0480000}"/>
    <cellStyle name="40% - 强调文字颜色 5 2 4 6 2" xfId="18626" xr:uid="{00000000-0005-0000-0000-0000C1480000}"/>
    <cellStyle name="40% - 强调文字颜色 5 2 4 7" xfId="18627" xr:uid="{00000000-0005-0000-0000-0000C2480000}"/>
    <cellStyle name="40% - 强调文字颜色 5 2 4 7 2" xfId="18628" xr:uid="{00000000-0005-0000-0000-0000C3480000}"/>
    <cellStyle name="40% - 强调文字颜色 5 2 5" xfId="18629" xr:uid="{00000000-0005-0000-0000-0000C4480000}"/>
    <cellStyle name="40% - 强调文字颜色 5 2 5 2" xfId="18630" xr:uid="{00000000-0005-0000-0000-0000C5480000}"/>
    <cellStyle name="40% - 强调文字颜色 5 2 5 2 2" xfId="18631" xr:uid="{00000000-0005-0000-0000-0000C6480000}"/>
    <cellStyle name="40% - 强调文字颜色 5 2 5 2 3" xfId="18632" xr:uid="{00000000-0005-0000-0000-0000C7480000}"/>
    <cellStyle name="40% - 强调文字颜色 5 2 5 2 3 2" xfId="18633" xr:uid="{00000000-0005-0000-0000-0000C8480000}"/>
    <cellStyle name="40% - 强调文字颜色 5 2 5 2 3 2 2" xfId="18634" xr:uid="{00000000-0005-0000-0000-0000C9480000}"/>
    <cellStyle name="40% - 强调文字颜色 5 2 5 2 4" xfId="18635" xr:uid="{00000000-0005-0000-0000-0000CA480000}"/>
    <cellStyle name="40% - 强调文字颜色 5 2 5 2 4 2" xfId="18636" xr:uid="{00000000-0005-0000-0000-0000CB480000}"/>
    <cellStyle name="40% - 强调文字颜色 5 2 5 2 5" xfId="18637" xr:uid="{00000000-0005-0000-0000-0000CC480000}"/>
    <cellStyle name="40% - 强调文字颜色 5 2 5 2 5 2" xfId="18638" xr:uid="{00000000-0005-0000-0000-0000CD480000}"/>
    <cellStyle name="40% - 强调文字颜色 5 2 5 2 6" xfId="18639" xr:uid="{00000000-0005-0000-0000-0000CE480000}"/>
    <cellStyle name="40% - 强调文字颜色 5 2 5 3" xfId="18640" xr:uid="{00000000-0005-0000-0000-0000CF480000}"/>
    <cellStyle name="40% - 强调文字颜色 5 2 5 4" xfId="18641" xr:uid="{00000000-0005-0000-0000-0000D0480000}"/>
    <cellStyle name="40% - 强调文字颜色 5 2 5 5" xfId="18642" xr:uid="{00000000-0005-0000-0000-0000D1480000}"/>
    <cellStyle name="40% - 强调文字颜色 5 2 5 6" xfId="18643" xr:uid="{00000000-0005-0000-0000-0000D2480000}"/>
    <cellStyle name="40% - 强调文字颜色 5 2 5 6 2" xfId="18644" xr:uid="{00000000-0005-0000-0000-0000D3480000}"/>
    <cellStyle name="40% - 强调文字颜色 5 2 5 7" xfId="18645" xr:uid="{00000000-0005-0000-0000-0000D4480000}"/>
    <cellStyle name="40% - 强调文字颜色 5 2 5 7 2" xfId="18646" xr:uid="{00000000-0005-0000-0000-0000D5480000}"/>
    <cellStyle name="40% - 强调文字颜色 5 2 6" xfId="18647" xr:uid="{00000000-0005-0000-0000-0000D6480000}"/>
    <cellStyle name="40% - 强调文字颜色 5 2 6 2" xfId="18648" xr:uid="{00000000-0005-0000-0000-0000D7480000}"/>
    <cellStyle name="40% - 强调文字颜色 5 2 6 2 2" xfId="18649" xr:uid="{00000000-0005-0000-0000-0000D8480000}"/>
    <cellStyle name="40% - 强调文字颜色 5 2 6 2 2 2" xfId="18650" xr:uid="{00000000-0005-0000-0000-0000D9480000}"/>
    <cellStyle name="40% - 强调文字颜色 5 2 6 2 2 2 2" xfId="18651" xr:uid="{00000000-0005-0000-0000-0000DA480000}"/>
    <cellStyle name="40% - 强调文字颜色 5 2 6 2 3" xfId="18652" xr:uid="{00000000-0005-0000-0000-0000DB480000}"/>
    <cellStyle name="40% - 强调文字颜色 5 2 6 2 3 2" xfId="18653" xr:uid="{00000000-0005-0000-0000-0000DC480000}"/>
    <cellStyle name="40% - 强调文字颜色 5 2 6 2 4" xfId="18654" xr:uid="{00000000-0005-0000-0000-0000DD480000}"/>
    <cellStyle name="40% - 强调文字颜色 5 2 6 2 4 2" xfId="18655" xr:uid="{00000000-0005-0000-0000-0000DE480000}"/>
    <cellStyle name="40% - 强调文字颜色 5 2 6 2 5" xfId="18656" xr:uid="{00000000-0005-0000-0000-0000DF480000}"/>
    <cellStyle name="40% - 强调文字颜色 5 2 6 3" xfId="18657" xr:uid="{00000000-0005-0000-0000-0000E0480000}"/>
    <cellStyle name="40% - 强调文字颜色 5 2 6 3 2" xfId="18658" xr:uid="{00000000-0005-0000-0000-0000E1480000}"/>
    <cellStyle name="40% - 强调文字颜色 5 2 6 3 2 2" xfId="18659" xr:uid="{00000000-0005-0000-0000-0000E2480000}"/>
    <cellStyle name="40% - 强调文字颜色 5 2 6 4" xfId="18660" xr:uid="{00000000-0005-0000-0000-0000E3480000}"/>
    <cellStyle name="40% - 强调文字颜色 5 2 6 4 2" xfId="18661" xr:uid="{00000000-0005-0000-0000-0000E4480000}"/>
    <cellStyle name="40% - 强调文字颜色 5 2 6 5" xfId="18662" xr:uid="{00000000-0005-0000-0000-0000E5480000}"/>
    <cellStyle name="40% - 强调文字颜色 5 2 6 5 2" xfId="18663" xr:uid="{00000000-0005-0000-0000-0000E6480000}"/>
    <cellStyle name="40% - 强调文字颜色 5 2 6 6" xfId="18664" xr:uid="{00000000-0005-0000-0000-0000E7480000}"/>
    <cellStyle name="40% - 强调文字颜色 5 2 7" xfId="18665" xr:uid="{00000000-0005-0000-0000-0000E8480000}"/>
    <cellStyle name="40% - 强调文字颜色 5 2 7 2" xfId="18666" xr:uid="{00000000-0005-0000-0000-0000E9480000}"/>
    <cellStyle name="40% - 强调文字颜色 5 2 7 2 2" xfId="18667" xr:uid="{00000000-0005-0000-0000-0000EA480000}"/>
    <cellStyle name="40% - 强调文字颜色 5 2 7 2 2 2" xfId="18668" xr:uid="{00000000-0005-0000-0000-0000EB480000}"/>
    <cellStyle name="40% - 强调文字颜色 5 2 7 2 2 2 2" xfId="18669" xr:uid="{00000000-0005-0000-0000-0000EC480000}"/>
    <cellStyle name="40% - 强调文字颜色 5 2 7 2 3" xfId="18670" xr:uid="{00000000-0005-0000-0000-0000ED480000}"/>
    <cellStyle name="40% - 强调文字颜色 5 2 7 2 3 2" xfId="18671" xr:uid="{00000000-0005-0000-0000-0000EE480000}"/>
    <cellStyle name="40% - 强调文字颜色 5 2 7 2 4" xfId="18672" xr:uid="{00000000-0005-0000-0000-0000EF480000}"/>
    <cellStyle name="40% - 强调文字颜色 5 2 7 2 4 2" xfId="18673" xr:uid="{00000000-0005-0000-0000-0000F0480000}"/>
    <cellStyle name="40% - 强调文字颜色 5 2 7 2 5" xfId="18674" xr:uid="{00000000-0005-0000-0000-0000F1480000}"/>
    <cellStyle name="40% - 强调文字颜色 5 2 7 3" xfId="18675" xr:uid="{00000000-0005-0000-0000-0000F2480000}"/>
    <cellStyle name="40% - 强调文字颜色 5 2 7 3 2" xfId="18676" xr:uid="{00000000-0005-0000-0000-0000F3480000}"/>
    <cellStyle name="40% - 强调文字颜色 5 2 7 3 2 2" xfId="18677" xr:uid="{00000000-0005-0000-0000-0000F4480000}"/>
    <cellStyle name="40% - 强调文字颜色 5 2 7 4" xfId="18678" xr:uid="{00000000-0005-0000-0000-0000F5480000}"/>
    <cellStyle name="40% - 强调文字颜色 5 2 7 4 2" xfId="18679" xr:uid="{00000000-0005-0000-0000-0000F6480000}"/>
    <cellStyle name="40% - 强调文字颜色 5 2 7 5" xfId="18680" xr:uid="{00000000-0005-0000-0000-0000F7480000}"/>
    <cellStyle name="40% - 强调文字颜色 5 2 7 5 2" xfId="18681" xr:uid="{00000000-0005-0000-0000-0000F8480000}"/>
    <cellStyle name="40% - 强调文字颜色 5 2 7 6" xfId="18682" xr:uid="{00000000-0005-0000-0000-0000F9480000}"/>
    <cellStyle name="40% - 强调文字颜色 5 2 8" xfId="18683" xr:uid="{00000000-0005-0000-0000-0000FA480000}"/>
    <cellStyle name="40% - 强调文字颜色 5 2 8 2" xfId="18684" xr:uid="{00000000-0005-0000-0000-0000FB480000}"/>
    <cellStyle name="40% - 强调文字颜色 5 2 8 2 2" xfId="18685" xr:uid="{00000000-0005-0000-0000-0000FC480000}"/>
    <cellStyle name="40% - 强调文字颜色 5 2 8 2 2 2" xfId="18686" xr:uid="{00000000-0005-0000-0000-0000FD480000}"/>
    <cellStyle name="40% - 强调文字颜色 5 2 8 2 2 2 2" xfId="18687" xr:uid="{00000000-0005-0000-0000-0000FE480000}"/>
    <cellStyle name="40% - 强调文字颜色 5 2 8 2 3" xfId="18688" xr:uid="{00000000-0005-0000-0000-0000FF480000}"/>
    <cellStyle name="40% - 强调文字颜色 5 2 8 2 3 2" xfId="18689" xr:uid="{00000000-0005-0000-0000-000000490000}"/>
    <cellStyle name="40% - 强调文字颜色 5 2 8 2 4" xfId="18690" xr:uid="{00000000-0005-0000-0000-000001490000}"/>
    <cellStyle name="40% - 强调文字颜色 5 2 8 2 4 2" xfId="18691" xr:uid="{00000000-0005-0000-0000-000002490000}"/>
    <cellStyle name="40% - 强调文字颜色 5 2 8 2 5" xfId="18692" xr:uid="{00000000-0005-0000-0000-000003490000}"/>
    <cellStyle name="40% - 强调文字颜色 5 2 8 3" xfId="18693" xr:uid="{00000000-0005-0000-0000-000004490000}"/>
    <cellStyle name="40% - 强调文字颜色 5 2 8 3 2" xfId="18694" xr:uid="{00000000-0005-0000-0000-000005490000}"/>
    <cellStyle name="40% - 强调文字颜色 5 2 8 3 2 2" xfId="18695" xr:uid="{00000000-0005-0000-0000-000006490000}"/>
    <cellStyle name="40% - 强调文字颜色 5 2 8 4" xfId="18696" xr:uid="{00000000-0005-0000-0000-000007490000}"/>
    <cellStyle name="40% - 强调文字颜色 5 2 8 4 2" xfId="18697" xr:uid="{00000000-0005-0000-0000-000008490000}"/>
    <cellStyle name="40% - 强调文字颜色 5 2 8 5" xfId="18698" xr:uid="{00000000-0005-0000-0000-000009490000}"/>
    <cellStyle name="40% - 强调文字颜色 5 2 8 5 2" xfId="18699" xr:uid="{00000000-0005-0000-0000-00000A490000}"/>
    <cellStyle name="40% - 强调文字颜色 5 2 8 6" xfId="18700" xr:uid="{00000000-0005-0000-0000-00000B490000}"/>
    <cellStyle name="40% - 强调文字颜色 5 2 9" xfId="18701" xr:uid="{00000000-0005-0000-0000-00000C490000}"/>
    <cellStyle name="40% - 强调文字颜色 5 2 9 2" xfId="18702" xr:uid="{00000000-0005-0000-0000-00000D490000}"/>
    <cellStyle name="40% - 强调文字颜色 5 2 9 2 2" xfId="18703" xr:uid="{00000000-0005-0000-0000-00000E490000}"/>
    <cellStyle name="40% - 强调文字颜色 5 2 9 2 2 2" xfId="18704" xr:uid="{00000000-0005-0000-0000-00000F490000}"/>
    <cellStyle name="40% - 强调文字颜色 5 2 9 3" xfId="18705" xr:uid="{00000000-0005-0000-0000-000010490000}"/>
    <cellStyle name="40% - 强调文字颜色 5 2 9 3 2" xfId="18706" xr:uid="{00000000-0005-0000-0000-000011490000}"/>
    <cellStyle name="40% - 强调文字颜色 5 2 9 4" xfId="18707" xr:uid="{00000000-0005-0000-0000-000012490000}"/>
    <cellStyle name="40% - 强调文字颜色 5 2 9 4 2" xfId="18708" xr:uid="{00000000-0005-0000-0000-000013490000}"/>
    <cellStyle name="40% - 强调文字颜色 5 2 9 5" xfId="18709" xr:uid="{00000000-0005-0000-0000-000014490000}"/>
    <cellStyle name="40% - 强调文字颜色 5 3" xfId="18710" xr:uid="{00000000-0005-0000-0000-000015490000}"/>
    <cellStyle name="40% - 强调文字颜色 5 3 2" xfId="18711" xr:uid="{00000000-0005-0000-0000-000016490000}"/>
    <cellStyle name="40% - 强调文字颜色 5 3 2 2" xfId="18712" xr:uid="{00000000-0005-0000-0000-000017490000}"/>
    <cellStyle name="40% - 强调文字颜色 5 3 2 2 2" xfId="18713" xr:uid="{00000000-0005-0000-0000-000018490000}"/>
    <cellStyle name="40% - 强调文字颜色 5 3 2 2 2 2" xfId="18714" xr:uid="{00000000-0005-0000-0000-000019490000}"/>
    <cellStyle name="40% - 强调文字颜色 5 3 2 2 2 3" xfId="18715" xr:uid="{00000000-0005-0000-0000-00001A490000}"/>
    <cellStyle name="40% - 强调文字颜色 5 3 2 2 2 3 2" xfId="18716" xr:uid="{00000000-0005-0000-0000-00001B490000}"/>
    <cellStyle name="40% - 强调文字颜色 5 3 2 2 2 3 2 2" xfId="18717" xr:uid="{00000000-0005-0000-0000-00001C490000}"/>
    <cellStyle name="40% - 强调文字颜色 5 3 2 2 2 4" xfId="18718" xr:uid="{00000000-0005-0000-0000-00001D490000}"/>
    <cellStyle name="40% - 强调文字颜色 5 3 2 2 2 4 2" xfId="18719" xr:uid="{00000000-0005-0000-0000-00001E490000}"/>
    <cellStyle name="40% - 强调文字颜色 5 3 2 2 2 5" xfId="18720" xr:uid="{00000000-0005-0000-0000-00001F490000}"/>
    <cellStyle name="40% - 强调文字颜色 5 3 2 2 2 5 2" xfId="18721" xr:uid="{00000000-0005-0000-0000-000020490000}"/>
    <cellStyle name="40% - 强调文字颜色 5 3 2 2 2 6" xfId="18722" xr:uid="{00000000-0005-0000-0000-000021490000}"/>
    <cellStyle name="40% - 强调文字颜色 5 3 2 2 3" xfId="18723" xr:uid="{00000000-0005-0000-0000-000022490000}"/>
    <cellStyle name="40% - 强调文字颜色 5 3 2 2 3 2" xfId="18724" xr:uid="{00000000-0005-0000-0000-000023490000}"/>
    <cellStyle name="40% - 强调文字颜色 5 3 2 2 3 2 2" xfId="18725" xr:uid="{00000000-0005-0000-0000-000024490000}"/>
    <cellStyle name="40% - 强调文字颜色 5 3 2 2 3 2 2 2" xfId="18726" xr:uid="{00000000-0005-0000-0000-000025490000}"/>
    <cellStyle name="40% - 强调文字颜色 5 3 2 2 3 3" xfId="18727" xr:uid="{00000000-0005-0000-0000-000026490000}"/>
    <cellStyle name="40% - 强调文字颜色 5 3 2 2 3 3 2" xfId="18728" xr:uid="{00000000-0005-0000-0000-000027490000}"/>
    <cellStyle name="40% - 强调文字颜色 5 3 2 2 3 4" xfId="18729" xr:uid="{00000000-0005-0000-0000-000028490000}"/>
    <cellStyle name="40% - 强调文字颜色 5 3 2 2 3 4 2" xfId="18730" xr:uid="{00000000-0005-0000-0000-000029490000}"/>
    <cellStyle name="40% - 强调文字颜色 5 3 2 2 3 5" xfId="18731" xr:uid="{00000000-0005-0000-0000-00002A490000}"/>
    <cellStyle name="40% - 强调文字颜色 5 3 2 2 4" xfId="18732" xr:uid="{00000000-0005-0000-0000-00002B490000}"/>
    <cellStyle name="40% - 强调文字颜色 5 3 2 2 5" xfId="18733" xr:uid="{00000000-0005-0000-0000-00002C490000}"/>
    <cellStyle name="40% - 强调文字颜色 5 3 2 2 6" xfId="18734" xr:uid="{00000000-0005-0000-0000-00002D490000}"/>
    <cellStyle name="40% - 强调文字颜色 5 3 2 2 6 2" xfId="18735" xr:uid="{00000000-0005-0000-0000-00002E490000}"/>
    <cellStyle name="40% - 强调文字颜色 5 3 2 2 7" xfId="18736" xr:uid="{00000000-0005-0000-0000-00002F490000}"/>
    <cellStyle name="40% - 强调文字颜色 5 3 2 2 7 2" xfId="18737" xr:uid="{00000000-0005-0000-0000-000030490000}"/>
    <cellStyle name="40% - 强调文字颜色 5 3 2 3" xfId="18738" xr:uid="{00000000-0005-0000-0000-000031490000}"/>
    <cellStyle name="40% - 强调文字颜色 5 3 2 3 2" xfId="18739" xr:uid="{00000000-0005-0000-0000-000032490000}"/>
    <cellStyle name="40% - 强调文字颜色 5 3 2 3 3" xfId="18740" xr:uid="{00000000-0005-0000-0000-000033490000}"/>
    <cellStyle name="40% - 强调文字颜色 5 3 2 3 3 2" xfId="18741" xr:uid="{00000000-0005-0000-0000-000034490000}"/>
    <cellStyle name="40% - 强调文字颜色 5 3 2 3 3 2 2" xfId="18742" xr:uid="{00000000-0005-0000-0000-000035490000}"/>
    <cellStyle name="40% - 强调文字颜色 5 3 2 3 4" xfId="18743" xr:uid="{00000000-0005-0000-0000-000036490000}"/>
    <cellStyle name="40% - 强调文字颜色 5 3 2 3 4 2" xfId="18744" xr:uid="{00000000-0005-0000-0000-000037490000}"/>
    <cellStyle name="40% - 强调文字颜色 5 3 2 3 5" xfId="18745" xr:uid="{00000000-0005-0000-0000-000038490000}"/>
    <cellStyle name="40% - 强调文字颜色 5 3 2 3 5 2" xfId="18746" xr:uid="{00000000-0005-0000-0000-000039490000}"/>
    <cellStyle name="40% - 强调文字颜色 5 3 2 3 6" xfId="18747" xr:uid="{00000000-0005-0000-0000-00003A490000}"/>
    <cellStyle name="40% - 强调文字颜色 5 3 2 4" xfId="18748" xr:uid="{00000000-0005-0000-0000-00003B490000}"/>
    <cellStyle name="40% - 强调文字颜色 5 3 2 4 2" xfId="18749" xr:uid="{00000000-0005-0000-0000-00003C490000}"/>
    <cellStyle name="40% - 强调文字颜色 5 3 2 4 2 2" xfId="18750" xr:uid="{00000000-0005-0000-0000-00003D490000}"/>
    <cellStyle name="40% - 强调文字颜色 5 3 2 4 2 2 2" xfId="18751" xr:uid="{00000000-0005-0000-0000-00003E490000}"/>
    <cellStyle name="40% - 强调文字颜色 5 3 2 4 3" xfId="18752" xr:uid="{00000000-0005-0000-0000-00003F490000}"/>
    <cellStyle name="40% - 强调文字颜色 5 3 2 4 3 2" xfId="18753" xr:uid="{00000000-0005-0000-0000-000040490000}"/>
    <cellStyle name="40% - 强调文字颜色 5 3 2 4 4" xfId="18754" xr:uid="{00000000-0005-0000-0000-000041490000}"/>
    <cellStyle name="40% - 强调文字颜色 5 3 2 4 4 2" xfId="18755" xr:uid="{00000000-0005-0000-0000-000042490000}"/>
    <cellStyle name="40% - 强调文字颜色 5 3 2 4 5" xfId="18756" xr:uid="{00000000-0005-0000-0000-000043490000}"/>
    <cellStyle name="40% - 强调文字颜色 5 3 2 5" xfId="18757" xr:uid="{00000000-0005-0000-0000-000044490000}"/>
    <cellStyle name="40% - 强调文字颜色 5 3 2 6" xfId="18758" xr:uid="{00000000-0005-0000-0000-000045490000}"/>
    <cellStyle name="40% - 强调文字颜色 5 3 2 7" xfId="18759" xr:uid="{00000000-0005-0000-0000-000046490000}"/>
    <cellStyle name="40% - 强调文字颜色 5 3 2 7 2" xfId="18760" xr:uid="{00000000-0005-0000-0000-000047490000}"/>
    <cellStyle name="40% - 强调文字颜色 5 3 2 8" xfId="18761" xr:uid="{00000000-0005-0000-0000-000048490000}"/>
    <cellStyle name="40% - 强调文字颜色 5 3 2 8 2" xfId="18762" xr:uid="{00000000-0005-0000-0000-000049490000}"/>
    <cellStyle name="40% - 强调文字颜色 5 3 3" xfId="18763" xr:uid="{00000000-0005-0000-0000-00004A490000}"/>
    <cellStyle name="40% - 强调文字颜色 5 3 3 2" xfId="18764" xr:uid="{00000000-0005-0000-0000-00004B490000}"/>
    <cellStyle name="40% - 强调文字颜色 5 3 3 2 2" xfId="18765" xr:uid="{00000000-0005-0000-0000-00004C490000}"/>
    <cellStyle name="40% - 强调文字颜色 5 3 3 2 3" xfId="18766" xr:uid="{00000000-0005-0000-0000-00004D490000}"/>
    <cellStyle name="40% - 强调文字颜色 5 3 3 2 3 2" xfId="18767" xr:uid="{00000000-0005-0000-0000-00004E490000}"/>
    <cellStyle name="40% - 强调文字颜色 5 3 3 2 3 2 2" xfId="18768" xr:uid="{00000000-0005-0000-0000-00004F490000}"/>
    <cellStyle name="40% - 强调文字颜色 5 3 3 2 4" xfId="18769" xr:uid="{00000000-0005-0000-0000-000050490000}"/>
    <cellStyle name="40% - 强调文字颜色 5 3 3 2 4 2" xfId="18770" xr:uid="{00000000-0005-0000-0000-000051490000}"/>
    <cellStyle name="40% - 强调文字颜色 5 3 3 2 5" xfId="18771" xr:uid="{00000000-0005-0000-0000-000052490000}"/>
    <cellStyle name="40% - 强调文字颜色 5 3 3 2 5 2" xfId="18772" xr:uid="{00000000-0005-0000-0000-000053490000}"/>
    <cellStyle name="40% - 强调文字颜色 5 3 3 2 6" xfId="18773" xr:uid="{00000000-0005-0000-0000-000054490000}"/>
    <cellStyle name="40% - 强调文字颜色 5 3 3 3" xfId="18774" xr:uid="{00000000-0005-0000-0000-000055490000}"/>
    <cellStyle name="40% - 强调文字颜色 5 3 3 3 2" xfId="18775" xr:uid="{00000000-0005-0000-0000-000056490000}"/>
    <cellStyle name="40% - 强调文字颜色 5 3 3 3 2 2" xfId="18776" xr:uid="{00000000-0005-0000-0000-000057490000}"/>
    <cellStyle name="40% - 强调文字颜色 5 3 3 3 2 2 2" xfId="18777" xr:uid="{00000000-0005-0000-0000-000058490000}"/>
    <cellStyle name="40% - 强调文字颜色 5 3 3 3 3" xfId="18778" xr:uid="{00000000-0005-0000-0000-000059490000}"/>
    <cellStyle name="40% - 强调文字颜色 5 3 3 3 3 2" xfId="18779" xr:uid="{00000000-0005-0000-0000-00005A490000}"/>
    <cellStyle name="40% - 强调文字颜色 5 3 3 3 4" xfId="18780" xr:uid="{00000000-0005-0000-0000-00005B490000}"/>
    <cellStyle name="40% - 强调文字颜色 5 3 3 3 4 2" xfId="18781" xr:uid="{00000000-0005-0000-0000-00005C490000}"/>
    <cellStyle name="40% - 强调文字颜色 5 3 3 3 5" xfId="18782" xr:uid="{00000000-0005-0000-0000-00005D490000}"/>
    <cellStyle name="40% - 强调文字颜色 5 3 3 4" xfId="18783" xr:uid="{00000000-0005-0000-0000-00005E490000}"/>
    <cellStyle name="40% - 强调文字颜色 5 3 3 5" xfId="18784" xr:uid="{00000000-0005-0000-0000-00005F490000}"/>
    <cellStyle name="40% - 强调文字颜色 5 3 3 6" xfId="18785" xr:uid="{00000000-0005-0000-0000-000060490000}"/>
    <cellStyle name="40% - 强调文字颜色 5 3 3 6 2" xfId="18786" xr:uid="{00000000-0005-0000-0000-000061490000}"/>
    <cellStyle name="40% - 强调文字颜色 5 3 3 7" xfId="18787" xr:uid="{00000000-0005-0000-0000-000062490000}"/>
    <cellStyle name="40% - 强调文字颜色 5 3 3 7 2" xfId="18788" xr:uid="{00000000-0005-0000-0000-000063490000}"/>
    <cellStyle name="40% - 强调文字颜色 5 3 4" xfId="18789" xr:uid="{00000000-0005-0000-0000-000064490000}"/>
    <cellStyle name="40% - 强调文字颜色 5 3 4 2" xfId="18790" xr:uid="{00000000-0005-0000-0000-000065490000}"/>
    <cellStyle name="40% - 强调文字颜色 5 3 4 2 2" xfId="18791" xr:uid="{00000000-0005-0000-0000-000066490000}"/>
    <cellStyle name="40% - 强调文字颜色 5 3 4 2 3" xfId="18792" xr:uid="{00000000-0005-0000-0000-000067490000}"/>
    <cellStyle name="40% - 强调文字颜色 5 3 4 2 3 2" xfId="18793" xr:uid="{00000000-0005-0000-0000-000068490000}"/>
    <cellStyle name="40% - 强调文字颜色 5 3 4 2 3 2 2" xfId="18794" xr:uid="{00000000-0005-0000-0000-000069490000}"/>
    <cellStyle name="40% - 强调文字颜色 5 3 4 2 4" xfId="18795" xr:uid="{00000000-0005-0000-0000-00006A490000}"/>
    <cellStyle name="40% - 强调文字颜色 5 3 4 2 4 2" xfId="18796" xr:uid="{00000000-0005-0000-0000-00006B490000}"/>
    <cellStyle name="40% - 强调文字颜色 5 3 4 2 5" xfId="18797" xr:uid="{00000000-0005-0000-0000-00006C490000}"/>
    <cellStyle name="40% - 强调文字颜色 5 3 4 2 5 2" xfId="18798" xr:uid="{00000000-0005-0000-0000-00006D490000}"/>
    <cellStyle name="40% - 强调文字颜色 5 3 4 2 6" xfId="18799" xr:uid="{00000000-0005-0000-0000-00006E490000}"/>
    <cellStyle name="40% - 强调文字颜色 5 3 4 3" xfId="18800" xr:uid="{00000000-0005-0000-0000-00006F490000}"/>
    <cellStyle name="40% - 强调文字颜色 5 3 4 4" xfId="18801" xr:uid="{00000000-0005-0000-0000-000070490000}"/>
    <cellStyle name="40% - 强调文字颜色 5 3 4 5" xfId="18802" xr:uid="{00000000-0005-0000-0000-000071490000}"/>
    <cellStyle name="40% - 强调文字颜色 5 3 4 6" xfId="18803" xr:uid="{00000000-0005-0000-0000-000072490000}"/>
    <cellStyle name="40% - 强调文字颜色 5 3 4 6 2" xfId="18804" xr:uid="{00000000-0005-0000-0000-000073490000}"/>
    <cellStyle name="40% - 强调文字颜色 5 3 4 7" xfId="18805" xr:uid="{00000000-0005-0000-0000-000074490000}"/>
    <cellStyle name="40% - 强调文字颜色 5 3 4 7 2" xfId="18806" xr:uid="{00000000-0005-0000-0000-000075490000}"/>
    <cellStyle name="40% - 强调文字颜色 5 3 5" xfId="18807" xr:uid="{00000000-0005-0000-0000-000076490000}"/>
    <cellStyle name="40% - 强调文字颜色 5 3 5 2" xfId="18808" xr:uid="{00000000-0005-0000-0000-000077490000}"/>
    <cellStyle name="40% - 强调文字颜色 5 3 5 2 2" xfId="18809" xr:uid="{00000000-0005-0000-0000-000078490000}"/>
    <cellStyle name="40% - 强调文字颜色 5 3 5 2 2 2" xfId="18810" xr:uid="{00000000-0005-0000-0000-000079490000}"/>
    <cellStyle name="40% - 强调文字颜色 5 3 5 2 2 2 2" xfId="18811" xr:uid="{00000000-0005-0000-0000-00007A490000}"/>
    <cellStyle name="40% - 强调文字颜色 5 3 5 2 3" xfId="18812" xr:uid="{00000000-0005-0000-0000-00007B490000}"/>
    <cellStyle name="40% - 强调文字颜色 5 3 5 2 3 2" xfId="18813" xr:uid="{00000000-0005-0000-0000-00007C490000}"/>
    <cellStyle name="40% - 强调文字颜色 5 3 5 2 4" xfId="18814" xr:uid="{00000000-0005-0000-0000-00007D490000}"/>
    <cellStyle name="40% - 强调文字颜色 5 3 5 2 4 2" xfId="18815" xr:uid="{00000000-0005-0000-0000-00007E490000}"/>
    <cellStyle name="40% - 强调文字颜色 5 3 5 2 5" xfId="18816" xr:uid="{00000000-0005-0000-0000-00007F490000}"/>
    <cellStyle name="40% - 强调文字颜色 5 3 5 3" xfId="18817" xr:uid="{00000000-0005-0000-0000-000080490000}"/>
    <cellStyle name="40% - 强调文字颜色 5 3 5 3 2" xfId="18818" xr:uid="{00000000-0005-0000-0000-000081490000}"/>
    <cellStyle name="40% - 强调文字颜色 5 3 5 3 2 2" xfId="18819" xr:uid="{00000000-0005-0000-0000-000082490000}"/>
    <cellStyle name="40% - 强调文字颜色 5 3 5 4" xfId="18820" xr:uid="{00000000-0005-0000-0000-000083490000}"/>
    <cellStyle name="40% - 强调文字颜色 5 3 5 4 2" xfId="18821" xr:uid="{00000000-0005-0000-0000-000084490000}"/>
    <cellStyle name="40% - 强调文字颜色 5 3 5 5" xfId="18822" xr:uid="{00000000-0005-0000-0000-000085490000}"/>
    <cellStyle name="40% - 强调文字颜色 5 3 5 5 2" xfId="18823" xr:uid="{00000000-0005-0000-0000-000086490000}"/>
    <cellStyle name="40% - 强调文字颜色 5 3 5 6" xfId="18824" xr:uid="{00000000-0005-0000-0000-000087490000}"/>
    <cellStyle name="40% - 强调文字颜色 5 3 6" xfId="18825" xr:uid="{00000000-0005-0000-0000-000088490000}"/>
    <cellStyle name="40% - 强调文字颜色 5 3 6 2" xfId="18826" xr:uid="{00000000-0005-0000-0000-000089490000}"/>
    <cellStyle name="40% - 强调文字颜色 5 3 6 2 2" xfId="18827" xr:uid="{00000000-0005-0000-0000-00008A490000}"/>
    <cellStyle name="40% - 强调文字颜色 5 3 6 2 2 2" xfId="18828" xr:uid="{00000000-0005-0000-0000-00008B490000}"/>
    <cellStyle name="40% - 强调文字颜色 5 3 6 3" xfId="18829" xr:uid="{00000000-0005-0000-0000-00008C490000}"/>
    <cellStyle name="40% - 强调文字颜色 5 3 6 3 2" xfId="18830" xr:uid="{00000000-0005-0000-0000-00008D490000}"/>
    <cellStyle name="40% - 强调文字颜色 5 3 6 4" xfId="18831" xr:uid="{00000000-0005-0000-0000-00008E490000}"/>
    <cellStyle name="40% - 强调文字颜色 5 3 6 4 2" xfId="18832" xr:uid="{00000000-0005-0000-0000-00008F490000}"/>
    <cellStyle name="40% - 强调文字颜色 5 3 6 5" xfId="18833" xr:uid="{00000000-0005-0000-0000-000090490000}"/>
    <cellStyle name="40% - 强调文字颜色 5 3 7" xfId="18834" xr:uid="{00000000-0005-0000-0000-000091490000}"/>
    <cellStyle name="40% - 强调文字颜色 5 3 8" xfId="18835" xr:uid="{00000000-0005-0000-0000-000092490000}"/>
    <cellStyle name="40% - 强调文字颜色 5 3 8 2" xfId="18836" xr:uid="{00000000-0005-0000-0000-000093490000}"/>
    <cellStyle name="40% - 强调文字颜色 5 3 9" xfId="18837" xr:uid="{00000000-0005-0000-0000-000094490000}"/>
    <cellStyle name="40% - 强调文字颜色 5 3 9 2" xfId="18838" xr:uid="{00000000-0005-0000-0000-000095490000}"/>
    <cellStyle name="40% - 强调文字颜色 6 2" xfId="18839" xr:uid="{00000000-0005-0000-0000-000096490000}"/>
    <cellStyle name="40% - 强调文字颜色 6 2 10" xfId="18840" xr:uid="{00000000-0005-0000-0000-000097490000}"/>
    <cellStyle name="40% - 强调文字颜色 6 2 11" xfId="18841" xr:uid="{00000000-0005-0000-0000-000098490000}"/>
    <cellStyle name="40% - 强调文字颜色 6 2 11 2" xfId="18842" xr:uid="{00000000-0005-0000-0000-000099490000}"/>
    <cellStyle name="40% - 强调文字颜色 6 2 12" xfId="18843" xr:uid="{00000000-0005-0000-0000-00009A490000}"/>
    <cellStyle name="40% - 强调文字颜色 6 2 12 2" xfId="18844" xr:uid="{00000000-0005-0000-0000-00009B490000}"/>
    <cellStyle name="40% - 强调文字颜色 6 2 2" xfId="18845" xr:uid="{00000000-0005-0000-0000-00009C490000}"/>
    <cellStyle name="40% - 强调文字颜色 6 2 2 10" xfId="18846" xr:uid="{00000000-0005-0000-0000-00009D490000}"/>
    <cellStyle name="40% - 强调文字颜色 6 2 2 11" xfId="18847" xr:uid="{00000000-0005-0000-0000-00009E490000}"/>
    <cellStyle name="40% - 强调文字颜色 6 2 2 11 2" xfId="18848" xr:uid="{00000000-0005-0000-0000-00009F490000}"/>
    <cellStyle name="40% - 强调文字颜色 6 2 2 12" xfId="18849" xr:uid="{00000000-0005-0000-0000-0000A0490000}"/>
    <cellStyle name="40% - 强调文字颜色 6 2 2 12 2" xfId="18850" xr:uid="{00000000-0005-0000-0000-0000A1490000}"/>
    <cellStyle name="40% - 强调文字颜色 6 2 2 2" xfId="18851" xr:uid="{00000000-0005-0000-0000-0000A2490000}"/>
    <cellStyle name="40% - 强调文字颜色 6 2 2 2 2" xfId="18852" xr:uid="{00000000-0005-0000-0000-0000A3490000}"/>
    <cellStyle name="40% - 强调文字颜色 6 2 2 2 2 2" xfId="18853" xr:uid="{00000000-0005-0000-0000-0000A4490000}"/>
    <cellStyle name="40% - 强调文字颜色 6 2 2 2 2 2 2" xfId="18854" xr:uid="{00000000-0005-0000-0000-0000A5490000}"/>
    <cellStyle name="40% - 强调文字颜色 6 2 2 2 2 2 3" xfId="18855" xr:uid="{00000000-0005-0000-0000-0000A6490000}"/>
    <cellStyle name="40% - 强调文字颜色 6 2 2 2 2 2 3 2" xfId="18856" xr:uid="{00000000-0005-0000-0000-0000A7490000}"/>
    <cellStyle name="40% - 强调文字颜色 6 2 2 2 2 2 3 2 2" xfId="18857" xr:uid="{00000000-0005-0000-0000-0000A8490000}"/>
    <cellStyle name="40% - 强调文字颜色 6 2 2 2 2 2 4" xfId="18858" xr:uid="{00000000-0005-0000-0000-0000A9490000}"/>
    <cellStyle name="40% - 强调文字颜色 6 2 2 2 2 2 4 2" xfId="18859" xr:uid="{00000000-0005-0000-0000-0000AA490000}"/>
    <cellStyle name="40% - 强调文字颜色 6 2 2 2 2 2 5" xfId="18860" xr:uid="{00000000-0005-0000-0000-0000AB490000}"/>
    <cellStyle name="40% - 强调文字颜色 6 2 2 2 2 2 5 2" xfId="18861" xr:uid="{00000000-0005-0000-0000-0000AC490000}"/>
    <cellStyle name="40% - 强调文字颜色 6 2 2 2 2 2 6" xfId="18862" xr:uid="{00000000-0005-0000-0000-0000AD490000}"/>
    <cellStyle name="40% - 强调文字颜色 6 2 2 2 2 3" xfId="18863" xr:uid="{00000000-0005-0000-0000-0000AE490000}"/>
    <cellStyle name="40% - 强调文字颜色 6 2 2 2 2 3 2" xfId="18864" xr:uid="{00000000-0005-0000-0000-0000AF490000}"/>
    <cellStyle name="40% - 强调文字颜色 6 2 2 2 2 3 2 2" xfId="18865" xr:uid="{00000000-0005-0000-0000-0000B0490000}"/>
    <cellStyle name="40% - 强调文字颜色 6 2 2 2 2 3 2 2 2" xfId="18866" xr:uid="{00000000-0005-0000-0000-0000B1490000}"/>
    <cellStyle name="40% - 强调文字颜色 6 2 2 2 2 3 3" xfId="18867" xr:uid="{00000000-0005-0000-0000-0000B2490000}"/>
    <cellStyle name="40% - 强调文字颜色 6 2 2 2 2 3 3 2" xfId="18868" xr:uid="{00000000-0005-0000-0000-0000B3490000}"/>
    <cellStyle name="40% - 强调文字颜色 6 2 2 2 2 3 4" xfId="18869" xr:uid="{00000000-0005-0000-0000-0000B4490000}"/>
    <cellStyle name="40% - 强调文字颜色 6 2 2 2 2 3 4 2" xfId="18870" xr:uid="{00000000-0005-0000-0000-0000B5490000}"/>
    <cellStyle name="40% - 强调文字颜色 6 2 2 2 2 3 5" xfId="18871" xr:uid="{00000000-0005-0000-0000-0000B6490000}"/>
    <cellStyle name="40% - 强调文字颜色 6 2 2 2 2 4" xfId="18872" xr:uid="{00000000-0005-0000-0000-0000B7490000}"/>
    <cellStyle name="40% - 强调文字颜色 6 2 2 2 2 5" xfId="18873" xr:uid="{00000000-0005-0000-0000-0000B8490000}"/>
    <cellStyle name="40% - 强调文字颜色 6 2 2 2 2 6" xfId="18874" xr:uid="{00000000-0005-0000-0000-0000B9490000}"/>
    <cellStyle name="40% - 强调文字颜色 6 2 2 2 2 6 2" xfId="18875" xr:uid="{00000000-0005-0000-0000-0000BA490000}"/>
    <cellStyle name="40% - 强调文字颜色 6 2 2 2 2 7" xfId="18876" xr:uid="{00000000-0005-0000-0000-0000BB490000}"/>
    <cellStyle name="40% - 强调文字颜色 6 2 2 2 2 7 2" xfId="18877" xr:uid="{00000000-0005-0000-0000-0000BC490000}"/>
    <cellStyle name="40% - 强调文字颜色 6 2 2 2 3" xfId="18878" xr:uid="{00000000-0005-0000-0000-0000BD490000}"/>
    <cellStyle name="40% - 强调文字颜色 6 2 2 2 3 2" xfId="18879" xr:uid="{00000000-0005-0000-0000-0000BE490000}"/>
    <cellStyle name="40% - 强调文字颜色 6 2 2 2 3 3" xfId="18880" xr:uid="{00000000-0005-0000-0000-0000BF490000}"/>
    <cellStyle name="40% - 强调文字颜色 6 2 2 2 3 3 2" xfId="18881" xr:uid="{00000000-0005-0000-0000-0000C0490000}"/>
    <cellStyle name="40% - 强调文字颜色 6 2 2 2 3 3 2 2" xfId="18882" xr:uid="{00000000-0005-0000-0000-0000C1490000}"/>
    <cellStyle name="40% - 强调文字颜色 6 2 2 2 3 4" xfId="18883" xr:uid="{00000000-0005-0000-0000-0000C2490000}"/>
    <cellStyle name="40% - 强调文字颜色 6 2 2 2 3 4 2" xfId="18884" xr:uid="{00000000-0005-0000-0000-0000C3490000}"/>
    <cellStyle name="40% - 强调文字颜色 6 2 2 2 3 5" xfId="18885" xr:uid="{00000000-0005-0000-0000-0000C4490000}"/>
    <cellStyle name="40% - 强调文字颜色 6 2 2 2 3 5 2" xfId="18886" xr:uid="{00000000-0005-0000-0000-0000C5490000}"/>
    <cellStyle name="40% - 强调文字颜色 6 2 2 2 3 6" xfId="18887" xr:uid="{00000000-0005-0000-0000-0000C6490000}"/>
    <cellStyle name="40% - 强调文字颜色 6 2 2 2 4" xfId="18888" xr:uid="{00000000-0005-0000-0000-0000C7490000}"/>
    <cellStyle name="40% - 强调文字颜色 6 2 2 2 4 2" xfId="18889" xr:uid="{00000000-0005-0000-0000-0000C8490000}"/>
    <cellStyle name="40% - 强调文字颜色 6 2 2 2 4 2 2" xfId="18890" xr:uid="{00000000-0005-0000-0000-0000C9490000}"/>
    <cellStyle name="40% - 强调文字颜色 6 2 2 2 4 2 2 2" xfId="18891" xr:uid="{00000000-0005-0000-0000-0000CA490000}"/>
    <cellStyle name="40% - 强调文字颜色 6 2 2 2 4 3" xfId="18892" xr:uid="{00000000-0005-0000-0000-0000CB490000}"/>
    <cellStyle name="40% - 强调文字颜色 6 2 2 2 4 3 2" xfId="18893" xr:uid="{00000000-0005-0000-0000-0000CC490000}"/>
    <cellStyle name="40% - 强调文字颜色 6 2 2 2 4 4" xfId="18894" xr:uid="{00000000-0005-0000-0000-0000CD490000}"/>
    <cellStyle name="40% - 强调文字颜色 6 2 2 2 4 4 2" xfId="18895" xr:uid="{00000000-0005-0000-0000-0000CE490000}"/>
    <cellStyle name="40% - 强调文字颜色 6 2 2 2 4 5" xfId="18896" xr:uid="{00000000-0005-0000-0000-0000CF490000}"/>
    <cellStyle name="40% - 强调文字颜色 6 2 2 2 5" xfId="18897" xr:uid="{00000000-0005-0000-0000-0000D0490000}"/>
    <cellStyle name="40% - 强调文字颜色 6 2 2 2 6" xfId="18898" xr:uid="{00000000-0005-0000-0000-0000D1490000}"/>
    <cellStyle name="40% - 强调文字颜色 6 2 2 2 7" xfId="18899" xr:uid="{00000000-0005-0000-0000-0000D2490000}"/>
    <cellStyle name="40% - 强调文字颜色 6 2 2 2 7 2" xfId="18900" xr:uid="{00000000-0005-0000-0000-0000D3490000}"/>
    <cellStyle name="40% - 强调文字颜色 6 2 2 2 8" xfId="18901" xr:uid="{00000000-0005-0000-0000-0000D4490000}"/>
    <cellStyle name="40% - 强调文字颜色 6 2 2 2 8 2" xfId="18902" xr:uid="{00000000-0005-0000-0000-0000D5490000}"/>
    <cellStyle name="40% - 强调文字颜色 6 2 2 3" xfId="18903" xr:uid="{00000000-0005-0000-0000-0000D6490000}"/>
    <cellStyle name="40% - 强调文字颜色 6 2 2 3 2" xfId="18904" xr:uid="{00000000-0005-0000-0000-0000D7490000}"/>
    <cellStyle name="40% - 强调文字颜色 6 2 2 3 2 2" xfId="18905" xr:uid="{00000000-0005-0000-0000-0000D8490000}"/>
    <cellStyle name="40% - 强调文字颜色 6 2 2 3 2 3" xfId="18906" xr:uid="{00000000-0005-0000-0000-0000D9490000}"/>
    <cellStyle name="40% - 强调文字颜色 6 2 2 3 2 3 2" xfId="18907" xr:uid="{00000000-0005-0000-0000-0000DA490000}"/>
    <cellStyle name="40% - 强调文字颜色 6 2 2 3 2 3 2 2" xfId="18908" xr:uid="{00000000-0005-0000-0000-0000DB490000}"/>
    <cellStyle name="40% - 强调文字颜色 6 2 2 3 2 4" xfId="18909" xr:uid="{00000000-0005-0000-0000-0000DC490000}"/>
    <cellStyle name="40% - 强调文字颜色 6 2 2 3 2 4 2" xfId="18910" xr:uid="{00000000-0005-0000-0000-0000DD490000}"/>
    <cellStyle name="40% - 强调文字颜色 6 2 2 3 2 5" xfId="18911" xr:uid="{00000000-0005-0000-0000-0000DE490000}"/>
    <cellStyle name="40% - 强调文字颜色 6 2 2 3 2 5 2" xfId="18912" xr:uid="{00000000-0005-0000-0000-0000DF490000}"/>
    <cellStyle name="40% - 强调文字颜色 6 2 2 3 2 6" xfId="18913" xr:uid="{00000000-0005-0000-0000-0000E0490000}"/>
    <cellStyle name="40% - 强调文字颜色 6 2 2 3 3" xfId="18914" xr:uid="{00000000-0005-0000-0000-0000E1490000}"/>
    <cellStyle name="40% - 强调文字颜色 6 2 2 3 3 2" xfId="18915" xr:uid="{00000000-0005-0000-0000-0000E2490000}"/>
    <cellStyle name="40% - 强调文字颜色 6 2 2 3 3 2 2" xfId="18916" xr:uid="{00000000-0005-0000-0000-0000E3490000}"/>
    <cellStyle name="40% - 强调文字颜色 6 2 2 3 3 2 2 2" xfId="18917" xr:uid="{00000000-0005-0000-0000-0000E4490000}"/>
    <cellStyle name="40% - 强调文字颜色 6 2 2 3 3 3" xfId="18918" xr:uid="{00000000-0005-0000-0000-0000E5490000}"/>
    <cellStyle name="40% - 强调文字颜色 6 2 2 3 3 3 2" xfId="18919" xr:uid="{00000000-0005-0000-0000-0000E6490000}"/>
    <cellStyle name="40% - 强调文字颜色 6 2 2 3 3 4" xfId="18920" xr:uid="{00000000-0005-0000-0000-0000E7490000}"/>
    <cellStyle name="40% - 强调文字颜色 6 2 2 3 3 4 2" xfId="18921" xr:uid="{00000000-0005-0000-0000-0000E8490000}"/>
    <cellStyle name="40% - 强调文字颜色 6 2 2 3 3 5" xfId="18922" xr:uid="{00000000-0005-0000-0000-0000E9490000}"/>
    <cellStyle name="40% - 强调文字颜色 6 2 2 3 4" xfId="18923" xr:uid="{00000000-0005-0000-0000-0000EA490000}"/>
    <cellStyle name="40% - 强调文字颜色 6 2 2 3 5" xfId="18924" xr:uid="{00000000-0005-0000-0000-0000EB490000}"/>
    <cellStyle name="40% - 强调文字颜色 6 2 2 3 6" xfId="18925" xr:uid="{00000000-0005-0000-0000-0000EC490000}"/>
    <cellStyle name="40% - 强调文字颜色 6 2 2 3 6 2" xfId="18926" xr:uid="{00000000-0005-0000-0000-0000ED490000}"/>
    <cellStyle name="40% - 强调文字颜色 6 2 2 3 7" xfId="18927" xr:uid="{00000000-0005-0000-0000-0000EE490000}"/>
    <cellStyle name="40% - 强调文字颜色 6 2 2 3 7 2" xfId="18928" xr:uid="{00000000-0005-0000-0000-0000EF490000}"/>
    <cellStyle name="40% - 强调文字颜色 6 2 2 4" xfId="18929" xr:uid="{00000000-0005-0000-0000-0000F0490000}"/>
    <cellStyle name="40% - 强调文字颜色 6 2 2 4 2" xfId="18930" xr:uid="{00000000-0005-0000-0000-0000F1490000}"/>
    <cellStyle name="40% - 强调文字颜色 6 2 2 4 2 2" xfId="18931" xr:uid="{00000000-0005-0000-0000-0000F2490000}"/>
    <cellStyle name="40% - 强调文字颜色 6 2 2 4 2 3" xfId="18932" xr:uid="{00000000-0005-0000-0000-0000F3490000}"/>
    <cellStyle name="40% - 强调文字颜色 6 2 2 4 2 3 2" xfId="18933" xr:uid="{00000000-0005-0000-0000-0000F4490000}"/>
    <cellStyle name="40% - 强调文字颜色 6 2 2 4 2 3 2 2" xfId="18934" xr:uid="{00000000-0005-0000-0000-0000F5490000}"/>
    <cellStyle name="40% - 强调文字颜色 6 2 2 4 2 4" xfId="18935" xr:uid="{00000000-0005-0000-0000-0000F6490000}"/>
    <cellStyle name="40% - 强调文字颜色 6 2 2 4 2 4 2" xfId="18936" xr:uid="{00000000-0005-0000-0000-0000F7490000}"/>
    <cellStyle name="40% - 强调文字颜色 6 2 2 4 2 5" xfId="18937" xr:uid="{00000000-0005-0000-0000-0000F8490000}"/>
    <cellStyle name="40% - 强调文字颜色 6 2 2 4 2 5 2" xfId="18938" xr:uid="{00000000-0005-0000-0000-0000F9490000}"/>
    <cellStyle name="40% - 强调文字颜色 6 2 2 4 2 6" xfId="18939" xr:uid="{00000000-0005-0000-0000-0000FA490000}"/>
    <cellStyle name="40% - 强调文字颜色 6 2 2 4 3" xfId="18940" xr:uid="{00000000-0005-0000-0000-0000FB490000}"/>
    <cellStyle name="40% - 强调文字颜色 6 2 2 4 4" xfId="18941" xr:uid="{00000000-0005-0000-0000-0000FC490000}"/>
    <cellStyle name="40% - 强调文字颜色 6 2 2 4 5" xfId="18942" xr:uid="{00000000-0005-0000-0000-0000FD490000}"/>
    <cellStyle name="40% - 强调文字颜色 6 2 2 4 6" xfId="18943" xr:uid="{00000000-0005-0000-0000-0000FE490000}"/>
    <cellStyle name="40% - 强调文字颜色 6 2 2 4 6 2" xfId="18944" xr:uid="{00000000-0005-0000-0000-0000FF490000}"/>
    <cellStyle name="40% - 强调文字颜色 6 2 2 4 7" xfId="18945" xr:uid="{00000000-0005-0000-0000-0000004A0000}"/>
    <cellStyle name="40% - 强调文字颜色 6 2 2 4 7 2" xfId="18946" xr:uid="{00000000-0005-0000-0000-0000014A0000}"/>
    <cellStyle name="40% - 强调文字颜色 6 2 2 5" xfId="18947" xr:uid="{00000000-0005-0000-0000-0000024A0000}"/>
    <cellStyle name="40% - 强调文字颜色 6 2 2 5 2" xfId="18948" xr:uid="{00000000-0005-0000-0000-0000034A0000}"/>
    <cellStyle name="40% - 强调文字颜色 6 2 2 5 2 2" xfId="18949" xr:uid="{00000000-0005-0000-0000-0000044A0000}"/>
    <cellStyle name="40% - 强调文字颜色 6 2 2 5 2 2 2" xfId="18950" xr:uid="{00000000-0005-0000-0000-0000054A0000}"/>
    <cellStyle name="40% - 强调文字颜色 6 2 2 5 2 2 2 2" xfId="18951" xr:uid="{00000000-0005-0000-0000-0000064A0000}"/>
    <cellStyle name="40% - 强调文字颜色 6 2 2 5 2 3" xfId="18952" xr:uid="{00000000-0005-0000-0000-0000074A0000}"/>
    <cellStyle name="40% - 强调文字颜色 6 2 2 5 2 3 2" xfId="18953" xr:uid="{00000000-0005-0000-0000-0000084A0000}"/>
    <cellStyle name="40% - 强调文字颜色 6 2 2 5 2 4" xfId="18954" xr:uid="{00000000-0005-0000-0000-0000094A0000}"/>
    <cellStyle name="40% - 强调文字颜色 6 2 2 5 2 4 2" xfId="18955" xr:uid="{00000000-0005-0000-0000-00000A4A0000}"/>
    <cellStyle name="40% - 强调文字颜色 6 2 2 5 2 5" xfId="18956" xr:uid="{00000000-0005-0000-0000-00000B4A0000}"/>
    <cellStyle name="40% - 强调文字颜色 6 2 2 5 3" xfId="18957" xr:uid="{00000000-0005-0000-0000-00000C4A0000}"/>
    <cellStyle name="40% - 强调文字颜色 6 2 2 5 3 2" xfId="18958" xr:uid="{00000000-0005-0000-0000-00000D4A0000}"/>
    <cellStyle name="40% - 强调文字颜色 6 2 2 5 3 2 2" xfId="18959" xr:uid="{00000000-0005-0000-0000-00000E4A0000}"/>
    <cellStyle name="40% - 强调文字颜色 6 2 2 5 4" xfId="18960" xr:uid="{00000000-0005-0000-0000-00000F4A0000}"/>
    <cellStyle name="40% - 强调文字颜色 6 2 2 5 4 2" xfId="18961" xr:uid="{00000000-0005-0000-0000-0000104A0000}"/>
    <cellStyle name="40% - 强调文字颜色 6 2 2 5 5" xfId="18962" xr:uid="{00000000-0005-0000-0000-0000114A0000}"/>
    <cellStyle name="40% - 强调文字颜色 6 2 2 5 5 2" xfId="18963" xr:uid="{00000000-0005-0000-0000-0000124A0000}"/>
    <cellStyle name="40% - 强调文字颜色 6 2 2 5 6" xfId="18964" xr:uid="{00000000-0005-0000-0000-0000134A0000}"/>
    <cellStyle name="40% - 强调文字颜色 6 2 2 6" xfId="18965" xr:uid="{00000000-0005-0000-0000-0000144A0000}"/>
    <cellStyle name="40% - 强调文字颜色 6 2 2 6 2" xfId="18966" xr:uid="{00000000-0005-0000-0000-0000154A0000}"/>
    <cellStyle name="40% - 强调文字颜色 6 2 2 6 2 2" xfId="18967" xr:uid="{00000000-0005-0000-0000-0000164A0000}"/>
    <cellStyle name="40% - 强调文字颜色 6 2 2 6 2 2 2" xfId="18968" xr:uid="{00000000-0005-0000-0000-0000174A0000}"/>
    <cellStyle name="40% - 强调文字颜色 6 2 2 6 2 2 2 2" xfId="18969" xr:uid="{00000000-0005-0000-0000-0000184A0000}"/>
    <cellStyle name="40% - 强调文字颜色 6 2 2 6 2 3" xfId="18970" xr:uid="{00000000-0005-0000-0000-0000194A0000}"/>
    <cellStyle name="40% - 强调文字颜色 6 2 2 6 2 3 2" xfId="18971" xr:uid="{00000000-0005-0000-0000-00001A4A0000}"/>
    <cellStyle name="40% - 强调文字颜色 6 2 2 6 2 4" xfId="18972" xr:uid="{00000000-0005-0000-0000-00001B4A0000}"/>
    <cellStyle name="40% - 强调文字颜色 6 2 2 6 2 4 2" xfId="18973" xr:uid="{00000000-0005-0000-0000-00001C4A0000}"/>
    <cellStyle name="40% - 强调文字颜色 6 2 2 6 2 5" xfId="18974" xr:uid="{00000000-0005-0000-0000-00001D4A0000}"/>
    <cellStyle name="40% - 强调文字颜色 6 2 2 6 3" xfId="18975" xr:uid="{00000000-0005-0000-0000-00001E4A0000}"/>
    <cellStyle name="40% - 强调文字颜色 6 2 2 6 3 2" xfId="18976" xr:uid="{00000000-0005-0000-0000-00001F4A0000}"/>
    <cellStyle name="40% - 强调文字颜色 6 2 2 6 3 2 2" xfId="18977" xr:uid="{00000000-0005-0000-0000-0000204A0000}"/>
    <cellStyle name="40% - 强调文字颜色 6 2 2 6 4" xfId="18978" xr:uid="{00000000-0005-0000-0000-0000214A0000}"/>
    <cellStyle name="40% - 强调文字颜色 6 2 2 6 4 2" xfId="18979" xr:uid="{00000000-0005-0000-0000-0000224A0000}"/>
    <cellStyle name="40% - 强调文字颜色 6 2 2 6 5" xfId="18980" xr:uid="{00000000-0005-0000-0000-0000234A0000}"/>
    <cellStyle name="40% - 强调文字颜色 6 2 2 6 5 2" xfId="18981" xr:uid="{00000000-0005-0000-0000-0000244A0000}"/>
    <cellStyle name="40% - 强调文字颜色 6 2 2 6 6" xfId="18982" xr:uid="{00000000-0005-0000-0000-0000254A0000}"/>
    <cellStyle name="40% - 强调文字颜色 6 2 2 7" xfId="18983" xr:uid="{00000000-0005-0000-0000-0000264A0000}"/>
    <cellStyle name="40% - 强调文字颜色 6 2 2 7 2" xfId="18984" xr:uid="{00000000-0005-0000-0000-0000274A0000}"/>
    <cellStyle name="40% - 强调文字颜色 6 2 2 7 2 2" xfId="18985" xr:uid="{00000000-0005-0000-0000-0000284A0000}"/>
    <cellStyle name="40% - 强调文字颜色 6 2 2 7 2 2 2" xfId="18986" xr:uid="{00000000-0005-0000-0000-0000294A0000}"/>
    <cellStyle name="40% - 强调文字颜色 6 2 2 7 2 2 2 2" xfId="18987" xr:uid="{00000000-0005-0000-0000-00002A4A0000}"/>
    <cellStyle name="40% - 强调文字颜色 6 2 2 7 2 3" xfId="18988" xr:uid="{00000000-0005-0000-0000-00002B4A0000}"/>
    <cellStyle name="40% - 强调文字颜色 6 2 2 7 2 3 2" xfId="18989" xr:uid="{00000000-0005-0000-0000-00002C4A0000}"/>
    <cellStyle name="40% - 强调文字颜色 6 2 2 7 2 4" xfId="18990" xr:uid="{00000000-0005-0000-0000-00002D4A0000}"/>
    <cellStyle name="40% - 强调文字颜色 6 2 2 7 2 4 2" xfId="18991" xr:uid="{00000000-0005-0000-0000-00002E4A0000}"/>
    <cellStyle name="40% - 强调文字颜色 6 2 2 7 2 5" xfId="18992" xr:uid="{00000000-0005-0000-0000-00002F4A0000}"/>
    <cellStyle name="40% - 强调文字颜色 6 2 2 7 3" xfId="18993" xr:uid="{00000000-0005-0000-0000-0000304A0000}"/>
    <cellStyle name="40% - 强调文字颜色 6 2 2 7 3 2" xfId="18994" xr:uid="{00000000-0005-0000-0000-0000314A0000}"/>
    <cellStyle name="40% - 强调文字颜色 6 2 2 7 3 2 2" xfId="18995" xr:uid="{00000000-0005-0000-0000-0000324A0000}"/>
    <cellStyle name="40% - 强调文字颜色 6 2 2 7 4" xfId="18996" xr:uid="{00000000-0005-0000-0000-0000334A0000}"/>
    <cellStyle name="40% - 强调文字颜色 6 2 2 7 4 2" xfId="18997" xr:uid="{00000000-0005-0000-0000-0000344A0000}"/>
    <cellStyle name="40% - 强调文字颜色 6 2 2 7 5" xfId="18998" xr:uid="{00000000-0005-0000-0000-0000354A0000}"/>
    <cellStyle name="40% - 强调文字颜色 6 2 2 7 5 2" xfId="18999" xr:uid="{00000000-0005-0000-0000-0000364A0000}"/>
    <cellStyle name="40% - 强调文字颜色 6 2 2 7 6" xfId="19000" xr:uid="{00000000-0005-0000-0000-0000374A0000}"/>
    <cellStyle name="40% - 强调文字颜色 6 2 2 8" xfId="19001" xr:uid="{00000000-0005-0000-0000-0000384A0000}"/>
    <cellStyle name="40% - 强调文字颜色 6 2 2 8 2" xfId="19002" xr:uid="{00000000-0005-0000-0000-0000394A0000}"/>
    <cellStyle name="40% - 强调文字颜色 6 2 2 8 2 2" xfId="19003" xr:uid="{00000000-0005-0000-0000-00003A4A0000}"/>
    <cellStyle name="40% - 强调文字颜色 6 2 2 8 2 2 2" xfId="19004" xr:uid="{00000000-0005-0000-0000-00003B4A0000}"/>
    <cellStyle name="40% - 强调文字颜色 6 2 2 8 3" xfId="19005" xr:uid="{00000000-0005-0000-0000-00003C4A0000}"/>
    <cellStyle name="40% - 强调文字颜色 6 2 2 8 3 2" xfId="19006" xr:uid="{00000000-0005-0000-0000-00003D4A0000}"/>
    <cellStyle name="40% - 强调文字颜色 6 2 2 8 4" xfId="19007" xr:uid="{00000000-0005-0000-0000-00003E4A0000}"/>
    <cellStyle name="40% - 强调文字颜色 6 2 2 8 4 2" xfId="19008" xr:uid="{00000000-0005-0000-0000-00003F4A0000}"/>
    <cellStyle name="40% - 强调文字颜色 6 2 2 8 5" xfId="19009" xr:uid="{00000000-0005-0000-0000-0000404A0000}"/>
    <cellStyle name="40% - 强调文字颜色 6 2 2 9" xfId="19010" xr:uid="{00000000-0005-0000-0000-0000414A0000}"/>
    <cellStyle name="40% - 强调文字颜色 6 2 2 9 2" xfId="19011" xr:uid="{00000000-0005-0000-0000-0000424A0000}"/>
    <cellStyle name="40% - 强调文字颜色 6 2 2 9 2 2" xfId="19012" xr:uid="{00000000-0005-0000-0000-0000434A0000}"/>
    <cellStyle name="40% - 强调文字颜色 6 2 2 9 2 2 2" xfId="19013" xr:uid="{00000000-0005-0000-0000-0000444A0000}"/>
    <cellStyle name="40% - 强调文字颜色 6 2 2 9 3" xfId="19014" xr:uid="{00000000-0005-0000-0000-0000454A0000}"/>
    <cellStyle name="40% - 强调文字颜色 6 2 2 9 3 2" xfId="19015" xr:uid="{00000000-0005-0000-0000-0000464A0000}"/>
    <cellStyle name="40% - 强调文字颜色 6 2 2 9 4" xfId="19016" xr:uid="{00000000-0005-0000-0000-0000474A0000}"/>
    <cellStyle name="40% - 强调文字颜色 6 2 2 9 4 2" xfId="19017" xr:uid="{00000000-0005-0000-0000-0000484A0000}"/>
    <cellStyle name="40% - 强调文字颜色 6 2 2 9 5" xfId="19018" xr:uid="{00000000-0005-0000-0000-0000494A0000}"/>
    <cellStyle name="40% - 强调文字颜色 6 2 3" xfId="19019" xr:uid="{00000000-0005-0000-0000-00004A4A0000}"/>
    <cellStyle name="40% - 强调文字颜色 6 2 3 10" xfId="19020" xr:uid="{00000000-0005-0000-0000-00004B4A0000}"/>
    <cellStyle name="40% - 强调文字颜色 6 2 3 10 2" xfId="19021" xr:uid="{00000000-0005-0000-0000-00004C4A0000}"/>
    <cellStyle name="40% - 强调文字颜色 6 2 3 2" xfId="19022" xr:uid="{00000000-0005-0000-0000-00004D4A0000}"/>
    <cellStyle name="40% - 强调文字颜色 6 2 3 2 2" xfId="19023" xr:uid="{00000000-0005-0000-0000-00004E4A0000}"/>
    <cellStyle name="40% - 强调文字颜色 6 2 3 2 2 2" xfId="19024" xr:uid="{00000000-0005-0000-0000-00004F4A0000}"/>
    <cellStyle name="40% - 强调文字颜色 6 2 3 2 2 2 2" xfId="19025" xr:uid="{00000000-0005-0000-0000-0000504A0000}"/>
    <cellStyle name="40% - 强调文字颜色 6 2 3 2 2 2 3" xfId="19026" xr:uid="{00000000-0005-0000-0000-0000514A0000}"/>
    <cellStyle name="40% - 强调文字颜色 6 2 3 2 2 2 3 2" xfId="19027" xr:uid="{00000000-0005-0000-0000-0000524A0000}"/>
    <cellStyle name="40% - 强调文字颜色 6 2 3 2 2 2 3 2 2" xfId="19028" xr:uid="{00000000-0005-0000-0000-0000534A0000}"/>
    <cellStyle name="40% - 强调文字颜色 6 2 3 2 2 2 4" xfId="19029" xr:uid="{00000000-0005-0000-0000-0000544A0000}"/>
    <cellStyle name="40% - 强调文字颜色 6 2 3 2 2 2 4 2" xfId="19030" xr:uid="{00000000-0005-0000-0000-0000554A0000}"/>
    <cellStyle name="40% - 强调文字颜色 6 2 3 2 2 2 5" xfId="19031" xr:uid="{00000000-0005-0000-0000-0000564A0000}"/>
    <cellStyle name="40% - 强调文字颜色 6 2 3 2 2 2 5 2" xfId="19032" xr:uid="{00000000-0005-0000-0000-0000574A0000}"/>
    <cellStyle name="40% - 强调文字颜色 6 2 3 2 2 2 6" xfId="19033" xr:uid="{00000000-0005-0000-0000-0000584A0000}"/>
    <cellStyle name="40% - 强调文字颜色 6 2 3 2 2 3" xfId="19034" xr:uid="{00000000-0005-0000-0000-0000594A0000}"/>
    <cellStyle name="40% - 强调文字颜色 6 2 3 2 2 3 2" xfId="19035" xr:uid="{00000000-0005-0000-0000-00005A4A0000}"/>
    <cellStyle name="40% - 强调文字颜色 6 2 3 2 2 3 2 2" xfId="19036" xr:uid="{00000000-0005-0000-0000-00005B4A0000}"/>
    <cellStyle name="40% - 强调文字颜色 6 2 3 2 2 3 2 2 2" xfId="19037" xr:uid="{00000000-0005-0000-0000-00005C4A0000}"/>
    <cellStyle name="40% - 强调文字颜色 6 2 3 2 2 3 3" xfId="19038" xr:uid="{00000000-0005-0000-0000-00005D4A0000}"/>
    <cellStyle name="40% - 强调文字颜色 6 2 3 2 2 3 3 2" xfId="19039" xr:uid="{00000000-0005-0000-0000-00005E4A0000}"/>
    <cellStyle name="40% - 强调文字颜色 6 2 3 2 2 3 4" xfId="19040" xr:uid="{00000000-0005-0000-0000-00005F4A0000}"/>
    <cellStyle name="40% - 强调文字颜色 6 2 3 2 2 3 4 2" xfId="19041" xr:uid="{00000000-0005-0000-0000-0000604A0000}"/>
    <cellStyle name="40% - 强调文字颜色 6 2 3 2 2 3 5" xfId="19042" xr:uid="{00000000-0005-0000-0000-0000614A0000}"/>
    <cellStyle name="40% - 强调文字颜色 6 2 3 2 2 4" xfId="19043" xr:uid="{00000000-0005-0000-0000-0000624A0000}"/>
    <cellStyle name="40% - 强调文字颜色 6 2 3 2 2 5" xfId="19044" xr:uid="{00000000-0005-0000-0000-0000634A0000}"/>
    <cellStyle name="40% - 强调文字颜色 6 2 3 2 2 6" xfId="19045" xr:uid="{00000000-0005-0000-0000-0000644A0000}"/>
    <cellStyle name="40% - 强调文字颜色 6 2 3 2 2 6 2" xfId="19046" xr:uid="{00000000-0005-0000-0000-0000654A0000}"/>
    <cellStyle name="40% - 强调文字颜色 6 2 3 2 2 7" xfId="19047" xr:uid="{00000000-0005-0000-0000-0000664A0000}"/>
    <cellStyle name="40% - 强调文字颜色 6 2 3 2 2 7 2" xfId="19048" xr:uid="{00000000-0005-0000-0000-0000674A0000}"/>
    <cellStyle name="40% - 强调文字颜色 6 2 3 2 3" xfId="19049" xr:uid="{00000000-0005-0000-0000-0000684A0000}"/>
    <cellStyle name="40% - 强调文字颜色 6 2 3 2 3 2" xfId="19050" xr:uid="{00000000-0005-0000-0000-0000694A0000}"/>
    <cellStyle name="40% - 强调文字颜色 6 2 3 2 3 3" xfId="19051" xr:uid="{00000000-0005-0000-0000-00006A4A0000}"/>
    <cellStyle name="40% - 强调文字颜色 6 2 3 2 3 3 2" xfId="19052" xr:uid="{00000000-0005-0000-0000-00006B4A0000}"/>
    <cellStyle name="40% - 强调文字颜色 6 2 3 2 3 3 2 2" xfId="19053" xr:uid="{00000000-0005-0000-0000-00006C4A0000}"/>
    <cellStyle name="40% - 强调文字颜色 6 2 3 2 3 4" xfId="19054" xr:uid="{00000000-0005-0000-0000-00006D4A0000}"/>
    <cellStyle name="40% - 强调文字颜色 6 2 3 2 3 4 2" xfId="19055" xr:uid="{00000000-0005-0000-0000-00006E4A0000}"/>
    <cellStyle name="40% - 强调文字颜色 6 2 3 2 3 5" xfId="19056" xr:uid="{00000000-0005-0000-0000-00006F4A0000}"/>
    <cellStyle name="40% - 强调文字颜色 6 2 3 2 3 5 2" xfId="19057" xr:uid="{00000000-0005-0000-0000-0000704A0000}"/>
    <cellStyle name="40% - 强调文字颜色 6 2 3 2 3 6" xfId="19058" xr:uid="{00000000-0005-0000-0000-0000714A0000}"/>
    <cellStyle name="40% - 强调文字颜色 6 2 3 2 4" xfId="19059" xr:uid="{00000000-0005-0000-0000-0000724A0000}"/>
    <cellStyle name="40% - 强调文字颜色 6 2 3 2 4 2" xfId="19060" xr:uid="{00000000-0005-0000-0000-0000734A0000}"/>
    <cellStyle name="40% - 强调文字颜色 6 2 3 2 4 2 2" xfId="19061" xr:uid="{00000000-0005-0000-0000-0000744A0000}"/>
    <cellStyle name="40% - 强调文字颜色 6 2 3 2 4 2 2 2" xfId="19062" xr:uid="{00000000-0005-0000-0000-0000754A0000}"/>
    <cellStyle name="40% - 强调文字颜色 6 2 3 2 4 3" xfId="19063" xr:uid="{00000000-0005-0000-0000-0000764A0000}"/>
    <cellStyle name="40% - 强调文字颜色 6 2 3 2 4 3 2" xfId="19064" xr:uid="{00000000-0005-0000-0000-0000774A0000}"/>
    <cellStyle name="40% - 强调文字颜色 6 2 3 2 4 4" xfId="19065" xr:uid="{00000000-0005-0000-0000-0000784A0000}"/>
    <cellStyle name="40% - 强调文字颜色 6 2 3 2 4 4 2" xfId="19066" xr:uid="{00000000-0005-0000-0000-0000794A0000}"/>
    <cellStyle name="40% - 强调文字颜色 6 2 3 2 4 5" xfId="19067" xr:uid="{00000000-0005-0000-0000-00007A4A0000}"/>
    <cellStyle name="40% - 强调文字颜色 6 2 3 2 5" xfId="19068" xr:uid="{00000000-0005-0000-0000-00007B4A0000}"/>
    <cellStyle name="40% - 强调文字颜色 6 2 3 2 6" xfId="19069" xr:uid="{00000000-0005-0000-0000-00007C4A0000}"/>
    <cellStyle name="40% - 强调文字颜色 6 2 3 2 7" xfId="19070" xr:uid="{00000000-0005-0000-0000-00007D4A0000}"/>
    <cellStyle name="40% - 强调文字颜色 6 2 3 2 7 2" xfId="19071" xr:uid="{00000000-0005-0000-0000-00007E4A0000}"/>
    <cellStyle name="40% - 强调文字颜色 6 2 3 2 8" xfId="19072" xr:uid="{00000000-0005-0000-0000-00007F4A0000}"/>
    <cellStyle name="40% - 强调文字颜色 6 2 3 2 8 2" xfId="19073" xr:uid="{00000000-0005-0000-0000-0000804A0000}"/>
    <cellStyle name="40% - 强调文字颜色 6 2 3 3" xfId="19074" xr:uid="{00000000-0005-0000-0000-0000814A0000}"/>
    <cellStyle name="40% - 强调文字颜色 6 2 3 3 2" xfId="19075" xr:uid="{00000000-0005-0000-0000-0000824A0000}"/>
    <cellStyle name="40% - 强调文字颜色 6 2 3 3 2 2" xfId="19076" xr:uid="{00000000-0005-0000-0000-0000834A0000}"/>
    <cellStyle name="40% - 强调文字颜色 6 2 3 3 2 3" xfId="19077" xr:uid="{00000000-0005-0000-0000-0000844A0000}"/>
    <cellStyle name="40% - 强调文字颜色 6 2 3 3 2 3 2" xfId="19078" xr:uid="{00000000-0005-0000-0000-0000854A0000}"/>
    <cellStyle name="40% - 强调文字颜色 6 2 3 3 2 3 2 2" xfId="19079" xr:uid="{00000000-0005-0000-0000-0000864A0000}"/>
    <cellStyle name="40% - 强调文字颜色 6 2 3 3 2 4" xfId="19080" xr:uid="{00000000-0005-0000-0000-0000874A0000}"/>
    <cellStyle name="40% - 强调文字颜色 6 2 3 3 2 4 2" xfId="19081" xr:uid="{00000000-0005-0000-0000-0000884A0000}"/>
    <cellStyle name="40% - 强调文字颜色 6 2 3 3 2 5" xfId="19082" xr:uid="{00000000-0005-0000-0000-0000894A0000}"/>
    <cellStyle name="40% - 强调文字颜色 6 2 3 3 2 5 2" xfId="19083" xr:uid="{00000000-0005-0000-0000-00008A4A0000}"/>
    <cellStyle name="40% - 强调文字颜色 6 2 3 3 2 6" xfId="19084" xr:uid="{00000000-0005-0000-0000-00008B4A0000}"/>
    <cellStyle name="40% - 强调文字颜色 6 2 3 3 3" xfId="19085" xr:uid="{00000000-0005-0000-0000-00008C4A0000}"/>
    <cellStyle name="40% - 强调文字颜色 6 2 3 3 3 2" xfId="19086" xr:uid="{00000000-0005-0000-0000-00008D4A0000}"/>
    <cellStyle name="40% - 强调文字颜色 6 2 3 3 3 2 2" xfId="19087" xr:uid="{00000000-0005-0000-0000-00008E4A0000}"/>
    <cellStyle name="40% - 强调文字颜色 6 2 3 3 3 2 2 2" xfId="19088" xr:uid="{00000000-0005-0000-0000-00008F4A0000}"/>
    <cellStyle name="40% - 强调文字颜色 6 2 3 3 3 3" xfId="19089" xr:uid="{00000000-0005-0000-0000-0000904A0000}"/>
    <cellStyle name="40% - 强调文字颜色 6 2 3 3 3 3 2" xfId="19090" xr:uid="{00000000-0005-0000-0000-0000914A0000}"/>
    <cellStyle name="40% - 强调文字颜色 6 2 3 3 3 4" xfId="19091" xr:uid="{00000000-0005-0000-0000-0000924A0000}"/>
    <cellStyle name="40% - 强调文字颜色 6 2 3 3 3 4 2" xfId="19092" xr:uid="{00000000-0005-0000-0000-0000934A0000}"/>
    <cellStyle name="40% - 强调文字颜色 6 2 3 3 3 5" xfId="19093" xr:uid="{00000000-0005-0000-0000-0000944A0000}"/>
    <cellStyle name="40% - 强调文字颜色 6 2 3 3 4" xfId="19094" xr:uid="{00000000-0005-0000-0000-0000954A0000}"/>
    <cellStyle name="40% - 强调文字颜色 6 2 3 3 5" xfId="19095" xr:uid="{00000000-0005-0000-0000-0000964A0000}"/>
    <cellStyle name="40% - 强调文字颜色 6 2 3 3 6" xfId="19096" xr:uid="{00000000-0005-0000-0000-0000974A0000}"/>
    <cellStyle name="40% - 强调文字颜色 6 2 3 3 6 2" xfId="19097" xr:uid="{00000000-0005-0000-0000-0000984A0000}"/>
    <cellStyle name="40% - 强调文字颜色 6 2 3 3 7" xfId="19098" xr:uid="{00000000-0005-0000-0000-0000994A0000}"/>
    <cellStyle name="40% - 强调文字颜色 6 2 3 3 7 2" xfId="19099" xr:uid="{00000000-0005-0000-0000-00009A4A0000}"/>
    <cellStyle name="40% - 强调文字颜色 6 2 3 4" xfId="19100" xr:uid="{00000000-0005-0000-0000-00009B4A0000}"/>
    <cellStyle name="40% - 强调文字颜色 6 2 3 4 2" xfId="19101" xr:uid="{00000000-0005-0000-0000-00009C4A0000}"/>
    <cellStyle name="40% - 强调文字颜色 6 2 3 4 2 2" xfId="19102" xr:uid="{00000000-0005-0000-0000-00009D4A0000}"/>
    <cellStyle name="40% - 强调文字颜色 6 2 3 4 2 3" xfId="19103" xr:uid="{00000000-0005-0000-0000-00009E4A0000}"/>
    <cellStyle name="40% - 强调文字颜色 6 2 3 4 2 3 2" xfId="19104" xr:uid="{00000000-0005-0000-0000-00009F4A0000}"/>
    <cellStyle name="40% - 强调文字颜色 6 2 3 4 2 3 2 2" xfId="19105" xr:uid="{00000000-0005-0000-0000-0000A04A0000}"/>
    <cellStyle name="40% - 强调文字颜色 6 2 3 4 2 4" xfId="19106" xr:uid="{00000000-0005-0000-0000-0000A14A0000}"/>
    <cellStyle name="40% - 强调文字颜色 6 2 3 4 2 4 2" xfId="19107" xr:uid="{00000000-0005-0000-0000-0000A24A0000}"/>
    <cellStyle name="40% - 强调文字颜色 6 2 3 4 2 5" xfId="19108" xr:uid="{00000000-0005-0000-0000-0000A34A0000}"/>
    <cellStyle name="40% - 强调文字颜色 6 2 3 4 2 5 2" xfId="19109" xr:uid="{00000000-0005-0000-0000-0000A44A0000}"/>
    <cellStyle name="40% - 强调文字颜色 6 2 3 4 2 6" xfId="19110" xr:uid="{00000000-0005-0000-0000-0000A54A0000}"/>
    <cellStyle name="40% - 强调文字颜色 6 2 3 4 3" xfId="19111" xr:uid="{00000000-0005-0000-0000-0000A64A0000}"/>
    <cellStyle name="40% - 强调文字颜色 6 2 3 4 4" xfId="19112" xr:uid="{00000000-0005-0000-0000-0000A74A0000}"/>
    <cellStyle name="40% - 强调文字颜色 6 2 3 4 5" xfId="19113" xr:uid="{00000000-0005-0000-0000-0000A84A0000}"/>
    <cellStyle name="40% - 强调文字颜色 6 2 3 4 6" xfId="19114" xr:uid="{00000000-0005-0000-0000-0000A94A0000}"/>
    <cellStyle name="40% - 强调文字颜色 6 2 3 4 6 2" xfId="19115" xr:uid="{00000000-0005-0000-0000-0000AA4A0000}"/>
    <cellStyle name="40% - 强调文字颜色 6 2 3 4 7" xfId="19116" xr:uid="{00000000-0005-0000-0000-0000AB4A0000}"/>
    <cellStyle name="40% - 强调文字颜色 6 2 3 4 7 2" xfId="19117" xr:uid="{00000000-0005-0000-0000-0000AC4A0000}"/>
    <cellStyle name="40% - 强调文字颜色 6 2 3 5" xfId="19118" xr:uid="{00000000-0005-0000-0000-0000AD4A0000}"/>
    <cellStyle name="40% - 强调文字颜色 6 2 3 5 2" xfId="19119" xr:uid="{00000000-0005-0000-0000-0000AE4A0000}"/>
    <cellStyle name="40% - 强调文字颜色 6 2 3 5 2 2" xfId="19120" xr:uid="{00000000-0005-0000-0000-0000AF4A0000}"/>
    <cellStyle name="40% - 强调文字颜色 6 2 3 5 2 2 2" xfId="19121" xr:uid="{00000000-0005-0000-0000-0000B04A0000}"/>
    <cellStyle name="40% - 强调文字颜色 6 2 3 5 2 2 2 2" xfId="19122" xr:uid="{00000000-0005-0000-0000-0000B14A0000}"/>
    <cellStyle name="40% - 强调文字颜色 6 2 3 5 2 3" xfId="19123" xr:uid="{00000000-0005-0000-0000-0000B24A0000}"/>
    <cellStyle name="40% - 强调文字颜色 6 2 3 5 2 3 2" xfId="19124" xr:uid="{00000000-0005-0000-0000-0000B34A0000}"/>
    <cellStyle name="40% - 强调文字颜色 6 2 3 5 2 4" xfId="19125" xr:uid="{00000000-0005-0000-0000-0000B44A0000}"/>
    <cellStyle name="40% - 强调文字颜色 6 2 3 5 2 4 2" xfId="19126" xr:uid="{00000000-0005-0000-0000-0000B54A0000}"/>
    <cellStyle name="40% - 强调文字颜色 6 2 3 5 2 5" xfId="19127" xr:uid="{00000000-0005-0000-0000-0000B64A0000}"/>
    <cellStyle name="40% - 强调文字颜色 6 2 3 5 3" xfId="19128" xr:uid="{00000000-0005-0000-0000-0000B74A0000}"/>
    <cellStyle name="40% - 强调文字颜色 6 2 3 5 3 2" xfId="19129" xr:uid="{00000000-0005-0000-0000-0000B84A0000}"/>
    <cellStyle name="40% - 强调文字颜色 6 2 3 5 3 2 2" xfId="19130" xr:uid="{00000000-0005-0000-0000-0000B94A0000}"/>
    <cellStyle name="40% - 强调文字颜色 6 2 3 5 4" xfId="19131" xr:uid="{00000000-0005-0000-0000-0000BA4A0000}"/>
    <cellStyle name="40% - 强调文字颜色 6 2 3 5 4 2" xfId="19132" xr:uid="{00000000-0005-0000-0000-0000BB4A0000}"/>
    <cellStyle name="40% - 强调文字颜色 6 2 3 5 5" xfId="19133" xr:uid="{00000000-0005-0000-0000-0000BC4A0000}"/>
    <cellStyle name="40% - 强调文字颜色 6 2 3 5 5 2" xfId="19134" xr:uid="{00000000-0005-0000-0000-0000BD4A0000}"/>
    <cellStyle name="40% - 强调文字颜色 6 2 3 5 6" xfId="19135" xr:uid="{00000000-0005-0000-0000-0000BE4A0000}"/>
    <cellStyle name="40% - 强调文字颜色 6 2 3 6" xfId="19136" xr:uid="{00000000-0005-0000-0000-0000BF4A0000}"/>
    <cellStyle name="40% - 强调文字颜色 6 2 3 6 2" xfId="19137" xr:uid="{00000000-0005-0000-0000-0000C04A0000}"/>
    <cellStyle name="40% - 强调文字颜色 6 2 3 6 2 2" xfId="19138" xr:uid="{00000000-0005-0000-0000-0000C14A0000}"/>
    <cellStyle name="40% - 强调文字颜色 6 2 3 6 2 2 2" xfId="19139" xr:uid="{00000000-0005-0000-0000-0000C24A0000}"/>
    <cellStyle name="40% - 强调文字颜色 6 2 3 6 3" xfId="19140" xr:uid="{00000000-0005-0000-0000-0000C34A0000}"/>
    <cellStyle name="40% - 强调文字颜色 6 2 3 6 3 2" xfId="19141" xr:uid="{00000000-0005-0000-0000-0000C44A0000}"/>
    <cellStyle name="40% - 强调文字颜色 6 2 3 6 4" xfId="19142" xr:uid="{00000000-0005-0000-0000-0000C54A0000}"/>
    <cellStyle name="40% - 强调文字颜色 6 2 3 6 4 2" xfId="19143" xr:uid="{00000000-0005-0000-0000-0000C64A0000}"/>
    <cellStyle name="40% - 强调文字颜色 6 2 3 6 5" xfId="19144" xr:uid="{00000000-0005-0000-0000-0000C74A0000}"/>
    <cellStyle name="40% - 强调文字颜色 6 2 3 7" xfId="19145" xr:uid="{00000000-0005-0000-0000-0000C84A0000}"/>
    <cellStyle name="40% - 强调文字颜色 6 2 3 7 2" xfId="19146" xr:uid="{00000000-0005-0000-0000-0000C94A0000}"/>
    <cellStyle name="40% - 强调文字颜色 6 2 3 7 2 2" xfId="19147" xr:uid="{00000000-0005-0000-0000-0000CA4A0000}"/>
    <cellStyle name="40% - 强调文字颜色 6 2 3 7 2 2 2" xfId="19148" xr:uid="{00000000-0005-0000-0000-0000CB4A0000}"/>
    <cellStyle name="40% - 强调文字颜色 6 2 3 7 3" xfId="19149" xr:uid="{00000000-0005-0000-0000-0000CC4A0000}"/>
    <cellStyle name="40% - 强调文字颜色 6 2 3 7 3 2" xfId="19150" xr:uid="{00000000-0005-0000-0000-0000CD4A0000}"/>
    <cellStyle name="40% - 强调文字颜色 6 2 3 7 4" xfId="19151" xr:uid="{00000000-0005-0000-0000-0000CE4A0000}"/>
    <cellStyle name="40% - 强调文字颜色 6 2 3 7 4 2" xfId="19152" xr:uid="{00000000-0005-0000-0000-0000CF4A0000}"/>
    <cellStyle name="40% - 强调文字颜色 6 2 3 7 5" xfId="19153" xr:uid="{00000000-0005-0000-0000-0000D04A0000}"/>
    <cellStyle name="40% - 强调文字颜色 6 2 3 8" xfId="19154" xr:uid="{00000000-0005-0000-0000-0000D14A0000}"/>
    <cellStyle name="40% - 强调文字颜色 6 2 3 9" xfId="19155" xr:uid="{00000000-0005-0000-0000-0000D24A0000}"/>
    <cellStyle name="40% - 强调文字颜色 6 2 3 9 2" xfId="19156" xr:uid="{00000000-0005-0000-0000-0000D34A0000}"/>
    <cellStyle name="40% - 强调文字颜色 6 2 4" xfId="19157" xr:uid="{00000000-0005-0000-0000-0000D44A0000}"/>
    <cellStyle name="40% - 强调文字颜色 6 2 4 2" xfId="19158" xr:uid="{00000000-0005-0000-0000-0000D54A0000}"/>
    <cellStyle name="40% - 强调文字颜色 6 2 4 2 2" xfId="19159" xr:uid="{00000000-0005-0000-0000-0000D64A0000}"/>
    <cellStyle name="40% - 强调文字颜色 6 2 4 2 3" xfId="19160" xr:uid="{00000000-0005-0000-0000-0000D74A0000}"/>
    <cellStyle name="40% - 强调文字颜色 6 2 4 2 3 2" xfId="19161" xr:uid="{00000000-0005-0000-0000-0000D84A0000}"/>
    <cellStyle name="40% - 强调文字颜色 6 2 4 2 3 2 2" xfId="19162" xr:uid="{00000000-0005-0000-0000-0000D94A0000}"/>
    <cellStyle name="40% - 强调文字颜色 6 2 4 2 4" xfId="19163" xr:uid="{00000000-0005-0000-0000-0000DA4A0000}"/>
    <cellStyle name="40% - 强调文字颜色 6 2 4 2 4 2" xfId="19164" xr:uid="{00000000-0005-0000-0000-0000DB4A0000}"/>
    <cellStyle name="40% - 强调文字颜色 6 2 4 2 5" xfId="19165" xr:uid="{00000000-0005-0000-0000-0000DC4A0000}"/>
    <cellStyle name="40% - 强调文字颜色 6 2 4 2 5 2" xfId="19166" xr:uid="{00000000-0005-0000-0000-0000DD4A0000}"/>
    <cellStyle name="40% - 强调文字颜色 6 2 4 2 6" xfId="19167" xr:uid="{00000000-0005-0000-0000-0000DE4A0000}"/>
    <cellStyle name="40% - 强调文字颜色 6 2 4 3" xfId="19168" xr:uid="{00000000-0005-0000-0000-0000DF4A0000}"/>
    <cellStyle name="40% - 强调文字颜色 6 2 4 3 2" xfId="19169" xr:uid="{00000000-0005-0000-0000-0000E04A0000}"/>
    <cellStyle name="40% - 强调文字颜色 6 2 4 3 2 2" xfId="19170" xr:uid="{00000000-0005-0000-0000-0000E14A0000}"/>
    <cellStyle name="40% - 强调文字颜色 6 2 4 3 2 2 2" xfId="19171" xr:uid="{00000000-0005-0000-0000-0000E24A0000}"/>
    <cellStyle name="40% - 强调文字颜色 6 2 4 3 3" xfId="19172" xr:uid="{00000000-0005-0000-0000-0000E34A0000}"/>
    <cellStyle name="40% - 强调文字颜色 6 2 4 3 3 2" xfId="19173" xr:uid="{00000000-0005-0000-0000-0000E44A0000}"/>
    <cellStyle name="40% - 强调文字颜色 6 2 4 3 4" xfId="19174" xr:uid="{00000000-0005-0000-0000-0000E54A0000}"/>
    <cellStyle name="40% - 强调文字颜色 6 2 4 3 4 2" xfId="19175" xr:uid="{00000000-0005-0000-0000-0000E64A0000}"/>
    <cellStyle name="40% - 强调文字颜色 6 2 4 3 5" xfId="19176" xr:uid="{00000000-0005-0000-0000-0000E74A0000}"/>
    <cellStyle name="40% - 强调文字颜色 6 2 4 4" xfId="19177" xr:uid="{00000000-0005-0000-0000-0000E84A0000}"/>
    <cellStyle name="40% - 强调文字颜色 6 2 4 5" xfId="19178" xr:uid="{00000000-0005-0000-0000-0000E94A0000}"/>
    <cellStyle name="40% - 强调文字颜色 6 2 4 6" xfId="19179" xr:uid="{00000000-0005-0000-0000-0000EA4A0000}"/>
    <cellStyle name="40% - 强调文字颜色 6 2 4 6 2" xfId="19180" xr:uid="{00000000-0005-0000-0000-0000EB4A0000}"/>
    <cellStyle name="40% - 强调文字颜色 6 2 4 7" xfId="19181" xr:uid="{00000000-0005-0000-0000-0000EC4A0000}"/>
    <cellStyle name="40% - 强调文字颜色 6 2 4 7 2" xfId="19182" xr:uid="{00000000-0005-0000-0000-0000ED4A0000}"/>
    <cellStyle name="40% - 强调文字颜色 6 2 5" xfId="19183" xr:uid="{00000000-0005-0000-0000-0000EE4A0000}"/>
    <cellStyle name="40% - 强调文字颜色 6 2 5 2" xfId="19184" xr:uid="{00000000-0005-0000-0000-0000EF4A0000}"/>
    <cellStyle name="40% - 强调文字颜色 6 2 5 2 2" xfId="19185" xr:uid="{00000000-0005-0000-0000-0000F04A0000}"/>
    <cellStyle name="40% - 强调文字颜色 6 2 5 2 3" xfId="19186" xr:uid="{00000000-0005-0000-0000-0000F14A0000}"/>
    <cellStyle name="40% - 强调文字颜色 6 2 5 2 3 2" xfId="19187" xr:uid="{00000000-0005-0000-0000-0000F24A0000}"/>
    <cellStyle name="40% - 强调文字颜色 6 2 5 2 3 2 2" xfId="19188" xr:uid="{00000000-0005-0000-0000-0000F34A0000}"/>
    <cellStyle name="40% - 强调文字颜色 6 2 5 2 4" xfId="19189" xr:uid="{00000000-0005-0000-0000-0000F44A0000}"/>
    <cellStyle name="40% - 强调文字颜色 6 2 5 2 4 2" xfId="19190" xr:uid="{00000000-0005-0000-0000-0000F54A0000}"/>
    <cellStyle name="40% - 强调文字颜色 6 2 5 2 5" xfId="19191" xr:uid="{00000000-0005-0000-0000-0000F64A0000}"/>
    <cellStyle name="40% - 强调文字颜色 6 2 5 2 5 2" xfId="19192" xr:uid="{00000000-0005-0000-0000-0000F74A0000}"/>
    <cellStyle name="40% - 强调文字颜色 6 2 5 2 6" xfId="19193" xr:uid="{00000000-0005-0000-0000-0000F84A0000}"/>
    <cellStyle name="40% - 强调文字颜色 6 2 5 3" xfId="19194" xr:uid="{00000000-0005-0000-0000-0000F94A0000}"/>
    <cellStyle name="40% - 强调文字颜色 6 2 5 4" xfId="19195" xr:uid="{00000000-0005-0000-0000-0000FA4A0000}"/>
    <cellStyle name="40% - 强调文字颜色 6 2 5 5" xfId="19196" xr:uid="{00000000-0005-0000-0000-0000FB4A0000}"/>
    <cellStyle name="40% - 强调文字颜色 6 2 5 6" xfId="19197" xr:uid="{00000000-0005-0000-0000-0000FC4A0000}"/>
    <cellStyle name="40% - 强调文字颜色 6 2 5 6 2" xfId="19198" xr:uid="{00000000-0005-0000-0000-0000FD4A0000}"/>
    <cellStyle name="40% - 强调文字颜色 6 2 5 7" xfId="19199" xr:uid="{00000000-0005-0000-0000-0000FE4A0000}"/>
    <cellStyle name="40% - 强调文字颜色 6 2 5 7 2" xfId="19200" xr:uid="{00000000-0005-0000-0000-0000FF4A0000}"/>
    <cellStyle name="40% - 强调文字颜色 6 2 6" xfId="19201" xr:uid="{00000000-0005-0000-0000-0000004B0000}"/>
    <cellStyle name="40% - 强调文字颜色 6 2 6 2" xfId="19202" xr:uid="{00000000-0005-0000-0000-0000014B0000}"/>
    <cellStyle name="40% - 强调文字颜色 6 2 6 2 2" xfId="19203" xr:uid="{00000000-0005-0000-0000-0000024B0000}"/>
    <cellStyle name="40% - 强调文字颜色 6 2 6 2 2 2" xfId="19204" xr:uid="{00000000-0005-0000-0000-0000034B0000}"/>
    <cellStyle name="40% - 强调文字颜色 6 2 6 2 2 2 2" xfId="19205" xr:uid="{00000000-0005-0000-0000-0000044B0000}"/>
    <cellStyle name="40% - 强调文字颜色 6 2 6 2 3" xfId="19206" xr:uid="{00000000-0005-0000-0000-0000054B0000}"/>
    <cellStyle name="40% - 强调文字颜色 6 2 6 2 3 2" xfId="19207" xr:uid="{00000000-0005-0000-0000-0000064B0000}"/>
    <cellStyle name="40% - 强调文字颜色 6 2 6 2 4" xfId="19208" xr:uid="{00000000-0005-0000-0000-0000074B0000}"/>
    <cellStyle name="40% - 强调文字颜色 6 2 6 2 4 2" xfId="19209" xr:uid="{00000000-0005-0000-0000-0000084B0000}"/>
    <cellStyle name="40% - 强调文字颜色 6 2 6 2 5" xfId="19210" xr:uid="{00000000-0005-0000-0000-0000094B0000}"/>
    <cellStyle name="40% - 强调文字颜色 6 2 6 3" xfId="19211" xr:uid="{00000000-0005-0000-0000-00000A4B0000}"/>
    <cellStyle name="40% - 强调文字颜色 6 2 6 3 2" xfId="19212" xr:uid="{00000000-0005-0000-0000-00000B4B0000}"/>
    <cellStyle name="40% - 强调文字颜色 6 2 6 3 2 2" xfId="19213" xr:uid="{00000000-0005-0000-0000-00000C4B0000}"/>
    <cellStyle name="40% - 强调文字颜色 6 2 6 4" xfId="19214" xr:uid="{00000000-0005-0000-0000-00000D4B0000}"/>
    <cellStyle name="40% - 强调文字颜色 6 2 6 4 2" xfId="19215" xr:uid="{00000000-0005-0000-0000-00000E4B0000}"/>
    <cellStyle name="40% - 强调文字颜色 6 2 6 5" xfId="19216" xr:uid="{00000000-0005-0000-0000-00000F4B0000}"/>
    <cellStyle name="40% - 强调文字颜色 6 2 6 5 2" xfId="19217" xr:uid="{00000000-0005-0000-0000-0000104B0000}"/>
    <cellStyle name="40% - 强调文字颜色 6 2 6 6" xfId="19218" xr:uid="{00000000-0005-0000-0000-0000114B0000}"/>
    <cellStyle name="40% - 强调文字颜色 6 2 7" xfId="19219" xr:uid="{00000000-0005-0000-0000-0000124B0000}"/>
    <cellStyle name="40% - 强调文字颜色 6 2 7 2" xfId="19220" xr:uid="{00000000-0005-0000-0000-0000134B0000}"/>
    <cellStyle name="40% - 强调文字颜色 6 2 7 2 2" xfId="19221" xr:uid="{00000000-0005-0000-0000-0000144B0000}"/>
    <cellStyle name="40% - 强调文字颜色 6 2 7 2 2 2" xfId="19222" xr:uid="{00000000-0005-0000-0000-0000154B0000}"/>
    <cellStyle name="40% - 强调文字颜色 6 2 7 2 2 2 2" xfId="19223" xr:uid="{00000000-0005-0000-0000-0000164B0000}"/>
    <cellStyle name="40% - 强调文字颜色 6 2 7 2 3" xfId="19224" xr:uid="{00000000-0005-0000-0000-0000174B0000}"/>
    <cellStyle name="40% - 强调文字颜色 6 2 7 2 3 2" xfId="19225" xr:uid="{00000000-0005-0000-0000-0000184B0000}"/>
    <cellStyle name="40% - 强调文字颜色 6 2 7 2 4" xfId="19226" xr:uid="{00000000-0005-0000-0000-0000194B0000}"/>
    <cellStyle name="40% - 强调文字颜色 6 2 7 2 4 2" xfId="19227" xr:uid="{00000000-0005-0000-0000-00001A4B0000}"/>
    <cellStyle name="40% - 强调文字颜色 6 2 7 2 5" xfId="19228" xr:uid="{00000000-0005-0000-0000-00001B4B0000}"/>
    <cellStyle name="40% - 强调文字颜色 6 2 7 3" xfId="19229" xr:uid="{00000000-0005-0000-0000-00001C4B0000}"/>
    <cellStyle name="40% - 强调文字颜色 6 2 7 3 2" xfId="19230" xr:uid="{00000000-0005-0000-0000-00001D4B0000}"/>
    <cellStyle name="40% - 强调文字颜色 6 2 7 3 2 2" xfId="19231" xr:uid="{00000000-0005-0000-0000-00001E4B0000}"/>
    <cellStyle name="40% - 强调文字颜色 6 2 7 4" xfId="19232" xr:uid="{00000000-0005-0000-0000-00001F4B0000}"/>
    <cellStyle name="40% - 强调文字颜色 6 2 7 4 2" xfId="19233" xr:uid="{00000000-0005-0000-0000-0000204B0000}"/>
    <cellStyle name="40% - 强调文字颜色 6 2 7 5" xfId="19234" xr:uid="{00000000-0005-0000-0000-0000214B0000}"/>
    <cellStyle name="40% - 强调文字颜色 6 2 7 5 2" xfId="19235" xr:uid="{00000000-0005-0000-0000-0000224B0000}"/>
    <cellStyle name="40% - 强调文字颜色 6 2 7 6" xfId="19236" xr:uid="{00000000-0005-0000-0000-0000234B0000}"/>
    <cellStyle name="40% - 强调文字颜色 6 2 8" xfId="19237" xr:uid="{00000000-0005-0000-0000-0000244B0000}"/>
    <cellStyle name="40% - 强调文字颜色 6 2 8 2" xfId="19238" xr:uid="{00000000-0005-0000-0000-0000254B0000}"/>
    <cellStyle name="40% - 强调文字颜色 6 2 8 2 2" xfId="19239" xr:uid="{00000000-0005-0000-0000-0000264B0000}"/>
    <cellStyle name="40% - 强调文字颜色 6 2 8 2 2 2" xfId="19240" xr:uid="{00000000-0005-0000-0000-0000274B0000}"/>
    <cellStyle name="40% - 强调文字颜色 6 2 8 2 2 2 2" xfId="19241" xr:uid="{00000000-0005-0000-0000-0000284B0000}"/>
    <cellStyle name="40% - 强调文字颜色 6 2 8 2 3" xfId="19242" xr:uid="{00000000-0005-0000-0000-0000294B0000}"/>
    <cellStyle name="40% - 强调文字颜色 6 2 8 2 3 2" xfId="19243" xr:uid="{00000000-0005-0000-0000-00002A4B0000}"/>
    <cellStyle name="40% - 强调文字颜色 6 2 8 2 4" xfId="19244" xr:uid="{00000000-0005-0000-0000-00002B4B0000}"/>
    <cellStyle name="40% - 强调文字颜色 6 2 8 2 4 2" xfId="19245" xr:uid="{00000000-0005-0000-0000-00002C4B0000}"/>
    <cellStyle name="40% - 强调文字颜色 6 2 8 2 5" xfId="19246" xr:uid="{00000000-0005-0000-0000-00002D4B0000}"/>
    <cellStyle name="40% - 强调文字颜色 6 2 8 3" xfId="19247" xr:uid="{00000000-0005-0000-0000-00002E4B0000}"/>
    <cellStyle name="40% - 强调文字颜色 6 2 8 3 2" xfId="19248" xr:uid="{00000000-0005-0000-0000-00002F4B0000}"/>
    <cellStyle name="40% - 强调文字颜色 6 2 8 3 2 2" xfId="19249" xr:uid="{00000000-0005-0000-0000-0000304B0000}"/>
    <cellStyle name="40% - 强调文字颜色 6 2 8 4" xfId="19250" xr:uid="{00000000-0005-0000-0000-0000314B0000}"/>
    <cellStyle name="40% - 强调文字颜色 6 2 8 4 2" xfId="19251" xr:uid="{00000000-0005-0000-0000-0000324B0000}"/>
    <cellStyle name="40% - 强调文字颜色 6 2 8 5" xfId="19252" xr:uid="{00000000-0005-0000-0000-0000334B0000}"/>
    <cellStyle name="40% - 强调文字颜色 6 2 8 5 2" xfId="19253" xr:uid="{00000000-0005-0000-0000-0000344B0000}"/>
    <cellStyle name="40% - 强调文字颜色 6 2 8 6" xfId="19254" xr:uid="{00000000-0005-0000-0000-0000354B0000}"/>
    <cellStyle name="40% - 强调文字颜色 6 2 9" xfId="19255" xr:uid="{00000000-0005-0000-0000-0000364B0000}"/>
    <cellStyle name="40% - 强调文字颜色 6 2 9 2" xfId="19256" xr:uid="{00000000-0005-0000-0000-0000374B0000}"/>
    <cellStyle name="40% - 强调文字颜色 6 2 9 2 2" xfId="19257" xr:uid="{00000000-0005-0000-0000-0000384B0000}"/>
    <cellStyle name="40% - 强调文字颜色 6 2 9 2 2 2" xfId="19258" xr:uid="{00000000-0005-0000-0000-0000394B0000}"/>
    <cellStyle name="40% - 强调文字颜色 6 2 9 3" xfId="19259" xr:uid="{00000000-0005-0000-0000-00003A4B0000}"/>
    <cellStyle name="40% - 强调文字颜色 6 2 9 3 2" xfId="19260" xr:uid="{00000000-0005-0000-0000-00003B4B0000}"/>
    <cellStyle name="40% - 强调文字颜色 6 2 9 4" xfId="19261" xr:uid="{00000000-0005-0000-0000-00003C4B0000}"/>
    <cellStyle name="40% - 强调文字颜色 6 2 9 4 2" xfId="19262" xr:uid="{00000000-0005-0000-0000-00003D4B0000}"/>
    <cellStyle name="40% - 强调文字颜色 6 2 9 5" xfId="19263" xr:uid="{00000000-0005-0000-0000-00003E4B0000}"/>
    <cellStyle name="40% - 强调文字颜色 6 3" xfId="19264" xr:uid="{00000000-0005-0000-0000-00003F4B0000}"/>
    <cellStyle name="40% - 强调文字颜色 6 3 2" xfId="19265" xr:uid="{00000000-0005-0000-0000-0000404B0000}"/>
    <cellStyle name="40% - 强调文字颜色 6 3 2 2" xfId="19266" xr:uid="{00000000-0005-0000-0000-0000414B0000}"/>
    <cellStyle name="40% - 强调文字颜色 6 3 2 2 2" xfId="19267" xr:uid="{00000000-0005-0000-0000-0000424B0000}"/>
    <cellStyle name="40% - 强调文字颜色 6 3 2 2 2 2" xfId="19268" xr:uid="{00000000-0005-0000-0000-0000434B0000}"/>
    <cellStyle name="40% - 强调文字颜色 6 3 2 2 2 3" xfId="19269" xr:uid="{00000000-0005-0000-0000-0000444B0000}"/>
    <cellStyle name="40% - 强调文字颜色 6 3 2 2 2 3 2" xfId="19270" xr:uid="{00000000-0005-0000-0000-0000454B0000}"/>
    <cellStyle name="40% - 强调文字颜色 6 3 2 2 2 3 2 2" xfId="19271" xr:uid="{00000000-0005-0000-0000-0000464B0000}"/>
    <cellStyle name="40% - 强调文字颜色 6 3 2 2 2 4" xfId="19272" xr:uid="{00000000-0005-0000-0000-0000474B0000}"/>
    <cellStyle name="40% - 强调文字颜色 6 3 2 2 2 4 2" xfId="19273" xr:uid="{00000000-0005-0000-0000-0000484B0000}"/>
    <cellStyle name="40% - 强调文字颜色 6 3 2 2 2 5" xfId="19274" xr:uid="{00000000-0005-0000-0000-0000494B0000}"/>
    <cellStyle name="40% - 强调文字颜色 6 3 2 2 2 5 2" xfId="19275" xr:uid="{00000000-0005-0000-0000-00004A4B0000}"/>
    <cellStyle name="40% - 强调文字颜色 6 3 2 2 2 6" xfId="19276" xr:uid="{00000000-0005-0000-0000-00004B4B0000}"/>
    <cellStyle name="40% - 强调文字颜色 6 3 2 2 3" xfId="19277" xr:uid="{00000000-0005-0000-0000-00004C4B0000}"/>
    <cellStyle name="40% - 强调文字颜色 6 3 2 2 3 2" xfId="19278" xr:uid="{00000000-0005-0000-0000-00004D4B0000}"/>
    <cellStyle name="40% - 强调文字颜色 6 3 2 2 3 2 2" xfId="19279" xr:uid="{00000000-0005-0000-0000-00004E4B0000}"/>
    <cellStyle name="40% - 强调文字颜色 6 3 2 2 3 2 2 2" xfId="19280" xr:uid="{00000000-0005-0000-0000-00004F4B0000}"/>
    <cellStyle name="40% - 强调文字颜色 6 3 2 2 3 3" xfId="19281" xr:uid="{00000000-0005-0000-0000-0000504B0000}"/>
    <cellStyle name="40% - 强调文字颜色 6 3 2 2 3 3 2" xfId="19282" xr:uid="{00000000-0005-0000-0000-0000514B0000}"/>
    <cellStyle name="40% - 强调文字颜色 6 3 2 2 3 4" xfId="19283" xr:uid="{00000000-0005-0000-0000-0000524B0000}"/>
    <cellStyle name="40% - 强调文字颜色 6 3 2 2 3 4 2" xfId="19284" xr:uid="{00000000-0005-0000-0000-0000534B0000}"/>
    <cellStyle name="40% - 强调文字颜色 6 3 2 2 3 5" xfId="19285" xr:uid="{00000000-0005-0000-0000-0000544B0000}"/>
    <cellStyle name="40% - 强调文字颜色 6 3 2 2 4" xfId="19286" xr:uid="{00000000-0005-0000-0000-0000554B0000}"/>
    <cellStyle name="40% - 强调文字颜色 6 3 2 2 5" xfId="19287" xr:uid="{00000000-0005-0000-0000-0000564B0000}"/>
    <cellStyle name="40% - 强调文字颜色 6 3 2 2 6" xfId="19288" xr:uid="{00000000-0005-0000-0000-0000574B0000}"/>
    <cellStyle name="40% - 强调文字颜色 6 3 2 2 6 2" xfId="19289" xr:uid="{00000000-0005-0000-0000-0000584B0000}"/>
    <cellStyle name="40% - 强调文字颜色 6 3 2 2 7" xfId="19290" xr:uid="{00000000-0005-0000-0000-0000594B0000}"/>
    <cellStyle name="40% - 强调文字颜色 6 3 2 2 7 2" xfId="19291" xr:uid="{00000000-0005-0000-0000-00005A4B0000}"/>
    <cellStyle name="40% - 强调文字颜色 6 3 2 3" xfId="19292" xr:uid="{00000000-0005-0000-0000-00005B4B0000}"/>
    <cellStyle name="40% - 强调文字颜色 6 3 2 3 2" xfId="19293" xr:uid="{00000000-0005-0000-0000-00005C4B0000}"/>
    <cellStyle name="40% - 强调文字颜色 6 3 2 3 3" xfId="19294" xr:uid="{00000000-0005-0000-0000-00005D4B0000}"/>
    <cellStyle name="40% - 强调文字颜色 6 3 2 3 3 2" xfId="19295" xr:uid="{00000000-0005-0000-0000-00005E4B0000}"/>
    <cellStyle name="40% - 强调文字颜色 6 3 2 3 3 2 2" xfId="19296" xr:uid="{00000000-0005-0000-0000-00005F4B0000}"/>
    <cellStyle name="40% - 强调文字颜色 6 3 2 3 4" xfId="19297" xr:uid="{00000000-0005-0000-0000-0000604B0000}"/>
    <cellStyle name="40% - 强调文字颜色 6 3 2 3 4 2" xfId="19298" xr:uid="{00000000-0005-0000-0000-0000614B0000}"/>
    <cellStyle name="40% - 强调文字颜色 6 3 2 3 5" xfId="19299" xr:uid="{00000000-0005-0000-0000-0000624B0000}"/>
    <cellStyle name="40% - 强调文字颜色 6 3 2 3 5 2" xfId="19300" xr:uid="{00000000-0005-0000-0000-0000634B0000}"/>
    <cellStyle name="40% - 强调文字颜色 6 3 2 3 6" xfId="19301" xr:uid="{00000000-0005-0000-0000-0000644B0000}"/>
    <cellStyle name="40% - 强调文字颜色 6 3 2 4" xfId="19302" xr:uid="{00000000-0005-0000-0000-0000654B0000}"/>
    <cellStyle name="40% - 强调文字颜色 6 3 2 4 2" xfId="19303" xr:uid="{00000000-0005-0000-0000-0000664B0000}"/>
    <cellStyle name="40% - 强调文字颜色 6 3 2 4 2 2" xfId="19304" xr:uid="{00000000-0005-0000-0000-0000674B0000}"/>
    <cellStyle name="40% - 强调文字颜色 6 3 2 4 2 2 2" xfId="19305" xr:uid="{00000000-0005-0000-0000-0000684B0000}"/>
    <cellStyle name="40% - 强调文字颜色 6 3 2 4 3" xfId="19306" xr:uid="{00000000-0005-0000-0000-0000694B0000}"/>
    <cellStyle name="40% - 强调文字颜色 6 3 2 4 3 2" xfId="19307" xr:uid="{00000000-0005-0000-0000-00006A4B0000}"/>
    <cellStyle name="40% - 强调文字颜色 6 3 2 4 4" xfId="19308" xr:uid="{00000000-0005-0000-0000-00006B4B0000}"/>
    <cellStyle name="40% - 强调文字颜色 6 3 2 4 4 2" xfId="19309" xr:uid="{00000000-0005-0000-0000-00006C4B0000}"/>
    <cellStyle name="40% - 强调文字颜色 6 3 2 4 5" xfId="19310" xr:uid="{00000000-0005-0000-0000-00006D4B0000}"/>
    <cellStyle name="40% - 强调文字颜色 6 3 2 5" xfId="19311" xr:uid="{00000000-0005-0000-0000-00006E4B0000}"/>
    <cellStyle name="40% - 强调文字颜色 6 3 2 6" xfId="19312" xr:uid="{00000000-0005-0000-0000-00006F4B0000}"/>
    <cellStyle name="40% - 强调文字颜色 6 3 2 7" xfId="19313" xr:uid="{00000000-0005-0000-0000-0000704B0000}"/>
    <cellStyle name="40% - 强调文字颜色 6 3 2 7 2" xfId="19314" xr:uid="{00000000-0005-0000-0000-0000714B0000}"/>
    <cellStyle name="40% - 强调文字颜色 6 3 2 8" xfId="19315" xr:uid="{00000000-0005-0000-0000-0000724B0000}"/>
    <cellStyle name="40% - 强调文字颜色 6 3 2 8 2" xfId="19316" xr:uid="{00000000-0005-0000-0000-0000734B0000}"/>
    <cellStyle name="40% - 强调文字颜色 6 3 3" xfId="19317" xr:uid="{00000000-0005-0000-0000-0000744B0000}"/>
    <cellStyle name="40% - 强调文字颜色 6 3 3 2" xfId="19318" xr:uid="{00000000-0005-0000-0000-0000754B0000}"/>
    <cellStyle name="40% - 强调文字颜色 6 3 3 2 2" xfId="19319" xr:uid="{00000000-0005-0000-0000-0000764B0000}"/>
    <cellStyle name="40% - 强调文字颜色 6 3 3 2 3" xfId="19320" xr:uid="{00000000-0005-0000-0000-0000774B0000}"/>
    <cellStyle name="40% - 强调文字颜色 6 3 3 2 3 2" xfId="19321" xr:uid="{00000000-0005-0000-0000-0000784B0000}"/>
    <cellStyle name="40% - 强调文字颜色 6 3 3 2 3 2 2" xfId="19322" xr:uid="{00000000-0005-0000-0000-0000794B0000}"/>
    <cellStyle name="40% - 强调文字颜色 6 3 3 2 4" xfId="19323" xr:uid="{00000000-0005-0000-0000-00007A4B0000}"/>
    <cellStyle name="40% - 强调文字颜色 6 3 3 2 4 2" xfId="19324" xr:uid="{00000000-0005-0000-0000-00007B4B0000}"/>
    <cellStyle name="40% - 强调文字颜色 6 3 3 2 5" xfId="19325" xr:uid="{00000000-0005-0000-0000-00007C4B0000}"/>
    <cellStyle name="40% - 强调文字颜色 6 3 3 2 5 2" xfId="19326" xr:uid="{00000000-0005-0000-0000-00007D4B0000}"/>
    <cellStyle name="40% - 强调文字颜色 6 3 3 2 6" xfId="19327" xr:uid="{00000000-0005-0000-0000-00007E4B0000}"/>
    <cellStyle name="40% - 强调文字颜色 6 3 3 3" xfId="19328" xr:uid="{00000000-0005-0000-0000-00007F4B0000}"/>
    <cellStyle name="40% - 强调文字颜色 6 3 3 3 2" xfId="19329" xr:uid="{00000000-0005-0000-0000-0000804B0000}"/>
    <cellStyle name="40% - 强调文字颜色 6 3 3 3 2 2" xfId="19330" xr:uid="{00000000-0005-0000-0000-0000814B0000}"/>
    <cellStyle name="40% - 强调文字颜色 6 3 3 3 2 2 2" xfId="19331" xr:uid="{00000000-0005-0000-0000-0000824B0000}"/>
    <cellStyle name="40% - 强调文字颜色 6 3 3 3 3" xfId="19332" xr:uid="{00000000-0005-0000-0000-0000834B0000}"/>
    <cellStyle name="40% - 强调文字颜色 6 3 3 3 3 2" xfId="19333" xr:uid="{00000000-0005-0000-0000-0000844B0000}"/>
    <cellStyle name="40% - 强调文字颜色 6 3 3 3 4" xfId="19334" xr:uid="{00000000-0005-0000-0000-0000854B0000}"/>
    <cellStyle name="40% - 强调文字颜色 6 3 3 3 4 2" xfId="19335" xr:uid="{00000000-0005-0000-0000-0000864B0000}"/>
    <cellStyle name="40% - 强调文字颜色 6 3 3 3 5" xfId="19336" xr:uid="{00000000-0005-0000-0000-0000874B0000}"/>
    <cellStyle name="40% - 强调文字颜色 6 3 3 4" xfId="19337" xr:uid="{00000000-0005-0000-0000-0000884B0000}"/>
    <cellStyle name="40% - 强调文字颜色 6 3 3 5" xfId="19338" xr:uid="{00000000-0005-0000-0000-0000894B0000}"/>
    <cellStyle name="40% - 强调文字颜色 6 3 3 6" xfId="19339" xr:uid="{00000000-0005-0000-0000-00008A4B0000}"/>
    <cellStyle name="40% - 强调文字颜色 6 3 3 6 2" xfId="19340" xr:uid="{00000000-0005-0000-0000-00008B4B0000}"/>
    <cellStyle name="40% - 强调文字颜色 6 3 3 7" xfId="19341" xr:uid="{00000000-0005-0000-0000-00008C4B0000}"/>
    <cellStyle name="40% - 强调文字颜色 6 3 3 7 2" xfId="19342" xr:uid="{00000000-0005-0000-0000-00008D4B0000}"/>
    <cellStyle name="40% - 强调文字颜色 6 3 4" xfId="19343" xr:uid="{00000000-0005-0000-0000-00008E4B0000}"/>
    <cellStyle name="40% - 强调文字颜色 6 3 4 2" xfId="19344" xr:uid="{00000000-0005-0000-0000-00008F4B0000}"/>
    <cellStyle name="40% - 强调文字颜色 6 3 4 2 2" xfId="19345" xr:uid="{00000000-0005-0000-0000-0000904B0000}"/>
    <cellStyle name="40% - 强调文字颜色 6 3 4 2 3" xfId="19346" xr:uid="{00000000-0005-0000-0000-0000914B0000}"/>
    <cellStyle name="40% - 强调文字颜色 6 3 4 2 3 2" xfId="19347" xr:uid="{00000000-0005-0000-0000-0000924B0000}"/>
    <cellStyle name="40% - 强调文字颜色 6 3 4 2 3 2 2" xfId="19348" xr:uid="{00000000-0005-0000-0000-0000934B0000}"/>
    <cellStyle name="40% - 强调文字颜色 6 3 4 2 4" xfId="19349" xr:uid="{00000000-0005-0000-0000-0000944B0000}"/>
    <cellStyle name="40% - 强调文字颜色 6 3 4 2 4 2" xfId="19350" xr:uid="{00000000-0005-0000-0000-0000954B0000}"/>
    <cellStyle name="40% - 强调文字颜色 6 3 4 2 5" xfId="19351" xr:uid="{00000000-0005-0000-0000-0000964B0000}"/>
    <cellStyle name="40% - 强调文字颜色 6 3 4 2 5 2" xfId="19352" xr:uid="{00000000-0005-0000-0000-0000974B0000}"/>
    <cellStyle name="40% - 强调文字颜色 6 3 4 2 6" xfId="19353" xr:uid="{00000000-0005-0000-0000-0000984B0000}"/>
    <cellStyle name="40% - 强调文字颜色 6 3 4 3" xfId="19354" xr:uid="{00000000-0005-0000-0000-0000994B0000}"/>
    <cellStyle name="40% - 强调文字颜色 6 3 4 4" xfId="19355" xr:uid="{00000000-0005-0000-0000-00009A4B0000}"/>
    <cellStyle name="40% - 强调文字颜色 6 3 4 5" xfId="19356" xr:uid="{00000000-0005-0000-0000-00009B4B0000}"/>
    <cellStyle name="40% - 强调文字颜色 6 3 4 6" xfId="19357" xr:uid="{00000000-0005-0000-0000-00009C4B0000}"/>
    <cellStyle name="40% - 强调文字颜色 6 3 4 6 2" xfId="19358" xr:uid="{00000000-0005-0000-0000-00009D4B0000}"/>
    <cellStyle name="40% - 强调文字颜色 6 3 4 7" xfId="19359" xr:uid="{00000000-0005-0000-0000-00009E4B0000}"/>
    <cellStyle name="40% - 强调文字颜色 6 3 4 7 2" xfId="19360" xr:uid="{00000000-0005-0000-0000-00009F4B0000}"/>
    <cellStyle name="40% - 强调文字颜色 6 3 5" xfId="19361" xr:uid="{00000000-0005-0000-0000-0000A04B0000}"/>
    <cellStyle name="40% - 强调文字颜色 6 3 5 2" xfId="19362" xr:uid="{00000000-0005-0000-0000-0000A14B0000}"/>
    <cellStyle name="40% - 强调文字颜色 6 3 5 2 2" xfId="19363" xr:uid="{00000000-0005-0000-0000-0000A24B0000}"/>
    <cellStyle name="40% - 强调文字颜色 6 3 5 2 2 2" xfId="19364" xr:uid="{00000000-0005-0000-0000-0000A34B0000}"/>
    <cellStyle name="40% - 强调文字颜色 6 3 5 2 2 2 2" xfId="19365" xr:uid="{00000000-0005-0000-0000-0000A44B0000}"/>
    <cellStyle name="40% - 强调文字颜色 6 3 5 2 3" xfId="19366" xr:uid="{00000000-0005-0000-0000-0000A54B0000}"/>
    <cellStyle name="40% - 强调文字颜色 6 3 5 2 3 2" xfId="19367" xr:uid="{00000000-0005-0000-0000-0000A64B0000}"/>
    <cellStyle name="40% - 强调文字颜色 6 3 5 2 4" xfId="19368" xr:uid="{00000000-0005-0000-0000-0000A74B0000}"/>
    <cellStyle name="40% - 强调文字颜色 6 3 5 2 4 2" xfId="19369" xr:uid="{00000000-0005-0000-0000-0000A84B0000}"/>
    <cellStyle name="40% - 强调文字颜色 6 3 5 2 5" xfId="19370" xr:uid="{00000000-0005-0000-0000-0000A94B0000}"/>
    <cellStyle name="40% - 强调文字颜色 6 3 5 3" xfId="19371" xr:uid="{00000000-0005-0000-0000-0000AA4B0000}"/>
    <cellStyle name="40% - 强调文字颜色 6 3 5 3 2" xfId="19372" xr:uid="{00000000-0005-0000-0000-0000AB4B0000}"/>
    <cellStyle name="40% - 强调文字颜色 6 3 5 3 2 2" xfId="19373" xr:uid="{00000000-0005-0000-0000-0000AC4B0000}"/>
    <cellStyle name="40% - 强调文字颜色 6 3 5 4" xfId="19374" xr:uid="{00000000-0005-0000-0000-0000AD4B0000}"/>
    <cellStyle name="40% - 强调文字颜色 6 3 5 4 2" xfId="19375" xr:uid="{00000000-0005-0000-0000-0000AE4B0000}"/>
    <cellStyle name="40% - 强调文字颜色 6 3 5 5" xfId="19376" xr:uid="{00000000-0005-0000-0000-0000AF4B0000}"/>
    <cellStyle name="40% - 强调文字颜色 6 3 5 5 2" xfId="19377" xr:uid="{00000000-0005-0000-0000-0000B04B0000}"/>
    <cellStyle name="40% - 强调文字颜色 6 3 5 6" xfId="19378" xr:uid="{00000000-0005-0000-0000-0000B14B0000}"/>
    <cellStyle name="40% - 强调文字颜色 6 3 6" xfId="19379" xr:uid="{00000000-0005-0000-0000-0000B24B0000}"/>
    <cellStyle name="40% - 强调文字颜色 6 3 6 2" xfId="19380" xr:uid="{00000000-0005-0000-0000-0000B34B0000}"/>
    <cellStyle name="40% - 强调文字颜色 6 3 6 2 2" xfId="19381" xr:uid="{00000000-0005-0000-0000-0000B44B0000}"/>
    <cellStyle name="40% - 强调文字颜色 6 3 6 2 2 2" xfId="19382" xr:uid="{00000000-0005-0000-0000-0000B54B0000}"/>
    <cellStyle name="40% - 强调文字颜色 6 3 6 3" xfId="19383" xr:uid="{00000000-0005-0000-0000-0000B64B0000}"/>
    <cellStyle name="40% - 强调文字颜色 6 3 6 3 2" xfId="19384" xr:uid="{00000000-0005-0000-0000-0000B74B0000}"/>
    <cellStyle name="40% - 强调文字颜色 6 3 6 4" xfId="19385" xr:uid="{00000000-0005-0000-0000-0000B84B0000}"/>
    <cellStyle name="40% - 强调文字颜色 6 3 6 4 2" xfId="19386" xr:uid="{00000000-0005-0000-0000-0000B94B0000}"/>
    <cellStyle name="40% - 强调文字颜色 6 3 6 5" xfId="19387" xr:uid="{00000000-0005-0000-0000-0000BA4B0000}"/>
    <cellStyle name="40% - 强调文字颜色 6 3 7" xfId="19388" xr:uid="{00000000-0005-0000-0000-0000BB4B0000}"/>
    <cellStyle name="40% - 强调文字颜色 6 3 8" xfId="19389" xr:uid="{00000000-0005-0000-0000-0000BC4B0000}"/>
    <cellStyle name="40% - 强调文字颜色 6 3 8 2" xfId="19390" xr:uid="{00000000-0005-0000-0000-0000BD4B0000}"/>
    <cellStyle name="40% - 强调文字颜色 6 3 9" xfId="19391" xr:uid="{00000000-0005-0000-0000-0000BE4B0000}"/>
    <cellStyle name="40% - 强调文字颜色 6 3 9 2" xfId="19392" xr:uid="{00000000-0005-0000-0000-0000BF4B0000}"/>
    <cellStyle name="60% - ?????? 1oft\Sh" xfId="19393" xr:uid="{00000000-0005-0000-0000-0000C04B0000}"/>
    <cellStyle name="60% - ?????? 1oft\Sh 2" xfId="19394" xr:uid="{00000000-0005-0000-0000-0000C14B0000}"/>
    <cellStyle name="60% - ?????? 1oft\Sh 3" xfId="19395" xr:uid="{00000000-0005-0000-0000-0000C24B0000}"/>
    <cellStyle name="60% - ?????? 1oft\Sh 3 2" xfId="19396" xr:uid="{00000000-0005-0000-0000-0000C34B0000}"/>
    <cellStyle name="60% - ?????? 1oft\Sh 4" xfId="19397" xr:uid="{00000000-0005-0000-0000-0000C44B0000}"/>
    <cellStyle name="60% - ?????? 2oft\Sh" xfId="19398" xr:uid="{00000000-0005-0000-0000-0000C54B0000}"/>
    <cellStyle name="60% - ?????? 2oft\Sh 2" xfId="19399" xr:uid="{00000000-0005-0000-0000-0000C64B0000}"/>
    <cellStyle name="60% - ?????? 2oft\Sh 3" xfId="19400" xr:uid="{00000000-0005-0000-0000-0000C74B0000}"/>
    <cellStyle name="60% - ?????? 2oft\Sh 3 2" xfId="19401" xr:uid="{00000000-0005-0000-0000-0000C84B0000}"/>
    <cellStyle name="60% - ?????? 2oft\Sh 4" xfId="19402" xr:uid="{00000000-0005-0000-0000-0000C94B0000}"/>
    <cellStyle name="60% - ?????? 3oft\Sh" xfId="19403" xr:uid="{00000000-0005-0000-0000-0000CA4B0000}"/>
    <cellStyle name="60% - ?????? 3oft\Sh 2" xfId="19404" xr:uid="{00000000-0005-0000-0000-0000CB4B0000}"/>
    <cellStyle name="60% - ?????? 3oft\Sh 3" xfId="19405" xr:uid="{00000000-0005-0000-0000-0000CC4B0000}"/>
    <cellStyle name="60% - ?????? 3oft\Sh 3 2" xfId="19406" xr:uid="{00000000-0005-0000-0000-0000CD4B0000}"/>
    <cellStyle name="60% - ?????? 3oft\Sh 4" xfId="19407" xr:uid="{00000000-0005-0000-0000-0000CE4B0000}"/>
    <cellStyle name="60% - ?????? 4oft\Sh" xfId="19408" xr:uid="{00000000-0005-0000-0000-0000CF4B0000}"/>
    <cellStyle name="60% - ?????? 4oft\Sh 2" xfId="19409" xr:uid="{00000000-0005-0000-0000-0000D04B0000}"/>
    <cellStyle name="60% - ?????? 4oft\Sh 3" xfId="19410" xr:uid="{00000000-0005-0000-0000-0000D14B0000}"/>
    <cellStyle name="60% - ?????? 4oft\Sh 3 2" xfId="19411" xr:uid="{00000000-0005-0000-0000-0000D24B0000}"/>
    <cellStyle name="60% - ?????? 4oft\Sh 4" xfId="19412" xr:uid="{00000000-0005-0000-0000-0000D34B0000}"/>
    <cellStyle name="60% - ?????? 5oft\Sh" xfId="19413" xr:uid="{00000000-0005-0000-0000-0000D44B0000}"/>
    <cellStyle name="60% - ?????? 5oft\Sh 2" xfId="19414" xr:uid="{00000000-0005-0000-0000-0000D54B0000}"/>
    <cellStyle name="60% - ?????? 5oft\Sh 3" xfId="19415" xr:uid="{00000000-0005-0000-0000-0000D64B0000}"/>
    <cellStyle name="60% - ?????? 5oft\Sh 3 2" xfId="19416" xr:uid="{00000000-0005-0000-0000-0000D74B0000}"/>
    <cellStyle name="60% - ?????? 5oft\Sh 4" xfId="19417" xr:uid="{00000000-0005-0000-0000-0000D84B0000}"/>
    <cellStyle name="60% - ?????? 6oft\Sh" xfId="19418" xr:uid="{00000000-0005-0000-0000-0000D94B0000}"/>
    <cellStyle name="60% - ?????? 6oft\Sh 2" xfId="19419" xr:uid="{00000000-0005-0000-0000-0000DA4B0000}"/>
    <cellStyle name="60% - ?????? 6oft\Sh 3" xfId="19420" xr:uid="{00000000-0005-0000-0000-0000DB4B0000}"/>
    <cellStyle name="60% - ?????? 6oft\Sh 3 2" xfId="19421" xr:uid="{00000000-0005-0000-0000-0000DC4B0000}"/>
    <cellStyle name="60% - ?????? 6oft\Sh 4" xfId="19422" xr:uid="{00000000-0005-0000-0000-0000DD4B0000}"/>
    <cellStyle name="60% - ???1nt6" xfId="19423" xr:uid="{00000000-0005-0000-0000-0000DE4B0000}"/>
    <cellStyle name="60% - ???1nt6 2" xfId="19424" xr:uid="{00000000-0005-0000-0000-0000DF4B0000}"/>
    <cellStyle name="60% - ???1nt6 3" xfId="19425" xr:uid="{00000000-0005-0000-0000-0000E04B0000}"/>
    <cellStyle name="60% - ???1nt6 3 2" xfId="19426" xr:uid="{00000000-0005-0000-0000-0000E14B0000}"/>
    <cellStyle name="60% - ???1nt6 4" xfId="19427" xr:uid="{00000000-0005-0000-0000-0000E24B0000}"/>
    <cellStyle name="60% - ???2nt6" xfId="19428" xr:uid="{00000000-0005-0000-0000-0000E34B0000}"/>
    <cellStyle name="60% - ???2nt6 2" xfId="19429" xr:uid="{00000000-0005-0000-0000-0000E44B0000}"/>
    <cellStyle name="60% - ???2nt6 3" xfId="19430" xr:uid="{00000000-0005-0000-0000-0000E54B0000}"/>
    <cellStyle name="60% - ???2nt6 3 2" xfId="19431" xr:uid="{00000000-0005-0000-0000-0000E64B0000}"/>
    <cellStyle name="60% - ???2nt6 4" xfId="19432" xr:uid="{00000000-0005-0000-0000-0000E74B0000}"/>
    <cellStyle name="60% - ???3nt6" xfId="19433" xr:uid="{00000000-0005-0000-0000-0000E84B0000}"/>
    <cellStyle name="60% - ???3nt6 2" xfId="19434" xr:uid="{00000000-0005-0000-0000-0000E94B0000}"/>
    <cellStyle name="60% - ???3nt6 3" xfId="19435" xr:uid="{00000000-0005-0000-0000-0000EA4B0000}"/>
    <cellStyle name="60% - ???3nt6 3 2" xfId="19436" xr:uid="{00000000-0005-0000-0000-0000EB4B0000}"/>
    <cellStyle name="60% - ???3nt6 4" xfId="19437" xr:uid="{00000000-0005-0000-0000-0000EC4B0000}"/>
    <cellStyle name="60% - ???4nt6" xfId="19438" xr:uid="{00000000-0005-0000-0000-0000ED4B0000}"/>
    <cellStyle name="60% - ???4nt6 2" xfId="19439" xr:uid="{00000000-0005-0000-0000-0000EE4B0000}"/>
    <cellStyle name="60% - ???4nt6 3" xfId="19440" xr:uid="{00000000-0005-0000-0000-0000EF4B0000}"/>
    <cellStyle name="60% - ???4nt6 3 2" xfId="19441" xr:uid="{00000000-0005-0000-0000-0000F04B0000}"/>
    <cellStyle name="60% - ???4nt6 4" xfId="19442" xr:uid="{00000000-0005-0000-0000-0000F14B0000}"/>
    <cellStyle name="60% - ???5nt6" xfId="19443" xr:uid="{00000000-0005-0000-0000-0000F24B0000}"/>
    <cellStyle name="60% - ???5nt6 2" xfId="19444" xr:uid="{00000000-0005-0000-0000-0000F34B0000}"/>
    <cellStyle name="60% - ???5nt6 3" xfId="19445" xr:uid="{00000000-0005-0000-0000-0000F44B0000}"/>
    <cellStyle name="60% - ???5nt6 3 2" xfId="19446" xr:uid="{00000000-0005-0000-0000-0000F54B0000}"/>
    <cellStyle name="60% - ???5nt6 4" xfId="19447" xr:uid="{00000000-0005-0000-0000-0000F64B0000}"/>
    <cellStyle name="60% - ???6nt6" xfId="19448" xr:uid="{00000000-0005-0000-0000-0000F74B0000}"/>
    <cellStyle name="60% - ???6nt6 2" xfId="19449" xr:uid="{00000000-0005-0000-0000-0000F84B0000}"/>
    <cellStyle name="60% - ???6nt6 3" xfId="19450" xr:uid="{00000000-0005-0000-0000-0000F94B0000}"/>
    <cellStyle name="60% - ???6nt6 3 2" xfId="19451" xr:uid="{00000000-0005-0000-0000-0000FA4B0000}"/>
    <cellStyle name="60% - ???6nt6 4" xfId="19452" xr:uid="{00000000-0005-0000-0000-0000FB4B0000}"/>
    <cellStyle name="60% - Accent1 2" xfId="19453" xr:uid="{00000000-0005-0000-0000-0000FC4B0000}"/>
    <cellStyle name="60% - Accent1 2 2" xfId="19454" xr:uid="{00000000-0005-0000-0000-0000FD4B0000}"/>
    <cellStyle name="60% - Accent1 2 3" xfId="19455" xr:uid="{00000000-0005-0000-0000-0000FE4B0000}"/>
    <cellStyle name="60% - Accent1 3" xfId="19456" xr:uid="{00000000-0005-0000-0000-0000FF4B0000}"/>
    <cellStyle name="60% - Accent1 3 2" xfId="19457" xr:uid="{00000000-0005-0000-0000-0000004C0000}"/>
    <cellStyle name="60% - Accent1 4" xfId="19458" xr:uid="{00000000-0005-0000-0000-0000014C0000}"/>
    <cellStyle name="60% - Accent1 5" xfId="19459" xr:uid="{00000000-0005-0000-0000-0000024C0000}"/>
    <cellStyle name="60% - Accent2 2" xfId="19460" xr:uid="{00000000-0005-0000-0000-0000034C0000}"/>
    <cellStyle name="60% - Accent2 2 2" xfId="19461" xr:uid="{00000000-0005-0000-0000-0000044C0000}"/>
    <cellStyle name="60% - Accent2 2 3" xfId="19462" xr:uid="{00000000-0005-0000-0000-0000054C0000}"/>
    <cellStyle name="60% - Accent2 3" xfId="19463" xr:uid="{00000000-0005-0000-0000-0000064C0000}"/>
    <cellStyle name="60% - Accent2 3 2" xfId="19464" xr:uid="{00000000-0005-0000-0000-0000074C0000}"/>
    <cellStyle name="60% - Accent2 4" xfId="19465" xr:uid="{00000000-0005-0000-0000-0000084C0000}"/>
    <cellStyle name="60% - Accent2 5" xfId="19466" xr:uid="{00000000-0005-0000-0000-0000094C0000}"/>
    <cellStyle name="60% - Accent3 2" xfId="19467" xr:uid="{00000000-0005-0000-0000-00000A4C0000}"/>
    <cellStyle name="60% - Accent3 2 2" xfId="19468" xr:uid="{00000000-0005-0000-0000-00000B4C0000}"/>
    <cellStyle name="60% - Accent3 2 3" xfId="19469" xr:uid="{00000000-0005-0000-0000-00000C4C0000}"/>
    <cellStyle name="60% - Accent3 3" xfId="19470" xr:uid="{00000000-0005-0000-0000-00000D4C0000}"/>
    <cellStyle name="60% - Accent3 3 2" xfId="19471" xr:uid="{00000000-0005-0000-0000-00000E4C0000}"/>
    <cellStyle name="60% - Accent3 4" xfId="19472" xr:uid="{00000000-0005-0000-0000-00000F4C0000}"/>
    <cellStyle name="60% - Accent3 5" xfId="19473" xr:uid="{00000000-0005-0000-0000-0000104C0000}"/>
    <cellStyle name="60% - Accent4 2" xfId="19474" xr:uid="{00000000-0005-0000-0000-0000114C0000}"/>
    <cellStyle name="60% - Accent4 2 2" xfId="19475" xr:uid="{00000000-0005-0000-0000-0000124C0000}"/>
    <cellStyle name="60% - Accent4 2 3" xfId="19476" xr:uid="{00000000-0005-0000-0000-0000134C0000}"/>
    <cellStyle name="60% - Accent4 3" xfId="19477" xr:uid="{00000000-0005-0000-0000-0000144C0000}"/>
    <cellStyle name="60% - Accent4 3 2" xfId="19478" xr:uid="{00000000-0005-0000-0000-0000154C0000}"/>
    <cellStyle name="60% - Accent4 4" xfId="19479" xr:uid="{00000000-0005-0000-0000-0000164C0000}"/>
    <cellStyle name="60% - Accent4 5" xfId="19480" xr:uid="{00000000-0005-0000-0000-0000174C0000}"/>
    <cellStyle name="60% - Accent5 2" xfId="19481" xr:uid="{00000000-0005-0000-0000-0000184C0000}"/>
    <cellStyle name="60% - Accent5 2 2" xfId="19482" xr:uid="{00000000-0005-0000-0000-0000194C0000}"/>
    <cellStyle name="60% - Accent5 2 3" xfId="19483" xr:uid="{00000000-0005-0000-0000-00001A4C0000}"/>
    <cellStyle name="60% - Accent5 3" xfId="19484" xr:uid="{00000000-0005-0000-0000-00001B4C0000}"/>
    <cellStyle name="60% - Accent5 3 2" xfId="19485" xr:uid="{00000000-0005-0000-0000-00001C4C0000}"/>
    <cellStyle name="60% - Accent5 4" xfId="19486" xr:uid="{00000000-0005-0000-0000-00001D4C0000}"/>
    <cellStyle name="60% - Accent5 5" xfId="19487" xr:uid="{00000000-0005-0000-0000-00001E4C0000}"/>
    <cellStyle name="60% - Accent6 2" xfId="19488" xr:uid="{00000000-0005-0000-0000-00001F4C0000}"/>
    <cellStyle name="60% - Accent6 2 2" xfId="19489" xr:uid="{00000000-0005-0000-0000-0000204C0000}"/>
    <cellStyle name="60% - Accent6 2 3" xfId="19490" xr:uid="{00000000-0005-0000-0000-0000214C0000}"/>
    <cellStyle name="60% - Accent6 3" xfId="19491" xr:uid="{00000000-0005-0000-0000-0000224C0000}"/>
    <cellStyle name="60% - Accent6 3 2" xfId="19492" xr:uid="{00000000-0005-0000-0000-0000234C0000}"/>
    <cellStyle name="60% - Accent6 4" xfId="19493" xr:uid="{00000000-0005-0000-0000-0000244C0000}"/>
    <cellStyle name="60% - Accent6 5" xfId="19494" xr:uid="{00000000-0005-0000-0000-0000254C0000}"/>
    <cellStyle name="60% — акцент1 2" xfId="19495" xr:uid="{00000000-0005-0000-0000-0000264C0000}"/>
    <cellStyle name="60% — акцент1 2 2" xfId="19496" xr:uid="{00000000-0005-0000-0000-0000274C0000}"/>
    <cellStyle name="60% — акцент1 2 2 2" xfId="19497" xr:uid="{00000000-0005-0000-0000-0000284C0000}"/>
    <cellStyle name="60% — акцент1 2 2 3" xfId="19498" xr:uid="{00000000-0005-0000-0000-0000294C0000}"/>
    <cellStyle name="60% — акцент1 2 2 4" xfId="19499" xr:uid="{00000000-0005-0000-0000-00002A4C0000}"/>
    <cellStyle name="60% — акцент1 2 2 5" xfId="19500" xr:uid="{00000000-0005-0000-0000-00002B4C0000}"/>
    <cellStyle name="60% — акцент1 2 2 6" xfId="19501" xr:uid="{00000000-0005-0000-0000-00002C4C0000}"/>
    <cellStyle name="60% — акцент1 2 3" xfId="19502" xr:uid="{00000000-0005-0000-0000-00002D4C0000}"/>
    <cellStyle name="60% — акцент1 2 4" xfId="19503" xr:uid="{00000000-0005-0000-0000-00002E4C0000}"/>
    <cellStyle name="60% — акцент1 2 5" xfId="19504" xr:uid="{00000000-0005-0000-0000-00002F4C0000}"/>
    <cellStyle name="60% — акцент1 2 6" xfId="19505" xr:uid="{00000000-0005-0000-0000-0000304C0000}"/>
    <cellStyle name="60% — акцент1 2 7" xfId="19506" xr:uid="{00000000-0005-0000-0000-0000314C0000}"/>
    <cellStyle name="60% — акцент1 2 8" xfId="19507" xr:uid="{00000000-0005-0000-0000-0000324C0000}"/>
    <cellStyle name="60% — акцент1 3" xfId="19508" xr:uid="{00000000-0005-0000-0000-0000334C0000}"/>
    <cellStyle name="60% — акцент1 3 2" xfId="19509" xr:uid="{00000000-0005-0000-0000-0000344C0000}"/>
    <cellStyle name="60% — акцент1 3 3" xfId="19510" xr:uid="{00000000-0005-0000-0000-0000354C0000}"/>
    <cellStyle name="60% — акцент1 3 4" xfId="19511" xr:uid="{00000000-0005-0000-0000-0000364C0000}"/>
    <cellStyle name="60% — акцент1 3 5" xfId="19512" xr:uid="{00000000-0005-0000-0000-0000374C0000}"/>
    <cellStyle name="60% — акцент1 3 6" xfId="19513" xr:uid="{00000000-0005-0000-0000-0000384C0000}"/>
    <cellStyle name="60% — акцент1 4" xfId="19514" xr:uid="{00000000-0005-0000-0000-0000394C0000}"/>
    <cellStyle name="60% — акцент1 5" xfId="19515" xr:uid="{00000000-0005-0000-0000-00003A4C0000}"/>
    <cellStyle name="60% — акцент1 6" xfId="19516" xr:uid="{00000000-0005-0000-0000-00003B4C0000}"/>
    <cellStyle name="60% — акцент2 2" xfId="19517" xr:uid="{00000000-0005-0000-0000-00003C4C0000}"/>
    <cellStyle name="60% — акцент2 2 2" xfId="19518" xr:uid="{00000000-0005-0000-0000-00003D4C0000}"/>
    <cellStyle name="60% — акцент2 2 2 2" xfId="19519" xr:uid="{00000000-0005-0000-0000-00003E4C0000}"/>
    <cellStyle name="60% — акцент2 2 2 3" xfId="19520" xr:uid="{00000000-0005-0000-0000-00003F4C0000}"/>
    <cellStyle name="60% — акцент2 2 2 4" xfId="19521" xr:uid="{00000000-0005-0000-0000-0000404C0000}"/>
    <cellStyle name="60% — акцент2 2 2 5" xfId="19522" xr:uid="{00000000-0005-0000-0000-0000414C0000}"/>
    <cellStyle name="60% — акцент2 2 2 6" xfId="19523" xr:uid="{00000000-0005-0000-0000-0000424C0000}"/>
    <cellStyle name="60% — акцент2 2 3" xfId="19524" xr:uid="{00000000-0005-0000-0000-0000434C0000}"/>
    <cellStyle name="60% — акцент2 2 4" xfId="19525" xr:uid="{00000000-0005-0000-0000-0000444C0000}"/>
    <cellStyle name="60% — акцент2 2 5" xfId="19526" xr:uid="{00000000-0005-0000-0000-0000454C0000}"/>
    <cellStyle name="60% — акцент2 2 6" xfId="19527" xr:uid="{00000000-0005-0000-0000-0000464C0000}"/>
    <cellStyle name="60% — акцент2 2 7" xfId="19528" xr:uid="{00000000-0005-0000-0000-0000474C0000}"/>
    <cellStyle name="60% — акцент2 2 8" xfId="19529" xr:uid="{00000000-0005-0000-0000-0000484C0000}"/>
    <cellStyle name="60% — акцент2 3" xfId="19530" xr:uid="{00000000-0005-0000-0000-0000494C0000}"/>
    <cellStyle name="60% — акцент2 3 2" xfId="19531" xr:uid="{00000000-0005-0000-0000-00004A4C0000}"/>
    <cellStyle name="60% — акцент2 3 3" xfId="19532" xr:uid="{00000000-0005-0000-0000-00004B4C0000}"/>
    <cellStyle name="60% — акцент2 3 4" xfId="19533" xr:uid="{00000000-0005-0000-0000-00004C4C0000}"/>
    <cellStyle name="60% — акцент2 3 5" xfId="19534" xr:uid="{00000000-0005-0000-0000-00004D4C0000}"/>
    <cellStyle name="60% — акцент2 3 6" xfId="19535" xr:uid="{00000000-0005-0000-0000-00004E4C0000}"/>
    <cellStyle name="60% — акцент2 4" xfId="19536" xr:uid="{00000000-0005-0000-0000-00004F4C0000}"/>
    <cellStyle name="60% — акцент2 5" xfId="19537" xr:uid="{00000000-0005-0000-0000-0000504C0000}"/>
    <cellStyle name="60% — акцент2 6" xfId="19538" xr:uid="{00000000-0005-0000-0000-0000514C0000}"/>
    <cellStyle name="60% — акцент3 2" xfId="19539" xr:uid="{00000000-0005-0000-0000-0000524C0000}"/>
    <cellStyle name="60% — акцент3 2 2" xfId="19540" xr:uid="{00000000-0005-0000-0000-0000534C0000}"/>
    <cellStyle name="60% — акцент3 2 2 2" xfId="19541" xr:uid="{00000000-0005-0000-0000-0000544C0000}"/>
    <cellStyle name="60% — акцент3 2 2 3" xfId="19542" xr:uid="{00000000-0005-0000-0000-0000554C0000}"/>
    <cellStyle name="60% — акцент3 2 2 4" xfId="19543" xr:uid="{00000000-0005-0000-0000-0000564C0000}"/>
    <cellStyle name="60% — акцент3 2 2 5" xfId="19544" xr:uid="{00000000-0005-0000-0000-0000574C0000}"/>
    <cellStyle name="60% — акцент3 2 2 6" xfId="19545" xr:uid="{00000000-0005-0000-0000-0000584C0000}"/>
    <cellStyle name="60% — акцент3 2 3" xfId="19546" xr:uid="{00000000-0005-0000-0000-0000594C0000}"/>
    <cellStyle name="60% — акцент3 2 4" xfId="19547" xr:uid="{00000000-0005-0000-0000-00005A4C0000}"/>
    <cellStyle name="60% — акцент3 2 5" xfId="19548" xr:uid="{00000000-0005-0000-0000-00005B4C0000}"/>
    <cellStyle name="60% — акцент3 2 6" xfId="19549" xr:uid="{00000000-0005-0000-0000-00005C4C0000}"/>
    <cellStyle name="60% — акцент3 2 7" xfId="19550" xr:uid="{00000000-0005-0000-0000-00005D4C0000}"/>
    <cellStyle name="60% — акцент3 2 8" xfId="19551" xr:uid="{00000000-0005-0000-0000-00005E4C0000}"/>
    <cellStyle name="60% — акцент3 3" xfId="19552" xr:uid="{00000000-0005-0000-0000-00005F4C0000}"/>
    <cellStyle name="60% — акцент3 3 2" xfId="19553" xr:uid="{00000000-0005-0000-0000-0000604C0000}"/>
    <cellStyle name="60% — акцент3 3 3" xfId="19554" xr:uid="{00000000-0005-0000-0000-0000614C0000}"/>
    <cellStyle name="60% — акцент3 3 4" xfId="19555" xr:uid="{00000000-0005-0000-0000-0000624C0000}"/>
    <cellStyle name="60% — акцент3 3 5" xfId="19556" xr:uid="{00000000-0005-0000-0000-0000634C0000}"/>
    <cellStyle name="60% — акцент3 3 6" xfId="19557" xr:uid="{00000000-0005-0000-0000-0000644C0000}"/>
    <cellStyle name="60% — акцент3 4" xfId="19558" xr:uid="{00000000-0005-0000-0000-0000654C0000}"/>
    <cellStyle name="60% — акцент3 5" xfId="19559" xr:uid="{00000000-0005-0000-0000-0000664C0000}"/>
    <cellStyle name="60% — акцент3 6" xfId="19560" xr:uid="{00000000-0005-0000-0000-0000674C0000}"/>
    <cellStyle name="60% — акцент4 2" xfId="19561" xr:uid="{00000000-0005-0000-0000-0000684C0000}"/>
    <cellStyle name="60% — акцент4 2 2" xfId="19562" xr:uid="{00000000-0005-0000-0000-0000694C0000}"/>
    <cellStyle name="60% — акцент4 2 2 2" xfId="19563" xr:uid="{00000000-0005-0000-0000-00006A4C0000}"/>
    <cellStyle name="60% — акцент4 2 2 3" xfId="19564" xr:uid="{00000000-0005-0000-0000-00006B4C0000}"/>
    <cellStyle name="60% — акцент4 2 2 4" xfId="19565" xr:uid="{00000000-0005-0000-0000-00006C4C0000}"/>
    <cellStyle name="60% — акцент4 2 2 5" xfId="19566" xr:uid="{00000000-0005-0000-0000-00006D4C0000}"/>
    <cellStyle name="60% — акцент4 2 2 6" xfId="19567" xr:uid="{00000000-0005-0000-0000-00006E4C0000}"/>
    <cellStyle name="60% — акцент4 2 3" xfId="19568" xr:uid="{00000000-0005-0000-0000-00006F4C0000}"/>
    <cellStyle name="60% — акцент4 2 4" xfId="19569" xr:uid="{00000000-0005-0000-0000-0000704C0000}"/>
    <cellStyle name="60% — акцент4 2 5" xfId="19570" xr:uid="{00000000-0005-0000-0000-0000714C0000}"/>
    <cellStyle name="60% — акцент4 2 6" xfId="19571" xr:uid="{00000000-0005-0000-0000-0000724C0000}"/>
    <cellStyle name="60% — акцент4 2 7" xfId="19572" xr:uid="{00000000-0005-0000-0000-0000734C0000}"/>
    <cellStyle name="60% — акцент4 2 8" xfId="19573" xr:uid="{00000000-0005-0000-0000-0000744C0000}"/>
    <cellStyle name="60% — акцент4 3" xfId="19574" xr:uid="{00000000-0005-0000-0000-0000754C0000}"/>
    <cellStyle name="60% — акцент4 3 2" xfId="19575" xr:uid="{00000000-0005-0000-0000-0000764C0000}"/>
    <cellStyle name="60% — акцент4 3 3" xfId="19576" xr:uid="{00000000-0005-0000-0000-0000774C0000}"/>
    <cellStyle name="60% — акцент4 3 4" xfId="19577" xr:uid="{00000000-0005-0000-0000-0000784C0000}"/>
    <cellStyle name="60% — акцент4 3 5" xfId="19578" xr:uid="{00000000-0005-0000-0000-0000794C0000}"/>
    <cellStyle name="60% — акцент4 3 6" xfId="19579" xr:uid="{00000000-0005-0000-0000-00007A4C0000}"/>
    <cellStyle name="60% — акцент4 4" xfId="19580" xr:uid="{00000000-0005-0000-0000-00007B4C0000}"/>
    <cellStyle name="60% — акцент4 5" xfId="19581" xr:uid="{00000000-0005-0000-0000-00007C4C0000}"/>
    <cellStyle name="60% — акцент4 6" xfId="19582" xr:uid="{00000000-0005-0000-0000-00007D4C0000}"/>
    <cellStyle name="60% — акцент5 2" xfId="19583" xr:uid="{00000000-0005-0000-0000-00007E4C0000}"/>
    <cellStyle name="60% — акцент5 2 2" xfId="19584" xr:uid="{00000000-0005-0000-0000-00007F4C0000}"/>
    <cellStyle name="60% — акцент5 2 2 2" xfId="19585" xr:uid="{00000000-0005-0000-0000-0000804C0000}"/>
    <cellStyle name="60% — акцент5 2 2 3" xfId="19586" xr:uid="{00000000-0005-0000-0000-0000814C0000}"/>
    <cellStyle name="60% — акцент5 2 2 4" xfId="19587" xr:uid="{00000000-0005-0000-0000-0000824C0000}"/>
    <cellStyle name="60% — акцент5 2 2 5" xfId="19588" xr:uid="{00000000-0005-0000-0000-0000834C0000}"/>
    <cellStyle name="60% — акцент5 2 2 6" xfId="19589" xr:uid="{00000000-0005-0000-0000-0000844C0000}"/>
    <cellStyle name="60% — акцент5 2 3" xfId="19590" xr:uid="{00000000-0005-0000-0000-0000854C0000}"/>
    <cellStyle name="60% — акцент5 2 4" xfId="19591" xr:uid="{00000000-0005-0000-0000-0000864C0000}"/>
    <cellStyle name="60% — акцент5 2 5" xfId="19592" xr:uid="{00000000-0005-0000-0000-0000874C0000}"/>
    <cellStyle name="60% — акцент5 2 6" xfId="19593" xr:uid="{00000000-0005-0000-0000-0000884C0000}"/>
    <cellStyle name="60% — акцент5 2 7" xfId="19594" xr:uid="{00000000-0005-0000-0000-0000894C0000}"/>
    <cellStyle name="60% — акцент5 2 8" xfId="19595" xr:uid="{00000000-0005-0000-0000-00008A4C0000}"/>
    <cellStyle name="60% — акцент5 3" xfId="19596" xr:uid="{00000000-0005-0000-0000-00008B4C0000}"/>
    <cellStyle name="60% — акцент5 3 2" xfId="19597" xr:uid="{00000000-0005-0000-0000-00008C4C0000}"/>
    <cellStyle name="60% — акцент5 3 3" xfId="19598" xr:uid="{00000000-0005-0000-0000-00008D4C0000}"/>
    <cellStyle name="60% — акцент5 3 4" xfId="19599" xr:uid="{00000000-0005-0000-0000-00008E4C0000}"/>
    <cellStyle name="60% — акцент5 3 5" xfId="19600" xr:uid="{00000000-0005-0000-0000-00008F4C0000}"/>
    <cellStyle name="60% — акцент5 3 6" xfId="19601" xr:uid="{00000000-0005-0000-0000-0000904C0000}"/>
    <cellStyle name="60% — акцент5 4" xfId="19602" xr:uid="{00000000-0005-0000-0000-0000914C0000}"/>
    <cellStyle name="60% — акцент5 5" xfId="19603" xr:uid="{00000000-0005-0000-0000-0000924C0000}"/>
    <cellStyle name="60% — акцент5 6" xfId="19604" xr:uid="{00000000-0005-0000-0000-0000934C0000}"/>
    <cellStyle name="60% — акцент6 2" xfId="19605" xr:uid="{00000000-0005-0000-0000-0000944C0000}"/>
    <cellStyle name="60% — акцент6 2 2" xfId="19606" xr:uid="{00000000-0005-0000-0000-0000954C0000}"/>
    <cellStyle name="60% — акцент6 2 2 2" xfId="19607" xr:uid="{00000000-0005-0000-0000-0000964C0000}"/>
    <cellStyle name="60% — акцент6 2 2 3" xfId="19608" xr:uid="{00000000-0005-0000-0000-0000974C0000}"/>
    <cellStyle name="60% — акцент6 2 2 4" xfId="19609" xr:uid="{00000000-0005-0000-0000-0000984C0000}"/>
    <cellStyle name="60% — акцент6 2 2 5" xfId="19610" xr:uid="{00000000-0005-0000-0000-0000994C0000}"/>
    <cellStyle name="60% — акцент6 2 2 6" xfId="19611" xr:uid="{00000000-0005-0000-0000-00009A4C0000}"/>
    <cellStyle name="60% — акцент6 2 3" xfId="19612" xr:uid="{00000000-0005-0000-0000-00009B4C0000}"/>
    <cellStyle name="60% — акцент6 2 4" xfId="19613" xr:uid="{00000000-0005-0000-0000-00009C4C0000}"/>
    <cellStyle name="60% — акцент6 2 5" xfId="19614" xr:uid="{00000000-0005-0000-0000-00009D4C0000}"/>
    <cellStyle name="60% — акцент6 2 6" xfId="19615" xr:uid="{00000000-0005-0000-0000-00009E4C0000}"/>
    <cellStyle name="60% — акцент6 2 7" xfId="19616" xr:uid="{00000000-0005-0000-0000-00009F4C0000}"/>
    <cellStyle name="60% — акцент6 2 8" xfId="19617" xr:uid="{00000000-0005-0000-0000-0000A04C0000}"/>
    <cellStyle name="60% — акцент6 3" xfId="19618" xr:uid="{00000000-0005-0000-0000-0000A14C0000}"/>
    <cellStyle name="60% — акцент6 3 2" xfId="19619" xr:uid="{00000000-0005-0000-0000-0000A24C0000}"/>
    <cellStyle name="60% — акцент6 3 3" xfId="19620" xr:uid="{00000000-0005-0000-0000-0000A34C0000}"/>
    <cellStyle name="60% — акцент6 3 4" xfId="19621" xr:uid="{00000000-0005-0000-0000-0000A44C0000}"/>
    <cellStyle name="60% — акцент6 3 5" xfId="19622" xr:uid="{00000000-0005-0000-0000-0000A54C0000}"/>
    <cellStyle name="60% — акцент6 3 6" xfId="19623" xr:uid="{00000000-0005-0000-0000-0000A64C0000}"/>
    <cellStyle name="60% — акцент6 4" xfId="19624" xr:uid="{00000000-0005-0000-0000-0000A74C0000}"/>
    <cellStyle name="60% — акцент6 5" xfId="19625" xr:uid="{00000000-0005-0000-0000-0000A84C0000}"/>
    <cellStyle name="60% — акцент6 6" xfId="19626" xr:uid="{00000000-0005-0000-0000-0000A94C0000}"/>
    <cellStyle name="60% - 强调文字颜色 1 2" xfId="19627" xr:uid="{00000000-0005-0000-0000-0000AA4C0000}"/>
    <cellStyle name="60% - 强调文字颜色 1 2 10" xfId="19628" xr:uid="{00000000-0005-0000-0000-0000AB4C0000}"/>
    <cellStyle name="60% - 强调文字颜色 1 2 11" xfId="19629" xr:uid="{00000000-0005-0000-0000-0000AC4C0000}"/>
    <cellStyle name="60% - 强调文字颜色 1 2 2" xfId="19630" xr:uid="{00000000-0005-0000-0000-0000AD4C0000}"/>
    <cellStyle name="60% - 强调文字颜色 1 2 2 10" xfId="19631" xr:uid="{00000000-0005-0000-0000-0000AE4C0000}"/>
    <cellStyle name="60% - 强调文字颜色 1 2 2 11" xfId="19632" xr:uid="{00000000-0005-0000-0000-0000AF4C0000}"/>
    <cellStyle name="60% - 强调文字颜色 1 2 2 2" xfId="19633" xr:uid="{00000000-0005-0000-0000-0000B04C0000}"/>
    <cellStyle name="60% - 强调文字颜色 1 2 2 2 2" xfId="19634" xr:uid="{00000000-0005-0000-0000-0000B14C0000}"/>
    <cellStyle name="60% - 强调文字颜色 1 2 2 2 2 2" xfId="19635" xr:uid="{00000000-0005-0000-0000-0000B24C0000}"/>
    <cellStyle name="60% - 强调文字颜色 1 2 2 2 2 2 2" xfId="19636" xr:uid="{00000000-0005-0000-0000-0000B34C0000}"/>
    <cellStyle name="60% - 强调文字颜色 1 2 2 2 2 2 3" xfId="19637" xr:uid="{00000000-0005-0000-0000-0000B44C0000}"/>
    <cellStyle name="60% - 强调文字颜色 1 2 2 2 2 2 3 2" xfId="19638" xr:uid="{00000000-0005-0000-0000-0000B54C0000}"/>
    <cellStyle name="60% - 强调文字颜色 1 2 2 2 2 2 3 2 2" xfId="19639" xr:uid="{00000000-0005-0000-0000-0000B64C0000}"/>
    <cellStyle name="60% - 强调文字颜色 1 2 2 2 2 2 4" xfId="19640" xr:uid="{00000000-0005-0000-0000-0000B74C0000}"/>
    <cellStyle name="60% - 强调文字颜色 1 2 2 2 2 2 4 2" xfId="19641" xr:uid="{00000000-0005-0000-0000-0000B84C0000}"/>
    <cellStyle name="60% - 强调文字颜色 1 2 2 2 2 3" xfId="19642" xr:uid="{00000000-0005-0000-0000-0000B94C0000}"/>
    <cellStyle name="60% - 强调文字颜色 1 2 2 2 2 3 2" xfId="19643" xr:uid="{00000000-0005-0000-0000-0000BA4C0000}"/>
    <cellStyle name="60% - 强调文字颜色 1 2 2 2 2 3 2 2" xfId="19644" xr:uid="{00000000-0005-0000-0000-0000BB4C0000}"/>
    <cellStyle name="60% - 强调文字颜色 1 2 2 2 2 3 2 2 2" xfId="19645" xr:uid="{00000000-0005-0000-0000-0000BC4C0000}"/>
    <cellStyle name="60% - 强调文字颜色 1 2 2 2 2 3 3" xfId="19646" xr:uid="{00000000-0005-0000-0000-0000BD4C0000}"/>
    <cellStyle name="60% - 强调文字颜色 1 2 2 2 2 3 3 2" xfId="19647" xr:uid="{00000000-0005-0000-0000-0000BE4C0000}"/>
    <cellStyle name="60% - 强调文字颜色 1 2 2 2 2 4" xfId="19648" xr:uid="{00000000-0005-0000-0000-0000BF4C0000}"/>
    <cellStyle name="60% - 强调文字颜色 1 2 2 2 2 5" xfId="19649" xr:uid="{00000000-0005-0000-0000-0000C04C0000}"/>
    <cellStyle name="60% - 强调文字颜色 1 2 2 2 2 6" xfId="19650" xr:uid="{00000000-0005-0000-0000-0000C14C0000}"/>
    <cellStyle name="60% - 强调文字颜色 1 2 2 2 3" xfId="19651" xr:uid="{00000000-0005-0000-0000-0000C24C0000}"/>
    <cellStyle name="60% - 强调文字颜色 1 2 2 2 3 2" xfId="19652" xr:uid="{00000000-0005-0000-0000-0000C34C0000}"/>
    <cellStyle name="60% - 强调文字颜色 1 2 2 2 3 3" xfId="19653" xr:uid="{00000000-0005-0000-0000-0000C44C0000}"/>
    <cellStyle name="60% - 强调文字颜色 1 2 2 2 3 3 2" xfId="19654" xr:uid="{00000000-0005-0000-0000-0000C54C0000}"/>
    <cellStyle name="60% - 强调文字颜色 1 2 2 2 3 3 2 2" xfId="19655" xr:uid="{00000000-0005-0000-0000-0000C64C0000}"/>
    <cellStyle name="60% - 强调文字颜色 1 2 2 2 3 4" xfId="19656" xr:uid="{00000000-0005-0000-0000-0000C74C0000}"/>
    <cellStyle name="60% - 强调文字颜色 1 2 2 2 3 4 2" xfId="19657" xr:uid="{00000000-0005-0000-0000-0000C84C0000}"/>
    <cellStyle name="60% - 强调文字颜色 1 2 2 2 4" xfId="19658" xr:uid="{00000000-0005-0000-0000-0000C94C0000}"/>
    <cellStyle name="60% - 强调文字颜色 1 2 2 2 4 2" xfId="19659" xr:uid="{00000000-0005-0000-0000-0000CA4C0000}"/>
    <cellStyle name="60% - 强调文字颜色 1 2 2 2 4 2 2" xfId="19660" xr:uid="{00000000-0005-0000-0000-0000CB4C0000}"/>
    <cellStyle name="60% - 强调文字颜色 1 2 2 2 4 2 2 2" xfId="19661" xr:uid="{00000000-0005-0000-0000-0000CC4C0000}"/>
    <cellStyle name="60% - 强调文字颜色 1 2 2 2 4 3" xfId="19662" xr:uid="{00000000-0005-0000-0000-0000CD4C0000}"/>
    <cellStyle name="60% - 强调文字颜色 1 2 2 2 4 3 2" xfId="19663" xr:uid="{00000000-0005-0000-0000-0000CE4C0000}"/>
    <cellStyle name="60% - 强调文字颜色 1 2 2 2 5" xfId="19664" xr:uid="{00000000-0005-0000-0000-0000CF4C0000}"/>
    <cellStyle name="60% - 强调文字颜色 1 2 2 2 6" xfId="19665" xr:uid="{00000000-0005-0000-0000-0000D04C0000}"/>
    <cellStyle name="60% - 强调文字颜色 1 2 2 2 7" xfId="19666" xr:uid="{00000000-0005-0000-0000-0000D14C0000}"/>
    <cellStyle name="60% - 强调文字颜色 1 2 2 3" xfId="19667" xr:uid="{00000000-0005-0000-0000-0000D24C0000}"/>
    <cellStyle name="60% - 强调文字颜色 1 2 2 3 2" xfId="19668" xr:uid="{00000000-0005-0000-0000-0000D34C0000}"/>
    <cellStyle name="60% - 强调文字颜色 1 2 2 3 2 2" xfId="19669" xr:uid="{00000000-0005-0000-0000-0000D44C0000}"/>
    <cellStyle name="60% - 强调文字颜色 1 2 2 3 2 3" xfId="19670" xr:uid="{00000000-0005-0000-0000-0000D54C0000}"/>
    <cellStyle name="60% - 强调文字颜色 1 2 2 3 2 3 2" xfId="19671" xr:uid="{00000000-0005-0000-0000-0000D64C0000}"/>
    <cellStyle name="60% - 强调文字颜色 1 2 2 3 2 3 2 2" xfId="19672" xr:uid="{00000000-0005-0000-0000-0000D74C0000}"/>
    <cellStyle name="60% - 强调文字颜色 1 2 2 3 2 4" xfId="19673" xr:uid="{00000000-0005-0000-0000-0000D84C0000}"/>
    <cellStyle name="60% - 强调文字颜色 1 2 2 3 2 4 2" xfId="19674" xr:uid="{00000000-0005-0000-0000-0000D94C0000}"/>
    <cellStyle name="60% - 强调文字颜色 1 2 2 3 3" xfId="19675" xr:uid="{00000000-0005-0000-0000-0000DA4C0000}"/>
    <cellStyle name="60% - 强调文字颜色 1 2 2 3 3 2" xfId="19676" xr:uid="{00000000-0005-0000-0000-0000DB4C0000}"/>
    <cellStyle name="60% - 强调文字颜色 1 2 2 3 3 2 2" xfId="19677" xr:uid="{00000000-0005-0000-0000-0000DC4C0000}"/>
    <cellStyle name="60% - 强调文字颜色 1 2 2 3 3 2 2 2" xfId="19678" xr:uid="{00000000-0005-0000-0000-0000DD4C0000}"/>
    <cellStyle name="60% - 强调文字颜色 1 2 2 3 3 3" xfId="19679" xr:uid="{00000000-0005-0000-0000-0000DE4C0000}"/>
    <cellStyle name="60% - 强调文字颜色 1 2 2 3 3 3 2" xfId="19680" xr:uid="{00000000-0005-0000-0000-0000DF4C0000}"/>
    <cellStyle name="60% - 强调文字颜色 1 2 2 3 4" xfId="19681" xr:uid="{00000000-0005-0000-0000-0000E04C0000}"/>
    <cellStyle name="60% - 强调文字颜色 1 2 2 3 5" xfId="19682" xr:uid="{00000000-0005-0000-0000-0000E14C0000}"/>
    <cellStyle name="60% - 强调文字颜色 1 2 2 3 6" xfId="19683" xr:uid="{00000000-0005-0000-0000-0000E24C0000}"/>
    <cellStyle name="60% - 强调文字颜色 1 2 2 4" xfId="19684" xr:uid="{00000000-0005-0000-0000-0000E34C0000}"/>
    <cellStyle name="60% - 强调文字颜色 1 2 2 4 2" xfId="19685" xr:uid="{00000000-0005-0000-0000-0000E44C0000}"/>
    <cellStyle name="60% - 强调文字颜色 1 2 2 4 2 2" xfId="19686" xr:uid="{00000000-0005-0000-0000-0000E54C0000}"/>
    <cellStyle name="60% - 强调文字颜色 1 2 2 4 2 3" xfId="19687" xr:uid="{00000000-0005-0000-0000-0000E64C0000}"/>
    <cellStyle name="60% - 强调文字颜色 1 2 2 4 2 3 2" xfId="19688" xr:uid="{00000000-0005-0000-0000-0000E74C0000}"/>
    <cellStyle name="60% - 强调文字颜色 1 2 2 4 2 3 2 2" xfId="19689" xr:uid="{00000000-0005-0000-0000-0000E84C0000}"/>
    <cellStyle name="60% - 强调文字颜色 1 2 2 4 2 4" xfId="19690" xr:uid="{00000000-0005-0000-0000-0000E94C0000}"/>
    <cellStyle name="60% - 强调文字颜色 1 2 2 4 2 4 2" xfId="19691" xr:uid="{00000000-0005-0000-0000-0000EA4C0000}"/>
    <cellStyle name="60% - 强调文字颜色 1 2 2 4 3" xfId="19692" xr:uid="{00000000-0005-0000-0000-0000EB4C0000}"/>
    <cellStyle name="60% - 强调文字颜色 1 2 2 4 4" xfId="19693" xr:uid="{00000000-0005-0000-0000-0000EC4C0000}"/>
    <cellStyle name="60% - 强调文字颜色 1 2 2 4 5" xfId="19694" xr:uid="{00000000-0005-0000-0000-0000ED4C0000}"/>
    <cellStyle name="60% - 强调文字颜色 1 2 2 4 6" xfId="19695" xr:uid="{00000000-0005-0000-0000-0000EE4C0000}"/>
    <cellStyle name="60% - 强调文字颜色 1 2 2 5" xfId="19696" xr:uid="{00000000-0005-0000-0000-0000EF4C0000}"/>
    <cellStyle name="60% - 强调文字颜色 1 2 2 5 2" xfId="19697" xr:uid="{00000000-0005-0000-0000-0000F04C0000}"/>
    <cellStyle name="60% - 强调文字颜色 1 2 2 5 2 2" xfId="19698" xr:uid="{00000000-0005-0000-0000-0000F14C0000}"/>
    <cellStyle name="60% - 强调文字颜色 1 2 2 5 2 2 2" xfId="19699" xr:uid="{00000000-0005-0000-0000-0000F24C0000}"/>
    <cellStyle name="60% - 强调文字颜色 1 2 2 5 2 2 2 2" xfId="19700" xr:uid="{00000000-0005-0000-0000-0000F34C0000}"/>
    <cellStyle name="60% - 强调文字颜色 1 2 2 5 2 3" xfId="19701" xr:uid="{00000000-0005-0000-0000-0000F44C0000}"/>
    <cellStyle name="60% - 强调文字颜色 1 2 2 5 2 3 2" xfId="19702" xr:uid="{00000000-0005-0000-0000-0000F54C0000}"/>
    <cellStyle name="60% - 强调文字颜色 1 2 2 5 3" xfId="19703" xr:uid="{00000000-0005-0000-0000-0000F64C0000}"/>
    <cellStyle name="60% - 强调文字颜色 1 2 2 5 3 2" xfId="19704" xr:uid="{00000000-0005-0000-0000-0000F74C0000}"/>
    <cellStyle name="60% - 强调文字颜色 1 2 2 5 3 2 2" xfId="19705" xr:uid="{00000000-0005-0000-0000-0000F84C0000}"/>
    <cellStyle name="60% - 强调文字颜色 1 2 2 5 4" xfId="19706" xr:uid="{00000000-0005-0000-0000-0000F94C0000}"/>
    <cellStyle name="60% - 强调文字颜色 1 2 2 5 4 2" xfId="19707" xr:uid="{00000000-0005-0000-0000-0000FA4C0000}"/>
    <cellStyle name="60% - 强调文字颜色 1 2 2 6" xfId="19708" xr:uid="{00000000-0005-0000-0000-0000FB4C0000}"/>
    <cellStyle name="60% - 强调文字颜色 1 2 2 6 2" xfId="19709" xr:uid="{00000000-0005-0000-0000-0000FC4C0000}"/>
    <cellStyle name="60% - 强调文字颜色 1 2 2 6 2 2" xfId="19710" xr:uid="{00000000-0005-0000-0000-0000FD4C0000}"/>
    <cellStyle name="60% - 强调文字颜色 1 2 2 6 2 2 2" xfId="19711" xr:uid="{00000000-0005-0000-0000-0000FE4C0000}"/>
    <cellStyle name="60% - 强调文字颜色 1 2 2 6 2 2 2 2" xfId="19712" xr:uid="{00000000-0005-0000-0000-0000FF4C0000}"/>
    <cellStyle name="60% - 强调文字颜色 1 2 2 6 2 3" xfId="19713" xr:uid="{00000000-0005-0000-0000-0000004D0000}"/>
    <cellStyle name="60% - 强调文字颜色 1 2 2 6 2 3 2" xfId="19714" xr:uid="{00000000-0005-0000-0000-0000014D0000}"/>
    <cellStyle name="60% - 强调文字颜色 1 2 2 6 3" xfId="19715" xr:uid="{00000000-0005-0000-0000-0000024D0000}"/>
    <cellStyle name="60% - 强调文字颜色 1 2 2 6 3 2" xfId="19716" xr:uid="{00000000-0005-0000-0000-0000034D0000}"/>
    <cellStyle name="60% - 强调文字颜色 1 2 2 6 3 2 2" xfId="19717" xr:uid="{00000000-0005-0000-0000-0000044D0000}"/>
    <cellStyle name="60% - 强调文字颜色 1 2 2 6 4" xfId="19718" xr:uid="{00000000-0005-0000-0000-0000054D0000}"/>
    <cellStyle name="60% - 强调文字颜色 1 2 2 6 4 2" xfId="19719" xr:uid="{00000000-0005-0000-0000-0000064D0000}"/>
    <cellStyle name="60% - 强调文字颜色 1 2 2 7" xfId="19720" xr:uid="{00000000-0005-0000-0000-0000074D0000}"/>
    <cellStyle name="60% - 强调文字颜色 1 2 2 7 2" xfId="19721" xr:uid="{00000000-0005-0000-0000-0000084D0000}"/>
    <cellStyle name="60% - 强调文字颜色 1 2 2 7 2 2" xfId="19722" xr:uid="{00000000-0005-0000-0000-0000094D0000}"/>
    <cellStyle name="60% - 强调文字颜色 1 2 2 7 2 2 2" xfId="19723" xr:uid="{00000000-0005-0000-0000-00000A4D0000}"/>
    <cellStyle name="60% - 强调文字颜色 1 2 2 7 2 2 2 2" xfId="19724" xr:uid="{00000000-0005-0000-0000-00000B4D0000}"/>
    <cellStyle name="60% - 强调文字颜色 1 2 2 7 2 3" xfId="19725" xr:uid="{00000000-0005-0000-0000-00000C4D0000}"/>
    <cellStyle name="60% - 强调文字颜色 1 2 2 7 2 3 2" xfId="19726" xr:uid="{00000000-0005-0000-0000-00000D4D0000}"/>
    <cellStyle name="60% - 强调文字颜色 1 2 2 7 3" xfId="19727" xr:uid="{00000000-0005-0000-0000-00000E4D0000}"/>
    <cellStyle name="60% - 强调文字颜色 1 2 2 7 3 2" xfId="19728" xr:uid="{00000000-0005-0000-0000-00000F4D0000}"/>
    <cellStyle name="60% - 强调文字颜色 1 2 2 7 3 2 2" xfId="19729" xr:uid="{00000000-0005-0000-0000-0000104D0000}"/>
    <cellStyle name="60% - 强调文字颜色 1 2 2 7 4" xfId="19730" xr:uid="{00000000-0005-0000-0000-0000114D0000}"/>
    <cellStyle name="60% - 强调文字颜色 1 2 2 7 4 2" xfId="19731" xr:uid="{00000000-0005-0000-0000-0000124D0000}"/>
    <cellStyle name="60% - 强调文字颜色 1 2 2 8" xfId="19732" xr:uid="{00000000-0005-0000-0000-0000134D0000}"/>
    <cellStyle name="60% - 强调文字颜色 1 2 2 8 2" xfId="19733" xr:uid="{00000000-0005-0000-0000-0000144D0000}"/>
    <cellStyle name="60% - 强调文字颜色 1 2 2 8 2 2" xfId="19734" xr:uid="{00000000-0005-0000-0000-0000154D0000}"/>
    <cellStyle name="60% - 强调文字颜色 1 2 2 8 2 2 2" xfId="19735" xr:uid="{00000000-0005-0000-0000-0000164D0000}"/>
    <cellStyle name="60% - 强调文字颜色 1 2 2 8 3" xfId="19736" xr:uid="{00000000-0005-0000-0000-0000174D0000}"/>
    <cellStyle name="60% - 强调文字颜色 1 2 2 8 3 2" xfId="19737" xr:uid="{00000000-0005-0000-0000-0000184D0000}"/>
    <cellStyle name="60% - 强调文字颜色 1 2 2 9" xfId="19738" xr:uid="{00000000-0005-0000-0000-0000194D0000}"/>
    <cellStyle name="60% - 强调文字颜色 1 2 2 9 2" xfId="19739" xr:uid="{00000000-0005-0000-0000-00001A4D0000}"/>
    <cellStyle name="60% - 强调文字颜色 1 2 2 9 2 2" xfId="19740" xr:uid="{00000000-0005-0000-0000-00001B4D0000}"/>
    <cellStyle name="60% - 强调文字颜色 1 2 2 9 2 2 2" xfId="19741" xr:uid="{00000000-0005-0000-0000-00001C4D0000}"/>
    <cellStyle name="60% - 强调文字颜色 1 2 2 9 3" xfId="19742" xr:uid="{00000000-0005-0000-0000-00001D4D0000}"/>
    <cellStyle name="60% - 强调文字颜色 1 2 2 9 3 2" xfId="19743" xr:uid="{00000000-0005-0000-0000-00001E4D0000}"/>
    <cellStyle name="60% - 强调文字颜色 1 2 3" xfId="19744" xr:uid="{00000000-0005-0000-0000-00001F4D0000}"/>
    <cellStyle name="60% - 强调文字颜色 1 2 3 2" xfId="19745" xr:uid="{00000000-0005-0000-0000-0000204D0000}"/>
    <cellStyle name="60% - 强调文字颜色 1 2 3 2 2" xfId="19746" xr:uid="{00000000-0005-0000-0000-0000214D0000}"/>
    <cellStyle name="60% - 强调文字颜色 1 2 3 2 2 2" xfId="19747" xr:uid="{00000000-0005-0000-0000-0000224D0000}"/>
    <cellStyle name="60% - 强调文字颜色 1 2 3 2 2 2 2" xfId="19748" xr:uid="{00000000-0005-0000-0000-0000234D0000}"/>
    <cellStyle name="60% - 强调文字颜色 1 2 3 2 2 2 3" xfId="19749" xr:uid="{00000000-0005-0000-0000-0000244D0000}"/>
    <cellStyle name="60% - 强调文字颜色 1 2 3 2 2 2 3 2" xfId="19750" xr:uid="{00000000-0005-0000-0000-0000254D0000}"/>
    <cellStyle name="60% - 强调文字颜色 1 2 3 2 2 2 3 2 2" xfId="19751" xr:uid="{00000000-0005-0000-0000-0000264D0000}"/>
    <cellStyle name="60% - 强调文字颜色 1 2 3 2 2 2 4" xfId="19752" xr:uid="{00000000-0005-0000-0000-0000274D0000}"/>
    <cellStyle name="60% - 强调文字颜色 1 2 3 2 2 2 4 2" xfId="19753" xr:uid="{00000000-0005-0000-0000-0000284D0000}"/>
    <cellStyle name="60% - 强调文字颜色 1 2 3 2 2 3" xfId="19754" xr:uid="{00000000-0005-0000-0000-0000294D0000}"/>
    <cellStyle name="60% - 强调文字颜色 1 2 3 2 2 3 2" xfId="19755" xr:uid="{00000000-0005-0000-0000-00002A4D0000}"/>
    <cellStyle name="60% - 强调文字颜色 1 2 3 2 2 3 2 2" xfId="19756" xr:uid="{00000000-0005-0000-0000-00002B4D0000}"/>
    <cellStyle name="60% - 强调文字颜色 1 2 3 2 2 3 2 2 2" xfId="19757" xr:uid="{00000000-0005-0000-0000-00002C4D0000}"/>
    <cellStyle name="60% - 强调文字颜色 1 2 3 2 2 3 3" xfId="19758" xr:uid="{00000000-0005-0000-0000-00002D4D0000}"/>
    <cellStyle name="60% - 强调文字颜色 1 2 3 2 2 3 3 2" xfId="19759" xr:uid="{00000000-0005-0000-0000-00002E4D0000}"/>
    <cellStyle name="60% - 强调文字颜色 1 2 3 2 2 4" xfId="19760" xr:uid="{00000000-0005-0000-0000-00002F4D0000}"/>
    <cellStyle name="60% - 强调文字颜色 1 2 3 2 2 5" xfId="19761" xr:uid="{00000000-0005-0000-0000-0000304D0000}"/>
    <cellStyle name="60% - 强调文字颜色 1 2 3 2 2 6" xfId="19762" xr:uid="{00000000-0005-0000-0000-0000314D0000}"/>
    <cellStyle name="60% - 强调文字颜色 1 2 3 2 3" xfId="19763" xr:uid="{00000000-0005-0000-0000-0000324D0000}"/>
    <cellStyle name="60% - 强调文字颜色 1 2 3 2 3 2" xfId="19764" xr:uid="{00000000-0005-0000-0000-0000334D0000}"/>
    <cellStyle name="60% - 强调文字颜色 1 2 3 2 3 3" xfId="19765" xr:uid="{00000000-0005-0000-0000-0000344D0000}"/>
    <cellStyle name="60% - 强调文字颜色 1 2 3 2 3 3 2" xfId="19766" xr:uid="{00000000-0005-0000-0000-0000354D0000}"/>
    <cellStyle name="60% - 强调文字颜色 1 2 3 2 3 3 2 2" xfId="19767" xr:uid="{00000000-0005-0000-0000-0000364D0000}"/>
    <cellStyle name="60% - 强调文字颜色 1 2 3 2 3 4" xfId="19768" xr:uid="{00000000-0005-0000-0000-0000374D0000}"/>
    <cellStyle name="60% - 强调文字颜色 1 2 3 2 3 4 2" xfId="19769" xr:uid="{00000000-0005-0000-0000-0000384D0000}"/>
    <cellStyle name="60% - 强调文字颜色 1 2 3 2 4" xfId="19770" xr:uid="{00000000-0005-0000-0000-0000394D0000}"/>
    <cellStyle name="60% - 强调文字颜色 1 2 3 2 4 2" xfId="19771" xr:uid="{00000000-0005-0000-0000-00003A4D0000}"/>
    <cellStyle name="60% - 强调文字颜色 1 2 3 2 4 2 2" xfId="19772" xr:uid="{00000000-0005-0000-0000-00003B4D0000}"/>
    <cellStyle name="60% - 强调文字颜色 1 2 3 2 4 2 2 2" xfId="19773" xr:uid="{00000000-0005-0000-0000-00003C4D0000}"/>
    <cellStyle name="60% - 强调文字颜色 1 2 3 2 4 3" xfId="19774" xr:uid="{00000000-0005-0000-0000-00003D4D0000}"/>
    <cellStyle name="60% - 强调文字颜色 1 2 3 2 4 3 2" xfId="19775" xr:uid="{00000000-0005-0000-0000-00003E4D0000}"/>
    <cellStyle name="60% - 强调文字颜色 1 2 3 2 5" xfId="19776" xr:uid="{00000000-0005-0000-0000-00003F4D0000}"/>
    <cellStyle name="60% - 强调文字颜色 1 2 3 2 6" xfId="19777" xr:uid="{00000000-0005-0000-0000-0000404D0000}"/>
    <cellStyle name="60% - 强调文字颜色 1 2 3 2 7" xfId="19778" xr:uid="{00000000-0005-0000-0000-0000414D0000}"/>
    <cellStyle name="60% - 强调文字颜色 1 2 3 3" xfId="19779" xr:uid="{00000000-0005-0000-0000-0000424D0000}"/>
    <cellStyle name="60% - 强调文字颜色 1 2 3 3 2" xfId="19780" xr:uid="{00000000-0005-0000-0000-0000434D0000}"/>
    <cellStyle name="60% - 强调文字颜色 1 2 3 3 2 2" xfId="19781" xr:uid="{00000000-0005-0000-0000-0000444D0000}"/>
    <cellStyle name="60% - 强调文字颜色 1 2 3 3 2 3" xfId="19782" xr:uid="{00000000-0005-0000-0000-0000454D0000}"/>
    <cellStyle name="60% - 强调文字颜色 1 2 3 3 2 3 2" xfId="19783" xr:uid="{00000000-0005-0000-0000-0000464D0000}"/>
    <cellStyle name="60% - 强调文字颜色 1 2 3 3 2 3 2 2" xfId="19784" xr:uid="{00000000-0005-0000-0000-0000474D0000}"/>
    <cellStyle name="60% - 强调文字颜色 1 2 3 3 2 4" xfId="19785" xr:uid="{00000000-0005-0000-0000-0000484D0000}"/>
    <cellStyle name="60% - 强调文字颜色 1 2 3 3 2 4 2" xfId="19786" xr:uid="{00000000-0005-0000-0000-0000494D0000}"/>
    <cellStyle name="60% - 强调文字颜色 1 2 3 3 3" xfId="19787" xr:uid="{00000000-0005-0000-0000-00004A4D0000}"/>
    <cellStyle name="60% - 强调文字颜色 1 2 3 3 3 2" xfId="19788" xr:uid="{00000000-0005-0000-0000-00004B4D0000}"/>
    <cellStyle name="60% - 强调文字颜色 1 2 3 3 3 2 2" xfId="19789" xr:uid="{00000000-0005-0000-0000-00004C4D0000}"/>
    <cellStyle name="60% - 强调文字颜色 1 2 3 3 3 2 2 2" xfId="19790" xr:uid="{00000000-0005-0000-0000-00004D4D0000}"/>
    <cellStyle name="60% - 强调文字颜色 1 2 3 3 3 3" xfId="19791" xr:uid="{00000000-0005-0000-0000-00004E4D0000}"/>
    <cellStyle name="60% - 强调文字颜色 1 2 3 3 3 3 2" xfId="19792" xr:uid="{00000000-0005-0000-0000-00004F4D0000}"/>
    <cellStyle name="60% - 强调文字颜色 1 2 3 3 4" xfId="19793" xr:uid="{00000000-0005-0000-0000-0000504D0000}"/>
    <cellStyle name="60% - 强调文字颜色 1 2 3 3 5" xfId="19794" xr:uid="{00000000-0005-0000-0000-0000514D0000}"/>
    <cellStyle name="60% - 强调文字颜色 1 2 3 3 6" xfId="19795" xr:uid="{00000000-0005-0000-0000-0000524D0000}"/>
    <cellStyle name="60% - 强调文字颜色 1 2 3 4" xfId="19796" xr:uid="{00000000-0005-0000-0000-0000534D0000}"/>
    <cellStyle name="60% - 强调文字颜色 1 2 3 4 2" xfId="19797" xr:uid="{00000000-0005-0000-0000-0000544D0000}"/>
    <cellStyle name="60% - 强调文字颜色 1 2 3 4 2 2" xfId="19798" xr:uid="{00000000-0005-0000-0000-0000554D0000}"/>
    <cellStyle name="60% - 强调文字颜色 1 2 3 4 2 3" xfId="19799" xr:uid="{00000000-0005-0000-0000-0000564D0000}"/>
    <cellStyle name="60% - 强调文字颜色 1 2 3 4 2 3 2" xfId="19800" xr:uid="{00000000-0005-0000-0000-0000574D0000}"/>
    <cellStyle name="60% - 强调文字颜色 1 2 3 4 2 3 2 2" xfId="19801" xr:uid="{00000000-0005-0000-0000-0000584D0000}"/>
    <cellStyle name="60% - 强调文字颜色 1 2 3 4 2 4" xfId="19802" xr:uid="{00000000-0005-0000-0000-0000594D0000}"/>
    <cellStyle name="60% - 强调文字颜色 1 2 3 4 2 4 2" xfId="19803" xr:uid="{00000000-0005-0000-0000-00005A4D0000}"/>
    <cellStyle name="60% - 强调文字颜色 1 2 3 4 3" xfId="19804" xr:uid="{00000000-0005-0000-0000-00005B4D0000}"/>
    <cellStyle name="60% - 强调文字颜色 1 2 3 4 4" xfId="19805" xr:uid="{00000000-0005-0000-0000-00005C4D0000}"/>
    <cellStyle name="60% - 强调文字颜色 1 2 3 4 5" xfId="19806" xr:uid="{00000000-0005-0000-0000-00005D4D0000}"/>
    <cellStyle name="60% - 强调文字颜色 1 2 3 4 6" xfId="19807" xr:uid="{00000000-0005-0000-0000-00005E4D0000}"/>
    <cellStyle name="60% - 强调文字颜色 1 2 3 5" xfId="19808" xr:uid="{00000000-0005-0000-0000-00005F4D0000}"/>
    <cellStyle name="60% - 强调文字颜色 1 2 3 5 2" xfId="19809" xr:uid="{00000000-0005-0000-0000-0000604D0000}"/>
    <cellStyle name="60% - 强调文字颜色 1 2 3 5 2 2" xfId="19810" xr:uid="{00000000-0005-0000-0000-0000614D0000}"/>
    <cellStyle name="60% - 强调文字颜色 1 2 3 5 2 2 2" xfId="19811" xr:uid="{00000000-0005-0000-0000-0000624D0000}"/>
    <cellStyle name="60% - 强调文字颜色 1 2 3 5 2 2 2 2" xfId="19812" xr:uid="{00000000-0005-0000-0000-0000634D0000}"/>
    <cellStyle name="60% - 强调文字颜色 1 2 3 5 2 3" xfId="19813" xr:uid="{00000000-0005-0000-0000-0000644D0000}"/>
    <cellStyle name="60% - 强调文字颜色 1 2 3 5 2 3 2" xfId="19814" xr:uid="{00000000-0005-0000-0000-0000654D0000}"/>
    <cellStyle name="60% - 强调文字颜色 1 2 3 5 3" xfId="19815" xr:uid="{00000000-0005-0000-0000-0000664D0000}"/>
    <cellStyle name="60% - 强调文字颜色 1 2 3 5 3 2" xfId="19816" xr:uid="{00000000-0005-0000-0000-0000674D0000}"/>
    <cellStyle name="60% - 强调文字颜色 1 2 3 5 3 2 2" xfId="19817" xr:uid="{00000000-0005-0000-0000-0000684D0000}"/>
    <cellStyle name="60% - 强调文字颜色 1 2 3 5 4" xfId="19818" xr:uid="{00000000-0005-0000-0000-0000694D0000}"/>
    <cellStyle name="60% - 强调文字颜色 1 2 3 5 4 2" xfId="19819" xr:uid="{00000000-0005-0000-0000-00006A4D0000}"/>
    <cellStyle name="60% - 强调文字颜色 1 2 3 6" xfId="19820" xr:uid="{00000000-0005-0000-0000-00006B4D0000}"/>
    <cellStyle name="60% - 强调文字颜色 1 2 3 6 2" xfId="19821" xr:uid="{00000000-0005-0000-0000-00006C4D0000}"/>
    <cellStyle name="60% - 强调文字颜色 1 2 3 6 2 2" xfId="19822" xr:uid="{00000000-0005-0000-0000-00006D4D0000}"/>
    <cellStyle name="60% - 强调文字颜色 1 2 3 6 2 2 2" xfId="19823" xr:uid="{00000000-0005-0000-0000-00006E4D0000}"/>
    <cellStyle name="60% - 强调文字颜色 1 2 3 6 3" xfId="19824" xr:uid="{00000000-0005-0000-0000-00006F4D0000}"/>
    <cellStyle name="60% - 强调文字颜色 1 2 3 6 3 2" xfId="19825" xr:uid="{00000000-0005-0000-0000-0000704D0000}"/>
    <cellStyle name="60% - 强调文字颜色 1 2 3 7" xfId="19826" xr:uid="{00000000-0005-0000-0000-0000714D0000}"/>
    <cellStyle name="60% - 强调文字颜色 1 2 3 7 2" xfId="19827" xr:uid="{00000000-0005-0000-0000-0000724D0000}"/>
    <cellStyle name="60% - 强调文字颜色 1 2 3 7 2 2" xfId="19828" xr:uid="{00000000-0005-0000-0000-0000734D0000}"/>
    <cellStyle name="60% - 强调文字颜色 1 2 3 7 2 2 2" xfId="19829" xr:uid="{00000000-0005-0000-0000-0000744D0000}"/>
    <cellStyle name="60% - 强调文字颜色 1 2 3 7 3" xfId="19830" xr:uid="{00000000-0005-0000-0000-0000754D0000}"/>
    <cellStyle name="60% - 强调文字颜色 1 2 3 7 3 2" xfId="19831" xr:uid="{00000000-0005-0000-0000-0000764D0000}"/>
    <cellStyle name="60% - 强调文字颜色 1 2 3 8" xfId="19832" xr:uid="{00000000-0005-0000-0000-0000774D0000}"/>
    <cellStyle name="60% - 强调文字颜色 1 2 3 9" xfId="19833" xr:uid="{00000000-0005-0000-0000-0000784D0000}"/>
    <cellStyle name="60% - 强调文字颜色 1 2 4" xfId="19834" xr:uid="{00000000-0005-0000-0000-0000794D0000}"/>
    <cellStyle name="60% - 强调文字颜色 1 2 4 2" xfId="19835" xr:uid="{00000000-0005-0000-0000-00007A4D0000}"/>
    <cellStyle name="60% - 强调文字颜色 1 2 4 2 2" xfId="19836" xr:uid="{00000000-0005-0000-0000-00007B4D0000}"/>
    <cellStyle name="60% - 强调文字颜色 1 2 4 2 3" xfId="19837" xr:uid="{00000000-0005-0000-0000-00007C4D0000}"/>
    <cellStyle name="60% - 强调文字颜色 1 2 4 2 3 2" xfId="19838" xr:uid="{00000000-0005-0000-0000-00007D4D0000}"/>
    <cellStyle name="60% - 强调文字颜色 1 2 4 2 3 2 2" xfId="19839" xr:uid="{00000000-0005-0000-0000-00007E4D0000}"/>
    <cellStyle name="60% - 强调文字颜色 1 2 4 2 4" xfId="19840" xr:uid="{00000000-0005-0000-0000-00007F4D0000}"/>
    <cellStyle name="60% - 强调文字颜色 1 2 4 2 4 2" xfId="19841" xr:uid="{00000000-0005-0000-0000-0000804D0000}"/>
    <cellStyle name="60% - 强调文字颜色 1 2 4 3" xfId="19842" xr:uid="{00000000-0005-0000-0000-0000814D0000}"/>
    <cellStyle name="60% - 强调文字颜色 1 2 4 3 2" xfId="19843" xr:uid="{00000000-0005-0000-0000-0000824D0000}"/>
    <cellStyle name="60% - 强调文字颜色 1 2 4 3 2 2" xfId="19844" xr:uid="{00000000-0005-0000-0000-0000834D0000}"/>
    <cellStyle name="60% - 强调文字颜色 1 2 4 3 2 2 2" xfId="19845" xr:uid="{00000000-0005-0000-0000-0000844D0000}"/>
    <cellStyle name="60% - 强调文字颜色 1 2 4 3 3" xfId="19846" xr:uid="{00000000-0005-0000-0000-0000854D0000}"/>
    <cellStyle name="60% - 强调文字颜色 1 2 4 3 3 2" xfId="19847" xr:uid="{00000000-0005-0000-0000-0000864D0000}"/>
    <cellStyle name="60% - 强调文字颜色 1 2 4 4" xfId="19848" xr:uid="{00000000-0005-0000-0000-0000874D0000}"/>
    <cellStyle name="60% - 强调文字颜色 1 2 4 5" xfId="19849" xr:uid="{00000000-0005-0000-0000-0000884D0000}"/>
    <cellStyle name="60% - 强调文字颜色 1 2 4 6" xfId="19850" xr:uid="{00000000-0005-0000-0000-0000894D0000}"/>
    <cellStyle name="60% - 强调文字颜色 1 2 5" xfId="19851" xr:uid="{00000000-0005-0000-0000-00008A4D0000}"/>
    <cellStyle name="60% - 强调文字颜色 1 2 5 2" xfId="19852" xr:uid="{00000000-0005-0000-0000-00008B4D0000}"/>
    <cellStyle name="60% - 强调文字颜色 1 2 5 2 2" xfId="19853" xr:uid="{00000000-0005-0000-0000-00008C4D0000}"/>
    <cellStyle name="60% - 强调文字颜色 1 2 5 2 3" xfId="19854" xr:uid="{00000000-0005-0000-0000-00008D4D0000}"/>
    <cellStyle name="60% - 强调文字颜色 1 2 5 2 3 2" xfId="19855" xr:uid="{00000000-0005-0000-0000-00008E4D0000}"/>
    <cellStyle name="60% - 强调文字颜色 1 2 5 2 3 2 2" xfId="19856" xr:uid="{00000000-0005-0000-0000-00008F4D0000}"/>
    <cellStyle name="60% - 强调文字颜色 1 2 5 2 4" xfId="19857" xr:uid="{00000000-0005-0000-0000-0000904D0000}"/>
    <cellStyle name="60% - 强调文字颜色 1 2 5 2 4 2" xfId="19858" xr:uid="{00000000-0005-0000-0000-0000914D0000}"/>
    <cellStyle name="60% - 强调文字颜色 1 2 5 3" xfId="19859" xr:uid="{00000000-0005-0000-0000-0000924D0000}"/>
    <cellStyle name="60% - 强调文字颜色 1 2 5 4" xfId="19860" xr:uid="{00000000-0005-0000-0000-0000934D0000}"/>
    <cellStyle name="60% - 强调文字颜色 1 2 5 5" xfId="19861" xr:uid="{00000000-0005-0000-0000-0000944D0000}"/>
    <cellStyle name="60% - 强调文字颜色 1 2 5 6" xfId="19862" xr:uid="{00000000-0005-0000-0000-0000954D0000}"/>
    <cellStyle name="60% - 强调文字颜色 1 2 6" xfId="19863" xr:uid="{00000000-0005-0000-0000-0000964D0000}"/>
    <cellStyle name="60% - 强调文字颜色 1 2 6 2" xfId="19864" xr:uid="{00000000-0005-0000-0000-0000974D0000}"/>
    <cellStyle name="60% - 强调文字颜色 1 2 6 2 2" xfId="19865" xr:uid="{00000000-0005-0000-0000-0000984D0000}"/>
    <cellStyle name="60% - 强调文字颜色 1 2 6 2 2 2" xfId="19866" xr:uid="{00000000-0005-0000-0000-0000994D0000}"/>
    <cellStyle name="60% - 强调文字颜色 1 2 6 2 2 2 2" xfId="19867" xr:uid="{00000000-0005-0000-0000-00009A4D0000}"/>
    <cellStyle name="60% - 强调文字颜色 1 2 6 2 3" xfId="19868" xr:uid="{00000000-0005-0000-0000-00009B4D0000}"/>
    <cellStyle name="60% - 强调文字颜色 1 2 6 2 3 2" xfId="19869" xr:uid="{00000000-0005-0000-0000-00009C4D0000}"/>
    <cellStyle name="60% - 强调文字颜色 1 2 6 3" xfId="19870" xr:uid="{00000000-0005-0000-0000-00009D4D0000}"/>
    <cellStyle name="60% - 强调文字颜色 1 2 6 3 2" xfId="19871" xr:uid="{00000000-0005-0000-0000-00009E4D0000}"/>
    <cellStyle name="60% - 强调文字颜色 1 2 6 3 2 2" xfId="19872" xr:uid="{00000000-0005-0000-0000-00009F4D0000}"/>
    <cellStyle name="60% - 强调文字颜色 1 2 6 4" xfId="19873" xr:uid="{00000000-0005-0000-0000-0000A04D0000}"/>
    <cellStyle name="60% - 强调文字颜色 1 2 6 4 2" xfId="19874" xr:uid="{00000000-0005-0000-0000-0000A14D0000}"/>
    <cellStyle name="60% - 强调文字颜色 1 2 7" xfId="19875" xr:uid="{00000000-0005-0000-0000-0000A24D0000}"/>
    <cellStyle name="60% - 强调文字颜色 1 2 7 2" xfId="19876" xr:uid="{00000000-0005-0000-0000-0000A34D0000}"/>
    <cellStyle name="60% - 强调文字颜色 1 2 7 2 2" xfId="19877" xr:uid="{00000000-0005-0000-0000-0000A44D0000}"/>
    <cellStyle name="60% - 强调文字颜色 1 2 7 2 2 2" xfId="19878" xr:uid="{00000000-0005-0000-0000-0000A54D0000}"/>
    <cellStyle name="60% - 强调文字颜色 1 2 7 2 2 2 2" xfId="19879" xr:uid="{00000000-0005-0000-0000-0000A64D0000}"/>
    <cellStyle name="60% - 强调文字颜色 1 2 7 2 3" xfId="19880" xr:uid="{00000000-0005-0000-0000-0000A74D0000}"/>
    <cellStyle name="60% - 强调文字颜色 1 2 7 2 3 2" xfId="19881" xr:uid="{00000000-0005-0000-0000-0000A84D0000}"/>
    <cellStyle name="60% - 强调文字颜色 1 2 7 3" xfId="19882" xr:uid="{00000000-0005-0000-0000-0000A94D0000}"/>
    <cellStyle name="60% - 强调文字颜色 1 2 7 3 2" xfId="19883" xr:uid="{00000000-0005-0000-0000-0000AA4D0000}"/>
    <cellStyle name="60% - 强调文字颜色 1 2 7 3 2 2" xfId="19884" xr:uid="{00000000-0005-0000-0000-0000AB4D0000}"/>
    <cellStyle name="60% - 强调文字颜色 1 2 7 4" xfId="19885" xr:uid="{00000000-0005-0000-0000-0000AC4D0000}"/>
    <cellStyle name="60% - 强调文字颜色 1 2 7 4 2" xfId="19886" xr:uid="{00000000-0005-0000-0000-0000AD4D0000}"/>
    <cellStyle name="60% - 强调文字颜色 1 2 8" xfId="19887" xr:uid="{00000000-0005-0000-0000-0000AE4D0000}"/>
    <cellStyle name="60% - 强调文字颜色 1 2 8 2" xfId="19888" xr:uid="{00000000-0005-0000-0000-0000AF4D0000}"/>
    <cellStyle name="60% - 强调文字颜色 1 2 8 2 2" xfId="19889" xr:uid="{00000000-0005-0000-0000-0000B04D0000}"/>
    <cellStyle name="60% - 强调文字颜色 1 2 8 2 2 2" xfId="19890" xr:uid="{00000000-0005-0000-0000-0000B14D0000}"/>
    <cellStyle name="60% - 强调文字颜色 1 2 8 2 2 2 2" xfId="19891" xr:uid="{00000000-0005-0000-0000-0000B24D0000}"/>
    <cellStyle name="60% - 强调文字颜色 1 2 8 2 3" xfId="19892" xr:uid="{00000000-0005-0000-0000-0000B34D0000}"/>
    <cellStyle name="60% - 强调文字颜色 1 2 8 2 3 2" xfId="19893" xr:uid="{00000000-0005-0000-0000-0000B44D0000}"/>
    <cellStyle name="60% - 强调文字颜色 1 2 8 3" xfId="19894" xr:uid="{00000000-0005-0000-0000-0000B54D0000}"/>
    <cellStyle name="60% - 强调文字颜色 1 2 8 3 2" xfId="19895" xr:uid="{00000000-0005-0000-0000-0000B64D0000}"/>
    <cellStyle name="60% - 强调文字颜色 1 2 8 3 2 2" xfId="19896" xr:uid="{00000000-0005-0000-0000-0000B74D0000}"/>
    <cellStyle name="60% - 强调文字颜色 1 2 8 4" xfId="19897" xr:uid="{00000000-0005-0000-0000-0000B84D0000}"/>
    <cellStyle name="60% - 强调文字颜色 1 2 8 4 2" xfId="19898" xr:uid="{00000000-0005-0000-0000-0000B94D0000}"/>
    <cellStyle name="60% - 强调文字颜色 1 2 9" xfId="19899" xr:uid="{00000000-0005-0000-0000-0000BA4D0000}"/>
    <cellStyle name="60% - 强调文字颜色 1 2 9 2" xfId="19900" xr:uid="{00000000-0005-0000-0000-0000BB4D0000}"/>
    <cellStyle name="60% - 强调文字颜色 1 2 9 2 2" xfId="19901" xr:uid="{00000000-0005-0000-0000-0000BC4D0000}"/>
    <cellStyle name="60% - 强调文字颜色 1 2 9 2 2 2" xfId="19902" xr:uid="{00000000-0005-0000-0000-0000BD4D0000}"/>
    <cellStyle name="60% - 强调文字颜色 1 2 9 3" xfId="19903" xr:uid="{00000000-0005-0000-0000-0000BE4D0000}"/>
    <cellStyle name="60% - 强调文字颜色 1 2 9 3 2" xfId="19904" xr:uid="{00000000-0005-0000-0000-0000BF4D0000}"/>
    <cellStyle name="60% - 强调文字颜色 1 3" xfId="19905" xr:uid="{00000000-0005-0000-0000-0000C04D0000}"/>
    <cellStyle name="60% - 强调文字颜色 1 3 2" xfId="19906" xr:uid="{00000000-0005-0000-0000-0000C14D0000}"/>
    <cellStyle name="60% - 强调文字颜色 1 3 2 2" xfId="19907" xr:uid="{00000000-0005-0000-0000-0000C24D0000}"/>
    <cellStyle name="60% - 强调文字颜色 1 3 2 2 2" xfId="19908" xr:uid="{00000000-0005-0000-0000-0000C34D0000}"/>
    <cellStyle name="60% - 强调文字颜色 1 3 2 2 2 2" xfId="19909" xr:uid="{00000000-0005-0000-0000-0000C44D0000}"/>
    <cellStyle name="60% - 强调文字颜色 1 3 2 2 2 3" xfId="19910" xr:uid="{00000000-0005-0000-0000-0000C54D0000}"/>
    <cellStyle name="60% - 强调文字颜色 1 3 2 2 2 3 2" xfId="19911" xr:uid="{00000000-0005-0000-0000-0000C64D0000}"/>
    <cellStyle name="60% - 强调文字颜色 1 3 2 2 2 3 2 2" xfId="19912" xr:uid="{00000000-0005-0000-0000-0000C74D0000}"/>
    <cellStyle name="60% - 强调文字颜色 1 3 2 2 2 4" xfId="19913" xr:uid="{00000000-0005-0000-0000-0000C84D0000}"/>
    <cellStyle name="60% - 强调文字颜色 1 3 2 2 2 4 2" xfId="19914" xr:uid="{00000000-0005-0000-0000-0000C94D0000}"/>
    <cellStyle name="60% - 强调文字颜色 1 3 2 2 3" xfId="19915" xr:uid="{00000000-0005-0000-0000-0000CA4D0000}"/>
    <cellStyle name="60% - 强调文字颜色 1 3 2 2 3 2" xfId="19916" xr:uid="{00000000-0005-0000-0000-0000CB4D0000}"/>
    <cellStyle name="60% - 强调文字颜色 1 3 2 2 3 2 2" xfId="19917" xr:uid="{00000000-0005-0000-0000-0000CC4D0000}"/>
    <cellStyle name="60% - 强调文字颜色 1 3 2 2 3 2 2 2" xfId="19918" xr:uid="{00000000-0005-0000-0000-0000CD4D0000}"/>
    <cellStyle name="60% - 强调文字颜色 1 3 2 2 3 3" xfId="19919" xr:uid="{00000000-0005-0000-0000-0000CE4D0000}"/>
    <cellStyle name="60% - 强调文字颜色 1 3 2 2 3 3 2" xfId="19920" xr:uid="{00000000-0005-0000-0000-0000CF4D0000}"/>
    <cellStyle name="60% - 强调文字颜色 1 3 2 2 4" xfId="19921" xr:uid="{00000000-0005-0000-0000-0000D04D0000}"/>
    <cellStyle name="60% - 强调文字颜色 1 3 2 2 5" xfId="19922" xr:uid="{00000000-0005-0000-0000-0000D14D0000}"/>
    <cellStyle name="60% - 强调文字颜色 1 3 2 2 6" xfId="19923" xr:uid="{00000000-0005-0000-0000-0000D24D0000}"/>
    <cellStyle name="60% - 强调文字颜色 1 3 2 3" xfId="19924" xr:uid="{00000000-0005-0000-0000-0000D34D0000}"/>
    <cellStyle name="60% - 强调文字颜色 1 3 2 3 2" xfId="19925" xr:uid="{00000000-0005-0000-0000-0000D44D0000}"/>
    <cellStyle name="60% - 强调文字颜色 1 3 2 3 3" xfId="19926" xr:uid="{00000000-0005-0000-0000-0000D54D0000}"/>
    <cellStyle name="60% - 强调文字颜色 1 3 2 3 3 2" xfId="19927" xr:uid="{00000000-0005-0000-0000-0000D64D0000}"/>
    <cellStyle name="60% - 强调文字颜色 1 3 2 3 3 2 2" xfId="19928" xr:uid="{00000000-0005-0000-0000-0000D74D0000}"/>
    <cellStyle name="60% - 强调文字颜色 1 3 2 3 4" xfId="19929" xr:uid="{00000000-0005-0000-0000-0000D84D0000}"/>
    <cellStyle name="60% - 强调文字颜色 1 3 2 3 4 2" xfId="19930" xr:uid="{00000000-0005-0000-0000-0000D94D0000}"/>
    <cellStyle name="60% - 强调文字颜色 1 3 2 4" xfId="19931" xr:uid="{00000000-0005-0000-0000-0000DA4D0000}"/>
    <cellStyle name="60% - 强调文字颜色 1 3 2 4 2" xfId="19932" xr:uid="{00000000-0005-0000-0000-0000DB4D0000}"/>
    <cellStyle name="60% - 强调文字颜色 1 3 2 4 2 2" xfId="19933" xr:uid="{00000000-0005-0000-0000-0000DC4D0000}"/>
    <cellStyle name="60% - 强调文字颜色 1 3 2 4 2 2 2" xfId="19934" xr:uid="{00000000-0005-0000-0000-0000DD4D0000}"/>
    <cellStyle name="60% - 强调文字颜色 1 3 2 4 3" xfId="19935" xr:uid="{00000000-0005-0000-0000-0000DE4D0000}"/>
    <cellStyle name="60% - 强调文字颜色 1 3 2 4 3 2" xfId="19936" xr:uid="{00000000-0005-0000-0000-0000DF4D0000}"/>
    <cellStyle name="60% - 强调文字颜色 1 3 2 5" xfId="19937" xr:uid="{00000000-0005-0000-0000-0000E04D0000}"/>
    <cellStyle name="60% - 强调文字颜色 1 3 2 6" xfId="19938" xr:uid="{00000000-0005-0000-0000-0000E14D0000}"/>
    <cellStyle name="60% - 强调文字颜色 1 3 2 7" xfId="19939" xr:uid="{00000000-0005-0000-0000-0000E24D0000}"/>
    <cellStyle name="60% - 强调文字颜色 1 3 3" xfId="19940" xr:uid="{00000000-0005-0000-0000-0000E34D0000}"/>
    <cellStyle name="60% - 强调文字颜色 1 3 3 2" xfId="19941" xr:uid="{00000000-0005-0000-0000-0000E44D0000}"/>
    <cellStyle name="60% - 强调文字颜色 1 3 3 2 2" xfId="19942" xr:uid="{00000000-0005-0000-0000-0000E54D0000}"/>
    <cellStyle name="60% - 强调文字颜色 1 3 3 2 3" xfId="19943" xr:uid="{00000000-0005-0000-0000-0000E64D0000}"/>
    <cellStyle name="60% - 强调文字颜色 1 3 3 2 3 2" xfId="19944" xr:uid="{00000000-0005-0000-0000-0000E74D0000}"/>
    <cellStyle name="60% - 强调文字颜色 1 3 3 2 3 2 2" xfId="19945" xr:uid="{00000000-0005-0000-0000-0000E84D0000}"/>
    <cellStyle name="60% - 强调文字颜色 1 3 3 2 4" xfId="19946" xr:uid="{00000000-0005-0000-0000-0000E94D0000}"/>
    <cellStyle name="60% - 强调文字颜色 1 3 3 2 4 2" xfId="19947" xr:uid="{00000000-0005-0000-0000-0000EA4D0000}"/>
    <cellStyle name="60% - 强调文字颜色 1 3 3 3" xfId="19948" xr:uid="{00000000-0005-0000-0000-0000EB4D0000}"/>
    <cellStyle name="60% - 强调文字颜色 1 3 3 3 2" xfId="19949" xr:uid="{00000000-0005-0000-0000-0000EC4D0000}"/>
    <cellStyle name="60% - 强调文字颜色 1 3 3 3 2 2" xfId="19950" xr:uid="{00000000-0005-0000-0000-0000ED4D0000}"/>
    <cellStyle name="60% - 强调文字颜色 1 3 3 3 2 2 2" xfId="19951" xr:uid="{00000000-0005-0000-0000-0000EE4D0000}"/>
    <cellStyle name="60% - 强调文字颜色 1 3 3 3 3" xfId="19952" xr:uid="{00000000-0005-0000-0000-0000EF4D0000}"/>
    <cellStyle name="60% - 强调文字颜色 1 3 3 3 3 2" xfId="19953" xr:uid="{00000000-0005-0000-0000-0000F04D0000}"/>
    <cellStyle name="60% - 强调文字颜色 1 3 3 4" xfId="19954" xr:uid="{00000000-0005-0000-0000-0000F14D0000}"/>
    <cellStyle name="60% - 强调文字颜色 1 3 3 5" xfId="19955" xr:uid="{00000000-0005-0000-0000-0000F24D0000}"/>
    <cellStyle name="60% - 强调文字颜色 1 3 3 6" xfId="19956" xr:uid="{00000000-0005-0000-0000-0000F34D0000}"/>
    <cellStyle name="60% - 强调文字颜色 1 3 4" xfId="19957" xr:uid="{00000000-0005-0000-0000-0000F44D0000}"/>
    <cellStyle name="60% - 强调文字颜色 1 3 4 2" xfId="19958" xr:uid="{00000000-0005-0000-0000-0000F54D0000}"/>
    <cellStyle name="60% - 强调文字颜色 1 3 4 2 2" xfId="19959" xr:uid="{00000000-0005-0000-0000-0000F64D0000}"/>
    <cellStyle name="60% - 强调文字颜色 1 3 4 2 3" xfId="19960" xr:uid="{00000000-0005-0000-0000-0000F74D0000}"/>
    <cellStyle name="60% - 强调文字颜色 1 3 4 2 3 2" xfId="19961" xr:uid="{00000000-0005-0000-0000-0000F84D0000}"/>
    <cellStyle name="60% - 强调文字颜色 1 3 4 2 3 2 2" xfId="19962" xr:uid="{00000000-0005-0000-0000-0000F94D0000}"/>
    <cellStyle name="60% - 强调文字颜色 1 3 4 2 4" xfId="19963" xr:uid="{00000000-0005-0000-0000-0000FA4D0000}"/>
    <cellStyle name="60% - 强调文字颜色 1 3 4 2 4 2" xfId="19964" xr:uid="{00000000-0005-0000-0000-0000FB4D0000}"/>
    <cellStyle name="60% - 强调文字颜色 1 3 4 3" xfId="19965" xr:uid="{00000000-0005-0000-0000-0000FC4D0000}"/>
    <cellStyle name="60% - 强调文字颜色 1 3 4 4" xfId="19966" xr:uid="{00000000-0005-0000-0000-0000FD4D0000}"/>
    <cellStyle name="60% - 强调文字颜色 1 3 4 5" xfId="19967" xr:uid="{00000000-0005-0000-0000-0000FE4D0000}"/>
    <cellStyle name="60% - 强调文字颜色 1 3 4 6" xfId="19968" xr:uid="{00000000-0005-0000-0000-0000FF4D0000}"/>
    <cellStyle name="60% - 强调文字颜色 1 3 5" xfId="19969" xr:uid="{00000000-0005-0000-0000-0000004E0000}"/>
    <cellStyle name="60% - 强调文字颜色 1 3 5 2" xfId="19970" xr:uid="{00000000-0005-0000-0000-0000014E0000}"/>
    <cellStyle name="60% - 强调文字颜色 1 3 5 2 2" xfId="19971" xr:uid="{00000000-0005-0000-0000-0000024E0000}"/>
    <cellStyle name="60% - 强调文字颜色 1 3 5 2 2 2" xfId="19972" xr:uid="{00000000-0005-0000-0000-0000034E0000}"/>
    <cellStyle name="60% - 强调文字颜色 1 3 5 2 2 2 2" xfId="19973" xr:uid="{00000000-0005-0000-0000-0000044E0000}"/>
    <cellStyle name="60% - 强调文字颜色 1 3 5 2 3" xfId="19974" xr:uid="{00000000-0005-0000-0000-0000054E0000}"/>
    <cellStyle name="60% - 强调文字颜色 1 3 5 2 3 2" xfId="19975" xr:uid="{00000000-0005-0000-0000-0000064E0000}"/>
    <cellStyle name="60% - 强调文字颜色 1 3 5 3" xfId="19976" xr:uid="{00000000-0005-0000-0000-0000074E0000}"/>
    <cellStyle name="60% - 强调文字颜色 1 3 5 3 2" xfId="19977" xr:uid="{00000000-0005-0000-0000-0000084E0000}"/>
    <cellStyle name="60% - 强调文字颜色 1 3 5 3 2 2" xfId="19978" xr:uid="{00000000-0005-0000-0000-0000094E0000}"/>
    <cellStyle name="60% - 强调文字颜色 1 3 5 4" xfId="19979" xr:uid="{00000000-0005-0000-0000-00000A4E0000}"/>
    <cellStyle name="60% - 强调文字颜色 1 3 5 4 2" xfId="19980" xr:uid="{00000000-0005-0000-0000-00000B4E0000}"/>
    <cellStyle name="60% - 强调文字颜色 1 3 6" xfId="19981" xr:uid="{00000000-0005-0000-0000-00000C4E0000}"/>
    <cellStyle name="60% - 强调文字颜色 1 3 6 2" xfId="19982" xr:uid="{00000000-0005-0000-0000-00000D4E0000}"/>
    <cellStyle name="60% - 强调文字颜色 1 3 6 2 2" xfId="19983" xr:uid="{00000000-0005-0000-0000-00000E4E0000}"/>
    <cellStyle name="60% - 强调文字颜色 1 3 6 2 2 2" xfId="19984" xr:uid="{00000000-0005-0000-0000-00000F4E0000}"/>
    <cellStyle name="60% - 强调文字颜色 1 3 6 3" xfId="19985" xr:uid="{00000000-0005-0000-0000-0000104E0000}"/>
    <cellStyle name="60% - 强调文字颜色 1 3 6 3 2" xfId="19986" xr:uid="{00000000-0005-0000-0000-0000114E0000}"/>
    <cellStyle name="60% - 强调文字颜色 1 3 7" xfId="19987" xr:uid="{00000000-0005-0000-0000-0000124E0000}"/>
    <cellStyle name="60% - 强调文字颜色 1 3 8" xfId="19988" xr:uid="{00000000-0005-0000-0000-0000134E0000}"/>
    <cellStyle name="60% - 强调文字颜色 2 2" xfId="19989" xr:uid="{00000000-0005-0000-0000-0000144E0000}"/>
    <cellStyle name="60% - 强调文字颜色 2 2 10" xfId="19990" xr:uid="{00000000-0005-0000-0000-0000154E0000}"/>
    <cellStyle name="60% - 强调文字颜色 2 2 11" xfId="19991" xr:uid="{00000000-0005-0000-0000-0000164E0000}"/>
    <cellStyle name="60% - 强调文字颜色 2 2 2" xfId="19992" xr:uid="{00000000-0005-0000-0000-0000174E0000}"/>
    <cellStyle name="60% - 强调文字颜色 2 2 2 10" xfId="19993" xr:uid="{00000000-0005-0000-0000-0000184E0000}"/>
    <cellStyle name="60% - 强调文字颜色 2 2 2 11" xfId="19994" xr:uid="{00000000-0005-0000-0000-0000194E0000}"/>
    <cellStyle name="60% - 强调文字颜色 2 2 2 2" xfId="19995" xr:uid="{00000000-0005-0000-0000-00001A4E0000}"/>
    <cellStyle name="60% - 强调文字颜色 2 2 2 2 2" xfId="19996" xr:uid="{00000000-0005-0000-0000-00001B4E0000}"/>
    <cellStyle name="60% - 强调文字颜色 2 2 2 2 2 2" xfId="19997" xr:uid="{00000000-0005-0000-0000-00001C4E0000}"/>
    <cellStyle name="60% - 强调文字颜色 2 2 2 2 2 2 2" xfId="19998" xr:uid="{00000000-0005-0000-0000-00001D4E0000}"/>
    <cellStyle name="60% - 强调文字颜色 2 2 2 2 2 2 3" xfId="19999" xr:uid="{00000000-0005-0000-0000-00001E4E0000}"/>
    <cellStyle name="60% - 强调文字颜色 2 2 2 2 2 2 3 2" xfId="20000" xr:uid="{00000000-0005-0000-0000-00001F4E0000}"/>
    <cellStyle name="60% - 强调文字颜色 2 2 2 2 2 2 3 2 2" xfId="20001" xr:uid="{00000000-0005-0000-0000-0000204E0000}"/>
    <cellStyle name="60% - 强调文字颜色 2 2 2 2 2 2 4" xfId="20002" xr:uid="{00000000-0005-0000-0000-0000214E0000}"/>
    <cellStyle name="60% - 强调文字颜色 2 2 2 2 2 2 4 2" xfId="20003" xr:uid="{00000000-0005-0000-0000-0000224E0000}"/>
    <cellStyle name="60% - 强调文字颜色 2 2 2 2 2 3" xfId="20004" xr:uid="{00000000-0005-0000-0000-0000234E0000}"/>
    <cellStyle name="60% - 强调文字颜色 2 2 2 2 2 3 2" xfId="20005" xr:uid="{00000000-0005-0000-0000-0000244E0000}"/>
    <cellStyle name="60% - 强调文字颜色 2 2 2 2 2 3 2 2" xfId="20006" xr:uid="{00000000-0005-0000-0000-0000254E0000}"/>
    <cellStyle name="60% - 强调文字颜色 2 2 2 2 2 3 2 2 2" xfId="20007" xr:uid="{00000000-0005-0000-0000-0000264E0000}"/>
    <cellStyle name="60% - 强调文字颜色 2 2 2 2 2 3 3" xfId="20008" xr:uid="{00000000-0005-0000-0000-0000274E0000}"/>
    <cellStyle name="60% - 强调文字颜色 2 2 2 2 2 3 3 2" xfId="20009" xr:uid="{00000000-0005-0000-0000-0000284E0000}"/>
    <cellStyle name="60% - 强调文字颜色 2 2 2 2 2 4" xfId="20010" xr:uid="{00000000-0005-0000-0000-0000294E0000}"/>
    <cellStyle name="60% - 强调文字颜色 2 2 2 2 2 5" xfId="20011" xr:uid="{00000000-0005-0000-0000-00002A4E0000}"/>
    <cellStyle name="60% - 强调文字颜色 2 2 2 2 2 6" xfId="20012" xr:uid="{00000000-0005-0000-0000-00002B4E0000}"/>
    <cellStyle name="60% - 强调文字颜色 2 2 2 2 3" xfId="20013" xr:uid="{00000000-0005-0000-0000-00002C4E0000}"/>
    <cellStyle name="60% - 强调文字颜色 2 2 2 2 3 2" xfId="20014" xr:uid="{00000000-0005-0000-0000-00002D4E0000}"/>
    <cellStyle name="60% - 强调文字颜色 2 2 2 2 3 3" xfId="20015" xr:uid="{00000000-0005-0000-0000-00002E4E0000}"/>
    <cellStyle name="60% - 强调文字颜色 2 2 2 2 3 3 2" xfId="20016" xr:uid="{00000000-0005-0000-0000-00002F4E0000}"/>
    <cellStyle name="60% - 强调文字颜色 2 2 2 2 3 3 2 2" xfId="20017" xr:uid="{00000000-0005-0000-0000-0000304E0000}"/>
    <cellStyle name="60% - 强调文字颜色 2 2 2 2 3 4" xfId="20018" xr:uid="{00000000-0005-0000-0000-0000314E0000}"/>
    <cellStyle name="60% - 强调文字颜色 2 2 2 2 3 4 2" xfId="20019" xr:uid="{00000000-0005-0000-0000-0000324E0000}"/>
    <cellStyle name="60% - 强调文字颜色 2 2 2 2 4" xfId="20020" xr:uid="{00000000-0005-0000-0000-0000334E0000}"/>
    <cellStyle name="60% - 强调文字颜色 2 2 2 2 4 2" xfId="20021" xr:uid="{00000000-0005-0000-0000-0000344E0000}"/>
    <cellStyle name="60% - 强调文字颜色 2 2 2 2 4 2 2" xfId="20022" xr:uid="{00000000-0005-0000-0000-0000354E0000}"/>
    <cellStyle name="60% - 强调文字颜色 2 2 2 2 4 2 2 2" xfId="20023" xr:uid="{00000000-0005-0000-0000-0000364E0000}"/>
    <cellStyle name="60% - 强调文字颜色 2 2 2 2 4 3" xfId="20024" xr:uid="{00000000-0005-0000-0000-0000374E0000}"/>
    <cellStyle name="60% - 强调文字颜色 2 2 2 2 4 3 2" xfId="20025" xr:uid="{00000000-0005-0000-0000-0000384E0000}"/>
    <cellStyle name="60% - 强调文字颜色 2 2 2 2 5" xfId="20026" xr:uid="{00000000-0005-0000-0000-0000394E0000}"/>
    <cellStyle name="60% - 强调文字颜色 2 2 2 2 6" xfId="20027" xr:uid="{00000000-0005-0000-0000-00003A4E0000}"/>
    <cellStyle name="60% - 强调文字颜色 2 2 2 2 7" xfId="20028" xr:uid="{00000000-0005-0000-0000-00003B4E0000}"/>
    <cellStyle name="60% - 强调文字颜色 2 2 2 3" xfId="20029" xr:uid="{00000000-0005-0000-0000-00003C4E0000}"/>
    <cellStyle name="60% - 强调文字颜色 2 2 2 3 2" xfId="20030" xr:uid="{00000000-0005-0000-0000-00003D4E0000}"/>
    <cellStyle name="60% - 强调文字颜色 2 2 2 3 2 2" xfId="20031" xr:uid="{00000000-0005-0000-0000-00003E4E0000}"/>
    <cellStyle name="60% - 强调文字颜色 2 2 2 3 2 3" xfId="20032" xr:uid="{00000000-0005-0000-0000-00003F4E0000}"/>
    <cellStyle name="60% - 强调文字颜色 2 2 2 3 2 3 2" xfId="20033" xr:uid="{00000000-0005-0000-0000-0000404E0000}"/>
    <cellStyle name="60% - 强调文字颜色 2 2 2 3 2 3 2 2" xfId="20034" xr:uid="{00000000-0005-0000-0000-0000414E0000}"/>
    <cellStyle name="60% - 强调文字颜色 2 2 2 3 2 4" xfId="20035" xr:uid="{00000000-0005-0000-0000-0000424E0000}"/>
    <cellStyle name="60% - 强调文字颜色 2 2 2 3 2 4 2" xfId="20036" xr:uid="{00000000-0005-0000-0000-0000434E0000}"/>
    <cellStyle name="60% - 强调文字颜色 2 2 2 3 3" xfId="20037" xr:uid="{00000000-0005-0000-0000-0000444E0000}"/>
    <cellStyle name="60% - 强调文字颜色 2 2 2 3 3 2" xfId="20038" xr:uid="{00000000-0005-0000-0000-0000454E0000}"/>
    <cellStyle name="60% - 强调文字颜色 2 2 2 3 3 2 2" xfId="20039" xr:uid="{00000000-0005-0000-0000-0000464E0000}"/>
    <cellStyle name="60% - 强调文字颜色 2 2 2 3 3 2 2 2" xfId="20040" xr:uid="{00000000-0005-0000-0000-0000474E0000}"/>
    <cellStyle name="60% - 强调文字颜色 2 2 2 3 3 3" xfId="20041" xr:uid="{00000000-0005-0000-0000-0000484E0000}"/>
    <cellStyle name="60% - 强调文字颜色 2 2 2 3 3 3 2" xfId="20042" xr:uid="{00000000-0005-0000-0000-0000494E0000}"/>
    <cellStyle name="60% - 强调文字颜色 2 2 2 3 4" xfId="20043" xr:uid="{00000000-0005-0000-0000-00004A4E0000}"/>
    <cellStyle name="60% - 强调文字颜色 2 2 2 3 5" xfId="20044" xr:uid="{00000000-0005-0000-0000-00004B4E0000}"/>
    <cellStyle name="60% - 强调文字颜色 2 2 2 3 6" xfId="20045" xr:uid="{00000000-0005-0000-0000-00004C4E0000}"/>
    <cellStyle name="60% - 强调文字颜色 2 2 2 4" xfId="20046" xr:uid="{00000000-0005-0000-0000-00004D4E0000}"/>
    <cellStyle name="60% - 强调文字颜色 2 2 2 4 2" xfId="20047" xr:uid="{00000000-0005-0000-0000-00004E4E0000}"/>
    <cellStyle name="60% - 强调文字颜色 2 2 2 4 2 2" xfId="20048" xr:uid="{00000000-0005-0000-0000-00004F4E0000}"/>
    <cellStyle name="60% - 强调文字颜色 2 2 2 4 2 3" xfId="20049" xr:uid="{00000000-0005-0000-0000-0000504E0000}"/>
    <cellStyle name="60% - 强调文字颜色 2 2 2 4 2 3 2" xfId="20050" xr:uid="{00000000-0005-0000-0000-0000514E0000}"/>
    <cellStyle name="60% - 强调文字颜色 2 2 2 4 2 3 2 2" xfId="20051" xr:uid="{00000000-0005-0000-0000-0000524E0000}"/>
    <cellStyle name="60% - 强调文字颜色 2 2 2 4 2 4" xfId="20052" xr:uid="{00000000-0005-0000-0000-0000534E0000}"/>
    <cellStyle name="60% - 强调文字颜色 2 2 2 4 2 4 2" xfId="20053" xr:uid="{00000000-0005-0000-0000-0000544E0000}"/>
    <cellStyle name="60% - 强调文字颜色 2 2 2 4 3" xfId="20054" xr:uid="{00000000-0005-0000-0000-0000554E0000}"/>
    <cellStyle name="60% - 强调文字颜色 2 2 2 4 4" xfId="20055" xr:uid="{00000000-0005-0000-0000-0000564E0000}"/>
    <cellStyle name="60% - 强调文字颜色 2 2 2 4 5" xfId="20056" xr:uid="{00000000-0005-0000-0000-0000574E0000}"/>
    <cellStyle name="60% - 强调文字颜色 2 2 2 4 6" xfId="20057" xr:uid="{00000000-0005-0000-0000-0000584E0000}"/>
    <cellStyle name="60% - 强调文字颜色 2 2 2 5" xfId="20058" xr:uid="{00000000-0005-0000-0000-0000594E0000}"/>
    <cellStyle name="60% - 强调文字颜色 2 2 2 5 2" xfId="20059" xr:uid="{00000000-0005-0000-0000-00005A4E0000}"/>
    <cellStyle name="60% - 强调文字颜色 2 2 2 5 2 2" xfId="20060" xr:uid="{00000000-0005-0000-0000-00005B4E0000}"/>
    <cellStyle name="60% - 强调文字颜色 2 2 2 5 2 2 2" xfId="20061" xr:uid="{00000000-0005-0000-0000-00005C4E0000}"/>
    <cellStyle name="60% - 强调文字颜色 2 2 2 5 2 2 2 2" xfId="20062" xr:uid="{00000000-0005-0000-0000-00005D4E0000}"/>
    <cellStyle name="60% - 强调文字颜色 2 2 2 5 2 3" xfId="20063" xr:uid="{00000000-0005-0000-0000-00005E4E0000}"/>
    <cellStyle name="60% - 强调文字颜色 2 2 2 5 2 3 2" xfId="20064" xr:uid="{00000000-0005-0000-0000-00005F4E0000}"/>
    <cellStyle name="60% - 强调文字颜色 2 2 2 5 3" xfId="20065" xr:uid="{00000000-0005-0000-0000-0000604E0000}"/>
    <cellStyle name="60% - 强调文字颜色 2 2 2 5 3 2" xfId="20066" xr:uid="{00000000-0005-0000-0000-0000614E0000}"/>
    <cellStyle name="60% - 强调文字颜色 2 2 2 5 3 2 2" xfId="20067" xr:uid="{00000000-0005-0000-0000-0000624E0000}"/>
    <cellStyle name="60% - 强调文字颜色 2 2 2 5 4" xfId="20068" xr:uid="{00000000-0005-0000-0000-0000634E0000}"/>
    <cellStyle name="60% - 强调文字颜色 2 2 2 5 4 2" xfId="20069" xr:uid="{00000000-0005-0000-0000-0000644E0000}"/>
    <cellStyle name="60% - 强调文字颜色 2 2 2 6" xfId="20070" xr:uid="{00000000-0005-0000-0000-0000654E0000}"/>
    <cellStyle name="60% - 强调文字颜色 2 2 2 6 2" xfId="20071" xr:uid="{00000000-0005-0000-0000-0000664E0000}"/>
    <cellStyle name="60% - 强调文字颜色 2 2 2 6 2 2" xfId="20072" xr:uid="{00000000-0005-0000-0000-0000674E0000}"/>
    <cellStyle name="60% - 强调文字颜色 2 2 2 6 2 2 2" xfId="20073" xr:uid="{00000000-0005-0000-0000-0000684E0000}"/>
    <cellStyle name="60% - 强调文字颜色 2 2 2 6 2 2 2 2" xfId="20074" xr:uid="{00000000-0005-0000-0000-0000694E0000}"/>
    <cellStyle name="60% - 强调文字颜色 2 2 2 6 2 3" xfId="20075" xr:uid="{00000000-0005-0000-0000-00006A4E0000}"/>
    <cellStyle name="60% - 强调文字颜色 2 2 2 6 2 3 2" xfId="20076" xr:uid="{00000000-0005-0000-0000-00006B4E0000}"/>
    <cellStyle name="60% - 强调文字颜色 2 2 2 6 3" xfId="20077" xr:uid="{00000000-0005-0000-0000-00006C4E0000}"/>
    <cellStyle name="60% - 强调文字颜色 2 2 2 6 3 2" xfId="20078" xr:uid="{00000000-0005-0000-0000-00006D4E0000}"/>
    <cellStyle name="60% - 强调文字颜色 2 2 2 6 3 2 2" xfId="20079" xr:uid="{00000000-0005-0000-0000-00006E4E0000}"/>
    <cellStyle name="60% - 强调文字颜色 2 2 2 6 4" xfId="20080" xr:uid="{00000000-0005-0000-0000-00006F4E0000}"/>
    <cellStyle name="60% - 强调文字颜色 2 2 2 6 4 2" xfId="20081" xr:uid="{00000000-0005-0000-0000-0000704E0000}"/>
    <cellStyle name="60% - 强调文字颜色 2 2 2 7" xfId="20082" xr:uid="{00000000-0005-0000-0000-0000714E0000}"/>
    <cellStyle name="60% - 强调文字颜色 2 2 2 7 2" xfId="20083" xr:uid="{00000000-0005-0000-0000-0000724E0000}"/>
    <cellStyle name="60% - 强调文字颜色 2 2 2 7 2 2" xfId="20084" xr:uid="{00000000-0005-0000-0000-0000734E0000}"/>
    <cellStyle name="60% - 强调文字颜色 2 2 2 7 2 2 2" xfId="20085" xr:uid="{00000000-0005-0000-0000-0000744E0000}"/>
    <cellStyle name="60% - 强调文字颜色 2 2 2 7 2 2 2 2" xfId="20086" xr:uid="{00000000-0005-0000-0000-0000754E0000}"/>
    <cellStyle name="60% - 强调文字颜色 2 2 2 7 2 3" xfId="20087" xr:uid="{00000000-0005-0000-0000-0000764E0000}"/>
    <cellStyle name="60% - 强调文字颜色 2 2 2 7 2 3 2" xfId="20088" xr:uid="{00000000-0005-0000-0000-0000774E0000}"/>
    <cellStyle name="60% - 强调文字颜色 2 2 2 7 3" xfId="20089" xr:uid="{00000000-0005-0000-0000-0000784E0000}"/>
    <cellStyle name="60% - 强调文字颜色 2 2 2 7 3 2" xfId="20090" xr:uid="{00000000-0005-0000-0000-0000794E0000}"/>
    <cellStyle name="60% - 强调文字颜色 2 2 2 7 3 2 2" xfId="20091" xr:uid="{00000000-0005-0000-0000-00007A4E0000}"/>
    <cellStyle name="60% - 强调文字颜色 2 2 2 7 4" xfId="20092" xr:uid="{00000000-0005-0000-0000-00007B4E0000}"/>
    <cellStyle name="60% - 强调文字颜色 2 2 2 7 4 2" xfId="20093" xr:uid="{00000000-0005-0000-0000-00007C4E0000}"/>
    <cellStyle name="60% - 强调文字颜色 2 2 2 8" xfId="20094" xr:uid="{00000000-0005-0000-0000-00007D4E0000}"/>
    <cellStyle name="60% - 强调文字颜色 2 2 2 8 2" xfId="20095" xr:uid="{00000000-0005-0000-0000-00007E4E0000}"/>
    <cellStyle name="60% - 强调文字颜色 2 2 2 8 2 2" xfId="20096" xr:uid="{00000000-0005-0000-0000-00007F4E0000}"/>
    <cellStyle name="60% - 强调文字颜色 2 2 2 8 2 2 2" xfId="20097" xr:uid="{00000000-0005-0000-0000-0000804E0000}"/>
    <cellStyle name="60% - 强调文字颜色 2 2 2 8 3" xfId="20098" xr:uid="{00000000-0005-0000-0000-0000814E0000}"/>
    <cellStyle name="60% - 强调文字颜色 2 2 2 8 3 2" xfId="20099" xr:uid="{00000000-0005-0000-0000-0000824E0000}"/>
    <cellStyle name="60% - 强调文字颜色 2 2 2 9" xfId="20100" xr:uid="{00000000-0005-0000-0000-0000834E0000}"/>
    <cellStyle name="60% - 强调文字颜色 2 2 2 9 2" xfId="20101" xr:uid="{00000000-0005-0000-0000-0000844E0000}"/>
    <cellStyle name="60% - 强调文字颜色 2 2 2 9 2 2" xfId="20102" xr:uid="{00000000-0005-0000-0000-0000854E0000}"/>
    <cellStyle name="60% - 强调文字颜色 2 2 2 9 2 2 2" xfId="20103" xr:uid="{00000000-0005-0000-0000-0000864E0000}"/>
    <cellStyle name="60% - 强调文字颜色 2 2 2 9 3" xfId="20104" xr:uid="{00000000-0005-0000-0000-0000874E0000}"/>
    <cellStyle name="60% - 强调文字颜色 2 2 2 9 3 2" xfId="20105" xr:uid="{00000000-0005-0000-0000-0000884E0000}"/>
    <cellStyle name="60% - 强调文字颜色 2 2 3" xfId="20106" xr:uid="{00000000-0005-0000-0000-0000894E0000}"/>
    <cellStyle name="60% - 强调文字颜色 2 2 3 2" xfId="20107" xr:uid="{00000000-0005-0000-0000-00008A4E0000}"/>
    <cellStyle name="60% - 强调文字颜色 2 2 3 2 2" xfId="20108" xr:uid="{00000000-0005-0000-0000-00008B4E0000}"/>
    <cellStyle name="60% - 强调文字颜色 2 2 3 2 2 2" xfId="20109" xr:uid="{00000000-0005-0000-0000-00008C4E0000}"/>
    <cellStyle name="60% - 强调文字颜色 2 2 3 2 2 2 2" xfId="20110" xr:uid="{00000000-0005-0000-0000-00008D4E0000}"/>
    <cellStyle name="60% - 强调文字颜色 2 2 3 2 2 2 3" xfId="20111" xr:uid="{00000000-0005-0000-0000-00008E4E0000}"/>
    <cellStyle name="60% - 强调文字颜色 2 2 3 2 2 2 3 2" xfId="20112" xr:uid="{00000000-0005-0000-0000-00008F4E0000}"/>
    <cellStyle name="60% - 强调文字颜色 2 2 3 2 2 2 3 2 2" xfId="20113" xr:uid="{00000000-0005-0000-0000-0000904E0000}"/>
    <cellStyle name="60% - 强调文字颜色 2 2 3 2 2 2 4" xfId="20114" xr:uid="{00000000-0005-0000-0000-0000914E0000}"/>
    <cellStyle name="60% - 强调文字颜色 2 2 3 2 2 2 4 2" xfId="20115" xr:uid="{00000000-0005-0000-0000-0000924E0000}"/>
    <cellStyle name="60% - 强调文字颜色 2 2 3 2 2 3" xfId="20116" xr:uid="{00000000-0005-0000-0000-0000934E0000}"/>
    <cellStyle name="60% - 强调文字颜色 2 2 3 2 2 3 2" xfId="20117" xr:uid="{00000000-0005-0000-0000-0000944E0000}"/>
    <cellStyle name="60% - 强调文字颜色 2 2 3 2 2 3 2 2" xfId="20118" xr:uid="{00000000-0005-0000-0000-0000954E0000}"/>
    <cellStyle name="60% - 强调文字颜色 2 2 3 2 2 3 2 2 2" xfId="20119" xr:uid="{00000000-0005-0000-0000-0000964E0000}"/>
    <cellStyle name="60% - 强调文字颜色 2 2 3 2 2 3 3" xfId="20120" xr:uid="{00000000-0005-0000-0000-0000974E0000}"/>
    <cellStyle name="60% - 强调文字颜色 2 2 3 2 2 3 3 2" xfId="20121" xr:uid="{00000000-0005-0000-0000-0000984E0000}"/>
    <cellStyle name="60% - 强调文字颜色 2 2 3 2 2 4" xfId="20122" xr:uid="{00000000-0005-0000-0000-0000994E0000}"/>
    <cellStyle name="60% - 强调文字颜色 2 2 3 2 2 5" xfId="20123" xr:uid="{00000000-0005-0000-0000-00009A4E0000}"/>
    <cellStyle name="60% - 强调文字颜色 2 2 3 2 2 6" xfId="20124" xr:uid="{00000000-0005-0000-0000-00009B4E0000}"/>
    <cellStyle name="60% - 强调文字颜色 2 2 3 2 3" xfId="20125" xr:uid="{00000000-0005-0000-0000-00009C4E0000}"/>
    <cellStyle name="60% - 强调文字颜色 2 2 3 2 3 2" xfId="20126" xr:uid="{00000000-0005-0000-0000-00009D4E0000}"/>
    <cellStyle name="60% - 强调文字颜色 2 2 3 2 3 3" xfId="20127" xr:uid="{00000000-0005-0000-0000-00009E4E0000}"/>
    <cellStyle name="60% - 强调文字颜色 2 2 3 2 3 3 2" xfId="20128" xr:uid="{00000000-0005-0000-0000-00009F4E0000}"/>
    <cellStyle name="60% - 强调文字颜色 2 2 3 2 3 3 2 2" xfId="20129" xr:uid="{00000000-0005-0000-0000-0000A04E0000}"/>
    <cellStyle name="60% - 强调文字颜色 2 2 3 2 3 4" xfId="20130" xr:uid="{00000000-0005-0000-0000-0000A14E0000}"/>
    <cellStyle name="60% - 强调文字颜色 2 2 3 2 3 4 2" xfId="20131" xr:uid="{00000000-0005-0000-0000-0000A24E0000}"/>
    <cellStyle name="60% - 强调文字颜色 2 2 3 2 4" xfId="20132" xr:uid="{00000000-0005-0000-0000-0000A34E0000}"/>
    <cellStyle name="60% - 强调文字颜色 2 2 3 2 4 2" xfId="20133" xr:uid="{00000000-0005-0000-0000-0000A44E0000}"/>
    <cellStyle name="60% - 强调文字颜色 2 2 3 2 4 2 2" xfId="20134" xr:uid="{00000000-0005-0000-0000-0000A54E0000}"/>
    <cellStyle name="60% - 强调文字颜色 2 2 3 2 4 2 2 2" xfId="20135" xr:uid="{00000000-0005-0000-0000-0000A64E0000}"/>
    <cellStyle name="60% - 强调文字颜色 2 2 3 2 4 3" xfId="20136" xr:uid="{00000000-0005-0000-0000-0000A74E0000}"/>
    <cellStyle name="60% - 强调文字颜色 2 2 3 2 4 3 2" xfId="20137" xr:uid="{00000000-0005-0000-0000-0000A84E0000}"/>
    <cellStyle name="60% - 强调文字颜色 2 2 3 2 5" xfId="20138" xr:uid="{00000000-0005-0000-0000-0000A94E0000}"/>
    <cellStyle name="60% - 强调文字颜色 2 2 3 2 6" xfId="20139" xr:uid="{00000000-0005-0000-0000-0000AA4E0000}"/>
    <cellStyle name="60% - 强调文字颜色 2 2 3 2 7" xfId="20140" xr:uid="{00000000-0005-0000-0000-0000AB4E0000}"/>
    <cellStyle name="60% - 强调文字颜色 2 2 3 3" xfId="20141" xr:uid="{00000000-0005-0000-0000-0000AC4E0000}"/>
    <cellStyle name="60% - 强调文字颜色 2 2 3 3 2" xfId="20142" xr:uid="{00000000-0005-0000-0000-0000AD4E0000}"/>
    <cellStyle name="60% - 强调文字颜色 2 2 3 3 2 2" xfId="20143" xr:uid="{00000000-0005-0000-0000-0000AE4E0000}"/>
    <cellStyle name="60% - 强调文字颜色 2 2 3 3 2 3" xfId="20144" xr:uid="{00000000-0005-0000-0000-0000AF4E0000}"/>
    <cellStyle name="60% - 强调文字颜色 2 2 3 3 2 3 2" xfId="20145" xr:uid="{00000000-0005-0000-0000-0000B04E0000}"/>
    <cellStyle name="60% - 强调文字颜色 2 2 3 3 2 3 2 2" xfId="20146" xr:uid="{00000000-0005-0000-0000-0000B14E0000}"/>
    <cellStyle name="60% - 强调文字颜色 2 2 3 3 2 4" xfId="20147" xr:uid="{00000000-0005-0000-0000-0000B24E0000}"/>
    <cellStyle name="60% - 强调文字颜色 2 2 3 3 2 4 2" xfId="20148" xr:uid="{00000000-0005-0000-0000-0000B34E0000}"/>
    <cellStyle name="60% - 强调文字颜色 2 2 3 3 3" xfId="20149" xr:uid="{00000000-0005-0000-0000-0000B44E0000}"/>
    <cellStyle name="60% - 强调文字颜色 2 2 3 3 3 2" xfId="20150" xr:uid="{00000000-0005-0000-0000-0000B54E0000}"/>
    <cellStyle name="60% - 强调文字颜色 2 2 3 3 3 2 2" xfId="20151" xr:uid="{00000000-0005-0000-0000-0000B64E0000}"/>
    <cellStyle name="60% - 强调文字颜色 2 2 3 3 3 2 2 2" xfId="20152" xr:uid="{00000000-0005-0000-0000-0000B74E0000}"/>
    <cellStyle name="60% - 强调文字颜色 2 2 3 3 3 3" xfId="20153" xr:uid="{00000000-0005-0000-0000-0000B84E0000}"/>
    <cellStyle name="60% - 强调文字颜色 2 2 3 3 3 3 2" xfId="20154" xr:uid="{00000000-0005-0000-0000-0000B94E0000}"/>
    <cellStyle name="60% - 强调文字颜色 2 2 3 3 4" xfId="20155" xr:uid="{00000000-0005-0000-0000-0000BA4E0000}"/>
    <cellStyle name="60% - 强调文字颜色 2 2 3 3 5" xfId="20156" xr:uid="{00000000-0005-0000-0000-0000BB4E0000}"/>
    <cellStyle name="60% - 强调文字颜色 2 2 3 3 6" xfId="20157" xr:uid="{00000000-0005-0000-0000-0000BC4E0000}"/>
    <cellStyle name="60% - 强调文字颜色 2 2 3 4" xfId="20158" xr:uid="{00000000-0005-0000-0000-0000BD4E0000}"/>
    <cellStyle name="60% - 强调文字颜色 2 2 3 4 2" xfId="20159" xr:uid="{00000000-0005-0000-0000-0000BE4E0000}"/>
    <cellStyle name="60% - 强调文字颜色 2 2 3 4 2 2" xfId="20160" xr:uid="{00000000-0005-0000-0000-0000BF4E0000}"/>
    <cellStyle name="60% - 强调文字颜色 2 2 3 4 2 3" xfId="20161" xr:uid="{00000000-0005-0000-0000-0000C04E0000}"/>
    <cellStyle name="60% - 强调文字颜色 2 2 3 4 2 3 2" xfId="20162" xr:uid="{00000000-0005-0000-0000-0000C14E0000}"/>
    <cellStyle name="60% - 强调文字颜色 2 2 3 4 2 3 2 2" xfId="20163" xr:uid="{00000000-0005-0000-0000-0000C24E0000}"/>
    <cellStyle name="60% - 强调文字颜色 2 2 3 4 2 4" xfId="20164" xr:uid="{00000000-0005-0000-0000-0000C34E0000}"/>
    <cellStyle name="60% - 强调文字颜色 2 2 3 4 2 4 2" xfId="20165" xr:uid="{00000000-0005-0000-0000-0000C44E0000}"/>
    <cellStyle name="60% - 强调文字颜色 2 2 3 4 3" xfId="20166" xr:uid="{00000000-0005-0000-0000-0000C54E0000}"/>
    <cellStyle name="60% - 强调文字颜色 2 2 3 4 4" xfId="20167" xr:uid="{00000000-0005-0000-0000-0000C64E0000}"/>
    <cellStyle name="60% - 强调文字颜色 2 2 3 4 5" xfId="20168" xr:uid="{00000000-0005-0000-0000-0000C74E0000}"/>
    <cellStyle name="60% - 强调文字颜色 2 2 3 4 6" xfId="20169" xr:uid="{00000000-0005-0000-0000-0000C84E0000}"/>
    <cellStyle name="60% - 强调文字颜色 2 2 3 5" xfId="20170" xr:uid="{00000000-0005-0000-0000-0000C94E0000}"/>
    <cellStyle name="60% - 强调文字颜色 2 2 3 5 2" xfId="20171" xr:uid="{00000000-0005-0000-0000-0000CA4E0000}"/>
    <cellStyle name="60% - 强调文字颜色 2 2 3 5 2 2" xfId="20172" xr:uid="{00000000-0005-0000-0000-0000CB4E0000}"/>
    <cellStyle name="60% - 强调文字颜色 2 2 3 5 2 2 2" xfId="20173" xr:uid="{00000000-0005-0000-0000-0000CC4E0000}"/>
    <cellStyle name="60% - 强调文字颜色 2 2 3 5 2 2 2 2" xfId="20174" xr:uid="{00000000-0005-0000-0000-0000CD4E0000}"/>
    <cellStyle name="60% - 强调文字颜色 2 2 3 5 2 3" xfId="20175" xr:uid="{00000000-0005-0000-0000-0000CE4E0000}"/>
    <cellStyle name="60% - 强调文字颜色 2 2 3 5 2 3 2" xfId="20176" xr:uid="{00000000-0005-0000-0000-0000CF4E0000}"/>
    <cellStyle name="60% - 强调文字颜色 2 2 3 5 3" xfId="20177" xr:uid="{00000000-0005-0000-0000-0000D04E0000}"/>
    <cellStyle name="60% - 强调文字颜色 2 2 3 5 3 2" xfId="20178" xr:uid="{00000000-0005-0000-0000-0000D14E0000}"/>
    <cellStyle name="60% - 强调文字颜色 2 2 3 5 3 2 2" xfId="20179" xr:uid="{00000000-0005-0000-0000-0000D24E0000}"/>
    <cellStyle name="60% - 强调文字颜色 2 2 3 5 4" xfId="20180" xr:uid="{00000000-0005-0000-0000-0000D34E0000}"/>
    <cellStyle name="60% - 强调文字颜色 2 2 3 5 4 2" xfId="20181" xr:uid="{00000000-0005-0000-0000-0000D44E0000}"/>
    <cellStyle name="60% - 强调文字颜色 2 2 3 6" xfId="20182" xr:uid="{00000000-0005-0000-0000-0000D54E0000}"/>
    <cellStyle name="60% - 强调文字颜色 2 2 3 6 2" xfId="20183" xr:uid="{00000000-0005-0000-0000-0000D64E0000}"/>
    <cellStyle name="60% - 强调文字颜色 2 2 3 6 2 2" xfId="20184" xr:uid="{00000000-0005-0000-0000-0000D74E0000}"/>
    <cellStyle name="60% - 强调文字颜色 2 2 3 6 2 2 2" xfId="20185" xr:uid="{00000000-0005-0000-0000-0000D84E0000}"/>
    <cellStyle name="60% - 强调文字颜色 2 2 3 6 3" xfId="20186" xr:uid="{00000000-0005-0000-0000-0000D94E0000}"/>
    <cellStyle name="60% - 强调文字颜色 2 2 3 6 3 2" xfId="20187" xr:uid="{00000000-0005-0000-0000-0000DA4E0000}"/>
    <cellStyle name="60% - 强调文字颜色 2 2 3 7" xfId="20188" xr:uid="{00000000-0005-0000-0000-0000DB4E0000}"/>
    <cellStyle name="60% - 强调文字颜色 2 2 3 7 2" xfId="20189" xr:uid="{00000000-0005-0000-0000-0000DC4E0000}"/>
    <cellStyle name="60% - 强调文字颜色 2 2 3 7 2 2" xfId="20190" xr:uid="{00000000-0005-0000-0000-0000DD4E0000}"/>
    <cellStyle name="60% - 强调文字颜色 2 2 3 7 2 2 2" xfId="20191" xr:uid="{00000000-0005-0000-0000-0000DE4E0000}"/>
    <cellStyle name="60% - 强调文字颜色 2 2 3 7 3" xfId="20192" xr:uid="{00000000-0005-0000-0000-0000DF4E0000}"/>
    <cellStyle name="60% - 强调文字颜色 2 2 3 7 3 2" xfId="20193" xr:uid="{00000000-0005-0000-0000-0000E04E0000}"/>
    <cellStyle name="60% - 强调文字颜色 2 2 3 8" xfId="20194" xr:uid="{00000000-0005-0000-0000-0000E14E0000}"/>
    <cellStyle name="60% - 强调文字颜色 2 2 3 9" xfId="20195" xr:uid="{00000000-0005-0000-0000-0000E24E0000}"/>
    <cellStyle name="60% - 强调文字颜色 2 2 4" xfId="20196" xr:uid="{00000000-0005-0000-0000-0000E34E0000}"/>
    <cellStyle name="60% - 强调文字颜色 2 2 4 2" xfId="20197" xr:uid="{00000000-0005-0000-0000-0000E44E0000}"/>
    <cellStyle name="60% - 强调文字颜色 2 2 4 2 2" xfId="20198" xr:uid="{00000000-0005-0000-0000-0000E54E0000}"/>
    <cellStyle name="60% - 强调文字颜色 2 2 4 2 3" xfId="20199" xr:uid="{00000000-0005-0000-0000-0000E64E0000}"/>
    <cellStyle name="60% - 强调文字颜色 2 2 4 2 3 2" xfId="20200" xr:uid="{00000000-0005-0000-0000-0000E74E0000}"/>
    <cellStyle name="60% - 强调文字颜色 2 2 4 2 3 2 2" xfId="20201" xr:uid="{00000000-0005-0000-0000-0000E84E0000}"/>
    <cellStyle name="60% - 强调文字颜色 2 2 4 2 4" xfId="20202" xr:uid="{00000000-0005-0000-0000-0000E94E0000}"/>
    <cellStyle name="60% - 强调文字颜色 2 2 4 2 4 2" xfId="20203" xr:uid="{00000000-0005-0000-0000-0000EA4E0000}"/>
    <cellStyle name="60% - 强调文字颜色 2 2 4 3" xfId="20204" xr:uid="{00000000-0005-0000-0000-0000EB4E0000}"/>
    <cellStyle name="60% - 强调文字颜色 2 2 4 3 2" xfId="20205" xr:uid="{00000000-0005-0000-0000-0000EC4E0000}"/>
    <cellStyle name="60% - 强调文字颜色 2 2 4 3 2 2" xfId="20206" xr:uid="{00000000-0005-0000-0000-0000ED4E0000}"/>
    <cellStyle name="60% - 强调文字颜色 2 2 4 3 2 2 2" xfId="20207" xr:uid="{00000000-0005-0000-0000-0000EE4E0000}"/>
    <cellStyle name="60% - 强调文字颜色 2 2 4 3 3" xfId="20208" xr:uid="{00000000-0005-0000-0000-0000EF4E0000}"/>
    <cellStyle name="60% - 强调文字颜色 2 2 4 3 3 2" xfId="20209" xr:uid="{00000000-0005-0000-0000-0000F04E0000}"/>
    <cellStyle name="60% - 强调文字颜色 2 2 4 4" xfId="20210" xr:uid="{00000000-0005-0000-0000-0000F14E0000}"/>
    <cellStyle name="60% - 强调文字颜色 2 2 4 5" xfId="20211" xr:uid="{00000000-0005-0000-0000-0000F24E0000}"/>
    <cellStyle name="60% - 强调文字颜色 2 2 4 6" xfId="20212" xr:uid="{00000000-0005-0000-0000-0000F34E0000}"/>
    <cellStyle name="60% - 强调文字颜色 2 2 5" xfId="20213" xr:uid="{00000000-0005-0000-0000-0000F44E0000}"/>
    <cellStyle name="60% - 强调文字颜色 2 2 5 2" xfId="20214" xr:uid="{00000000-0005-0000-0000-0000F54E0000}"/>
    <cellStyle name="60% - 强调文字颜色 2 2 5 2 2" xfId="20215" xr:uid="{00000000-0005-0000-0000-0000F64E0000}"/>
    <cellStyle name="60% - 强调文字颜色 2 2 5 2 3" xfId="20216" xr:uid="{00000000-0005-0000-0000-0000F74E0000}"/>
    <cellStyle name="60% - 强调文字颜色 2 2 5 2 3 2" xfId="20217" xr:uid="{00000000-0005-0000-0000-0000F84E0000}"/>
    <cellStyle name="60% - 强调文字颜色 2 2 5 2 3 2 2" xfId="20218" xr:uid="{00000000-0005-0000-0000-0000F94E0000}"/>
    <cellStyle name="60% - 强调文字颜色 2 2 5 2 4" xfId="20219" xr:uid="{00000000-0005-0000-0000-0000FA4E0000}"/>
    <cellStyle name="60% - 强调文字颜色 2 2 5 2 4 2" xfId="20220" xr:uid="{00000000-0005-0000-0000-0000FB4E0000}"/>
    <cellStyle name="60% - 强调文字颜色 2 2 5 3" xfId="20221" xr:uid="{00000000-0005-0000-0000-0000FC4E0000}"/>
    <cellStyle name="60% - 强调文字颜色 2 2 5 4" xfId="20222" xr:uid="{00000000-0005-0000-0000-0000FD4E0000}"/>
    <cellStyle name="60% - 强调文字颜色 2 2 5 5" xfId="20223" xr:uid="{00000000-0005-0000-0000-0000FE4E0000}"/>
    <cellStyle name="60% - 强调文字颜色 2 2 5 6" xfId="20224" xr:uid="{00000000-0005-0000-0000-0000FF4E0000}"/>
    <cellStyle name="60% - 强调文字颜色 2 2 6" xfId="20225" xr:uid="{00000000-0005-0000-0000-0000004F0000}"/>
    <cellStyle name="60% - 强调文字颜色 2 2 6 2" xfId="20226" xr:uid="{00000000-0005-0000-0000-0000014F0000}"/>
    <cellStyle name="60% - 强调文字颜色 2 2 6 2 2" xfId="20227" xr:uid="{00000000-0005-0000-0000-0000024F0000}"/>
    <cellStyle name="60% - 强调文字颜色 2 2 6 2 2 2" xfId="20228" xr:uid="{00000000-0005-0000-0000-0000034F0000}"/>
    <cellStyle name="60% - 强调文字颜色 2 2 6 2 2 2 2" xfId="20229" xr:uid="{00000000-0005-0000-0000-0000044F0000}"/>
    <cellStyle name="60% - 强调文字颜色 2 2 6 2 3" xfId="20230" xr:uid="{00000000-0005-0000-0000-0000054F0000}"/>
    <cellStyle name="60% - 强调文字颜色 2 2 6 2 3 2" xfId="20231" xr:uid="{00000000-0005-0000-0000-0000064F0000}"/>
    <cellStyle name="60% - 强调文字颜色 2 2 6 3" xfId="20232" xr:uid="{00000000-0005-0000-0000-0000074F0000}"/>
    <cellStyle name="60% - 强调文字颜色 2 2 6 3 2" xfId="20233" xr:uid="{00000000-0005-0000-0000-0000084F0000}"/>
    <cellStyle name="60% - 强调文字颜色 2 2 6 3 2 2" xfId="20234" xr:uid="{00000000-0005-0000-0000-0000094F0000}"/>
    <cellStyle name="60% - 强调文字颜色 2 2 6 4" xfId="20235" xr:uid="{00000000-0005-0000-0000-00000A4F0000}"/>
    <cellStyle name="60% - 强调文字颜色 2 2 6 4 2" xfId="20236" xr:uid="{00000000-0005-0000-0000-00000B4F0000}"/>
    <cellStyle name="60% - 强调文字颜色 2 2 7" xfId="20237" xr:uid="{00000000-0005-0000-0000-00000C4F0000}"/>
    <cellStyle name="60% - 强调文字颜色 2 2 7 2" xfId="20238" xr:uid="{00000000-0005-0000-0000-00000D4F0000}"/>
    <cellStyle name="60% - 强调文字颜色 2 2 7 2 2" xfId="20239" xr:uid="{00000000-0005-0000-0000-00000E4F0000}"/>
    <cellStyle name="60% - 强调文字颜色 2 2 7 2 2 2" xfId="20240" xr:uid="{00000000-0005-0000-0000-00000F4F0000}"/>
    <cellStyle name="60% - 强调文字颜色 2 2 7 2 2 2 2" xfId="20241" xr:uid="{00000000-0005-0000-0000-0000104F0000}"/>
    <cellStyle name="60% - 强调文字颜色 2 2 7 2 3" xfId="20242" xr:uid="{00000000-0005-0000-0000-0000114F0000}"/>
    <cellStyle name="60% - 强调文字颜色 2 2 7 2 3 2" xfId="20243" xr:uid="{00000000-0005-0000-0000-0000124F0000}"/>
    <cellStyle name="60% - 强调文字颜色 2 2 7 3" xfId="20244" xr:uid="{00000000-0005-0000-0000-0000134F0000}"/>
    <cellStyle name="60% - 强调文字颜色 2 2 7 3 2" xfId="20245" xr:uid="{00000000-0005-0000-0000-0000144F0000}"/>
    <cellStyle name="60% - 强调文字颜色 2 2 7 3 2 2" xfId="20246" xr:uid="{00000000-0005-0000-0000-0000154F0000}"/>
    <cellStyle name="60% - 强调文字颜色 2 2 7 4" xfId="20247" xr:uid="{00000000-0005-0000-0000-0000164F0000}"/>
    <cellStyle name="60% - 强调文字颜色 2 2 7 4 2" xfId="20248" xr:uid="{00000000-0005-0000-0000-0000174F0000}"/>
    <cellStyle name="60% - 强调文字颜色 2 2 8" xfId="20249" xr:uid="{00000000-0005-0000-0000-0000184F0000}"/>
    <cellStyle name="60% - 强调文字颜色 2 2 8 2" xfId="20250" xr:uid="{00000000-0005-0000-0000-0000194F0000}"/>
    <cellStyle name="60% - 强调文字颜色 2 2 8 2 2" xfId="20251" xr:uid="{00000000-0005-0000-0000-00001A4F0000}"/>
    <cellStyle name="60% - 强调文字颜色 2 2 8 2 2 2" xfId="20252" xr:uid="{00000000-0005-0000-0000-00001B4F0000}"/>
    <cellStyle name="60% - 强调文字颜色 2 2 8 2 2 2 2" xfId="20253" xr:uid="{00000000-0005-0000-0000-00001C4F0000}"/>
    <cellStyle name="60% - 强调文字颜色 2 2 8 2 3" xfId="20254" xr:uid="{00000000-0005-0000-0000-00001D4F0000}"/>
    <cellStyle name="60% - 强调文字颜色 2 2 8 2 3 2" xfId="20255" xr:uid="{00000000-0005-0000-0000-00001E4F0000}"/>
    <cellStyle name="60% - 强调文字颜色 2 2 8 3" xfId="20256" xr:uid="{00000000-0005-0000-0000-00001F4F0000}"/>
    <cellStyle name="60% - 强调文字颜色 2 2 8 3 2" xfId="20257" xr:uid="{00000000-0005-0000-0000-0000204F0000}"/>
    <cellStyle name="60% - 强调文字颜色 2 2 8 3 2 2" xfId="20258" xr:uid="{00000000-0005-0000-0000-0000214F0000}"/>
    <cellStyle name="60% - 强调文字颜色 2 2 8 4" xfId="20259" xr:uid="{00000000-0005-0000-0000-0000224F0000}"/>
    <cellStyle name="60% - 强调文字颜色 2 2 8 4 2" xfId="20260" xr:uid="{00000000-0005-0000-0000-0000234F0000}"/>
    <cellStyle name="60% - 强调文字颜色 2 2 9" xfId="20261" xr:uid="{00000000-0005-0000-0000-0000244F0000}"/>
    <cellStyle name="60% - 强调文字颜色 2 2 9 2" xfId="20262" xr:uid="{00000000-0005-0000-0000-0000254F0000}"/>
    <cellStyle name="60% - 强调文字颜色 2 2 9 2 2" xfId="20263" xr:uid="{00000000-0005-0000-0000-0000264F0000}"/>
    <cellStyle name="60% - 强调文字颜色 2 2 9 2 2 2" xfId="20264" xr:uid="{00000000-0005-0000-0000-0000274F0000}"/>
    <cellStyle name="60% - 强调文字颜色 2 2 9 3" xfId="20265" xr:uid="{00000000-0005-0000-0000-0000284F0000}"/>
    <cellStyle name="60% - 强调文字颜色 2 2 9 3 2" xfId="20266" xr:uid="{00000000-0005-0000-0000-0000294F0000}"/>
    <cellStyle name="60% - 强调文字颜色 2 3" xfId="20267" xr:uid="{00000000-0005-0000-0000-00002A4F0000}"/>
    <cellStyle name="60% - 强调文字颜色 2 3 2" xfId="20268" xr:uid="{00000000-0005-0000-0000-00002B4F0000}"/>
    <cellStyle name="60% - 强调文字颜色 2 3 2 2" xfId="20269" xr:uid="{00000000-0005-0000-0000-00002C4F0000}"/>
    <cellStyle name="60% - 强调文字颜色 2 3 2 2 2" xfId="20270" xr:uid="{00000000-0005-0000-0000-00002D4F0000}"/>
    <cellStyle name="60% - 强调文字颜色 2 3 2 2 2 2" xfId="20271" xr:uid="{00000000-0005-0000-0000-00002E4F0000}"/>
    <cellStyle name="60% - 强调文字颜色 2 3 2 2 2 3" xfId="20272" xr:uid="{00000000-0005-0000-0000-00002F4F0000}"/>
    <cellStyle name="60% - 强调文字颜色 2 3 2 2 2 3 2" xfId="20273" xr:uid="{00000000-0005-0000-0000-0000304F0000}"/>
    <cellStyle name="60% - 强调文字颜色 2 3 2 2 2 3 2 2" xfId="20274" xr:uid="{00000000-0005-0000-0000-0000314F0000}"/>
    <cellStyle name="60% - 强调文字颜色 2 3 2 2 2 4" xfId="20275" xr:uid="{00000000-0005-0000-0000-0000324F0000}"/>
    <cellStyle name="60% - 强调文字颜色 2 3 2 2 2 4 2" xfId="20276" xr:uid="{00000000-0005-0000-0000-0000334F0000}"/>
    <cellStyle name="60% - 强调文字颜色 2 3 2 2 3" xfId="20277" xr:uid="{00000000-0005-0000-0000-0000344F0000}"/>
    <cellStyle name="60% - 强调文字颜色 2 3 2 2 3 2" xfId="20278" xr:uid="{00000000-0005-0000-0000-0000354F0000}"/>
    <cellStyle name="60% - 强调文字颜色 2 3 2 2 3 2 2" xfId="20279" xr:uid="{00000000-0005-0000-0000-0000364F0000}"/>
    <cellStyle name="60% - 强调文字颜色 2 3 2 2 3 2 2 2" xfId="20280" xr:uid="{00000000-0005-0000-0000-0000374F0000}"/>
    <cellStyle name="60% - 强调文字颜色 2 3 2 2 3 3" xfId="20281" xr:uid="{00000000-0005-0000-0000-0000384F0000}"/>
    <cellStyle name="60% - 强调文字颜色 2 3 2 2 3 3 2" xfId="20282" xr:uid="{00000000-0005-0000-0000-0000394F0000}"/>
    <cellStyle name="60% - 强调文字颜色 2 3 2 2 4" xfId="20283" xr:uid="{00000000-0005-0000-0000-00003A4F0000}"/>
    <cellStyle name="60% - 强调文字颜色 2 3 2 2 5" xfId="20284" xr:uid="{00000000-0005-0000-0000-00003B4F0000}"/>
    <cellStyle name="60% - 强调文字颜色 2 3 2 2 6" xfId="20285" xr:uid="{00000000-0005-0000-0000-00003C4F0000}"/>
    <cellStyle name="60% - 强调文字颜色 2 3 2 3" xfId="20286" xr:uid="{00000000-0005-0000-0000-00003D4F0000}"/>
    <cellStyle name="60% - 强调文字颜色 2 3 2 3 2" xfId="20287" xr:uid="{00000000-0005-0000-0000-00003E4F0000}"/>
    <cellStyle name="60% - 强调文字颜色 2 3 2 3 3" xfId="20288" xr:uid="{00000000-0005-0000-0000-00003F4F0000}"/>
    <cellStyle name="60% - 强调文字颜色 2 3 2 3 3 2" xfId="20289" xr:uid="{00000000-0005-0000-0000-0000404F0000}"/>
    <cellStyle name="60% - 强调文字颜色 2 3 2 3 3 2 2" xfId="20290" xr:uid="{00000000-0005-0000-0000-0000414F0000}"/>
    <cellStyle name="60% - 强调文字颜色 2 3 2 3 4" xfId="20291" xr:uid="{00000000-0005-0000-0000-0000424F0000}"/>
    <cellStyle name="60% - 强调文字颜色 2 3 2 3 4 2" xfId="20292" xr:uid="{00000000-0005-0000-0000-0000434F0000}"/>
    <cellStyle name="60% - 强调文字颜色 2 3 2 4" xfId="20293" xr:uid="{00000000-0005-0000-0000-0000444F0000}"/>
    <cellStyle name="60% - 强调文字颜色 2 3 2 4 2" xfId="20294" xr:uid="{00000000-0005-0000-0000-0000454F0000}"/>
    <cellStyle name="60% - 强调文字颜色 2 3 2 4 2 2" xfId="20295" xr:uid="{00000000-0005-0000-0000-0000464F0000}"/>
    <cellStyle name="60% - 强调文字颜色 2 3 2 4 2 2 2" xfId="20296" xr:uid="{00000000-0005-0000-0000-0000474F0000}"/>
    <cellStyle name="60% - 强调文字颜色 2 3 2 4 3" xfId="20297" xr:uid="{00000000-0005-0000-0000-0000484F0000}"/>
    <cellStyle name="60% - 强调文字颜色 2 3 2 4 3 2" xfId="20298" xr:uid="{00000000-0005-0000-0000-0000494F0000}"/>
    <cellStyle name="60% - 强调文字颜色 2 3 2 5" xfId="20299" xr:uid="{00000000-0005-0000-0000-00004A4F0000}"/>
    <cellStyle name="60% - 强调文字颜色 2 3 2 6" xfId="20300" xr:uid="{00000000-0005-0000-0000-00004B4F0000}"/>
    <cellStyle name="60% - 强调文字颜色 2 3 2 7" xfId="20301" xr:uid="{00000000-0005-0000-0000-00004C4F0000}"/>
    <cellStyle name="60% - 强调文字颜色 2 3 3" xfId="20302" xr:uid="{00000000-0005-0000-0000-00004D4F0000}"/>
    <cellStyle name="60% - 强调文字颜色 2 3 3 2" xfId="20303" xr:uid="{00000000-0005-0000-0000-00004E4F0000}"/>
    <cellStyle name="60% - 强调文字颜色 2 3 3 2 2" xfId="20304" xr:uid="{00000000-0005-0000-0000-00004F4F0000}"/>
    <cellStyle name="60% - 强调文字颜色 2 3 3 2 3" xfId="20305" xr:uid="{00000000-0005-0000-0000-0000504F0000}"/>
    <cellStyle name="60% - 强调文字颜色 2 3 3 2 3 2" xfId="20306" xr:uid="{00000000-0005-0000-0000-0000514F0000}"/>
    <cellStyle name="60% - 强调文字颜色 2 3 3 2 3 2 2" xfId="20307" xr:uid="{00000000-0005-0000-0000-0000524F0000}"/>
    <cellStyle name="60% - 强调文字颜色 2 3 3 2 4" xfId="20308" xr:uid="{00000000-0005-0000-0000-0000534F0000}"/>
    <cellStyle name="60% - 强调文字颜色 2 3 3 2 4 2" xfId="20309" xr:uid="{00000000-0005-0000-0000-0000544F0000}"/>
    <cellStyle name="60% - 强调文字颜色 2 3 3 3" xfId="20310" xr:uid="{00000000-0005-0000-0000-0000554F0000}"/>
    <cellStyle name="60% - 强调文字颜色 2 3 3 3 2" xfId="20311" xr:uid="{00000000-0005-0000-0000-0000564F0000}"/>
    <cellStyle name="60% - 强调文字颜色 2 3 3 3 2 2" xfId="20312" xr:uid="{00000000-0005-0000-0000-0000574F0000}"/>
    <cellStyle name="60% - 强调文字颜色 2 3 3 3 2 2 2" xfId="20313" xr:uid="{00000000-0005-0000-0000-0000584F0000}"/>
    <cellStyle name="60% - 强调文字颜色 2 3 3 3 3" xfId="20314" xr:uid="{00000000-0005-0000-0000-0000594F0000}"/>
    <cellStyle name="60% - 强调文字颜色 2 3 3 3 3 2" xfId="20315" xr:uid="{00000000-0005-0000-0000-00005A4F0000}"/>
    <cellStyle name="60% - 强调文字颜色 2 3 3 4" xfId="20316" xr:uid="{00000000-0005-0000-0000-00005B4F0000}"/>
    <cellStyle name="60% - 强调文字颜色 2 3 3 5" xfId="20317" xr:uid="{00000000-0005-0000-0000-00005C4F0000}"/>
    <cellStyle name="60% - 强调文字颜色 2 3 3 6" xfId="20318" xr:uid="{00000000-0005-0000-0000-00005D4F0000}"/>
    <cellStyle name="60% - 强调文字颜色 2 3 4" xfId="20319" xr:uid="{00000000-0005-0000-0000-00005E4F0000}"/>
    <cellStyle name="60% - 强调文字颜色 2 3 4 2" xfId="20320" xr:uid="{00000000-0005-0000-0000-00005F4F0000}"/>
    <cellStyle name="60% - 强调文字颜色 2 3 4 2 2" xfId="20321" xr:uid="{00000000-0005-0000-0000-0000604F0000}"/>
    <cellStyle name="60% - 强调文字颜色 2 3 4 2 3" xfId="20322" xr:uid="{00000000-0005-0000-0000-0000614F0000}"/>
    <cellStyle name="60% - 强调文字颜色 2 3 4 2 3 2" xfId="20323" xr:uid="{00000000-0005-0000-0000-0000624F0000}"/>
    <cellStyle name="60% - 强调文字颜色 2 3 4 2 3 2 2" xfId="20324" xr:uid="{00000000-0005-0000-0000-0000634F0000}"/>
    <cellStyle name="60% - 强调文字颜色 2 3 4 2 4" xfId="20325" xr:uid="{00000000-0005-0000-0000-0000644F0000}"/>
    <cellStyle name="60% - 强调文字颜色 2 3 4 2 4 2" xfId="20326" xr:uid="{00000000-0005-0000-0000-0000654F0000}"/>
    <cellStyle name="60% - 强调文字颜色 2 3 4 3" xfId="20327" xr:uid="{00000000-0005-0000-0000-0000664F0000}"/>
    <cellStyle name="60% - 强调文字颜色 2 3 4 4" xfId="20328" xr:uid="{00000000-0005-0000-0000-0000674F0000}"/>
    <cellStyle name="60% - 强调文字颜色 2 3 4 5" xfId="20329" xr:uid="{00000000-0005-0000-0000-0000684F0000}"/>
    <cellStyle name="60% - 强调文字颜色 2 3 4 6" xfId="20330" xr:uid="{00000000-0005-0000-0000-0000694F0000}"/>
    <cellStyle name="60% - 强调文字颜色 2 3 5" xfId="20331" xr:uid="{00000000-0005-0000-0000-00006A4F0000}"/>
    <cellStyle name="60% - 强调文字颜色 2 3 5 2" xfId="20332" xr:uid="{00000000-0005-0000-0000-00006B4F0000}"/>
    <cellStyle name="60% - 强调文字颜色 2 3 5 2 2" xfId="20333" xr:uid="{00000000-0005-0000-0000-00006C4F0000}"/>
    <cellStyle name="60% - 强调文字颜色 2 3 5 2 2 2" xfId="20334" xr:uid="{00000000-0005-0000-0000-00006D4F0000}"/>
    <cellStyle name="60% - 强调文字颜色 2 3 5 2 2 2 2" xfId="20335" xr:uid="{00000000-0005-0000-0000-00006E4F0000}"/>
    <cellStyle name="60% - 强调文字颜色 2 3 5 2 3" xfId="20336" xr:uid="{00000000-0005-0000-0000-00006F4F0000}"/>
    <cellStyle name="60% - 强调文字颜色 2 3 5 2 3 2" xfId="20337" xr:uid="{00000000-0005-0000-0000-0000704F0000}"/>
    <cellStyle name="60% - 强调文字颜色 2 3 5 3" xfId="20338" xr:uid="{00000000-0005-0000-0000-0000714F0000}"/>
    <cellStyle name="60% - 强调文字颜色 2 3 5 3 2" xfId="20339" xr:uid="{00000000-0005-0000-0000-0000724F0000}"/>
    <cellStyle name="60% - 强调文字颜色 2 3 5 3 2 2" xfId="20340" xr:uid="{00000000-0005-0000-0000-0000734F0000}"/>
    <cellStyle name="60% - 强调文字颜色 2 3 5 4" xfId="20341" xr:uid="{00000000-0005-0000-0000-0000744F0000}"/>
    <cellStyle name="60% - 强调文字颜色 2 3 5 4 2" xfId="20342" xr:uid="{00000000-0005-0000-0000-0000754F0000}"/>
    <cellStyle name="60% - 强调文字颜色 2 3 6" xfId="20343" xr:uid="{00000000-0005-0000-0000-0000764F0000}"/>
    <cellStyle name="60% - 强调文字颜色 2 3 6 2" xfId="20344" xr:uid="{00000000-0005-0000-0000-0000774F0000}"/>
    <cellStyle name="60% - 强调文字颜色 2 3 6 2 2" xfId="20345" xr:uid="{00000000-0005-0000-0000-0000784F0000}"/>
    <cellStyle name="60% - 强调文字颜色 2 3 6 2 2 2" xfId="20346" xr:uid="{00000000-0005-0000-0000-0000794F0000}"/>
    <cellStyle name="60% - 强调文字颜色 2 3 6 3" xfId="20347" xr:uid="{00000000-0005-0000-0000-00007A4F0000}"/>
    <cellStyle name="60% - 强调文字颜色 2 3 6 3 2" xfId="20348" xr:uid="{00000000-0005-0000-0000-00007B4F0000}"/>
    <cellStyle name="60% - 强调文字颜色 2 3 7" xfId="20349" xr:uid="{00000000-0005-0000-0000-00007C4F0000}"/>
    <cellStyle name="60% - 强调文字颜色 2 3 8" xfId="20350" xr:uid="{00000000-0005-0000-0000-00007D4F0000}"/>
    <cellStyle name="60% - 强调文字颜色 3 2" xfId="20351" xr:uid="{00000000-0005-0000-0000-00007E4F0000}"/>
    <cellStyle name="60% - 强调文字颜色 3 2 10" xfId="20352" xr:uid="{00000000-0005-0000-0000-00007F4F0000}"/>
    <cellStyle name="60% - 强调文字颜色 3 2 11" xfId="20353" xr:uid="{00000000-0005-0000-0000-0000804F0000}"/>
    <cellStyle name="60% - 强调文字颜色 3 2 2" xfId="20354" xr:uid="{00000000-0005-0000-0000-0000814F0000}"/>
    <cellStyle name="60% - 强调文字颜色 3 2 2 10" xfId="20355" xr:uid="{00000000-0005-0000-0000-0000824F0000}"/>
    <cellStyle name="60% - 强调文字颜色 3 2 2 11" xfId="20356" xr:uid="{00000000-0005-0000-0000-0000834F0000}"/>
    <cellStyle name="60% - 强调文字颜色 3 2 2 2" xfId="20357" xr:uid="{00000000-0005-0000-0000-0000844F0000}"/>
    <cellStyle name="60% - 强调文字颜色 3 2 2 2 2" xfId="20358" xr:uid="{00000000-0005-0000-0000-0000854F0000}"/>
    <cellStyle name="60% - 强调文字颜色 3 2 2 2 2 2" xfId="20359" xr:uid="{00000000-0005-0000-0000-0000864F0000}"/>
    <cellStyle name="60% - 强调文字颜色 3 2 2 2 2 2 2" xfId="20360" xr:uid="{00000000-0005-0000-0000-0000874F0000}"/>
    <cellStyle name="60% - 强调文字颜色 3 2 2 2 2 2 3" xfId="20361" xr:uid="{00000000-0005-0000-0000-0000884F0000}"/>
    <cellStyle name="60% - 强调文字颜色 3 2 2 2 2 2 3 2" xfId="20362" xr:uid="{00000000-0005-0000-0000-0000894F0000}"/>
    <cellStyle name="60% - 强调文字颜色 3 2 2 2 2 2 3 2 2" xfId="20363" xr:uid="{00000000-0005-0000-0000-00008A4F0000}"/>
    <cellStyle name="60% - 强调文字颜色 3 2 2 2 2 2 4" xfId="20364" xr:uid="{00000000-0005-0000-0000-00008B4F0000}"/>
    <cellStyle name="60% - 强调文字颜色 3 2 2 2 2 2 4 2" xfId="20365" xr:uid="{00000000-0005-0000-0000-00008C4F0000}"/>
    <cellStyle name="60% - 强调文字颜色 3 2 2 2 2 3" xfId="20366" xr:uid="{00000000-0005-0000-0000-00008D4F0000}"/>
    <cellStyle name="60% - 强调文字颜色 3 2 2 2 2 3 2" xfId="20367" xr:uid="{00000000-0005-0000-0000-00008E4F0000}"/>
    <cellStyle name="60% - 强调文字颜色 3 2 2 2 2 3 2 2" xfId="20368" xr:uid="{00000000-0005-0000-0000-00008F4F0000}"/>
    <cellStyle name="60% - 强调文字颜色 3 2 2 2 2 3 2 2 2" xfId="20369" xr:uid="{00000000-0005-0000-0000-0000904F0000}"/>
    <cellStyle name="60% - 强调文字颜色 3 2 2 2 2 3 3" xfId="20370" xr:uid="{00000000-0005-0000-0000-0000914F0000}"/>
    <cellStyle name="60% - 强调文字颜色 3 2 2 2 2 3 3 2" xfId="20371" xr:uid="{00000000-0005-0000-0000-0000924F0000}"/>
    <cellStyle name="60% - 强调文字颜色 3 2 2 2 2 4" xfId="20372" xr:uid="{00000000-0005-0000-0000-0000934F0000}"/>
    <cellStyle name="60% - 强调文字颜色 3 2 2 2 2 5" xfId="20373" xr:uid="{00000000-0005-0000-0000-0000944F0000}"/>
    <cellStyle name="60% - 强调文字颜色 3 2 2 2 2 6" xfId="20374" xr:uid="{00000000-0005-0000-0000-0000954F0000}"/>
    <cellStyle name="60% - 强调文字颜色 3 2 2 2 3" xfId="20375" xr:uid="{00000000-0005-0000-0000-0000964F0000}"/>
    <cellStyle name="60% - 强调文字颜色 3 2 2 2 3 2" xfId="20376" xr:uid="{00000000-0005-0000-0000-0000974F0000}"/>
    <cellStyle name="60% - 强调文字颜色 3 2 2 2 3 3" xfId="20377" xr:uid="{00000000-0005-0000-0000-0000984F0000}"/>
    <cellStyle name="60% - 强调文字颜色 3 2 2 2 3 3 2" xfId="20378" xr:uid="{00000000-0005-0000-0000-0000994F0000}"/>
    <cellStyle name="60% - 强调文字颜色 3 2 2 2 3 3 2 2" xfId="20379" xr:uid="{00000000-0005-0000-0000-00009A4F0000}"/>
    <cellStyle name="60% - 强调文字颜色 3 2 2 2 3 4" xfId="20380" xr:uid="{00000000-0005-0000-0000-00009B4F0000}"/>
    <cellStyle name="60% - 强调文字颜色 3 2 2 2 3 4 2" xfId="20381" xr:uid="{00000000-0005-0000-0000-00009C4F0000}"/>
    <cellStyle name="60% - 强调文字颜色 3 2 2 2 4" xfId="20382" xr:uid="{00000000-0005-0000-0000-00009D4F0000}"/>
    <cellStyle name="60% - 强调文字颜色 3 2 2 2 4 2" xfId="20383" xr:uid="{00000000-0005-0000-0000-00009E4F0000}"/>
    <cellStyle name="60% - 强调文字颜色 3 2 2 2 4 2 2" xfId="20384" xr:uid="{00000000-0005-0000-0000-00009F4F0000}"/>
    <cellStyle name="60% - 强调文字颜色 3 2 2 2 4 2 2 2" xfId="20385" xr:uid="{00000000-0005-0000-0000-0000A04F0000}"/>
    <cellStyle name="60% - 强调文字颜色 3 2 2 2 4 3" xfId="20386" xr:uid="{00000000-0005-0000-0000-0000A14F0000}"/>
    <cellStyle name="60% - 强调文字颜色 3 2 2 2 4 3 2" xfId="20387" xr:uid="{00000000-0005-0000-0000-0000A24F0000}"/>
    <cellStyle name="60% - 强调文字颜色 3 2 2 2 5" xfId="20388" xr:uid="{00000000-0005-0000-0000-0000A34F0000}"/>
    <cellStyle name="60% - 强调文字颜色 3 2 2 2 6" xfId="20389" xr:uid="{00000000-0005-0000-0000-0000A44F0000}"/>
    <cellStyle name="60% - 强调文字颜色 3 2 2 2 7" xfId="20390" xr:uid="{00000000-0005-0000-0000-0000A54F0000}"/>
    <cellStyle name="60% - 强调文字颜色 3 2 2 3" xfId="20391" xr:uid="{00000000-0005-0000-0000-0000A64F0000}"/>
    <cellStyle name="60% - 强调文字颜色 3 2 2 3 2" xfId="20392" xr:uid="{00000000-0005-0000-0000-0000A74F0000}"/>
    <cellStyle name="60% - 强调文字颜色 3 2 2 3 2 2" xfId="20393" xr:uid="{00000000-0005-0000-0000-0000A84F0000}"/>
    <cellStyle name="60% - 强调文字颜色 3 2 2 3 2 3" xfId="20394" xr:uid="{00000000-0005-0000-0000-0000A94F0000}"/>
    <cellStyle name="60% - 强调文字颜色 3 2 2 3 2 3 2" xfId="20395" xr:uid="{00000000-0005-0000-0000-0000AA4F0000}"/>
    <cellStyle name="60% - 强调文字颜色 3 2 2 3 2 3 2 2" xfId="20396" xr:uid="{00000000-0005-0000-0000-0000AB4F0000}"/>
    <cellStyle name="60% - 强调文字颜色 3 2 2 3 2 4" xfId="20397" xr:uid="{00000000-0005-0000-0000-0000AC4F0000}"/>
    <cellStyle name="60% - 强调文字颜色 3 2 2 3 2 4 2" xfId="20398" xr:uid="{00000000-0005-0000-0000-0000AD4F0000}"/>
    <cellStyle name="60% - 强调文字颜色 3 2 2 3 3" xfId="20399" xr:uid="{00000000-0005-0000-0000-0000AE4F0000}"/>
    <cellStyle name="60% - 强调文字颜色 3 2 2 3 3 2" xfId="20400" xr:uid="{00000000-0005-0000-0000-0000AF4F0000}"/>
    <cellStyle name="60% - 强调文字颜色 3 2 2 3 3 2 2" xfId="20401" xr:uid="{00000000-0005-0000-0000-0000B04F0000}"/>
    <cellStyle name="60% - 强调文字颜色 3 2 2 3 3 2 2 2" xfId="20402" xr:uid="{00000000-0005-0000-0000-0000B14F0000}"/>
    <cellStyle name="60% - 强调文字颜色 3 2 2 3 3 3" xfId="20403" xr:uid="{00000000-0005-0000-0000-0000B24F0000}"/>
    <cellStyle name="60% - 强调文字颜色 3 2 2 3 3 3 2" xfId="20404" xr:uid="{00000000-0005-0000-0000-0000B34F0000}"/>
    <cellStyle name="60% - 强调文字颜色 3 2 2 3 4" xfId="20405" xr:uid="{00000000-0005-0000-0000-0000B44F0000}"/>
    <cellStyle name="60% - 强调文字颜色 3 2 2 3 5" xfId="20406" xr:uid="{00000000-0005-0000-0000-0000B54F0000}"/>
    <cellStyle name="60% - 强调文字颜色 3 2 2 3 6" xfId="20407" xr:uid="{00000000-0005-0000-0000-0000B64F0000}"/>
    <cellStyle name="60% - 强调文字颜色 3 2 2 4" xfId="20408" xr:uid="{00000000-0005-0000-0000-0000B74F0000}"/>
    <cellStyle name="60% - 强调文字颜色 3 2 2 4 2" xfId="20409" xr:uid="{00000000-0005-0000-0000-0000B84F0000}"/>
    <cellStyle name="60% - 强调文字颜色 3 2 2 4 2 2" xfId="20410" xr:uid="{00000000-0005-0000-0000-0000B94F0000}"/>
    <cellStyle name="60% - 强调文字颜色 3 2 2 4 2 3" xfId="20411" xr:uid="{00000000-0005-0000-0000-0000BA4F0000}"/>
    <cellStyle name="60% - 强调文字颜色 3 2 2 4 2 3 2" xfId="20412" xr:uid="{00000000-0005-0000-0000-0000BB4F0000}"/>
    <cellStyle name="60% - 强调文字颜色 3 2 2 4 2 3 2 2" xfId="20413" xr:uid="{00000000-0005-0000-0000-0000BC4F0000}"/>
    <cellStyle name="60% - 强调文字颜色 3 2 2 4 2 4" xfId="20414" xr:uid="{00000000-0005-0000-0000-0000BD4F0000}"/>
    <cellStyle name="60% - 强调文字颜色 3 2 2 4 2 4 2" xfId="20415" xr:uid="{00000000-0005-0000-0000-0000BE4F0000}"/>
    <cellStyle name="60% - 强调文字颜色 3 2 2 4 3" xfId="20416" xr:uid="{00000000-0005-0000-0000-0000BF4F0000}"/>
    <cellStyle name="60% - 强调文字颜色 3 2 2 4 4" xfId="20417" xr:uid="{00000000-0005-0000-0000-0000C04F0000}"/>
    <cellStyle name="60% - 强调文字颜色 3 2 2 4 5" xfId="20418" xr:uid="{00000000-0005-0000-0000-0000C14F0000}"/>
    <cellStyle name="60% - 强调文字颜色 3 2 2 4 6" xfId="20419" xr:uid="{00000000-0005-0000-0000-0000C24F0000}"/>
    <cellStyle name="60% - 强调文字颜色 3 2 2 5" xfId="20420" xr:uid="{00000000-0005-0000-0000-0000C34F0000}"/>
    <cellStyle name="60% - 强调文字颜色 3 2 2 5 2" xfId="20421" xr:uid="{00000000-0005-0000-0000-0000C44F0000}"/>
    <cellStyle name="60% - 强调文字颜色 3 2 2 5 2 2" xfId="20422" xr:uid="{00000000-0005-0000-0000-0000C54F0000}"/>
    <cellStyle name="60% - 强调文字颜色 3 2 2 5 2 2 2" xfId="20423" xr:uid="{00000000-0005-0000-0000-0000C64F0000}"/>
    <cellStyle name="60% - 强调文字颜色 3 2 2 5 2 2 2 2" xfId="20424" xr:uid="{00000000-0005-0000-0000-0000C74F0000}"/>
    <cellStyle name="60% - 强调文字颜色 3 2 2 5 2 3" xfId="20425" xr:uid="{00000000-0005-0000-0000-0000C84F0000}"/>
    <cellStyle name="60% - 强调文字颜色 3 2 2 5 2 3 2" xfId="20426" xr:uid="{00000000-0005-0000-0000-0000C94F0000}"/>
    <cellStyle name="60% - 强调文字颜色 3 2 2 5 3" xfId="20427" xr:uid="{00000000-0005-0000-0000-0000CA4F0000}"/>
    <cellStyle name="60% - 强调文字颜色 3 2 2 5 3 2" xfId="20428" xr:uid="{00000000-0005-0000-0000-0000CB4F0000}"/>
    <cellStyle name="60% - 强调文字颜色 3 2 2 5 3 2 2" xfId="20429" xr:uid="{00000000-0005-0000-0000-0000CC4F0000}"/>
    <cellStyle name="60% - 强调文字颜色 3 2 2 5 4" xfId="20430" xr:uid="{00000000-0005-0000-0000-0000CD4F0000}"/>
    <cellStyle name="60% - 强调文字颜色 3 2 2 5 4 2" xfId="20431" xr:uid="{00000000-0005-0000-0000-0000CE4F0000}"/>
    <cellStyle name="60% - 强调文字颜色 3 2 2 6" xfId="20432" xr:uid="{00000000-0005-0000-0000-0000CF4F0000}"/>
    <cellStyle name="60% - 强调文字颜色 3 2 2 6 2" xfId="20433" xr:uid="{00000000-0005-0000-0000-0000D04F0000}"/>
    <cellStyle name="60% - 强调文字颜色 3 2 2 6 2 2" xfId="20434" xr:uid="{00000000-0005-0000-0000-0000D14F0000}"/>
    <cellStyle name="60% - 强调文字颜色 3 2 2 6 2 2 2" xfId="20435" xr:uid="{00000000-0005-0000-0000-0000D24F0000}"/>
    <cellStyle name="60% - 强调文字颜色 3 2 2 6 2 2 2 2" xfId="20436" xr:uid="{00000000-0005-0000-0000-0000D34F0000}"/>
    <cellStyle name="60% - 强调文字颜色 3 2 2 6 2 3" xfId="20437" xr:uid="{00000000-0005-0000-0000-0000D44F0000}"/>
    <cellStyle name="60% - 强调文字颜色 3 2 2 6 2 3 2" xfId="20438" xr:uid="{00000000-0005-0000-0000-0000D54F0000}"/>
    <cellStyle name="60% - 强调文字颜色 3 2 2 6 3" xfId="20439" xr:uid="{00000000-0005-0000-0000-0000D64F0000}"/>
    <cellStyle name="60% - 强调文字颜色 3 2 2 6 3 2" xfId="20440" xr:uid="{00000000-0005-0000-0000-0000D74F0000}"/>
    <cellStyle name="60% - 强调文字颜色 3 2 2 6 3 2 2" xfId="20441" xr:uid="{00000000-0005-0000-0000-0000D84F0000}"/>
    <cellStyle name="60% - 强调文字颜色 3 2 2 6 4" xfId="20442" xr:uid="{00000000-0005-0000-0000-0000D94F0000}"/>
    <cellStyle name="60% - 强调文字颜色 3 2 2 6 4 2" xfId="20443" xr:uid="{00000000-0005-0000-0000-0000DA4F0000}"/>
    <cellStyle name="60% - 强调文字颜色 3 2 2 7" xfId="20444" xr:uid="{00000000-0005-0000-0000-0000DB4F0000}"/>
    <cellStyle name="60% - 强调文字颜色 3 2 2 7 2" xfId="20445" xr:uid="{00000000-0005-0000-0000-0000DC4F0000}"/>
    <cellStyle name="60% - 强调文字颜色 3 2 2 7 2 2" xfId="20446" xr:uid="{00000000-0005-0000-0000-0000DD4F0000}"/>
    <cellStyle name="60% - 强调文字颜色 3 2 2 7 2 2 2" xfId="20447" xr:uid="{00000000-0005-0000-0000-0000DE4F0000}"/>
    <cellStyle name="60% - 强调文字颜色 3 2 2 7 2 2 2 2" xfId="20448" xr:uid="{00000000-0005-0000-0000-0000DF4F0000}"/>
    <cellStyle name="60% - 强调文字颜色 3 2 2 7 2 3" xfId="20449" xr:uid="{00000000-0005-0000-0000-0000E04F0000}"/>
    <cellStyle name="60% - 强调文字颜色 3 2 2 7 2 3 2" xfId="20450" xr:uid="{00000000-0005-0000-0000-0000E14F0000}"/>
    <cellStyle name="60% - 强调文字颜色 3 2 2 7 3" xfId="20451" xr:uid="{00000000-0005-0000-0000-0000E24F0000}"/>
    <cellStyle name="60% - 强调文字颜色 3 2 2 7 3 2" xfId="20452" xr:uid="{00000000-0005-0000-0000-0000E34F0000}"/>
    <cellStyle name="60% - 强调文字颜色 3 2 2 7 3 2 2" xfId="20453" xr:uid="{00000000-0005-0000-0000-0000E44F0000}"/>
    <cellStyle name="60% - 强调文字颜色 3 2 2 7 4" xfId="20454" xr:uid="{00000000-0005-0000-0000-0000E54F0000}"/>
    <cellStyle name="60% - 强调文字颜色 3 2 2 7 4 2" xfId="20455" xr:uid="{00000000-0005-0000-0000-0000E64F0000}"/>
    <cellStyle name="60% - 强调文字颜色 3 2 2 8" xfId="20456" xr:uid="{00000000-0005-0000-0000-0000E74F0000}"/>
    <cellStyle name="60% - 强调文字颜色 3 2 2 8 2" xfId="20457" xr:uid="{00000000-0005-0000-0000-0000E84F0000}"/>
    <cellStyle name="60% - 强调文字颜色 3 2 2 8 2 2" xfId="20458" xr:uid="{00000000-0005-0000-0000-0000E94F0000}"/>
    <cellStyle name="60% - 强调文字颜色 3 2 2 8 2 2 2" xfId="20459" xr:uid="{00000000-0005-0000-0000-0000EA4F0000}"/>
    <cellStyle name="60% - 强调文字颜色 3 2 2 8 3" xfId="20460" xr:uid="{00000000-0005-0000-0000-0000EB4F0000}"/>
    <cellStyle name="60% - 强调文字颜色 3 2 2 8 3 2" xfId="20461" xr:uid="{00000000-0005-0000-0000-0000EC4F0000}"/>
    <cellStyle name="60% - 强调文字颜色 3 2 2 9" xfId="20462" xr:uid="{00000000-0005-0000-0000-0000ED4F0000}"/>
    <cellStyle name="60% - 强调文字颜色 3 2 2 9 2" xfId="20463" xr:uid="{00000000-0005-0000-0000-0000EE4F0000}"/>
    <cellStyle name="60% - 强调文字颜色 3 2 2 9 2 2" xfId="20464" xr:uid="{00000000-0005-0000-0000-0000EF4F0000}"/>
    <cellStyle name="60% - 强调文字颜色 3 2 2 9 2 2 2" xfId="20465" xr:uid="{00000000-0005-0000-0000-0000F04F0000}"/>
    <cellStyle name="60% - 强调文字颜色 3 2 2 9 3" xfId="20466" xr:uid="{00000000-0005-0000-0000-0000F14F0000}"/>
    <cellStyle name="60% - 强调文字颜色 3 2 2 9 3 2" xfId="20467" xr:uid="{00000000-0005-0000-0000-0000F24F0000}"/>
    <cellStyle name="60% - 强调文字颜色 3 2 3" xfId="20468" xr:uid="{00000000-0005-0000-0000-0000F34F0000}"/>
    <cellStyle name="60% - 强调文字颜色 3 2 3 2" xfId="20469" xr:uid="{00000000-0005-0000-0000-0000F44F0000}"/>
    <cellStyle name="60% - 强调文字颜色 3 2 3 2 2" xfId="20470" xr:uid="{00000000-0005-0000-0000-0000F54F0000}"/>
    <cellStyle name="60% - 强调文字颜色 3 2 3 2 2 2" xfId="20471" xr:uid="{00000000-0005-0000-0000-0000F64F0000}"/>
    <cellStyle name="60% - 强调文字颜色 3 2 3 2 2 2 2" xfId="20472" xr:uid="{00000000-0005-0000-0000-0000F74F0000}"/>
    <cellStyle name="60% - 强调文字颜色 3 2 3 2 2 2 3" xfId="20473" xr:uid="{00000000-0005-0000-0000-0000F84F0000}"/>
    <cellStyle name="60% - 强调文字颜色 3 2 3 2 2 2 3 2" xfId="20474" xr:uid="{00000000-0005-0000-0000-0000F94F0000}"/>
    <cellStyle name="60% - 强调文字颜色 3 2 3 2 2 2 3 2 2" xfId="20475" xr:uid="{00000000-0005-0000-0000-0000FA4F0000}"/>
    <cellStyle name="60% - 强调文字颜色 3 2 3 2 2 2 4" xfId="20476" xr:uid="{00000000-0005-0000-0000-0000FB4F0000}"/>
    <cellStyle name="60% - 强调文字颜色 3 2 3 2 2 2 4 2" xfId="20477" xr:uid="{00000000-0005-0000-0000-0000FC4F0000}"/>
    <cellStyle name="60% - 强调文字颜色 3 2 3 2 2 3" xfId="20478" xr:uid="{00000000-0005-0000-0000-0000FD4F0000}"/>
    <cellStyle name="60% - 强调文字颜色 3 2 3 2 2 3 2" xfId="20479" xr:uid="{00000000-0005-0000-0000-0000FE4F0000}"/>
    <cellStyle name="60% - 强调文字颜色 3 2 3 2 2 3 2 2" xfId="20480" xr:uid="{00000000-0005-0000-0000-0000FF4F0000}"/>
    <cellStyle name="60% - 强调文字颜色 3 2 3 2 2 3 2 2 2" xfId="20481" xr:uid="{00000000-0005-0000-0000-000000500000}"/>
    <cellStyle name="60% - 强调文字颜色 3 2 3 2 2 3 3" xfId="20482" xr:uid="{00000000-0005-0000-0000-000001500000}"/>
    <cellStyle name="60% - 强调文字颜色 3 2 3 2 2 3 3 2" xfId="20483" xr:uid="{00000000-0005-0000-0000-000002500000}"/>
    <cellStyle name="60% - 强调文字颜色 3 2 3 2 2 4" xfId="20484" xr:uid="{00000000-0005-0000-0000-000003500000}"/>
    <cellStyle name="60% - 强调文字颜色 3 2 3 2 2 5" xfId="20485" xr:uid="{00000000-0005-0000-0000-000004500000}"/>
    <cellStyle name="60% - 强调文字颜色 3 2 3 2 2 6" xfId="20486" xr:uid="{00000000-0005-0000-0000-000005500000}"/>
    <cellStyle name="60% - 强调文字颜色 3 2 3 2 3" xfId="20487" xr:uid="{00000000-0005-0000-0000-000006500000}"/>
    <cellStyle name="60% - 强调文字颜色 3 2 3 2 3 2" xfId="20488" xr:uid="{00000000-0005-0000-0000-000007500000}"/>
    <cellStyle name="60% - 强调文字颜色 3 2 3 2 3 3" xfId="20489" xr:uid="{00000000-0005-0000-0000-000008500000}"/>
    <cellStyle name="60% - 强调文字颜色 3 2 3 2 3 3 2" xfId="20490" xr:uid="{00000000-0005-0000-0000-000009500000}"/>
    <cellStyle name="60% - 强调文字颜色 3 2 3 2 3 3 2 2" xfId="20491" xr:uid="{00000000-0005-0000-0000-00000A500000}"/>
    <cellStyle name="60% - 强调文字颜色 3 2 3 2 3 4" xfId="20492" xr:uid="{00000000-0005-0000-0000-00000B500000}"/>
    <cellStyle name="60% - 强调文字颜色 3 2 3 2 3 4 2" xfId="20493" xr:uid="{00000000-0005-0000-0000-00000C500000}"/>
    <cellStyle name="60% - 强调文字颜色 3 2 3 2 4" xfId="20494" xr:uid="{00000000-0005-0000-0000-00000D500000}"/>
    <cellStyle name="60% - 强调文字颜色 3 2 3 2 4 2" xfId="20495" xr:uid="{00000000-0005-0000-0000-00000E500000}"/>
    <cellStyle name="60% - 强调文字颜色 3 2 3 2 4 2 2" xfId="20496" xr:uid="{00000000-0005-0000-0000-00000F500000}"/>
    <cellStyle name="60% - 强调文字颜色 3 2 3 2 4 2 2 2" xfId="20497" xr:uid="{00000000-0005-0000-0000-000010500000}"/>
    <cellStyle name="60% - 强调文字颜色 3 2 3 2 4 3" xfId="20498" xr:uid="{00000000-0005-0000-0000-000011500000}"/>
    <cellStyle name="60% - 强调文字颜色 3 2 3 2 4 3 2" xfId="20499" xr:uid="{00000000-0005-0000-0000-000012500000}"/>
    <cellStyle name="60% - 强调文字颜色 3 2 3 2 5" xfId="20500" xr:uid="{00000000-0005-0000-0000-000013500000}"/>
    <cellStyle name="60% - 强调文字颜色 3 2 3 2 6" xfId="20501" xr:uid="{00000000-0005-0000-0000-000014500000}"/>
    <cellStyle name="60% - 强调文字颜色 3 2 3 2 7" xfId="20502" xr:uid="{00000000-0005-0000-0000-000015500000}"/>
    <cellStyle name="60% - 强调文字颜色 3 2 3 3" xfId="20503" xr:uid="{00000000-0005-0000-0000-000016500000}"/>
    <cellStyle name="60% - 强调文字颜色 3 2 3 3 2" xfId="20504" xr:uid="{00000000-0005-0000-0000-000017500000}"/>
    <cellStyle name="60% - 强调文字颜色 3 2 3 3 2 2" xfId="20505" xr:uid="{00000000-0005-0000-0000-000018500000}"/>
    <cellStyle name="60% - 强调文字颜色 3 2 3 3 2 3" xfId="20506" xr:uid="{00000000-0005-0000-0000-000019500000}"/>
    <cellStyle name="60% - 强调文字颜色 3 2 3 3 2 3 2" xfId="20507" xr:uid="{00000000-0005-0000-0000-00001A500000}"/>
    <cellStyle name="60% - 强调文字颜色 3 2 3 3 2 3 2 2" xfId="20508" xr:uid="{00000000-0005-0000-0000-00001B500000}"/>
    <cellStyle name="60% - 强调文字颜色 3 2 3 3 2 4" xfId="20509" xr:uid="{00000000-0005-0000-0000-00001C500000}"/>
    <cellStyle name="60% - 强调文字颜色 3 2 3 3 2 4 2" xfId="20510" xr:uid="{00000000-0005-0000-0000-00001D500000}"/>
    <cellStyle name="60% - 强调文字颜色 3 2 3 3 3" xfId="20511" xr:uid="{00000000-0005-0000-0000-00001E500000}"/>
    <cellStyle name="60% - 强调文字颜色 3 2 3 3 3 2" xfId="20512" xr:uid="{00000000-0005-0000-0000-00001F500000}"/>
    <cellStyle name="60% - 强调文字颜色 3 2 3 3 3 2 2" xfId="20513" xr:uid="{00000000-0005-0000-0000-000020500000}"/>
    <cellStyle name="60% - 强调文字颜色 3 2 3 3 3 2 2 2" xfId="20514" xr:uid="{00000000-0005-0000-0000-000021500000}"/>
    <cellStyle name="60% - 强调文字颜色 3 2 3 3 3 3" xfId="20515" xr:uid="{00000000-0005-0000-0000-000022500000}"/>
    <cellStyle name="60% - 强调文字颜色 3 2 3 3 3 3 2" xfId="20516" xr:uid="{00000000-0005-0000-0000-000023500000}"/>
    <cellStyle name="60% - 强调文字颜色 3 2 3 3 4" xfId="20517" xr:uid="{00000000-0005-0000-0000-000024500000}"/>
    <cellStyle name="60% - 强调文字颜色 3 2 3 3 5" xfId="20518" xr:uid="{00000000-0005-0000-0000-000025500000}"/>
    <cellStyle name="60% - 强调文字颜色 3 2 3 3 6" xfId="20519" xr:uid="{00000000-0005-0000-0000-000026500000}"/>
    <cellStyle name="60% - 强调文字颜色 3 2 3 4" xfId="20520" xr:uid="{00000000-0005-0000-0000-000027500000}"/>
    <cellStyle name="60% - 强调文字颜色 3 2 3 4 2" xfId="20521" xr:uid="{00000000-0005-0000-0000-000028500000}"/>
    <cellStyle name="60% - 强调文字颜色 3 2 3 4 2 2" xfId="20522" xr:uid="{00000000-0005-0000-0000-000029500000}"/>
    <cellStyle name="60% - 强调文字颜色 3 2 3 4 2 3" xfId="20523" xr:uid="{00000000-0005-0000-0000-00002A500000}"/>
    <cellStyle name="60% - 强调文字颜色 3 2 3 4 2 3 2" xfId="20524" xr:uid="{00000000-0005-0000-0000-00002B500000}"/>
    <cellStyle name="60% - 强调文字颜色 3 2 3 4 2 3 2 2" xfId="20525" xr:uid="{00000000-0005-0000-0000-00002C500000}"/>
    <cellStyle name="60% - 强调文字颜色 3 2 3 4 2 4" xfId="20526" xr:uid="{00000000-0005-0000-0000-00002D500000}"/>
    <cellStyle name="60% - 强调文字颜色 3 2 3 4 2 4 2" xfId="20527" xr:uid="{00000000-0005-0000-0000-00002E500000}"/>
    <cellStyle name="60% - 强调文字颜色 3 2 3 4 3" xfId="20528" xr:uid="{00000000-0005-0000-0000-00002F500000}"/>
    <cellStyle name="60% - 强调文字颜色 3 2 3 4 4" xfId="20529" xr:uid="{00000000-0005-0000-0000-000030500000}"/>
    <cellStyle name="60% - 强调文字颜色 3 2 3 4 5" xfId="20530" xr:uid="{00000000-0005-0000-0000-000031500000}"/>
    <cellStyle name="60% - 强调文字颜色 3 2 3 4 6" xfId="20531" xr:uid="{00000000-0005-0000-0000-000032500000}"/>
    <cellStyle name="60% - 强调文字颜色 3 2 3 5" xfId="20532" xr:uid="{00000000-0005-0000-0000-000033500000}"/>
    <cellStyle name="60% - 强调文字颜色 3 2 3 5 2" xfId="20533" xr:uid="{00000000-0005-0000-0000-000034500000}"/>
    <cellStyle name="60% - 强调文字颜色 3 2 3 5 2 2" xfId="20534" xr:uid="{00000000-0005-0000-0000-000035500000}"/>
    <cellStyle name="60% - 强调文字颜色 3 2 3 5 2 2 2" xfId="20535" xr:uid="{00000000-0005-0000-0000-000036500000}"/>
    <cellStyle name="60% - 强调文字颜色 3 2 3 5 2 2 2 2" xfId="20536" xr:uid="{00000000-0005-0000-0000-000037500000}"/>
    <cellStyle name="60% - 强调文字颜色 3 2 3 5 2 3" xfId="20537" xr:uid="{00000000-0005-0000-0000-000038500000}"/>
    <cellStyle name="60% - 强调文字颜色 3 2 3 5 2 3 2" xfId="20538" xr:uid="{00000000-0005-0000-0000-000039500000}"/>
    <cellStyle name="60% - 强调文字颜色 3 2 3 5 3" xfId="20539" xr:uid="{00000000-0005-0000-0000-00003A500000}"/>
    <cellStyle name="60% - 强调文字颜色 3 2 3 5 3 2" xfId="20540" xr:uid="{00000000-0005-0000-0000-00003B500000}"/>
    <cellStyle name="60% - 强调文字颜色 3 2 3 5 3 2 2" xfId="20541" xr:uid="{00000000-0005-0000-0000-00003C500000}"/>
    <cellStyle name="60% - 强调文字颜色 3 2 3 5 4" xfId="20542" xr:uid="{00000000-0005-0000-0000-00003D500000}"/>
    <cellStyle name="60% - 强调文字颜色 3 2 3 5 4 2" xfId="20543" xr:uid="{00000000-0005-0000-0000-00003E500000}"/>
    <cellStyle name="60% - 强调文字颜色 3 2 3 6" xfId="20544" xr:uid="{00000000-0005-0000-0000-00003F500000}"/>
    <cellStyle name="60% - 强调文字颜色 3 2 3 6 2" xfId="20545" xr:uid="{00000000-0005-0000-0000-000040500000}"/>
    <cellStyle name="60% - 强调文字颜色 3 2 3 6 2 2" xfId="20546" xr:uid="{00000000-0005-0000-0000-000041500000}"/>
    <cellStyle name="60% - 强调文字颜色 3 2 3 6 2 2 2" xfId="20547" xr:uid="{00000000-0005-0000-0000-000042500000}"/>
    <cellStyle name="60% - 强调文字颜色 3 2 3 6 3" xfId="20548" xr:uid="{00000000-0005-0000-0000-000043500000}"/>
    <cellStyle name="60% - 强调文字颜色 3 2 3 6 3 2" xfId="20549" xr:uid="{00000000-0005-0000-0000-000044500000}"/>
    <cellStyle name="60% - 强调文字颜色 3 2 3 7" xfId="20550" xr:uid="{00000000-0005-0000-0000-000045500000}"/>
    <cellStyle name="60% - 强调文字颜色 3 2 3 7 2" xfId="20551" xr:uid="{00000000-0005-0000-0000-000046500000}"/>
    <cellStyle name="60% - 强调文字颜色 3 2 3 7 2 2" xfId="20552" xr:uid="{00000000-0005-0000-0000-000047500000}"/>
    <cellStyle name="60% - 强调文字颜色 3 2 3 7 2 2 2" xfId="20553" xr:uid="{00000000-0005-0000-0000-000048500000}"/>
    <cellStyle name="60% - 强调文字颜色 3 2 3 7 3" xfId="20554" xr:uid="{00000000-0005-0000-0000-000049500000}"/>
    <cellStyle name="60% - 强调文字颜色 3 2 3 7 3 2" xfId="20555" xr:uid="{00000000-0005-0000-0000-00004A500000}"/>
    <cellStyle name="60% - 强调文字颜色 3 2 3 8" xfId="20556" xr:uid="{00000000-0005-0000-0000-00004B500000}"/>
    <cellStyle name="60% - 强调文字颜色 3 2 3 9" xfId="20557" xr:uid="{00000000-0005-0000-0000-00004C500000}"/>
    <cellStyle name="60% - 强调文字颜色 3 2 4" xfId="20558" xr:uid="{00000000-0005-0000-0000-00004D500000}"/>
    <cellStyle name="60% - 强调文字颜色 3 2 4 2" xfId="20559" xr:uid="{00000000-0005-0000-0000-00004E500000}"/>
    <cellStyle name="60% - 强调文字颜色 3 2 4 2 2" xfId="20560" xr:uid="{00000000-0005-0000-0000-00004F500000}"/>
    <cellStyle name="60% - 强调文字颜色 3 2 4 2 3" xfId="20561" xr:uid="{00000000-0005-0000-0000-000050500000}"/>
    <cellStyle name="60% - 强调文字颜色 3 2 4 2 3 2" xfId="20562" xr:uid="{00000000-0005-0000-0000-000051500000}"/>
    <cellStyle name="60% - 强调文字颜色 3 2 4 2 3 2 2" xfId="20563" xr:uid="{00000000-0005-0000-0000-000052500000}"/>
    <cellStyle name="60% - 强调文字颜色 3 2 4 2 4" xfId="20564" xr:uid="{00000000-0005-0000-0000-000053500000}"/>
    <cellStyle name="60% - 强调文字颜色 3 2 4 2 4 2" xfId="20565" xr:uid="{00000000-0005-0000-0000-000054500000}"/>
    <cellStyle name="60% - 强调文字颜色 3 2 4 3" xfId="20566" xr:uid="{00000000-0005-0000-0000-000055500000}"/>
    <cellStyle name="60% - 强调文字颜色 3 2 4 3 2" xfId="20567" xr:uid="{00000000-0005-0000-0000-000056500000}"/>
    <cellStyle name="60% - 强调文字颜色 3 2 4 3 2 2" xfId="20568" xr:uid="{00000000-0005-0000-0000-000057500000}"/>
    <cellStyle name="60% - 强调文字颜色 3 2 4 3 2 2 2" xfId="20569" xr:uid="{00000000-0005-0000-0000-000058500000}"/>
    <cellStyle name="60% - 强调文字颜色 3 2 4 3 3" xfId="20570" xr:uid="{00000000-0005-0000-0000-000059500000}"/>
    <cellStyle name="60% - 强调文字颜色 3 2 4 3 3 2" xfId="20571" xr:uid="{00000000-0005-0000-0000-00005A500000}"/>
    <cellStyle name="60% - 强调文字颜色 3 2 4 4" xfId="20572" xr:uid="{00000000-0005-0000-0000-00005B500000}"/>
    <cellStyle name="60% - 强调文字颜色 3 2 4 5" xfId="20573" xr:uid="{00000000-0005-0000-0000-00005C500000}"/>
    <cellStyle name="60% - 强调文字颜色 3 2 4 6" xfId="20574" xr:uid="{00000000-0005-0000-0000-00005D500000}"/>
    <cellStyle name="60% - 强调文字颜色 3 2 5" xfId="20575" xr:uid="{00000000-0005-0000-0000-00005E500000}"/>
    <cellStyle name="60% - 强调文字颜色 3 2 5 2" xfId="20576" xr:uid="{00000000-0005-0000-0000-00005F500000}"/>
    <cellStyle name="60% - 强调文字颜色 3 2 5 2 2" xfId="20577" xr:uid="{00000000-0005-0000-0000-000060500000}"/>
    <cellStyle name="60% - 强调文字颜色 3 2 5 2 3" xfId="20578" xr:uid="{00000000-0005-0000-0000-000061500000}"/>
    <cellStyle name="60% - 强调文字颜色 3 2 5 2 3 2" xfId="20579" xr:uid="{00000000-0005-0000-0000-000062500000}"/>
    <cellStyle name="60% - 强调文字颜色 3 2 5 2 3 2 2" xfId="20580" xr:uid="{00000000-0005-0000-0000-000063500000}"/>
    <cellStyle name="60% - 强调文字颜色 3 2 5 2 4" xfId="20581" xr:uid="{00000000-0005-0000-0000-000064500000}"/>
    <cellStyle name="60% - 强调文字颜色 3 2 5 2 4 2" xfId="20582" xr:uid="{00000000-0005-0000-0000-000065500000}"/>
    <cellStyle name="60% - 强调文字颜色 3 2 5 3" xfId="20583" xr:uid="{00000000-0005-0000-0000-000066500000}"/>
    <cellStyle name="60% - 强调文字颜色 3 2 5 4" xfId="20584" xr:uid="{00000000-0005-0000-0000-000067500000}"/>
    <cellStyle name="60% - 强调文字颜色 3 2 5 5" xfId="20585" xr:uid="{00000000-0005-0000-0000-000068500000}"/>
    <cellStyle name="60% - 强调文字颜色 3 2 5 6" xfId="20586" xr:uid="{00000000-0005-0000-0000-000069500000}"/>
    <cellStyle name="60% - 强调文字颜色 3 2 6" xfId="20587" xr:uid="{00000000-0005-0000-0000-00006A500000}"/>
    <cellStyle name="60% - 强调文字颜色 3 2 6 2" xfId="20588" xr:uid="{00000000-0005-0000-0000-00006B500000}"/>
    <cellStyle name="60% - 强调文字颜色 3 2 6 2 2" xfId="20589" xr:uid="{00000000-0005-0000-0000-00006C500000}"/>
    <cellStyle name="60% - 强调文字颜色 3 2 6 2 2 2" xfId="20590" xr:uid="{00000000-0005-0000-0000-00006D500000}"/>
    <cellStyle name="60% - 强调文字颜色 3 2 6 2 2 2 2" xfId="20591" xr:uid="{00000000-0005-0000-0000-00006E500000}"/>
    <cellStyle name="60% - 强调文字颜色 3 2 6 2 3" xfId="20592" xr:uid="{00000000-0005-0000-0000-00006F500000}"/>
    <cellStyle name="60% - 强调文字颜色 3 2 6 2 3 2" xfId="20593" xr:uid="{00000000-0005-0000-0000-000070500000}"/>
    <cellStyle name="60% - 强调文字颜色 3 2 6 3" xfId="20594" xr:uid="{00000000-0005-0000-0000-000071500000}"/>
    <cellStyle name="60% - 强调文字颜色 3 2 6 3 2" xfId="20595" xr:uid="{00000000-0005-0000-0000-000072500000}"/>
    <cellStyle name="60% - 强调文字颜色 3 2 6 3 2 2" xfId="20596" xr:uid="{00000000-0005-0000-0000-000073500000}"/>
    <cellStyle name="60% - 强调文字颜色 3 2 6 4" xfId="20597" xr:uid="{00000000-0005-0000-0000-000074500000}"/>
    <cellStyle name="60% - 强调文字颜色 3 2 6 4 2" xfId="20598" xr:uid="{00000000-0005-0000-0000-000075500000}"/>
    <cellStyle name="60% - 强调文字颜色 3 2 7" xfId="20599" xr:uid="{00000000-0005-0000-0000-000076500000}"/>
    <cellStyle name="60% - 强调文字颜色 3 2 7 2" xfId="20600" xr:uid="{00000000-0005-0000-0000-000077500000}"/>
    <cellStyle name="60% - 强调文字颜色 3 2 7 2 2" xfId="20601" xr:uid="{00000000-0005-0000-0000-000078500000}"/>
    <cellStyle name="60% - 强调文字颜色 3 2 7 2 2 2" xfId="20602" xr:uid="{00000000-0005-0000-0000-000079500000}"/>
    <cellStyle name="60% - 强调文字颜色 3 2 7 2 2 2 2" xfId="20603" xr:uid="{00000000-0005-0000-0000-00007A500000}"/>
    <cellStyle name="60% - 强调文字颜色 3 2 7 2 3" xfId="20604" xr:uid="{00000000-0005-0000-0000-00007B500000}"/>
    <cellStyle name="60% - 强调文字颜色 3 2 7 2 3 2" xfId="20605" xr:uid="{00000000-0005-0000-0000-00007C500000}"/>
    <cellStyle name="60% - 强调文字颜色 3 2 7 3" xfId="20606" xr:uid="{00000000-0005-0000-0000-00007D500000}"/>
    <cellStyle name="60% - 强调文字颜色 3 2 7 3 2" xfId="20607" xr:uid="{00000000-0005-0000-0000-00007E500000}"/>
    <cellStyle name="60% - 强调文字颜色 3 2 7 3 2 2" xfId="20608" xr:uid="{00000000-0005-0000-0000-00007F500000}"/>
    <cellStyle name="60% - 强调文字颜色 3 2 7 4" xfId="20609" xr:uid="{00000000-0005-0000-0000-000080500000}"/>
    <cellStyle name="60% - 强调文字颜色 3 2 7 4 2" xfId="20610" xr:uid="{00000000-0005-0000-0000-000081500000}"/>
    <cellStyle name="60% - 强调文字颜色 3 2 8" xfId="20611" xr:uid="{00000000-0005-0000-0000-000082500000}"/>
    <cellStyle name="60% - 强调文字颜色 3 2 8 2" xfId="20612" xr:uid="{00000000-0005-0000-0000-000083500000}"/>
    <cellStyle name="60% - 强调文字颜色 3 2 8 2 2" xfId="20613" xr:uid="{00000000-0005-0000-0000-000084500000}"/>
    <cellStyle name="60% - 强调文字颜色 3 2 8 2 2 2" xfId="20614" xr:uid="{00000000-0005-0000-0000-000085500000}"/>
    <cellStyle name="60% - 强调文字颜色 3 2 8 2 2 2 2" xfId="20615" xr:uid="{00000000-0005-0000-0000-000086500000}"/>
    <cellStyle name="60% - 强调文字颜色 3 2 8 2 3" xfId="20616" xr:uid="{00000000-0005-0000-0000-000087500000}"/>
    <cellStyle name="60% - 强调文字颜色 3 2 8 2 3 2" xfId="20617" xr:uid="{00000000-0005-0000-0000-000088500000}"/>
    <cellStyle name="60% - 强调文字颜色 3 2 8 3" xfId="20618" xr:uid="{00000000-0005-0000-0000-000089500000}"/>
    <cellStyle name="60% - 强调文字颜色 3 2 8 3 2" xfId="20619" xr:uid="{00000000-0005-0000-0000-00008A500000}"/>
    <cellStyle name="60% - 强调文字颜色 3 2 8 3 2 2" xfId="20620" xr:uid="{00000000-0005-0000-0000-00008B500000}"/>
    <cellStyle name="60% - 强调文字颜色 3 2 8 4" xfId="20621" xr:uid="{00000000-0005-0000-0000-00008C500000}"/>
    <cellStyle name="60% - 强调文字颜色 3 2 8 4 2" xfId="20622" xr:uid="{00000000-0005-0000-0000-00008D500000}"/>
    <cellStyle name="60% - 强调文字颜色 3 2 9" xfId="20623" xr:uid="{00000000-0005-0000-0000-00008E500000}"/>
    <cellStyle name="60% - 强调文字颜色 3 2 9 2" xfId="20624" xr:uid="{00000000-0005-0000-0000-00008F500000}"/>
    <cellStyle name="60% - 强调文字颜色 3 2 9 2 2" xfId="20625" xr:uid="{00000000-0005-0000-0000-000090500000}"/>
    <cellStyle name="60% - 强调文字颜色 3 2 9 2 2 2" xfId="20626" xr:uid="{00000000-0005-0000-0000-000091500000}"/>
    <cellStyle name="60% - 强调文字颜色 3 2 9 3" xfId="20627" xr:uid="{00000000-0005-0000-0000-000092500000}"/>
    <cellStyle name="60% - 强调文字颜色 3 2 9 3 2" xfId="20628" xr:uid="{00000000-0005-0000-0000-000093500000}"/>
    <cellStyle name="60% - 强调文字颜色 3 3" xfId="20629" xr:uid="{00000000-0005-0000-0000-000094500000}"/>
    <cellStyle name="60% - 强调文字颜色 3 3 2" xfId="20630" xr:uid="{00000000-0005-0000-0000-000095500000}"/>
    <cellStyle name="60% - 强调文字颜色 3 3 2 2" xfId="20631" xr:uid="{00000000-0005-0000-0000-000096500000}"/>
    <cellStyle name="60% - 强调文字颜色 3 3 2 2 2" xfId="20632" xr:uid="{00000000-0005-0000-0000-000097500000}"/>
    <cellStyle name="60% - 强调文字颜色 3 3 2 2 2 2" xfId="20633" xr:uid="{00000000-0005-0000-0000-000098500000}"/>
    <cellStyle name="60% - 强调文字颜色 3 3 2 2 2 3" xfId="20634" xr:uid="{00000000-0005-0000-0000-000099500000}"/>
    <cellStyle name="60% - 强调文字颜色 3 3 2 2 2 3 2" xfId="20635" xr:uid="{00000000-0005-0000-0000-00009A500000}"/>
    <cellStyle name="60% - 强调文字颜色 3 3 2 2 2 3 2 2" xfId="20636" xr:uid="{00000000-0005-0000-0000-00009B500000}"/>
    <cellStyle name="60% - 强调文字颜色 3 3 2 2 2 4" xfId="20637" xr:uid="{00000000-0005-0000-0000-00009C500000}"/>
    <cellStyle name="60% - 强调文字颜色 3 3 2 2 2 4 2" xfId="20638" xr:uid="{00000000-0005-0000-0000-00009D500000}"/>
    <cellStyle name="60% - 强调文字颜色 3 3 2 2 3" xfId="20639" xr:uid="{00000000-0005-0000-0000-00009E500000}"/>
    <cellStyle name="60% - 强调文字颜色 3 3 2 2 3 2" xfId="20640" xr:uid="{00000000-0005-0000-0000-00009F500000}"/>
    <cellStyle name="60% - 强调文字颜色 3 3 2 2 3 2 2" xfId="20641" xr:uid="{00000000-0005-0000-0000-0000A0500000}"/>
    <cellStyle name="60% - 强调文字颜色 3 3 2 2 3 2 2 2" xfId="20642" xr:uid="{00000000-0005-0000-0000-0000A1500000}"/>
    <cellStyle name="60% - 强调文字颜色 3 3 2 2 3 3" xfId="20643" xr:uid="{00000000-0005-0000-0000-0000A2500000}"/>
    <cellStyle name="60% - 强调文字颜色 3 3 2 2 3 3 2" xfId="20644" xr:uid="{00000000-0005-0000-0000-0000A3500000}"/>
    <cellStyle name="60% - 强调文字颜色 3 3 2 2 4" xfId="20645" xr:uid="{00000000-0005-0000-0000-0000A4500000}"/>
    <cellStyle name="60% - 强调文字颜色 3 3 2 2 5" xfId="20646" xr:uid="{00000000-0005-0000-0000-0000A5500000}"/>
    <cellStyle name="60% - 强调文字颜色 3 3 2 2 6" xfId="20647" xr:uid="{00000000-0005-0000-0000-0000A6500000}"/>
    <cellStyle name="60% - 强调文字颜色 3 3 2 3" xfId="20648" xr:uid="{00000000-0005-0000-0000-0000A7500000}"/>
    <cellStyle name="60% - 强调文字颜色 3 3 2 3 2" xfId="20649" xr:uid="{00000000-0005-0000-0000-0000A8500000}"/>
    <cellStyle name="60% - 强调文字颜色 3 3 2 3 3" xfId="20650" xr:uid="{00000000-0005-0000-0000-0000A9500000}"/>
    <cellStyle name="60% - 强调文字颜色 3 3 2 3 3 2" xfId="20651" xr:uid="{00000000-0005-0000-0000-0000AA500000}"/>
    <cellStyle name="60% - 强调文字颜色 3 3 2 3 3 2 2" xfId="20652" xr:uid="{00000000-0005-0000-0000-0000AB500000}"/>
    <cellStyle name="60% - 强调文字颜色 3 3 2 3 4" xfId="20653" xr:uid="{00000000-0005-0000-0000-0000AC500000}"/>
    <cellStyle name="60% - 强调文字颜色 3 3 2 3 4 2" xfId="20654" xr:uid="{00000000-0005-0000-0000-0000AD500000}"/>
    <cellStyle name="60% - 强调文字颜色 3 3 2 4" xfId="20655" xr:uid="{00000000-0005-0000-0000-0000AE500000}"/>
    <cellStyle name="60% - 强调文字颜色 3 3 2 4 2" xfId="20656" xr:uid="{00000000-0005-0000-0000-0000AF500000}"/>
    <cellStyle name="60% - 强调文字颜色 3 3 2 4 2 2" xfId="20657" xr:uid="{00000000-0005-0000-0000-0000B0500000}"/>
    <cellStyle name="60% - 强调文字颜色 3 3 2 4 2 2 2" xfId="20658" xr:uid="{00000000-0005-0000-0000-0000B1500000}"/>
    <cellStyle name="60% - 强调文字颜色 3 3 2 4 3" xfId="20659" xr:uid="{00000000-0005-0000-0000-0000B2500000}"/>
    <cellStyle name="60% - 强调文字颜色 3 3 2 4 3 2" xfId="20660" xr:uid="{00000000-0005-0000-0000-0000B3500000}"/>
    <cellStyle name="60% - 强调文字颜色 3 3 2 5" xfId="20661" xr:uid="{00000000-0005-0000-0000-0000B4500000}"/>
    <cellStyle name="60% - 强调文字颜色 3 3 2 6" xfId="20662" xr:uid="{00000000-0005-0000-0000-0000B5500000}"/>
    <cellStyle name="60% - 强调文字颜色 3 3 2 7" xfId="20663" xr:uid="{00000000-0005-0000-0000-0000B6500000}"/>
    <cellStyle name="60% - 强调文字颜色 3 3 3" xfId="20664" xr:uid="{00000000-0005-0000-0000-0000B7500000}"/>
    <cellStyle name="60% - 强调文字颜色 3 3 3 2" xfId="20665" xr:uid="{00000000-0005-0000-0000-0000B8500000}"/>
    <cellStyle name="60% - 强调文字颜色 3 3 3 2 2" xfId="20666" xr:uid="{00000000-0005-0000-0000-0000B9500000}"/>
    <cellStyle name="60% - 强调文字颜色 3 3 3 2 3" xfId="20667" xr:uid="{00000000-0005-0000-0000-0000BA500000}"/>
    <cellStyle name="60% - 强调文字颜色 3 3 3 2 3 2" xfId="20668" xr:uid="{00000000-0005-0000-0000-0000BB500000}"/>
    <cellStyle name="60% - 强调文字颜色 3 3 3 2 3 2 2" xfId="20669" xr:uid="{00000000-0005-0000-0000-0000BC500000}"/>
    <cellStyle name="60% - 强调文字颜色 3 3 3 2 4" xfId="20670" xr:uid="{00000000-0005-0000-0000-0000BD500000}"/>
    <cellStyle name="60% - 强调文字颜色 3 3 3 2 4 2" xfId="20671" xr:uid="{00000000-0005-0000-0000-0000BE500000}"/>
    <cellStyle name="60% - 强调文字颜色 3 3 3 3" xfId="20672" xr:uid="{00000000-0005-0000-0000-0000BF500000}"/>
    <cellStyle name="60% - 强调文字颜色 3 3 3 3 2" xfId="20673" xr:uid="{00000000-0005-0000-0000-0000C0500000}"/>
    <cellStyle name="60% - 强调文字颜色 3 3 3 3 2 2" xfId="20674" xr:uid="{00000000-0005-0000-0000-0000C1500000}"/>
    <cellStyle name="60% - 强调文字颜色 3 3 3 3 2 2 2" xfId="20675" xr:uid="{00000000-0005-0000-0000-0000C2500000}"/>
    <cellStyle name="60% - 强调文字颜色 3 3 3 3 3" xfId="20676" xr:uid="{00000000-0005-0000-0000-0000C3500000}"/>
    <cellStyle name="60% - 强调文字颜色 3 3 3 3 3 2" xfId="20677" xr:uid="{00000000-0005-0000-0000-0000C4500000}"/>
    <cellStyle name="60% - 强调文字颜色 3 3 3 4" xfId="20678" xr:uid="{00000000-0005-0000-0000-0000C5500000}"/>
    <cellStyle name="60% - 强调文字颜色 3 3 3 5" xfId="20679" xr:uid="{00000000-0005-0000-0000-0000C6500000}"/>
    <cellStyle name="60% - 强调文字颜色 3 3 3 6" xfId="20680" xr:uid="{00000000-0005-0000-0000-0000C7500000}"/>
    <cellStyle name="60% - 强调文字颜色 3 3 4" xfId="20681" xr:uid="{00000000-0005-0000-0000-0000C8500000}"/>
    <cellStyle name="60% - 强调文字颜色 3 3 4 2" xfId="20682" xr:uid="{00000000-0005-0000-0000-0000C9500000}"/>
    <cellStyle name="60% - 强调文字颜色 3 3 4 2 2" xfId="20683" xr:uid="{00000000-0005-0000-0000-0000CA500000}"/>
    <cellStyle name="60% - 强调文字颜色 3 3 4 2 3" xfId="20684" xr:uid="{00000000-0005-0000-0000-0000CB500000}"/>
    <cellStyle name="60% - 强调文字颜色 3 3 4 2 3 2" xfId="20685" xr:uid="{00000000-0005-0000-0000-0000CC500000}"/>
    <cellStyle name="60% - 强调文字颜色 3 3 4 2 3 2 2" xfId="20686" xr:uid="{00000000-0005-0000-0000-0000CD500000}"/>
    <cellStyle name="60% - 强调文字颜色 3 3 4 2 4" xfId="20687" xr:uid="{00000000-0005-0000-0000-0000CE500000}"/>
    <cellStyle name="60% - 强调文字颜色 3 3 4 2 4 2" xfId="20688" xr:uid="{00000000-0005-0000-0000-0000CF500000}"/>
    <cellStyle name="60% - 强调文字颜色 3 3 4 3" xfId="20689" xr:uid="{00000000-0005-0000-0000-0000D0500000}"/>
    <cellStyle name="60% - 强调文字颜色 3 3 4 4" xfId="20690" xr:uid="{00000000-0005-0000-0000-0000D1500000}"/>
    <cellStyle name="60% - 强调文字颜色 3 3 4 5" xfId="20691" xr:uid="{00000000-0005-0000-0000-0000D2500000}"/>
    <cellStyle name="60% - 强调文字颜色 3 3 4 6" xfId="20692" xr:uid="{00000000-0005-0000-0000-0000D3500000}"/>
    <cellStyle name="60% - 强调文字颜色 3 3 5" xfId="20693" xr:uid="{00000000-0005-0000-0000-0000D4500000}"/>
    <cellStyle name="60% - 强调文字颜色 3 3 5 2" xfId="20694" xr:uid="{00000000-0005-0000-0000-0000D5500000}"/>
    <cellStyle name="60% - 强调文字颜色 3 3 5 2 2" xfId="20695" xr:uid="{00000000-0005-0000-0000-0000D6500000}"/>
    <cellStyle name="60% - 强调文字颜色 3 3 5 2 2 2" xfId="20696" xr:uid="{00000000-0005-0000-0000-0000D7500000}"/>
    <cellStyle name="60% - 强调文字颜色 3 3 5 2 2 2 2" xfId="20697" xr:uid="{00000000-0005-0000-0000-0000D8500000}"/>
    <cellStyle name="60% - 强调文字颜色 3 3 5 2 3" xfId="20698" xr:uid="{00000000-0005-0000-0000-0000D9500000}"/>
    <cellStyle name="60% - 强调文字颜色 3 3 5 2 3 2" xfId="20699" xr:uid="{00000000-0005-0000-0000-0000DA500000}"/>
    <cellStyle name="60% - 强调文字颜色 3 3 5 3" xfId="20700" xr:uid="{00000000-0005-0000-0000-0000DB500000}"/>
    <cellStyle name="60% - 强调文字颜色 3 3 5 3 2" xfId="20701" xr:uid="{00000000-0005-0000-0000-0000DC500000}"/>
    <cellStyle name="60% - 强调文字颜色 3 3 5 3 2 2" xfId="20702" xr:uid="{00000000-0005-0000-0000-0000DD500000}"/>
    <cellStyle name="60% - 强调文字颜色 3 3 5 4" xfId="20703" xr:uid="{00000000-0005-0000-0000-0000DE500000}"/>
    <cellStyle name="60% - 强调文字颜色 3 3 5 4 2" xfId="20704" xr:uid="{00000000-0005-0000-0000-0000DF500000}"/>
    <cellStyle name="60% - 强调文字颜色 3 3 6" xfId="20705" xr:uid="{00000000-0005-0000-0000-0000E0500000}"/>
    <cellStyle name="60% - 强调文字颜色 3 3 6 2" xfId="20706" xr:uid="{00000000-0005-0000-0000-0000E1500000}"/>
    <cellStyle name="60% - 强调文字颜色 3 3 6 2 2" xfId="20707" xr:uid="{00000000-0005-0000-0000-0000E2500000}"/>
    <cellStyle name="60% - 强调文字颜色 3 3 6 2 2 2" xfId="20708" xr:uid="{00000000-0005-0000-0000-0000E3500000}"/>
    <cellStyle name="60% - 强调文字颜色 3 3 6 3" xfId="20709" xr:uid="{00000000-0005-0000-0000-0000E4500000}"/>
    <cellStyle name="60% - 强调文字颜色 3 3 6 3 2" xfId="20710" xr:uid="{00000000-0005-0000-0000-0000E5500000}"/>
    <cellStyle name="60% - 强调文字颜色 3 3 7" xfId="20711" xr:uid="{00000000-0005-0000-0000-0000E6500000}"/>
    <cellStyle name="60% - 强调文字颜色 3 3 8" xfId="20712" xr:uid="{00000000-0005-0000-0000-0000E7500000}"/>
    <cellStyle name="60% - 强调文字颜色 4 2" xfId="20713" xr:uid="{00000000-0005-0000-0000-0000E8500000}"/>
    <cellStyle name="60% - 强调文字颜色 4 2 10" xfId="20714" xr:uid="{00000000-0005-0000-0000-0000E9500000}"/>
    <cellStyle name="60% - 强调文字颜色 4 2 11" xfId="20715" xr:uid="{00000000-0005-0000-0000-0000EA500000}"/>
    <cellStyle name="60% - 强调文字颜色 4 2 2" xfId="20716" xr:uid="{00000000-0005-0000-0000-0000EB500000}"/>
    <cellStyle name="60% - 强调文字颜色 4 2 2 10" xfId="20717" xr:uid="{00000000-0005-0000-0000-0000EC500000}"/>
    <cellStyle name="60% - 强调文字颜色 4 2 2 11" xfId="20718" xr:uid="{00000000-0005-0000-0000-0000ED500000}"/>
    <cellStyle name="60% - 强调文字颜色 4 2 2 2" xfId="20719" xr:uid="{00000000-0005-0000-0000-0000EE500000}"/>
    <cellStyle name="60% - 强调文字颜色 4 2 2 2 2" xfId="20720" xr:uid="{00000000-0005-0000-0000-0000EF500000}"/>
    <cellStyle name="60% - 强调文字颜色 4 2 2 2 2 2" xfId="20721" xr:uid="{00000000-0005-0000-0000-0000F0500000}"/>
    <cellStyle name="60% - 强调文字颜色 4 2 2 2 2 2 2" xfId="20722" xr:uid="{00000000-0005-0000-0000-0000F1500000}"/>
    <cellStyle name="60% - 强调文字颜色 4 2 2 2 2 2 3" xfId="20723" xr:uid="{00000000-0005-0000-0000-0000F2500000}"/>
    <cellStyle name="60% - 强调文字颜色 4 2 2 2 2 2 3 2" xfId="20724" xr:uid="{00000000-0005-0000-0000-0000F3500000}"/>
    <cellStyle name="60% - 强调文字颜色 4 2 2 2 2 2 3 2 2" xfId="20725" xr:uid="{00000000-0005-0000-0000-0000F4500000}"/>
    <cellStyle name="60% - 强调文字颜色 4 2 2 2 2 2 4" xfId="20726" xr:uid="{00000000-0005-0000-0000-0000F5500000}"/>
    <cellStyle name="60% - 强调文字颜色 4 2 2 2 2 2 4 2" xfId="20727" xr:uid="{00000000-0005-0000-0000-0000F6500000}"/>
    <cellStyle name="60% - 强调文字颜色 4 2 2 2 2 3" xfId="20728" xr:uid="{00000000-0005-0000-0000-0000F7500000}"/>
    <cellStyle name="60% - 强调文字颜色 4 2 2 2 2 3 2" xfId="20729" xr:uid="{00000000-0005-0000-0000-0000F8500000}"/>
    <cellStyle name="60% - 强调文字颜色 4 2 2 2 2 3 2 2" xfId="20730" xr:uid="{00000000-0005-0000-0000-0000F9500000}"/>
    <cellStyle name="60% - 强调文字颜色 4 2 2 2 2 3 2 2 2" xfId="20731" xr:uid="{00000000-0005-0000-0000-0000FA500000}"/>
    <cellStyle name="60% - 强调文字颜色 4 2 2 2 2 3 3" xfId="20732" xr:uid="{00000000-0005-0000-0000-0000FB500000}"/>
    <cellStyle name="60% - 强调文字颜色 4 2 2 2 2 3 3 2" xfId="20733" xr:uid="{00000000-0005-0000-0000-0000FC500000}"/>
    <cellStyle name="60% - 强调文字颜色 4 2 2 2 2 4" xfId="20734" xr:uid="{00000000-0005-0000-0000-0000FD500000}"/>
    <cellStyle name="60% - 强调文字颜色 4 2 2 2 2 5" xfId="20735" xr:uid="{00000000-0005-0000-0000-0000FE500000}"/>
    <cellStyle name="60% - 强调文字颜色 4 2 2 2 2 6" xfId="20736" xr:uid="{00000000-0005-0000-0000-0000FF500000}"/>
    <cellStyle name="60% - 强调文字颜色 4 2 2 2 3" xfId="20737" xr:uid="{00000000-0005-0000-0000-000000510000}"/>
    <cellStyle name="60% - 强调文字颜色 4 2 2 2 3 2" xfId="20738" xr:uid="{00000000-0005-0000-0000-000001510000}"/>
    <cellStyle name="60% - 强调文字颜色 4 2 2 2 3 3" xfId="20739" xr:uid="{00000000-0005-0000-0000-000002510000}"/>
    <cellStyle name="60% - 强调文字颜色 4 2 2 2 3 3 2" xfId="20740" xr:uid="{00000000-0005-0000-0000-000003510000}"/>
    <cellStyle name="60% - 强调文字颜色 4 2 2 2 3 3 2 2" xfId="20741" xr:uid="{00000000-0005-0000-0000-000004510000}"/>
    <cellStyle name="60% - 强调文字颜色 4 2 2 2 3 4" xfId="20742" xr:uid="{00000000-0005-0000-0000-000005510000}"/>
    <cellStyle name="60% - 强调文字颜色 4 2 2 2 3 4 2" xfId="20743" xr:uid="{00000000-0005-0000-0000-000006510000}"/>
    <cellStyle name="60% - 强调文字颜色 4 2 2 2 4" xfId="20744" xr:uid="{00000000-0005-0000-0000-000007510000}"/>
    <cellStyle name="60% - 强调文字颜色 4 2 2 2 4 2" xfId="20745" xr:uid="{00000000-0005-0000-0000-000008510000}"/>
    <cellStyle name="60% - 强调文字颜色 4 2 2 2 4 2 2" xfId="20746" xr:uid="{00000000-0005-0000-0000-000009510000}"/>
    <cellStyle name="60% - 强调文字颜色 4 2 2 2 4 2 2 2" xfId="20747" xr:uid="{00000000-0005-0000-0000-00000A510000}"/>
    <cellStyle name="60% - 强调文字颜色 4 2 2 2 4 3" xfId="20748" xr:uid="{00000000-0005-0000-0000-00000B510000}"/>
    <cellStyle name="60% - 强调文字颜色 4 2 2 2 4 3 2" xfId="20749" xr:uid="{00000000-0005-0000-0000-00000C510000}"/>
    <cellStyle name="60% - 强调文字颜色 4 2 2 2 5" xfId="20750" xr:uid="{00000000-0005-0000-0000-00000D510000}"/>
    <cellStyle name="60% - 强调文字颜色 4 2 2 2 6" xfId="20751" xr:uid="{00000000-0005-0000-0000-00000E510000}"/>
    <cellStyle name="60% - 强调文字颜色 4 2 2 2 7" xfId="20752" xr:uid="{00000000-0005-0000-0000-00000F510000}"/>
    <cellStyle name="60% - 强调文字颜色 4 2 2 3" xfId="20753" xr:uid="{00000000-0005-0000-0000-000010510000}"/>
    <cellStyle name="60% - 强调文字颜色 4 2 2 3 2" xfId="20754" xr:uid="{00000000-0005-0000-0000-000011510000}"/>
    <cellStyle name="60% - 强调文字颜色 4 2 2 3 2 2" xfId="20755" xr:uid="{00000000-0005-0000-0000-000012510000}"/>
    <cellStyle name="60% - 强调文字颜色 4 2 2 3 2 3" xfId="20756" xr:uid="{00000000-0005-0000-0000-000013510000}"/>
    <cellStyle name="60% - 强调文字颜色 4 2 2 3 2 3 2" xfId="20757" xr:uid="{00000000-0005-0000-0000-000014510000}"/>
    <cellStyle name="60% - 强调文字颜色 4 2 2 3 2 3 2 2" xfId="20758" xr:uid="{00000000-0005-0000-0000-000015510000}"/>
    <cellStyle name="60% - 强调文字颜色 4 2 2 3 2 4" xfId="20759" xr:uid="{00000000-0005-0000-0000-000016510000}"/>
    <cellStyle name="60% - 强调文字颜色 4 2 2 3 2 4 2" xfId="20760" xr:uid="{00000000-0005-0000-0000-000017510000}"/>
    <cellStyle name="60% - 强调文字颜色 4 2 2 3 3" xfId="20761" xr:uid="{00000000-0005-0000-0000-000018510000}"/>
    <cellStyle name="60% - 强调文字颜色 4 2 2 3 3 2" xfId="20762" xr:uid="{00000000-0005-0000-0000-000019510000}"/>
    <cellStyle name="60% - 强调文字颜色 4 2 2 3 3 2 2" xfId="20763" xr:uid="{00000000-0005-0000-0000-00001A510000}"/>
    <cellStyle name="60% - 强调文字颜色 4 2 2 3 3 2 2 2" xfId="20764" xr:uid="{00000000-0005-0000-0000-00001B510000}"/>
    <cellStyle name="60% - 强调文字颜色 4 2 2 3 3 3" xfId="20765" xr:uid="{00000000-0005-0000-0000-00001C510000}"/>
    <cellStyle name="60% - 强调文字颜色 4 2 2 3 3 3 2" xfId="20766" xr:uid="{00000000-0005-0000-0000-00001D510000}"/>
    <cellStyle name="60% - 强调文字颜色 4 2 2 3 4" xfId="20767" xr:uid="{00000000-0005-0000-0000-00001E510000}"/>
    <cellStyle name="60% - 强调文字颜色 4 2 2 3 5" xfId="20768" xr:uid="{00000000-0005-0000-0000-00001F510000}"/>
    <cellStyle name="60% - 强调文字颜色 4 2 2 3 6" xfId="20769" xr:uid="{00000000-0005-0000-0000-000020510000}"/>
    <cellStyle name="60% - 强调文字颜色 4 2 2 4" xfId="20770" xr:uid="{00000000-0005-0000-0000-000021510000}"/>
    <cellStyle name="60% - 强调文字颜色 4 2 2 4 2" xfId="20771" xr:uid="{00000000-0005-0000-0000-000022510000}"/>
    <cellStyle name="60% - 强调文字颜色 4 2 2 4 2 2" xfId="20772" xr:uid="{00000000-0005-0000-0000-000023510000}"/>
    <cellStyle name="60% - 强调文字颜色 4 2 2 4 2 3" xfId="20773" xr:uid="{00000000-0005-0000-0000-000024510000}"/>
    <cellStyle name="60% - 强调文字颜色 4 2 2 4 2 3 2" xfId="20774" xr:uid="{00000000-0005-0000-0000-000025510000}"/>
    <cellStyle name="60% - 强调文字颜色 4 2 2 4 2 3 2 2" xfId="20775" xr:uid="{00000000-0005-0000-0000-000026510000}"/>
    <cellStyle name="60% - 强调文字颜色 4 2 2 4 2 4" xfId="20776" xr:uid="{00000000-0005-0000-0000-000027510000}"/>
    <cellStyle name="60% - 强调文字颜色 4 2 2 4 2 4 2" xfId="20777" xr:uid="{00000000-0005-0000-0000-000028510000}"/>
    <cellStyle name="60% - 强调文字颜色 4 2 2 4 3" xfId="20778" xr:uid="{00000000-0005-0000-0000-000029510000}"/>
    <cellStyle name="60% - 强调文字颜色 4 2 2 4 4" xfId="20779" xr:uid="{00000000-0005-0000-0000-00002A510000}"/>
    <cellStyle name="60% - 强调文字颜色 4 2 2 4 5" xfId="20780" xr:uid="{00000000-0005-0000-0000-00002B510000}"/>
    <cellStyle name="60% - 强调文字颜色 4 2 2 4 6" xfId="20781" xr:uid="{00000000-0005-0000-0000-00002C510000}"/>
    <cellStyle name="60% - 强调文字颜色 4 2 2 5" xfId="20782" xr:uid="{00000000-0005-0000-0000-00002D510000}"/>
    <cellStyle name="60% - 强调文字颜色 4 2 2 5 2" xfId="20783" xr:uid="{00000000-0005-0000-0000-00002E510000}"/>
    <cellStyle name="60% - 强调文字颜色 4 2 2 5 2 2" xfId="20784" xr:uid="{00000000-0005-0000-0000-00002F510000}"/>
    <cellStyle name="60% - 强调文字颜色 4 2 2 5 2 2 2" xfId="20785" xr:uid="{00000000-0005-0000-0000-000030510000}"/>
    <cellStyle name="60% - 强调文字颜色 4 2 2 5 2 2 2 2" xfId="20786" xr:uid="{00000000-0005-0000-0000-000031510000}"/>
    <cellStyle name="60% - 强调文字颜色 4 2 2 5 2 3" xfId="20787" xr:uid="{00000000-0005-0000-0000-000032510000}"/>
    <cellStyle name="60% - 强调文字颜色 4 2 2 5 2 3 2" xfId="20788" xr:uid="{00000000-0005-0000-0000-000033510000}"/>
    <cellStyle name="60% - 强调文字颜色 4 2 2 5 3" xfId="20789" xr:uid="{00000000-0005-0000-0000-000034510000}"/>
    <cellStyle name="60% - 强调文字颜色 4 2 2 5 3 2" xfId="20790" xr:uid="{00000000-0005-0000-0000-000035510000}"/>
    <cellStyle name="60% - 强调文字颜色 4 2 2 5 3 2 2" xfId="20791" xr:uid="{00000000-0005-0000-0000-000036510000}"/>
    <cellStyle name="60% - 强调文字颜色 4 2 2 5 4" xfId="20792" xr:uid="{00000000-0005-0000-0000-000037510000}"/>
    <cellStyle name="60% - 强调文字颜色 4 2 2 5 4 2" xfId="20793" xr:uid="{00000000-0005-0000-0000-000038510000}"/>
    <cellStyle name="60% - 强调文字颜色 4 2 2 6" xfId="20794" xr:uid="{00000000-0005-0000-0000-000039510000}"/>
    <cellStyle name="60% - 强调文字颜色 4 2 2 6 2" xfId="20795" xr:uid="{00000000-0005-0000-0000-00003A510000}"/>
    <cellStyle name="60% - 强调文字颜色 4 2 2 6 2 2" xfId="20796" xr:uid="{00000000-0005-0000-0000-00003B510000}"/>
    <cellStyle name="60% - 强调文字颜色 4 2 2 6 2 2 2" xfId="20797" xr:uid="{00000000-0005-0000-0000-00003C510000}"/>
    <cellStyle name="60% - 强调文字颜色 4 2 2 6 2 2 2 2" xfId="20798" xr:uid="{00000000-0005-0000-0000-00003D510000}"/>
    <cellStyle name="60% - 强调文字颜色 4 2 2 6 2 3" xfId="20799" xr:uid="{00000000-0005-0000-0000-00003E510000}"/>
    <cellStyle name="60% - 强调文字颜色 4 2 2 6 2 3 2" xfId="20800" xr:uid="{00000000-0005-0000-0000-00003F510000}"/>
    <cellStyle name="60% - 强调文字颜色 4 2 2 6 3" xfId="20801" xr:uid="{00000000-0005-0000-0000-000040510000}"/>
    <cellStyle name="60% - 强调文字颜色 4 2 2 6 3 2" xfId="20802" xr:uid="{00000000-0005-0000-0000-000041510000}"/>
    <cellStyle name="60% - 强调文字颜色 4 2 2 6 3 2 2" xfId="20803" xr:uid="{00000000-0005-0000-0000-000042510000}"/>
    <cellStyle name="60% - 强调文字颜色 4 2 2 6 4" xfId="20804" xr:uid="{00000000-0005-0000-0000-000043510000}"/>
    <cellStyle name="60% - 强调文字颜色 4 2 2 6 4 2" xfId="20805" xr:uid="{00000000-0005-0000-0000-000044510000}"/>
    <cellStyle name="60% - 强调文字颜色 4 2 2 7" xfId="20806" xr:uid="{00000000-0005-0000-0000-000045510000}"/>
    <cellStyle name="60% - 强调文字颜色 4 2 2 7 2" xfId="20807" xr:uid="{00000000-0005-0000-0000-000046510000}"/>
    <cellStyle name="60% - 强调文字颜色 4 2 2 7 2 2" xfId="20808" xr:uid="{00000000-0005-0000-0000-000047510000}"/>
    <cellStyle name="60% - 强调文字颜色 4 2 2 7 2 2 2" xfId="20809" xr:uid="{00000000-0005-0000-0000-000048510000}"/>
    <cellStyle name="60% - 强调文字颜色 4 2 2 7 2 2 2 2" xfId="20810" xr:uid="{00000000-0005-0000-0000-000049510000}"/>
    <cellStyle name="60% - 强调文字颜色 4 2 2 7 2 3" xfId="20811" xr:uid="{00000000-0005-0000-0000-00004A510000}"/>
    <cellStyle name="60% - 强调文字颜色 4 2 2 7 2 3 2" xfId="20812" xr:uid="{00000000-0005-0000-0000-00004B510000}"/>
    <cellStyle name="60% - 强调文字颜色 4 2 2 7 3" xfId="20813" xr:uid="{00000000-0005-0000-0000-00004C510000}"/>
    <cellStyle name="60% - 强调文字颜色 4 2 2 7 3 2" xfId="20814" xr:uid="{00000000-0005-0000-0000-00004D510000}"/>
    <cellStyle name="60% - 强调文字颜色 4 2 2 7 3 2 2" xfId="20815" xr:uid="{00000000-0005-0000-0000-00004E510000}"/>
    <cellStyle name="60% - 强调文字颜色 4 2 2 7 4" xfId="20816" xr:uid="{00000000-0005-0000-0000-00004F510000}"/>
    <cellStyle name="60% - 强调文字颜色 4 2 2 7 4 2" xfId="20817" xr:uid="{00000000-0005-0000-0000-000050510000}"/>
    <cellStyle name="60% - 强调文字颜色 4 2 2 8" xfId="20818" xr:uid="{00000000-0005-0000-0000-000051510000}"/>
    <cellStyle name="60% - 强调文字颜色 4 2 2 8 2" xfId="20819" xr:uid="{00000000-0005-0000-0000-000052510000}"/>
    <cellStyle name="60% - 强调文字颜色 4 2 2 8 2 2" xfId="20820" xr:uid="{00000000-0005-0000-0000-000053510000}"/>
    <cellStyle name="60% - 强调文字颜色 4 2 2 8 2 2 2" xfId="20821" xr:uid="{00000000-0005-0000-0000-000054510000}"/>
    <cellStyle name="60% - 强调文字颜色 4 2 2 8 3" xfId="20822" xr:uid="{00000000-0005-0000-0000-000055510000}"/>
    <cellStyle name="60% - 强调文字颜色 4 2 2 8 3 2" xfId="20823" xr:uid="{00000000-0005-0000-0000-000056510000}"/>
    <cellStyle name="60% - 强调文字颜色 4 2 2 9" xfId="20824" xr:uid="{00000000-0005-0000-0000-000057510000}"/>
    <cellStyle name="60% - 强调文字颜色 4 2 2 9 2" xfId="20825" xr:uid="{00000000-0005-0000-0000-000058510000}"/>
    <cellStyle name="60% - 强调文字颜色 4 2 2 9 2 2" xfId="20826" xr:uid="{00000000-0005-0000-0000-000059510000}"/>
    <cellStyle name="60% - 强调文字颜色 4 2 2 9 2 2 2" xfId="20827" xr:uid="{00000000-0005-0000-0000-00005A510000}"/>
    <cellStyle name="60% - 强调文字颜色 4 2 2 9 3" xfId="20828" xr:uid="{00000000-0005-0000-0000-00005B510000}"/>
    <cellStyle name="60% - 强调文字颜色 4 2 2 9 3 2" xfId="20829" xr:uid="{00000000-0005-0000-0000-00005C510000}"/>
    <cellStyle name="60% - 强调文字颜色 4 2 3" xfId="20830" xr:uid="{00000000-0005-0000-0000-00005D510000}"/>
    <cellStyle name="60% - 强调文字颜色 4 2 3 2" xfId="20831" xr:uid="{00000000-0005-0000-0000-00005E510000}"/>
    <cellStyle name="60% - 强调文字颜色 4 2 3 2 2" xfId="20832" xr:uid="{00000000-0005-0000-0000-00005F510000}"/>
    <cellStyle name="60% - 强调文字颜色 4 2 3 2 2 2" xfId="20833" xr:uid="{00000000-0005-0000-0000-000060510000}"/>
    <cellStyle name="60% - 强调文字颜色 4 2 3 2 2 2 2" xfId="20834" xr:uid="{00000000-0005-0000-0000-000061510000}"/>
    <cellStyle name="60% - 强调文字颜色 4 2 3 2 2 2 3" xfId="20835" xr:uid="{00000000-0005-0000-0000-000062510000}"/>
    <cellStyle name="60% - 强调文字颜色 4 2 3 2 2 2 3 2" xfId="20836" xr:uid="{00000000-0005-0000-0000-000063510000}"/>
    <cellStyle name="60% - 强调文字颜色 4 2 3 2 2 2 3 2 2" xfId="20837" xr:uid="{00000000-0005-0000-0000-000064510000}"/>
    <cellStyle name="60% - 强调文字颜色 4 2 3 2 2 2 4" xfId="20838" xr:uid="{00000000-0005-0000-0000-000065510000}"/>
    <cellStyle name="60% - 强调文字颜色 4 2 3 2 2 2 4 2" xfId="20839" xr:uid="{00000000-0005-0000-0000-000066510000}"/>
    <cellStyle name="60% - 强调文字颜色 4 2 3 2 2 3" xfId="20840" xr:uid="{00000000-0005-0000-0000-000067510000}"/>
    <cellStyle name="60% - 强调文字颜色 4 2 3 2 2 3 2" xfId="20841" xr:uid="{00000000-0005-0000-0000-000068510000}"/>
    <cellStyle name="60% - 强调文字颜色 4 2 3 2 2 3 2 2" xfId="20842" xr:uid="{00000000-0005-0000-0000-000069510000}"/>
    <cellStyle name="60% - 强调文字颜色 4 2 3 2 2 3 2 2 2" xfId="20843" xr:uid="{00000000-0005-0000-0000-00006A510000}"/>
    <cellStyle name="60% - 强调文字颜色 4 2 3 2 2 3 3" xfId="20844" xr:uid="{00000000-0005-0000-0000-00006B510000}"/>
    <cellStyle name="60% - 强调文字颜色 4 2 3 2 2 3 3 2" xfId="20845" xr:uid="{00000000-0005-0000-0000-00006C510000}"/>
    <cellStyle name="60% - 强调文字颜色 4 2 3 2 2 4" xfId="20846" xr:uid="{00000000-0005-0000-0000-00006D510000}"/>
    <cellStyle name="60% - 强调文字颜色 4 2 3 2 2 5" xfId="20847" xr:uid="{00000000-0005-0000-0000-00006E510000}"/>
    <cellStyle name="60% - 强调文字颜色 4 2 3 2 2 6" xfId="20848" xr:uid="{00000000-0005-0000-0000-00006F510000}"/>
    <cellStyle name="60% - 强调文字颜色 4 2 3 2 3" xfId="20849" xr:uid="{00000000-0005-0000-0000-000070510000}"/>
    <cellStyle name="60% - 强调文字颜色 4 2 3 2 3 2" xfId="20850" xr:uid="{00000000-0005-0000-0000-000071510000}"/>
    <cellStyle name="60% - 强调文字颜色 4 2 3 2 3 3" xfId="20851" xr:uid="{00000000-0005-0000-0000-000072510000}"/>
    <cellStyle name="60% - 强调文字颜色 4 2 3 2 3 3 2" xfId="20852" xr:uid="{00000000-0005-0000-0000-000073510000}"/>
    <cellStyle name="60% - 强调文字颜色 4 2 3 2 3 3 2 2" xfId="20853" xr:uid="{00000000-0005-0000-0000-000074510000}"/>
    <cellStyle name="60% - 强调文字颜色 4 2 3 2 3 4" xfId="20854" xr:uid="{00000000-0005-0000-0000-000075510000}"/>
    <cellStyle name="60% - 强调文字颜色 4 2 3 2 3 4 2" xfId="20855" xr:uid="{00000000-0005-0000-0000-000076510000}"/>
    <cellStyle name="60% - 强调文字颜色 4 2 3 2 4" xfId="20856" xr:uid="{00000000-0005-0000-0000-000077510000}"/>
    <cellStyle name="60% - 强调文字颜色 4 2 3 2 4 2" xfId="20857" xr:uid="{00000000-0005-0000-0000-000078510000}"/>
    <cellStyle name="60% - 强调文字颜色 4 2 3 2 4 2 2" xfId="20858" xr:uid="{00000000-0005-0000-0000-000079510000}"/>
    <cellStyle name="60% - 强调文字颜色 4 2 3 2 4 2 2 2" xfId="20859" xr:uid="{00000000-0005-0000-0000-00007A510000}"/>
    <cellStyle name="60% - 强调文字颜色 4 2 3 2 4 3" xfId="20860" xr:uid="{00000000-0005-0000-0000-00007B510000}"/>
    <cellStyle name="60% - 强调文字颜色 4 2 3 2 4 3 2" xfId="20861" xr:uid="{00000000-0005-0000-0000-00007C510000}"/>
    <cellStyle name="60% - 强调文字颜色 4 2 3 2 5" xfId="20862" xr:uid="{00000000-0005-0000-0000-00007D510000}"/>
    <cellStyle name="60% - 强调文字颜色 4 2 3 2 6" xfId="20863" xr:uid="{00000000-0005-0000-0000-00007E510000}"/>
    <cellStyle name="60% - 强调文字颜色 4 2 3 2 7" xfId="20864" xr:uid="{00000000-0005-0000-0000-00007F510000}"/>
    <cellStyle name="60% - 强调文字颜色 4 2 3 3" xfId="20865" xr:uid="{00000000-0005-0000-0000-000080510000}"/>
    <cellStyle name="60% - 强调文字颜色 4 2 3 3 2" xfId="20866" xr:uid="{00000000-0005-0000-0000-000081510000}"/>
    <cellStyle name="60% - 强调文字颜色 4 2 3 3 2 2" xfId="20867" xr:uid="{00000000-0005-0000-0000-000082510000}"/>
    <cellStyle name="60% - 强调文字颜色 4 2 3 3 2 3" xfId="20868" xr:uid="{00000000-0005-0000-0000-000083510000}"/>
    <cellStyle name="60% - 强调文字颜色 4 2 3 3 2 3 2" xfId="20869" xr:uid="{00000000-0005-0000-0000-000084510000}"/>
    <cellStyle name="60% - 强调文字颜色 4 2 3 3 2 3 2 2" xfId="20870" xr:uid="{00000000-0005-0000-0000-000085510000}"/>
    <cellStyle name="60% - 强调文字颜色 4 2 3 3 2 4" xfId="20871" xr:uid="{00000000-0005-0000-0000-000086510000}"/>
    <cellStyle name="60% - 强调文字颜色 4 2 3 3 2 4 2" xfId="20872" xr:uid="{00000000-0005-0000-0000-000087510000}"/>
    <cellStyle name="60% - 强调文字颜色 4 2 3 3 3" xfId="20873" xr:uid="{00000000-0005-0000-0000-000088510000}"/>
    <cellStyle name="60% - 强调文字颜色 4 2 3 3 3 2" xfId="20874" xr:uid="{00000000-0005-0000-0000-000089510000}"/>
    <cellStyle name="60% - 强调文字颜色 4 2 3 3 3 2 2" xfId="20875" xr:uid="{00000000-0005-0000-0000-00008A510000}"/>
    <cellStyle name="60% - 强调文字颜色 4 2 3 3 3 2 2 2" xfId="20876" xr:uid="{00000000-0005-0000-0000-00008B510000}"/>
    <cellStyle name="60% - 强调文字颜色 4 2 3 3 3 3" xfId="20877" xr:uid="{00000000-0005-0000-0000-00008C510000}"/>
    <cellStyle name="60% - 强调文字颜色 4 2 3 3 3 3 2" xfId="20878" xr:uid="{00000000-0005-0000-0000-00008D510000}"/>
    <cellStyle name="60% - 强调文字颜色 4 2 3 3 4" xfId="20879" xr:uid="{00000000-0005-0000-0000-00008E510000}"/>
    <cellStyle name="60% - 强调文字颜色 4 2 3 3 5" xfId="20880" xr:uid="{00000000-0005-0000-0000-00008F510000}"/>
    <cellStyle name="60% - 强调文字颜色 4 2 3 3 6" xfId="20881" xr:uid="{00000000-0005-0000-0000-000090510000}"/>
    <cellStyle name="60% - 强调文字颜色 4 2 3 4" xfId="20882" xr:uid="{00000000-0005-0000-0000-000091510000}"/>
    <cellStyle name="60% - 强调文字颜色 4 2 3 4 2" xfId="20883" xr:uid="{00000000-0005-0000-0000-000092510000}"/>
    <cellStyle name="60% - 强调文字颜色 4 2 3 4 2 2" xfId="20884" xr:uid="{00000000-0005-0000-0000-000093510000}"/>
    <cellStyle name="60% - 强调文字颜色 4 2 3 4 2 3" xfId="20885" xr:uid="{00000000-0005-0000-0000-000094510000}"/>
    <cellStyle name="60% - 强调文字颜色 4 2 3 4 2 3 2" xfId="20886" xr:uid="{00000000-0005-0000-0000-000095510000}"/>
    <cellStyle name="60% - 强调文字颜色 4 2 3 4 2 3 2 2" xfId="20887" xr:uid="{00000000-0005-0000-0000-000096510000}"/>
    <cellStyle name="60% - 强调文字颜色 4 2 3 4 2 4" xfId="20888" xr:uid="{00000000-0005-0000-0000-000097510000}"/>
    <cellStyle name="60% - 强调文字颜色 4 2 3 4 2 4 2" xfId="20889" xr:uid="{00000000-0005-0000-0000-000098510000}"/>
    <cellStyle name="60% - 强调文字颜色 4 2 3 4 3" xfId="20890" xr:uid="{00000000-0005-0000-0000-000099510000}"/>
    <cellStyle name="60% - 强调文字颜色 4 2 3 4 4" xfId="20891" xr:uid="{00000000-0005-0000-0000-00009A510000}"/>
    <cellStyle name="60% - 强调文字颜色 4 2 3 4 5" xfId="20892" xr:uid="{00000000-0005-0000-0000-00009B510000}"/>
    <cellStyle name="60% - 强调文字颜色 4 2 3 4 6" xfId="20893" xr:uid="{00000000-0005-0000-0000-00009C510000}"/>
    <cellStyle name="60% - 强调文字颜色 4 2 3 5" xfId="20894" xr:uid="{00000000-0005-0000-0000-00009D510000}"/>
    <cellStyle name="60% - 强调文字颜色 4 2 3 5 2" xfId="20895" xr:uid="{00000000-0005-0000-0000-00009E510000}"/>
    <cellStyle name="60% - 强调文字颜色 4 2 3 5 2 2" xfId="20896" xr:uid="{00000000-0005-0000-0000-00009F510000}"/>
    <cellStyle name="60% - 强调文字颜色 4 2 3 5 2 2 2" xfId="20897" xr:uid="{00000000-0005-0000-0000-0000A0510000}"/>
    <cellStyle name="60% - 强调文字颜色 4 2 3 5 2 2 2 2" xfId="20898" xr:uid="{00000000-0005-0000-0000-0000A1510000}"/>
    <cellStyle name="60% - 强调文字颜色 4 2 3 5 2 3" xfId="20899" xr:uid="{00000000-0005-0000-0000-0000A2510000}"/>
    <cellStyle name="60% - 强调文字颜色 4 2 3 5 2 3 2" xfId="20900" xr:uid="{00000000-0005-0000-0000-0000A3510000}"/>
    <cellStyle name="60% - 强调文字颜色 4 2 3 5 3" xfId="20901" xr:uid="{00000000-0005-0000-0000-0000A4510000}"/>
    <cellStyle name="60% - 强调文字颜色 4 2 3 5 3 2" xfId="20902" xr:uid="{00000000-0005-0000-0000-0000A5510000}"/>
    <cellStyle name="60% - 强调文字颜色 4 2 3 5 3 2 2" xfId="20903" xr:uid="{00000000-0005-0000-0000-0000A6510000}"/>
    <cellStyle name="60% - 强调文字颜色 4 2 3 5 4" xfId="20904" xr:uid="{00000000-0005-0000-0000-0000A7510000}"/>
    <cellStyle name="60% - 强调文字颜色 4 2 3 5 4 2" xfId="20905" xr:uid="{00000000-0005-0000-0000-0000A8510000}"/>
    <cellStyle name="60% - 强调文字颜色 4 2 3 6" xfId="20906" xr:uid="{00000000-0005-0000-0000-0000A9510000}"/>
    <cellStyle name="60% - 强调文字颜色 4 2 3 6 2" xfId="20907" xr:uid="{00000000-0005-0000-0000-0000AA510000}"/>
    <cellStyle name="60% - 强调文字颜色 4 2 3 6 2 2" xfId="20908" xr:uid="{00000000-0005-0000-0000-0000AB510000}"/>
    <cellStyle name="60% - 强调文字颜色 4 2 3 6 2 2 2" xfId="20909" xr:uid="{00000000-0005-0000-0000-0000AC510000}"/>
    <cellStyle name="60% - 强调文字颜色 4 2 3 6 3" xfId="20910" xr:uid="{00000000-0005-0000-0000-0000AD510000}"/>
    <cellStyle name="60% - 强调文字颜色 4 2 3 6 3 2" xfId="20911" xr:uid="{00000000-0005-0000-0000-0000AE510000}"/>
    <cellStyle name="60% - 强调文字颜色 4 2 3 7" xfId="20912" xr:uid="{00000000-0005-0000-0000-0000AF510000}"/>
    <cellStyle name="60% - 强调文字颜色 4 2 3 7 2" xfId="20913" xr:uid="{00000000-0005-0000-0000-0000B0510000}"/>
    <cellStyle name="60% - 强调文字颜色 4 2 3 7 2 2" xfId="20914" xr:uid="{00000000-0005-0000-0000-0000B1510000}"/>
    <cellStyle name="60% - 强调文字颜色 4 2 3 7 2 2 2" xfId="20915" xr:uid="{00000000-0005-0000-0000-0000B2510000}"/>
    <cellStyle name="60% - 强调文字颜色 4 2 3 7 3" xfId="20916" xr:uid="{00000000-0005-0000-0000-0000B3510000}"/>
    <cellStyle name="60% - 强调文字颜色 4 2 3 7 3 2" xfId="20917" xr:uid="{00000000-0005-0000-0000-0000B4510000}"/>
    <cellStyle name="60% - 强调文字颜色 4 2 3 8" xfId="20918" xr:uid="{00000000-0005-0000-0000-0000B5510000}"/>
    <cellStyle name="60% - 强调文字颜色 4 2 3 9" xfId="20919" xr:uid="{00000000-0005-0000-0000-0000B6510000}"/>
    <cellStyle name="60% - 强调文字颜色 4 2 4" xfId="20920" xr:uid="{00000000-0005-0000-0000-0000B7510000}"/>
    <cellStyle name="60% - 强调文字颜色 4 2 4 2" xfId="20921" xr:uid="{00000000-0005-0000-0000-0000B8510000}"/>
    <cellStyle name="60% - 强调文字颜色 4 2 4 2 2" xfId="20922" xr:uid="{00000000-0005-0000-0000-0000B9510000}"/>
    <cellStyle name="60% - 强调文字颜色 4 2 4 2 3" xfId="20923" xr:uid="{00000000-0005-0000-0000-0000BA510000}"/>
    <cellStyle name="60% - 强调文字颜色 4 2 4 2 3 2" xfId="20924" xr:uid="{00000000-0005-0000-0000-0000BB510000}"/>
    <cellStyle name="60% - 强调文字颜色 4 2 4 2 3 2 2" xfId="20925" xr:uid="{00000000-0005-0000-0000-0000BC510000}"/>
    <cellStyle name="60% - 强调文字颜色 4 2 4 2 4" xfId="20926" xr:uid="{00000000-0005-0000-0000-0000BD510000}"/>
    <cellStyle name="60% - 强调文字颜色 4 2 4 2 4 2" xfId="20927" xr:uid="{00000000-0005-0000-0000-0000BE510000}"/>
    <cellStyle name="60% - 强调文字颜色 4 2 4 3" xfId="20928" xr:uid="{00000000-0005-0000-0000-0000BF510000}"/>
    <cellStyle name="60% - 强调文字颜色 4 2 4 3 2" xfId="20929" xr:uid="{00000000-0005-0000-0000-0000C0510000}"/>
    <cellStyle name="60% - 强调文字颜色 4 2 4 3 2 2" xfId="20930" xr:uid="{00000000-0005-0000-0000-0000C1510000}"/>
    <cellStyle name="60% - 强调文字颜色 4 2 4 3 2 2 2" xfId="20931" xr:uid="{00000000-0005-0000-0000-0000C2510000}"/>
    <cellStyle name="60% - 强调文字颜色 4 2 4 3 3" xfId="20932" xr:uid="{00000000-0005-0000-0000-0000C3510000}"/>
    <cellStyle name="60% - 强调文字颜色 4 2 4 3 3 2" xfId="20933" xr:uid="{00000000-0005-0000-0000-0000C4510000}"/>
    <cellStyle name="60% - 强调文字颜色 4 2 4 4" xfId="20934" xr:uid="{00000000-0005-0000-0000-0000C5510000}"/>
    <cellStyle name="60% - 强调文字颜色 4 2 4 5" xfId="20935" xr:uid="{00000000-0005-0000-0000-0000C6510000}"/>
    <cellStyle name="60% - 强调文字颜色 4 2 4 6" xfId="20936" xr:uid="{00000000-0005-0000-0000-0000C7510000}"/>
    <cellStyle name="60% - 强调文字颜色 4 2 5" xfId="20937" xr:uid="{00000000-0005-0000-0000-0000C8510000}"/>
    <cellStyle name="60% - 强调文字颜色 4 2 5 2" xfId="20938" xr:uid="{00000000-0005-0000-0000-0000C9510000}"/>
    <cellStyle name="60% - 强调文字颜色 4 2 5 2 2" xfId="20939" xr:uid="{00000000-0005-0000-0000-0000CA510000}"/>
    <cellStyle name="60% - 强调文字颜色 4 2 5 2 3" xfId="20940" xr:uid="{00000000-0005-0000-0000-0000CB510000}"/>
    <cellStyle name="60% - 强调文字颜色 4 2 5 2 3 2" xfId="20941" xr:uid="{00000000-0005-0000-0000-0000CC510000}"/>
    <cellStyle name="60% - 强调文字颜色 4 2 5 2 3 2 2" xfId="20942" xr:uid="{00000000-0005-0000-0000-0000CD510000}"/>
    <cellStyle name="60% - 强调文字颜色 4 2 5 2 4" xfId="20943" xr:uid="{00000000-0005-0000-0000-0000CE510000}"/>
    <cellStyle name="60% - 强调文字颜色 4 2 5 2 4 2" xfId="20944" xr:uid="{00000000-0005-0000-0000-0000CF510000}"/>
    <cellStyle name="60% - 强调文字颜色 4 2 5 3" xfId="20945" xr:uid="{00000000-0005-0000-0000-0000D0510000}"/>
    <cellStyle name="60% - 强调文字颜色 4 2 5 4" xfId="20946" xr:uid="{00000000-0005-0000-0000-0000D1510000}"/>
    <cellStyle name="60% - 强调文字颜色 4 2 5 5" xfId="20947" xr:uid="{00000000-0005-0000-0000-0000D2510000}"/>
    <cellStyle name="60% - 强调文字颜色 4 2 5 6" xfId="20948" xr:uid="{00000000-0005-0000-0000-0000D3510000}"/>
    <cellStyle name="60% - 强调文字颜色 4 2 6" xfId="20949" xr:uid="{00000000-0005-0000-0000-0000D4510000}"/>
    <cellStyle name="60% - 强调文字颜色 4 2 6 2" xfId="20950" xr:uid="{00000000-0005-0000-0000-0000D5510000}"/>
    <cellStyle name="60% - 强调文字颜色 4 2 6 2 2" xfId="20951" xr:uid="{00000000-0005-0000-0000-0000D6510000}"/>
    <cellStyle name="60% - 强调文字颜色 4 2 6 2 2 2" xfId="20952" xr:uid="{00000000-0005-0000-0000-0000D7510000}"/>
    <cellStyle name="60% - 强调文字颜色 4 2 6 2 2 2 2" xfId="20953" xr:uid="{00000000-0005-0000-0000-0000D8510000}"/>
    <cellStyle name="60% - 强调文字颜色 4 2 6 2 3" xfId="20954" xr:uid="{00000000-0005-0000-0000-0000D9510000}"/>
    <cellStyle name="60% - 强调文字颜色 4 2 6 2 3 2" xfId="20955" xr:uid="{00000000-0005-0000-0000-0000DA510000}"/>
    <cellStyle name="60% - 强调文字颜色 4 2 6 3" xfId="20956" xr:uid="{00000000-0005-0000-0000-0000DB510000}"/>
    <cellStyle name="60% - 强调文字颜色 4 2 6 3 2" xfId="20957" xr:uid="{00000000-0005-0000-0000-0000DC510000}"/>
    <cellStyle name="60% - 强调文字颜色 4 2 6 3 2 2" xfId="20958" xr:uid="{00000000-0005-0000-0000-0000DD510000}"/>
    <cellStyle name="60% - 强调文字颜色 4 2 6 4" xfId="20959" xr:uid="{00000000-0005-0000-0000-0000DE510000}"/>
    <cellStyle name="60% - 强调文字颜色 4 2 6 4 2" xfId="20960" xr:uid="{00000000-0005-0000-0000-0000DF510000}"/>
    <cellStyle name="60% - 强调文字颜色 4 2 7" xfId="20961" xr:uid="{00000000-0005-0000-0000-0000E0510000}"/>
    <cellStyle name="60% - 强调文字颜色 4 2 7 2" xfId="20962" xr:uid="{00000000-0005-0000-0000-0000E1510000}"/>
    <cellStyle name="60% - 强调文字颜色 4 2 7 2 2" xfId="20963" xr:uid="{00000000-0005-0000-0000-0000E2510000}"/>
    <cellStyle name="60% - 强调文字颜色 4 2 7 2 2 2" xfId="20964" xr:uid="{00000000-0005-0000-0000-0000E3510000}"/>
    <cellStyle name="60% - 强调文字颜色 4 2 7 2 2 2 2" xfId="20965" xr:uid="{00000000-0005-0000-0000-0000E4510000}"/>
    <cellStyle name="60% - 强调文字颜色 4 2 7 2 3" xfId="20966" xr:uid="{00000000-0005-0000-0000-0000E5510000}"/>
    <cellStyle name="60% - 强调文字颜色 4 2 7 2 3 2" xfId="20967" xr:uid="{00000000-0005-0000-0000-0000E6510000}"/>
    <cellStyle name="60% - 强调文字颜色 4 2 7 3" xfId="20968" xr:uid="{00000000-0005-0000-0000-0000E7510000}"/>
    <cellStyle name="60% - 强调文字颜色 4 2 7 3 2" xfId="20969" xr:uid="{00000000-0005-0000-0000-0000E8510000}"/>
    <cellStyle name="60% - 强调文字颜色 4 2 7 3 2 2" xfId="20970" xr:uid="{00000000-0005-0000-0000-0000E9510000}"/>
    <cellStyle name="60% - 强调文字颜色 4 2 7 4" xfId="20971" xr:uid="{00000000-0005-0000-0000-0000EA510000}"/>
    <cellStyle name="60% - 强调文字颜色 4 2 7 4 2" xfId="20972" xr:uid="{00000000-0005-0000-0000-0000EB510000}"/>
    <cellStyle name="60% - 强调文字颜色 4 2 8" xfId="20973" xr:uid="{00000000-0005-0000-0000-0000EC510000}"/>
    <cellStyle name="60% - 强调文字颜色 4 2 8 2" xfId="20974" xr:uid="{00000000-0005-0000-0000-0000ED510000}"/>
    <cellStyle name="60% - 强调文字颜色 4 2 8 2 2" xfId="20975" xr:uid="{00000000-0005-0000-0000-0000EE510000}"/>
    <cellStyle name="60% - 强调文字颜色 4 2 8 2 2 2" xfId="20976" xr:uid="{00000000-0005-0000-0000-0000EF510000}"/>
    <cellStyle name="60% - 强调文字颜色 4 2 8 2 2 2 2" xfId="20977" xr:uid="{00000000-0005-0000-0000-0000F0510000}"/>
    <cellStyle name="60% - 强调文字颜色 4 2 8 2 3" xfId="20978" xr:uid="{00000000-0005-0000-0000-0000F1510000}"/>
    <cellStyle name="60% - 强调文字颜色 4 2 8 2 3 2" xfId="20979" xr:uid="{00000000-0005-0000-0000-0000F2510000}"/>
    <cellStyle name="60% - 强调文字颜色 4 2 8 3" xfId="20980" xr:uid="{00000000-0005-0000-0000-0000F3510000}"/>
    <cellStyle name="60% - 强调文字颜色 4 2 8 3 2" xfId="20981" xr:uid="{00000000-0005-0000-0000-0000F4510000}"/>
    <cellStyle name="60% - 强调文字颜色 4 2 8 3 2 2" xfId="20982" xr:uid="{00000000-0005-0000-0000-0000F5510000}"/>
    <cellStyle name="60% - 强调文字颜色 4 2 8 4" xfId="20983" xr:uid="{00000000-0005-0000-0000-0000F6510000}"/>
    <cellStyle name="60% - 强调文字颜色 4 2 8 4 2" xfId="20984" xr:uid="{00000000-0005-0000-0000-0000F7510000}"/>
    <cellStyle name="60% - 强调文字颜色 4 2 9" xfId="20985" xr:uid="{00000000-0005-0000-0000-0000F8510000}"/>
    <cellStyle name="60% - 强调文字颜色 4 2 9 2" xfId="20986" xr:uid="{00000000-0005-0000-0000-0000F9510000}"/>
    <cellStyle name="60% - 强调文字颜色 4 2 9 2 2" xfId="20987" xr:uid="{00000000-0005-0000-0000-0000FA510000}"/>
    <cellStyle name="60% - 强调文字颜色 4 2 9 2 2 2" xfId="20988" xr:uid="{00000000-0005-0000-0000-0000FB510000}"/>
    <cellStyle name="60% - 强调文字颜色 4 2 9 3" xfId="20989" xr:uid="{00000000-0005-0000-0000-0000FC510000}"/>
    <cellStyle name="60% - 强调文字颜色 4 2 9 3 2" xfId="20990" xr:uid="{00000000-0005-0000-0000-0000FD510000}"/>
    <cellStyle name="60% - 强调文字颜色 4 3" xfId="20991" xr:uid="{00000000-0005-0000-0000-0000FE510000}"/>
    <cellStyle name="60% - 强调文字颜色 4 3 2" xfId="20992" xr:uid="{00000000-0005-0000-0000-0000FF510000}"/>
    <cellStyle name="60% - 强调文字颜色 4 3 2 2" xfId="20993" xr:uid="{00000000-0005-0000-0000-000000520000}"/>
    <cellStyle name="60% - 强调文字颜色 4 3 2 2 2" xfId="20994" xr:uid="{00000000-0005-0000-0000-000001520000}"/>
    <cellStyle name="60% - 强调文字颜色 4 3 2 2 2 2" xfId="20995" xr:uid="{00000000-0005-0000-0000-000002520000}"/>
    <cellStyle name="60% - 强调文字颜色 4 3 2 2 2 3" xfId="20996" xr:uid="{00000000-0005-0000-0000-000003520000}"/>
    <cellStyle name="60% - 强调文字颜色 4 3 2 2 2 3 2" xfId="20997" xr:uid="{00000000-0005-0000-0000-000004520000}"/>
    <cellStyle name="60% - 强调文字颜色 4 3 2 2 2 3 2 2" xfId="20998" xr:uid="{00000000-0005-0000-0000-000005520000}"/>
    <cellStyle name="60% - 强调文字颜色 4 3 2 2 2 4" xfId="20999" xr:uid="{00000000-0005-0000-0000-000006520000}"/>
    <cellStyle name="60% - 强调文字颜色 4 3 2 2 2 4 2" xfId="21000" xr:uid="{00000000-0005-0000-0000-000007520000}"/>
    <cellStyle name="60% - 强调文字颜色 4 3 2 2 3" xfId="21001" xr:uid="{00000000-0005-0000-0000-000008520000}"/>
    <cellStyle name="60% - 强调文字颜色 4 3 2 2 3 2" xfId="21002" xr:uid="{00000000-0005-0000-0000-000009520000}"/>
    <cellStyle name="60% - 强调文字颜色 4 3 2 2 3 2 2" xfId="21003" xr:uid="{00000000-0005-0000-0000-00000A520000}"/>
    <cellStyle name="60% - 强调文字颜色 4 3 2 2 3 2 2 2" xfId="21004" xr:uid="{00000000-0005-0000-0000-00000B520000}"/>
    <cellStyle name="60% - 强调文字颜色 4 3 2 2 3 3" xfId="21005" xr:uid="{00000000-0005-0000-0000-00000C520000}"/>
    <cellStyle name="60% - 强调文字颜色 4 3 2 2 3 3 2" xfId="21006" xr:uid="{00000000-0005-0000-0000-00000D520000}"/>
    <cellStyle name="60% - 强调文字颜色 4 3 2 2 4" xfId="21007" xr:uid="{00000000-0005-0000-0000-00000E520000}"/>
    <cellStyle name="60% - 强调文字颜色 4 3 2 2 5" xfId="21008" xr:uid="{00000000-0005-0000-0000-00000F520000}"/>
    <cellStyle name="60% - 强调文字颜色 4 3 2 2 6" xfId="21009" xr:uid="{00000000-0005-0000-0000-000010520000}"/>
    <cellStyle name="60% - 强调文字颜色 4 3 2 3" xfId="21010" xr:uid="{00000000-0005-0000-0000-000011520000}"/>
    <cellStyle name="60% - 强调文字颜色 4 3 2 3 2" xfId="21011" xr:uid="{00000000-0005-0000-0000-000012520000}"/>
    <cellStyle name="60% - 强调文字颜色 4 3 2 3 3" xfId="21012" xr:uid="{00000000-0005-0000-0000-000013520000}"/>
    <cellStyle name="60% - 强调文字颜色 4 3 2 3 3 2" xfId="21013" xr:uid="{00000000-0005-0000-0000-000014520000}"/>
    <cellStyle name="60% - 强调文字颜色 4 3 2 3 3 2 2" xfId="21014" xr:uid="{00000000-0005-0000-0000-000015520000}"/>
    <cellStyle name="60% - 强调文字颜色 4 3 2 3 4" xfId="21015" xr:uid="{00000000-0005-0000-0000-000016520000}"/>
    <cellStyle name="60% - 强调文字颜色 4 3 2 3 4 2" xfId="21016" xr:uid="{00000000-0005-0000-0000-000017520000}"/>
    <cellStyle name="60% - 强调文字颜色 4 3 2 4" xfId="21017" xr:uid="{00000000-0005-0000-0000-000018520000}"/>
    <cellStyle name="60% - 强调文字颜色 4 3 2 4 2" xfId="21018" xr:uid="{00000000-0005-0000-0000-000019520000}"/>
    <cellStyle name="60% - 强调文字颜色 4 3 2 4 2 2" xfId="21019" xr:uid="{00000000-0005-0000-0000-00001A520000}"/>
    <cellStyle name="60% - 强调文字颜色 4 3 2 4 2 2 2" xfId="21020" xr:uid="{00000000-0005-0000-0000-00001B520000}"/>
    <cellStyle name="60% - 强调文字颜色 4 3 2 4 3" xfId="21021" xr:uid="{00000000-0005-0000-0000-00001C520000}"/>
    <cellStyle name="60% - 强调文字颜色 4 3 2 4 3 2" xfId="21022" xr:uid="{00000000-0005-0000-0000-00001D520000}"/>
    <cellStyle name="60% - 强调文字颜色 4 3 2 5" xfId="21023" xr:uid="{00000000-0005-0000-0000-00001E520000}"/>
    <cellStyle name="60% - 强调文字颜色 4 3 2 6" xfId="21024" xr:uid="{00000000-0005-0000-0000-00001F520000}"/>
    <cellStyle name="60% - 强调文字颜色 4 3 2 7" xfId="21025" xr:uid="{00000000-0005-0000-0000-000020520000}"/>
    <cellStyle name="60% - 强调文字颜色 4 3 3" xfId="21026" xr:uid="{00000000-0005-0000-0000-000021520000}"/>
    <cellStyle name="60% - 强调文字颜色 4 3 3 2" xfId="21027" xr:uid="{00000000-0005-0000-0000-000022520000}"/>
    <cellStyle name="60% - 强调文字颜色 4 3 3 2 2" xfId="21028" xr:uid="{00000000-0005-0000-0000-000023520000}"/>
    <cellStyle name="60% - 强调文字颜色 4 3 3 2 3" xfId="21029" xr:uid="{00000000-0005-0000-0000-000024520000}"/>
    <cellStyle name="60% - 强调文字颜色 4 3 3 2 3 2" xfId="21030" xr:uid="{00000000-0005-0000-0000-000025520000}"/>
    <cellStyle name="60% - 强调文字颜色 4 3 3 2 3 2 2" xfId="21031" xr:uid="{00000000-0005-0000-0000-000026520000}"/>
    <cellStyle name="60% - 强调文字颜色 4 3 3 2 4" xfId="21032" xr:uid="{00000000-0005-0000-0000-000027520000}"/>
    <cellStyle name="60% - 强调文字颜色 4 3 3 2 4 2" xfId="21033" xr:uid="{00000000-0005-0000-0000-000028520000}"/>
    <cellStyle name="60% - 强调文字颜色 4 3 3 3" xfId="21034" xr:uid="{00000000-0005-0000-0000-000029520000}"/>
    <cellStyle name="60% - 强调文字颜色 4 3 3 3 2" xfId="21035" xr:uid="{00000000-0005-0000-0000-00002A520000}"/>
    <cellStyle name="60% - 强调文字颜色 4 3 3 3 2 2" xfId="21036" xr:uid="{00000000-0005-0000-0000-00002B520000}"/>
    <cellStyle name="60% - 强调文字颜色 4 3 3 3 2 2 2" xfId="21037" xr:uid="{00000000-0005-0000-0000-00002C520000}"/>
    <cellStyle name="60% - 强调文字颜色 4 3 3 3 3" xfId="21038" xr:uid="{00000000-0005-0000-0000-00002D520000}"/>
    <cellStyle name="60% - 强调文字颜色 4 3 3 3 3 2" xfId="21039" xr:uid="{00000000-0005-0000-0000-00002E520000}"/>
    <cellStyle name="60% - 强调文字颜色 4 3 3 4" xfId="21040" xr:uid="{00000000-0005-0000-0000-00002F520000}"/>
    <cellStyle name="60% - 强调文字颜色 4 3 3 5" xfId="21041" xr:uid="{00000000-0005-0000-0000-000030520000}"/>
    <cellStyle name="60% - 强调文字颜色 4 3 3 6" xfId="21042" xr:uid="{00000000-0005-0000-0000-000031520000}"/>
    <cellStyle name="60% - 强调文字颜色 4 3 4" xfId="21043" xr:uid="{00000000-0005-0000-0000-000032520000}"/>
    <cellStyle name="60% - 强调文字颜色 4 3 4 2" xfId="21044" xr:uid="{00000000-0005-0000-0000-000033520000}"/>
    <cellStyle name="60% - 强调文字颜色 4 3 4 2 2" xfId="21045" xr:uid="{00000000-0005-0000-0000-000034520000}"/>
    <cellStyle name="60% - 强调文字颜色 4 3 4 2 3" xfId="21046" xr:uid="{00000000-0005-0000-0000-000035520000}"/>
    <cellStyle name="60% - 强调文字颜色 4 3 4 2 3 2" xfId="21047" xr:uid="{00000000-0005-0000-0000-000036520000}"/>
    <cellStyle name="60% - 强调文字颜色 4 3 4 2 3 2 2" xfId="21048" xr:uid="{00000000-0005-0000-0000-000037520000}"/>
    <cellStyle name="60% - 强调文字颜色 4 3 4 2 4" xfId="21049" xr:uid="{00000000-0005-0000-0000-000038520000}"/>
    <cellStyle name="60% - 强调文字颜色 4 3 4 2 4 2" xfId="21050" xr:uid="{00000000-0005-0000-0000-000039520000}"/>
    <cellStyle name="60% - 强调文字颜色 4 3 4 3" xfId="21051" xr:uid="{00000000-0005-0000-0000-00003A520000}"/>
    <cellStyle name="60% - 强调文字颜色 4 3 4 4" xfId="21052" xr:uid="{00000000-0005-0000-0000-00003B520000}"/>
    <cellStyle name="60% - 强调文字颜色 4 3 4 5" xfId="21053" xr:uid="{00000000-0005-0000-0000-00003C520000}"/>
    <cellStyle name="60% - 强调文字颜色 4 3 4 6" xfId="21054" xr:uid="{00000000-0005-0000-0000-00003D520000}"/>
    <cellStyle name="60% - 强调文字颜色 4 3 5" xfId="21055" xr:uid="{00000000-0005-0000-0000-00003E520000}"/>
    <cellStyle name="60% - 强调文字颜色 4 3 5 2" xfId="21056" xr:uid="{00000000-0005-0000-0000-00003F520000}"/>
    <cellStyle name="60% - 强调文字颜色 4 3 5 2 2" xfId="21057" xr:uid="{00000000-0005-0000-0000-000040520000}"/>
    <cellStyle name="60% - 强调文字颜色 4 3 5 2 2 2" xfId="21058" xr:uid="{00000000-0005-0000-0000-000041520000}"/>
    <cellStyle name="60% - 强调文字颜色 4 3 5 2 2 2 2" xfId="21059" xr:uid="{00000000-0005-0000-0000-000042520000}"/>
    <cellStyle name="60% - 强调文字颜色 4 3 5 2 3" xfId="21060" xr:uid="{00000000-0005-0000-0000-000043520000}"/>
    <cellStyle name="60% - 强调文字颜色 4 3 5 2 3 2" xfId="21061" xr:uid="{00000000-0005-0000-0000-000044520000}"/>
    <cellStyle name="60% - 强调文字颜色 4 3 5 3" xfId="21062" xr:uid="{00000000-0005-0000-0000-000045520000}"/>
    <cellStyle name="60% - 强调文字颜色 4 3 5 3 2" xfId="21063" xr:uid="{00000000-0005-0000-0000-000046520000}"/>
    <cellStyle name="60% - 强调文字颜色 4 3 5 3 2 2" xfId="21064" xr:uid="{00000000-0005-0000-0000-000047520000}"/>
    <cellStyle name="60% - 强调文字颜色 4 3 5 4" xfId="21065" xr:uid="{00000000-0005-0000-0000-000048520000}"/>
    <cellStyle name="60% - 强调文字颜色 4 3 5 4 2" xfId="21066" xr:uid="{00000000-0005-0000-0000-000049520000}"/>
    <cellStyle name="60% - 强调文字颜色 4 3 6" xfId="21067" xr:uid="{00000000-0005-0000-0000-00004A520000}"/>
    <cellStyle name="60% - 强调文字颜色 4 3 6 2" xfId="21068" xr:uid="{00000000-0005-0000-0000-00004B520000}"/>
    <cellStyle name="60% - 强调文字颜色 4 3 6 2 2" xfId="21069" xr:uid="{00000000-0005-0000-0000-00004C520000}"/>
    <cellStyle name="60% - 强调文字颜色 4 3 6 2 2 2" xfId="21070" xr:uid="{00000000-0005-0000-0000-00004D520000}"/>
    <cellStyle name="60% - 强调文字颜色 4 3 6 3" xfId="21071" xr:uid="{00000000-0005-0000-0000-00004E520000}"/>
    <cellStyle name="60% - 强调文字颜色 4 3 6 3 2" xfId="21072" xr:uid="{00000000-0005-0000-0000-00004F520000}"/>
    <cellStyle name="60% - 强调文字颜色 4 3 7" xfId="21073" xr:uid="{00000000-0005-0000-0000-000050520000}"/>
    <cellStyle name="60% - 强调文字颜色 4 3 8" xfId="21074" xr:uid="{00000000-0005-0000-0000-000051520000}"/>
    <cellStyle name="60% - 强调文字颜色 5 2" xfId="21075" xr:uid="{00000000-0005-0000-0000-000052520000}"/>
    <cellStyle name="60% - 强调文字颜色 5 2 10" xfId="21076" xr:uid="{00000000-0005-0000-0000-000053520000}"/>
    <cellStyle name="60% - 强调文字颜色 5 2 11" xfId="21077" xr:uid="{00000000-0005-0000-0000-000054520000}"/>
    <cellStyle name="60% - 强调文字颜色 5 2 2" xfId="21078" xr:uid="{00000000-0005-0000-0000-000055520000}"/>
    <cellStyle name="60% - 强调文字颜色 5 2 2 10" xfId="21079" xr:uid="{00000000-0005-0000-0000-000056520000}"/>
    <cellStyle name="60% - 强调文字颜色 5 2 2 11" xfId="21080" xr:uid="{00000000-0005-0000-0000-000057520000}"/>
    <cellStyle name="60% - 强调文字颜色 5 2 2 2" xfId="21081" xr:uid="{00000000-0005-0000-0000-000058520000}"/>
    <cellStyle name="60% - 强调文字颜色 5 2 2 2 2" xfId="21082" xr:uid="{00000000-0005-0000-0000-000059520000}"/>
    <cellStyle name="60% - 强调文字颜色 5 2 2 2 2 2" xfId="21083" xr:uid="{00000000-0005-0000-0000-00005A520000}"/>
    <cellStyle name="60% - 强调文字颜色 5 2 2 2 2 2 2" xfId="21084" xr:uid="{00000000-0005-0000-0000-00005B520000}"/>
    <cellStyle name="60% - 强调文字颜色 5 2 2 2 2 2 3" xfId="21085" xr:uid="{00000000-0005-0000-0000-00005C520000}"/>
    <cellStyle name="60% - 强调文字颜色 5 2 2 2 2 2 3 2" xfId="21086" xr:uid="{00000000-0005-0000-0000-00005D520000}"/>
    <cellStyle name="60% - 强调文字颜色 5 2 2 2 2 2 3 2 2" xfId="21087" xr:uid="{00000000-0005-0000-0000-00005E520000}"/>
    <cellStyle name="60% - 强调文字颜色 5 2 2 2 2 2 4" xfId="21088" xr:uid="{00000000-0005-0000-0000-00005F520000}"/>
    <cellStyle name="60% - 强调文字颜色 5 2 2 2 2 2 4 2" xfId="21089" xr:uid="{00000000-0005-0000-0000-000060520000}"/>
    <cellStyle name="60% - 强调文字颜色 5 2 2 2 2 3" xfId="21090" xr:uid="{00000000-0005-0000-0000-000061520000}"/>
    <cellStyle name="60% - 强调文字颜色 5 2 2 2 2 3 2" xfId="21091" xr:uid="{00000000-0005-0000-0000-000062520000}"/>
    <cellStyle name="60% - 强调文字颜色 5 2 2 2 2 3 2 2" xfId="21092" xr:uid="{00000000-0005-0000-0000-000063520000}"/>
    <cellStyle name="60% - 强调文字颜色 5 2 2 2 2 3 2 2 2" xfId="21093" xr:uid="{00000000-0005-0000-0000-000064520000}"/>
    <cellStyle name="60% - 强调文字颜色 5 2 2 2 2 3 3" xfId="21094" xr:uid="{00000000-0005-0000-0000-000065520000}"/>
    <cellStyle name="60% - 强调文字颜色 5 2 2 2 2 3 3 2" xfId="21095" xr:uid="{00000000-0005-0000-0000-000066520000}"/>
    <cellStyle name="60% - 强调文字颜色 5 2 2 2 2 4" xfId="21096" xr:uid="{00000000-0005-0000-0000-000067520000}"/>
    <cellStyle name="60% - 强调文字颜色 5 2 2 2 2 5" xfId="21097" xr:uid="{00000000-0005-0000-0000-000068520000}"/>
    <cellStyle name="60% - 强调文字颜色 5 2 2 2 2 6" xfId="21098" xr:uid="{00000000-0005-0000-0000-000069520000}"/>
    <cellStyle name="60% - 强调文字颜色 5 2 2 2 3" xfId="21099" xr:uid="{00000000-0005-0000-0000-00006A520000}"/>
    <cellStyle name="60% - 强调文字颜色 5 2 2 2 3 2" xfId="21100" xr:uid="{00000000-0005-0000-0000-00006B520000}"/>
    <cellStyle name="60% - 强调文字颜色 5 2 2 2 3 3" xfId="21101" xr:uid="{00000000-0005-0000-0000-00006C520000}"/>
    <cellStyle name="60% - 强调文字颜色 5 2 2 2 3 3 2" xfId="21102" xr:uid="{00000000-0005-0000-0000-00006D520000}"/>
    <cellStyle name="60% - 强调文字颜色 5 2 2 2 3 3 2 2" xfId="21103" xr:uid="{00000000-0005-0000-0000-00006E520000}"/>
    <cellStyle name="60% - 强调文字颜色 5 2 2 2 3 4" xfId="21104" xr:uid="{00000000-0005-0000-0000-00006F520000}"/>
    <cellStyle name="60% - 强调文字颜色 5 2 2 2 3 4 2" xfId="21105" xr:uid="{00000000-0005-0000-0000-000070520000}"/>
    <cellStyle name="60% - 强调文字颜色 5 2 2 2 4" xfId="21106" xr:uid="{00000000-0005-0000-0000-000071520000}"/>
    <cellStyle name="60% - 强调文字颜色 5 2 2 2 4 2" xfId="21107" xr:uid="{00000000-0005-0000-0000-000072520000}"/>
    <cellStyle name="60% - 强调文字颜色 5 2 2 2 4 2 2" xfId="21108" xr:uid="{00000000-0005-0000-0000-000073520000}"/>
    <cellStyle name="60% - 强调文字颜色 5 2 2 2 4 2 2 2" xfId="21109" xr:uid="{00000000-0005-0000-0000-000074520000}"/>
    <cellStyle name="60% - 强调文字颜色 5 2 2 2 4 3" xfId="21110" xr:uid="{00000000-0005-0000-0000-000075520000}"/>
    <cellStyle name="60% - 强调文字颜色 5 2 2 2 4 3 2" xfId="21111" xr:uid="{00000000-0005-0000-0000-000076520000}"/>
    <cellStyle name="60% - 强调文字颜色 5 2 2 2 5" xfId="21112" xr:uid="{00000000-0005-0000-0000-000077520000}"/>
    <cellStyle name="60% - 强调文字颜色 5 2 2 2 6" xfId="21113" xr:uid="{00000000-0005-0000-0000-000078520000}"/>
    <cellStyle name="60% - 强调文字颜色 5 2 2 2 7" xfId="21114" xr:uid="{00000000-0005-0000-0000-000079520000}"/>
    <cellStyle name="60% - 强调文字颜色 5 2 2 3" xfId="21115" xr:uid="{00000000-0005-0000-0000-00007A520000}"/>
    <cellStyle name="60% - 强调文字颜色 5 2 2 3 2" xfId="21116" xr:uid="{00000000-0005-0000-0000-00007B520000}"/>
    <cellStyle name="60% - 强调文字颜色 5 2 2 3 2 2" xfId="21117" xr:uid="{00000000-0005-0000-0000-00007C520000}"/>
    <cellStyle name="60% - 强调文字颜色 5 2 2 3 2 3" xfId="21118" xr:uid="{00000000-0005-0000-0000-00007D520000}"/>
    <cellStyle name="60% - 强调文字颜色 5 2 2 3 2 3 2" xfId="21119" xr:uid="{00000000-0005-0000-0000-00007E520000}"/>
    <cellStyle name="60% - 强调文字颜色 5 2 2 3 2 3 2 2" xfId="21120" xr:uid="{00000000-0005-0000-0000-00007F520000}"/>
    <cellStyle name="60% - 强调文字颜色 5 2 2 3 2 4" xfId="21121" xr:uid="{00000000-0005-0000-0000-000080520000}"/>
    <cellStyle name="60% - 强调文字颜色 5 2 2 3 2 4 2" xfId="21122" xr:uid="{00000000-0005-0000-0000-000081520000}"/>
    <cellStyle name="60% - 强调文字颜色 5 2 2 3 3" xfId="21123" xr:uid="{00000000-0005-0000-0000-000082520000}"/>
    <cellStyle name="60% - 强调文字颜色 5 2 2 3 3 2" xfId="21124" xr:uid="{00000000-0005-0000-0000-000083520000}"/>
    <cellStyle name="60% - 强调文字颜色 5 2 2 3 3 2 2" xfId="21125" xr:uid="{00000000-0005-0000-0000-000084520000}"/>
    <cellStyle name="60% - 强调文字颜色 5 2 2 3 3 2 2 2" xfId="21126" xr:uid="{00000000-0005-0000-0000-000085520000}"/>
    <cellStyle name="60% - 强调文字颜色 5 2 2 3 3 3" xfId="21127" xr:uid="{00000000-0005-0000-0000-000086520000}"/>
    <cellStyle name="60% - 强调文字颜色 5 2 2 3 3 3 2" xfId="21128" xr:uid="{00000000-0005-0000-0000-000087520000}"/>
    <cellStyle name="60% - 强调文字颜色 5 2 2 3 4" xfId="21129" xr:uid="{00000000-0005-0000-0000-000088520000}"/>
    <cellStyle name="60% - 强调文字颜色 5 2 2 3 5" xfId="21130" xr:uid="{00000000-0005-0000-0000-000089520000}"/>
    <cellStyle name="60% - 强调文字颜色 5 2 2 3 6" xfId="21131" xr:uid="{00000000-0005-0000-0000-00008A520000}"/>
    <cellStyle name="60% - 强调文字颜色 5 2 2 4" xfId="21132" xr:uid="{00000000-0005-0000-0000-00008B520000}"/>
    <cellStyle name="60% - 强调文字颜色 5 2 2 4 2" xfId="21133" xr:uid="{00000000-0005-0000-0000-00008C520000}"/>
    <cellStyle name="60% - 强调文字颜色 5 2 2 4 2 2" xfId="21134" xr:uid="{00000000-0005-0000-0000-00008D520000}"/>
    <cellStyle name="60% - 强调文字颜色 5 2 2 4 2 3" xfId="21135" xr:uid="{00000000-0005-0000-0000-00008E520000}"/>
    <cellStyle name="60% - 强调文字颜色 5 2 2 4 2 3 2" xfId="21136" xr:uid="{00000000-0005-0000-0000-00008F520000}"/>
    <cellStyle name="60% - 强调文字颜色 5 2 2 4 2 3 2 2" xfId="21137" xr:uid="{00000000-0005-0000-0000-000090520000}"/>
    <cellStyle name="60% - 强调文字颜色 5 2 2 4 2 4" xfId="21138" xr:uid="{00000000-0005-0000-0000-000091520000}"/>
    <cellStyle name="60% - 强调文字颜色 5 2 2 4 2 4 2" xfId="21139" xr:uid="{00000000-0005-0000-0000-000092520000}"/>
    <cellStyle name="60% - 强调文字颜色 5 2 2 4 3" xfId="21140" xr:uid="{00000000-0005-0000-0000-000093520000}"/>
    <cellStyle name="60% - 强调文字颜色 5 2 2 4 4" xfId="21141" xr:uid="{00000000-0005-0000-0000-000094520000}"/>
    <cellStyle name="60% - 强调文字颜色 5 2 2 4 5" xfId="21142" xr:uid="{00000000-0005-0000-0000-000095520000}"/>
    <cellStyle name="60% - 强调文字颜色 5 2 2 4 6" xfId="21143" xr:uid="{00000000-0005-0000-0000-000096520000}"/>
    <cellStyle name="60% - 强调文字颜色 5 2 2 5" xfId="21144" xr:uid="{00000000-0005-0000-0000-000097520000}"/>
    <cellStyle name="60% - 强调文字颜色 5 2 2 5 2" xfId="21145" xr:uid="{00000000-0005-0000-0000-000098520000}"/>
    <cellStyle name="60% - 强调文字颜色 5 2 2 5 2 2" xfId="21146" xr:uid="{00000000-0005-0000-0000-000099520000}"/>
    <cellStyle name="60% - 强调文字颜色 5 2 2 5 2 2 2" xfId="21147" xr:uid="{00000000-0005-0000-0000-00009A520000}"/>
    <cellStyle name="60% - 强调文字颜色 5 2 2 5 2 2 2 2" xfId="21148" xr:uid="{00000000-0005-0000-0000-00009B520000}"/>
    <cellStyle name="60% - 强调文字颜色 5 2 2 5 2 3" xfId="21149" xr:uid="{00000000-0005-0000-0000-00009C520000}"/>
    <cellStyle name="60% - 强调文字颜色 5 2 2 5 2 3 2" xfId="21150" xr:uid="{00000000-0005-0000-0000-00009D520000}"/>
    <cellStyle name="60% - 强调文字颜色 5 2 2 5 3" xfId="21151" xr:uid="{00000000-0005-0000-0000-00009E520000}"/>
    <cellStyle name="60% - 强调文字颜色 5 2 2 5 3 2" xfId="21152" xr:uid="{00000000-0005-0000-0000-00009F520000}"/>
    <cellStyle name="60% - 强调文字颜色 5 2 2 5 3 2 2" xfId="21153" xr:uid="{00000000-0005-0000-0000-0000A0520000}"/>
    <cellStyle name="60% - 强调文字颜色 5 2 2 5 4" xfId="21154" xr:uid="{00000000-0005-0000-0000-0000A1520000}"/>
    <cellStyle name="60% - 强调文字颜色 5 2 2 5 4 2" xfId="21155" xr:uid="{00000000-0005-0000-0000-0000A2520000}"/>
    <cellStyle name="60% - 强调文字颜色 5 2 2 6" xfId="21156" xr:uid="{00000000-0005-0000-0000-0000A3520000}"/>
    <cellStyle name="60% - 强调文字颜色 5 2 2 6 2" xfId="21157" xr:uid="{00000000-0005-0000-0000-0000A4520000}"/>
    <cellStyle name="60% - 强调文字颜色 5 2 2 6 2 2" xfId="21158" xr:uid="{00000000-0005-0000-0000-0000A5520000}"/>
    <cellStyle name="60% - 强调文字颜色 5 2 2 6 2 2 2" xfId="21159" xr:uid="{00000000-0005-0000-0000-0000A6520000}"/>
    <cellStyle name="60% - 强调文字颜色 5 2 2 6 2 2 2 2" xfId="21160" xr:uid="{00000000-0005-0000-0000-0000A7520000}"/>
    <cellStyle name="60% - 强调文字颜色 5 2 2 6 2 3" xfId="21161" xr:uid="{00000000-0005-0000-0000-0000A8520000}"/>
    <cellStyle name="60% - 强调文字颜色 5 2 2 6 2 3 2" xfId="21162" xr:uid="{00000000-0005-0000-0000-0000A9520000}"/>
    <cellStyle name="60% - 强调文字颜色 5 2 2 6 3" xfId="21163" xr:uid="{00000000-0005-0000-0000-0000AA520000}"/>
    <cellStyle name="60% - 强调文字颜色 5 2 2 6 3 2" xfId="21164" xr:uid="{00000000-0005-0000-0000-0000AB520000}"/>
    <cellStyle name="60% - 强调文字颜色 5 2 2 6 3 2 2" xfId="21165" xr:uid="{00000000-0005-0000-0000-0000AC520000}"/>
    <cellStyle name="60% - 强调文字颜色 5 2 2 6 4" xfId="21166" xr:uid="{00000000-0005-0000-0000-0000AD520000}"/>
    <cellStyle name="60% - 强调文字颜色 5 2 2 6 4 2" xfId="21167" xr:uid="{00000000-0005-0000-0000-0000AE520000}"/>
    <cellStyle name="60% - 强调文字颜色 5 2 2 7" xfId="21168" xr:uid="{00000000-0005-0000-0000-0000AF520000}"/>
    <cellStyle name="60% - 强调文字颜色 5 2 2 7 2" xfId="21169" xr:uid="{00000000-0005-0000-0000-0000B0520000}"/>
    <cellStyle name="60% - 强调文字颜色 5 2 2 7 2 2" xfId="21170" xr:uid="{00000000-0005-0000-0000-0000B1520000}"/>
    <cellStyle name="60% - 强调文字颜色 5 2 2 7 2 2 2" xfId="21171" xr:uid="{00000000-0005-0000-0000-0000B2520000}"/>
    <cellStyle name="60% - 强调文字颜色 5 2 2 7 2 2 2 2" xfId="21172" xr:uid="{00000000-0005-0000-0000-0000B3520000}"/>
    <cellStyle name="60% - 强调文字颜色 5 2 2 7 2 3" xfId="21173" xr:uid="{00000000-0005-0000-0000-0000B4520000}"/>
    <cellStyle name="60% - 强调文字颜色 5 2 2 7 2 3 2" xfId="21174" xr:uid="{00000000-0005-0000-0000-0000B5520000}"/>
    <cellStyle name="60% - 强调文字颜色 5 2 2 7 3" xfId="21175" xr:uid="{00000000-0005-0000-0000-0000B6520000}"/>
    <cellStyle name="60% - 强调文字颜色 5 2 2 7 3 2" xfId="21176" xr:uid="{00000000-0005-0000-0000-0000B7520000}"/>
    <cellStyle name="60% - 强调文字颜色 5 2 2 7 3 2 2" xfId="21177" xr:uid="{00000000-0005-0000-0000-0000B8520000}"/>
    <cellStyle name="60% - 强调文字颜色 5 2 2 7 4" xfId="21178" xr:uid="{00000000-0005-0000-0000-0000B9520000}"/>
    <cellStyle name="60% - 强调文字颜色 5 2 2 7 4 2" xfId="21179" xr:uid="{00000000-0005-0000-0000-0000BA520000}"/>
    <cellStyle name="60% - 强调文字颜色 5 2 2 8" xfId="21180" xr:uid="{00000000-0005-0000-0000-0000BB520000}"/>
    <cellStyle name="60% - 强调文字颜色 5 2 2 8 2" xfId="21181" xr:uid="{00000000-0005-0000-0000-0000BC520000}"/>
    <cellStyle name="60% - 强调文字颜色 5 2 2 8 2 2" xfId="21182" xr:uid="{00000000-0005-0000-0000-0000BD520000}"/>
    <cellStyle name="60% - 强调文字颜色 5 2 2 8 2 2 2" xfId="21183" xr:uid="{00000000-0005-0000-0000-0000BE520000}"/>
    <cellStyle name="60% - 强调文字颜色 5 2 2 8 3" xfId="21184" xr:uid="{00000000-0005-0000-0000-0000BF520000}"/>
    <cellStyle name="60% - 强调文字颜色 5 2 2 8 3 2" xfId="21185" xr:uid="{00000000-0005-0000-0000-0000C0520000}"/>
    <cellStyle name="60% - 强调文字颜色 5 2 2 9" xfId="21186" xr:uid="{00000000-0005-0000-0000-0000C1520000}"/>
    <cellStyle name="60% - 强调文字颜色 5 2 2 9 2" xfId="21187" xr:uid="{00000000-0005-0000-0000-0000C2520000}"/>
    <cellStyle name="60% - 强调文字颜色 5 2 2 9 2 2" xfId="21188" xr:uid="{00000000-0005-0000-0000-0000C3520000}"/>
    <cellStyle name="60% - 强调文字颜色 5 2 2 9 2 2 2" xfId="21189" xr:uid="{00000000-0005-0000-0000-0000C4520000}"/>
    <cellStyle name="60% - 强调文字颜色 5 2 2 9 3" xfId="21190" xr:uid="{00000000-0005-0000-0000-0000C5520000}"/>
    <cellStyle name="60% - 强调文字颜色 5 2 2 9 3 2" xfId="21191" xr:uid="{00000000-0005-0000-0000-0000C6520000}"/>
    <cellStyle name="60% - 强调文字颜色 5 2 3" xfId="21192" xr:uid="{00000000-0005-0000-0000-0000C7520000}"/>
    <cellStyle name="60% - 强调文字颜色 5 2 3 2" xfId="21193" xr:uid="{00000000-0005-0000-0000-0000C8520000}"/>
    <cellStyle name="60% - 强调文字颜色 5 2 3 2 2" xfId="21194" xr:uid="{00000000-0005-0000-0000-0000C9520000}"/>
    <cellStyle name="60% - 强调文字颜色 5 2 3 2 2 2" xfId="21195" xr:uid="{00000000-0005-0000-0000-0000CA520000}"/>
    <cellStyle name="60% - 强调文字颜色 5 2 3 2 2 2 2" xfId="21196" xr:uid="{00000000-0005-0000-0000-0000CB520000}"/>
    <cellStyle name="60% - 强调文字颜色 5 2 3 2 2 2 3" xfId="21197" xr:uid="{00000000-0005-0000-0000-0000CC520000}"/>
    <cellStyle name="60% - 强调文字颜色 5 2 3 2 2 2 3 2" xfId="21198" xr:uid="{00000000-0005-0000-0000-0000CD520000}"/>
    <cellStyle name="60% - 强调文字颜色 5 2 3 2 2 2 3 2 2" xfId="21199" xr:uid="{00000000-0005-0000-0000-0000CE520000}"/>
    <cellStyle name="60% - 强调文字颜色 5 2 3 2 2 2 4" xfId="21200" xr:uid="{00000000-0005-0000-0000-0000CF520000}"/>
    <cellStyle name="60% - 强调文字颜色 5 2 3 2 2 2 4 2" xfId="21201" xr:uid="{00000000-0005-0000-0000-0000D0520000}"/>
    <cellStyle name="60% - 强调文字颜色 5 2 3 2 2 3" xfId="21202" xr:uid="{00000000-0005-0000-0000-0000D1520000}"/>
    <cellStyle name="60% - 强调文字颜色 5 2 3 2 2 3 2" xfId="21203" xr:uid="{00000000-0005-0000-0000-0000D2520000}"/>
    <cellStyle name="60% - 强调文字颜色 5 2 3 2 2 3 2 2" xfId="21204" xr:uid="{00000000-0005-0000-0000-0000D3520000}"/>
    <cellStyle name="60% - 强调文字颜色 5 2 3 2 2 3 2 2 2" xfId="21205" xr:uid="{00000000-0005-0000-0000-0000D4520000}"/>
    <cellStyle name="60% - 强调文字颜色 5 2 3 2 2 3 3" xfId="21206" xr:uid="{00000000-0005-0000-0000-0000D5520000}"/>
    <cellStyle name="60% - 强调文字颜色 5 2 3 2 2 3 3 2" xfId="21207" xr:uid="{00000000-0005-0000-0000-0000D6520000}"/>
    <cellStyle name="60% - 强调文字颜色 5 2 3 2 2 4" xfId="21208" xr:uid="{00000000-0005-0000-0000-0000D7520000}"/>
    <cellStyle name="60% - 强调文字颜色 5 2 3 2 2 5" xfId="21209" xr:uid="{00000000-0005-0000-0000-0000D8520000}"/>
    <cellStyle name="60% - 强调文字颜色 5 2 3 2 2 6" xfId="21210" xr:uid="{00000000-0005-0000-0000-0000D9520000}"/>
    <cellStyle name="60% - 强调文字颜色 5 2 3 2 3" xfId="21211" xr:uid="{00000000-0005-0000-0000-0000DA520000}"/>
    <cellStyle name="60% - 强调文字颜色 5 2 3 2 3 2" xfId="21212" xr:uid="{00000000-0005-0000-0000-0000DB520000}"/>
    <cellStyle name="60% - 强调文字颜色 5 2 3 2 3 3" xfId="21213" xr:uid="{00000000-0005-0000-0000-0000DC520000}"/>
    <cellStyle name="60% - 强调文字颜色 5 2 3 2 3 3 2" xfId="21214" xr:uid="{00000000-0005-0000-0000-0000DD520000}"/>
    <cellStyle name="60% - 强调文字颜色 5 2 3 2 3 3 2 2" xfId="21215" xr:uid="{00000000-0005-0000-0000-0000DE520000}"/>
    <cellStyle name="60% - 强调文字颜色 5 2 3 2 3 4" xfId="21216" xr:uid="{00000000-0005-0000-0000-0000DF520000}"/>
    <cellStyle name="60% - 强调文字颜色 5 2 3 2 3 4 2" xfId="21217" xr:uid="{00000000-0005-0000-0000-0000E0520000}"/>
    <cellStyle name="60% - 强调文字颜色 5 2 3 2 4" xfId="21218" xr:uid="{00000000-0005-0000-0000-0000E1520000}"/>
    <cellStyle name="60% - 强调文字颜色 5 2 3 2 4 2" xfId="21219" xr:uid="{00000000-0005-0000-0000-0000E2520000}"/>
    <cellStyle name="60% - 强调文字颜色 5 2 3 2 4 2 2" xfId="21220" xr:uid="{00000000-0005-0000-0000-0000E3520000}"/>
    <cellStyle name="60% - 强调文字颜色 5 2 3 2 4 2 2 2" xfId="21221" xr:uid="{00000000-0005-0000-0000-0000E4520000}"/>
    <cellStyle name="60% - 强调文字颜色 5 2 3 2 4 3" xfId="21222" xr:uid="{00000000-0005-0000-0000-0000E5520000}"/>
    <cellStyle name="60% - 强调文字颜色 5 2 3 2 4 3 2" xfId="21223" xr:uid="{00000000-0005-0000-0000-0000E6520000}"/>
    <cellStyle name="60% - 强调文字颜色 5 2 3 2 5" xfId="21224" xr:uid="{00000000-0005-0000-0000-0000E7520000}"/>
    <cellStyle name="60% - 强调文字颜色 5 2 3 2 6" xfId="21225" xr:uid="{00000000-0005-0000-0000-0000E8520000}"/>
    <cellStyle name="60% - 强调文字颜色 5 2 3 2 7" xfId="21226" xr:uid="{00000000-0005-0000-0000-0000E9520000}"/>
    <cellStyle name="60% - 强调文字颜色 5 2 3 3" xfId="21227" xr:uid="{00000000-0005-0000-0000-0000EA520000}"/>
    <cellStyle name="60% - 强调文字颜色 5 2 3 3 2" xfId="21228" xr:uid="{00000000-0005-0000-0000-0000EB520000}"/>
    <cellStyle name="60% - 强调文字颜色 5 2 3 3 2 2" xfId="21229" xr:uid="{00000000-0005-0000-0000-0000EC520000}"/>
    <cellStyle name="60% - 强调文字颜色 5 2 3 3 2 3" xfId="21230" xr:uid="{00000000-0005-0000-0000-0000ED520000}"/>
    <cellStyle name="60% - 强调文字颜色 5 2 3 3 2 3 2" xfId="21231" xr:uid="{00000000-0005-0000-0000-0000EE520000}"/>
    <cellStyle name="60% - 强调文字颜色 5 2 3 3 2 3 2 2" xfId="21232" xr:uid="{00000000-0005-0000-0000-0000EF520000}"/>
    <cellStyle name="60% - 强调文字颜色 5 2 3 3 2 4" xfId="21233" xr:uid="{00000000-0005-0000-0000-0000F0520000}"/>
    <cellStyle name="60% - 强调文字颜色 5 2 3 3 2 4 2" xfId="21234" xr:uid="{00000000-0005-0000-0000-0000F1520000}"/>
    <cellStyle name="60% - 强调文字颜色 5 2 3 3 3" xfId="21235" xr:uid="{00000000-0005-0000-0000-0000F2520000}"/>
    <cellStyle name="60% - 强调文字颜色 5 2 3 3 3 2" xfId="21236" xr:uid="{00000000-0005-0000-0000-0000F3520000}"/>
    <cellStyle name="60% - 强调文字颜色 5 2 3 3 3 2 2" xfId="21237" xr:uid="{00000000-0005-0000-0000-0000F4520000}"/>
    <cellStyle name="60% - 强调文字颜色 5 2 3 3 3 2 2 2" xfId="21238" xr:uid="{00000000-0005-0000-0000-0000F5520000}"/>
    <cellStyle name="60% - 强调文字颜色 5 2 3 3 3 3" xfId="21239" xr:uid="{00000000-0005-0000-0000-0000F6520000}"/>
    <cellStyle name="60% - 强调文字颜色 5 2 3 3 3 3 2" xfId="21240" xr:uid="{00000000-0005-0000-0000-0000F7520000}"/>
    <cellStyle name="60% - 强调文字颜色 5 2 3 3 4" xfId="21241" xr:uid="{00000000-0005-0000-0000-0000F8520000}"/>
    <cellStyle name="60% - 强调文字颜色 5 2 3 3 5" xfId="21242" xr:uid="{00000000-0005-0000-0000-0000F9520000}"/>
    <cellStyle name="60% - 强调文字颜色 5 2 3 3 6" xfId="21243" xr:uid="{00000000-0005-0000-0000-0000FA520000}"/>
    <cellStyle name="60% - 强调文字颜色 5 2 3 4" xfId="21244" xr:uid="{00000000-0005-0000-0000-0000FB520000}"/>
    <cellStyle name="60% - 强调文字颜色 5 2 3 4 2" xfId="21245" xr:uid="{00000000-0005-0000-0000-0000FC520000}"/>
    <cellStyle name="60% - 强调文字颜色 5 2 3 4 2 2" xfId="21246" xr:uid="{00000000-0005-0000-0000-0000FD520000}"/>
    <cellStyle name="60% - 强调文字颜色 5 2 3 4 2 3" xfId="21247" xr:uid="{00000000-0005-0000-0000-0000FE520000}"/>
    <cellStyle name="60% - 强调文字颜色 5 2 3 4 2 3 2" xfId="21248" xr:uid="{00000000-0005-0000-0000-0000FF520000}"/>
    <cellStyle name="60% - 强调文字颜色 5 2 3 4 2 3 2 2" xfId="21249" xr:uid="{00000000-0005-0000-0000-000000530000}"/>
    <cellStyle name="60% - 强调文字颜色 5 2 3 4 2 4" xfId="21250" xr:uid="{00000000-0005-0000-0000-000001530000}"/>
    <cellStyle name="60% - 强调文字颜色 5 2 3 4 2 4 2" xfId="21251" xr:uid="{00000000-0005-0000-0000-000002530000}"/>
    <cellStyle name="60% - 强调文字颜色 5 2 3 4 3" xfId="21252" xr:uid="{00000000-0005-0000-0000-000003530000}"/>
    <cellStyle name="60% - 强调文字颜色 5 2 3 4 4" xfId="21253" xr:uid="{00000000-0005-0000-0000-000004530000}"/>
    <cellStyle name="60% - 强调文字颜色 5 2 3 4 5" xfId="21254" xr:uid="{00000000-0005-0000-0000-000005530000}"/>
    <cellStyle name="60% - 强调文字颜色 5 2 3 4 6" xfId="21255" xr:uid="{00000000-0005-0000-0000-000006530000}"/>
    <cellStyle name="60% - 强调文字颜色 5 2 3 5" xfId="21256" xr:uid="{00000000-0005-0000-0000-000007530000}"/>
    <cellStyle name="60% - 强调文字颜色 5 2 3 5 2" xfId="21257" xr:uid="{00000000-0005-0000-0000-000008530000}"/>
    <cellStyle name="60% - 强调文字颜色 5 2 3 5 2 2" xfId="21258" xr:uid="{00000000-0005-0000-0000-000009530000}"/>
    <cellStyle name="60% - 强调文字颜色 5 2 3 5 2 2 2" xfId="21259" xr:uid="{00000000-0005-0000-0000-00000A530000}"/>
    <cellStyle name="60% - 强调文字颜色 5 2 3 5 2 2 2 2" xfId="21260" xr:uid="{00000000-0005-0000-0000-00000B530000}"/>
    <cellStyle name="60% - 强调文字颜色 5 2 3 5 2 3" xfId="21261" xr:uid="{00000000-0005-0000-0000-00000C530000}"/>
    <cellStyle name="60% - 强调文字颜色 5 2 3 5 2 3 2" xfId="21262" xr:uid="{00000000-0005-0000-0000-00000D530000}"/>
    <cellStyle name="60% - 强调文字颜色 5 2 3 5 3" xfId="21263" xr:uid="{00000000-0005-0000-0000-00000E530000}"/>
    <cellStyle name="60% - 强调文字颜色 5 2 3 5 3 2" xfId="21264" xr:uid="{00000000-0005-0000-0000-00000F530000}"/>
    <cellStyle name="60% - 强调文字颜色 5 2 3 5 3 2 2" xfId="21265" xr:uid="{00000000-0005-0000-0000-000010530000}"/>
    <cellStyle name="60% - 强调文字颜色 5 2 3 5 4" xfId="21266" xr:uid="{00000000-0005-0000-0000-000011530000}"/>
    <cellStyle name="60% - 强调文字颜色 5 2 3 5 4 2" xfId="21267" xr:uid="{00000000-0005-0000-0000-000012530000}"/>
    <cellStyle name="60% - 强调文字颜色 5 2 3 6" xfId="21268" xr:uid="{00000000-0005-0000-0000-000013530000}"/>
    <cellStyle name="60% - 强调文字颜色 5 2 3 6 2" xfId="21269" xr:uid="{00000000-0005-0000-0000-000014530000}"/>
    <cellStyle name="60% - 强调文字颜色 5 2 3 6 2 2" xfId="21270" xr:uid="{00000000-0005-0000-0000-000015530000}"/>
    <cellStyle name="60% - 强调文字颜色 5 2 3 6 2 2 2" xfId="21271" xr:uid="{00000000-0005-0000-0000-000016530000}"/>
    <cellStyle name="60% - 强调文字颜色 5 2 3 6 3" xfId="21272" xr:uid="{00000000-0005-0000-0000-000017530000}"/>
    <cellStyle name="60% - 强调文字颜色 5 2 3 6 3 2" xfId="21273" xr:uid="{00000000-0005-0000-0000-000018530000}"/>
    <cellStyle name="60% - 强调文字颜色 5 2 3 7" xfId="21274" xr:uid="{00000000-0005-0000-0000-000019530000}"/>
    <cellStyle name="60% - 强调文字颜色 5 2 3 7 2" xfId="21275" xr:uid="{00000000-0005-0000-0000-00001A530000}"/>
    <cellStyle name="60% - 强调文字颜色 5 2 3 7 2 2" xfId="21276" xr:uid="{00000000-0005-0000-0000-00001B530000}"/>
    <cellStyle name="60% - 强调文字颜色 5 2 3 7 2 2 2" xfId="21277" xr:uid="{00000000-0005-0000-0000-00001C530000}"/>
    <cellStyle name="60% - 强调文字颜色 5 2 3 7 3" xfId="21278" xr:uid="{00000000-0005-0000-0000-00001D530000}"/>
    <cellStyle name="60% - 强调文字颜色 5 2 3 7 3 2" xfId="21279" xr:uid="{00000000-0005-0000-0000-00001E530000}"/>
    <cellStyle name="60% - 强调文字颜色 5 2 3 8" xfId="21280" xr:uid="{00000000-0005-0000-0000-00001F530000}"/>
    <cellStyle name="60% - 强调文字颜色 5 2 3 9" xfId="21281" xr:uid="{00000000-0005-0000-0000-000020530000}"/>
    <cellStyle name="60% - 强调文字颜色 5 2 4" xfId="21282" xr:uid="{00000000-0005-0000-0000-000021530000}"/>
    <cellStyle name="60% - 强调文字颜色 5 2 4 2" xfId="21283" xr:uid="{00000000-0005-0000-0000-000022530000}"/>
    <cellStyle name="60% - 强调文字颜色 5 2 4 2 2" xfId="21284" xr:uid="{00000000-0005-0000-0000-000023530000}"/>
    <cellStyle name="60% - 强调文字颜色 5 2 4 2 3" xfId="21285" xr:uid="{00000000-0005-0000-0000-000024530000}"/>
    <cellStyle name="60% - 强调文字颜色 5 2 4 2 3 2" xfId="21286" xr:uid="{00000000-0005-0000-0000-000025530000}"/>
    <cellStyle name="60% - 强调文字颜色 5 2 4 2 3 2 2" xfId="21287" xr:uid="{00000000-0005-0000-0000-000026530000}"/>
    <cellStyle name="60% - 强调文字颜色 5 2 4 2 4" xfId="21288" xr:uid="{00000000-0005-0000-0000-000027530000}"/>
    <cellStyle name="60% - 强调文字颜色 5 2 4 2 4 2" xfId="21289" xr:uid="{00000000-0005-0000-0000-000028530000}"/>
    <cellStyle name="60% - 强调文字颜色 5 2 4 3" xfId="21290" xr:uid="{00000000-0005-0000-0000-000029530000}"/>
    <cellStyle name="60% - 强调文字颜色 5 2 4 3 2" xfId="21291" xr:uid="{00000000-0005-0000-0000-00002A530000}"/>
    <cellStyle name="60% - 强调文字颜色 5 2 4 3 2 2" xfId="21292" xr:uid="{00000000-0005-0000-0000-00002B530000}"/>
    <cellStyle name="60% - 强调文字颜色 5 2 4 3 2 2 2" xfId="21293" xr:uid="{00000000-0005-0000-0000-00002C530000}"/>
    <cellStyle name="60% - 强调文字颜色 5 2 4 3 3" xfId="21294" xr:uid="{00000000-0005-0000-0000-00002D530000}"/>
    <cellStyle name="60% - 强调文字颜色 5 2 4 3 3 2" xfId="21295" xr:uid="{00000000-0005-0000-0000-00002E530000}"/>
    <cellStyle name="60% - 强调文字颜色 5 2 4 4" xfId="21296" xr:uid="{00000000-0005-0000-0000-00002F530000}"/>
    <cellStyle name="60% - 强调文字颜色 5 2 4 5" xfId="21297" xr:uid="{00000000-0005-0000-0000-000030530000}"/>
    <cellStyle name="60% - 强调文字颜色 5 2 4 6" xfId="21298" xr:uid="{00000000-0005-0000-0000-000031530000}"/>
    <cellStyle name="60% - 强调文字颜色 5 2 5" xfId="21299" xr:uid="{00000000-0005-0000-0000-000032530000}"/>
    <cellStyle name="60% - 强调文字颜色 5 2 5 2" xfId="21300" xr:uid="{00000000-0005-0000-0000-000033530000}"/>
    <cellStyle name="60% - 强调文字颜色 5 2 5 2 2" xfId="21301" xr:uid="{00000000-0005-0000-0000-000034530000}"/>
    <cellStyle name="60% - 强调文字颜色 5 2 5 2 3" xfId="21302" xr:uid="{00000000-0005-0000-0000-000035530000}"/>
    <cellStyle name="60% - 强调文字颜色 5 2 5 2 3 2" xfId="21303" xr:uid="{00000000-0005-0000-0000-000036530000}"/>
    <cellStyle name="60% - 强调文字颜色 5 2 5 2 3 2 2" xfId="21304" xr:uid="{00000000-0005-0000-0000-000037530000}"/>
    <cellStyle name="60% - 强调文字颜色 5 2 5 2 4" xfId="21305" xr:uid="{00000000-0005-0000-0000-000038530000}"/>
    <cellStyle name="60% - 强调文字颜色 5 2 5 2 4 2" xfId="21306" xr:uid="{00000000-0005-0000-0000-000039530000}"/>
    <cellStyle name="60% - 强调文字颜色 5 2 5 3" xfId="21307" xr:uid="{00000000-0005-0000-0000-00003A530000}"/>
    <cellStyle name="60% - 强调文字颜色 5 2 5 4" xfId="21308" xr:uid="{00000000-0005-0000-0000-00003B530000}"/>
    <cellStyle name="60% - 强调文字颜色 5 2 5 5" xfId="21309" xr:uid="{00000000-0005-0000-0000-00003C530000}"/>
    <cellStyle name="60% - 强调文字颜色 5 2 5 6" xfId="21310" xr:uid="{00000000-0005-0000-0000-00003D530000}"/>
    <cellStyle name="60% - 强调文字颜色 5 2 6" xfId="21311" xr:uid="{00000000-0005-0000-0000-00003E530000}"/>
    <cellStyle name="60% - 强调文字颜色 5 2 6 2" xfId="21312" xr:uid="{00000000-0005-0000-0000-00003F530000}"/>
    <cellStyle name="60% - 强调文字颜色 5 2 6 2 2" xfId="21313" xr:uid="{00000000-0005-0000-0000-000040530000}"/>
    <cellStyle name="60% - 强调文字颜色 5 2 6 2 2 2" xfId="21314" xr:uid="{00000000-0005-0000-0000-000041530000}"/>
    <cellStyle name="60% - 强调文字颜色 5 2 6 2 2 2 2" xfId="21315" xr:uid="{00000000-0005-0000-0000-000042530000}"/>
    <cellStyle name="60% - 强调文字颜色 5 2 6 2 3" xfId="21316" xr:uid="{00000000-0005-0000-0000-000043530000}"/>
    <cellStyle name="60% - 强调文字颜色 5 2 6 2 3 2" xfId="21317" xr:uid="{00000000-0005-0000-0000-000044530000}"/>
    <cellStyle name="60% - 强调文字颜色 5 2 6 3" xfId="21318" xr:uid="{00000000-0005-0000-0000-000045530000}"/>
    <cellStyle name="60% - 强调文字颜色 5 2 6 3 2" xfId="21319" xr:uid="{00000000-0005-0000-0000-000046530000}"/>
    <cellStyle name="60% - 强调文字颜色 5 2 6 3 2 2" xfId="21320" xr:uid="{00000000-0005-0000-0000-000047530000}"/>
    <cellStyle name="60% - 强调文字颜色 5 2 6 4" xfId="21321" xr:uid="{00000000-0005-0000-0000-000048530000}"/>
    <cellStyle name="60% - 强调文字颜色 5 2 6 4 2" xfId="21322" xr:uid="{00000000-0005-0000-0000-000049530000}"/>
    <cellStyle name="60% - 强调文字颜色 5 2 7" xfId="21323" xr:uid="{00000000-0005-0000-0000-00004A530000}"/>
    <cellStyle name="60% - 强调文字颜色 5 2 7 2" xfId="21324" xr:uid="{00000000-0005-0000-0000-00004B530000}"/>
    <cellStyle name="60% - 强调文字颜色 5 2 7 2 2" xfId="21325" xr:uid="{00000000-0005-0000-0000-00004C530000}"/>
    <cellStyle name="60% - 强调文字颜色 5 2 7 2 2 2" xfId="21326" xr:uid="{00000000-0005-0000-0000-00004D530000}"/>
    <cellStyle name="60% - 强调文字颜色 5 2 7 2 2 2 2" xfId="21327" xr:uid="{00000000-0005-0000-0000-00004E530000}"/>
    <cellStyle name="60% - 强调文字颜色 5 2 7 2 3" xfId="21328" xr:uid="{00000000-0005-0000-0000-00004F530000}"/>
    <cellStyle name="60% - 强调文字颜色 5 2 7 2 3 2" xfId="21329" xr:uid="{00000000-0005-0000-0000-000050530000}"/>
    <cellStyle name="60% - 强调文字颜色 5 2 7 3" xfId="21330" xr:uid="{00000000-0005-0000-0000-000051530000}"/>
    <cellStyle name="60% - 强调文字颜色 5 2 7 3 2" xfId="21331" xr:uid="{00000000-0005-0000-0000-000052530000}"/>
    <cellStyle name="60% - 强调文字颜色 5 2 7 3 2 2" xfId="21332" xr:uid="{00000000-0005-0000-0000-000053530000}"/>
    <cellStyle name="60% - 强调文字颜色 5 2 7 4" xfId="21333" xr:uid="{00000000-0005-0000-0000-000054530000}"/>
    <cellStyle name="60% - 强调文字颜色 5 2 7 4 2" xfId="21334" xr:uid="{00000000-0005-0000-0000-000055530000}"/>
    <cellStyle name="60% - 强调文字颜色 5 2 8" xfId="21335" xr:uid="{00000000-0005-0000-0000-000056530000}"/>
    <cellStyle name="60% - 强调文字颜色 5 2 8 2" xfId="21336" xr:uid="{00000000-0005-0000-0000-000057530000}"/>
    <cellStyle name="60% - 强调文字颜色 5 2 8 2 2" xfId="21337" xr:uid="{00000000-0005-0000-0000-000058530000}"/>
    <cellStyle name="60% - 强调文字颜色 5 2 8 2 2 2" xfId="21338" xr:uid="{00000000-0005-0000-0000-000059530000}"/>
    <cellStyle name="60% - 强调文字颜色 5 2 8 2 2 2 2" xfId="21339" xr:uid="{00000000-0005-0000-0000-00005A530000}"/>
    <cellStyle name="60% - 强调文字颜色 5 2 8 2 3" xfId="21340" xr:uid="{00000000-0005-0000-0000-00005B530000}"/>
    <cellStyle name="60% - 强调文字颜色 5 2 8 2 3 2" xfId="21341" xr:uid="{00000000-0005-0000-0000-00005C530000}"/>
    <cellStyle name="60% - 强调文字颜色 5 2 8 3" xfId="21342" xr:uid="{00000000-0005-0000-0000-00005D530000}"/>
    <cellStyle name="60% - 强调文字颜色 5 2 8 3 2" xfId="21343" xr:uid="{00000000-0005-0000-0000-00005E530000}"/>
    <cellStyle name="60% - 强调文字颜色 5 2 8 3 2 2" xfId="21344" xr:uid="{00000000-0005-0000-0000-00005F530000}"/>
    <cellStyle name="60% - 强调文字颜色 5 2 8 4" xfId="21345" xr:uid="{00000000-0005-0000-0000-000060530000}"/>
    <cellStyle name="60% - 强调文字颜色 5 2 8 4 2" xfId="21346" xr:uid="{00000000-0005-0000-0000-000061530000}"/>
    <cellStyle name="60% - 强调文字颜色 5 2 9" xfId="21347" xr:uid="{00000000-0005-0000-0000-000062530000}"/>
    <cellStyle name="60% - 强调文字颜色 5 2 9 2" xfId="21348" xr:uid="{00000000-0005-0000-0000-000063530000}"/>
    <cellStyle name="60% - 强调文字颜色 5 2 9 2 2" xfId="21349" xr:uid="{00000000-0005-0000-0000-000064530000}"/>
    <cellStyle name="60% - 强调文字颜色 5 2 9 2 2 2" xfId="21350" xr:uid="{00000000-0005-0000-0000-000065530000}"/>
    <cellStyle name="60% - 强调文字颜色 5 2 9 3" xfId="21351" xr:uid="{00000000-0005-0000-0000-000066530000}"/>
    <cellStyle name="60% - 强调文字颜色 5 2 9 3 2" xfId="21352" xr:uid="{00000000-0005-0000-0000-000067530000}"/>
    <cellStyle name="60% - 强调文字颜色 5 3" xfId="21353" xr:uid="{00000000-0005-0000-0000-000068530000}"/>
    <cellStyle name="60% - 强调文字颜色 5 3 2" xfId="21354" xr:uid="{00000000-0005-0000-0000-000069530000}"/>
    <cellStyle name="60% - 强调文字颜色 5 3 2 2" xfId="21355" xr:uid="{00000000-0005-0000-0000-00006A530000}"/>
    <cellStyle name="60% - 强调文字颜色 5 3 2 2 2" xfId="21356" xr:uid="{00000000-0005-0000-0000-00006B530000}"/>
    <cellStyle name="60% - 强调文字颜色 5 3 2 2 2 2" xfId="21357" xr:uid="{00000000-0005-0000-0000-00006C530000}"/>
    <cellStyle name="60% - 强调文字颜色 5 3 2 2 2 3" xfId="21358" xr:uid="{00000000-0005-0000-0000-00006D530000}"/>
    <cellStyle name="60% - 强调文字颜色 5 3 2 2 2 3 2" xfId="21359" xr:uid="{00000000-0005-0000-0000-00006E530000}"/>
    <cellStyle name="60% - 强调文字颜色 5 3 2 2 2 3 2 2" xfId="21360" xr:uid="{00000000-0005-0000-0000-00006F530000}"/>
    <cellStyle name="60% - 强调文字颜色 5 3 2 2 2 4" xfId="21361" xr:uid="{00000000-0005-0000-0000-000070530000}"/>
    <cellStyle name="60% - 强调文字颜色 5 3 2 2 2 4 2" xfId="21362" xr:uid="{00000000-0005-0000-0000-000071530000}"/>
    <cellStyle name="60% - 强调文字颜色 5 3 2 2 3" xfId="21363" xr:uid="{00000000-0005-0000-0000-000072530000}"/>
    <cellStyle name="60% - 强调文字颜色 5 3 2 2 3 2" xfId="21364" xr:uid="{00000000-0005-0000-0000-000073530000}"/>
    <cellStyle name="60% - 强调文字颜色 5 3 2 2 3 2 2" xfId="21365" xr:uid="{00000000-0005-0000-0000-000074530000}"/>
    <cellStyle name="60% - 强调文字颜色 5 3 2 2 3 2 2 2" xfId="21366" xr:uid="{00000000-0005-0000-0000-000075530000}"/>
    <cellStyle name="60% - 强调文字颜色 5 3 2 2 3 3" xfId="21367" xr:uid="{00000000-0005-0000-0000-000076530000}"/>
    <cellStyle name="60% - 强调文字颜色 5 3 2 2 3 3 2" xfId="21368" xr:uid="{00000000-0005-0000-0000-000077530000}"/>
    <cellStyle name="60% - 强调文字颜色 5 3 2 2 4" xfId="21369" xr:uid="{00000000-0005-0000-0000-000078530000}"/>
    <cellStyle name="60% - 强调文字颜色 5 3 2 2 5" xfId="21370" xr:uid="{00000000-0005-0000-0000-000079530000}"/>
    <cellStyle name="60% - 强调文字颜色 5 3 2 2 6" xfId="21371" xr:uid="{00000000-0005-0000-0000-00007A530000}"/>
    <cellStyle name="60% - 强调文字颜色 5 3 2 3" xfId="21372" xr:uid="{00000000-0005-0000-0000-00007B530000}"/>
    <cellStyle name="60% - 强调文字颜色 5 3 2 3 2" xfId="21373" xr:uid="{00000000-0005-0000-0000-00007C530000}"/>
    <cellStyle name="60% - 强调文字颜色 5 3 2 3 3" xfId="21374" xr:uid="{00000000-0005-0000-0000-00007D530000}"/>
    <cellStyle name="60% - 强调文字颜色 5 3 2 3 3 2" xfId="21375" xr:uid="{00000000-0005-0000-0000-00007E530000}"/>
    <cellStyle name="60% - 强调文字颜色 5 3 2 3 3 2 2" xfId="21376" xr:uid="{00000000-0005-0000-0000-00007F530000}"/>
    <cellStyle name="60% - 强调文字颜色 5 3 2 3 4" xfId="21377" xr:uid="{00000000-0005-0000-0000-000080530000}"/>
    <cellStyle name="60% - 强调文字颜色 5 3 2 3 4 2" xfId="21378" xr:uid="{00000000-0005-0000-0000-000081530000}"/>
    <cellStyle name="60% - 强调文字颜色 5 3 2 4" xfId="21379" xr:uid="{00000000-0005-0000-0000-000082530000}"/>
    <cellStyle name="60% - 强调文字颜色 5 3 2 4 2" xfId="21380" xr:uid="{00000000-0005-0000-0000-000083530000}"/>
    <cellStyle name="60% - 强调文字颜色 5 3 2 4 2 2" xfId="21381" xr:uid="{00000000-0005-0000-0000-000084530000}"/>
    <cellStyle name="60% - 强调文字颜色 5 3 2 4 2 2 2" xfId="21382" xr:uid="{00000000-0005-0000-0000-000085530000}"/>
    <cellStyle name="60% - 强调文字颜色 5 3 2 4 3" xfId="21383" xr:uid="{00000000-0005-0000-0000-000086530000}"/>
    <cellStyle name="60% - 强调文字颜色 5 3 2 4 3 2" xfId="21384" xr:uid="{00000000-0005-0000-0000-000087530000}"/>
    <cellStyle name="60% - 强调文字颜色 5 3 2 5" xfId="21385" xr:uid="{00000000-0005-0000-0000-000088530000}"/>
    <cellStyle name="60% - 强调文字颜色 5 3 2 6" xfId="21386" xr:uid="{00000000-0005-0000-0000-000089530000}"/>
    <cellStyle name="60% - 强调文字颜色 5 3 2 7" xfId="21387" xr:uid="{00000000-0005-0000-0000-00008A530000}"/>
    <cellStyle name="60% - 强调文字颜色 5 3 3" xfId="21388" xr:uid="{00000000-0005-0000-0000-00008B530000}"/>
    <cellStyle name="60% - 强调文字颜色 5 3 3 2" xfId="21389" xr:uid="{00000000-0005-0000-0000-00008C530000}"/>
    <cellStyle name="60% - 强调文字颜色 5 3 3 2 2" xfId="21390" xr:uid="{00000000-0005-0000-0000-00008D530000}"/>
    <cellStyle name="60% - 强调文字颜色 5 3 3 2 3" xfId="21391" xr:uid="{00000000-0005-0000-0000-00008E530000}"/>
    <cellStyle name="60% - 强调文字颜色 5 3 3 2 3 2" xfId="21392" xr:uid="{00000000-0005-0000-0000-00008F530000}"/>
    <cellStyle name="60% - 强调文字颜色 5 3 3 2 3 2 2" xfId="21393" xr:uid="{00000000-0005-0000-0000-000090530000}"/>
    <cellStyle name="60% - 强调文字颜色 5 3 3 2 4" xfId="21394" xr:uid="{00000000-0005-0000-0000-000091530000}"/>
    <cellStyle name="60% - 强调文字颜色 5 3 3 2 4 2" xfId="21395" xr:uid="{00000000-0005-0000-0000-000092530000}"/>
    <cellStyle name="60% - 强调文字颜色 5 3 3 3" xfId="21396" xr:uid="{00000000-0005-0000-0000-000093530000}"/>
    <cellStyle name="60% - 强调文字颜色 5 3 3 3 2" xfId="21397" xr:uid="{00000000-0005-0000-0000-000094530000}"/>
    <cellStyle name="60% - 强调文字颜色 5 3 3 3 2 2" xfId="21398" xr:uid="{00000000-0005-0000-0000-000095530000}"/>
    <cellStyle name="60% - 强调文字颜色 5 3 3 3 2 2 2" xfId="21399" xr:uid="{00000000-0005-0000-0000-000096530000}"/>
    <cellStyle name="60% - 强调文字颜色 5 3 3 3 3" xfId="21400" xr:uid="{00000000-0005-0000-0000-000097530000}"/>
    <cellStyle name="60% - 强调文字颜色 5 3 3 3 3 2" xfId="21401" xr:uid="{00000000-0005-0000-0000-000098530000}"/>
    <cellStyle name="60% - 强调文字颜色 5 3 3 4" xfId="21402" xr:uid="{00000000-0005-0000-0000-000099530000}"/>
    <cellStyle name="60% - 强调文字颜色 5 3 3 5" xfId="21403" xr:uid="{00000000-0005-0000-0000-00009A530000}"/>
    <cellStyle name="60% - 强调文字颜色 5 3 3 6" xfId="21404" xr:uid="{00000000-0005-0000-0000-00009B530000}"/>
    <cellStyle name="60% - 强调文字颜色 5 3 4" xfId="21405" xr:uid="{00000000-0005-0000-0000-00009C530000}"/>
    <cellStyle name="60% - 强调文字颜色 5 3 4 2" xfId="21406" xr:uid="{00000000-0005-0000-0000-00009D530000}"/>
    <cellStyle name="60% - 强调文字颜色 5 3 4 2 2" xfId="21407" xr:uid="{00000000-0005-0000-0000-00009E530000}"/>
    <cellStyle name="60% - 强调文字颜色 5 3 4 2 3" xfId="21408" xr:uid="{00000000-0005-0000-0000-00009F530000}"/>
    <cellStyle name="60% - 强调文字颜色 5 3 4 2 3 2" xfId="21409" xr:uid="{00000000-0005-0000-0000-0000A0530000}"/>
    <cellStyle name="60% - 强调文字颜色 5 3 4 2 3 2 2" xfId="21410" xr:uid="{00000000-0005-0000-0000-0000A1530000}"/>
    <cellStyle name="60% - 强调文字颜色 5 3 4 2 4" xfId="21411" xr:uid="{00000000-0005-0000-0000-0000A2530000}"/>
    <cellStyle name="60% - 强调文字颜色 5 3 4 2 4 2" xfId="21412" xr:uid="{00000000-0005-0000-0000-0000A3530000}"/>
    <cellStyle name="60% - 强调文字颜色 5 3 4 3" xfId="21413" xr:uid="{00000000-0005-0000-0000-0000A4530000}"/>
    <cellStyle name="60% - 强调文字颜色 5 3 4 4" xfId="21414" xr:uid="{00000000-0005-0000-0000-0000A5530000}"/>
    <cellStyle name="60% - 强调文字颜色 5 3 4 5" xfId="21415" xr:uid="{00000000-0005-0000-0000-0000A6530000}"/>
    <cellStyle name="60% - 强调文字颜色 5 3 4 6" xfId="21416" xr:uid="{00000000-0005-0000-0000-0000A7530000}"/>
    <cellStyle name="60% - 强调文字颜色 5 3 5" xfId="21417" xr:uid="{00000000-0005-0000-0000-0000A8530000}"/>
    <cellStyle name="60% - 强调文字颜色 5 3 5 2" xfId="21418" xr:uid="{00000000-0005-0000-0000-0000A9530000}"/>
    <cellStyle name="60% - 强调文字颜色 5 3 5 2 2" xfId="21419" xr:uid="{00000000-0005-0000-0000-0000AA530000}"/>
    <cellStyle name="60% - 强调文字颜色 5 3 5 2 2 2" xfId="21420" xr:uid="{00000000-0005-0000-0000-0000AB530000}"/>
    <cellStyle name="60% - 强调文字颜色 5 3 5 2 2 2 2" xfId="21421" xr:uid="{00000000-0005-0000-0000-0000AC530000}"/>
    <cellStyle name="60% - 强调文字颜色 5 3 5 2 3" xfId="21422" xr:uid="{00000000-0005-0000-0000-0000AD530000}"/>
    <cellStyle name="60% - 强调文字颜色 5 3 5 2 3 2" xfId="21423" xr:uid="{00000000-0005-0000-0000-0000AE530000}"/>
    <cellStyle name="60% - 强调文字颜色 5 3 5 3" xfId="21424" xr:uid="{00000000-0005-0000-0000-0000AF530000}"/>
    <cellStyle name="60% - 强调文字颜色 5 3 5 3 2" xfId="21425" xr:uid="{00000000-0005-0000-0000-0000B0530000}"/>
    <cellStyle name="60% - 强调文字颜色 5 3 5 3 2 2" xfId="21426" xr:uid="{00000000-0005-0000-0000-0000B1530000}"/>
    <cellStyle name="60% - 强调文字颜色 5 3 5 4" xfId="21427" xr:uid="{00000000-0005-0000-0000-0000B2530000}"/>
    <cellStyle name="60% - 强调文字颜色 5 3 5 4 2" xfId="21428" xr:uid="{00000000-0005-0000-0000-0000B3530000}"/>
    <cellStyle name="60% - 强调文字颜色 5 3 6" xfId="21429" xr:uid="{00000000-0005-0000-0000-0000B4530000}"/>
    <cellStyle name="60% - 强调文字颜色 5 3 6 2" xfId="21430" xr:uid="{00000000-0005-0000-0000-0000B5530000}"/>
    <cellStyle name="60% - 强调文字颜色 5 3 6 2 2" xfId="21431" xr:uid="{00000000-0005-0000-0000-0000B6530000}"/>
    <cellStyle name="60% - 强调文字颜色 5 3 6 2 2 2" xfId="21432" xr:uid="{00000000-0005-0000-0000-0000B7530000}"/>
    <cellStyle name="60% - 强调文字颜色 5 3 6 3" xfId="21433" xr:uid="{00000000-0005-0000-0000-0000B8530000}"/>
    <cellStyle name="60% - 强调文字颜色 5 3 6 3 2" xfId="21434" xr:uid="{00000000-0005-0000-0000-0000B9530000}"/>
    <cellStyle name="60% - 强调文字颜色 5 3 7" xfId="21435" xr:uid="{00000000-0005-0000-0000-0000BA530000}"/>
    <cellStyle name="60% - 强调文字颜色 5 3 8" xfId="21436" xr:uid="{00000000-0005-0000-0000-0000BB530000}"/>
    <cellStyle name="60% - 强调文字颜色 6 2" xfId="21437" xr:uid="{00000000-0005-0000-0000-0000BC530000}"/>
    <cellStyle name="60% - 强调文字颜色 6 2 10" xfId="21438" xr:uid="{00000000-0005-0000-0000-0000BD530000}"/>
    <cellStyle name="60% - 强调文字颜色 6 2 11" xfId="21439" xr:uid="{00000000-0005-0000-0000-0000BE530000}"/>
    <cellStyle name="60% - 强调文字颜色 6 2 2" xfId="21440" xr:uid="{00000000-0005-0000-0000-0000BF530000}"/>
    <cellStyle name="60% - 强调文字颜色 6 2 2 10" xfId="21441" xr:uid="{00000000-0005-0000-0000-0000C0530000}"/>
    <cellStyle name="60% - 强调文字颜色 6 2 2 11" xfId="21442" xr:uid="{00000000-0005-0000-0000-0000C1530000}"/>
    <cellStyle name="60% - 强调文字颜色 6 2 2 2" xfId="21443" xr:uid="{00000000-0005-0000-0000-0000C2530000}"/>
    <cellStyle name="60% - 强调文字颜色 6 2 2 2 2" xfId="21444" xr:uid="{00000000-0005-0000-0000-0000C3530000}"/>
    <cellStyle name="60% - 强调文字颜色 6 2 2 2 2 2" xfId="21445" xr:uid="{00000000-0005-0000-0000-0000C4530000}"/>
    <cellStyle name="60% - 强调文字颜色 6 2 2 2 2 2 2" xfId="21446" xr:uid="{00000000-0005-0000-0000-0000C5530000}"/>
    <cellStyle name="60% - 强调文字颜色 6 2 2 2 2 2 3" xfId="21447" xr:uid="{00000000-0005-0000-0000-0000C6530000}"/>
    <cellStyle name="60% - 强调文字颜色 6 2 2 2 2 2 3 2" xfId="21448" xr:uid="{00000000-0005-0000-0000-0000C7530000}"/>
    <cellStyle name="60% - 强调文字颜色 6 2 2 2 2 2 3 2 2" xfId="21449" xr:uid="{00000000-0005-0000-0000-0000C8530000}"/>
    <cellStyle name="60% - 强调文字颜色 6 2 2 2 2 2 4" xfId="21450" xr:uid="{00000000-0005-0000-0000-0000C9530000}"/>
    <cellStyle name="60% - 强调文字颜色 6 2 2 2 2 2 4 2" xfId="21451" xr:uid="{00000000-0005-0000-0000-0000CA530000}"/>
    <cellStyle name="60% - 强调文字颜色 6 2 2 2 2 3" xfId="21452" xr:uid="{00000000-0005-0000-0000-0000CB530000}"/>
    <cellStyle name="60% - 强调文字颜色 6 2 2 2 2 3 2" xfId="21453" xr:uid="{00000000-0005-0000-0000-0000CC530000}"/>
    <cellStyle name="60% - 强调文字颜色 6 2 2 2 2 3 2 2" xfId="21454" xr:uid="{00000000-0005-0000-0000-0000CD530000}"/>
    <cellStyle name="60% - 强调文字颜色 6 2 2 2 2 3 2 2 2" xfId="21455" xr:uid="{00000000-0005-0000-0000-0000CE530000}"/>
    <cellStyle name="60% - 强调文字颜色 6 2 2 2 2 3 3" xfId="21456" xr:uid="{00000000-0005-0000-0000-0000CF530000}"/>
    <cellStyle name="60% - 强调文字颜色 6 2 2 2 2 3 3 2" xfId="21457" xr:uid="{00000000-0005-0000-0000-0000D0530000}"/>
    <cellStyle name="60% - 强调文字颜色 6 2 2 2 2 4" xfId="21458" xr:uid="{00000000-0005-0000-0000-0000D1530000}"/>
    <cellStyle name="60% - 强调文字颜色 6 2 2 2 2 5" xfId="21459" xr:uid="{00000000-0005-0000-0000-0000D2530000}"/>
    <cellStyle name="60% - 强调文字颜色 6 2 2 2 2 6" xfId="21460" xr:uid="{00000000-0005-0000-0000-0000D3530000}"/>
    <cellStyle name="60% - 强调文字颜色 6 2 2 2 3" xfId="21461" xr:uid="{00000000-0005-0000-0000-0000D4530000}"/>
    <cellStyle name="60% - 强调文字颜色 6 2 2 2 3 2" xfId="21462" xr:uid="{00000000-0005-0000-0000-0000D5530000}"/>
    <cellStyle name="60% - 强调文字颜色 6 2 2 2 3 3" xfId="21463" xr:uid="{00000000-0005-0000-0000-0000D6530000}"/>
    <cellStyle name="60% - 强调文字颜色 6 2 2 2 3 3 2" xfId="21464" xr:uid="{00000000-0005-0000-0000-0000D7530000}"/>
    <cellStyle name="60% - 强调文字颜色 6 2 2 2 3 3 2 2" xfId="21465" xr:uid="{00000000-0005-0000-0000-0000D8530000}"/>
    <cellStyle name="60% - 强调文字颜色 6 2 2 2 3 4" xfId="21466" xr:uid="{00000000-0005-0000-0000-0000D9530000}"/>
    <cellStyle name="60% - 强调文字颜色 6 2 2 2 3 4 2" xfId="21467" xr:uid="{00000000-0005-0000-0000-0000DA530000}"/>
    <cellStyle name="60% - 强调文字颜色 6 2 2 2 4" xfId="21468" xr:uid="{00000000-0005-0000-0000-0000DB530000}"/>
    <cellStyle name="60% - 强调文字颜色 6 2 2 2 4 2" xfId="21469" xr:uid="{00000000-0005-0000-0000-0000DC530000}"/>
    <cellStyle name="60% - 强调文字颜色 6 2 2 2 4 2 2" xfId="21470" xr:uid="{00000000-0005-0000-0000-0000DD530000}"/>
    <cellStyle name="60% - 强调文字颜色 6 2 2 2 4 2 2 2" xfId="21471" xr:uid="{00000000-0005-0000-0000-0000DE530000}"/>
    <cellStyle name="60% - 强调文字颜色 6 2 2 2 4 3" xfId="21472" xr:uid="{00000000-0005-0000-0000-0000DF530000}"/>
    <cellStyle name="60% - 强调文字颜色 6 2 2 2 4 3 2" xfId="21473" xr:uid="{00000000-0005-0000-0000-0000E0530000}"/>
    <cellStyle name="60% - 强调文字颜色 6 2 2 2 5" xfId="21474" xr:uid="{00000000-0005-0000-0000-0000E1530000}"/>
    <cellStyle name="60% - 强调文字颜色 6 2 2 2 6" xfId="21475" xr:uid="{00000000-0005-0000-0000-0000E2530000}"/>
    <cellStyle name="60% - 强调文字颜色 6 2 2 2 7" xfId="21476" xr:uid="{00000000-0005-0000-0000-0000E3530000}"/>
    <cellStyle name="60% - 强调文字颜色 6 2 2 3" xfId="21477" xr:uid="{00000000-0005-0000-0000-0000E4530000}"/>
    <cellStyle name="60% - 强调文字颜色 6 2 2 3 2" xfId="21478" xr:uid="{00000000-0005-0000-0000-0000E5530000}"/>
    <cellStyle name="60% - 强调文字颜色 6 2 2 3 2 2" xfId="21479" xr:uid="{00000000-0005-0000-0000-0000E6530000}"/>
    <cellStyle name="60% - 强调文字颜色 6 2 2 3 2 3" xfId="21480" xr:uid="{00000000-0005-0000-0000-0000E7530000}"/>
    <cellStyle name="60% - 强调文字颜色 6 2 2 3 2 3 2" xfId="21481" xr:uid="{00000000-0005-0000-0000-0000E8530000}"/>
    <cellStyle name="60% - 强调文字颜色 6 2 2 3 2 3 2 2" xfId="21482" xr:uid="{00000000-0005-0000-0000-0000E9530000}"/>
    <cellStyle name="60% - 强调文字颜色 6 2 2 3 2 4" xfId="21483" xr:uid="{00000000-0005-0000-0000-0000EA530000}"/>
    <cellStyle name="60% - 强调文字颜色 6 2 2 3 2 4 2" xfId="21484" xr:uid="{00000000-0005-0000-0000-0000EB530000}"/>
    <cellStyle name="60% - 强调文字颜色 6 2 2 3 3" xfId="21485" xr:uid="{00000000-0005-0000-0000-0000EC530000}"/>
    <cellStyle name="60% - 强调文字颜色 6 2 2 3 3 2" xfId="21486" xr:uid="{00000000-0005-0000-0000-0000ED530000}"/>
    <cellStyle name="60% - 强调文字颜色 6 2 2 3 3 2 2" xfId="21487" xr:uid="{00000000-0005-0000-0000-0000EE530000}"/>
    <cellStyle name="60% - 强调文字颜色 6 2 2 3 3 2 2 2" xfId="21488" xr:uid="{00000000-0005-0000-0000-0000EF530000}"/>
    <cellStyle name="60% - 强调文字颜色 6 2 2 3 3 3" xfId="21489" xr:uid="{00000000-0005-0000-0000-0000F0530000}"/>
    <cellStyle name="60% - 强调文字颜色 6 2 2 3 3 3 2" xfId="21490" xr:uid="{00000000-0005-0000-0000-0000F1530000}"/>
    <cellStyle name="60% - 强调文字颜色 6 2 2 3 4" xfId="21491" xr:uid="{00000000-0005-0000-0000-0000F2530000}"/>
    <cellStyle name="60% - 强调文字颜色 6 2 2 3 5" xfId="21492" xr:uid="{00000000-0005-0000-0000-0000F3530000}"/>
    <cellStyle name="60% - 强调文字颜色 6 2 2 3 6" xfId="21493" xr:uid="{00000000-0005-0000-0000-0000F4530000}"/>
    <cellStyle name="60% - 强调文字颜色 6 2 2 4" xfId="21494" xr:uid="{00000000-0005-0000-0000-0000F5530000}"/>
    <cellStyle name="60% - 强调文字颜色 6 2 2 4 2" xfId="21495" xr:uid="{00000000-0005-0000-0000-0000F6530000}"/>
    <cellStyle name="60% - 强调文字颜色 6 2 2 4 2 2" xfId="21496" xr:uid="{00000000-0005-0000-0000-0000F7530000}"/>
    <cellStyle name="60% - 强调文字颜色 6 2 2 4 2 3" xfId="21497" xr:uid="{00000000-0005-0000-0000-0000F8530000}"/>
    <cellStyle name="60% - 强调文字颜色 6 2 2 4 2 3 2" xfId="21498" xr:uid="{00000000-0005-0000-0000-0000F9530000}"/>
    <cellStyle name="60% - 强调文字颜色 6 2 2 4 2 3 2 2" xfId="21499" xr:uid="{00000000-0005-0000-0000-0000FA530000}"/>
    <cellStyle name="60% - 强调文字颜色 6 2 2 4 2 4" xfId="21500" xr:uid="{00000000-0005-0000-0000-0000FB530000}"/>
    <cellStyle name="60% - 强调文字颜色 6 2 2 4 2 4 2" xfId="21501" xr:uid="{00000000-0005-0000-0000-0000FC530000}"/>
    <cellStyle name="60% - 强调文字颜色 6 2 2 4 3" xfId="21502" xr:uid="{00000000-0005-0000-0000-0000FD530000}"/>
    <cellStyle name="60% - 强调文字颜色 6 2 2 4 4" xfId="21503" xr:uid="{00000000-0005-0000-0000-0000FE530000}"/>
    <cellStyle name="60% - 强调文字颜色 6 2 2 4 5" xfId="21504" xr:uid="{00000000-0005-0000-0000-0000FF530000}"/>
    <cellStyle name="60% - 强调文字颜色 6 2 2 4 6" xfId="21505" xr:uid="{00000000-0005-0000-0000-000000540000}"/>
    <cellStyle name="60% - 强调文字颜色 6 2 2 5" xfId="21506" xr:uid="{00000000-0005-0000-0000-000001540000}"/>
    <cellStyle name="60% - 强调文字颜色 6 2 2 5 2" xfId="21507" xr:uid="{00000000-0005-0000-0000-000002540000}"/>
    <cellStyle name="60% - 强调文字颜色 6 2 2 5 2 2" xfId="21508" xr:uid="{00000000-0005-0000-0000-000003540000}"/>
    <cellStyle name="60% - 强调文字颜色 6 2 2 5 2 2 2" xfId="21509" xr:uid="{00000000-0005-0000-0000-000004540000}"/>
    <cellStyle name="60% - 强调文字颜色 6 2 2 5 2 2 2 2" xfId="21510" xr:uid="{00000000-0005-0000-0000-000005540000}"/>
    <cellStyle name="60% - 强调文字颜色 6 2 2 5 2 3" xfId="21511" xr:uid="{00000000-0005-0000-0000-000006540000}"/>
    <cellStyle name="60% - 强调文字颜色 6 2 2 5 2 3 2" xfId="21512" xr:uid="{00000000-0005-0000-0000-000007540000}"/>
    <cellStyle name="60% - 强调文字颜色 6 2 2 5 3" xfId="21513" xr:uid="{00000000-0005-0000-0000-000008540000}"/>
    <cellStyle name="60% - 强调文字颜色 6 2 2 5 3 2" xfId="21514" xr:uid="{00000000-0005-0000-0000-000009540000}"/>
    <cellStyle name="60% - 强调文字颜色 6 2 2 5 3 2 2" xfId="21515" xr:uid="{00000000-0005-0000-0000-00000A540000}"/>
    <cellStyle name="60% - 强调文字颜色 6 2 2 5 4" xfId="21516" xr:uid="{00000000-0005-0000-0000-00000B540000}"/>
    <cellStyle name="60% - 强调文字颜色 6 2 2 5 4 2" xfId="21517" xr:uid="{00000000-0005-0000-0000-00000C540000}"/>
    <cellStyle name="60% - 强调文字颜色 6 2 2 6" xfId="21518" xr:uid="{00000000-0005-0000-0000-00000D540000}"/>
    <cellStyle name="60% - 强调文字颜色 6 2 2 6 2" xfId="21519" xr:uid="{00000000-0005-0000-0000-00000E540000}"/>
    <cellStyle name="60% - 强调文字颜色 6 2 2 6 2 2" xfId="21520" xr:uid="{00000000-0005-0000-0000-00000F540000}"/>
    <cellStyle name="60% - 强调文字颜色 6 2 2 6 2 2 2" xfId="21521" xr:uid="{00000000-0005-0000-0000-000010540000}"/>
    <cellStyle name="60% - 强调文字颜色 6 2 2 6 2 2 2 2" xfId="21522" xr:uid="{00000000-0005-0000-0000-000011540000}"/>
    <cellStyle name="60% - 强调文字颜色 6 2 2 6 2 3" xfId="21523" xr:uid="{00000000-0005-0000-0000-000012540000}"/>
    <cellStyle name="60% - 强调文字颜色 6 2 2 6 2 3 2" xfId="21524" xr:uid="{00000000-0005-0000-0000-000013540000}"/>
    <cellStyle name="60% - 强调文字颜色 6 2 2 6 3" xfId="21525" xr:uid="{00000000-0005-0000-0000-000014540000}"/>
    <cellStyle name="60% - 强调文字颜色 6 2 2 6 3 2" xfId="21526" xr:uid="{00000000-0005-0000-0000-000015540000}"/>
    <cellStyle name="60% - 强调文字颜色 6 2 2 6 3 2 2" xfId="21527" xr:uid="{00000000-0005-0000-0000-000016540000}"/>
    <cellStyle name="60% - 强调文字颜色 6 2 2 6 4" xfId="21528" xr:uid="{00000000-0005-0000-0000-000017540000}"/>
    <cellStyle name="60% - 强调文字颜色 6 2 2 6 4 2" xfId="21529" xr:uid="{00000000-0005-0000-0000-000018540000}"/>
    <cellStyle name="60% - 强调文字颜色 6 2 2 7" xfId="21530" xr:uid="{00000000-0005-0000-0000-000019540000}"/>
    <cellStyle name="60% - 强调文字颜色 6 2 2 7 2" xfId="21531" xr:uid="{00000000-0005-0000-0000-00001A540000}"/>
    <cellStyle name="60% - 强调文字颜色 6 2 2 7 2 2" xfId="21532" xr:uid="{00000000-0005-0000-0000-00001B540000}"/>
    <cellStyle name="60% - 强调文字颜色 6 2 2 7 2 2 2" xfId="21533" xr:uid="{00000000-0005-0000-0000-00001C540000}"/>
    <cellStyle name="60% - 强调文字颜色 6 2 2 7 2 2 2 2" xfId="21534" xr:uid="{00000000-0005-0000-0000-00001D540000}"/>
    <cellStyle name="60% - 强调文字颜色 6 2 2 7 2 3" xfId="21535" xr:uid="{00000000-0005-0000-0000-00001E540000}"/>
    <cellStyle name="60% - 强调文字颜色 6 2 2 7 2 3 2" xfId="21536" xr:uid="{00000000-0005-0000-0000-00001F540000}"/>
    <cellStyle name="60% - 强调文字颜色 6 2 2 7 3" xfId="21537" xr:uid="{00000000-0005-0000-0000-000020540000}"/>
    <cellStyle name="60% - 强调文字颜色 6 2 2 7 3 2" xfId="21538" xr:uid="{00000000-0005-0000-0000-000021540000}"/>
    <cellStyle name="60% - 强调文字颜色 6 2 2 7 3 2 2" xfId="21539" xr:uid="{00000000-0005-0000-0000-000022540000}"/>
    <cellStyle name="60% - 强调文字颜色 6 2 2 7 4" xfId="21540" xr:uid="{00000000-0005-0000-0000-000023540000}"/>
    <cellStyle name="60% - 强调文字颜色 6 2 2 7 4 2" xfId="21541" xr:uid="{00000000-0005-0000-0000-000024540000}"/>
    <cellStyle name="60% - 强调文字颜色 6 2 2 8" xfId="21542" xr:uid="{00000000-0005-0000-0000-000025540000}"/>
    <cellStyle name="60% - 强调文字颜色 6 2 2 8 2" xfId="21543" xr:uid="{00000000-0005-0000-0000-000026540000}"/>
    <cellStyle name="60% - 强调文字颜色 6 2 2 8 2 2" xfId="21544" xr:uid="{00000000-0005-0000-0000-000027540000}"/>
    <cellStyle name="60% - 强调文字颜色 6 2 2 8 2 2 2" xfId="21545" xr:uid="{00000000-0005-0000-0000-000028540000}"/>
    <cellStyle name="60% - 强调文字颜色 6 2 2 8 3" xfId="21546" xr:uid="{00000000-0005-0000-0000-000029540000}"/>
    <cellStyle name="60% - 强调文字颜色 6 2 2 8 3 2" xfId="21547" xr:uid="{00000000-0005-0000-0000-00002A540000}"/>
    <cellStyle name="60% - 强调文字颜色 6 2 2 9" xfId="21548" xr:uid="{00000000-0005-0000-0000-00002B540000}"/>
    <cellStyle name="60% - 强调文字颜色 6 2 2 9 2" xfId="21549" xr:uid="{00000000-0005-0000-0000-00002C540000}"/>
    <cellStyle name="60% - 强调文字颜色 6 2 2 9 2 2" xfId="21550" xr:uid="{00000000-0005-0000-0000-00002D540000}"/>
    <cellStyle name="60% - 强调文字颜色 6 2 2 9 2 2 2" xfId="21551" xr:uid="{00000000-0005-0000-0000-00002E540000}"/>
    <cellStyle name="60% - 强调文字颜色 6 2 2 9 3" xfId="21552" xr:uid="{00000000-0005-0000-0000-00002F540000}"/>
    <cellStyle name="60% - 强调文字颜色 6 2 2 9 3 2" xfId="21553" xr:uid="{00000000-0005-0000-0000-000030540000}"/>
    <cellStyle name="60% - 强调文字颜色 6 2 3" xfId="21554" xr:uid="{00000000-0005-0000-0000-000031540000}"/>
    <cellStyle name="60% - 强调文字颜色 6 2 3 2" xfId="21555" xr:uid="{00000000-0005-0000-0000-000032540000}"/>
    <cellStyle name="60% - 强调文字颜色 6 2 3 2 2" xfId="21556" xr:uid="{00000000-0005-0000-0000-000033540000}"/>
    <cellStyle name="60% - 强调文字颜色 6 2 3 2 2 2" xfId="21557" xr:uid="{00000000-0005-0000-0000-000034540000}"/>
    <cellStyle name="60% - 强调文字颜色 6 2 3 2 2 2 2" xfId="21558" xr:uid="{00000000-0005-0000-0000-000035540000}"/>
    <cellStyle name="60% - 强调文字颜色 6 2 3 2 2 2 3" xfId="21559" xr:uid="{00000000-0005-0000-0000-000036540000}"/>
    <cellStyle name="60% - 强调文字颜色 6 2 3 2 2 2 3 2" xfId="21560" xr:uid="{00000000-0005-0000-0000-000037540000}"/>
    <cellStyle name="60% - 强调文字颜色 6 2 3 2 2 2 3 2 2" xfId="21561" xr:uid="{00000000-0005-0000-0000-000038540000}"/>
    <cellStyle name="60% - 强调文字颜色 6 2 3 2 2 2 4" xfId="21562" xr:uid="{00000000-0005-0000-0000-000039540000}"/>
    <cellStyle name="60% - 强调文字颜色 6 2 3 2 2 2 4 2" xfId="21563" xr:uid="{00000000-0005-0000-0000-00003A540000}"/>
    <cellStyle name="60% - 强调文字颜色 6 2 3 2 2 3" xfId="21564" xr:uid="{00000000-0005-0000-0000-00003B540000}"/>
    <cellStyle name="60% - 强调文字颜色 6 2 3 2 2 3 2" xfId="21565" xr:uid="{00000000-0005-0000-0000-00003C540000}"/>
    <cellStyle name="60% - 强调文字颜色 6 2 3 2 2 3 2 2" xfId="21566" xr:uid="{00000000-0005-0000-0000-00003D540000}"/>
    <cellStyle name="60% - 强调文字颜色 6 2 3 2 2 3 2 2 2" xfId="21567" xr:uid="{00000000-0005-0000-0000-00003E540000}"/>
    <cellStyle name="60% - 强调文字颜色 6 2 3 2 2 3 3" xfId="21568" xr:uid="{00000000-0005-0000-0000-00003F540000}"/>
    <cellStyle name="60% - 强调文字颜色 6 2 3 2 2 3 3 2" xfId="21569" xr:uid="{00000000-0005-0000-0000-000040540000}"/>
    <cellStyle name="60% - 强调文字颜色 6 2 3 2 2 4" xfId="21570" xr:uid="{00000000-0005-0000-0000-000041540000}"/>
    <cellStyle name="60% - 强调文字颜色 6 2 3 2 2 5" xfId="21571" xr:uid="{00000000-0005-0000-0000-000042540000}"/>
    <cellStyle name="60% - 强调文字颜色 6 2 3 2 2 6" xfId="21572" xr:uid="{00000000-0005-0000-0000-000043540000}"/>
    <cellStyle name="60% - 强调文字颜色 6 2 3 2 3" xfId="21573" xr:uid="{00000000-0005-0000-0000-000044540000}"/>
    <cellStyle name="60% - 强调文字颜色 6 2 3 2 3 2" xfId="21574" xr:uid="{00000000-0005-0000-0000-000045540000}"/>
    <cellStyle name="60% - 强调文字颜色 6 2 3 2 3 3" xfId="21575" xr:uid="{00000000-0005-0000-0000-000046540000}"/>
    <cellStyle name="60% - 强调文字颜色 6 2 3 2 3 3 2" xfId="21576" xr:uid="{00000000-0005-0000-0000-000047540000}"/>
    <cellStyle name="60% - 强调文字颜色 6 2 3 2 3 3 2 2" xfId="21577" xr:uid="{00000000-0005-0000-0000-000048540000}"/>
    <cellStyle name="60% - 强调文字颜色 6 2 3 2 3 4" xfId="21578" xr:uid="{00000000-0005-0000-0000-000049540000}"/>
    <cellStyle name="60% - 强调文字颜色 6 2 3 2 3 4 2" xfId="21579" xr:uid="{00000000-0005-0000-0000-00004A540000}"/>
    <cellStyle name="60% - 强调文字颜色 6 2 3 2 4" xfId="21580" xr:uid="{00000000-0005-0000-0000-00004B540000}"/>
    <cellStyle name="60% - 强调文字颜色 6 2 3 2 4 2" xfId="21581" xr:uid="{00000000-0005-0000-0000-00004C540000}"/>
    <cellStyle name="60% - 强调文字颜色 6 2 3 2 4 2 2" xfId="21582" xr:uid="{00000000-0005-0000-0000-00004D540000}"/>
    <cellStyle name="60% - 强调文字颜色 6 2 3 2 4 2 2 2" xfId="21583" xr:uid="{00000000-0005-0000-0000-00004E540000}"/>
    <cellStyle name="60% - 强调文字颜色 6 2 3 2 4 3" xfId="21584" xr:uid="{00000000-0005-0000-0000-00004F540000}"/>
    <cellStyle name="60% - 强调文字颜色 6 2 3 2 4 3 2" xfId="21585" xr:uid="{00000000-0005-0000-0000-000050540000}"/>
    <cellStyle name="60% - 强调文字颜色 6 2 3 2 5" xfId="21586" xr:uid="{00000000-0005-0000-0000-000051540000}"/>
    <cellStyle name="60% - 强调文字颜色 6 2 3 2 6" xfId="21587" xr:uid="{00000000-0005-0000-0000-000052540000}"/>
    <cellStyle name="60% - 强调文字颜色 6 2 3 2 7" xfId="21588" xr:uid="{00000000-0005-0000-0000-000053540000}"/>
    <cellStyle name="60% - 强调文字颜色 6 2 3 3" xfId="21589" xr:uid="{00000000-0005-0000-0000-000054540000}"/>
    <cellStyle name="60% - 强调文字颜色 6 2 3 3 2" xfId="21590" xr:uid="{00000000-0005-0000-0000-000055540000}"/>
    <cellStyle name="60% - 强调文字颜色 6 2 3 3 2 2" xfId="21591" xr:uid="{00000000-0005-0000-0000-000056540000}"/>
    <cellStyle name="60% - 强调文字颜色 6 2 3 3 2 3" xfId="21592" xr:uid="{00000000-0005-0000-0000-000057540000}"/>
    <cellStyle name="60% - 强调文字颜色 6 2 3 3 2 3 2" xfId="21593" xr:uid="{00000000-0005-0000-0000-000058540000}"/>
    <cellStyle name="60% - 强调文字颜色 6 2 3 3 2 3 2 2" xfId="21594" xr:uid="{00000000-0005-0000-0000-000059540000}"/>
    <cellStyle name="60% - 强调文字颜色 6 2 3 3 2 4" xfId="21595" xr:uid="{00000000-0005-0000-0000-00005A540000}"/>
    <cellStyle name="60% - 强调文字颜色 6 2 3 3 2 4 2" xfId="21596" xr:uid="{00000000-0005-0000-0000-00005B540000}"/>
    <cellStyle name="60% - 强调文字颜色 6 2 3 3 3" xfId="21597" xr:uid="{00000000-0005-0000-0000-00005C540000}"/>
    <cellStyle name="60% - 强调文字颜色 6 2 3 3 3 2" xfId="21598" xr:uid="{00000000-0005-0000-0000-00005D540000}"/>
    <cellStyle name="60% - 强调文字颜色 6 2 3 3 3 2 2" xfId="21599" xr:uid="{00000000-0005-0000-0000-00005E540000}"/>
    <cellStyle name="60% - 强调文字颜色 6 2 3 3 3 2 2 2" xfId="21600" xr:uid="{00000000-0005-0000-0000-00005F540000}"/>
    <cellStyle name="60% - 强调文字颜色 6 2 3 3 3 3" xfId="21601" xr:uid="{00000000-0005-0000-0000-000060540000}"/>
    <cellStyle name="60% - 强调文字颜色 6 2 3 3 3 3 2" xfId="21602" xr:uid="{00000000-0005-0000-0000-000061540000}"/>
    <cellStyle name="60% - 强调文字颜色 6 2 3 3 4" xfId="21603" xr:uid="{00000000-0005-0000-0000-000062540000}"/>
    <cellStyle name="60% - 强调文字颜色 6 2 3 3 5" xfId="21604" xr:uid="{00000000-0005-0000-0000-000063540000}"/>
    <cellStyle name="60% - 强调文字颜色 6 2 3 3 6" xfId="21605" xr:uid="{00000000-0005-0000-0000-000064540000}"/>
    <cellStyle name="60% - 强调文字颜色 6 2 3 4" xfId="21606" xr:uid="{00000000-0005-0000-0000-000065540000}"/>
    <cellStyle name="60% - 强调文字颜色 6 2 3 4 2" xfId="21607" xr:uid="{00000000-0005-0000-0000-000066540000}"/>
    <cellStyle name="60% - 强调文字颜色 6 2 3 4 2 2" xfId="21608" xr:uid="{00000000-0005-0000-0000-000067540000}"/>
    <cellStyle name="60% - 强调文字颜色 6 2 3 4 2 3" xfId="21609" xr:uid="{00000000-0005-0000-0000-000068540000}"/>
    <cellStyle name="60% - 强调文字颜色 6 2 3 4 2 3 2" xfId="21610" xr:uid="{00000000-0005-0000-0000-000069540000}"/>
    <cellStyle name="60% - 强调文字颜色 6 2 3 4 2 3 2 2" xfId="21611" xr:uid="{00000000-0005-0000-0000-00006A540000}"/>
    <cellStyle name="60% - 强调文字颜色 6 2 3 4 2 4" xfId="21612" xr:uid="{00000000-0005-0000-0000-00006B540000}"/>
    <cellStyle name="60% - 强调文字颜色 6 2 3 4 2 4 2" xfId="21613" xr:uid="{00000000-0005-0000-0000-00006C540000}"/>
    <cellStyle name="60% - 强调文字颜色 6 2 3 4 3" xfId="21614" xr:uid="{00000000-0005-0000-0000-00006D540000}"/>
    <cellStyle name="60% - 强调文字颜色 6 2 3 4 4" xfId="21615" xr:uid="{00000000-0005-0000-0000-00006E540000}"/>
    <cellStyle name="60% - 强调文字颜色 6 2 3 4 5" xfId="21616" xr:uid="{00000000-0005-0000-0000-00006F540000}"/>
    <cellStyle name="60% - 强调文字颜色 6 2 3 4 6" xfId="21617" xr:uid="{00000000-0005-0000-0000-000070540000}"/>
    <cellStyle name="60% - 强调文字颜色 6 2 3 5" xfId="21618" xr:uid="{00000000-0005-0000-0000-000071540000}"/>
    <cellStyle name="60% - 强调文字颜色 6 2 3 5 2" xfId="21619" xr:uid="{00000000-0005-0000-0000-000072540000}"/>
    <cellStyle name="60% - 强调文字颜色 6 2 3 5 2 2" xfId="21620" xr:uid="{00000000-0005-0000-0000-000073540000}"/>
    <cellStyle name="60% - 强调文字颜色 6 2 3 5 2 2 2" xfId="21621" xr:uid="{00000000-0005-0000-0000-000074540000}"/>
    <cellStyle name="60% - 强调文字颜色 6 2 3 5 2 2 2 2" xfId="21622" xr:uid="{00000000-0005-0000-0000-000075540000}"/>
    <cellStyle name="60% - 强调文字颜色 6 2 3 5 2 3" xfId="21623" xr:uid="{00000000-0005-0000-0000-000076540000}"/>
    <cellStyle name="60% - 强调文字颜色 6 2 3 5 2 3 2" xfId="21624" xr:uid="{00000000-0005-0000-0000-000077540000}"/>
    <cellStyle name="60% - 强调文字颜色 6 2 3 5 3" xfId="21625" xr:uid="{00000000-0005-0000-0000-000078540000}"/>
    <cellStyle name="60% - 强调文字颜色 6 2 3 5 3 2" xfId="21626" xr:uid="{00000000-0005-0000-0000-000079540000}"/>
    <cellStyle name="60% - 强调文字颜色 6 2 3 5 3 2 2" xfId="21627" xr:uid="{00000000-0005-0000-0000-00007A540000}"/>
    <cellStyle name="60% - 强调文字颜色 6 2 3 5 4" xfId="21628" xr:uid="{00000000-0005-0000-0000-00007B540000}"/>
    <cellStyle name="60% - 强调文字颜色 6 2 3 5 4 2" xfId="21629" xr:uid="{00000000-0005-0000-0000-00007C540000}"/>
    <cellStyle name="60% - 强调文字颜色 6 2 3 6" xfId="21630" xr:uid="{00000000-0005-0000-0000-00007D540000}"/>
    <cellStyle name="60% - 强调文字颜色 6 2 3 6 2" xfId="21631" xr:uid="{00000000-0005-0000-0000-00007E540000}"/>
    <cellStyle name="60% - 强调文字颜色 6 2 3 6 2 2" xfId="21632" xr:uid="{00000000-0005-0000-0000-00007F540000}"/>
    <cellStyle name="60% - 强调文字颜色 6 2 3 6 2 2 2" xfId="21633" xr:uid="{00000000-0005-0000-0000-000080540000}"/>
    <cellStyle name="60% - 强调文字颜色 6 2 3 6 3" xfId="21634" xr:uid="{00000000-0005-0000-0000-000081540000}"/>
    <cellStyle name="60% - 强调文字颜色 6 2 3 6 3 2" xfId="21635" xr:uid="{00000000-0005-0000-0000-000082540000}"/>
    <cellStyle name="60% - 强调文字颜色 6 2 3 7" xfId="21636" xr:uid="{00000000-0005-0000-0000-000083540000}"/>
    <cellStyle name="60% - 强调文字颜色 6 2 3 7 2" xfId="21637" xr:uid="{00000000-0005-0000-0000-000084540000}"/>
    <cellStyle name="60% - 强调文字颜色 6 2 3 7 2 2" xfId="21638" xr:uid="{00000000-0005-0000-0000-000085540000}"/>
    <cellStyle name="60% - 强调文字颜色 6 2 3 7 2 2 2" xfId="21639" xr:uid="{00000000-0005-0000-0000-000086540000}"/>
    <cellStyle name="60% - 强调文字颜色 6 2 3 7 3" xfId="21640" xr:uid="{00000000-0005-0000-0000-000087540000}"/>
    <cellStyle name="60% - 强调文字颜色 6 2 3 7 3 2" xfId="21641" xr:uid="{00000000-0005-0000-0000-000088540000}"/>
    <cellStyle name="60% - 强调文字颜色 6 2 3 8" xfId="21642" xr:uid="{00000000-0005-0000-0000-000089540000}"/>
    <cellStyle name="60% - 强调文字颜色 6 2 3 9" xfId="21643" xr:uid="{00000000-0005-0000-0000-00008A540000}"/>
    <cellStyle name="60% - 强调文字颜色 6 2 4" xfId="21644" xr:uid="{00000000-0005-0000-0000-00008B540000}"/>
    <cellStyle name="60% - 强调文字颜色 6 2 4 2" xfId="21645" xr:uid="{00000000-0005-0000-0000-00008C540000}"/>
    <cellStyle name="60% - 强调文字颜色 6 2 4 2 2" xfId="21646" xr:uid="{00000000-0005-0000-0000-00008D540000}"/>
    <cellStyle name="60% - 强调文字颜色 6 2 4 2 3" xfId="21647" xr:uid="{00000000-0005-0000-0000-00008E540000}"/>
    <cellStyle name="60% - 强调文字颜色 6 2 4 2 3 2" xfId="21648" xr:uid="{00000000-0005-0000-0000-00008F540000}"/>
    <cellStyle name="60% - 强调文字颜色 6 2 4 2 3 2 2" xfId="21649" xr:uid="{00000000-0005-0000-0000-000090540000}"/>
    <cellStyle name="60% - 强调文字颜色 6 2 4 2 4" xfId="21650" xr:uid="{00000000-0005-0000-0000-000091540000}"/>
    <cellStyle name="60% - 强调文字颜色 6 2 4 2 4 2" xfId="21651" xr:uid="{00000000-0005-0000-0000-000092540000}"/>
    <cellStyle name="60% - 强调文字颜色 6 2 4 3" xfId="21652" xr:uid="{00000000-0005-0000-0000-000093540000}"/>
    <cellStyle name="60% - 强调文字颜色 6 2 4 3 2" xfId="21653" xr:uid="{00000000-0005-0000-0000-000094540000}"/>
    <cellStyle name="60% - 强调文字颜色 6 2 4 3 2 2" xfId="21654" xr:uid="{00000000-0005-0000-0000-000095540000}"/>
    <cellStyle name="60% - 强调文字颜色 6 2 4 3 2 2 2" xfId="21655" xr:uid="{00000000-0005-0000-0000-000096540000}"/>
    <cellStyle name="60% - 强调文字颜色 6 2 4 3 3" xfId="21656" xr:uid="{00000000-0005-0000-0000-000097540000}"/>
    <cellStyle name="60% - 强调文字颜色 6 2 4 3 3 2" xfId="21657" xr:uid="{00000000-0005-0000-0000-000098540000}"/>
    <cellStyle name="60% - 强调文字颜色 6 2 4 4" xfId="21658" xr:uid="{00000000-0005-0000-0000-000099540000}"/>
    <cellStyle name="60% - 强调文字颜色 6 2 4 5" xfId="21659" xr:uid="{00000000-0005-0000-0000-00009A540000}"/>
    <cellStyle name="60% - 强调文字颜色 6 2 4 6" xfId="21660" xr:uid="{00000000-0005-0000-0000-00009B540000}"/>
    <cellStyle name="60% - 强调文字颜色 6 2 5" xfId="21661" xr:uid="{00000000-0005-0000-0000-00009C540000}"/>
    <cellStyle name="60% - 强调文字颜色 6 2 5 2" xfId="21662" xr:uid="{00000000-0005-0000-0000-00009D540000}"/>
    <cellStyle name="60% - 强调文字颜色 6 2 5 2 2" xfId="21663" xr:uid="{00000000-0005-0000-0000-00009E540000}"/>
    <cellStyle name="60% - 强调文字颜色 6 2 5 2 3" xfId="21664" xr:uid="{00000000-0005-0000-0000-00009F540000}"/>
    <cellStyle name="60% - 强调文字颜色 6 2 5 2 3 2" xfId="21665" xr:uid="{00000000-0005-0000-0000-0000A0540000}"/>
    <cellStyle name="60% - 强调文字颜色 6 2 5 2 3 2 2" xfId="21666" xr:uid="{00000000-0005-0000-0000-0000A1540000}"/>
    <cellStyle name="60% - 强调文字颜色 6 2 5 2 4" xfId="21667" xr:uid="{00000000-0005-0000-0000-0000A2540000}"/>
    <cellStyle name="60% - 强调文字颜色 6 2 5 2 4 2" xfId="21668" xr:uid="{00000000-0005-0000-0000-0000A3540000}"/>
    <cellStyle name="60% - 强调文字颜色 6 2 5 3" xfId="21669" xr:uid="{00000000-0005-0000-0000-0000A4540000}"/>
    <cellStyle name="60% - 强调文字颜色 6 2 5 4" xfId="21670" xr:uid="{00000000-0005-0000-0000-0000A5540000}"/>
    <cellStyle name="60% - 强调文字颜色 6 2 5 5" xfId="21671" xr:uid="{00000000-0005-0000-0000-0000A6540000}"/>
    <cellStyle name="60% - 强调文字颜色 6 2 5 6" xfId="21672" xr:uid="{00000000-0005-0000-0000-0000A7540000}"/>
    <cellStyle name="60% - 强调文字颜色 6 2 6" xfId="21673" xr:uid="{00000000-0005-0000-0000-0000A8540000}"/>
    <cellStyle name="60% - 强调文字颜色 6 2 6 2" xfId="21674" xr:uid="{00000000-0005-0000-0000-0000A9540000}"/>
    <cellStyle name="60% - 强调文字颜色 6 2 6 2 2" xfId="21675" xr:uid="{00000000-0005-0000-0000-0000AA540000}"/>
    <cellStyle name="60% - 强调文字颜色 6 2 6 2 2 2" xfId="21676" xr:uid="{00000000-0005-0000-0000-0000AB540000}"/>
    <cellStyle name="60% - 强调文字颜色 6 2 6 2 2 2 2" xfId="21677" xr:uid="{00000000-0005-0000-0000-0000AC540000}"/>
    <cellStyle name="60% - 强调文字颜色 6 2 6 2 3" xfId="21678" xr:uid="{00000000-0005-0000-0000-0000AD540000}"/>
    <cellStyle name="60% - 强调文字颜色 6 2 6 2 3 2" xfId="21679" xr:uid="{00000000-0005-0000-0000-0000AE540000}"/>
    <cellStyle name="60% - 强调文字颜色 6 2 6 3" xfId="21680" xr:uid="{00000000-0005-0000-0000-0000AF540000}"/>
    <cellStyle name="60% - 强调文字颜色 6 2 6 3 2" xfId="21681" xr:uid="{00000000-0005-0000-0000-0000B0540000}"/>
    <cellStyle name="60% - 强调文字颜色 6 2 6 3 2 2" xfId="21682" xr:uid="{00000000-0005-0000-0000-0000B1540000}"/>
    <cellStyle name="60% - 强调文字颜色 6 2 6 4" xfId="21683" xr:uid="{00000000-0005-0000-0000-0000B2540000}"/>
    <cellStyle name="60% - 强调文字颜色 6 2 6 4 2" xfId="21684" xr:uid="{00000000-0005-0000-0000-0000B3540000}"/>
    <cellStyle name="60% - 强调文字颜色 6 2 7" xfId="21685" xr:uid="{00000000-0005-0000-0000-0000B4540000}"/>
    <cellStyle name="60% - 强调文字颜色 6 2 7 2" xfId="21686" xr:uid="{00000000-0005-0000-0000-0000B5540000}"/>
    <cellStyle name="60% - 强调文字颜色 6 2 7 2 2" xfId="21687" xr:uid="{00000000-0005-0000-0000-0000B6540000}"/>
    <cellStyle name="60% - 强调文字颜色 6 2 7 2 2 2" xfId="21688" xr:uid="{00000000-0005-0000-0000-0000B7540000}"/>
    <cellStyle name="60% - 强调文字颜色 6 2 7 2 2 2 2" xfId="21689" xr:uid="{00000000-0005-0000-0000-0000B8540000}"/>
    <cellStyle name="60% - 强调文字颜色 6 2 7 2 3" xfId="21690" xr:uid="{00000000-0005-0000-0000-0000B9540000}"/>
    <cellStyle name="60% - 强调文字颜色 6 2 7 2 3 2" xfId="21691" xr:uid="{00000000-0005-0000-0000-0000BA540000}"/>
    <cellStyle name="60% - 强调文字颜色 6 2 7 3" xfId="21692" xr:uid="{00000000-0005-0000-0000-0000BB540000}"/>
    <cellStyle name="60% - 强调文字颜色 6 2 7 3 2" xfId="21693" xr:uid="{00000000-0005-0000-0000-0000BC540000}"/>
    <cellStyle name="60% - 强调文字颜色 6 2 7 3 2 2" xfId="21694" xr:uid="{00000000-0005-0000-0000-0000BD540000}"/>
    <cellStyle name="60% - 强调文字颜色 6 2 7 4" xfId="21695" xr:uid="{00000000-0005-0000-0000-0000BE540000}"/>
    <cellStyle name="60% - 强调文字颜色 6 2 7 4 2" xfId="21696" xr:uid="{00000000-0005-0000-0000-0000BF540000}"/>
    <cellStyle name="60% - 强调文字颜色 6 2 8" xfId="21697" xr:uid="{00000000-0005-0000-0000-0000C0540000}"/>
    <cellStyle name="60% - 强调文字颜色 6 2 8 2" xfId="21698" xr:uid="{00000000-0005-0000-0000-0000C1540000}"/>
    <cellStyle name="60% - 强调文字颜色 6 2 8 2 2" xfId="21699" xr:uid="{00000000-0005-0000-0000-0000C2540000}"/>
    <cellStyle name="60% - 强调文字颜色 6 2 8 2 2 2" xfId="21700" xr:uid="{00000000-0005-0000-0000-0000C3540000}"/>
    <cellStyle name="60% - 强调文字颜色 6 2 8 2 2 2 2" xfId="21701" xr:uid="{00000000-0005-0000-0000-0000C4540000}"/>
    <cellStyle name="60% - 强调文字颜色 6 2 8 2 3" xfId="21702" xr:uid="{00000000-0005-0000-0000-0000C5540000}"/>
    <cellStyle name="60% - 强调文字颜色 6 2 8 2 3 2" xfId="21703" xr:uid="{00000000-0005-0000-0000-0000C6540000}"/>
    <cellStyle name="60% - 强调文字颜色 6 2 8 3" xfId="21704" xr:uid="{00000000-0005-0000-0000-0000C7540000}"/>
    <cellStyle name="60% - 强调文字颜色 6 2 8 3 2" xfId="21705" xr:uid="{00000000-0005-0000-0000-0000C8540000}"/>
    <cellStyle name="60% - 强调文字颜色 6 2 8 3 2 2" xfId="21706" xr:uid="{00000000-0005-0000-0000-0000C9540000}"/>
    <cellStyle name="60% - 强调文字颜色 6 2 8 4" xfId="21707" xr:uid="{00000000-0005-0000-0000-0000CA540000}"/>
    <cellStyle name="60% - 强调文字颜色 6 2 8 4 2" xfId="21708" xr:uid="{00000000-0005-0000-0000-0000CB540000}"/>
    <cellStyle name="60% - 强调文字颜色 6 2 9" xfId="21709" xr:uid="{00000000-0005-0000-0000-0000CC540000}"/>
    <cellStyle name="60% - 强调文字颜色 6 2 9 2" xfId="21710" xr:uid="{00000000-0005-0000-0000-0000CD540000}"/>
    <cellStyle name="60% - 强调文字颜色 6 2 9 2 2" xfId="21711" xr:uid="{00000000-0005-0000-0000-0000CE540000}"/>
    <cellStyle name="60% - 强调文字颜色 6 2 9 2 2 2" xfId="21712" xr:uid="{00000000-0005-0000-0000-0000CF540000}"/>
    <cellStyle name="60% - 强调文字颜色 6 2 9 3" xfId="21713" xr:uid="{00000000-0005-0000-0000-0000D0540000}"/>
    <cellStyle name="60% - 强调文字颜色 6 2 9 3 2" xfId="21714" xr:uid="{00000000-0005-0000-0000-0000D1540000}"/>
    <cellStyle name="60% - 强调文字颜色 6 3" xfId="21715" xr:uid="{00000000-0005-0000-0000-0000D2540000}"/>
    <cellStyle name="60% - 强调文字颜色 6 3 2" xfId="21716" xr:uid="{00000000-0005-0000-0000-0000D3540000}"/>
    <cellStyle name="60% - 强调文字颜色 6 3 2 2" xfId="21717" xr:uid="{00000000-0005-0000-0000-0000D4540000}"/>
    <cellStyle name="60% - 强调文字颜色 6 3 2 2 2" xfId="21718" xr:uid="{00000000-0005-0000-0000-0000D5540000}"/>
    <cellStyle name="60% - 强调文字颜色 6 3 2 2 2 2" xfId="21719" xr:uid="{00000000-0005-0000-0000-0000D6540000}"/>
    <cellStyle name="60% - 强调文字颜色 6 3 2 2 2 3" xfId="21720" xr:uid="{00000000-0005-0000-0000-0000D7540000}"/>
    <cellStyle name="60% - 强调文字颜色 6 3 2 2 2 3 2" xfId="21721" xr:uid="{00000000-0005-0000-0000-0000D8540000}"/>
    <cellStyle name="60% - 强调文字颜色 6 3 2 2 2 3 2 2" xfId="21722" xr:uid="{00000000-0005-0000-0000-0000D9540000}"/>
    <cellStyle name="60% - 强调文字颜色 6 3 2 2 2 4" xfId="21723" xr:uid="{00000000-0005-0000-0000-0000DA540000}"/>
    <cellStyle name="60% - 强调文字颜色 6 3 2 2 2 4 2" xfId="21724" xr:uid="{00000000-0005-0000-0000-0000DB540000}"/>
    <cellStyle name="60% - 强调文字颜色 6 3 2 2 3" xfId="21725" xr:uid="{00000000-0005-0000-0000-0000DC540000}"/>
    <cellStyle name="60% - 强调文字颜色 6 3 2 2 3 2" xfId="21726" xr:uid="{00000000-0005-0000-0000-0000DD540000}"/>
    <cellStyle name="60% - 强调文字颜色 6 3 2 2 3 2 2" xfId="21727" xr:uid="{00000000-0005-0000-0000-0000DE540000}"/>
    <cellStyle name="60% - 强调文字颜色 6 3 2 2 3 2 2 2" xfId="21728" xr:uid="{00000000-0005-0000-0000-0000DF540000}"/>
    <cellStyle name="60% - 强调文字颜色 6 3 2 2 3 3" xfId="21729" xr:uid="{00000000-0005-0000-0000-0000E0540000}"/>
    <cellStyle name="60% - 强调文字颜色 6 3 2 2 3 3 2" xfId="21730" xr:uid="{00000000-0005-0000-0000-0000E1540000}"/>
    <cellStyle name="60% - 强调文字颜色 6 3 2 2 4" xfId="21731" xr:uid="{00000000-0005-0000-0000-0000E2540000}"/>
    <cellStyle name="60% - 强调文字颜色 6 3 2 2 5" xfId="21732" xr:uid="{00000000-0005-0000-0000-0000E3540000}"/>
    <cellStyle name="60% - 强调文字颜色 6 3 2 2 6" xfId="21733" xr:uid="{00000000-0005-0000-0000-0000E4540000}"/>
    <cellStyle name="60% - 强调文字颜色 6 3 2 3" xfId="21734" xr:uid="{00000000-0005-0000-0000-0000E5540000}"/>
    <cellStyle name="60% - 强调文字颜色 6 3 2 3 2" xfId="21735" xr:uid="{00000000-0005-0000-0000-0000E6540000}"/>
    <cellStyle name="60% - 强调文字颜色 6 3 2 3 3" xfId="21736" xr:uid="{00000000-0005-0000-0000-0000E7540000}"/>
    <cellStyle name="60% - 强调文字颜色 6 3 2 3 3 2" xfId="21737" xr:uid="{00000000-0005-0000-0000-0000E8540000}"/>
    <cellStyle name="60% - 强调文字颜色 6 3 2 3 3 2 2" xfId="21738" xr:uid="{00000000-0005-0000-0000-0000E9540000}"/>
    <cellStyle name="60% - 强调文字颜色 6 3 2 3 4" xfId="21739" xr:uid="{00000000-0005-0000-0000-0000EA540000}"/>
    <cellStyle name="60% - 强调文字颜色 6 3 2 3 4 2" xfId="21740" xr:uid="{00000000-0005-0000-0000-0000EB540000}"/>
    <cellStyle name="60% - 强调文字颜色 6 3 2 4" xfId="21741" xr:uid="{00000000-0005-0000-0000-0000EC540000}"/>
    <cellStyle name="60% - 强调文字颜色 6 3 2 4 2" xfId="21742" xr:uid="{00000000-0005-0000-0000-0000ED540000}"/>
    <cellStyle name="60% - 强调文字颜色 6 3 2 4 2 2" xfId="21743" xr:uid="{00000000-0005-0000-0000-0000EE540000}"/>
    <cellStyle name="60% - 强调文字颜色 6 3 2 4 2 2 2" xfId="21744" xr:uid="{00000000-0005-0000-0000-0000EF540000}"/>
    <cellStyle name="60% - 强调文字颜色 6 3 2 4 3" xfId="21745" xr:uid="{00000000-0005-0000-0000-0000F0540000}"/>
    <cellStyle name="60% - 强调文字颜色 6 3 2 4 3 2" xfId="21746" xr:uid="{00000000-0005-0000-0000-0000F1540000}"/>
    <cellStyle name="60% - 强调文字颜色 6 3 2 5" xfId="21747" xr:uid="{00000000-0005-0000-0000-0000F2540000}"/>
    <cellStyle name="60% - 强调文字颜色 6 3 2 6" xfId="21748" xr:uid="{00000000-0005-0000-0000-0000F3540000}"/>
    <cellStyle name="60% - 强调文字颜色 6 3 2 7" xfId="21749" xr:uid="{00000000-0005-0000-0000-0000F4540000}"/>
    <cellStyle name="60% - 强调文字颜色 6 3 3" xfId="21750" xr:uid="{00000000-0005-0000-0000-0000F5540000}"/>
    <cellStyle name="60% - 强调文字颜色 6 3 3 2" xfId="21751" xr:uid="{00000000-0005-0000-0000-0000F6540000}"/>
    <cellStyle name="60% - 强调文字颜色 6 3 3 2 2" xfId="21752" xr:uid="{00000000-0005-0000-0000-0000F7540000}"/>
    <cellStyle name="60% - 强调文字颜色 6 3 3 2 3" xfId="21753" xr:uid="{00000000-0005-0000-0000-0000F8540000}"/>
    <cellStyle name="60% - 强调文字颜色 6 3 3 2 3 2" xfId="21754" xr:uid="{00000000-0005-0000-0000-0000F9540000}"/>
    <cellStyle name="60% - 强调文字颜色 6 3 3 2 3 2 2" xfId="21755" xr:uid="{00000000-0005-0000-0000-0000FA540000}"/>
    <cellStyle name="60% - 强调文字颜色 6 3 3 2 4" xfId="21756" xr:uid="{00000000-0005-0000-0000-0000FB540000}"/>
    <cellStyle name="60% - 强调文字颜色 6 3 3 2 4 2" xfId="21757" xr:uid="{00000000-0005-0000-0000-0000FC540000}"/>
    <cellStyle name="60% - 强调文字颜色 6 3 3 3" xfId="21758" xr:uid="{00000000-0005-0000-0000-0000FD540000}"/>
    <cellStyle name="60% - 强调文字颜色 6 3 3 3 2" xfId="21759" xr:uid="{00000000-0005-0000-0000-0000FE540000}"/>
    <cellStyle name="60% - 强调文字颜色 6 3 3 3 2 2" xfId="21760" xr:uid="{00000000-0005-0000-0000-0000FF540000}"/>
    <cellStyle name="60% - 强调文字颜色 6 3 3 3 2 2 2" xfId="21761" xr:uid="{00000000-0005-0000-0000-000000550000}"/>
    <cellStyle name="60% - 强调文字颜色 6 3 3 3 3" xfId="21762" xr:uid="{00000000-0005-0000-0000-000001550000}"/>
    <cellStyle name="60% - 强调文字颜色 6 3 3 3 3 2" xfId="21763" xr:uid="{00000000-0005-0000-0000-000002550000}"/>
    <cellStyle name="60% - 强调文字颜色 6 3 3 4" xfId="21764" xr:uid="{00000000-0005-0000-0000-000003550000}"/>
    <cellStyle name="60% - 强调文字颜色 6 3 3 5" xfId="21765" xr:uid="{00000000-0005-0000-0000-000004550000}"/>
    <cellStyle name="60% - 强调文字颜色 6 3 3 6" xfId="21766" xr:uid="{00000000-0005-0000-0000-000005550000}"/>
    <cellStyle name="60% - 强调文字颜色 6 3 4" xfId="21767" xr:uid="{00000000-0005-0000-0000-000006550000}"/>
    <cellStyle name="60% - 强调文字颜色 6 3 4 2" xfId="21768" xr:uid="{00000000-0005-0000-0000-000007550000}"/>
    <cellStyle name="60% - 强调文字颜色 6 3 4 2 2" xfId="21769" xr:uid="{00000000-0005-0000-0000-000008550000}"/>
    <cellStyle name="60% - 强调文字颜色 6 3 4 2 3" xfId="21770" xr:uid="{00000000-0005-0000-0000-000009550000}"/>
    <cellStyle name="60% - 强调文字颜色 6 3 4 2 3 2" xfId="21771" xr:uid="{00000000-0005-0000-0000-00000A550000}"/>
    <cellStyle name="60% - 强调文字颜色 6 3 4 2 3 2 2" xfId="21772" xr:uid="{00000000-0005-0000-0000-00000B550000}"/>
    <cellStyle name="60% - 强调文字颜色 6 3 4 2 4" xfId="21773" xr:uid="{00000000-0005-0000-0000-00000C550000}"/>
    <cellStyle name="60% - 强调文字颜色 6 3 4 2 4 2" xfId="21774" xr:uid="{00000000-0005-0000-0000-00000D550000}"/>
    <cellStyle name="60% - 强调文字颜色 6 3 4 3" xfId="21775" xr:uid="{00000000-0005-0000-0000-00000E550000}"/>
    <cellStyle name="60% - 强调文字颜色 6 3 4 4" xfId="21776" xr:uid="{00000000-0005-0000-0000-00000F550000}"/>
    <cellStyle name="60% - 强调文字颜色 6 3 4 5" xfId="21777" xr:uid="{00000000-0005-0000-0000-000010550000}"/>
    <cellStyle name="60% - 强调文字颜色 6 3 4 6" xfId="21778" xr:uid="{00000000-0005-0000-0000-000011550000}"/>
    <cellStyle name="60% - 强调文字颜色 6 3 5" xfId="21779" xr:uid="{00000000-0005-0000-0000-000012550000}"/>
    <cellStyle name="60% - 强调文字颜色 6 3 5 2" xfId="21780" xr:uid="{00000000-0005-0000-0000-000013550000}"/>
    <cellStyle name="60% - 强调文字颜色 6 3 5 2 2" xfId="21781" xr:uid="{00000000-0005-0000-0000-000014550000}"/>
    <cellStyle name="60% - 强调文字颜色 6 3 5 2 2 2" xfId="21782" xr:uid="{00000000-0005-0000-0000-000015550000}"/>
    <cellStyle name="60% - 强调文字颜色 6 3 5 2 2 2 2" xfId="21783" xr:uid="{00000000-0005-0000-0000-000016550000}"/>
    <cellStyle name="60% - 强调文字颜色 6 3 5 2 3" xfId="21784" xr:uid="{00000000-0005-0000-0000-000017550000}"/>
    <cellStyle name="60% - 强调文字颜色 6 3 5 2 3 2" xfId="21785" xr:uid="{00000000-0005-0000-0000-000018550000}"/>
    <cellStyle name="60% - 强调文字颜色 6 3 5 3" xfId="21786" xr:uid="{00000000-0005-0000-0000-000019550000}"/>
    <cellStyle name="60% - 强调文字颜色 6 3 5 3 2" xfId="21787" xr:uid="{00000000-0005-0000-0000-00001A550000}"/>
    <cellStyle name="60% - 强调文字颜色 6 3 5 3 2 2" xfId="21788" xr:uid="{00000000-0005-0000-0000-00001B550000}"/>
    <cellStyle name="60% - 强调文字颜色 6 3 5 4" xfId="21789" xr:uid="{00000000-0005-0000-0000-00001C550000}"/>
    <cellStyle name="60% - 强调文字颜色 6 3 5 4 2" xfId="21790" xr:uid="{00000000-0005-0000-0000-00001D550000}"/>
    <cellStyle name="60% - 强调文字颜色 6 3 6" xfId="21791" xr:uid="{00000000-0005-0000-0000-00001E550000}"/>
    <cellStyle name="60% - 强调文字颜色 6 3 6 2" xfId="21792" xr:uid="{00000000-0005-0000-0000-00001F550000}"/>
    <cellStyle name="60% - 强调文字颜色 6 3 6 2 2" xfId="21793" xr:uid="{00000000-0005-0000-0000-000020550000}"/>
    <cellStyle name="60% - 强调文字颜色 6 3 6 2 2 2" xfId="21794" xr:uid="{00000000-0005-0000-0000-000021550000}"/>
    <cellStyle name="60% - 强调文字颜色 6 3 6 3" xfId="21795" xr:uid="{00000000-0005-0000-0000-000022550000}"/>
    <cellStyle name="60% - 强调文字颜色 6 3 6 3 2" xfId="21796" xr:uid="{00000000-0005-0000-0000-000023550000}"/>
    <cellStyle name="60% - 强调文字颜色 6 3 7" xfId="21797" xr:uid="{00000000-0005-0000-0000-000024550000}"/>
    <cellStyle name="60% - 强调文字颜色 6 3 8" xfId="21798" xr:uid="{00000000-0005-0000-0000-000025550000}"/>
    <cellStyle name="9" xfId="21799" xr:uid="{00000000-0005-0000-0000-000026550000}"/>
    <cellStyle name="9_ASE - Financial Approval - 05.18.05" xfId="21800" xr:uid="{00000000-0005-0000-0000-000027550000}"/>
    <cellStyle name="9_ASE Barcelona 3.1.05" xfId="21801" xr:uid="{00000000-0005-0000-0000-000028550000}"/>
    <cellStyle name="9_ASE Draft 03.09.05 v.2" xfId="21802" xr:uid="{00000000-0005-0000-0000-000029550000}"/>
    <cellStyle name="9_Deal Approval Template v42 5-3-05 JWK" xfId="21803" xr:uid="{00000000-0005-0000-0000-00002A550000}"/>
    <cellStyle name="9_Deal Approval Template v42 5-3-05 JWK2" xfId="21804" xr:uid="{00000000-0005-0000-0000-00002B550000}"/>
    <cellStyle name="9_Deal Approval Template v43" xfId="21805" xr:uid="{00000000-0005-0000-0000-00002C550000}"/>
    <cellStyle name="9_ODE Transaction Model_India_v2" xfId="21806" xr:uid="{00000000-0005-0000-0000-00002D550000}"/>
    <cellStyle name="ac" xfId="21807" xr:uid="{00000000-0005-0000-0000-00002E550000}"/>
    <cellStyle name="Accent1 2" xfId="21808" xr:uid="{00000000-0005-0000-0000-00002F550000}"/>
    <cellStyle name="Accent1 2 2" xfId="21809" xr:uid="{00000000-0005-0000-0000-000030550000}"/>
    <cellStyle name="Accent1 2 3" xfId="21810" xr:uid="{00000000-0005-0000-0000-000031550000}"/>
    <cellStyle name="Accent1 3" xfId="21811" xr:uid="{00000000-0005-0000-0000-000032550000}"/>
    <cellStyle name="Accent2 2" xfId="21812" xr:uid="{00000000-0005-0000-0000-000033550000}"/>
    <cellStyle name="Accent2 2 2" xfId="21813" xr:uid="{00000000-0005-0000-0000-000034550000}"/>
    <cellStyle name="Accent2 2 3" xfId="21814" xr:uid="{00000000-0005-0000-0000-000035550000}"/>
    <cellStyle name="Accent2 2 4" xfId="21815" xr:uid="{00000000-0005-0000-0000-000036550000}"/>
    <cellStyle name="Accent2 3" xfId="21816" xr:uid="{00000000-0005-0000-0000-000037550000}"/>
    <cellStyle name="Accent3 2" xfId="21817" xr:uid="{00000000-0005-0000-0000-000038550000}"/>
    <cellStyle name="Accent3 2 2" xfId="21818" xr:uid="{00000000-0005-0000-0000-000039550000}"/>
    <cellStyle name="Accent3 2 3" xfId="21819" xr:uid="{00000000-0005-0000-0000-00003A550000}"/>
    <cellStyle name="Accent3 3" xfId="21820" xr:uid="{00000000-0005-0000-0000-00003B550000}"/>
    <cellStyle name="Accent4 2" xfId="21821" xr:uid="{00000000-0005-0000-0000-00003C550000}"/>
    <cellStyle name="Accent4 2 2" xfId="21822" xr:uid="{00000000-0005-0000-0000-00003D550000}"/>
    <cellStyle name="Accent4 2 3" xfId="21823" xr:uid="{00000000-0005-0000-0000-00003E550000}"/>
    <cellStyle name="Accent4 3" xfId="21824" xr:uid="{00000000-0005-0000-0000-00003F550000}"/>
    <cellStyle name="Accent5 2" xfId="21825" xr:uid="{00000000-0005-0000-0000-000040550000}"/>
    <cellStyle name="Accent5 2 2" xfId="21826" xr:uid="{00000000-0005-0000-0000-000041550000}"/>
    <cellStyle name="Accent5 2 3" xfId="21827" xr:uid="{00000000-0005-0000-0000-000042550000}"/>
    <cellStyle name="Accent5 3" xfId="21828" xr:uid="{00000000-0005-0000-0000-000043550000}"/>
    <cellStyle name="Accent6 2" xfId="21829" xr:uid="{00000000-0005-0000-0000-000044550000}"/>
    <cellStyle name="Accent6 2 2" xfId="21830" xr:uid="{00000000-0005-0000-0000-000045550000}"/>
    <cellStyle name="Accent6 2 3" xfId="21831" xr:uid="{00000000-0005-0000-0000-000046550000}"/>
    <cellStyle name="Accent6 3" xfId="21832" xr:uid="{00000000-0005-0000-0000-000047550000}"/>
    <cellStyle name="ÅëÈ­ [0]_¿ì¹°Åë" xfId="21833" xr:uid="{00000000-0005-0000-0000-000048550000}"/>
    <cellStyle name="AeE­ [0]_INQUIRY ¿µ¾÷AßAø " xfId="21834" xr:uid="{00000000-0005-0000-0000-000049550000}"/>
    <cellStyle name="ÅëÈ­_¿ì¹°Åë" xfId="21835" xr:uid="{00000000-0005-0000-0000-00004A550000}"/>
    <cellStyle name="AeE­_INQUIRY ¿µ¾÷AßAø " xfId="21836" xr:uid="{00000000-0005-0000-0000-00004B550000}"/>
    <cellStyle name="arial12" xfId="21837" xr:uid="{00000000-0005-0000-0000-00004C550000}"/>
    <cellStyle name="arial14" xfId="21838" xr:uid="{00000000-0005-0000-0000-00004D550000}"/>
    <cellStyle name="ÄÞ¸¶ [0]_¿ì¹°Åë" xfId="21839" xr:uid="{00000000-0005-0000-0000-00004E550000}"/>
    <cellStyle name="AÞ¸¶ [0]_INQUIRY ¿?¾÷AßAø " xfId="21840" xr:uid="{00000000-0005-0000-0000-00004F550000}"/>
    <cellStyle name="ÄÞ¸¶_¿ì¹°Åë" xfId="21841" xr:uid="{00000000-0005-0000-0000-000050550000}"/>
    <cellStyle name="AÞ¸¶_INQUIRY ¿?¾÷AßAø " xfId="21842" xr:uid="{00000000-0005-0000-0000-000051550000}"/>
    <cellStyle name="Bad 2" xfId="21843" xr:uid="{00000000-0005-0000-0000-000052550000}"/>
    <cellStyle name="Bad 2 2" xfId="21844" xr:uid="{00000000-0005-0000-0000-000053550000}"/>
    <cellStyle name="Bad 2 3" xfId="21845" xr:uid="{00000000-0005-0000-0000-000054550000}"/>
    <cellStyle name="Bad 3" xfId="21846" xr:uid="{00000000-0005-0000-0000-000055550000}"/>
    <cellStyle name="Besuchter Hyperlink" xfId="21847" xr:uid="{00000000-0005-0000-0000-000056550000}"/>
    <cellStyle name="Besuchter Hyperlink 2" xfId="21848" xr:uid="{00000000-0005-0000-0000-000057550000}"/>
    <cellStyle name="Besuchter Hyperlink_II.4. RawMaterials" xfId="21849" xr:uid="{00000000-0005-0000-0000-000058550000}"/>
    <cellStyle name="blank" xfId="21850" xr:uid="{00000000-0005-0000-0000-000059550000}"/>
    <cellStyle name="blank 2" xfId="21851" xr:uid="{00000000-0005-0000-0000-00005A550000}"/>
    <cellStyle name="blp_column_header" xfId="21852" xr:uid="{00000000-0005-0000-0000-00005B550000}"/>
    <cellStyle name="Bold 11" xfId="21853" xr:uid="{00000000-0005-0000-0000-00005C550000}"/>
    <cellStyle name="Border color" xfId="21854" xr:uid="{00000000-0005-0000-0000-00005D550000}"/>
    <cellStyle name="Budget" xfId="21855" xr:uid="{00000000-0005-0000-0000-00005E550000}"/>
    <cellStyle name="C?AØ_¿?¾÷CoE² " xfId="21856" xr:uid="{00000000-0005-0000-0000-00005F550000}"/>
    <cellStyle name="Ç¥ÁØ_´çÃÊ±¸ÀÔ»ý»ê" xfId="21857" xr:uid="{00000000-0005-0000-0000-000060550000}"/>
    <cellStyle name="C￥AØ_¿μ¾÷CoE² " xfId="21858" xr:uid="{00000000-0005-0000-0000-000061550000}"/>
    <cellStyle name="Calc Currency (0)" xfId="21859" xr:uid="{00000000-0005-0000-0000-000062550000}"/>
    <cellStyle name="Calc Currency (0) 2" xfId="21860" xr:uid="{00000000-0005-0000-0000-000063550000}"/>
    <cellStyle name="Calc Currency (2)" xfId="21861" xr:uid="{00000000-0005-0000-0000-000064550000}"/>
    <cellStyle name="Calc Currency (2) 2" xfId="21862" xr:uid="{00000000-0005-0000-0000-000065550000}"/>
    <cellStyle name="Calc Percent (0)" xfId="21863" xr:uid="{00000000-0005-0000-0000-000066550000}"/>
    <cellStyle name="Calc Percent (0) 2" xfId="21864" xr:uid="{00000000-0005-0000-0000-000067550000}"/>
    <cellStyle name="Calc Percent (1)" xfId="21865" xr:uid="{00000000-0005-0000-0000-000068550000}"/>
    <cellStyle name="Calc Percent (1) 2" xfId="21866" xr:uid="{00000000-0005-0000-0000-000069550000}"/>
    <cellStyle name="Calc Percent (2)" xfId="21867" xr:uid="{00000000-0005-0000-0000-00006A550000}"/>
    <cellStyle name="Calc Percent (2) 2" xfId="21868" xr:uid="{00000000-0005-0000-0000-00006B550000}"/>
    <cellStyle name="Calc Units (0)" xfId="21869" xr:uid="{00000000-0005-0000-0000-00006C550000}"/>
    <cellStyle name="Calc Units (0) 2" xfId="21870" xr:uid="{00000000-0005-0000-0000-00006D550000}"/>
    <cellStyle name="Calc Units (1)" xfId="21871" xr:uid="{00000000-0005-0000-0000-00006E550000}"/>
    <cellStyle name="Calc Units (1) 2" xfId="21872" xr:uid="{00000000-0005-0000-0000-00006F550000}"/>
    <cellStyle name="Calc Units (2)" xfId="21873" xr:uid="{00000000-0005-0000-0000-000070550000}"/>
    <cellStyle name="Calc Units (2) 2" xfId="21874" xr:uid="{00000000-0005-0000-0000-000071550000}"/>
    <cellStyle name="Calculation 2" xfId="21875" xr:uid="{00000000-0005-0000-0000-000072550000}"/>
    <cellStyle name="Calculation 2 2" xfId="21876" xr:uid="{00000000-0005-0000-0000-000073550000}"/>
    <cellStyle name="Calculation 2 3" xfId="21877" xr:uid="{00000000-0005-0000-0000-000074550000}"/>
    <cellStyle name="Calculation 2 3 2" xfId="21878" xr:uid="{00000000-0005-0000-0000-000075550000}"/>
    <cellStyle name="Calculation 2 3 2 2" xfId="21879" xr:uid="{00000000-0005-0000-0000-000076550000}"/>
    <cellStyle name="Calculation 2 3 2 3" xfId="21880" xr:uid="{00000000-0005-0000-0000-000077550000}"/>
    <cellStyle name="Calculation 2 3 3" xfId="21881" xr:uid="{00000000-0005-0000-0000-000078550000}"/>
    <cellStyle name="Calculation 2 3 3 2" xfId="21882" xr:uid="{00000000-0005-0000-0000-000079550000}"/>
    <cellStyle name="Calculation 2 3 3 3" xfId="21883" xr:uid="{00000000-0005-0000-0000-00007A550000}"/>
    <cellStyle name="Calculation 2 3 4" xfId="21884" xr:uid="{00000000-0005-0000-0000-00007B550000}"/>
    <cellStyle name="Calculation 2 3 5" xfId="21885" xr:uid="{00000000-0005-0000-0000-00007C550000}"/>
    <cellStyle name="Calculation 2 4" xfId="21886" xr:uid="{00000000-0005-0000-0000-00007D550000}"/>
    <cellStyle name="Calculation 2 4 2" xfId="21887" xr:uid="{00000000-0005-0000-0000-00007E550000}"/>
    <cellStyle name="Calculation 2 4 3" xfId="21888" xr:uid="{00000000-0005-0000-0000-00007F550000}"/>
    <cellStyle name="Calculation 2 5" xfId="21889" xr:uid="{00000000-0005-0000-0000-000080550000}"/>
    <cellStyle name="Calculation 2 6" xfId="21890" xr:uid="{00000000-0005-0000-0000-000081550000}"/>
    <cellStyle name="Calculation 3" xfId="21891" xr:uid="{00000000-0005-0000-0000-000082550000}"/>
    <cellStyle name="Calculation 3 2" xfId="21892" xr:uid="{00000000-0005-0000-0000-000083550000}"/>
    <cellStyle name="Chart Title" xfId="21893" xr:uid="{00000000-0005-0000-0000-000084550000}"/>
    <cellStyle name="Chart Title 2" xfId="21894" xr:uid="{00000000-0005-0000-0000-000085550000}"/>
    <cellStyle name="Chart Title 2 2" xfId="21895" xr:uid="{00000000-0005-0000-0000-000086550000}"/>
    <cellStyle name="Chart Title 2 2 2" xfId="21896" xr:uid="{00000000-0005-0000-0000-000087550000}"/>
    <cellStyle name="Chart Title 2 2 3" xfId="21897" xr:uid="{00000000-0005-0000-0000-000088550000}"/>
    <cellStyle name="Chart Title 2 3" xfId="21898" xr:uid="{00000000-0005-0000-0000-000089550000}"/>
    <cellStyle name="Chart Title 2 3 2" xfId="21899" xr:uid="{00000000-0005-0000-0000-00008A550000}"/>
    <cellStyle name="Chart Title 2 3 3" xfId="21900" xr:uid="{00000000-0005-0000-0000-00008B550000}"/>
    <cellStyle name="Chart Title 2 4" xfId="21901" xr:uid="{00000000-0005-0000-0000-00008C550000}"/>
    <cellStyle name="Chart Title 2 5" xfId="21902" xr:uid="{00000000-0005-0000-0000-00008D550000}"/>
    <cellStyle name="Chart Title 3" xfId="21903" xr:uid="{00000000-0005-0000-0000-00008E550000}"/>
    <cellStyle name="Check Cell 2" xfId="21904" xr:uid="{00000000-0005-0000-0000-00008F550000}"/>
    <cellStyle name="Check Cell 2 2" xfId="21905" xr:uid="{00000000-0005-0000-0000-000090550000}"/>
    <cellStyle name="Check Cell 2 3" xfId="21906" xr:uid="{00000000-0005-0000-0000-000091550000}"/>
    <cellStyle name="Check Cell 3" xfId="21907" xr:uid="{00000000-0005-0000-0000-000092550000}"/>
    <cellStyle name="ÇÏÀÌÆÛ¸µÅ©" xfId="21908" xr:uid="{00000000-0005-0000-0000-000093550000}"/>
    <cellStyle name="ColBlue" xfId="21909" xr:uid="{00000000-0005-0000-0000-000094550000}"/>
    <cellStyle name="ColGreen" xfId="21910" xr:uid="{00000000-0005-0000-0000-000095550000}"/>
    <cellStyle name="ColRed" xfId="21911" xr:uid="{00000000-0005-0000-0000-000096550000}"/>
    <cellStyle name="Column_Title" xfId="21912" xr:uid="{00000000-0005-0000-0000-000097550000}"/>
    <cellStyle name="Comma  - Style1" xfId="21913" xr:uid="{00000000-0005-0000-0000-000098550000}"/>
    <cellStyle name="Comma  - Style2" xfId="21914" xr:uid="{00000000-0005-0000-0000-000099550000}"/>
    <cellStyle name="Comma  - Style3" xfId="21915" xr:uid="{00000000-0005-0000-0000-00009A550000}"/>
    <cellStyle name="Comma  - Style4" xfId="21916" xr:uid="{00000000-0005-0000-0000-00009B550000}"/>
    <cellStyle name="Comma  - Style5" xfId="21917" xr:uid="{00000000-0005-0000-0000-00009C550000}"/>
    <cellStyle name="Comma  - Style6" xfId="21918" xr:uid="{00000000-0005-0000-0000-00009D550000}"/>
    <cellStyle name="Comma  - Style7" xfId="21919" xr:uid="{00000000-0005-0000-0000-00009E550000}"/>
    <cellStyle name="Comma  - Style8" xfId="21920" xr:uid="{00000000-0005-0000-0000-00009F550000}"/>
    <cellStyle name="Comma $[0]_Red" xfId="21921" xr:uid="{00000000-0005-0000-0000-0000A0550000}"/>
    <cellStyle name="Comma (1)" xfId="21922" xr:uid="{00000000-0005-0000-0000-0000A1550000}"/>
    <cellStyle name="Comma (2)" xfId="21923" xr:uid="{00000000-0005-0000-0000-0000A2550000}"/>
    <cellStyle name="Comma (2) 2" xfId="21924" xr:uid="{00000000-0005-0000-0000-0000A3550000}"/>
    <cellStyle name="Comma [00]" xfId="21925" xr:uid="{00000000-0005-0000-0000-0000A4550000}"/>
    <cellStyle name="Comma [00] 2" xfId="21926" xr:uid="{00000000-0005-0000-0000-0000A5550000}"/>
    <cellStyle name="Comma 10" xfId="21927" xr:uid="{00000000-0005-0000-0000-0000A6550000}"/>
    <cellStyle name="Comma 10 2" xfId="21928" xr:uid="{00000000-0005-0000-0000-0000A7550000}"/>
    <cellStyle name="Comma 10 2 2" xfId="21929" xr:uid="{00000000-0005-0000-0000-0000A8550000}"/>
    <cellStyle name="Comma 10 2 2 2" xfId="21930" xr:uid="{00000000-0005-0000-0000-0000A9550000}"/>
    <cellStyle name="Comma 10 2 2 2 2" xfId="21931" xr:uid="{00000000-0005-0000-0000-0000AA550000}"/>
    <cellStyle name="Comma 10 2 2 2 2 2" xfId="21932" xr:uid="{00000000-0005-0000-0000-0000AB550000}"/>
    <cellStyle name="Comma 10 2 2 2 3" xfId="21933" xr:uid="{00000000-0005-0000-0000-0000AC550000}"/>
    <cellStyle name="Comma 10 2 2 3" xfId="21934" xr:uid="{00000000-0005-0000-0000-0000AD550000}"/>
    <cellStyle name="Comma 10 2 2 3 2" xfId="21935" xr:uid="{00000000-0005-0000-0000-0000AE550000}"/>
    <cellStyle name="Comma 10 2 2 4" xfId="21936" xr:uid="{00000000-0005-0000-0000-0000AF550000}"/>
    <cellStyle name="Comma 10 2 2 4 2" xfId="21937" xr:uid="{00000000-0005-0000-0000-0000B0550000}"/>
    <cellStyle name="Comma 10 2 2 5" xfId="21938" xr:uid="{00000000-0005-0000-0000-0000B1550000}"/>
    <cellStyle name="Comma 10 2 3" xfId="21939" xr:uid="{00000000-0005-0000-0000-0000B2550000}"/>
    <cellStyle name="Comma 10 2 3 2" xfId="21940" xr:uid="{00000000-0005-0000-0000-0000B3550000}"/>
    <cellStyle name="Comma 10 2 3 2 2" xfId="21941" xr:uid="{00000000-0005-0000-0000-0000B4550000}"/>
    <cellStyle name="Comma 10 2 3 2 2 2" xfId="21942" xr:uid="{00000000-0005-0000-0000-0000B5550000}"/>
    <cellStyle name="Comma 10 2 3 2 3" xfId="21943" xr:uid="{00000000-0005-0000-0000-0000B6550000}"/>
    <cellStyle name="Comma 10 2 3 3" xfId="21944" xr:uid="{00000000-0005-0000-0000-0000B7550000}"/>
    <cellStyle name="Comma 10 2 3 3 2" xfId="21945" xr:uid="{00000000-0005-0000-0000-0000B8550000}"/>
    <cellStyle name="Comma 10 2 3 4" xfId="21946" xr:uid="{00000000-0005-0000-0000-0000B9550000}"/>
    <cellStyle name="Comma 10 2 3 4 2" xfId="21947" xr:uid="{00000000-0005-0000-0000-0000BA550000}"/>
    <cellStyle name="Comma 10 2 3 5" xfId="21948" xr:uid="{00000000-0005-0000-0000-0000BB550000}"/>
    <cellStyle name="Comma 10 2 4" xfId="21949" xr:uid="{00000000-0005-0000-0000-0000BC550000}"/>
    <cellStyle name="Comma 10 2 4 2" xfId="21950" xr:uid="{00000000-0005-0000-0000-0000BD550000}"/>
    <cellStyle name="Comma 10 2 4 2 2" xfId="21951" xr:uid="{00000000-0005-0000-0000-0000BE550000}"/>
    <cellStyle name="Comma 10 2 4 3" xfId="21952" xr:uid="{00000000-0005-0000-0000-0000BF550000}"/>
    <cellStyle name="Comma 10 2 5" xfId="21953" xr:uid="{00000000-0005-0000-0000-0000C0550000}"/>
    <cellStyle name="Comma 10 2 5 2" xfId="21954" xr:uid="{00000000-0005-0000-0000-0000C1550000}"/>
    <cellStyle name="Comma 10 2 6" xfId="21955" xr:uid="{00000000-0005-0000-0000-0000C2550000}"/>
    <cellStyle name="Comma 10 2 6 2" xfId="21956" xr:uid="{00000000-0005-0000-0000-0000C3550000}"/>
    <cellStyle name="Comma 10 2 7" xfId="21957" xr:uid="{00000000-0005-0000-0000-0000C4550000}"/>
    <cellStyle name="Comma 10 3" xfId="21958" xr:uid="{00000000-0005-0000-0000-0000C5550000}"/>
    <cellStyle name="Comma 10 3 2" xfId="21959" xr:uid="{00000000-0005-0000-0000-0000C6550000}"/>
    <cellStyle name="Comma 10 3 2 2" xfId="21960" xr:uid="{00000000-0005-0000-0000-0000C7550000}"/>
    <cellStyle name="Comma 10 3 2 2 2" xfId="21961" xr:uid="{00000000-0005-0000-0000-0000C8550000}"/>
    <cellStyle name="Comma 10 3 2 3" xfId="21962" xr:uid="{00000000-0005-0000-0000-0000C9550000}"/>
    <cellStyle name="Comma 10 3 3" xfId="21963" xr:uid="{00000000-0005-0000-0000-0000CA550000}"/>
    <cellStyle name="Comma 10 3 3 2" xfId="21964" xr:uid="{00000000-0005-0000-0000-0000CB550000}"/>
    <cellStyle name="Comma 10 3 4" xfId="21965" xr:uid="{00000000-0005-0000-0000-0000CC550000}"/>
    <cellStyle name="Comma 10 3 4 2" xfId="21966" xr:uid="{00000000-0005-0000-0000-0000CD550000}"/>
    <cellStyle name="Comma 10 3 5" xfId="21967" xr:uid="{00000000-0005-0000-0000-0000CE550000}"/>
    <cellStyle name="Comma 10 4" xfId="21968" xr:uid="{00000000-0005-0000-0000-0000CF550000}"/>
    <cellStyle name="Comma 10 4 2" xfId="21969" xr:uid="{00000000-0005-0000-0000-0000D0550000}"/>
    <cellStyle name="Comma 10 4 2 2" xfId="21970" xr:uid="{00000000-0005-0000-0000-0000D1550000}"/>
    <cellStyle name="Comma 10 4 2 2 2" xfId="21971" xr:uid="{00000000-0005-0000-0000-0000D2550000}"/>
    <cellStyle name="Comma 10 4 2 3" xfId="21972" xr:uid="{00000000-0005-0000-0000-0000D3550000}"/>
    <cellStyle name="Comma 10 4 3" xfId="21973" xr:uid="{00000000-0005-0000-0000-0000D4550000}"/>
    <cellStyle name="Comma 10 4 3 2" xfId="21974" xr:uid="{00000000-0005-0000-0000-0000D5550000}"/>
    <cellStyle name="Comma 10 4 4" xfId="21975" xr:uid="{00000000-0005-0000-0000-0000D6550000}"/>
    <cellStyle name="Comma 10 4 4 2" xfId="21976" xr:uid="{00000000-0005-0000-0000-0000D7550000}"/>
    <cellStyle name="Comma 10 4 5" xfId="21977" xr:uid="{00000000-0005-0000-0000-0000D8550000}"/>
    <cellStyle name="Comma 10 5" xfId="21978" xr:uid="{00000000-0005-0000-0000-0000D9550000}"/>
    <cellStyle name="Comma 10 5 2" xfId="21979" xr:uid="{00000000-0005-0000-0000-0000DA550000}"/>
    <cellStyle name="Comma 10 5 2 2" xfId="21980" xr:uid="{00000000-0005-0000-0000-0000DB550000}"/>
    <cellStyle name="Comma 10 5 3" xfId="21981" xr:uid="{00000000-0005-0000-0000-0000DC550000}"/>
    <cellStyle name="Comma 10 6" xfId="21982" xr:uid="{00000000-0005-0000-0000-0000DD550000}"/>
    <cellStyle name="Comma 10 6 2" xfId="21983" xr:uid="{00000000-0005-0000-0000-0000DE550000}"/>
    <cellStyle name="Comma 10 7" xfId="21984" xr:uid="{00000000-0005-0000-0000-0000DF550000}"/>
    <cellStyle name="Comma 10 7 2" xfId="21985" xr:uid="{00000000-0005-0000-0000-0000E0550000}"/>
    <cellStyle name="Comma 10 8" xfId="21986" xr:uid="{00000000-0005-0000-0000-0000E1550000}"/>
    <cellStyle name="Comma 11" xfId="21987" xr:uid="{00000000-0005-0000-0000-0000E2550000}"/>
    <cellStyle name="Comma 11 2" xfId="21988" xr:uid="{00000000-0005-0000-0000-0000E3550000}"/>
    <cellStyle name="Comma 11 2 2" xfId="21989" xr:uid="{00000000-0005-0000-0000-0000E4550000}"/>
    <cellStyle name="Comma 11 2 2 2" xfId="21990" xr:uid="{00000000-0005-0000-0000-0000E5550000}"/>
    <cellStyle name="Comma 11 2 2 2 2" xfId="21991" xr:uid="{00000000-0005-0000-0000-0000E6550000}"/>
    <cellStyle name="Comma 11 2 2 2 2 2" xfId="21992" xr:uid="{00000000-0005-0000-0000-0000E7550000}"/>
    <cellStyle name="Comma 11 2 2 2 3" xfId="21993" xr:uid="{00000000-0005-0000-0000-0000E8550000}"/>
    <cellStyle name="Comma 11 2 2 3" xfId="21994" xr:uid="{00000000-0005-0000-0000-0000E9550000}"/>
    <cellStyle name="Comma 11 2 2 3 2" xfId="21995" xr:uid="{00000000-0005-0000-0000-0000EA550000}"/>
    <cellStyle name="Comma 11 2 2 4" xfId="21996" xr:uid="{00000000-0005-0000-0000-0000EB550000}"/>
    <cellStyle name="Comma 11 2 2 4 2" xfId="21997" xr:uid="{00000000-0005-0000-0000-0000EC550000}"/>
    <cellStyle name="Comma 11 2 2 5" xfId="21998" xr:uid="{00000000-0005-0000-0000-0000ED550000}"/>
    <cellStyle name="Comma 11 2 3" xfId="21999" xr:uid="{00000000-0005-0000-0000-0000EE550000}"/>
    <cellStyle name="Comma 11 2 3 2" xfId="22000" xr:uid="{00000000-0005-0000-0000-0000EF550000}"/>
    <cellStyle name="Comma 11 2 3 2 2" xfId="22001" xr:uid="{00000000-0005-0000-0000-0000F0550000}"/>
    <cellStyle name="Comma 11 2 3 2 2 2" xfId="22002" xr:uid="{00000000-0005-0000-0000-0000F1550000}"/>
    <cellStyle name="Comma 11 2 3 2 3" xfId="22003" xr:uid="{00000000-0005-0000-0000-0000F2550000}"/>
    <cellStyle name="Comma 11 2 3 3" xfId="22004" xr:uid="{00000000-0005-0000-0000-0000F3550000}"/>
    <cellStyle name="Comma 11 2 3 3 2" xfId="22005" xr:uid="{00000000-0005-0000-0000-0000F4550000}"/>
    <cellStyle name="Comma 11 2 3 4" xfId="22006" xr:uid="{00000000-0005-0000-0000-0000F5550000}"/>
    <cellStyle name="Comma 11 2 3 4 2" xfId="22007" xr:uid="{00000000-0005-0000-0000-0000F6550000}"/>
    <cellStyle name="Comma 11 2 3 5" xfId="22008" xr:uid="{00000000-0005-0000-0000-0000F7550000}"/>
    <cellStyle name="Comma 11 2 4" xfId="22009" xr:uid="{00000000-0005-0000-0000-0000F8550000}"/>
    <cellStyle name="Comma 11 2 4 2" xfId="22010" xr:uid="{00000000-0005-0000-0000-0000F9550000}"/>
    <cellStyle name="Comma 11 2 4 2 2" xfId="22011" xr:uid="{00000000-0005-0000-0000-0000FA550000}"/>
    <cellStyle name="Comma 11 2 4 3" xfId="22012" xr:uid="{00000000-0005-0000-0000-0000FB550000}"/>
    <cellStyle name="Comma 11 2 5" xfId="22013" xr:uid="{00000000-0005-0000-0000-0000FC550000}"/>
    <cellStyle name="Comma 11 2 5 2" xfId="22014" xr:uid="{00000000-0005-0000-0000-0000FD550000}"/>
    <cellStyle name="Comma 11 2 6" xfId="22015" xr:uid="{00000000-0005-0000-0000-0000FE550000}"/>
    <cellStyle name="Comma 11 2 6 2" xfId="22016" xr:uid="{00000000-0005-0000-0000-0000FF550000}"/>
    <cellStyle name="Comma 11 2 7" xfId="22017" xr:uid="{00000000-0005-0000-0000-000000560000}"/>
    <cellStyle name="Comma 11 3" xfId="22018" xr:uid="{00000000-0005-0000-0000-000001560000}"/>
    <cellStyle name="Comma 11 3 2" xfId="22019" xr:uid="{00000000-0005-0000-0000-000002560000}"/>
    <cellStyle name="Comma 11 3 2 2" xfId="22020" xr:uid="{00000000-0005-0000-0000-000003560000}"/>
    <cellStyle name="Comma 11 3 2 2 2" xfId="22021" xr:uid="{00000000-0005-0000-0000-000004560000}"/>
    <cellStyle name="Comma 11 3 2 3" xfId="22022" xr:uid="{00000000-0005-0000-0000-000005560000}"/>
    <cellStyle name="Comma 11 3 3" xfId="22023" xr:uid="{00000000-0005-0000-0000-000006560000}"/>
    <cellStyle name="Comma 11 3 3 2" xfId="22024" xr:uid="{00000000-0005-0000-0000-000007560000}"/>
    <cellStyle name="Comma 11 3 4" xfId="22025" xr:uid="{00000000-0005-0000-0000-000008560000}"/>
    <cellStyle name="Comma 11 3 4 2" xfId="22026" xr:uid="{00000000-0005-0000-0000-000009560000}"/>
    <cellStyle name="Comma 11 3 5" xfId="22027" xr:uid="{00000000-0005-0000-0000-00000A560000}"/>
    <cellStyle name="Comma 11 4" xfId="22028" xr:uid="{00000000-0005-0000-0000-00000B560000}"/>
    <cellStyle name="Comma 11 4 2" xfId="22029" xr:uid="{00000000-0005-0000-0000-00000C560000}"/>
    <cellStyle name="Comma 11 4 2 2" xfId="22030" xr:uid="{00000000-0005-0000-0000-00000D560000}"/>
    <cellStyle name="Comma 11 4 2 2 2" xfId="22031" xr:uid="{00000000-0005-0000-0000-00000E560000}"/>
    <cellStyle name="Comma 11 4 2 3" xfId="22032" xr:uid="{00000000-0005-0000-0000-00000F560000}"/>
    <cellStyle name="Comma 11 4 3" xfId="22033" xr:uid="{00000000-0005-0000-0000-000010560000}"/>
    <cellStyle name="Comma 11 4 3 2" xfId="22034" xr:uid="{00000000-0005-0000-0000-000011560000}"/>
    <cellStyle name="Comma 11 4 4" xfId="22035" xr:uid="{00000000-0005-0000-0000-000012560000}"/>
    <cellStyle name="Comma 11 4 4 2" xfId="22036" xr:uid="{00000000-0005-0000-0000-000013560000}"/>
    <cellStyle name="Comma 11 4 5" xfId="22037" xr:uid="{00000000-0005-0000-0000-000014560000}"/>
    <cellStyle name="Comma 11 5" xfId="22038" xr:uid="{00000000-0005-0000-0000-000015560000}"/>
    <cellStyle name="Comma 11 5 2" xfId="22039" xr:uid="{00000000-0005-0000-0000-000016560000}"/>
    <cellStyle name="Comma 11 5 2 2" xfId="22040" xr:uid="{00000000-0005-0000-0000-000017560000}"/>
    <cellStyle name="Comma 11 5 3" xfId="22041" xr:uid="{00000000-0005-0000-0000-000018560000}"/>
    <cellStyle name="Comma 11 6" xfId="22042" xr:uid="{00000000-0005-0000-0000-000019560000}"/>
    <cellStyle name="Comma 11 6 2" xfId="22043" xr:uid="{00000000-0005-0000-0000-00001A560000}"/>
    <cellStyle name="Comma 11 7" xfId="22044" xr:uid="{00000000-0005-0000-0000-00001B560000}"/>
    <cellStyle name="Comma 11 7 2" xfId="22045" xr:uid="{00000000-0005-0000-0000-00001C560000}"/>
    <cellStyle name="Comma 11 8" xfId="22046" xr:uid="{00000000-0005-0000-0000-00001D560000}"/>
    <cellStyle name="Comma 12" xfId="22047" xr:uid="{00000000-0005-0000-0000-00001E560000}"/>
    <cellStyle name="Comma 12 2" xfId="22048" xr:uid="{00000000-0005-0000-0000-00001F560000}"/>
    <cellStyle name="Comma 12 2 2" xfId="22049" xr:uid="{00000000-0005-0000-0000-000020560000}"/>
    <cellStyle name="Comma 12 2 2 2" xfId="22050" xr:uid="{00000000-0005-0000-0000-000021560000}"/>
    <cellStyle name="Comma 12 2 2 2 2" xfId="22051" xr:uid="{00000000-0005-0000-0000-000022560000}"/>
    <cellStyle name="Comma 12 2 2 2 2 2" xfId="22052" xr:uid="{00000000-0005-0000-0000-000023560000}"/>
    <cellStyle name="Comma 12 2 2 2 3" xfId="22053" xr:uid="{00000000-0005-0000-0000-000024560000}"/>
    <cellStyle name="Comma 12 2 2 3" xfId="22054" xr:uid="{00000000-0005-0000-0000-000025560000}"/>
    <cellStyle name="Comma 12 2 2 3 2" xfId="22055" xr:uid="{00000000-0005-0000-0000-000026560000}"/>
    <cellStyle name="Comma 12 2 2 4" xfId="22056" xr:uid="{00000000-0005-0000-0000-000027560000}"/>
    <cellStyle name="Comma 12 2 2 4 2" xfId="22057" xr:uid="{00000000-0005-0000-0000-000028560000}"/>
    <cellStyle name="Comma 12 2 2 5" xfId="22058" xr:uid="{00000000-0005-0000-0000-000029560000}"/>
    <cellStyle name="Comma 12 2 3" xfId="22059" xr:uid="{00000000-0005-0000-0000-00002A560000}"/>
    <cellStyle name="Comma 12 2 3 2" xfId="22060" xr:uid="{00000000-0005-0000-0000-00002B560000}"/>
    <cellStyle name="Comma 12 2 3 2 2" xfId="22061" xr:uid="{00000000-0005-0000-0000-00002C560000}"/>
    <cellStyle name="Comma 12 2 3 2 2 2" xfId="22062" xr:uid="{00000000-0005-0000-0000-00002D560000}"/>
    <cellStyle name="Comma 12 2 3 2 3" xfId="22063" xr:uid="{00000000-0005-0000-0000-00002E560000}"/>
    <cellStyle name="Comma 12 2 3 3" xfId="22064" xr:uid="{00000000-0005-0000-0000-00002F560000}"/>
    <cellStyle name="Comma 12 2 3 3 2" xfId="22065" xr:uid="{00000000-0005-0000-0000-000030560000}"/>
    <cellStyle name="Comma 12 2 3 4" xfId="22066" xr:uid="{00000000-0005-0000-0000-000031560000}"/>
    <cellStyle name="Comma 12 2 3 4 2" xfId="22067" xr:uid="{00000000-0005-0000-0000-000032560000}"/>
    <cellStyle name="Comma 12 2 3 5" xfId="22068" xr:uid="{00000000-0005-0000-0000-000033560000}"/>
    <cellStyle name="Comma 12 2 4" xfId="22069" xr:uid="{00000000-0005-0000-0000-000034560000}"/>
    <cellStyle name="Comma 12 2 4 2" xfId="22070" xr:uid="{00000000-0005-0000-0000-000035560000}"/>
    <cellStyle name="Comma 12 2 4 2 2" xfId="22071" xr:uid="{00000000-0005-0000-0000-000036560000}"/>
    <cellStyle name="Comma 12 2 4 3" xfId="22072" xr:uid="{00000000-0005-0000-0000-000037560000}"/>
    <cellStyle name="Comma 12 2 5" xfId="22073" xr:uid="{00000000-0005-0000-0000-000038560000}"/>
    <cellStyle name="Comma 12 2 5 2" xfId="22074" xr:uid="{00000000-0005-0000-0000-000039560000}"/>
    <cellStyle name="Comma 12 2 6" xfId="22075" xr:uid="{00000000-0005-0000-0000-00003A560000}"/>
    <cellStyle name="Comma 12 2 6 2" xfId="22076" xr:uid="{00000000-0005-0000-0000-00003B560000}"/>
    <cellStyle name="Comma 12 2 7" xfId="22077" xr:uid="{00000000-0005-0000-0000-00003C560000}"/>
    <cellStyle name="Comma 12 3" xfId="22078" xr:uid="{00000000-0005-0000-0000-00003D560000}"/>
    <cellStyle name="Comma 12 3 2" xfId="22079" xr:uid="{00000000-0005-0000-0000-00003E560000}"/>
    <cellStyle name="Comma 12 3 2 2" xfId="22080" xr:uid="{00000000-0005-0000-0000-00003F560000}"/>
    <cellStyle name="Comma 12 3 2 2 2" xfId="22081" xr:uid="{00000000-0005-0000-0000-000040560000}"/>
    <cellStyle name="Comma 12 3 2 3" xfId="22082" xr:uid="{00000000-0005-0000-0000-000041560000}"/>
    <cellStyle name="Comma 12 3 3" xfId="22083" xr:uid="{00000000-0005-0000-0000-000042560000}"/>
    <cellStyle name="Comma 12 3 3 2" xfId="22084" xr:uid="{00000000-0005-0000-0000-000043560000}"/>
    <cellStyle name="Comma 12 3 4" xfId="22085" xr:uid="{00000000-0005-0000-0000-000044560000}"/>
    <cellStyle name="Comma 12 3 4 2" xfId="22086" xr:uid="{00000000-0005-0000-0000-000045560000}"/>
    <cellStyle name="Comma 12 3 5" xfId="22087" xr:uid="{00000000-0005-0000-0000-000046560000}"/>
    <cellStyle name="Comma 12 4" xfId="22088" xr:uid="{00000000-0005-0000-0000-000047560000}"/>
    <cellStyle name="Comma 12 4 2" xfId="22089" xr:uid="{00000000-0005-0000-0000-000048560000}"/>
    <cellStyle name="Comma 12 4 2 2" xfId="22090" xr:uid="{00000000-0005-0000-0000-000049560000}"/>
    <cellStyle name="Comma 12 4 2 2 2" xfId="22091" xr:uid="{00000000-0005-0000-0000-00004A560000}"/>
    <cellStyle name="Comma 12 4 2 3" xfId="22092" xr:uid="{00000000-0005-0000-0000-00004B560000}"/>
    <cellStyle name="Comma 12 4 3" xfId="22093" xr:uid="{00000000-0005-0000-0000-00004C560000}"/>
    <cellStyle name="Comma 12 4 3 2" xfId="22094" xr:uid="{00000000-0005-0000-0000-00004D560000}"/>
    <cellStyle name="Comma 12 4 4" xfId="22095" xr:uid="{00000000-0005-0000-0000-00004E560000}"/>
    <cellStyle name="Comma 12 4 4 2" xfId="22096" xr:uid="{00000000-0005-0000-0000-00004F560000}"/>
    <cellStyle name="Comma 12 4 5" xfId="22097" xr:uid="{00000000-0005-0000-0000-000050560000}"/>
    <cellStyle name="Comma 12 5" xfId="22098" xr:uid="{00000000-0005-0000-0000-000051560000}"/>
    <cellStyle name="Comma 12 5 2" xfId="22099" xr:uid="{00000000-0005-0000-0000-000052560000}"/>
    <cellStyle name="Comma 12 5 2 2" xfId="22100" xr:uid="{00000000-0005-0000-0000-000053560000}"/>
    <cellStyle name="Comma 12 5 3" xfId="22101" xr:uid="{00000000-0005-0000-0000-000054560000}"/>
    <cellStyle name="Comma 12 6" xfId="22102" xr:uid="{00000000-0005-0000-0000-000055560000}"/>
    <cellStyle name="Comma 12 6 2" xfId="22103" xr:uid="{00000000-0005-0000-0000-000056560000}"/>
    <cellStyle name="Comma 12 7" xfId="22104" xr:uid="{00000000-0005-0000-0000-000057560000}"/>
    <cellStyle name="Comma 12 7 2" xfId="22105" xr:uid="{00000000-0005-0000-0000-000058560000}"/>
    <cellStyle name="Comma 12 8" xfId="22106" xr:uid="{00000000-0005-0000-0000-000059560000}"/>
    <cellStyle name="Comma 13" xfId="22107" xr:uid="{00000000-0005-0000-0000-00005A560000}"/>
    <cellStyle name="Comma 13 2" xfId="22108" xr:uid="{00000000-0005-0000-0000-00005B560000}"/>
    <cellStyle name="Comma 13 2 2" xfId="22109" xr:uid="{00000000-0005-0000-0000-00005C560000}"/>
    <cellStyle name="Comma 13 2 2 2" xfId="22110" xr:uid="{00000000-0005-0000-0000-00005D560000}"/>
    <cellStyle name="Comma 13 2 2 2 2" xfId="22111" xr:uid="{00000000-0005-0000-0000-00005E560000}"/>
    <cellStyle name="Comma 13 2 2 2 2 2" xfId="22112" xr:uid="{00000000-0005-0000-0000-00005F560000}"/>
    <cellStyle name="Comma 13 2 2 2 3" xfId="22113" xr:uid="{00000000-0005-0000-0000-000060560000}"/>
    <cellStyle name="Comma 13 2 2 3" xfId="22114" xr:uid="{00000000-0005-0000-0000-000061560000}"/>
    <cellStyle name="Comma 13 2 2 3 2" xfId="22115" xr:uid="{00000000-0005-0000-0000-000062560000}"/>
    <cellStyle name="Comma 13 2 2 4" xfId="22116" xr:uid="{00000000-0005-0000-0000-000063560000}"/>
    <cellStyle name="Comma 13 2 2 4 2" xfId="22117" xr:uid="{00000000-0005-0000-0000-000064560000}"/>
    <cellStyle name="Comma 13 2 2 5" xfId="22118" xr:uid="{00000000-0005-0000-0000-000065560000}"/>
    <cellStyle name="Comma 13 2 3" xfId="22119" xr:uid="{00000000-0005-0000-0000-000066560000}"/>
    <cellStyle name="Comma 13 2 3 2" xfId="22120" xr:uid="{00000000-0005-0000-0000-000067560000}"/>
    <cellStyle name="Comma 13 2 3 2 2" xfId="22121" xr:uid="{00000000-0005-0000-0000-000068560000}"/>
    <cellStyle name="Comma 13 2 3 2 2 2" xfId="22122" xr:uid="{00000000-0005-0000-0000-000069560000}"/>
    <cellStyle name="Comma 13 2 3 2 3" xfId="22123" xr:uid="{00000000-0005-0000-0000-00006A560000}"/>
    <cellStyle name="Comma 13 2 3 3" xfId="22124" xr:uid="{00000000-0005-0000-0000-00006B560000}"/>
    <cellStyle name="Comma 13 2 3 3 2" xfId="22125" xr:uid="{00000000-0005-0000-0000-00006C560000}"/>
    <cellStyle name="Comma 13 2 3 4" xfId="22126" xr:uid="{00000000-0005-0000-0000-00006D560000}"/>
    <cellStyle name="Comma 13 2 3 4 2" xfId="22127" xr:uid="{00000000-0005-0000-0000-00006E560000}"/>
    <cellStyle name="Comma 13 2 3 5" xfId="22128" xr:uid="{00000000-0005-0000-0000-00006F560000}"/>
    <cellStyle name="Comma 13 2 4" xfId="22129" xr:uid="{00000000-0005-0000-0000-000070560000}"/>
    <cellStyle name="Comma 13 2 4 2" xfId="22130" xr:uid="{00000000-0005-0000-0000-000071560000}"/>
    <cellStyle name="Comma 13 2 4 2 2" xfId="22131" xr:uid="{00000000-0005-0000-0000-000072560000}"/>
    <cellStyle name="Comma 13 2 4 3" xfId="22132" xr:uid="{00000000-0005-0000-0000-000073560000}"/>
    <cellStyle name="Comma 13 2 5" xfId="22133" xr:uid="{00000000-0005-0000-0000-000074560000}"/>
    <cellStyle name="Comma 13 2 5 2" xfId="22134" xr:uid="{00000000-0005-0000-0000-000075560000}"/>
    <cellStyle name="Comma 13 2 6" xfId="22135" xr:uid="{00000000-0005-0000-0000-000076560000}"/>
    <cellStyle name="Comma 13 2 6 2" xfId="22136" xr:uid="{00000000-0005-0000-0000-000077560000}"/>
    <cellStyle name="Comma 13 2 7" xfId="22137" xr:uid="{00000000-0005-0000-0000-000078560000}"/>
    <cellStyle name="Comma 13 3" xfId="22138" xr:uid="{00000000-0005-0000-0000-000079560000}"/>
    <cellStyle name="Comma 13 3 2" xfId="22139" xr:uid="{00000000-0005-0000-0000-00007A560000}"/>
    <cellStyle name="Comma 13 3 2 2" xfId="22140" xr:uid="{00000000-0005-0000-0000-00007B560000}"/>
    <cellStyle name="Comma 13 3 2 2 2" xfId="22141" xr:uid="{00000000-0005-0000-0000-00007C560000}"/>
    <cellStyle name="Comma 13 3 2 3" xfId="22142" xr:uid="{00000000-0005-0000-0000-00007D560000}"/>
    <cellStyle name="Comma 13 3 3" xfId="22143" xr:uid="{00000000-0005-0000-0000-00007E560000}"/>
    <cellStyle name="Comma 13 3 3 2" xfId="22144" xr:uid="{00000000-0005-0000-0000-00007F560000}"/>
    <cellStyle name="Comma 13 3 4" xfId="22145" xr:uid="{00000000-0005-0000-0000-000080560000}"/>
    <cellStyle name="Comma 13 3 4 2" xfId="22146" xr:uid="{00000000-0005-0000-0000-000081560000}"/>
    <cellStyle name="Comma 13 3 5" xfId="22147" xr:uid="{00000000-0005-0000-0000-000082560000}"/>
    <cellStyle name="Comma 13 4" xfId="22148" xr:uid="{00000000-0005-0000-0000-000083560000}"/>
    <cellStyle name="Comma 13 4 2" xfId="22149" xr:uid="{00000000-0005-0000-0000-000084560000}"/>
    <cellStyle name="Comma 13 4 2 2" xfId="22150" xr:uid="{00000000-0005-0000-0000-000085560000}"/>
    <cellStyle name="Comma 13 4 2 2 2" xfId="22151" xr:uid="{00000000-0005-0000-0000-000086560000}"/>
    <cellStyle name="Comma 13 4 2 3" xfId="22152" xr:uid="{00000000-0005-0000-0000-000087560000}"/>
    <cellStyle name="Comma 13 4 3" xfId="22153" xr:uid="{00000000-0005-0000-0000-000088560000}"/>
    <cellStyle name="Comma 13 4 3 2" xfId="22154" xr:uid="{00000000-0005-0000-0000-000089560000}"/>
    <cellStyle name="Comma 13 4 4" xfId="22155" xr:uid="{00000000-0005-0000-0000-00008A560000}"/>
    <cellStyle name="Comma 13 4 4 2" xfId="22156" xr:uid="{00000000-0005-0000-0000-00008B560000}"/>
    <cellStyle name="Comma 13 4 5" xfId="22157" xr:uid="{00000000-0005-0000-0000-00008C560000}"/>
    <cellStyle name="Comma 13 5" xfId="22158" xr:uid="{00000000-0005-0000-0000-00008D560000}"/>
    <cellStyle name="Comma 13 5 2" xfId="22159" xr:uid="{00000000-0005-0000-0000-00008E560000}"/>
    <cellStyle name="Comma 13 5 2 2" xfId="22160" xr:uid="{00000000-0005-0000-0000-00008F560000}"/>
    <cellStyle name="Comma 13 5 3" xfId="22161" xr:uid="{00000000-0005-0000-0000-000090560000}"/>
    <cellStyle name="Comma 13 6" xfId="22162" xr:uid="{00000000-0005-0000-0000-000091560000}"/>
    <cellStyle name="Comma 13 6 2" xfId="22163" xr:uid="{00000000-0005-0000-0000-000092560000}"/>
    <cellStyle name="Comma 13 7" xfId="22164" xr:uid="{00000000-0005-0000-0000-000093560000}"/>
    <cellStyle name="Comma 13 7 2" xfId="22165" xr:uid="{00000000-0005-0000-0000-000094560000}"/>
    <cellStyle name="Comma 13 8" xfId="22166" xr:uid="{00000000-0005-0000-0000-000095560000}"/>
    <cellStyle name="Comma 14" xfId="22167" xr:uid="{00000000-0005-0000-0000-000096560000}"/>
    <cellStyle name="Comma 14 2" xfId="22168" xr:uid="{00000000-0005-0000-0000-000097560000}"/>
    <cellStyle name="Comma 14 2 2" xfId="22169" xr:uid="{00000000-0005-0000-0000-000098560000}"/>
    <cellStyle name="Comma 14 2 2 2" xfId="22170" xr:uid="{00000000-0005-0000-0000-000099560000}"/>
    <cellStyle name="Comma 14 2 2 2 2" xfId="22171" xr:uid="{00000000-0005-0000-0000-00009A560000}"/>
    <cellStyle name="Comma 14 2 2 2 2 2" xfId="22172" xr:uid="{00000000-0005-0000-0000-00009B560000}"/>
    <cellStyle name="Comma 14 2 2 2 3" xfId="22173" xr:uid="{00000000-0005-0000-0000-00009C560000}"/>
    <cellStyle name="Comma 14 2 2 3" xfId="22174" xr:uid="{00000000-0005-0000-0000-00009D560000}"/>
    <cellStyle name="Comma 14 2 2 3 2" xfId="22175" xr:uid="{00000000-0005-0000-0000-00009E560000}"/>
    <cellStyle name="Comma 14 2 2 4" xfId="22176" xr:uid="{00000000-0005-0000-0000-00009F560000}"/>
    <cellStyle name="Comma 14 2 2 4 2" xfId="22177" xr:uid="{00000000-0005-0000-0000-0000A0560000}"/>
    <cellStyle name="Comma 14 2 2 5" xfId="22178" xr:uid="{00000000-0005-0000-0000-0000A1560000}"/>
    <cellStyle name="Comma 14 2 3" xfId="22179" xr:uid="{00000000-0005-0000-0000-0000A2560000}"/>
    <cellStyle name="Comma 14 2 3 2" xfId="22180" xr:uid="{00000000-0005-0000-0000-0000A3560000}"/>
    <cellStyle name="Comma 14 2 3 2 2" xfId="22181" xr:uid="{00000000-0005-0000-0000-0000A4560000}"/>
    <cellStyle name="Comma 14 2 3 2 2 2" xfId="22182" xr:uid="{00000000-0005-0000-0000-0000A5560000}"/>
    <cellStyle name="Comma 14 2 3 2 3" xfId="22183" xr:uid="{00000000-0005-0000-0000-0000A6560000}"/>
    <cellStyle name="Comma 14 2 3 3" xfId="22184" xr:uid="{00000000-0005-0000-0000-0000A7560000}"/>
    <cellStyle name="Comma 14 2 3 3 2" xfId="22185" xr:uid="{00000000-0005-0000-0000-0000A8560000}"/>
    <cellStyle name="Comma 14 2 3 4" xfId="22186" xr:uid="{00000000-0005-0000-0000-0000A9560000}"/>
    <cellStyle name="Comma 14 2 3 4 2" xfId="22187" xr:uid="{00000000-0005-0000-0000-0000AA560000}"/>
    <cellStyle name="Comma 14 2 3 5" xfId="22188" xr:uid="{00000000-0005-0000-0000-0000AB560000}"/>
    <cellStyle name="Comma 14 2 4" xfId="22189" xr:uid="{00000000-0005-0000-0000-0000AC560000}"/>
    <cellStyle name="Comma 14 2 4 2" xfId="22190" xr:uid="{00000000-0005-0000-0000-0000AD560000}"/>
    <cellStyle name="Comma 14 2 4 2 2" xfId="22191" xr:uid="{00000000-0005-0000-0000-0000AE560000}"/>
    <cellStyle name="Comma 14 2 4 3" xfId="22192" xr:uid="{00000000-0005-0000-0000-0000AF560000}"/>
    <cellStyle name="Comma 14 2 5" xfId="22193" xr:uid="{00000000-0005-0000-0000-0000B0560000}"/>
    <cellStyle name="Comma 14 2 5 2" xfId="22194" xr:uid="{00000000-0005-0000-0000-0000B1560000}"/>
    <cellStyle name="Comma 14 2 6" xfId="22195" xr:uid="{00000000-0005-0000-0000-0000B2560000}"/>
    <cellStyle name="Comma 14 2 6 2" xfId="22196" xr:uid="{00000000-0005-0000-0000-0000B3560000}"/>
    <cellStyle name="Comma 14 2 7" xfId="22197" xr:uid="{00000000-0005-0000-0000-0000B4560000}"/>
    <cellStyle name="Comma 14 3" xfId="22198" xr:uid="{00000000-0005-0000-0000-0000B5560000}"/>
    <cellStyle name="Comma 14 3 2" xfId="22199" xr:uid="{00000000-0005-0000-0000-0000B6560000}"/>
    <cellStyle name="Comma 14 3 2 2" xfId="22200" xr:uid="{00000000-0005-0000-0000-0000B7560000}"/>
    <cellStyle name="Comma 14 3 2 2 2" xfId="22201" xr:uid="{00000000-0005-0000-0000-0000B8560000}"/>
    <cellStyle name="Comma 14 3 2 3" xfId="22202" xr:uid="{00000000-0005-0000-0000-0000B9560000}"/>
    <cellStyle name="Comma 14 3 3" xfId="22203" xr:uid="{00000000-0005-0000-0000-0000BA560000}"/>
    <cellStyle name="Comma 14 3 3 2" xfId="22204" xr:uid="{00000000-0005-0000-0000-0000BB560000}"/>
    <cellStyle name="Comma 14 3 4" xfId="22205" xr:uid="{00000000-0005-0000-0000-0000BC560000}"/>
    <cellStyle name="Comma 14 3 4 2" xfId="22206" xr:uid="{00000000-0005-0000-0000-0000BD560000}"/>
    <cellStyle name="Comma 14 3 5" xfId="22207" xr:uid="{00000000-0005-0000-0000-0000BE560000}"/>
    <cellStyle name="Comma 14 4" xfId="22208" xr:uid="{00000000-0005-0000-0000-0000BF560000}"/>
    <cellStyle name="Comma 14 4 2" xfId="22209" xr:uid="{00000000-0005-0000-0000-0000C0560000}"/>
    <cellStyle name="Comma 14 4 2 2" xfId="22210" xr:uid="{00000000-0005-0000-0000-0000C1560000}"/>
    <cellStyle name="Comma 14 4 2 2 2" xfId="22211" xr:uid="{00000000-0005-0000-0000-0000C2560000}"/>
    <cellStyle name="Comma 14 4 2 3" xfId="22212" xr:uid="{00000000-0005-0000-0000-0000C3560000}"/>
    <cellStyle name="Comma 14 4 3" xfId="22213" xr:uid="{00000000-0005-0000-0000-0000C4560000}"/>
    <cellStyle name="Comma 14 4 3 2" xfId="22214" xr:uid="{00000000-0005-0000-0000-0000C5560000}"/>
    <cellStyle name="Comma 14 4 4" xfId="22215" xr:uid="{00000000-0005-0000-0000-0000C6560000}"/>
    <cellStyle name="Comma 14 4 4 2" xfId="22216" xr:uid="{00000000-0005-0000-0000-0000C7560000}"/>
    <cellStyle name="Comma 14 4 5" xfId="22217" xr:uid="{00000000-0005-0000-0000-0000C8560000}"/>
    <cellStyle name="Comma 14 5" xfId="22218" xr:uid="{00000000-0005-0000-0000-0000C9560000}"/>
    <cellStyle name="Comma 14 5 2" xfId="22219" xr:uid="{00000000-0005-0000-0000-0000CA560000}"/>
    <cellStyle name="Comma 14 5 2 2" xfId="22220" xr:uid="{00000000-0005-0000-0000-0000CB560000}"/>
    <cellStyle name="Comma 14 5 3" xfId="22221" xr:uid="{00000000-0005-0000-0000-0000CC560000}"/>
    <cellStyle name="Comma 14 6" xfId="22222" xr:uid="{00000000-0005-0000-0000-0000CD560000}"/>
    <cellStyle name="Comma 14 6 2" xfId="22223" xr:uid="{00000000-0005-0000-0000-0000CE560000}"/>
    <cellStyle name="Comma 14 7" xfId="22224" xr:uid="{00000000-0005-0000-0000-0000CF560000}"/>
    <cellStyle name="Comma 14 7 2" xfId="22225" xr:uid="{00000000-0005-0000-0000-0000D0560000}"/>
    <cellStyle name="Comma 14 8" xfId="22226" xr:uid="{00000000-0005-0000-0000-0000D1560000}"/>
    <cellStyle name="Comma 15" xfId="22227" xr:uid="{00000000-0005-0000-0000-0000D2560000}"/>
    <cellStyle name="Comma 15 2" xfId="22228" xr:uid="{00000000-0005-0000-0000-0000D3560000}"/>
    <cellStyle name="Comma 15 2 2" xfId="22229" xr:uid="{00000000-0005-0000-0000-0000D4560000}"/>
    <cellStyle name="Comma 15 2 2 2" xfId="22230" xr:uid="{00000000-0005-0000-0000-0000D5560000}"/>
    <cellStyle name="Comma 15 2 2 2 2" xfId="22231" xr:uid="{00000000-0005-0000-0000-0000D6560000}"/>
    <cellStyle name="Comma 15 2 2 2 2 2" xfId="22232" xr:uid="{00000000-0005-0000-0000-0000D7560000}"/>
    <cellStyle name="Comma 15 2 2 2 3" xfId="22233" xr:uid="{00000000-0005-0000-0000-0000D8560000}"/>
    <cellStyle name="Comma 15 2 2 3" xfId="22234" xr:uid="{00000000-0005-0000-0000-0000D9560000}"/>
    <cellStyle name="Comma 15 2 2 3 2" xfId="22235" xr:uid="{00000000-0005-0000-0000-0000DA560000}"/>
    <cellStyle name="Comma 15 2 2 4" xfId="22236" xr:uid="{00000000-0005-0000-0000-0000DB560000}"/>
    <cellStyle name="Comma 15 2 2 4 2" xfId="22237" xr:uid="{00000000-0005-0000-0000-0000DC560000}"/>
    <cellStyle name="Comma 15 2 2 5" xfId="22238" xr:uid="{00000000-0005-0000-0000-0000DD560000}"/>
    <cellStyle name="Comma 15 2 3" xfId="22239" xr:uid="{00000000-0005-0000-0000-0000DE560000}"/>
    <cellStyle name="Comma 15 2 3 2" xfId="22240" xr:uid="{00000000-0005-0000-0000-0000DF560000}"/>
    <cellStyle name="Comma 15 2 3 2 2" xfId="22241" xr:uid="{00000000-0005-0000-0000-0000E0560000}"/>
    <cellStyle name="Comma 15 2 3 2 2 2" xfId="22242" xr:uid="{00000000-0005-0000-0000-0000E1560000}"/>
    <cellStyle name="Comma 15 2 3 2 3" xfId="22243" xr:uid="{00000000-0005-0000-0000-0000E2560000}"/>
    <cellStyle name="Comma 15 2 3 3" xfId="22244" xr:uid="{00000000-0005-0000-0000-0000E3560000}"/>
    <cellStyle name="Comma 15 2 3 3 2" xfId="22245" xr:uid="{00000000-0005-0000-0000-0000E4560000}"/>
    <cellStyle name="Comma 15 2 3 4" xfId="22246" xr:uid="{00000000-0005-0000-0000-0000E5560000}"/>
    <cellStyle name="Comma 15 2 3 4 2" xfId="22247" xr:uid="{00000000-0005-0000-0000-0000E6560000}"/>
    <cellStyle name="Comma 15 2 3 5" xfId="22248" xr:uid="{00000000-0005-0000-0000-0000E7560000}"/>
    <cellStyle name="Comma 15 2 4" xfId="22249" xr:uid="{00000000-0005-0000-0000-0000E8560000}"/>
    <cellStyle name="Comma 15 2 4 2" xfId="22250" xr:uid="{00000000-0005-0000-0000-0000E9560000}"/>
    <cellStyle name="Comma 15 2 4 2 2" xfId="22251" xr:uid="{00000000-0005-0000-0000-0000EA560000}"/>
    <cellStyle name="Comma 15 2 4 3" xfId="22252" xr:uid="{00000000-0005-0000-0000-0000EB560000}"/>
    <cellStyle name="Comma 15 2 5" xfId="22253" xr:uid="{00000000-0005-0000-0000-0000EC560000}"/>
    <cellStyle name="Comma 15 2 5 2" xfId="22254" xr:uid="{00000000-0005-0000-0000-0000ED560000}"/>
    <cellStyle name="Comma 15 2 6" xfId="22255" xr:uid="{00000000-0005-0000-0000-0000EE560000}"/>
    <cellStyle name="Comma 15 2 6 2" xfId="22256" xr:uid="{00000000-0005-0000-0000-0000EF560000}"/>
    <cellStyle name="Comma 15 2 7" xfId="22257" xr:uid="{00000000-0005-0000-0000-0000F0560000}"/>
    <cellStyle name="Comma 15 3" xfId="22258" xr:uid="{00000000-0005-0000-0000-0000F1560000}"/>
    <cellStyle name="Comma 15 3 2" xfId="22259" xr:uid="{00000000-0005-0000-0000-0000F2560000}"/>
    <cellStyle name="Comma 15 3 2 2" xfId="22260" xr:uid="{00000000-0005-0000-0000-0000F3560000}"/>
    <cellStyle name="Comma 15 3 2 2 2" xfId="22261" xr:uid="{00000000-0005-0000-0000-0000F4560000}"/>
    <cellStyle name="Comma 15 3 2 3" xfId="22262" xr:uid="{00000000-0005-0000-0000-0000F5560000}"/>
    <cellStyle name="Comma 15 3 3" xfId="22263" xr:uid="{00000000-0005-0000-0000-0000F6560000}"/>
    <cellStyle name="Comma 15 3 3 2" xfId="22264" xr:uid="{00000000-0005-0000-0000-0000F7560000}"/>
    <cellStyle name="Comma 15 3 4" xfId="22265" xr:uid="{00000000-0005-0000-0000-0000F8560000}"/>
    <cellStyle name="Comma 15 3 4 2" xfId="22266" xr:uid="{00000000-0005-0000-0000-0000F9560000}"/>
    <cellStyle name="Comma 15 3 5" xfId="22267" xr:uid="{00000000-0005-0000-0000-0000FA560000}"/>
    <cellStyle name="Comma 15 4" xfId="22268" xr:uid="{00000000-0005-0000-0000-0000FB560000}"/>
    <cellStyle name="Comma 15 4 2" xfId="22269" xr:uid="{00000000-0005-0000-0000-0000FC560000}"/>
    <cellStyle name="Comma 15 4 2 2" xfId="22270" xr:uid="{00000000-0005-0000-0000-0000FD560000}"/>
    <cellStyle name="Comma 15 4 2 2 2" xfId="22271" xr:uid="{00000000-0005-0000-0000-0000FE560000}"/>
    <cellStyle name="Comma 15 4 2 3" xfId="22272" xr:uid="{00000000-0005-0000-0000-0000FF560000}"/>
    <cellStyle name="Comma 15 4 3" xfId="22273" xr:uid="{00000000-0005-0000-0000-000000570000}"/>
    <cellStyle name="Comma 15 4 3 2" xfId="22274" xr:uid="{00000000-0005-0000-0000-000001570000}"/>
    <cellStyle name="Comma 15 4 4" xfId="22275" xr:uid="{00000000-0005-0000-0000-000002570000}"/>
    <cellStyle name="Comma 15 4 4 2" xfId="22276" xr:uid="{00000000-0005-0000-0000-000003570000}"/>
    <cellStyle name="Comma 15 4 5" xfId="22277" xr:uid="{00000000-0005-0000-0000-000004570000}"/>
    <cellStyle name="Comma 15 5" xfId="22278" xr:uid="{00000000-0005-0000-0000-000005570000}"/>
    <cellStyle name="Comma 15 5 2" xfId="22279" xr:uid="{00000000-0005-0000-0000-000006570000}"/>
    <cellStyle name="Comma 15 5 2 2" xfId="22280" xr:uid="{00000000-0005-0000-0000-000007570000}"/>
    <cellStyle name="Comma 15 5 3" xfId="22281" xr:uid="{00000000-0005-0000-0000-000008570000}"/>
    <cellStyle name="Comma 15 6" xfId="22282" xr:uid="{00000000-0005-0000-0000-000009570000}"/>
    <cellStyle name="Comma 15 6 2" xfId="22283" xr:uid="{00000000-0005-0000-0000-00000A570000}"/>
    <cellStyle name="Comma 15 7" xfId="22284" xr:uid="{00000000-0005-0000-0000-00000B570000}"/>
    <cellStyle name="Comma 15 7 2" xfId="22285" xr:uid="{00000000-0005-0000-0000-00000C570000}"/>
    <cellStyle name="Comma 15 8" xfId="22286" xr:uid="{00000000-0005-0000-0000-00000D570000}"/>
    <cellStyle name="Comma 16" xfId="22287" xr:uid="{00000000-0005-0000-0000-00000E570000}"/>
    <cellStyle name="Comma 16 2" xfId="22288" xr:uid="{00000000-0005-0000-0000-00000F570000}"/>
    <cellStyle name="Comma 16 2 2" xfId="22289" xr:uid="{00000000-0005-0000-0000-000010570000}"/>
    <cellStyle name="Comma 16 2 2 2" xfId="22290" xr:uid="{00000000-0005-0000-0000-000011570000}"/>
    <cellStyle name="Comma 16 2 2 2 2" xfId="22291" xr:uid="{00000000-0005-0000-0000-000012570000}"/>
    <cellStyle name="Comma 16 2 2 2 2 2" xfId="22292" xr:uid="{00000000-0005-0000-0000-000013570000}"/>
    <cellStyle name="Comma 16 2 2 2 3" xfId="22293" xr:uid="{00000000-0005-0000-0000-000014570000}"/>
    <cellStyle name="Comma 16 2 2 3" xfId="22294" xr:uid="{00000000-0005-0000-0000-000015570000}"/>
    <cellStyle name="Comma 16 2 2 3 2" xfId="22295" xr:uid="{00000000-0005-0000-0000-000016570000}"/>
    <cellStyle name="Comma 16 2 2 4" xfId="22296" xr:uid="{00000000-0005-0000-0000-000017570000}"/>
    <cellStyle name="Comma 16 2 2 4 2" xfId="22297" xr:uid="{00000000-0005-0000-0000-000018570000}"/>
    <cellStyle name="Comma 16 2 2 5" xfId="22298" xr:uid="{00000000-0005-0000-0000-000019570000}"/>
    <cellStyle name="Comma 16 2 3" xfId="22299" xr:uid="{00000000-0005-0000-0000-00001A570000}"/>
    <cellStyle name="Comma 16 2 3 2" xfId="22300" xr:uid="{00000000-0005-0000-0000-00001B570000}"/>
    <cellStyle name="Comma 16 2 3 2 2" xfId="22301" xr:uid="{00000000-0005-0000-0000-00001C570000}"/>
    <cellStyle name="Comma 16 2 3 2 2 2" xfId="22302" xr:uid="{00000000-0005-0000-0000-00001D570000}"/>
    <cellStyle name="Comma 16 2 3 2 3" xfId="22303" xr:uid="{00000000-0005-0000-0000-00001E570000}"/>
    <cellStyle name="Comma 16 2 3 3" xfId="22304" xr:uid="{00000000-0005-0000-0000-00001F570000}"/>
    <cellStyle name="Comma 16 2 3 3 2" xfId="22305" xr:uid="{00000000-0005-0000-0000-000020570000}"/>
    <cellStyle name="Comma 16 2 3 4" xfId="22306" xr:uid="{00000000-0005-0000-0000-000021570000}"/>
    <cellStyle name="Comma 16 2 3 4 2" xfId="22307" xr:uid="{00000000-0005-0000-0000-000022570000}"/>
    <cellStyle name="Comma 16 2 3 5" xfId="22308" xr:uid="{00000000-0005-0000-0000-000023570000}"/>
    <cellStyle name="Comma 16 2 4" xfId="22309" xr:uid="{00000000-0005-0000-0000-000024570000}"/>
    <cellStyle name="Comma 16 2 4 2" xfId="22310" xr:uid="{00000000-0005-0000-0000-000025570000}"/>
    <cellStyle name="Comma 16 2 4 2 2" xfId="22311" xr:uid="{00000000-0005-0000-0000-000026570000}"/>
    <cellStyle name="Comma 16 2 4 3" xfId="22312" xr:uid="{00000000-0005-0000-0000-000027570000}"/>
    <cellStyle name="Comma 16 2 5" xfId="22313" xr:uid="{00000000-0005-0000-0000-000028570000}"/>
    <cellStyle name="Comma 16 2 5 2" xfId="22314" xr:uid="{00000000-0005-0000-0000-000029570000}"/>
    <cellStyle name="Comma 16 2 6" xfId="22315" xr:uid="{00000000-0005-0000-0000-00002A570000}"/>
    <cellStyle name="Comma 16 2 6 2" xfId="22316" xr:uid="{00000000-0005-0000-0000-00002B570000}"/>
    <cellStyle name="Comma 16 2 7" xfId="22317" xr:uid="{00000000-0005-0000-0000-00002C570000}"/>
    <cellStyle name="Comma 16 3" xfId="22318" xr:uid="{00000000-0005-0000-0000-00002D570000}"/>
    <cellStyle name="Comma 16 3 2" xfId="22319" xr:uid="{00000000-0005-0000-0000-00002E570000}"/>
    <cellStyle name="Comma 16 3 2 2" xfId="22320" xr:uid="{00000000-0005-0000-0000-00002F570000}"/>
    <cellStyle name="Comma 16 3 2 2 2" xfId="22321" xr:uid="{00000000-0005-0000-0000-000030570000}"/>
    <cellStyle name="Comma 16 3 2 3" xfId="22322" xr:uid="{00000000-0005-0000-0000-000031570000}"/>
    <cellStyle name="Comma 16 3 3" xfId="22323" xr:uid="{00000000-0005-0000-0000-000032570000}"/>
    <cellStyle name="Comma 16 3 3 2" xfId="22324" xr:uid="{00000000-0005-0000-0000-000033570000}"/>
    <cellStyle name="Comma 16 3 4" xfId="22325" xr:uid="{00000000-0005-0000-0000-000034570000}"/>
    <cellStyle name="Comma 16 3 4 2" xfId="22326" xr:uid="{00000000-0005-0000-0000-000035570000}"/>
    <cellStyle name="Comma 16 3 5" xfId="22327" xr:uid="{00000000-0005-0000-0000-000036570000}"/>
    <cellStyle name="Comma 16 4" xfId="22328" xr:uid="{00000000-0005-0000-0000-000037570000}"/>
    <cellStyle name="Comma 16 4 2" xfId="22329" xr:uid="{00000000-0005-0000-0000-000038570000}"/>
    <cellStyle name="Comma 16 4 2 2" xfId="22330" xr:uid="{00000000-0005-0000-0000-000039570000}"/>
    <cellStyle name="Comma 16 4 2 2 2" xfId="22331" xr:uid="{00000000-0005-0000-0000-00003A570000}"/>
    <cellStyle name="Comma 16 4 2 3" xfId="22332" xr:uid="{00000000-0005-0000-0000-00003B570000}"/>
    <cellStyle name="Comma 16 4 3" xfId="22333" xr:uid="{00000000-0005-0000-0000-00003C570000}"/>
    <cellStyle name="Comma 16 4 3 2" xfId="22334" xr:uid="{00000000-0005-0000-0000-00003D570000}"/>
    <cellStyle name="Comma 16 4 4" xfId="22335" xr:uid="{00000000-0005-0000-0000-00003E570000}"/>
    <cellStyle name="Comma 16 4 4 2" xfId="22336" xr:uid="{00000000-0005-0000-0000-00003F570000}"/>
    <cellStyle name="Comma 16 4 5" xfId="22337" xr:uid="{00000000-0005-0000-0000-000040570000}"/>
    <cellStyle name="Comma 16 5" xfId="22338" xr:uid="{00000000-0005-0000-0000-000041570000}"/>
    <cellStyle name="Comma 16 5 2" xfId="22339" xr:uid="{00000000-0005-0000-0000-000042570000}"/>
    <cellStyle name="Comma 16 5 2 2" xfId="22340" xr:uid="{00000000-0005-0000-0000-000043570000}"/>
    <cellStyle name="Comma 16 5 3" xfId="22341" xr:uid="{00000000-0005-0000-0000-000044570000}"/>
    <cellStyle name="Comma 16 6" xfId="22342" xr:uid="{00000000-0005-0000-0000-000045570000}"/>
    <cellStyle name="Comma 16 6 2" xfId="22343" xr:uid="{00000000-0005-0000-0000-000046570000}"/>
    <cellStyle name="Comma 16 7" xfId="22344" xr:uid="{00000000-0005-0000-0000-000047570000}"/>
    <cellStyle name="Comma 16 7 2" xfId="22345" xr:uid="{00000000-0005-0000-0000-000048570000}"/>
    <cellStyle name="Comma 16 8" xfId="22346" xr:uid="{00000000-0005-0000-0000-000049570000}"/>
    <cellStyle name="Comma 17" xfId="22347" xr:uid="{00000000-0005-0000-0000-00004A570000}"/>
    <cellStyle name="Comma 17 2" xfId="22348" xr:uid="{00000000-0005-0000-0000-00004B570000}"/>
    <cellStyle name="Comma 17 2 2" xfId="22349" xr:uid="{00000000-0005-0000-0000-00004C570000}"/>
    <cellStyle name="Comma 17 2 2 2" xfId="22350" xr:uid="{00000000-0005-0000-0000-00004D570000}"/>
    <cellStyle name="Comma 17 2 2 2 2" xfId="22351" xr:uid="{00000000-0005-0000-0000-00004E570000}"/>
    <cellStyle name="Comma 17 2 2 2 2 2" xfId="22352" xr:uid="{00000000-0005-0000-0000-00004F570000}"/>
    <cellStyle name="Comma 17 2 2 2 3" xfId="22353" xr:uid="{00000000-0005-0000-0000-000050570000}"/>
    <cellStyle name="Comma 17 2 2 3" xfId="22354" xr:uid="{00000000-0005-0000-0000-000051570000}"/>
    <cellStyle name="Comma 17 2 2 3 2" xfId="22355" xr:uid="{00000000-0005-0000-0000-000052570000}"/>
    <cellStyle name="Comma 17 2 2 4" xfId="22356" xr:uid="{00000000-0005-0000-0000-000053570000}"/>
    <cellStyle name="Comma 17 2 2 4 2" xfId="22357" xr:uid="{00000000-0005-0000-0000-000054570000}"/>
    <cellStyle name="Comma 17 2 2 5" xfId="22358" xr:uid="{00000000-0005-0000-0000-000055570000}"/>
    <cellStyle name="Comma 17 2 3" xfId="22359" xr:uid="{00000000-0005-0000-0000-000056570000}"/>
    <cellStyle name="Comma 17 2 3 2" xfId="22360" xr:uid="{00000000-0005-0000-0000-000057570000}"/>
    <cellStyle name="Comma 17 2 3 2 2" xfId="22361" xr:uid="{00000000-0005-0000-0000-000058570000}"/>
    <cellStyle name="Comma 17 2 3 2 2 2" xfId="22362" xr:uid="{00000000-0005-0000-0000-000059570000}"/>
    <cellStyle name="Comma 17 2 3 2 3" xfId="22363" xr:uid="{00000000-0005-0000-0000-00005A570000}"/>
    <cellStyle name="Comma 17 2 3 3" xfId="22364" xr:uid="{00000000-0005-0000-0000-00005B570000}"/>
    <cellStyle name="Comma 17 2 3 3 2" xfId="22365" xr:uid="{00000000-0005-0000-0000-00005C570000}"/>
    <cellStyle name="Comma 17 2 3 4" xfId="22366" xr:uid="{00000000-0005-0000-0000-00005D570000}"/>
    <cellStyle name="Comma 17 2 3 4 2" xfId="22367" xr:uid="{00000000-0005-0000-0000-00005E570000}"/>
    <cellStyle name="Comma 17 2 3 5" xfId="22368" xr:uid="{00000000-0005-0000-0000-00005F570000}"/>
    <cellStyle name="Comma 17 2 4" xfId="22369" xr:uid="{00000000-0005-0000-0000-000060570000}"/>
    <cellStyle name="Comma 17 2 4 2" xfId="22370" xr:uid="{00000000-0005-0000-0000-000061570000}"/>
    <cellStyle name="Comma 17 2 4 2 2" xfId="22371" xr:uid="{00000000-0005-0000-0000-000062570000}"/>
    <cellStyle name="Comma 17 2 4 3" xfId="22372" xr:uid="{00000000-0005-0000-0000-000063570000}"/>
    <cellStyle name="Comma 17 2 5" xfId="22373" xr:uid="{00000000-0005-0000-0000-000064570000}"/>
    <cellStyle name="Comma 17 2 5 2" xfId="22374" xr:uid="{00000000-0005-0000-0000-000065570000}"/>
    <cellStyle name="Comma 17 2 6" xfId="22375" xr:uid="{00000000-0005-0000-0000-000066570000}"/>
    <cellStyle name="Comma 17 2 6 2" xfId="22376" xr:uid="{00000000-0005-0000-0000-000067570000}"/>
    <cellStyle name="Comma 17 2 7" xfId="22377" xr:uid="{00000000-0005-0000-0000-000068570000}"/>
    <cellStyle name="Comma 17 3" xfId="22378" xr:uid="{00000000-0005-0000-0000-000069570000}"/>
    <cellStyle name="Comma 17 3 2" xfId="22379" xr:uid="{00000000-0005-0000-0000-00006A570000}"/>
    <cellStyle name="Comma 17 3 2 2" xfId="22380" xr:uid="{00000000-0005-0000-0000-00006B570000}"/>
    <cellStyle name="Comma 17 3 2 2 2" xfId="22381" xr:uid="{00000000-0005-0000-0000-00006C570000}"/>
    <cellStyle name="Comma 17 3 2 3" xfId="22382" xr:uid="{00000000-0005-0000-0000-00006D570000}"/>
    <cellStyle name="Comma 17 3 3" xfId="22383" xr:uid="{00000000-0005-0000-0000-00006E570000}"/>
    <cellStyle name="Comma 17 3 3 2" xfId="22384" xr:uid="{00000000-0005-0000-0000-00006F570000}"/>
    <cellStyle name="Comma 17 3 4" xfId="22385" xr:uid="{00000000-0005-0000-0000-000070570000}"/>
    <cellStyle name="Comma 17 3 4 2" xfId="22386" xr:uid="{00000000-0005-0000-0000-000071570000}"/>
    <cellStyle name="Comma 17 3 5" xfId="22387" xr:uid="{00000000-0005-0000-0000-000072570000}"/>
    <cellStyle name="Comma 17 4" xfId="22388" xr:uid="{00000000-0005-0000-0000-000073570000}"/>
    <cellStyle name="Comma 17 4 2" xfId="22389" xr:uid="{00000000-0005-0000-0000-000074570000}"/>
    <cellStyle name="Comma 17 4 2 2" xfId="22390" xr:uid="{00000000-0005-0000-0000-000075570000}"/>
    <cellStyle name="Comma 17 4 2 2 2" xfId="22391" xr:uid="{00000000-0005-0000-0000-000076570000}"/>
    <cellStyle name="Comma 17 4 2 3" xfId="22392" xr:uid="{00000000-0005-0000-0000-000077570000}"/>
    <cellStyle name="Comma 17 4 3" xfId="22393" xr:uid="{00000000-0005-0000-0000-000078570000}"/>
    <cellStyle name="Comma 17 4 3 2" xfId="22394" xr:uid="{00000000-0005-0000-0000-000079570000}"/>
    <cellStyle name="Comma 17 4 4" xfId="22395" xr:uid="{00000000-0005-0000-0000-00007A570000}"/>
    <cellStyle name="Comma 17 4 4 2" xfId="22396" xr:uid="{00000000-0005-0000-0000-00007B570000}"/>
    <cellStyle name="Comma 17 4 5" xfId="22397" xr:uid="{00000000-0005-0000-0000-00007C570000}"/>
    <cellStyle name="Comma 17 5" xfId="22398" xr:uid="{00000000-0005-0000-0000-00007D570000}"/>
    <cellStyle name="Comma 17 5 2" xfId="22399" xr:uid="{00000000-0005-0000-0000-00007E570000}"/>
    <cellStyle name="Comma 17 5 2 2" xfId="22400" xr:uid="{00000000-0005-0000-0000-00007F570000}"/>
    <cellStyle name="Comma 17 5 3" xfId="22401" xr:uid="{00000000-0005-0000-0000-000080570000}"/>
    <cellStyle name="Comma 17 6" xfId="22402" xr:uid="{00000000-0005-0000-0000-000081570000}"/>
    <cellStyle name="Comma 17 6 2" xfId="22403" xr:uid="{00000000-0005-0000-0000-000082570000}"/>
    <cellStyle name="Comma 17 7" xfId="22404" xr:uid="{00000000-0005-0000-0000-000083570000}"/>
    <cellStyle name="Comma 17 7 2" xfId="22405" xr:uid="{00000000-0005-0000-0000-000084570000}"/>
    <cellStyle name="Comma 17 8" xfId="22406" xr:uid="{00000000-0005-0000-0000-000085570000}"/>
    <cellStyle name="Comma 18" xfId="22407" xr:uid="{00000000-0005-0000-0000-000086570000}"/>
    <cellStyle name="Comma 18 2" xfId="22408" xr:uid="{00000000-0005-0000-0000-000087570000}"/>
    <cellStyle name="Comma 18 2 2" xfId="22409" xr:uid="{00000000-0005-0000-0000-000088570000}"/>
    <cellStyle name="Comma 18 2 2 2" xfId="22410" xr:uid="{00000000-0005-0000-0000-000089570000}"/>
    <cellStyle name="Comma 18 2 2 2 2" xfId="22411" xr:uid="{00000000-0005-0000-0000-00008A570000}"/>
    <cellStyle name="Comma 18 2 2 2 2 2" xfId="22412" xr:uid="{00000000-0005-0000-0000-00008B570000}"/>
    <cellStyle name="Comma 18 2 2 2 3" xfId="22413" xr:uid="{00000000-0005-0000-0000-00008C570000}"/>
    <cellStyle name="Comma 18 2 2 3" xfId="22414" xr:uid="{00000000-0005-0000-0000-00008D570000}"/>
    <cellStyle name="Comma 18 2 2 3 2" xfId="22415" xr:uid="{00000000-0005-0000-0000-00008E570000}"/>
    <cellStyle name="Comma 18 2 2 4" xfId="22416" xr:uid="{00000000-0005-0000-0000-00008F570000}"/>
    <cellStyle name="Comma 18 2 2 4 2" xfId="22417" xr:uid="{00000000-0005-0000-0000-000090570000}"/>
    <cellStyle name="Comma 18 2 2 5" xfId="22418" xr:uid="{00000000-0005-0000-0000-000091570000}"/>
    <cellStyle name="Comma 18 2 3" xfId="22419" xr:uid="{00000000-0005-0000-0000-000092570000}"/>
    <cellStyle name="Comma 18 2 3 2" xfId="22420" xr:uid="{00000000-0005-0000-0000-000093570000}"/>
    <cellStyle name="Comma 18 2 3 2 2" xfId="22421" xr:uid="{00000000-0005-0000-0000-000094570000}"/>
    <cellStyle name="Comma 18 2 3 2 2 2" xfId="22422" xr:uid="{00000000-0005-0000-0000-000095570000}"/>
    <cellStyle name="Comma 18 2 3 2 3" xfId="22423" xr:uid="{00000000-0005-0000-0000-000096570000}"/>
    <cellStyle name="Comma 18 2 3 3" xfId="22424" xr:uid="{00000000-0005-0000-0000-000097570000}"/>
    <cellStyle name="Comma 18 2 3 3 2" xfId="22425" xr:uid="{00000000-0005-0000-0000-000098570000}"/>
    <cellStyle name="Comma 18 2 3 4" xfId="22426" xr:uid="{00000000-0005-0000-0000-000099570000}"/>
    <cellStyle name="Comma 18 2 3 4 2" xfId="22427" xr:uid="{00000000-0005-0000-0000-00009A570000}"/>
    <cellStyle name="Comma 18 2 3 5" xfId="22428" xr:uid="{00000000-0005-0000-0000-00009B570000}"/>
    <cellStyle name="Comma 18 2 4" xfId="22429" xr:uid="{00000000-0005-0000-0000-00009C570000}"/>
    <cellStyle name="Comma 18 2 4 2" xfId="22430" xr:uid="{00000000-0005-0000-0000-00009D570000}"/>
    <cellStyle name="Comma 18 2 4 2 2" xfId="22431" xr:uid="{00000000-0005-0000-0000-00009E570000}"/>
    <cellStyle name="Comma 18 2 4 3" xfId="22432" xr:uid="{00000000-0005-0000-0000-00009F570000}"/>
    <cellStyle name="Comma 18 2 5" xfId="22433" xr:uid="{00000000-0005-0000-0000-0000A0570000}"/>
    <cellStyle name="Comma 18 2 5 2" xfId="22434" xr:uid="{00000000-0005-0000-0000-0000A1570000}"/>
    <cellStyle name="Comma 18 2 6" xfId="22435" xr:uid="{00000000-0005-0000-0000-0000A2570000}"/>
    <cellStyle name="Comma 18 2 6 2" xfId="22436" xr:uid="{00000000-0005-0000-0000-0000A3570000}"/>
    <cellStyle name="Comma 18 2 7" xfId="22437" xr:uid="{00000000-0005-0000-0000-0000A4570000}"/>
    <cellStyle name="Comma 18 3" xfId="22438" xr:uid="{00000000-0005-0000-0000-0000A5570000}"/>
    <cellStyle name="Comma 18 3 2" xfId="22439" xr:uid="{00000000-0005-0000-0000-0000A6570000}"/>
    <cellStyle name="Comma 18 3 2 2" xfId="22440" xr:uid="{00000000-0005-0000-0000-0000A7570000}"/>
    <cellStyle name="Comma 18 3 2 2 2" xfId="22441" xr:uid="{00000000-0005-0000-0000-0000A8570000}"/>
    <cellStyle name="Comma 18 3 2 3" xfId="22442" xr:uid="{00000000-0005-0000-0000-0000A9570000}"/>
    <cellStyle name="Comma 18 3 3" xfId="22443" xr:uid="{00000000-0005-0000-0000-0000AA570000}"/>
    <cellStyle name="Comma 18 3 3 2" xfId="22444" xr:uid="{00000000-0005-0000-0000-0000AB570000}"/>
    <cellStyle name="Comma 18 3 4" xfId="22445" xr:uid="{00000000-0005-0000-0000-0000AC570000}"/>
    <cellStyle name="Comma 18 3 4 2" xfId="22446" xr:uid="{00000000-0005-0000-0000-0000AD570000}"/>
    <cellStyle name="Comma 18 3 5" xfId="22447" xr:uid="{00000000-0005-0000-0000-0000AE570000}"/>
    <cellStyle name="Comma 18 4" xfId="22448" xr:uid="{00000000-0005-0000-0000-0000AF570000}"/>
    <cellStyle name="Comma 18 4 2" xfId="22449" xr:uid="{00000000-0005-0000-0000-0000B0570000}"/>
    <cellStyle name="Comma 18 4 2 2" xfId="22450" xr:uid="{00000000-0005-0000-0000-0000B1570000}"/>
    <cellStyle name="Comma 18 4 2 2 2" xfId="22451" xr:uid="{00000000-0005-0000-0000-0000B2570000}"/>
    <cellStyle name="Comma 18 4 2 3" xfId="22452" xr:uid="{00000000-0005-0000-0000-0000B3570000}"/>
    <cellStyle name="Comma 18 4 3" xfId="22453" xr:uid="{00000000-0005-0000-0000-0000B4570000}"/>
    <cellStyle name="Comma 18 4 3 2" xfId="22454" xr:uid="{00000000-0005-0000-0000-0000B5570000}"/>
    <cellStyle name="Comma 18 4 4" xfId="22455" xr:uid="{00000000-0005-0000-0000-0000B6570000}"/>
    <cellStyle name="Comma 18 4 4 2" xfId="22456" xr:uid="{00000000-0005-0000-0000-0000B7570000}"/>
    <cellStyle name="Comma 18 4 5" xfId="22457" xr:uid="{00000000-0005-0000-0000-0000B8570000}"/>
    <cellStyle name="Comma 18 5" xfId="22458" xr:uid="{00000000-0005-0000-0000-0000B9570000}"/>
    <cellStyle name="Comma 18 5 2" xfId="22459" xr:uid="{00000000-0005-0000-0000-0000BA570000}"/>
    <cellStyle name="Comma 18 5 2 2" xfId="22460" xr:uid="{00000000-0005-0000-0000-0000BB570000}"/>
    <cellStyle name="Comma 18 5 3" xfId="22461" xr:uid="{00000000-0005-0000-0000-0000BC570000}"/>
    <cellStyle name="Comma 18 6" xfId="22462" xr:uid="{00000000-0005-0000-0000-0000BD570000}"/>
    <cellStyle name="Comma 18 6 2" xfId="22463" xr:uid="{00000000-0005-0000-0000-0000BE570000}"/>
    <cellStyle name="Comma 18 7" xfId="22464" xr:uid="{00000000-0005-0000-0000-0000BF570000}"/>
    <cellStyle name="Comma 18 7 2" xfId="22465" xr:uid="{00000000-0005-0000-0000-0000C0570000}"/>
    <cellStyle name="Comma 18 8" xfId="22466" xr:uid="{00000000-0005-0000-0000-0000C1570000}"/>
    <cellStyle name="Comma 19" xfId="22467" xr:uid="{00000000-0005-0000-0000-0000C2570000}"/>
    <cellStyle name="Comma 19 2" xfId="22468" xr:uid="{00000000-0005-0000-0000-0000C3570000}"/>
    <cellStyle name="Comma 19 2 2" xfId="22469" xr:uid="{00000000-0005-0000-0000-0000C4570000}"/>
    <cellStyle name="Comma 19 2 2 2" xfId="22470" xr:uid="{00000000-0005-0000-0000-0000C5570000}"/>
    <cellStyle name="Comma 19 2 2 2 2" xfId="22471" xr:uid="{00000000-0005-0000-0000-0000C6570000}"/>
    <cellStyle name="Comma 19 2 2 2 2 2" xfId="22472" xr:uid="{00000000-0005-0000-0000-0000C7570000}"/>
    <cellStyle name="Comma 19 2 2 2 3" xfId="22473" xr:uid="{00000000-0005-0000-0000-0000C8570000}"/>
    <cellStyle name="Comma 19 2 2 3" xfId="22474" xr:uid="{00000000-0005-0000-0000-0000C9570000}"/>
    <cellStyle name="Comma 19 2 2 3 2" xfId="22475" xr:uid="{00000000-0005-0000-0000-0000CA570000}"/>
    <cellStyle name="Comma 19 2 2 4" xfId="22476" xr:uid="{00000000-0005-0000-0000-0000CB570000}"/>
    <cellStyle name="Comma 19 2 2 4 2" xfId="22477" xr:uid="{00000000-0005-0000-0000-0000CC570000}"/>
    <cellStyle name="Comma 19 2 2 5" xfId="22478" xr:uid="{00000000-0005-0000-0000-0000CD570000}"/>
    <cellStyle name="Comma 19 2 3" xfId="22479" xr:uid="{00000000-0005-0000-0000-0000CE570000}"/>
    <cellStyle name="Comma 19 2 3 2" xfId="22480" xr:uid="{00000000-0005-0000-0000-0000CF570000}"/>
    <cellStyle name="Comma 19 2 3 2 2" xfId="22481" xr:uid="{00000000-0005-0000-0000-0000D0570000}"/>
    <cellStyle name="Comma 19 2 3 2 2 2" xfId="22482" xr:uid="{00000000-0005-0000-0000-0000D1570000}"/>
    <cellStyle name="Comma 19 2 3 2 3" xfId="22483" xr:uid="{00000000-0005-0000-0000-0000D2570000}"/>
    <cellStyle name="Comma 19 2 3 3" xfId="22484" xr:uid="{00000000-0005-0000-0000-0000D3570000}"/>
    <cellStyle name="Comma 19 2 3 3 2" xfId="22485" xr:uid="{00000000-0005-0000-0000-0000D4570000}"/>
    <cellStyle name="Comma 19 2 3 4" xfId="22486" xr:uid="{00000000-0005-0000-0000-0000D5570000}"/>
    <cellStyle name="Comma 19 2 3 4 2" xfId="22487" xr:uid="{00000000-0005-0000-0000-0000D6570000}"/>
    <cellStyle name="Comma 19 2 3 5" xfId="22488" xr:uid="{00000000-0005-0000-0000-0000D7570000}"/>
    <cellStyle name="Comma 19 2 4" xfId="22489" xr:uid="{00000000-0005-0000-0000-0000D8570000}"/>
    <cellStyle name="Comma 19 2 4 2" xfId="22490" xr:uid="{00000000-0005-0000-0000-0000D9570000}"/>
    <cellStyle name="Comma 19 2 4 2 2" xfId="22491" xr:uid="{00000000-0005-0000-0000-0000DA570000}"/>
    <cellStyle name="Comma 19 2 4 3" xfId="22492" xr:uid="{00000000-0005-0000-0000-0000DB570000}"/>
    <cellStyle name="Comma 19 2 5" xfId="22493" xr:uid="{00000000-0005-0000-0000-0000DC570000}"/>
    <cellStyle name="Comma 19 2 5 2" xfId="22494" xr:uid="{00000000-0005-0000-0000-0000DD570000}"/>
    <cellStyle name="Comma 19 2 6" xfId="22495" xr:uid="{00000000-0005-0000-0000-0000DE570000}"/>
    <cellStyle name="Comma 19 2 6 2" xfId="22496" xr:uid="{00000000-0005-0000-0000-0000DF570000}"/>
    <cellStyle name="Comma 19 2 7" xfId="22497" xr:uid="{00000000-0005-0000-0000-0000E0570000}"/>
    <cellStyle name="Comma 19 3" xfId="22498" xr:uid="{00000000-0005-0000-0000-0000E1570000}"/>
    <cellStyle name="Comma 19 3 2" xfId="22499" xr:uid="{00000000-0005-0000-0000-0000E2570000}"/>
    <cellStyle name="Comma 19 3 2 2" xfId="22500" xr:uid="{00000000-0005-0000-0000-0000E3570000}"/>
    <cellStyle name="Comma 19 3 2 2 2" xfId="22501" xr:uid="{00000000-0005-0000-0000-0000E4570000}"/>
    <cellStyle name="Comma 19 3 2 3" xfId="22502" xr:uid="{00000000-0005-0000-0000-0000E5570000}"/>
    <cellStyle name="Comma 19 3 3" xfId="22503" xr:uid="{00000000-0005-0000-0000-0000E6570000}"/>
    <cellStyle name="Comma 19 3 3 2" xfId="22504" xr:uid="{00000000-0005-0000-0000-0000E7570000}"/>
    <cellStyle name="Comma 19 3 4" xfId="22505" xr:uid="{00000000-0005-0000-0000-0000E8570000}"/>
    <cellStyle name="Comma 19 3 4 2" xfId="22506" xr:uid="{00000000-0005-0000-0000-0000E9570000}"/>
    <cellStyle name="Comma 19 3 5" xfId="22507" xr:uid="{00000000-0005-0000-0000-0000EA570000}"/>
    <cellStyle name="Comma 19 4" xfId="22508" xr:uid="{00000000-0005-0000-0000-0000EB570000}"/>
    <cellStyle name="Comma 19 4 2" xfId="22509" xr:uid="{00000000-0005-0000-0000-0000EC570000}"/>
    <cellStyle name="Comma 19 4 2 2" xfId="22510" xr:uid="{00000000-0005-0000-0000-0000ED570000}"/>
    <cellStyle name="Comma 19 4 2 2 2" xfId="22511" xr:uid="{00000000-0005-0000-0000-0000EE570000}"/>
    <cellStyle name="Comma 19 4 2 3" xfId="22512" xr:uid="{00000000-0005-0000-0000-0000EF570000}"/>
    <cellStyle name="Comma 19 4 3" xfId="22513" xr:uid="{00000000-0005-0000-0000-0000F0570000}"/>
    <cellStyle name="Comma 19 4 3 2" xfId="22514" xr:uid="{00000000-0005-0000-0000-0000F1570000}"/>
    <cellStyle name="Comma 19 4 4" xfId="22515" xr:uid="{00000000-0005-0000-0000-0000F2570000}"/>
    <cellStyle name="Comma 19 4 4 2" xfId="22516" xr:uid="{00000000-0005-0000-0000-0000F3570000}"/>
    <cellStyle name="Comma 19 4 5" xfId="22517" xr:uid="{00000000-0005-0000-0000-0000F4570000}"/>
    <cellStyle name="Comma 19 5" xfId="22518" xr:uid="{00000000-0005-0000-0000-0000F5570000}"/>
    <cellStyle name="Comma 19 5 2" xfId="22519" xr:uid="{00000000-0005-0000-0000-0000F6570000}"/>
    <cellStyle name="Comma 19 5 2 2" xfId="22520" xr:uid="{00000000-0005-0000-0000-0000F7570000}"/>
    <cellStyle name="Comma 19 5 3" xfId="22521" xr:uid="{00000000-0005-0000-0000-0000F8570000}"/>
    <cellStyle name="Comma 19 6" xfId="22522" xr:uid="{00000000-0005-0000-0000-0000F9570000}"/>
    <cellStyle name="Comma 19 6 2" xfId="22523" xr:uid="{00000000-0005-0000-0000-0000FA570000}"/>
    <cellStyle name="Comma 19 7" xfId="22524" xr:uid="{00000000-0005-0000-0000-0000FB570000}"/>
    <cellStyle name="Comma 19 7 2" xfId="22525" xr:uid="{00000000-0005-0000-0000-0000FC570000}"/>
    <cellStyle name="Comma 19 8" xfId="22526" xr:uid="{00000000-0005-0000-0000-0000FD570000}"/>
    <cellStyle name="Comma 2" xfId="22527" xr:uid="{00000000-0005-0000-0000-0000FE570000}"/>
    <cellStyle name="Comma 2 10" xfId="22528" xr:uid="{00000000-0005-0000-0000-0000FF570000}"/>
    <cellStyle name="Comma 2 11" xfId="22529" xr:uid="{00000000-0005-0000-0000-000000580000}"/>
    <cellStyle name="Comma 2 12" xfId="22530" xr:uid="{00000000-0005-0000-0000-000001580000}"/>
    <cellStyle name="Comma 2 2" xfId="22531" xr:uid="{00000000-0005-0000-0000-000002580000}"/>
    <cellStyle name="Comma 2 2 2" xfId="22532" xr:uid="{00000000-0005-0000-0000-000003580000}"/>
    <cellStyle name="Comma 2 2 2 10" xfId="22533" xr:uid="{00000000-0005-0000-0000-000004580000}"/>
    <cellStyle name="Comma 2 2 2 11" xfId="22534" xr:uid="{00000000-0005-0000-0000-000005580000}"/>
    <cellStyle name="Comma 2 2 2 12" xfId="22535" xr:uid="{00000000-0005-0000-0000-000006580000}"/>
    <cellStyle name="Comma 2 2 2 2" xfId="22536" xr:uid="{00000000-0005-0000-0000-000007580000}"/>
    <cellStyle name="Comma 2 2 2 2 2" xfId="22537" xr:uid="{00000000-0005-0000-0000-000008580000}"/>
    <cellStyle name="Comma 2 2 2 2 2 2" xfId="22538" xr:uid="{00000000-0005-0000-0000-000009580000}"/>
    <cellStyle name="Comma 2 2 2 2 2 2 2" xfId="22539" xr:uid="{00000000-0005-0000-0000-00000A580000}"/>
    <cellStyle name="Comma 2 2 2 2 2 2 2 2" xfId="22540" xr:uid="{00000000-0005-0000-0000-00000B580000}"/>
    <cellStyle name="Comma 2 2 2 2 2 2 3" xfId="22541" xr:uid="{00000000-0005-0000-0000-00000C580000}"/>
    <cellStyle name="Comma 2 2 2 2 2 3" xfId="22542" xr:uid="{00000000-0005-0000-0000-00000D580000}"/>
    <cellStyle name="Comma 2 2 2 2 2 3 2" xfId="22543" xr:uid="{00000000-0005-0000-0000-00000E580000}"/>
    <cellStyle name="Comma 2 2 2 2 2 4" xfId="22544" xr:uid="{00000000-0005-0000-0000-00000F580000}"/>
    <cellStyle name="Comma 2 2 2 2 2 4 2" xfId="22545" xr:uid="{00000000-0005-0000-0000-000010580000}"/>
    <cellStyle name="Comma 2 2 2 2 2 5" xfId="22546" xr:uid="{00000000-0005-0000-0000-000011580000}"/>
    <cellStyle name="Comma 2 2 2 2 3" xfId="22547" xr:uid="{00000000-0005-0000-0000-000012580000}"/>
    <cellStyle name="Comma 2 2 2 2 3 2" xfId="22548" xr:uid="{00000000-0005-0000-0000-000013580000}"/>
    <cellStyle name="Comma 2 2 2 2 3 2 2" xfId="22549" xr:uid="{00000000-0005-0000-0000-000014580000}"/>
    <cellStyle name="Comma 2 2 2 2 3 2 2 2" xfId="22550" xr:uid="{00000000-0005-0000-0000-000015580000}"/>
    <cellStyle name="Comma 2 2 2 2 3 2 3" xfId="22551" xr:uid="{00000000-0005-0000-0000-000016580000}"/>
    <cellStyle name="Comma 2 2 2 2 3 3" xfId="22552" xr:uid="{00000000-0005-0000-0000-000017580000}"/>
    <cellStyle name="Comma 2 2 2 2 3 3 2" xfId="22553" xr:uid="{00000000-0005-0000-0000-000018580000}"/>
    <cellStyle name="Comma 2 2 2 2 3 4" xfId="22554" xr:uid="{00000000-0005-0000-0000-000019580000}"/>
    <cellStyle name="Comma 2 2 2 2 3 4 2" xfId="22555" xr:uid="{00000000-0005-0000-0000-00001A580000}"/>
    <cellStyle name="Comma 2 2 2 2 3 5" xfId="22556" xr:uid="{00000000-0005-0000-0000-00001B580000}"/>
    <cellStyle name="Comma 2 2 2 2 4" xfId="22557" xr:uid="{00000000-0005-0000-0000-00001C580000}"/>
    <cellStyle name="Comma 2 2 2 2 4 2" xfId="22558" xr:uid="{00000000-0005-0000-0000-00001D580000}"/>
    <cellStyle name="Comma 2 2 2 2 4 2 2" xfId="22559" xr:uid="{00000000-0005-0000-0000-00001E580000}"/>
    <cellStyle name="Comma 2 2 2 2 4 3" xfId="22560" xr:uid="{00000000-0005-0000-0000-00001F580000}"/>
    <cellStyle name="Comma 2 2 2 2 5" xfId="22561" xr:uid="{00000000-0005-0000-0000-000020580000}"/>
    <cellStyle name="Comma 2 2 2 2 5 2" xfId="22562" xr:uid="{00000000-0005-0000-0000-000021580000}"/>
    <cellStyle name="Comma 2 2 2 2 6" xfId="22563" xr:uid="{00000000-0005-0000-0000-000022580000}"/>
    <cellStyle name="Comma 2 2 2 2 6 2" xfId="22564" xr:uid="{00000000-0005-0000-0000-000023580000}"/>
    <cellStyle name="Comma 2 2 2 2 7" xfId="22565" xr:uid="{00000000-0005-0000-0000-000024580000}"/>
    <cellStyle name="Comma 2 2 2 3" xfId="22566" xr:uid="{00000000-0005-0000-0000-000025580000}"/>
    <cellStyle name="Comma 2 2 2 3 2" xfId="22567" xr:uid="{00000000-0005-0000-0000-000026580000}"/>
    <cellStyle name="Comma 2 2 2 3 2 2" xfId="22568" xr:uid="{00000000-0005-0000-0000-000027580000}"/>
    <cellStyle name="Comma 2 2 2 3 2 2 2" xfId="22569" xr:uid="{00000000-0005-0000-0000-000028580000}"/>
    <cellStyle name="Comma 2 2 2 3 2 3" xfId="22570" xr:uid="{00000000-0005-0000-0000-000029580000}"/>
    <cellStyle name="Comma 2 2 2 3 3" xfId="22571" xr:uid="{00000000-0005-0000-0000-00002A580000}"/>
    <cellStyle name="Comma 2 2 2 3 3 2" xfId="22572" xr:uid="{00000000-0005-0000-0000-00002B580000}"/>
    <cellStyle name="Comma 2 2 2 3 4" xfId="22573" xr:uid="{00000000-0005-0000-0000-00002C580000}"/>
    <cellStyle name="Comma 2 2 2 3 4 2" xfId="22574" xr:uid="{00000000-0005-0000-0000-00002D580000}"/>
    <cellStyle name="Comma 2 2 2 3 5" xfId="22575" xr:uid="{00000000-0005-0000-0000-00002E580000}"/>
    <cellStyle name="Comma 2 2 2 4" xfId="22576" xr:uid="{00000000-0005-0000-0000-00002F580000}"/>
    <cellStyle name="Comma 2 2 2 4 2" xfId="22577" xr:uid="{00000000-0005-0000-0000-000030580000}"/>
    <cellStyle name="Comma 2 2 2 4 2 2" xfId="22578" xr:uid="{00000000-0005-0000-0000-000031580000}"/>
    <cellStyle name="Comma 2 2 2 4 2 2 2" xfId="22579" xr:uid="{00000000-0005-0000-0000-000032580000}"/>
    <cellStyle name="Comma 2 2 2 4 2 3" xfId="22580" xr:uid="{00000000-0005-0000-0000-000033580000}"/>
    <cellStyle name="Comma 2 2 2 4 3" xfId="22581" xr:uid="{00000000-0005-0000-0000-000034580000}"/>
    <cellStyle name="Comma 2 2 2 4 3 2" xfId="22582" xr:uid="{00000000-0005-0000-0000-000035580000}"/>
    <cellStyle name="Comma 2 2 2 4 4" xfId="22583" xr:uid="{00000000-0005-0000-0000-000036580000}"/>
    <cellStyle name="Comma 2 2 2 4 4 2" xfId="22584" xr:uid="{00000000-0005-0000-0000-000037580000}"/>
    <cellStyle name="Comma 2 2 2 4 5" xfId="22585" xr:uid="{00000000-0005-0000-0000-000038580000}"/>
    <cellStyle name="Comma 2 2 2 5" xfId="22586" xr:uid="{00000000-0005-0000-0000-000039580000}"/>
    <cellStyle name="Comma 2 2 2 5 2" xfId="22587" xr:uid="{00000000-0005-0000-0000-00003A580000}"/>
    <cellStyle name="Comma 2 2 2 5 2 2" xfId="22588" xr:uid="{00000000-0005-0000-0000-00003B580000}"/>
    <cellStyle name="Comma 2 2 2 5 2 2 2" xfId="22589" xr:uid="{00000000-0005-0000-0000-00003C580000}"/>
    <cellStyle name="Comma 2 2 2 5 2 3" xfId="22590" xr:uid="{00000000-0005-0000-0000-00003D580000}"/>
    <cellStyle name="Comma 2 2 2 5 3" xfId="22591" xr:uid="{00000000-0005-0000-0000-00003E580000}"/>
    <cellStyle name="Comma 2 2 2 5 3 2" xfId="22592" xr:uid="{00000000-0005-0000-0000-00003F580000}"/>
    <cellStyle name="Comma 2 2 2 5 4" xfId="22593" xr:uid="{00000000-0005-0000-0000-000040580000}"/>
    <cellStyle name="Comma 2 2 2 6" xfId="22594" xr:uid="{00000000-0005-0000-0000-000041580000}"/>
    <cellStyle name="Comma 2 2 2 6 2" xfId="22595" xr:uid="{00000000-0005-0000-0000-000042580000}"/>
    <cellStyle name="Comma 2 2 2 6 2 2" xfId="22596" xr:uid="{00000000-0005-0000-0000-000043580000}"/>
    <cellStyle name="Comma 2 2 2 6 3" xfId="22597" xr:uid="{00000000-0005-0000-0000-000044580000}"/>
    <cellStyle name="Comma 2 2 2 7" xfId="22598" xr:uid="{00000000-0005-0000-0000-000045580000}"/>
    <cellStyle name="Comma 2 2 2 7 2" xfId="22599" xr:uid="{00000000-0005-0000-0000-000046580000}"/>
    <cellStyle name="Comma 2 2 2 8" xfId="22600" xr:uid="{00000000-0005-0000-0000-000047580000}"/>
    <cellStyle name="Comma 2 2 2 8 2" xfId="22601" xr:uid="{00000000-0005-0000-0000-000048580000}"/>
    <cellStyle name="Comma 2 2 2 9" xfId="22602" xr:uid="{00000000-0005-0000-0000-000049580000}"/>
    <cellStyle name="Comma 2 2 3" xfId="22603" xr:uid="{00000000-0005-0000-0000-00004A580000}"/>
    <cellStyle name="Comma 2 2 3 2" xfId="22604" xr:uid="{00000000-0005-0000-0000-00004B580000}"/>
    <cellStyle name="Comma 2 2 3 2 2" xfId="22605" xr:uid="{00000000-0005-0000-0000-00004C580000}"/>
    <cellStyle name="Comma 2 2 3 2 2 2" xfId="22606" xr:uid="{00000000-0005-0000-0000-00004D580000}"/>
    <cellStyle name="Comma 2 2 3 2 2 2 2" xfId="22607" xr:uid="{00000000-0005-0000-0000-00004E580000}"/>
    <cellStyle name="Comma 2 2 3 2 2 3" xfId="22608" xr:uid="{00000000-0005-0000-0000-00004F580000}"/>
    <cellStyle name="Comma 2 2 3 2 3" xfId="22609" xr:uid="{00000000-0005-0000-0000-000050580000}"/>
    <cellStyle name="Comma 2 2 3 2 3 2" xfId="22610" xr:uid="{00000000-0005-0000-0000-000051580000}"/>
    <cellStyle name="Comma 2 2 3 2 4" xfId="22611" xr:uid="{00000000-0005-0000-0000-000052580000}"/>
    <cellStyle name="Comma 2 2 3 2 4 2" xfId="22612" xr:uid="{00000000-0005-0000-0000-000053580000}"/>
    <cellStyle name="Comma 2 2 3 2 5" xfId="22613" xr:uid="{00000000-0005-0000-0000-000054580000}"/>
    <cellStyle name="Comma 2 2 3 3" xfId="22614" xr:uid="{00000000-0005-0000-0000-000055580000}"/>
    <cellStyle name="Comma 2 2 3 3 2" xfId="22615" xr:uid="{00000000-0005-0000-0000-000056580000}"/>
    <cellStyle name="Comma 2 2 3 3 2 2" xfId="22616" xr:uid="{00000000-0005-0000-0000-000057580000}"/>
    <cellStyle name="Comma 2 2 3 3 2 2 2" xfId="22617" xr:uid="{00000000-0005-0000-0000-000058580000}"/>
    <cellStyle name="Comma 2 2 3 3 2 3" xfId="22618" xr:uid="{00000000-0005-0000-0000-000059580000}"/>
    <cellStyle name="Comma 2 2 3 3 3" xfId="22619" xr:uid="{00000000-0005-0000-0000-00005A580000}"/>
    <cellStyle name="Comma 2 2 3 3 3 2" xfId="22620" xr:uid="{00000000-0005-0000-0000-00005B580000}"/>
    <cellStyle name="Comma 2 2 3 3 4" xfId="22621" xr:uid="{00000000-0005-0000-0000-00005C580000}"/>
    <cellStyle name="Comma 2 2 3 3 4 2" xfId="22622" xr:uid="{00000000-0005-0000-0000-00005D580000}"/>
    <cellStyle name="Comma 2 2 3 3 5" xfId="22623" xr:uid="{00000000-0005-0000-0000-00005E580000}"/>
    <cellStyle name="Comma 2 2 3 4" xfId="22624" xr:uid="{00000000-0005-0000-0000-00005F580000}"/>
    <cellStyle name="Comma 2 2 3 4 2" xfId="22625" xr:uid="{00000000-0005-0000-0000-000060580000}"/>
    <cellStyle name="Comma 2 2 3 4 2 2" xfId="22626" xr:uid="{00000000-0005-0000-0000-000061580000}"/>
    <cellStyle name="Comma 2 2 3 4 3" xfId="22627" xr:uid="{00000000-0005-0000-0000-000062580000}"/>
    <cellStyle name="Comma 2 2 3 5" xfId="22628" xr:uid="{00000000-0005-0000-0000-000063580000}"/>
    <cellStyle name="Comma 2 2 3 5 2" xfId="22629" xr:uid="{00000000-0005-0000-0000-000064580000}"/>
    <cellStyle name="Comma 2 2 3 6" xfId="22630" xr:uid="{00000000-0005-0000-0000-000065580000}"/>
    <cellStyle name="Comma 2 2 3 6 2" xfId="22631" xr:uid="{00000000-0005-0000-0000-000066580000}"/>
    <cellStyle name="Comma 2 2 3 7" xfId="22632" xr:uid="{00000000-0005-0000-0000-000067580000}"/>
    <cellStyle name="Comma 2 2 3 8" xfId="22633" xr:uid="{00000000-0005-0000-0000-000068580000}"/>
    <cellStyle name="Comma 2 2 3 9" xfId="22634" xr:uid="{00000000-0005-0000-0000-000069580000}"/>
    <cellStyle name="Comma 2 2 4" xfId="22635" xr:uid="{00000000-0005-0000-0000-00006A580000}"/>
    <cellStyle name="Comma 2 2 4 2" xfId="22636" xr:uid="{00000000-0005-0000-0000-00006B580000}"/>
    <cellStyle name="Comma 2 2 4 2 2" xfId="22637" xr:uid="{00000000-0005-0000-0000-00006C580000}"/>
    <cellStyle name="Comma 2 2 4 2 2 2" xfId="22638" xr:uid="{00000000-0005-0000-0000-00006D580000}"/>
    <cellStyle name="Comma 2 2 4 2 2 2 2" xfId="22639" xr:uid="{00000000-0005-0000-0000-00006E580000}"/>
    <cellStyle name="Comma 2 2 4 2 2 3" xfId="22640" xr:uid="{00000000-0005-0000-0000-00006F580000}"/>
    <cellStyle name="Comma 2 2 4 2 3" xfId="22641" xr:uid="{00000000-0005-0000-0000-000070580000}"/>
    <cellStyle name="Comma 2 2 4 2 3 2" xfId="22642" xr:uid="{00000000-0005-0000-0000-000071580000}"/>
    <cellStyle name="Comma 2 2 4 2 4" xfId="22643" xr:uid="{00000000-0005-0000-0000-000072580000}"/>
    <cellStyle name="Comma 2 2 4 2 4 2" xfId="22644" xr:uid="{00000000-0005-0000-0000-000073580000}"/>
    <cellStyle name="Comma 2 2 4 2 5" xfId="22645" xr:uid="{00000000-0005-0000-0000-000074580000}"/>
    <cellStyle name="Comma 2 2 4 3" xfId="22646" xr:uid="{00000000-0005-0000-0000-000075580000}"/>
    <cellStyle name="Comma 2 2 4 3 2" xfId="22647" xr:uid="{00000000-0005-0000-0000-000076580000}"/>
    <cellStyle name="Comma 2 2 4 3 2 2" xfId="22648" xr:uid="{00000000-0005-0000-0000-000077580000}"/>
    <cellStyle name="Comma 2 2 4 3 2 2 2" xfId="22649" xr:uid="{00000000-0005-0000-0000-000078580000}"/>
    <cellStyle name="Comma 2 2 4 3 2 3" xfId="22650" xr:uid="{00000000-0005-0000-0000-000079580000}"/>
    <cellStyle name="Comma 2 2 4 3 3" xfId="22651" xr:uid="{00000000-0005-0000-0000-00007A580000}"/>
    <cellStyle name="Comma 2 2 4 3 3 2" xfId="22652" xr:uid="{00000000-0005-0000-0000-00007B580000}"/>
    <cellStyle name="Comma 2 2 4 3 4" xfId="22653" xr:uid="{00000000-0005-0000-0000-00007C580000}"/>
    <cellStyle name="Comma 2 2 4 3 4 2" xfId="22654" xr:uid="{00000000-0005-0000-0000-00007D580000}"/>
    <cellStyle name="Comma 2 2 4 3 5" xfId="22655" xr:uid="{00000000-0005-0000-0000-00007E580000}"/>
    <cellStyle name="Comma 2 2 4 4" xfId="22656" xr:uid="{00000000-0005-0000-0000-00007F580000}"/>
    <cellStyle name="Comma 2 2 4 4 2" xfId="22657" xr:uid="{00000000-0005-0000-0000-000080580000}"/>
    <cellStyle name="Comma 2 2 4 4 2 2" xfId="22658" xr:uid="{00000000-0005-0000-0000-000081580000}"/>
    <cellStyle name="Comma 2 2 4 4 3" xfId="22659" xr:uid="{00000000-0005-0000-0000-000082580000}"/>
    <cellStyle name="Comma 2 2 4 5" xfId="22660" xr:uid="{00000000-0005-0000-0000-000083580000}"/>
    <cellStyle name="Comma 2 2 4 5 2" xfId="22661" xr:uid="{00000000-0005-0000-0000-000084580000}"/>
    <cellStyle name="Comma 2 2 4 6" xfId="22662" xr:uid="{00000000-0005-0000-0000-000085580000}"/>
    <cellStyle name="Comma 2 2 4 6 2" xfId="22663" xr:uid="{00000000-0005-0000-0000-000086580000}"/>
    <cellStyle name="Comma 2 2 4 7" xfId="22664" xr:uid="{00000000-0005-0000-0000-000087580000}"/>
    <cellStyle name="Comma 2 2 5" xfId="22665" xr:uid="{00000000-0005-0000-0000-000088580000}"/>
    <cellStyle name="Comma 2 2 6" xfId="22666" xr:uid="{00000000-0005-0000-0000-000089580000}"/>
    <cellStyle name="Comma 2 2 6 2" xfId="22667" xr:uid="{00000000-0005-0000-0000-00008A580000}"/>
    <cellStyle name="Comma 2 2 6 2 2" xfId="22668" xr:uid="{00000000-0005-0000-0000-00008B580000}"/>
    <cellStyle name="Comma 2 2 6 2 2 2" xfId="22669" xr:uid="{00000000-0005-0000-0000-00008C580000}"/>
    <cellStyle name="Comma 2 2 6 2 3" xfId="22670" xr:uid="{00000000-0005-0000-0000-00008D580000}"/>
    <cellStyle name="Comma 2 2 6 3" xfId="22671" xr:uid="{00000000-0005-0000-0000-00008E580000}"/>
    <cellStyle name="Comma 2 2 6 3 2" xfId="22672" xr:uid="{00000000-0005-0000-0000-00008F580000}"/>
    <cellStyle name="Comma 2 2 6 4" xfId="22673" xr:uid="{00000000-0005-0000-0000-000090580000}"/>
    <cellStyle name="Comma 2 2 7" xfId="22674" xr:uid="{00000000-0005-0000-0000-000091580000}"/>
    <cellStyle name="Comma 2 2 8" xfId="22675" xr:uid="{00000000-0005-0000-0000-000092580000}"/>
    <cellStyle name="Comma 2 2 9" xfId="22676" xr:uid="{00000000-0005-0000-0000-000093580000}"/>
    <cellStyle name="Comma 2 3" xfId="22677" xr:uid="{00000000-0005-0000-0000-000094580000}"/>
    <cellStyle name="Comma 2 3 10" xfId="22678" xr:uid="{00000000-0005-0000-0000-000095580000}"/>
    <cellStyle name="Comma 2 3 11" xfId="22679" xr:uid="{00000000-0005-0000-0000-000096580000}"/>
    <cellStyle name="Comma 2 3 12" xfId="22680" xr:uid="{00000000-0005-0000-0000-000097580000}"/>
    <cellStyle name="Comma 2 3 13" xfId="22681" xr:uid="{00000000-0005-0000-0000-000098580000}"/>
    <cellStyle name="Comma 2 3 2" xfId="22682" xr:uid="{00000000-0005-0000-0000-000099580000}"/>
    <cellStyle name="Comma 2 3 2 10" xfId="22683" xr:uid="{00000000-0005-0000-0000-00009A580000}"/>
    <cellStyle name="Comma 2 3 2 11" xfId="22684" xr:uid="{00000000-0005-0000-0000-00009B580000}"/>
    <cellStyle name="Comma 2 3 2 2" xfId="22685" xr:uid="{00000000-0005-0000-0000-00009C580000}"/>
    <cellStyle name="Comma 2 3 2 2 2" xfId="22686" xr:uid="{00000000-0005-0000-0000-00009D580000}"/>
    <cellStyle name="Comma 2 3 2 2 2 2" xfId="22687" xr:uid="{00000000-0005-0000-0000-00009E580000}"/>
    <cellStyle name="Comma 2 3 2 2 2 2 2" xfId="22688" xr:uid="{00000000-0005-0000-0000-00009F580000}"/>
    <cellStyle name="Comma 2 3 2 2 2 2 2 2" xfId="22689" xr:uid="{00000000-0005-0000-0000-0000A0580000}"/>
    <cellStyle name="Comma 2 3 2 2 2 2 3" xfId="22690" xr:uid="{00000000-0005-0000-0000-0000A1580000}"/>
    <cellStyle name="Comma 2 3 2 2 2 3" xfId="22691" xr:uid="{00000000-0005-0000-0000-0000A2580000}"/>
    <cellStyle name="Comma 2 3 2 2 2 3 2" xfId="22692" xr:uid="{00000000-0005-0000-0000-0000A3580000}"/>
    <cellStyle name="Comma 2 3 2 2 2 4" xfId="22693" xr:uid="{00000000-0005-0000-0000-0000A4580000}"/>
    <cellStyle name="Comma 2 3 2 2 2 4 2" xfId="22694" xr:uid="{00000000-0005-0000-0000-0000A5580000}"/>
    <cellStyle name="Comma 2 3 2 2 2 5" xfId="22695" xr:uid="{00000000-0005-0000-0000-0000A6580000}"/>
    <cellStyle name="Comma 2 3 2 2 3" xfId="22696" xr:uid="{00000000-0005-0000-0000-0000A7580000}"/>
    <cellStyle name="Comma 2 3 2 2 3 2" xfId="22697" xr:uid="{00000000-0005-0000-0000-0000A8580000}"/>
    <cellStyle name="Comma 2 3 2 2 3 2 2" xfId="22698" xr:uid="{00000000-0005-0000-0000-0000A9580000}"/>
    <cellStyle name="Comma 2 3 2 2 3 2 2 2" xfId="22699" xr:uid="{00000000-0005-0000-0000-0000AA580000}"/>
    <cellStyle name="Comma 2 3 2 2 3 2 3" xfId="22700" xr:uid="{00000000-0005-0000-0000-0000AB580000}"/>
    <cellStyle name="Comma 2 3 2 2 3 3" xfId="22701" xr:uid="{00000000-0005-0000-0000-0000AC580000}"/>
    <cellStyle name="Comma 2 3 2 2 3 3 2" xfId="22702" xr:uid="{00000000-0005-0000-0000-0000AD580000}"/>
    <cellStyle name="Comma 2 3 2 2 3 4" xfId="22703" xr:uid="{00000000-0005-0000-0000-0000AE580000}"/>
    <cellStyle name="Comma 2 3 2 2 3 4 2" xfId="22704" xr:uid="{00000000-0005-0000-0000-0000AF580000}"/>
    <cellStyle name="Comma 2 3 2 2 3 5" xfId="22705" xr:uid="{00000000-0005-0000-0000-0000B0580000}"/>
    <cellStyle name="Comma 2 3 2 2 4" xfId="22706" xr:uid="{00000000-0005-0000-0000-0000B1580000}"/>
    <cellStyle name="Comma 2 3 2 2 4 2" xfId="22707" xr:uid="{00000000-0005-0000-0000-0000B2580000}"/>
    <cellStyle name="Comma 2 3 2 2 4 2 2" xfId="22708" xr:uid="{00000000-0005-0000-0000-0000B3580000}"/>
    <cellStyle name="Comma 2 3 2 2 4 3" xfId="22709" xr:uid="{00000000-0005-0000-0000-0000B4580000}"/>
    <cellStyle name="Comma 2 3 2 2 5" xfId="22710" xr:uid="{00000000-0005-0000-0000-0000B5580000}"/>
    <cellStyle name="Comma 2 3 2 2 5 2" xfId="22711" xr:uid="{00000000-0005-0000-0000-0000B6580000}"/>
    <cellStyle name="Comma 2 3 2 2 6" xfId="22712" xr:uid="{00000000-0005-0000-0000-0000B7580000}"/>
    <cellStyle name="Comma 2 3 2 2 6 2" xfId="22713" xr:uid="{00000000-0005-0000-0000-0000B8580000}"/>
    <cellStyle name="Comma 2 3 2 2 7" xfId="22714" xr:uid="{00000000-0005-0000-0000-0000B9580000}"/>
    <cellStyle name="Comma 2 3 2 3" xfId="22715" xr:uid="{00000000-0005-0000-0000-0000BA580000}"/>
    <cellStyle name="Comma 2 3 2 3 2" xfId="22716" xr:uid="{00000000-0005-0000-0000-0000BB580000}"/>
    <cellStyle name="Comma 2 3 2 3 2 2" xfId="22717" xr:uid="{00000000-0005-0000-0000-0000BC580000}"/>
    <cellStyle name="Comma 2 3 2 3 2 2 2" xfId="22718" xr:uid="{00000000-0005-0000-0000-0000BD580000}"/>
    <cellStyle name="Comma 2 3 2 3 2 3" xfId="22719" xr:uid="{00000000-0005-0000-0000-0000BE580000}"/>
    <cellStyle name="Comma 2 3 2 3 3" xfId="22720" xr:uid="{00000000-0005-0000-0000-0000BF580000}"/>
    <cellStyle name="Comma 2 3 2 3 3 2" xfId="22721" xr:uid="{00000000-0005-0000-0000-0000C0580000}"/>
    <cellStyle name="Comma 2 3 2 3 4" xfId="22722" xr:uid="{00000000-0005-0000-0000-0000C1580000}"/>
    <cellStyle name="Comma 2 3 2 3 4 2" xfId="22723" xr:uid="{00000000-0005-0000-0000-0000C2580000}"/>
    <cellStyle name="Comma 2 3 2 3 5" xfId="22724" xr:uid="{00000000-0005-0000-0000-0000C3580000}"/>
    <cellStyle name="Comma 2 3 2 4" xfId="22725" xr:uid="{00000000-0005-0000-0000-0000C4580000}"/>
    <cellStyle name="Comma 2 3 2 4 2" xfId="22726" xr:uid="{00000000-0005-0000-0000-0000C5580000}"/>
    <cellStyle name="Comma 2 3 2 4 2 2" xfId="22727" xr:uid="{00000000-0005-0000-0000-0000C6580000}"/>
    <cellStyle name="Comma 2 3 2 4 2 2 2" xfId="22728" xr:uid="{00000000-0005-0000-0000-0000C7580000}"/>
    <cellStyle name="Comma 2 3 2 4 2 3" xfId="22729" xr:uid="{00000000-0005-0000-0000-0000C8580000}"/>
    <cellStyle name="Comma 2 3 2 4 3" xfId="22730" xr:uid="{00000000-0005-0000-0000-0000C9580000}"/>
    <cellStyle name="Comma 2 3 2 4 3 2" xfId="22731" xr:uid="{00000000-0005-0000-0000-0000CA580000}"/>
    <cellStyle name="Comma 2 3 2 4 4" xfId="22732" xr:uid="{00000000-0005-0000-0000-0000CB580000}"/>
    <cellStyle name="Comma 2 3 2 4 4 2" xfId="22733" xr:uid="{00000000-0005-0000-0000-0000CC580000}"/>
    <cellStyle name="Comma 2 3 2 4 5" xfId="22734" xr:uid="{00000000-0005-0000-0000-0000CD580000}"/>
    <cellStyle name="Comma 2 3 2 5" xfId="22735" xr:uid="{00000000-0005-0000-0000-0000CE580000}"/>
    <cellStyle name="Comma 2 3 2 5 2" xfId="22736" xr:uid="{00000000-0005-0000-0000-0000CF580000}"/>
    <cellStyle name="Comma 2 3 2 5 2 2" xfId="22737" xr:uid="{00000000-0005-0000-0000-0000D0580000}"/>
    <cellStyle name="Comma 2 3 2 5 3" xfId="22738" xr:uid="{00000000-0005-0000-0000-0000D1580000}"/>
    <cellStyle name="Comma 2 3 2 6" xfId="22739" xr:uid="{00000000-0005-0000-0000-0000D2580000}"/>
    <cellStyle name="Comma 2 3 2 6 2" xfId="22740" xr:uid="{00000000-0005-0000-0000-0000D3580000}"/>
    <cellStyle name="Comma 2 3 2 7" xfId="22741" xr:uid="{00000000-0005-0000-0000-0000D4580000}"/>
    <cellStyle name="Comma 2 3 2 7 2" xfId="22742" xr:uid="{00000000-0005-0000-0000-0000D5580000}"/>
    <cellStyle name="Comma 2 3 2 8" xfId="22743" xr:uid="{00000000-0005-0000-0000-0000D6580000}"/>
    <cellStyle name="Comma 2 3 2 9" xfId="22744" xr:uid="{00000000-0005-0000-0000-0000D7580000}"/>
    <cellStyle name="Comma 2 3 3" xfId="22745" xr:uid="{00000000-0005-0000-0000-0000D8580000}"/>
    <cellStyle name="Comma 2 3 3 2" xfId="22746" xr:uid="{00000000-0005-0000-0000-0000D9580000}"/>
    <cellStyle name="Comma 2 3 3 2 2" xfId="22747" xr:uid="{00000000-0005-0000-0000-0000DA580000}"/>
    <cellStyle name="Comma 2 3 3 2 2 2" xfId="22748" xr:uid="{00000000-0005-0000-0000-0000DB580000}"/>
    <cellStyle name="Comma 2 3 3 2 2 2 2" xfId="22749" xr:uid="{00000000-0005-0000-0000-0000DC580000}"/>
    <cellStyle name="Comma 2 3 3 2 2 3" xfId="22750" xr:uid="{00000000-0005-0000-0000-0000DD580000}"/>
    <cellStyle name="Comma 2 3 3 2 3" xfId="22751" xr:uid="{00000000-0005-0000-0000-0000DE580000}"/>
    <cellStyle name="Comma 2 3 3 2 3 2" xfId="22752" xr:uid="{00000000-0005-0000-0000-0000DF580000}"/>
    <cellStyle name="Comma 2 3 3 2 4" xfId="22753" xr:uid="{00000000-0005-0000-0000-0000E0580000}"/>
    <cellStyle name="Comma 2 3 3 2 4 2" xfId="22754" xr:uid="{00000000-0005-0000-0000-0000E1580000}"/>
    <cellStyle name="Comma 2 3 3 2 5" xfId="22755" xr:uid="{00000000-0005-0000-0000-0000E2580000}"/>
    <cellStyle name="Comma 2 3 3 3" xfId="22756" xr:uid="{00000000-0005-0000-0000-0000E3580000}"/>
    <cellStyle name="Comma 2 3 3 3 2" xfId="22757" xr:uid="{00000000-0005-0000-0000-0000E4580000}"/>
    <cellStyle name="Comma 2 3 3 3 2 2" xfId="22758" xr:uid="{00000000-0005-0000-0000-0000E5580000}"/>
    <cellStyle name="Comma 2 3 3 3 2 2 2" xfId="22759" xr:uid="{00000000-0005-0000-0000-0000E6580000}"/>
    <cellStyle name="Comma 2 3 3 3 2 3" xfId="22760" xr:uid="{00000000-0005-0000-0000-0000E7580000}"/>
    <cellStyle name="Comma 2 3 3 3 3" xfId="22761" xr:uid="{00000000-0005-0000-0000-0000E8580000}"/>
    <cellStyle name="Comma 2 3 3 3 3 2" xfId="22762" xr:uid="{00000000-0005-0000-0000-0000E9580000}"/>
    <cellStyle name="Comma 2 3 3 3 4" xfId="22763" xr:uid="{00000000-0005-0000-0000-0000EA580000}"/>
    <cellStyle name="Comma 2 3 3 3 4 2" xfId="22764" xr:uid="{00000000-0005-0000-0000-0000EB580000}"/>
    <cellStyle name="Comma 2 3 3 3 5" xfId="22765" xr:uid="{00000000-0005-0000-0000-0000EC580000}"/>
    <cellStyle name="Comma 2 3 3 4" xfId="22766" xr:uid="{00000000-0005-0000-0000-0000ED580000}"/>
    <cellStyle name="Comma 2 3 3 4 2" xfId="22767" xr:uid="{00000000-0005-0000-0000-0000EE580000}"/>
    <cellStyle name="Comma 2 3 3 4 2 2" xfId="22768" xr:uid="{00000000-0005-0000-0000-0000EF580000}"/>
    <cellStyle name="Comma 2 3 3 4 3" xfId="22769" xr:uid="{00000000-0005-0000-0000-0000F0580000}"/>
    <cellStyle name="Comma 2 3 3 5" xfId="22770" xr:uid="{00000000-0005-0000-0000-0000F1580000}"/>
    <cellStyle name="Comma 2 3 3 5 2" xfId="22771" xr:uid="{00000000-0005-0000-0000-0000F2580000}"/>
    <cellStyle name="Comma 2 3 3 6" xfId="22772" xr:uid="{00000000-0005-0000-0000-0000F3580000}"/>
    <cellStyle name="Comma 2 3 3 6 2" xfId="22773" xr:uid="{00000000-0005-0000-0000-0000F4580000}"/>
    <cellStyle name="Comma 2 3 3 7" xfId="22774" xr:uid="{00000000-0005-0000-0000-0000F5580000}"/>
    <cellStyle name="Comma 2 3 3 8" xfId="22775" xr:uid="{00000000-0005-0000-0000-0000F6580000}"/>
    <cellStyle name="Comma 2 3 4" xfId="22776" xr:uid="{00000000-0005-0000-0000-0000F7580000}"/>
    <cellStyle name="Comma 2 3 4 2" xfId="22777" xr:uid="{00000000-0005-0000-0000-0000F8580000}"/>
    <cellStyle name="Comma 2 3 4 2 2" xfId="22778" xr:uid="{00000000-0005-0000-0000-0000F9580000}"/>
    <cellStyle name="Comma 2 3 4 2 2 2" xfId="22779" xr:uid="{00000000-0005-0000-0000-0000FA580000}"/>
    <cellStyle name="Comma 2 3 4 2 3" xfId="22780" xr:uid="{00000000-0005-0000-0000-0000FB580000}"/>
    <cellStyle name="Comma 2 3 4 3" xfId="22781" xr:uid="{00000000-0005-0000-0000-0000FC580000}"/>
    <cellStyle name="Comma 2 3 4 3 2" xfId="22782" xr:uid="{00000000-0005-0000-0000-0000FD580000}"/>
    <cellStyle name="Comma 2 3 4 4" xfId="22783" xr:uid="{00000000-0005-0000-0000-0000FE580000}"/>
    <cellStyle name="Comma 2 3 4 4 2" xfId="22784" xr:uid="{00000000-0005-0000-0000-0000FF580000}"/>
    <cellStyle name="Comma 2 3 4 5" xfId="22785" xr:uid="{00000000-0005-0000-0000-000000590000}"/>
    <cellStyle name="Comma 2 3 5" xfId="22786" xr:uid="{00000000-0005-0000-0000-000001590000}"/>
    <cellStyle name="Comma 2 3 5 2" xfId="22787" xr:uid="{00000000-0005-0000-0000-000002590000}"/>
    <cellStyle name="Comma 2 3 5 2 2" xfId="22788" xr:uid="{00000000-0005-0000-0000-000003590000}"/>
    <cellStyle name="Comma 2 3 5 2 2 2" xfId="22789" xr:uid="{00000000-0005-0000-0000-000004590000}"/>
    <cellStyle name="Comma 2 3 5 2 3" xfId="22790" xr:uid="{00000000-0005-0000-0000-000005590000}"/>
    <cellStyle name="Comma 2 3 5 3" xfId="22791" xr:uid="{00000000-0005-0000-0000-000006590000}"/>
    <cellStyle name="Comma 2 3 5 3 2" xfId="22792" xr:uid="{00000000-0005-0000-0000-000007590000}"/>
    <cellStyle name="Comma 2 3 5 4" xfId="22793" xr:uid="{00000000-0005-0000-0000-000008590000}"/>
    <cellStyle name="Comma 2 3 5 4 2" xfId="22794" xr:uid="{00000000-0005-0000-0000-000009590000}"/>
    <cellStyle name="Comma 2 3 5 5" xfId="22795" xr:uid="{00000000-0005-0000-0000-00000A590000}"/>
    <cellStyle name="Comma 2 3 6" xfId="22796" xr:uid="{00000000-0005-0000-0000-00000B590000}"/>
    <cellStyle name="Comma 2 3 6 2" xfId="22797" xr:uid="{00000000-0005-0000-0000-00000C590000}"/>
    <cellStyle name="Comma 2 3 6 2 2" xfId="22798" xr:uid="{00000000-0005-0000-0000-00000D590000}"/>
    <cellStyle name="Comma 2 3 6 2 2 2" xfId="22799" xr:uid="{00000000-0005-0000-0000-00000E590000}"/>
    <cellStyle name="Comma 2 3 6 2 3" xfId="22800" xr:uid="{00000000-0005-0000-0000-00000F590000}"/>
    <cellStyle name="Comma 2 3 6 3" xfId="22801" xr:uid="{00000000-0005-0000-0000-000010590000}"/>
    <cellStyle name="Comma 2 3 6 3 2" xfId="22802" xr:uid="{00000000-0005-0000-0000-000011590000}"/>
    <cellStyle name="Comma 2 3 6 4" xfId="22803" xr:uid="{00000000-0005-0000-0000-000012590000}"/>
    <cellStyle name="Comma 2 3 7" xfId="22804" xr:uid="{00000000-0005-0000-0000-000013590000}"/>
    <cellStyle name="Comma 2 3 7 2" xfId="22805" xr:uid="{00000000-0005-0000-0000-000014590000}"/>
    <cellStyle name="Comma 2 3 7 2 2" xfId="22806" xr:uid="{00000000-0005-0000-0000-000015590000}"/>
    <cellStyle name="Comma 2 3 7 3" xfId="22807" xr:uid="{00000000-0005-0000-0000-000016590000}"/>
    <cellStyle name="Comma 2 3 8" xfId="22808" xr:uid="{00000000-0005-0000-0000-000017590000}"/>
    <cellStyle name="Comma 2 3 8 2" xfId="22809" xr:uid="{00000000-0005-0000-0000-000018590000}"/>
    <cellStyle name="Comma 2 3 9" xfId="22810" xr:uid="{00000000-0005-0000-0000-000019590000}"/>
    <cellStyle name="Comma 2 3 9 2" xfId="22811" xr:uid="{00000000-0005-0000-0000-00001A590000}"/>
    <cellStyle name="Comma 2 4" xfId="22812" xr:uid="{00000000-0005-0000-0000-00001B590000}"/>
    <cellStyle name="Comma 2 4 10" xfId="22813" xr:uid="{00000000-0005-0000-0000-00001C590000}"/>
    <cellStyle name="Comma 2 4 11" xfId="22814" xr:uid="{00000000-0005-0000-0000-00001D590000}"/>
    <cellStyle name="Comma 2 4 12" xfId="22815" xr:uid="{00000000-0005-0000-0000-00001E590000}"/>
    <cellStyle name="Comma 2 4 2" xfId="22816" xr:uid="{00000000-0005-0000-0000-00001F590000}"/>
    <cellStyle name="Comma 2 4 2 2" xfId="22817" xr:uid="{00000000-0005-0000-0000-000020590000}"/>
    <cellStyle name="Comma 2 4 2 2 2" xfId="22818" xr:uid="{00000000-0005-0000-0000-000021590000}"/>
    <cellStyle name="Comma 2 4 2 2 2 2" xfId="22819" xr:uid="{00000000-0005-0000-0000-000022590000}"/>
    <cellStyle name="Comma 2 4 2 2 2 2 2" xfId="22820" xr:uid="{00000000-0005-0000-0000-000023590000}"/>
    <cellStyle name="Comma 2 4 2 2 2 3" xfId="22821" xr:uid="{00000000-0005-0000-0000-000024590000}"/>
    <cellStyle name="Comma 2 4 2 2 3" xfId="22822" xr:uid="{00000000-0005-0000-0000-000025590000}"/>
    <cellStyle name="Comma 2 4 2 2 3 2" xfId="22823" xr:uid="{00000000-0005-0000-0000-000026590000}"/>
    <cellStyle name="Comma 2 4 2 2 4" xfId="22824" xr:uid="{00000000-0005-0000-0000-000027590000}"/>
    <cellStyle name="Comma 2 4 2 2 4 2" xfId="22825" xr:uid="{00000000-0005-0000-0000-000028590000}"/>
    <cellStyle name="Comma 2 4 2 2 5" xfId="22826" xr:uid="{00000000-0005-0000-0000-000029590000}"/>
    <cellStyle name="Comma 2 4 2 3" xfId="22827" xr:uid="{00000000-0005-0000-0000-00002A590000}"/>
    <cellStyle name="Comma 2 4 2 3 2" xfId="22828" xr:uid="{00000000-0005-0000-0000-00002B590000}"/>
    <cellStyle name="Comma 2 4 2 3 2 2" xfId="22829" xr:uid="{00000000-0005-0000-0000-00002C590000}"/>
    <cellStyle name="Comma 2 4 2 3 2 2 2" xfId="22830" xr:uid="{00000000-0005-0000-0000-00002D590000}"/>
    <cellStyle name="Comma 2 4 2 3 2 3" xfId="22831" xr:uid="{00000000-0005-0000-0000-00002E590000}"/>
    <cellStyle name="Comma 2 4 2 3 3" xfId="22832" xr:uid="{00000000-0005-0000-0000-00002F590000}"/>
    <cellStyle name="Comma 2 4 2 3 3 2" xfId="22833" xr:uid="{00000000-0005-0000-0000-000030590000}"/>
    <cellStyle name="Comma 2 4 2 3 4" xfId="22834" xr:uid="{00000000-0005-0000-0000-000031590000}"/>
    <cellStyle name="Comma 2 4 2 3 4 2" xfId="22835" xr:uid="{00000000-0005-0000-0000-000032590000}"/>
    <cellStyle name="Comma 2 4 2 3 5" xfId="22836" xr:uid="{00000000-0005-0000-0000-000033590000}"/>
    <cellStyle name="Comma 2 4 2 4" xfId="22837" xr:uid="{00000000-0005-0000-0000-000034590000}"/>
    <cellStyle name="Comma 2 4 2 4 2" xfId="22838" xr:uid="{00000000-0005-0000-0000-000035590000}"/>
    <cellStyle name="Comma 2 4 2 4 2 2" xfId="22839" xr:uid="{00000000-0005-0000-0000-000036590000}"/>
    <cellStyle name="Comma 2 4 2 4 3" xfId="22840" xr:uid="{00000000-0005-0000-0000-000037590000}"/>
    <cellStyle name="Comma 2 4 2 5" xfId="22841" xr:uid="{00000000-0005-0000-0000-000038590000}"/>
    <cellStyle name="Comma 2 4 2 5 2" xfId="22842" xr:uid="{00000000-0005-0000-0000-000039590000}"/>
    <cellStyle name="Comma 2 4 2 6" xfId="22843" xr:uid="{00000000-0005-0000-0000-00003A590000}"/>
    <cellStyle name="Comma 2 4 2 6 2" xfId="22844" xr:uid="{00000000-0005-0000-0000-00003B590000}"/>
    <cellStyle name="Comma 2 4 2 7" xfId="22845" xr:uid="{00000000-0005-0000-0000-00003C590000}"/>
    <cellStyle name="Comma 2 4 3" xfId="22846" xr:uid="{00000000-0005-0000-0000-00003D590000}"/>
    <cellStyle name="Comma 2 4 3 2" xfId="22847" xr:uid="{00000000-0005-0000-0000-00003E590000}"/>
    <cellStyle name="Comma 2 4 3 2 2" xfId="22848" xr:uid="{00000000-0005-0000-0000-00003F590000}"/>
    <cellStyle name="Comma 2 4 3 2 2 2" xfId="22849" xr:uid="{00000000-0005-0000-0000-000040590000}"/>
    <cellStyle name="Comma 2 4 3 2 3" xfId="22850" xr:uid="{00000000-0005-0000-0000-000041590000}"/>
    <cellStyle name="Comma 2 4 3 3" xfId="22851" xr:uid="{00000000-0005-0000-0000-000042590000}"/>
    <cellStyle name="Comma 2 4 3 3 2" xfId="22852" xr:uid="{00000000-0005-0000-0000-000043590000}"/>
    <cellStyle name="Comma 2 4 3 4" xfId="22853" xr:uid="{00000000-0005-0000-0000-000044590000}"/>
    <cellStyle name="Comma 2 4 3 4 2" xfId="22854" xr:uid="{00000000-0005-0000-0000-000045590000}"/>
    <cellStyle name="Comma 2 4 3 5" xfId="22855" xr:uid="{00000000-0005-0000-0000-000046590000}"/>
    <cellStyle name="Comma 2 4 4" xfId="22856" xr:uid="{00000000-0005-0000-0000-000047590000}"/>
    <cellStyle name="Comma 2 4 4 2" xfId="22857" xr:uid="{00000000-0005-0000-0000-000048590000}"/>
    <cellStyle name="Comma 2 4 4 2 2" xfId="22858" xr:uid="{00000000-0005-0000-0000-000049590000}"/>
    <cellStyle name="Comma 2 4 4 2 2 2" xfId="22859" xr:uid="{00000000-0005-0000-0000-00004A590000}"/>
    <cellStyle name="Comma 2 4 4 2 3" xfId="22860" xr:uid="{00000000-0005-0000-0000-00004B590000}"/>
    <cellStyle name="Comma 2 4 4 3" xfId="22861" xr:uid="{00000000-0005-0000-0000-00004C590000}"/>
    <cellStyle name="Comma 2 4 4 3 2" xfId="22862" xr:uid="{00000000-0005-0000-0000-00004D590000}"/>
    <cellStyle name="Comma 2 4 4 4" xfId="22863" xr:uid="{00000000-0005-0000-0000-00004E590000}"/>
    <cellStyle name="Comma 2 4 4 4 2" xfId="22864" xr:uid="{00000000-0005-0000-0000-00004F590000}"/>
    <cellStyle name="Comma 2 4 4 5" xfId="22865" xr:uid="{00000000-0005-0000-0000-000050590000}"/>
    <cellStyle name="Comma 2 4 5" xfId="22866" xr:uid="{00000000-0005-0000-0000-000051590000}"/>
    <cellStyle name="Comma 2 4 5 2" xfId="22867" xr:uid="{00000000-0005-0000-0000-000052590000}"/>
    <cellStyle name="Comma 2 4 5 2 2" xfId="22868" xr:uid="{00000000-0005-0000-0000-000053590000}"/>
    <cellStyle name="Comma 2 4 5 2 2 2" xfId="22869" xr:uid="{00000000-0005-0000-0000-000054590000}"/>
    <cellStyle name="Comma 2 4 5 2 3" xfId="22870" xr:uid="{00000000-0005-0000-0000-000055590000}"/>
    <cellStyle name="Comma 2 4 5 3" xfId="22871" xr:uid="{00000000-0005-0000-0000-000056590000}"/>
    <cellStyle name="Comma 2 4 5 3 2" xfId="22872" xr:uid="{00000000-0005-0000-0000-000057590000}"/>
    <cellStyle name="Comma 2 4 5 4" xfId="22873" xr:uid="{00000000-0005-0000-0000-000058590000}"/>
    <cellStyle name="Comma 2 4 6" xfId="22874" xr:uid="{00000000-0005-0000-0000-000059590000}"/>
    <cellStyle name="Comma 2 4 6 2" xfId="22875" xr:uid="{00000000-0005-0000-0000-00005A590000}"/>
    <cellStyle name="Comma 2 4 6 2 2" xfId="22876" xr:uid="{00000000-0005-0000-0000-00005B590000}"/>
    <cellStyle name="Comma 2 4 6 3" xfId="22877" xr:uid="{00000000-0005-0000-0000-00005C590000}"/>
    <cellStyle name="Comma 2 4 7" xfId="22878" xr:uid="{00000000-0005-0000-0000-00005D590000}"/>
    <cellStyle name="Comma 2 4 7 2" xfId="22879" xr:uid="{00000000-0005-0000-0000-00005E590000}"/>
    <cellStyle name="Comma 2 4 8" xfId="22880" xr:uid="{00000000-0005-0000-0000-00005F590000}"/>
    <cellStyle name="Comma 2 4 8 2" xfId="22881" xr:uid="{00000000-0005-0000-0000-000060590000}"/>
    <cellStyle name="Comma 2 4 9" xfId="22882" xr:uid="{00000000-0005-0000-0000-000061590000}"/>
    <cellStyle name="Comma 2 5" xfId="22883" xr:uid="{00000000-0005-0000-0000-000062590000}"/>
    <cellStyle name="Comma 2 5 10" xfId="22884" xr:uid="{00000000-0005-0000-0000-000063590000}"/>
    <cellStyle name="Comma 2 5 2" xfId="22885" xr:uid="{00000000-0005-0000-0000-000064590000}"/>
    <cellStyle name="Comma 2 5 2 2" xfId="22886" xr:uid="{00000000-0005-0000-0000-000065590000}"/>
    <cellStyle name="Comma 2 5 2 2 2" xfId="22887" xr:uid="{00000000-0005-0000-0000-000066590000}"/>
    <cellStyle name="Comma 2 5 2 2 2 2" xfId="22888" xr:uid="{00000000-0005-0000-0000-000067590000}"/>
    <cellStyle name="Comma 2 5 2 2 3" xfId="22889" xr:uid="{00000000-0005-0000-0000-000068590000}"/>
    <cellStyle name="Comma 2 5 2 3" xfId="22890" xr:uid="{00000000-0005-0000-0000-000069590000}"/>
    <cellStyle name="Comma 2 5 2 3 2" xfId="22891" xr:uid="{00000000-0005-0000-0000-00006A590000}"/>
    <cellStyle name="Comma 2 5 2 4" xfId="22892" xr:uid="{00000000-0005-0000-0000-00006B590000}"/>
    <cellStyle name="Comma 2 5 2 4 2" xfId="22893" xr:uid="{00000000-0005-0000-0000-00006C590000}"/>
    <cellStyle name="Comma 2 5 2 5" xfId="22894" xr:uid="{00000000-0005-0000-0000-00006D590000}"/>
    <cellStyle name="Comma 2 5 3" xfId="22895" xr:uid="{00000000-0005-0000-0000-00006E590000}"/>
    <cellStyle name="Comma 2 5 3 2" xfId="22896" xr:uid="{00000000-0005-0000-0000-00006F590000}"/>
    <cellStyle name="Comma 2 5 3 2 2" xfId="22897" xr:uid="{00000000-0005-0000-0000-000070590000}"/>
    <cellStyle name="Comma 2 5 3 2 2 2" xfId="22898" xr:uid="{00000000-0005-0000-0000-000071590000}"/>
    <cellStyle name="Comma 2 5 3 2 3" xfId="22899" xr:uid="{00000000-0005-0000-0000-000072590000}"/>
    <cellStyle name="Comma 2 5 3 3" xfId="22900" xr:uid="{00000000-0005-0000-0000-000073590000}"/>
    <cellStyle name="Comma 2 5 3 3 2" xfId="22901" xr:uid="{00000000-0005-0000-0000-000074590000}"/>
    <cellStyle name="Comma 2 5 3 4" xfId="22902" xr:uid="{00000000-0005-0000-0000-000075590000}"/>
    <cellStyle name="Comma 2 5 3 4 2" xfId="22903" xr:uid="{00000000-0005-0000-0000-000076590000}"/>
    <cellStyle name="Comma 2 5 3 5" xfId="22904" xr:uid="{00000000-0005-0000-0000-000077590000}"/>
    <cellStyle name="Comma 2 5 4" xfId="22905" xr:uid="{00000000-0005-0000-0000-000078590000}"/>
    <cellStyle name="Comma 2 5 4 2" xfId="22906" xr:uid="{00000000-0005-0000-0000-000079590000}"/>
    <cellStyle name="Comma 2 5 4 2 2" xfId="22907" xr:uid="{00000000-0005-0000-0000-00007A590000}"/>
    <cellStyle name="Comma 2 5 4 3" xfId="22908" xr:uid="{00000000-0005-0000-0000-00007B590000}"/>
    <cellStyle name="Comma 2 5 5" xfId="22909" xr:uid="{00000000-0005-0000-0000-00007C590000}"/>
    <cellStyle name="Comma 2 5 5 2" xfId="22910" xr:uid="{00000000-0005-0000-0000-00007D590000}"/>
    <cellStyle name="Comma 2 5 6" xfId="22911" xr:uid="{00000000-0005-0000-0000-00007E590000}"/>
    <cellStyle name="Comma 2 5 6 2" xfId="22912" xr:uid="{00000000-0005-0000-0000-00007F590000}"/>
    <cellStyle name="Comma 2 5 7" xfId="22913" xr:uid="{00000000-0005-0000-0000-000080590000}"/>
    <cellStyle name="Comma 2 5 8" xfId="22914" xr:uid="{00000000-0005-0000-0000-000081590000}"/>
    <cellStyle name="Comma 2 5 9" xfId="22915" xr:uid="{00000000-0005-0000-0000-000082590000}"/>
    <cellStyle name="Comma 2 6" xfId="22916" xr:uid="{00000000-0005-0000-0000-000083590000}"/>
    <cellStyle name="Comma 2 6 2" xfId="22917" xr:uid="{00000000-0005-0000-0000-000084590000}"/>
    <cellStyle name="Comma 2 6 2 2" xfId="22918" xr:uid="{00000000-0005-0000-0000-000085590000}"/>
    <cellStyle name="Comma 2 6 2 2 2" xfId="22919" xr:uid="{00000000-0005-0000-0000-000086590000}"/>
    <cellStyle name="Comma 2 6 2 2 2 2" xfId="22920" xr:uid="{00000000-0005-0000-0000-000087590000}"/>
    <cellStyle name="Comma 2 6 2 2 3" xfId="22921" xr:uid="{00000000-0005-0000-0000-000088590000}"/>
    <cellStyle name="Comma 2 6 2 3" xfId="22922" xr:uid="{00000000-0005-0000-0000-000089590000}"/>
    <cellStyle name="Comma 2 6 2 3 2" xfId="22923" xr:uid="{00000000-0005-0000-0000-00008A590000}"/>
    <cellStyle name="Comma 2 6 2 4" xfId="22924" xr:uid="{00000000-0005-0000-0000-00008B590000}"/>
    <cellStyle name="Comma 2 6 2 4 2" xfId="22925" xr:uid="{00000000-0005-0000-0000-00008C590000}"/>
    <cellStyle name="Comma 2 6 2 5" xfId="22926" xr:uid="{00000000-0005-0000-0000-00008D590000}"/>
    <cellStyle name="Comma 2 6 3" xfId="22927" xr:uid="{00000000-0005-0000-0000-00008E590000}"/>
    <cellStyle name="Comma 2 6 3 2" xfId="22928" xr:uid="{00000000-0005-0000-0000-00008F590000}"/>
    <cellStyle name="Comma 2 6 3 2 2" xfId="22929" xr:uid="{00000000-0005-0000-0000-000090590000}"/>
    <cellStyle name="Comma 2 6 3 2 2 2" xfId="22930" xr:uid="{00000000-0005-0000-0000-000091590000}"/>
    <cellStyle name="Comma 2 6 3 2 3" xfId="22931" xr:uid="{00000000-0005-0000-0000-000092590000}"/>
    <cellStyle name="Comma 2 6 3 3" xfId="22932" xr:uid="{00000000-0005-0000-0000-000093590000}"/>
    <cellStyle name="Comma 2 6 3 3 2" xfId="22933" xr:uid="{00000000-0005-0000-0000-000094590000}"/>
    <cellStyle name="Comma 2 6 3 4" xfId="22934" xr:uid="{00000000-0005-0000-0000-000095590000}"/>
    <cellStyle name="Comma 2 6 3 4 2" xfId="22935" xr:uid="{00000000-0005-0000-0000-000096590000}"/>
    <cellStyle name="Comma 2 6 3 5" xfId="22936" xr:uid="{00000000-0005-0000-0000-000097590000}"/>
    <cellStyle name="Comma 2 6 4" xfId="22937" xr:uid="{00000000-0005-0000-0000-000098590000}"/>
    <cellStyle name="Comma 2 6 4 2" xfId="22938" xr:uid="{00000000-0005-0000-0000-000099590000}"/>
    <cellStyle name="Comma 2 6 4 2 2" xfId="22939" xr:uid="{00000000-0005-0000-0000-00009A590000}"/>
    <cellStyle name="Comma 2 6 4 3" xfId="22940" xr:uid="{00000000-0005-0000-0000-00009B590000}"/>
    <cellStyle name="Comma 2 6 5" xfId="22941" xr:uid="{00000000-0005-0000-0000-00009C590000}"/>
    <cellStyle name="Comma 2 6 5 2" xfId="22942" xr:uid="{00000000-0005-0000-0000-00009D590000}"/>
    <cellStyle name="Comma 2 6 6" xfId="22943" xr:uid="{00000000-0005-0000-0000-00009E590000}"/>
    <cellStyle name="Comma 2 6 6 2" xfId="22944" xr:uid="{00000000-0005-0000-0000-00009F590000}"/>
    <cellStyle name="Comma 2 6 7" xfId="22945" xr:uid="{00000000-0005-0000-0000-0000A0590000}"/>
    <cellStyle name="Comma 2 7" xfId="22946" xr:uid="{00000000-0005-0000-0000-0000A1590000}"/>
    <cellStyle name="Comma 2 7 2" xfId="22947" xr:uid="{00000000-0005-0000-0000-0000A2590000}"/>
    <cellStyle name="Comma 2 7 2 2" xfId="22948" xr:uid="{00000000-0005-0000-0000-0000A3590000}"/>
    <cellStyle name="Comma 2 7 2 2 2" xfId="22949" xr:uid="{00000000-0005-0000-0000-0000A4590000}"/>
    <cellStyle name="Comma 2 7 2 3" xfId="22950" xr:uid="{00000000-0005-0000-0000-0000A5590000}"/>
    <cellStyle name="Comma 2 7 3" xfId="22951" xr:uid="{00000000-0005-0000-0000-0000A6590000}"/>
    <cellStyle name="Comma 2 7 3 2" xfId="22952" xr:uid="{00000000-0005-0000-0000-0000A7590000}"/>
    <cellStyle name="Comma 2 7 4" xfId="22953" xr:uid="{00000000-0005-0000-0000-0000A8590000}"/>
    <cellStyle name="Comma 2 7 4 2" xfId="22954" xr:uid="{00000000-0005-0000-0000-0000A9590000}"/>
    <cellStyle name="Comma 2 7 5" xfId="22955" xr:uid="{00000000-0005-0000-0000-0000AA590000}"/>
    <cellStyle name="Comma 2 8" xfId="22956" xr:uid="{00000000-0005-0000-0000-0000AB590000}"/>
    <cellStyle name="Comma 2 8 2" xfId="22957" xr:uid="{00000000-0005-0000-0000-0000AC590000}"/>
    <cellStyle name="Comma 2 8 2 2" xfId="22958" xr:uid="{00000000-0005-0000-0000-0000AD590000}"/>
    <cellStyle name="Comma 2 8 2 2 2" xfId="22959" xr:uid="{00000000-0005-0000-0000-0000AE590000}"/>
    <cellStyle name="Comma 2 8 2 3" xfId="22960" xr:uid="{00000000-0005-0000-0000-0000AF590000}"/>
    <cellStyle name="Comma 2 8 3" xfId="22961" xr:uid="{00000000-0005-0000-0000-0000B0590000}"/>
    <cellStyle name="Comma 2 8 3 2" xfId="22962" xr:uid="{00000000-0005-0000-0000-0000B1590000}"/>
    <cellStyle name="Comma 2 8 4" xfId="22963" xr:uid="{00000000-0005-0000-0000-0000B2590000}"/>
    <cellStyle name="Comma 2 8 4 2" xfId="22964" xr:uid="{00000000-0005-0000-0000-0000B3590000}"/>
    <cellStyle name="Comma 2 8 5" xfId="22965" xr:uid="{00000000-0005-0000-0000-0000B4590000}"/>
    <cellStyle name="Comma 2 9" xfId="22966" xr:uid="{00000000-0005-0000-0000-0000B5590000}"/>
    <cellStyle name="Comma 2 9 2" xfId="22967" xr:uid="{00000000-0005-0000-0000-0000B6590000}"/>
    <cellStyle name="Comma 2 9 2 2" xfId="22968" xr:uid="{00000000-0005-0000-0000-0000B7590000}"/>
    <cellStyle name="Comma 2 9 2 2 2" xfId="22969" xr:uid="{00000000-0005-0000-0000-0000B8590000}"/>
    <cellStyle name="Comma 2 9 2 3" xfId="22970" xr:uid="{00000000-0005-0000-0000-0000B9590000}"/>
    <cellStyle name="Comma 2 9 3" xfId="22971" xr:uid="{00000000-0005-0000-0000-0000BA590000}"/>
    <cellStyle name="Comma 2 9 3 2" xfId="22972" xr:uid="{00000000-0005-0000-0000-0000BB590000}"/>
    <cellStyle name="Comma 2 9 4" xfId="22973" xr:uid="{00000000-0005-0000-0000-0000BC590000}"/>
    <cellStyle name="Comma 2_BS retrieve" xfId="22974" xr:uid="{00000000-0005-0000-0000-0000BD590000}"/>
    <cellStyle name="Comma 20" xfId="22975" xr:uid="{00000000-0005-0000-0000-0000BE590000}"/>
    <cellStyle name="Comma 20 2" xfId="22976" xr:uid="{00000000-0005-0000-0000-0000BF590000}"/>
    <cellStyle name="Comma 20 2 2" xfId="22977" xr:uid="{00000000-0005-0000-0000-0000C0590000}"/>
    <cellStyle name="Comma 20 2 2 2" xfId="22978" xr:uid="{00000000-0005-0000-0000-0000C1590000}"/>
    <cellStyle name="Comma 20 2 2 2 2" xfId="22979" xr:uid="{00000000-0005-0000-0000-0000C2590000}"/>
    <cellStyle name="Comma 20 2 2 2 2 2" xfId="22980" xr:uid="{00000000-0005-0000-0000-0000C3590000}"/>
    <cellStyle name="Comma 20 2 2 2 3" xfId="22981" xr:uid="{00000000-0005-0000-0000-0000C4590000}"/>
    <cellStyle name="Comma 20 2 2 3" xfId="22982" xr:uid="{00000000-0005-0000-0000-0000C5590000}"/>
    <cellStyle name="Comma 20 2 2 3 2" xfId="22983" xr:uid="{00000000-0005-0000-0000-0000C6590000}"/>
    <cellStyle name="Comma 20 2 2 4" xfId="22984" xr:uid="{00000000-0005-0000-0000-0000C7590000}"/>
    <cellStyle name="Comma 20 2 2 4 2" xfId="22985" xr:uid="{00000000-0005-0000-0000-0000C8590000}"/>
    <cellStyle name="Comma 20 2 2 5" xfId="22986" xr:uid="{00000000-0005-0000-0000-0000C9590000}"/>
    <cellStyle name="Comma 20 2 3" xfId="22987" xr:uid="{00000000-0005-0000-0000-0000CA590000}"/>
    <cellStyle name="Comma 20 2 3 2" xfId="22988" xr:uid="{00000000-0005-0000-0000-0000CB590000}"/>
    <cellStyle name="Comma 20 2 3 2 2" xfId="22989" xr:uid="{00000000-0005-0000-0000-0000CC590000}"/>
    <cellStyle name="Comma 20 2 3 2 2 2" xfId="22990" xr:uid="{00000000-0005-0000-0000-0000CD590000}"/>
    <cellStyle name="Comma 20 2 3 2 3" xfId="22991" xr:uid="{00000000-0005-0000-0000-0000CE590000}"/>
    <cellStyle name="Comma 20 2 3 3" xfId="22992" xr:uid="{00000000-0005-0000-0000-0000CF590000}"/>
    <cellStyle name="Comma 20 2 3 3 2" xfId="22993" xr:uid="{00000000-0005-0000-0000-0000D0590000}"/>
    <cellStyle name="Comma 20 2 3 4" xfId="22994" xr:uid="{00000000-0005-0000-0000-0000D1590000}"/>
    <cellStyle name="Comma 20 2 3 4 2" xfId="22995" xr:uid="{00000000-0005-0000-0000-0000D2590000}"/>
    <cellStyle name="Comma 20 2 3 5" xfId="22996" xr:uid="{00000000-0005-0000-0000-0000D3590000}"/>
    <cellStyle name="Comma 20 2 4" xfId="22997" xr:uid="{00000000-0005-0000-0000-0000D4590000}"/>
    <cellStyle name="Comma 20 2 4 2" xfId="22998" xr:uid="{00000000-0005-0000-0000-0000D5590000}"/>
    <cellStyle name="Comma 20 2 4 2 2" xfId="22999" xr:uid="{00000000-0005-0000-0000-0000D6590000}"/>
    <cellStyle name="Comma 20 2 4 3" xfId="23000" xr:uid="{00000000-0005-0000-0000-0000D7590000}"/>
    <cellStyle name="Comma 20 2 5" xfId="23001" xr:uid="{00000000-0005-0000-0000-0000D8590000}"/>
    <cellStyle name="Comma 20 2 5 2" xfId="23002" xr:uid="{00000000-0005-0000-0000-0000D9590000}"/>
    <cellStyle name="Comma 20 2 6" xfId="23003" xr:uid="{00000000-0005-0000-0000-0000DA590000}"/>
    <cellStyle name="Comma 20 2 6 2" xfId="23004" xr:uid="{00000000-0005-0000-0000-0000DB590000}"/>
    <cellStyle name="Comma 20 2 7" xfId="23005" xr:uid="{00000000-0005-0000-0000-0000DC590000}"/>
    <cellStyle name="Comma 20 3" xfId="23006" xr:uid="{00000000-0005-0000-0000-0000DD590000}"/>
    <cellStyle name="Comma 20 3 2" xfId="23007" xr:uid="{00000000-0005-0000-0000-0000DE590000}"/>
    <cellStyle name="Comma 20 3 2 2" xfId="23008" xr:uid="{00000000-0005-0000-0000-0000DF590000}"/>
    <cellStyle name="Comma 20 3 2 2 2" xfId="23009" xr:uid="{00000000-0005-0000-0000-0000E0590000}"/>
    <cellStyle name="Comma 20 3 2 3" xfId="23010" xr:uid="{00000000-0005-0000-0000-0000E1590000}"/>
    <cellStyle name="Comma 20 3 3" xfId="23011" xr:uid="{00000000-0005-0000-0000-0000E2590000}"/>
    <cellStyle name="Comma 20 3 3 2" xfId="23012" xr:uid="{00000000-0005-0000-0000-0000E3590000}"/>
    <cellStyle name="Comma 20 3 4" xfId="23013" xr:uid="{00000000-0005-0000-0000-0000E4590000}"/>
    <cellStyle name="Comma 20 3 4 2" xfId="23014" xr:uid="{00000000-0005-0000-0000-0000E5590000}"/>
    <cellStyle name="Comma 20 3 5" xfId="23015" xr:uid="{00000000-0005-0000-0000-0000E6590000}"/>
    <cellStyle name="Comma 20 4" xfId="23016" xr:uid="{00000000-0005-0000-0000-0000E7590000}"/>
    <cellStyle name="Comma 20 4 2" xfId="23017" xr:uid="{00000000-0005-0000-0000-0000E8590000}"/>
    <cellStyle name="Comma 20 4 2 2" xfId="23018" xr:uid="{00000000-0005-0000-0000-0000E9590000}"/>
    <cellStyle name="Comma 20 4 2 2 2" xfId="23019" xr:uid="{00000000-0005-0000-0000-0000EA590000}"/>
    <cellStyle name="Comma 20 4 2 3" xfId="23020" xr:uid="{00000000-0005-0000-0000-0000EB590000}"/>
    <cellStyle name="Comma 20 4 3" xfId="23021" xr:uid="{00000000-0005-0000-0000-0000EC590000}"/>
    <cellStyle name="Comma 20 4 3 2" xfId="23022" xr:uid="{00000000-0005-0000-0000-0000ED590000}"/>
    <cellStyle name="Comma 20 4 4" xfId="23023" xr:uid="{00000000-0005-0000-0000-0000EE590000}"/>
    <cellStyle name="Comma 20 4 4 2" xfId="23024" xr:uid="{00000000-0005-0000-0000-0000EF590000}"/>
    <cellStyle name="Comma 20 4 5" xfId="23025" xr:uid="{00000000-0005-0000-0000-0000F0590000}"/>
    <cellStyle name="Comma 20 5" xfId="23026" xr:uid="{00000000-0005-0000-0000-0000F1590000}"/>
    <cellStyle name="Comma 20 5 2" xfId="23027" xr:uid="{00000000-0005-0000-0000-0000F2590000}"/>
    <cellStyle name="Comma 20 5 2 2" xfId="23028" xr:uid="{00000000-0005-0000-0000-0000F3590000}"/>
    <cellStyle name="Comma 20 5 3" xfId="23029" xr:uid="{00000000-0005-0000-0000-0000F4590000}"/>
    <cellStyle name="Comma 20 6" xfId="23030" xr:uid="{00000000-0005-0000-0000-0000F5590000}"/>
    <cellStyle name="Comma 20 6 2" xfId="23031" xr:uid="{00000000-0005-0000-0000-0000F6590000}"/>
    <cellStyle name="Comma 20 7" xfId="23032" xr:uid="{00000000-0005-0000-0000-0000F7590000}"/>
    <cellStyle name="Comma 20 7 2" xfId="23033" xr:uid="{00000000-0005-0000-0000-0000F8590000}"/>
    <cellStyle name="Comma 20 8" xfId="23034" xr:uid="{00000000-0005-0000-0000-0000F9590000}"/>
    <cellStyle name="Comma 21" xfId="23035" xr:uid="{00000000-0005-0000-0000-0000FA590000}"/>
    <cellStyle name="Comma 21 2" xfId="23036" xr:uid="{00000000-0005-0000-0000-0000FB590000}"/>
    <cellStyle name="Comma 21 2 2" xfId="23037" xr:uid="{00000000-0005-0000-0000-0000FC590000}"/>
    <cellStyle name="Comma 21 2 2 2" xfId="23038" xr:uid="{00000000-0005-0000-0000-0000FD590000}"/>
    <cellStyle name="Comma 21 2 2 2 2" xfId="23039" xr:uid="{00000000-0005-0000-0000-0000FE590000}"/>
    <cellStyle name="Comma 21 2 2 2 2 2" xfId="23040" xr:uid="{00000000-0005-0000-0000-0000FF590000}"/>
    <cellStyle name="Comma 21 2 2 2 3" xfId="23041" xr:uid="{00000000-0005-0000-0000-0000005A0000}"/>
    <cellStyle name="Comma 21 2 2 3" xfId="23042" xr:uid="{00000000-0005-0000-0000-0000015A0000}"/>
    <cellStyle name="Comma 21 2 2 3 2" xfId="23043" xr:uid="{00000000-0005-0000-0000-0000025A0000}"/>
    <cellStyle name="Comma 21 2 2 4" xfId="23044" xr:uid="{00000000-0005-0000-0000-0000035A0000}"/>
    <cellStyle name="Comma 21 2 2 4 2" xfId="23045" xr:uid="{00000000-0005-0000-0000-0000045A0000}"/>
    <cellStyle name="Comma 21 2 2 5" xfId="23046" xr:uid="{00000000-0005-0000-0000-0000055A0000}"/>
    <cellStyle name="Comma 21 2 3" xfId="23047" xr:uid="{00000000-0005-0000-0000-0000065A0000}"/>
    <cellStyle name="Comma 21 2 3 2" xfId="23048" xr:uid="{00000000-0005-0000-0000-0000075A0000}"/>
    <cellStyle name="Comma 21 2 3 2 2" xfId="23049" xr:uid="{00000000-0005-0000-0000-0000085A0000}"/>
    <cellStyle name="Comma 21 2 3 2 2 2" xfId="23050" xr:uid="{00000000-0005-0000-0000-0000095A0000}"/>
    <cellStyle name="Comma 21 2 3 2 3" xfId="23051" xr:uid="{00000000-0005-0000-0000-00000A5A0000}"/>
    <cellStyle name="Comma 21 2 3 3" xfId="23052" xr:uid="{00000000-0005-0000-0000-00000B5A0000}"/>
    <cellStyle name="Comma 21 2 3 3 2" xfId="23053" xr:uid="{00000000-0005-0000-0000-00000C5A0000}"/>
    <cellStyle name="Comma 21 2 3 4" xfId="23054" xr:uid="{00000000-0005-0000-0000-00000D5A0000}"/>
    <cellStyle name="Comma 21 2 3 4 2" xfId="23055" xr:uid="{00000000-0005-0000-0000-00000E5A0000}"/>
    <cellStyle name="Comma 21 2 3 5" xfId="23056" xr:uid="{00000000-0005-0000-0000-00000F5A0000}"/>
    <cellStyle name="Comma 21 2 4" xfId="23057" xr:uid="{00000000-0005-0000-0000-0000105A0000}"/>
    <cellStyle name="Comma 21 2 4 2" xfId="23058" xr:uid="{00000000-0005-0000-0000-0000115A0000}"/>
    <cellStyle name="Comma 21 2 4 2 2" xfId="23059" xr:uid="{00000000-0005-0000-0000-0000125A0000}"/>
    <cellStyle name="Comma 21 2 4 3" xfId="23060" xr:uid="{00000000-0005-0000-0000-0000135A0000}"/>
    <cellStyle name="Comma 21 2 5" xfId="23061" xr:uid="{00000000-0005-0000-0000-0000145A0000}"/>
    <cellStyle name="Comma 21 2 5 2" xfId="23062" xr:uid="{00000000-0005-0000-0000-0000155A0000}"/>
    <cellStyle name="Comma 21 2 6" xfId="23063" xr:uid="{00000000-0005-0000-0000-0000165A0000}"/>
    <cellStyle name="Comma 21 2 6 2" xfId="23064" xr:uid="{00000000-0005-0000-0000-0000175A0000}"/>
    <cellStyle name="Comma 21 2 7" xfId="23065" xr:uid="{00000000-0005-0000-0000-0000185A0000}"/>
    <cellStyle name="Comma 21 3" xfId="23066" xr:uid="{00000000-0005-0000-0000-0000195A0000}"/>
    <cellStyle name="Comma 21 3 2" xfId="23067" xr:uid="{00000000-0005-0000-0000-00001A5A0000}"/>
    <cellStyle name="Comma 21 3 2 2" xfId="23068" xr:uid="{00000000-0005-0000-0000-00001B5A0000}"/>
    <cellStyle name="Comma 21 3 2 2 2" xfId="23069" xr:uid="{00000000-0005-0000-0000-00001C5A0000}"/>
    <cellStyle name="Comma 21 3 2 3" xfId="23070" xr:uid="{00000000-0005-0000-0000-00001D5A0000}"/>
    <cellStyle name="Comma 21 3 3" xfId="23071" xr:uid="{00000000-0005-0000-0000-00001E5A0000}"/>
    <cellStyle name="Comma 21 3 3 2" xfId="23072" xr:uid="{00000000-0005-0000-0000-00001F5A0000}"/>
    <cellStyle name="Comma 21 3 4" xfId="23073" xr:uid="{00000000-0005-0000-0000-0000205A0000}"/>
    <cellStyle name="Comma 21 3 4 2" xfId="23074" xr:uid="{00000000-0005-0000-0000-0000215A0000}"/>
    <cellStyle name="Comma 21 3 5" xfId="23075" xr:uid="{00000000-0005-0000-0000-0000225A0000}"/>
    <cellStyle name="Comma 21 4" xfId="23076" xr:uid="{00000000-0005-0000-0000-0000235A0000}"/>
    <cellStyle name="Comma 21 4 2" xfId="23077" xr:uid="{00000000-0005-0000-0000-0000245A0000}"/>
    <cellStyle name="Comma 21 4 2 2" xfId="23078" xr:uid="{00000000-0005-0000-0000-0000255A0000}"/>
    <cellStyle name="Comma 21 4 2 2 2" xfId="23079" xr:uid="{00000000-0005-0000-0000-0000265A0000}"/>
    <cellStyle name="Comma 21 4 2 3" xfId="23080" xr:uid="{00000000-0005-0000-0000-0000275A0000}"/>
    <cellStyle name="Comma 21 4 3" xfId="23081" xr:uid="{00000000-0005-0000-0000-0000285A0000}"/>
    <cellStyle name="Comma 21 4 3 2" xfId="23082" xr:uid="{00000000-0005-0000-0000-0000295A0000}"/>
    <cellStyle name="Comma 21 4 4" xfId="23083" xr:uid="{00000000-0005-0000-0000-00002A5A0000}"/>
    <cellStyle name="Comma 21 4 4 2" xfId="23084" xr:uid="{00000000-0005-0000-0000-00002B5A0000}"/>
    <cellStyle name="Comma 21 4 5" xfId="23085" xr:uid="{00000000-0005-0000-0000-00002C5A0000}"/>
    <cellStyle name="Comma 21 5" xfId="23086" xr:uid="{00000000-0005-0000-0000-00002D5A0000}"/>
    <cellStyle name="Comma 21 5 2" xfId="23087" xr:uid="{00000000-0005-0000-0000-00002E5A0000}"/>
    <cellStyle name="Comma 21 5 2 2" xfId="23088" xr:uid="{00000000-0005-0000-0000-00002F5A0000}"/>
    <cellStyle name="Comma 21 5 3" xfId="23089" xr:uid="{00000000-0005-0000-0000-0000305A0000}"/>
    <cellStyle name="Comma 21 6" xfId="23090" xr:uid="{00000000-0005-0000-0000-0000315A0000}"/>
    <cellStyle name="Comma 21 6 2" xfId="23091" xr:uid="{00000000-0005-0000-0000-0000325A0000}"/>
    <cellStyle name="Comma 21 7" xfId="23092" xr:uid="{00000000-0005-0000-0000-0000335A0000}"/>
    <cellStyle name="Comma 21 7 2" xfId="23093" xr:uid="{00000000-0005-0000-0000-0000345A0000}"/>
    <cellStyle name="Comma 21 8" xfId="23094" xr:uid="{00000000-0005-0000-0000-0000355A0000}"/>
    <cellStyle name="Comma 22" xfId="23095" xr:uid="{00000000-0005-0000-0000-0000365A0000}"/>
    <cellStyle name="Comma 22 2" xfId="23096" xr:uid="{00000000-0005-0000-0000-0000375A0000}"/>
    <cellStyle name="Comma 22 2 2" xfId="23097" xr:uid="{00000000-0005-0000-0000-0000385A0000}"/>
    <cellStyle name="Comma 22 2 2 2" xfId="23098" xr:uid="{00000000-0005-0000-0000-0000395A0000}"/>
    <cellStyle name="Comma 22 2 2 2 2" xfId="23099" xr:uid="{00000000-0005-0000-0000-00003A5A0000}"/>
    <cellStyle name="Comma 22 2 2 2 2 2" xfId="23100" xr:uid="{00000000-0005-0000-0000-00003B5A0000}"/>
    <cellStyle name="Comma 22 2 2 2 3" xfId="23101" xr:uid="{00000000-0005-0000-0000-00003C5A0000}"/>
    <cellStyle name="Comma 22 2 2 3" xfId="23102" xr:uid="{00000000-0005-0000-0000-00003D5A0000}"/>
    <cellStyle name="Comma 22 2 2 3 2" xfId="23103" xr:uid="{00000000-0005-0000-0000-00003E5A0000}"/>
    <cellStyle name="Comma 22 2 2 4" xfId="23104" xr:uid="{00000000-0005-0000-0000-00003F5A0000}"/>
    <cellStyle name="Comma 22 2 2 4 2" xfId="23105" xr:uid="{00000000-0005-0000-0000-0000405A0000}"/>
    <cellStyle name="Comma 22 2 2 5" xfId="23106" xr:uid="{00000000-0005-0000-0000-0000415A0000}"/>
    <cellStyle name="Comma 22 2 3" xfId="23107" xr:uid="{00000000-0005-0000-0000-0000425A0000}"/>
    <cellStyle name="Comma 22 2 3 2" xfId="23108" xr:uid="{00000000-0005-0000-0000-0000435A0000}"/>
    <cellStyle name="Comma 22 2 3 2 2" xfId="23109" xr:uid="{00000000-0005-0000-0000-0000445A0000}"/>
    <cellStyle name="Comma 22 2 3 2 2 2" xfId="23110" xr:uid="{00000000-0005-0000-0000-0000455A0000}"/>
    <cellStyle name="Comma 22 2 3 2 3" xfId="23111" xr:uid="{00000000-0005-0000-0000-0000465A0000}"/>
    <cellStyle name="Comma 22 2 3 3" xfId="23112" xr:uid="{00000000-0005-0000-0000-0000475A0000}"/>
    <cellStyle name="Comma 22 2 3 3 2" xfId="23113" xr:uid="{00000000-0005-0000-0000-0000485A0000}"/>
    <cellStyle name="Comma 22 2 3 4" xfId="23114" xr:uid="{00000000-0005-0000-0000-0000495A0000}"/>
    <cellStyle name="Comma 22 2 3 4 2" xfId="23115" xr:uid="{00000000-0005-0000-0000-00004A5A0000}"/>
    <cellStyle name="Comma 22 2 3 5" xfId="23116" xr:uid="{00000000-0005-0000-0000-00004B5A0000}"/>
    <cellStyle name="Comma 22 2 4" xfId="23117" xr:uid="{00000000-0005-0000-0000-00004C5A0000}"/>
    <cellStyle name="Comma 22 2 4 2" xfId="23118" xr:uid="{00000000-0005-0000-0000-00004D5A0000}"/>
    <cellStyle name="Comma 22 2 4 2 2" xfId="23119" xr:uid="{00000000-0005-0000-0000-00004E5A0000}"/>
    <cellStyle name="Comma 22 2 4 3" xfId="23120" xr:uid="{00000000-0005-0000-0000-00004F5A0000}"/>
    <cellStyle name="Comma 22 2 5" xfId="23121" xr:uid="{00000000-0005-0000-0000-0000505A0000}"/>
    <cellStyle name="Comma 22 2 5 2" xfId="23122" xr:uid="{00000000-0005-0000-0000-0000515A0000}"/>
    <cellStyle name="Comma 22 2 6" xfId="23123" xr:uid="{00000000-0005-0000-0000-0000525A0000}"/>
    <cellStyle name="Comma 22 2 6 2" xfId="23124" xr:uid="{00000000-0005-0000-0000-0000535A0000}"/>
    <cellStyle name="Comma 22 2 7" xfId="23125" xr:uid="{00000000-0005-0000-0000-0000545A0000}"/>
    <cellStyle name="Comma 22 3" xfId="23126" xr:uid="{00000000-0005-0000-0000-0000555A0000}"/>
    <cellStyle name="Comma 22 3 2" xfId="23127" xr:uid="{00000000-0005-0000-0000-0000565A0000}"/>
    <cellStyle name="Comma 22 3 2 2" xfId="23128" xr:uid="{00000000-0005-0000-0000-0000575A0000}"/>
    <cellStyle name="Comma 22 3 2 2 2" xfId="23129" xr:uid="{00000000-0005-0000-0000-0000585A0000}"/>
    <cellStyle name="Comma 22 3 2 3" xfId="23130" xr:uid="{00000000-0005-0000-0000-0000595A0000}"/>
    <cellStyle name="Comma 22 3 3" xfId="23131" xr:uid="{00000000-0005-0000-0000-00005A5A0000}"/>
    <cellStyle name="Comma 22 3 3 2" xfId="23132" xr:uid="{00000000-0005-0000-0000-00005B5A0000}"/>
    <cellStyle name="Comma 22 3 4" xfId="23133" xr:uid="{00000000-0005-0000-0000-00005C5A0000}"/>
    <cellStyle name="Comma 22 3 4 2" xfId="23134" xr:uid="{00000000-0005-0000-0000-00005D5A0000}"/>
    <cellStyle name="Comma 22 3 5" xfId="23135" xr:uid="{00000000-0005-0000-0000-00005E5A0000}"/>
    <cellStyle name="Comma 22 4" xfId="23136" xr:uid="{00000000-0005-0000-0000-00005F5A0000}"/>
    <cellStyle name="Comma 22 4 2" xfId="23137" xr:uid="{00000000-0005-0000-0000-0000605A0000}"/>
    <cellStyle name="Comma 22 4 2 2" xfId="23138" xr:uid="{00000000-0005-0000-0000-0000615A0000}"/>
    <cellStyle name="Comma 22 4 2 2 2" xfId="23139" xr:uid="{00000000-0005-0000-0000-0000625A0000}"/>
    <cellStyle name="Comma 22 4 2 3" xfId="23140" xr:uid="{00000000-0005-0000-0000-0000635A0000}"/>
    <cellStyle name="Comma 22 4 3" xfId="23141" xr:uid="{00000000-0005-0000-0000-0000645A0000}"/>
    <cellStyle name="Comma 22 4 3 2" xfId="23142" xr:uid="{00000000-0005-0000-0000-0000655A0000}"/>
    <cellStyle name="Comma 22 4 4" xfId="23143" xr:uid="{00000000-0005-0000-0000-0000665A0000}"/>
    <cellStyle name="Comma 22 4 4 2" xfId="23144" xr:uid="{00000000-0005-0000-0000-0000675A0000}"/>
    <cellStyle name="Comma 22 4 5" xfId="23145" xr:uid="{00000000-0005-0000-0000-0000685A0000}"/>
    <cellStyle name="Comma 22 5" xfId="23146" xr:uid="{00000000-0005-0000-0000-0000695A0000}"/>
    <cellStyle name="Comma 22 5 2" xfId="23147" xr:uid="{00000000-0005-0000-0000-00006A5A0000}"/>
    <cellStyle name="Comma 22 5 2 2" xfId="23148" xr:uid="{00000000-0005-0000-0000-00006B5A0000}"/>
    <cellStyle name="Comma 22 5 3" xfId="23149" xr:uid="{00000000-0005-0000-0000-00006C5A0000}"/>
    <cellStyle name="Comma 22 6" xfId="23150" xr:uid="{00000000-0005-0000-0000-00006D5A0000}"/>
    <cellStyle name="Comma 22 6 2" xfId="23151" xr:uid="{00000000-0005-0000-0000-00006E5A0000}"/>
    <cellStyle name="Comma 22 7" xfId="23152" xr:uid="{00000000-0005-0000-0000-00006F5A0000}"/>
    <cellStyle name="Comma 22 7 2" xfId="23153" xr:uid="{00000000-0005-0000-0000-0000705A0000}"/>
    <cellStyle name="Comma 22 8" xfId="23154" xr:uid="{00000000-0005-0000-0000-0000715A0000}"/>
    <cellStyle name="Comma 23" xfId="23155" xr:uid="{00000000-0005-0000-0000-0000725A0000}"/>
    <cellStyle name="Comma 23 2" xfId="23156" xr:uid="{00000000-0005-0000-0000-0000735A0000}"/>
    <cellStyle name="Comma 23 2 2" xfId="23157" xr:uid="{00000000-0005-0000-0000-0000745A0000}"/>
    <cellStyle name="Comma 23 2 2 2" xfId="23158" xr:uid="{00000000-0005-0000-0000-0000755A0000}"/>
    <cellStyle name="Comma 23 2 2 2 2" xfId="23159" xr:uid="{00000000-0005-0000-0000-0000765A0000}"/>
    <cellStyle name="Comma 23 2 2 2 2 2" xfId="23160" xr:uid="{00000000-0005-0000-0000-0000775A0000}"/>
    <cellStyle name="Comma 23 2 2 2 3" xfId="23161" xr:uid="{00000000-0005-0000-0000-0000785A0000}"/>
    <cellStyle name="Comma 23 2 2 3" xfId="23162" xr:uid="{00000000-0005-0000-0000-0000795A0000}"/>
    <cellStyle name="Comma 23 2 2 3 2" xfId="23163" xr:uid="{00000000-0005-0000-0000-00007A5A0000}"/>
    <cellStyle name="Comma 23 2 2 4" xfId="23164" xr:uid="{00000000-0005-0000-0000-00007B5A0000}"/>
    <cellStyle name="Comma 23 2 2 4 2" xfId="23165" xr:uid="{00000000-0005-0000-0000-00007C5A0000}"/>
    <cellStyle name="Comma 23 2 2 5" xfId="23166" xr:uid="{00000000-0005-0000-0000-00007D5A0000}"/>
    <cellStyle name="Comma 23 2 3" xfId="23167" xr:uid="{00000000-0005-0000-0000-00007E5A0000}"/>
    <cellStyle name="Comma 23 2 3 2" xfId="23168" xr:uid="{00000000-0005-0000-0000-00007F5A0000}"/>
    <cellStyle name="Comma 23 2 3 2 2" xfId="23169" xr:uid="{00000000-0005-0000-0000-0000805A0000}"/>
    <cellStyle name="Comma 23 2 3 2 2 2" xfId="23170" xr:uid="{00000000-0005-0000-0000-0000815A0000}"/>
    <cellStyle name="Comma 23 2 3 2 3" xfId="23171" xr:uid="{00000000-0005-0000-0000-0000825A0000}"/>
    <cellStyle name="Comma 23 2 3 3" xfId="23172" xr:uid="{00000000-0005-0000-0000-0000835A0000}"/>
    <cellStyle name="Comma 23 2 3 3 2" xfId="23173" xr:uid="{00000000-0005-0000-0000-0000845A0000}"/>
    <cellStyle name="Comma 23 2 3 4" xfId="23174" xr:uid="{00000000-0005-0000-0000-0000855A0000}"/>
    <cellStyle name="Comma 23 2 3 4 2" xfId="23175" xr:uid="{00000000-0005-0000-0000-0000865A0000}"/>
    <cellStyle name="Comma 23 2 3 5" xfId="23176" xr:uid="{00000000-0005-0000-0000-0000875A0000}"/>
    <cellStyle name="Comma 23 2 4" xfId="23177" xr:uid="{00000000-0005-0000-0000-0000885A0000}"/>
    <cellStyle name="Comma 23 2 4 2" xfId="23178" xr:uid="{00000000-0005-0000-0000-0000895A0000}"/>
    <cellStyle name="Comma 23 2 4 2 2" xfId="23179" xr:uid="{00000000-0005-0000-0000-00008A5A0000}"/>
    <cellStyle name="Comma 23 2 4 3" xfId="23180" xr:uid="{00000000-0005-0000-0000-00008B5A0000}"/>
    <cellStyle name="Comma 23 2 5" xfId="23181" xr:uid="{00000000-0005-0000-0000-00008C5A0000}"/>
    <cellStyle name="Comma 23 2 5 2" xfId="23182" xr:uid="{00000000-0005-0000-0000-00008D5A0000}"/>
    <cellStyle name="Comma 23 2 6" xfId="23183" xr:uid="{00000000-0005-0000-0000-00008E5A0000}"/>
    <cellStyle name="Comma 23 2 6 2" xfId="23184" xr:uid="{00000000-0005-0000-0000-00008F5A0000}"/>
    <cellStyle name="Comma 23 2 7" xfId="23185" xr:uid="{00000000-0005-0000-0000-0000905A0000}"/>
    <cellStyle name="Comma 23 3" xfId="23186" xr:uid="{00000000-0005-0000-0000-0000915A0000}"/>
    <cellStyle name="Comma 23 3 2" xfId="23187" xr:uid="{00000000-0005-0000-0000-0000925A0000}"/>
    <cellStyle name="Comma 23 3 2 2" xfId="23188" xr:uid="{00000000-0005-0000-0000-0000935A0000}"/>
    <cellStyle name="Comma 23 3 2 2 2" xfId="23189" xr:uid="{00000000-0005-0000-0000-0000945A0000}"/>
    <cellStyle name="Comma 23 3 2 3" xfId="23190" xr:uid="{00000000-0005-0000-0000-0000955A0000}"/>
    <cellStyle name="Comma 23 3 3" xfId="23191" xr:uid="{00000000-0005-0000-0000-0000965A0000}"/>
    <cellStyle name="Comma 23 3 3 2" xfId="23192" xr:uid="{00000000-0005-0000-0000-0000975A0000}"/>
    <cellStyle name="Comma 23 3 4" xfId="23193" xr:uid="{00000000-0005-0000-0000-0000985A0000}"/>
    <cellStyle name="Comma 23 3 4 2" xfId="23194" xr:uid="{00000000-0005-0000-0000-0000995A0000}"/>
    <cellStyle name="Comma 23 3 5" xfId="23195" xr:uid="{00000000-0005-0000-0000-00009A5A0000}"/>
    <cellStyle name="Comma 23 4" xfId="23196" xr:uid="{00000000-0005-0000-0000-00009B5A0000}"/>
    <cellStyle name="Comma 23 4 2" xfId="23197" xr:uid="{00000000-0005-0000-0000-00009C5A0000}"/>
    <cellStyle name="Comma 23 4 2 2" xfId="23198" xr:uid="{00000000-0005-0000-0000-00009D5A0000}"/>
    <cellStyle name="Comma 23 4 2 2 2" xfId="23199" xr:uid="{00000000-0005-0000-0000-00009E5A0000}"/>
    <cellStyle name="Comma 23 4 2 3" xfId="23200" xr:uid="{00000000-0005-0000-0000-00009F5A0000}"/>
    <cellStyle name="Comma 23 4 3" xfId="23201" xr:uid="{00000000-0005-0000-0000-0000A05A0000}"/>
    <cellStyle name="Comma 23 4 3 2" xfId="23202" xr:uid="{00000000-0005-0000-0000-0000A15A0000}"/>
    <cellStyle name="Comma 23 4 4" xfId="23203" xr:uid="{00000000-0005-0000-0000-0000A25A0000}"/>
    <cellStyle name="Comma 23 4 4 2" xfId="23204" xr:uid="{00000000-0005-0000-0000-0000A35A0000}"/>
    <cellStyle name="Comma 23 4 5" xfId="23205" xr:uid="{00000000-0005-0000-0000-0000A45A0000}"/>
    <cellStyle name="Comma 23 5" xfId="23206" xr:uid="{00000000-0005-0000-0000-0000A55A0000}"/>
    <cellStyle name="Comma 23 5 2" xfId="23207" xr:uid="{00000000-0005-0000-0000-0000A65A0000}"/>
    <cellStyle name="Comma 23 5 2 2" xfId="23208" xr:uid="{00000000-0005-0000-0000-0000A75A0000}"/>
    <cellStyle name="Comma 23 5 3" xfId="23209" xr:uid="{00000000-0005-0000-0000-0000A85A0000}"/>
    <cellStyle name="Comma 23 6" xfId="23210" xr:uid="{00000000-0005-0000-0000-0000A95A0000}"/>
    <cellStyle name="Comma 23 6 2" xfId="23211" xr:uid="{00000000-0005-0000-0000-0000AA5A0000}"/>
    <cellStyle name="Comma 23 7" xfId="23212" xr:uid="{00000000-0005-0000-0000-0000AB5A0000}"/>
    <cellStyle name="Comma 23 7 2" xfId="23213" xr:uid="{00000000-0005-0000-0000-0000AC5A0000}"/>
    <cellStyle name="Comma 23 8" xfId="23214" xr:uid="{00000000-0005-0000-0000-0000AD5A0000}"/>
    <cellStyle name="Comma 24" xfId="23215" xr:uid="{00000000-0005-0000-0000-0000AE5A0000}"/>
    <cellStyle name="Comma 24 2" xfId="23216" xr:uid="{00000000-0005-0000-0000-0000AF5A0000}"/>
    <cellStyle name="Comma 24 2 2" xfId="23217" xr:uid="{00000000-0005-0000-0000-0000B05A0000}"/>
    <cellStyle name="Comma 24 2 2 2" xfId="23218" xr:uid="{00000000-0005-0000-0000-0000B15A0000}"/>
    <cellStyle name="Comma 24 2 2 2 2" xfId="23219" xr:uid="{00000000-0005-0000-0000-0000B25A0000}"/>
    <cellStyle name="Comma 24 2 2 2 2 2" xfId="23220" xr:uid="{00000000-0005-0000-0000-0000B35A0000}"/>
    <cellStyle name="Comma 24 2 2 2 3" xfId="23221" xr:uid="{00000000-0005-0000-0000-0000B45A0000}"/>
    <cellStyle name="Comma 24 2 2 3" xfId="23222" xr:uid="{00000000-0005-0000-0000-0000B55A0000}"/>
    <cellStyle name="Comma 24 2 2 3 2" xfId="23223" xr:uid="{00000000-0005-0000-0000-0000B65A0000}"/>
    <cellStyle name="Comma 24 2 2 4" xfId="23224" xr:uid="{00000000-0005-0000-0000-0000B75A0000}"/>
    <cellStyle name="Comma 24 2 2 4 2" xfId="23225" xr:uid="{00000000-0005-0000-0000-0000B85A0000}"/>
    <cellStyle name="Comma 24 2 2 5" xfId="23226" xr:uid="{00000000-0005-0000-0000-0000B95A0000}"/>
    <cellStyle name="Comma 24 2 3" xfId="23227" xr:uid="{00000000-0005-0000-0000-0000BA5A0000}"/>
    <cellStyle name="Comma 24 2 3 2" xfId="23228" xr:uid="{00000000-0005-0000-0000-0000BB5A0000}"/>
    <cellStyle name="Comma 24 2 3 2 2" xfId="23229" xr:uid="{00000000-0005-0000-0000-0000BC5A0000}"/>
    <cellStyle name="Comma 24 2 3 2 2 2" xfId="23230" xr:uid="{00000000-0005-0000-0000-0000BD5A0000}"/>
    <cellStyle name="Comma 24 2 3 2 3" xfId="23231" xr:uid="{00000000-0005-0000-0000-0000BE5A0000}"/>
    <cellStyle name="Comma 24 2 3 3" xfId="23232" xr:uid="{00000000-0005-0000-0000-0000BF5A0000}"/>
    <cellStyle name="Comma 24 2 3 3 2" xfId="23233" xr:uid="{00000000-0005-0000-0000-0000C05A0000}"/>
    <cellStyle name="Comma 24 2 3 4" xfId="23234" xr:uid="{00000000-0005-0000-0000-0000C15A0000}"/>
    <cellStyle name="Comma 24 2 3 4 2" xfId="23235" xr:uid="{00000000-0005-0000-0000-0000C25A0000}"/>
    <cellStyle name="Comma 24 2 3 5" xfId="23236" xr:uid="{00000000-0005-0000-0000-0000C35A0000}"/>
    <cellStyle name="Comma 24 2 4" xfId="23237" xr:uid="{00000000-0005-0000-0000-0000C45A0000}"/>
    <cellStyle name="Comma 24 2 4 2" xfId="23238" xr:uid="{00000000-0005-0000-0000-0000C55A0000}"/>
    <cellStyle name="Comma 24 2 4 2 2" xfId="23239" xr:uid="{00000000-0005-0000-0000-0000C65A0000}"/>
    <cellStyle name="Comma 24 2 4 3" xfId="23240" xr:uid="{00000000-0005-0000-0000-0000C75A0000}"/>
    <cellStyle name="Comma 24 2 5" xfId="23241" xr:uid="{00000000-0005-0000-0000-0000C85A0000}"/>
    <cellStyle name="Comma 24 2 5 2" xfId="23242" xr:uid="{00000000-0005-0000-0000-0000C95A0000}"/>
    <cellStyle name="Comma 24 2 6" xfId="23243" xr:uid="{00000000-0005-0000-0000-0000CA5A0000}"/>
    <cellStyle name="Comma 24 2 6 2" xfId="23244" xr:uid="{00000000-0005-0000-0000-0000CB5A0000}"/>
    <cellStyle name="Comma 24 2 7" xfId="23245" xr:uid="{00000000-0005-0000-0000-0000CC5A0000}"/>
    <cellStyle name="Comma 24 3" xfId="23246" xr:uid="{00000000-0005-0000-0000-0000CD5A0000}"/>
    <cellStyle name="Comma 24 3 2" xfId="23247" xr:uid="{00000000-0005-0000-0000-0000CE5A0000}"/>
    <cellStyle name="Comma 24 3 2 2" xfId="23248" xr:uid="{00000000-0005-0000-0000-0000CF5A0000}"/>
    <cellStyle name="Comma 24 3 2 2 2" xfId="23249" xr:uid="{00000000-0005-0000-0000-0000D05A0000}"/>
    <cellStyle name="Comma 24 3 2 3" xfId="23250" xr:uid="{00000000-0005-0000-0000-0000D15A0000}"/>
    <cellStyle name="Comma 24 3 3" xfId="23251" xr:uid="{00000000-0005-0000-0000-0000D25A0000}"/>
    <cellStyle name="Comma 24 3 3 2" xfId="23252" xr:uid="{00000000-0005-0000-0000-0000D35A0000}"/>
    <cellStyle name="Comma 24 3 4" xfId="23253" xr:uid="{00000000-0005-0000-0000-0000D45A0000}"/>
    <cellStyle name="Comma 24 3 4 2" xfId="23254" xr:uid="{00000000-0005-0000-0000-0000D55A0000}"/>
    <cellStyle name="Comma 24 3 5" xfId="23255" xr:uid="{00000000-0005-0000-0000-0000D65A0000}"/>
    <cellStyle name="Comma 24 4" xfId="23256" xr:uid="{00000000-0005-0000-0000-0000D75A0000}"/>
    <cellStyle name="Comma 24 4 2" xfId="23257" xr:uid="{00000000-0005-0000-0000-0000D85A0000}"/>
    <cellStyle name="Comma 24 4 2 2" xfId="23258" xr:uid="{00000000-0005-0000-0000-0000D95A0000}"/>
    <cellStyle name="Comma 24 4 2 2 2" xfId="23259" xr:uid="{00000000-0005-0000-0000-0000DA5A0000}"/>
    <cellStyle name="Comma 24 4 2 3" xfId="23260" xr:uid="{00000000-0005-0000-0000-0000DB5A0000}"/>
    <cellStyle name="Comma 24 4 3" xfId="23261" xr:uid="{00000000-0005-0000-0000-0000DC5A0000}"/>
    <cellStyle name="Comma 24 4 3 2" xfId="23262" xr:uid="{00000000-0005-0000-0000-0000DD5A0000}"/>
    <cellStyle name="Comma 24 4 4" xfId="23263" xr:uid="{00000000-0005-0000-0000-0000DE5A0000}"/>
    <cellStyle name="Comma 24 4 4 2" xfId="23264" xr:uid="{00000000-0005-0000-0000-0000DF5A0000}"/>
    <cellStyle name="Comma 24 4 5" xfId="23265" xr:uid="{00000000-0005-0000-0000-0000E05A0000}"/>
    <cellStyle name="Comma 24 5" xfId="23266" xr:uid="{00000000-0005-0000-0000-0000E15A0000}"/>
    <cellStyle name="Comma 24 5 2" xfId="23267" xr:uid="{00000000-0005-0000-0000-0000E25A0000}"/>
    <cellStyle name="Comma 24 5 2 2" xfId="23268" xr:uid="{00000000-0005-0000-0000-0000E35A0000}"/>
    <cellStyle name="Comma 24 5 3" xfId="23269" xr:uid="{00000000-0005-0000-0000-0000E45A0000}"/>
    <cellStyle name="Comma 24 6" xfId="23270" xr:uid="{00000000-0005-0000-0000-0000E55A0000}"/>
    <cellStyle name="Comma 24 6 2" xfId="23271" xr:uid="{00000000-0005-0000-0000-0000E65A0000}"/>
    <cellStyle name="Comma 24 7" xfId="23272" xr:uid="{00000000-0005-0000-0000-0000E75A0000}"/>
    <cellStyle name="Comma 24 7 2" xfId="23273" xr:uid="{00000000-0005-0000-0000-0000E85A0000}"/>
    <cellStyle name="Comma 24 8" xfId="23274" xr:uid="{00000000-0005-0000-0000-0000E95A0000}"/>
    <cellStyle name="Comma 25" xfId="23275" xr:uid="{00000000-0005-0000-0000-0000EA5A0000}"/>
    <cellStyle name="Comma 25 2" xfId="23276" xr:uid="{00000000-0005-0000-0000-0000EB5A0000}"/>
    <cellStyle name="Comma 25 2 2" xfId="23277" xr:uid="{00000000-0005-0000-0000-0000EC5A0000}"/>
    <cellStyle name="Comma 25 2 2 2" xfId="23278" xr:uid="{00000000-0005-0000-0000-0000ED5A0000}"/>
    <cellStyle name="Comma 25 2 2 2 2" xfId="23279" xr:uid="{00000000-0005-0000-0000-0000EE5A0000}"/>
    <cellStyle name="Comma 25 2 2 2 2 2" xfId="23280" xr:uid="{00000000-0005-0000-0000-0000EF5A0000}"/>
    <cellStyle name="Comma 25 2 2 2 3" xfId="23281" xr:uid="{00000000-0005-0000-0000-0000F05A0000}"/>
    <cellStyle name="Comma 25 2 2 3" xfId="23282" xr:uid="{00000000-0005-0000-0000-0000F15A0000}"/>
    <cellStyle name="Comma 25 2 2 3 2" xfId="23283" xr:uid="{00000000-0005-0000-0000-0000F25A0000}"/>
    <cellStyle name="Comma 25 2 2 4" xfId="23284" xr:uid="{00000000-0005-0000-0000-0000F35A0000}"/>
    <cellStyle name="Comma 25 2 2 4 2" xfId="23285" xr:uid="{00000000-0005-0000-0000-0000F45A0000}"/>
    <cellStyle name="Comma 25 2 2 5" xfId="23286" xr:uid="{00000000-0005-0000-0000-0000F55A0000}"/>
    <cellStyle name="Comma 25 2 3" xfId="23287" xr:uid="{00000000-0005-0000-0000-0000F65A0000}"/>
    <cellStyle name="Comma 25 2 3 2" xfId="23288" xr:uid="{00000000-0005-0000-0000-0000F75A0000}"/>
    <cellStyle name="Comma 25 2 3 2 2" xfId="23289" xr:uid="{00000000-0005-0000-0000-0000F85A0000}"/>
    <cellStyle name="Comma 25 2 3 2 2 2" xfId="23290" xr:uid="{00000000-0005-0000-0000-0000F95A0000}"/>
    <cellStyle name="Comma 25 2 3 2 3" xfId="23291" xr:uid="{00000000-0005-0000-0000-0000FA5A0000}"/>
    <cellStyle name="Comma 25 2 3 3" xfId="23292" xr:uid="{00000000-0005-0000-0000-0000FB5A0000}"/>
    <cellStyle name="Comma 25 2 3 3 2" xfId="23293" xr:uid="{00000000-0005-0000-0000-0000FC5A0000}"/>
    <cellStyle name="Comma 25 2 3 4" xfId="23294" xr:uid="{00000000-0005-0000-0000-0000FD5A0000}"/>
    <cellStyle name="Comma 25 2 3 4 2" xfId="23295" xr:uid="{00000000-0005-0000-0000-0000FE5A0000}"/>
    <cellStyle name="Comma 25 2 3 5" xfId="23296" xr:uid="{00000000-0005-0000-0000-0000FF5A0000}"/>
    <cellStyle name="Comma 25 2 4" xfId="23297" xr:uid="{00000000-0005-0000-0000-0000005B0000}"/>
    <cellStyle name="Comma 25 2 4 2" xfId="23298" xr:uid="{00000000-0005-0000-0000-0000015B0000}"/>
    <cellStyle name="Comma 25 2 4 2 2" xfId="23299" xr:uid="{00000000-0005-0000-0000-0000025B0000}"/>
    <cellStyle name="Comma 25 2 4 3" xfId="23300" xr:uid="{00000000-0005-0000-0000-0000035B0000}"/>
    <cellStyle name="Comma 25 2 5" xfId="23301" xr:uid="{00000000-0005-0000-0000-0000045B0000}"/>
    <cellStyle name="Comma 25 2 5 2" xfId="23302" xr:uid="{00000000-0005-0000-0000-0000055B0000}"/>
    <cellStyle name="Comma 25 2 6" xfId="23303" xr:uid="{00000000-0005-0000-0000-0000065B0000}"/>
    <cellStyle name="Comma 25 2 6 2" xfId="23304" xr:uid="{00000000-0005-0000-0000-0000075B0000}"/>
    <cellStyle name="Comma 25 2 7" xfId="23305" xr:uid="{00000000-0005-0000-0000-0000085B0000}"/>
    <cellStyle name="Comma 25 3" xfId="23306" xr:uid="{00000000-0005-0000-0000-0000095B0000}"/>
    <cellStyle name="Comma 25 3 2" xfId="23307" xr:uid="{00000000-0005-0000-0000-00000A5B0000}"/>
    <cellStyle name="Comma 25 3 2 2" xfId="23308" xr:uid="{00000000-0005-0000-0000-00000B5B0000}"/>
    <cellStyle name="Comma 25 3 2 2 2" xfId="23309" xr:uid="{00000000-0005-0000-0000-00000C5B0000}"/>
    <cellStyle name="Comma 25 3 2 3" xfId="23310" xr:uid="{00000000-0005-0000-0000-00000D5B0000}"/>
    <cellStyle name="Comma 25 3 3" xfId="23311" xr:uid="{00000000-0005-0000-0000-00000E5B0000}"/>
    <cellStyle name="Comma 25 3 3 2" xfId="23312" xr:uid="{00000000-0005-0000-0000-00000F5B0000}"/>
    <cellStyle name="Comma 25 3 4" xfId="23313" xr:uid="{00000000-0005-0000-0000-0000105B0000}"/>
    <cellStyle name="Comma 25 3 4 2" xfId="23314" xr:uid="{00000000-0005-0000-0000-0000115B0000}"/>
    <cellStyle name="Comma 25 3 5" xfId="23315" xr:uid="{00000000-0005-0000-0000-0000125B0000}"/>
    <cellStyle name="Comma 25 4" xfId="23316" xr:uid="{00000000-0005-0000-0000-0000135B0000}"/>
    <cellStyle name="Comma 25 4 2" xfId="23317" xr:uid="{00000000-0005-0000-0000-0000145B0000}"/>
    <cellStyle name="Comma 25 4 2 2" xfId="23318" xr:uid="{00000000-0005-0000-0000-0000155B0000}"/>
    <cellStyle name="Comma 25 4 2 2 2" xfId="23319" xr:uid="{00000000-0005-0000-0000-0000165B0000}"/>
    <cellStyle name="Comma 25 4 2 3" xfId="23320" xr:uid="{00000000-0005-0000-0000-0000175B0000}"/>
    <cellStyle name="Comma 25 4 3" xfId="23321" xr:uid="{00000000-0005-0000-0000-0000185B0000}"/>
    <cellStyle name="Comma 25 4 3 2" xfId="23322" xr:uid="{00000000-0005-0000-0000-0000195B0000}"/>
    <cellStyle name="Comma 25 4 4" xfId="23323" xr:uid="{00000000-0005-0000-0000-00001A5B0000}"/>
    <cellStyle name="Comma 25 4 4 2" xfId="23324" xr:uid="{00000000-0005-0000-0000-00001B5B0000}"/>
    <cellStyle name="Comma 25 4 5" xfId="23325" xr:uid="{00000000-0005-0000-0000-00001C5B0000}"/>
    <cellStyle name="Comma 25 5" xfId="23326" xr:uid="{00000000-0005-0000-0000-00001D5B0000}"/>
    <cellStyle name="Comma 25 5 2" xfId="23327" xr:uid="{00000000-0005-0000-0000-00001E5B0000}"/>
    <cellStyle name="Comma 25 5 2 2" xfId="23328" xr:uid="{00000000-0005-0000-0000-00001F5B0000}"/>
    <cellStyle name="Comma 25 5 3" xfId="23329" xr:uid="{00000000-0005-0000-0000-0000205B0000}"/>
    <cellStyle name="Comma 25 6" xfId="23330" xr:uid="{00000000-0005-0000-0000-0000215B0000}"/>
    <cellStyle name="Comma 25 6 2" xfId="23331" xr:uid="{00000000-0005-0000-0000-0000225B0000}"/>
    <cellStyle name="Comma 25 7" xfId="23332" xr:uid="{00000000-0005-0000-0000-0000235B0000}"/>
    <cellStyle name="Comma 25 7 2" xfId="23333" xr:uid="{00000000-0005-0000-0000-0000245B0000}"/>
    <cellStyle name="Comma 25 8" xfId="23334" xr:uid="{00000000-0005-0000-0000-0000255B0000}"/>
    <cellStyle name="Comma 26" xfId="23335" xr:uid="{00000000-0005-0000-0000-0000265B0000}"/>
    <cellStyle name="Comma 26 2" xfId="23336" xr:uid="{00000000-0005-0000-0000-0000275B0000}"/>
    <cellStyle name="Comma 26 2 2" xfId="23337" xr:uid="{00000000-0005-0000-0000-0000285B0000}"/>
    <cellStyle name="Comma 26 2 2 2" xfId="23338" xr:uid="{00000000-0005-0000-0000-0000295B0000}"/>
    <cellStyle name="Comma 26 2 2 2 2" xfId="23339" xr:uid="{00000000-0005-0000-0000-00002A5B0000}"/>
    <cellStyle name="Comma 26 2 2 2 2 2" xfId="23340" xr:uid="{00000000-0005-0000-0000-00002B5B0000}"/>
    <cellStyle name="Comma 26 2 2 2 3" xfId="23341" xr:uid="{00000000-0005-0000-0000-00002C5B0000}"/>
    <cellStyle name="Comma 26 2 2 3" xfId="23342" xr:uid="{00000000-0005-0000-0000-00002D5B0000}"/>
    <cellStyle name="Comma 26 2 2 3 2" xfId="23343" xr:uid="{00000000-0005-0000-0000-00002E5B0000}"/>
    <cellStyle name="Comma 26 2 2 4" xfId="23344" xr:uid="{00000000-0005-0000-0000-00002F5B0000}"/>
    <cellStyle name="Comma 26 2 2 4 2" xfId="23345" xr:uid="{00000000-0005-0000-0000-0000305B0000}"/>
    <cellStyle name="Comma 26 2 2 5" xfId="23346" xr:uid="{00000000-0005-0000-0000-0000315B0000}"/>
    <cellStyle name="Comma 26 2 3" xfId="23347" xr:uid="{00000000-0005-0000-0000-0000325B0000}"/>
    <cellStyle name="Comma 26 2 3 2" xfId="23348" xr:uid="{00000000-0005-0000-0000-0000335B0000}"/>
    <cellStyle name="Comma 26 2 3 2 2" xfId="23349" xr:uid="{00000000-0005-0000-0000-0000345B0000}"/>
    <cellStyle name="Comma 26 2 3 2 2 2" xfId="23350" xr:uid="{00000000-0005-0000-0000-0000355B0000}"/>
    <cellStyle name="Comma 26 2 3 2 3" xfId="23351" xr:uid="{00000000-0005-0000-0000-0000365B0000}"/>
    <cellStyle name="Comma 26 2 3 3" xfId="23352" xr:uid="{00000000-0005-0000-0000-0000375B0000}"/>
    <cellStyle name="Comma 26 2 3 3 2" xfId="23353" xr:uid="{00000000-0005-0000-0000-0000385B0000}"/>
    <cellStyle name="Comma 26 2 3 4" xfId="23354" xr:uid="{00000000-0005-0000-0000-0000395B0000}"/>
    <cellStyle name="Comma 26 2 3 4 2" xfId="23355" xr:uid="{00000000-0005-0000-0000-00003A5B0000}"/>
    <cellStyle name="Comma 26 2 3 5" xfId="23356" xr:uid="{00000000-0005-0000-0000-00003B5B0000}"/>
    <cellStyle name="Comma 26 2 4" xfId="23357" xr:uid="{00000000-0005-0000-0000-00003C5B0000}"/>
    <cellStyle name="Comma 26 2 4 2" xfId="23358" xr:uid="{00000000-0005-0000-0000-00003D5B0000}"/>
    <cellStyle name="Comma 26 2 4 2 2" xfId="23359" xr:uid="{00000000-0005-0000-0000-00003E5B0000}"/>
    <cellStyle name="Comma 26 2 4 3" xfId="23360" xr:uid="{00000000-0005-0000-0000-00003F5B0000}"/>
    <cellStyle name="Comma 26 2 5" xfId="23361" xr:uid="{00000000-0005-0000-0000-0000405B0000}"/>
    <cellStyle name="Comma 26 2 5 2" xfId="23362" xr:uid="{00000000-0005-0000-0000-0000415B0000}"/>
    <cellStyle name="Comma 26 2 6" xfId="23363" xr:uid="{00000000-0005-0000-0000-0000425B0000}"/>
    <cellStyle name="Comma 26 2 6 2" xfId="23364" xr:uid="{00000000-0005-0000-0000-0000435B0000}"/>
    <cellStyle name="Comma 26 2 7" xfId="23365" xr:uid="{00000000-0005-0000-0000-0000445B0000}"/>
    <cellStyle name="Comma 26 3" xfId="23366" xr:uid="{00000000-0005-0000-0000-0000455B0000}"/>
    <cellStyle name="Comma 26 3 2" xfId="23367" xr:uid="{00000000-0005-0000-0000-0000465B0000}"/>
    <cellStyle name="Comma 26 3 2 2" xfId="23368" xr:uid="{00000000-0005-0000-0000-0000475B0000}"/>
    <cellStyle name="Comma 26 3 2 2 2" xfId="23369" xr:uid="{00000000-0005-0000-0000-0000485B0000}"/>
    <cellStyle name="Comma 26 3 2 3" xfId="23370" xr:uid="{00000000-0005-0000-0000-0000495B0000}"/>
    <cellStyle name="Comma 26 3 3" xfId="23371" xr:uid="{00000000-0005-0000-0000-00004A5B0000}"/>
    <cellStyle name="Comma 26 3 3 2" xfId="23372" xr:uid="{00000000-0005-0000-0000-00004B5B0000}"/>
    <cellStyle name="Comma 26 3 4" xfId="23373" xr:uid="{00000000-0005-0000-0000-00004C5B0000}"/>
    <cellStyle name="Comma 26 3 4 2" xfId="23374" xr:uid="{00000000-0005-0000-0000-00004D5B0000}"/>
    <cellStyle name="Comma 26 3 5" xfId="23375" xr:uid="{00000000-0005-0000-0000-00004E5B0000}"/>
    <cellStyle name="Comma 26 4" xfId="23376" xr:uid="{00000000-0005-0000-0000-00004F5B0000}"/>
    <cellStyle name="Comma 26 4 2" xfId="23377" xr:uid="{00000000-0005-0000-0000-0000505B0000}"/>
    <cellStyle name="Comma 26 4 2 2" xfId="23378" xr:uid="{00000000-0005-0000-0000-0000515B0000}"/>
    <cellStyle name="Comma 26 4 2 2 2" xfId="23379" xr:uid="{00000000-0005-0000-0000-0000525B0000}"/>
    <cellStyle name="Comma 26 4 2 3" xfId="23380" xr:uid="{00000000-0005-0000-0000-0000535B0000}"/>
    <cellStyle name="Comma 26 4 3" xfId="23381" xr:uid="{00000000-0005-0000-0000-0000545B0000}"/>
    <cellStyle name="Comma 26 4 3 2" xfId="23382" xr:uid="{00000000-0005-0000-0000-0000555B0000}"/>
    <cellStyle name="Comma 26 4 4" xfId="23383" xr:uid="{00000000-0005-0000-0000-0000565B0000}"/>
    <cellStyle name="Comma 26 4 4 2" xfId="23384" xr:uid="{00000000-0005-0000-0000-0000575B0000}"/>
    <cellStyle name="Comma 26 4 5" xfId="23385" xr:uid="{00000000-0005-0000-0000-0000585B0000}"/>
    <cellStyle name="Comma 26 5" xfId="23386" xr:uid="{00000000-0005-0000-0000-0000595B0000}"/>
    <cellStyle name="Comma 26 5 2" xfId="23387" xr:uid="{00000000-0005-0000-0000-00005A5B0000}"/>
    <cellStyle name="Comma 26 5 2 2" xfId="23388" xr:uid="{00000000-0005-0000-0000-00005B5B0000}"/>
    <cellStyle name="Comma 26 5 3" xfId="23389" xr:uid="{00000000-0005-0000-0000-00005C5B0000}"/>
    <cellStyle name="Comma 26 6" xfId="23390" xr:uid="{00000000-0005-0000-0000-00005D5B0000}"/>
    <cellStyle name="Comma 26 6 2" xfId="23391" xr:uid="{00000000-0005-0000-0000-00005E5B0000}"/>
    <cellStyle name="Comma 26 7" xfId="23392" xr:uid="{00000000-0005-0000-0000-00005F5B0000}"/>
    <cellStyle name="Comma 26 7 2" xfId="23393" xr:uid="{00000000-0005-0000-0000-0000605B0000}"/>
    <cellStyle name="Comma 26 8" xfId="23394" xr:uid="{00000000-0005-0000-0000-0000615B0000}"/>
    <cellStyle name="Comma 27" xfId="23395" xr:uid="{00000000-0005-0000-0000-0000625B0000}"/>
    <cellStyle name="Comma 27 2" xfId="23396" xr:uid="{00000000-0005-0000-0000-0000635B0000}"/>
    <cellStyle name="Comma 27 2 2" xfId="23397" xr:uid="{00000000-0005-0000-0000-0000645B0000}"/>
    <cellStyle name="Comma 27 2 2 2" xfId="23398" xr:uid="{00000000-0005-0000-0000-0000655B0000}"/>
    <cellStyle name="Comma 27 2 2 2 2" xfId="23399" xr:uid="{00000000-0005-0000-0000-0000665B0000}"/>
    <cellStyle name="Comma 27 2 2 2 2 2" xfId="23400" xr:uid="{00000000-0005-0000-0000-0000675B0000}"/>
    <cellStyle name="Comma 27 2 2 2 3" xfId="23401" xr:uid="{00000000-0005-0000-0000-0000685B0000}"/>
    <cellStyle name="Comma 27 2 2 3" xfId="23402" xr:uid="{00000000-0005-0000-0000-0000695B0000}"/>
    <cellStyle name="Comma 27 2 2 3 2" xfId="23403" xr:uid="{00000000-0005-0000-0000-00006A5B0000}"/>
    <cellStyle name="Comma 27 2 2 4" xfId="23404" xr:uid="{00000000-0005-0000-0000-00006B5B0000}"/>
    <cellStyle name="Comma 27 2 2 4 2" xfId="23405" xr:uid="{00000000-0005-0000-0000-00006C5B0000}"/>
    <cellStyle name="Comma 27 2 2 5" xfId="23406" xr:uid="{00000000-0005-0000-0000-00006D5B0000}"/>
    <cellStyle name="Comma 27 2 3" xfId="23407" xr:uid="{00000000-0005-0000-0000-00006E5B0000}"/>
    <cellStyle name="Comma 27 2 3 2" xfId="23408" xr:uid="{00000000-0005-0000-0000-00006F5B0000}"/>
    <cellStyle name="Comma 27 2 3 2 2" xfId="23409" xr:uid="{00000000-0005-0000-0000-0000705B0000}"/>
    <cellStyle name="Comma 27 2 3 2 2 2" xfId="23410" xr:uid="{00000000-0005-0000-0000-0000715B0000}"/>
    <cellStyle name="Comma 27 2 3 2 3" xfId="23411" xr:uid="{00000000-0005-0000-0000-0000725B0000}"/>
    <cellStyle name="Comma 27 2 3 3" xfId="23412" xr:uid="{00000000-0005-0000-0000-0000735B0000}"/>
    <cellStyle name="Comma 27 2 3 3 2" xfId="23413" xr:uid="{00000000-0005-0000-0000-0000745B0000}"/>
    <cellStyle name="Comma 27 2 3 4" xfId="23414" xr:uid="{00000000-0005-0000-0000-0000755B0000}"/>
    <cellStyle name="Comma 27 2 3 4 2" xfId="23415" xr:uid="{00000000-0005-0000-0000-0000765B0000}"/>
    <cellStyle name="Comma 27 2 3 5" xfId="23416" xr:uid="{00000000-0005-0000-0000-0000775B0000}"/>
    <cellStyle name="Comma 27 2 4" xfId="23417" xr:uid="{00000000-0005-0000-0000-0000785B0000}"/>
    <cellStyle name="Comma 27 2 4 2" xfId="23418" xr:uid="{00000000-0005-0000-0000-0000795B0000}"/>
    <cellStyle name="Comma 27 2 4 2 2" xfId="23419" xr:uid="{00000000-0005-0000-0000-00007A5B0000}"/>
    <cellStyle name="Comma 27 2 4 3" xfId="23420" xr:uid="{00000000-0005-0000-0000-00007B5B0000}"/>
    <cellStyle name="Comma 27 2 5" xfId="23421" xr:uid="{00000000-0005-0000-0000-00007C5B0000}"/>
    <cellStyle name="Comma 27 2 5 2" xfId="23422" xr:uid="{00000000-0005-0000-0000-00007D5B0000}"/>
    <cellStyle name="Comma 27 2 6" xfId="23423" xr:uid="{00000000-0005-0000-0000-00007E5B0000}"/>
    <cellStyle name="Comma 27 2 6 2" xfId="23424" xr:uid="{00000000-0005-0000-0000-00007F5B0000}"/>
    <cellStyle name="Comma 27 2 7" xfId="23425" xr:uid="{00000000-0005-0000-0000-0000805B0000}"/>
    <cellStyle name="Comma 27 3" xfId="23426" xr:uid="{00000000-0005-0000-0000-0000815B0000}"/>
    <cellStyle name="Comma 27 3 2" xfId="23427" xr:uid="{00000000-0005-0000-0000-0000825B0000}"/>
    <cellStyle name="Comma 27 3 2 2" xfId="23428" xr:uid="{00000000-0005-0000-0000-0000835B0000}"/>
    <cellStyle name="Comma 27 3 2 2 2" xfId="23429" xr:uid="{00000000-0005-0000-0000-0000845B0000}"/>
    <cellStyle name="Comma 27 3 2 3" xfId="23430" xr:uid="{00000000-0005-0000-0000-0000855B0000}"/>
    <cellStyle name="Comma 27 3 3" xfId="23431" xr:uid="{00000000-0005-0000-0000-0000865B0000}"/>
    <cellStyle name="Comma 27 3 3 2" xfId="23432" xr:uid="{00000000-0005-0000-0000-0000875B0000}"/>
    <cellStyle name="Comma 27 3 4" xfId="23433" xr:uid="{00000000-0005-0000-0000-0000885B0000}"/>
    <cellStyle name="Comma 27 3 4 2" xfId="23434" xr:uid="{00000000-0005-0000-0000-0000895B0000}"/>
    <cellStyle name="Comma 27 3 5" xfId="23435" xr:uid="{00000000-0005-0000-0000-00008A5B0000}"/>
    <cellStyle name="Comma 27 4" xfId="23436" xr:uid="{00000000-0005-0000-0000-00008B5B0000}"/>
    <cellStyle name="Comma 27 4 2" xfId="23437" xr:uid="{00000000-0005-0000-0000-00008C5B0000}"/>
    <cellStyle name="Comma 27 4 2 2" xfId="23438" xr:uid="{00000000-0005-0000-0000-00008D5B0000}"/>
    <cellStyle name="Comma 27 4 2 2 2" xfId="23439" xr:uid="{00000000-0005-0000-0000-00008E5B0000}"/>
    <cellStyle name="Comma 27 4 2 3" xfId="23440" xr:uid="{00000000-0005-0000-0000-00008F5B0000}"/>
    <cellStyle name="Comma 27 4 3" xfId="23441" xr:uid="{00000000-0005-0000-0000-0000905B0000}"/>
    <cellStyle name="Comma 27 4 3 2" xfId="23442" xr:uid="{00000000-0005-0000-0000-0000915B0000}"/>
    <cellStyle name="Comma 27 4 4" xfId="23443" xr:uid="{00000000-0005-0000-0000-0000925B0000}"/>
    <cellStyle name="Comma 27 4 4 2" xfId="23444" xr:uid="{00000000-0005-0000-0000-0000935B0000}"/>
    <cellStyle name="Comma 27 4 5" xfId="23445" xr:uid="{00000000-0005-0000-0000-0000945B0000}"/>
    <cellStyle name="Comma 27 5" xfId="23446" xr:uid="{00000000-0005-0000-0000-0000955B0000}"/>
    <cellStyle name="Comma 27 5 2" xfId="23447" xr:uid="{00000000-0005-0000-0000-0000965B0000}"/>
    <cellStyle name="Comma 27 5 2 2" xfId="23448" xr:uid="{00000000-0005-0000-0000-0000975B0000}"/>
    <cellStyle name="Comma 27 5 3" xfId="23449" xr:uid="{00000000-0005-0000-0000-0000985B0000}"/>
    <cellStyle name="Comma 27 6" xfId="23450" xr:uid="{00000000-0005-0000-0000-0000995B0000}"/>
    <cellStyle name="Comma 27 6 2" xfId="23451" xr:uid="{00000000-0005-0000-0000-00009A5B0000}"/>
    <cellStyle name="Comma 27 7" xfId="23452" xr:uid="{00000000-0005-0000-0000-00009B5B0000}"/>
    <cellStyle name="Comma 27 7 2" xfId="23453" xr:uid="{00000000-0005-0000-0000-00009C5B0000}"/>
    <cellStyle name="Comma 27 8" xfId="23454" xr:uid="{00000000-0005-0000-0000-00009D5B0000}"/>
    <cellStyle name="Comma 28" xfId="23455" xr:uid="{00000000-0005-0000-0000-00009E5B0000}"/>
    <cellStyle name="Comma 28 2" xfId="23456" xr:uid="{00000000-0005-0000-0000-00009F5B0000}"/>
    <cellStyle name="Comma 28 2 2" xfId="23457" xr:uid="{00000000-0005-0000-0000-0000A05B0000}"/>
    <cellStyle name="Comma 28 2 2 2" xfId="23458" xr:uid="{00000000-0005-0000-0000-0000A15B0000}"/>
    <cellStyle name="Comma 28 2 2 2 2" xfId="23459" xr:uid="{00000000-0005-0000-0000-0000A25B0000}"/>
    <cellStyle name="Comma 28 2 2 2 2 2" xfId="23460" xr:uid="{00000000-0005-0000-0000-0000A35B0000}"/>
    <cellStyle name="Comma 28 2 2 2 3" xfId="23461" xr:uid="{00000000-0005-0000-0000-0000A45B0000}"/>
    <cellStyle name="Comma 28 2 2 3" xfId="23462" xr:uid="{00000000-0005-0000-0000-0000A55B0000}"/>
    <cellStyle name="Comma 28 2 2 3 2" xfId="23463" xr:uid="{00000000-0005-0000-0000-0000A65B0000}"/>
    <cellStyle name="Comma 28 2 2 4" xfId="23464" xr:uid="{00000000-0005-0000-0000-0000A75B0000}"/>
    <cellStyle name="Comma 28 2 2 4 2" xfId="23465" xr:uid="{00000000-0005-0000-0000-0000A85B0000}"/>
    <cellStyle name="Comma 28 2 2 5" xfId="23466" xr:uid="{00000000-0005-0000-0000-0000A95B0000}"/>
    <cellStyle name="Comma 28 2 3" xfId="23467" xr:uid="{00000000-0005-0000-0000-0000AA5B0000}"/>
    <cellStyle name="Comma 28 2 3 2" xfId="23468" xr:uid="{00000000-0005-0000-0000-0000AB5B0000}"/>
    <cellStyle name="Comma 28 2 3 2 2" xfId="23469" xr:uid="{00000000-0005-0000-0000-0000AC5B0000}"/>
    <cellStyle name="Comma 28 2 3 2 2 2" xfId="23470" xr:uid="{00000000-0005-0000-0000-0000AD5B0000}"/>
    <cellStyle name="Comma 28 2 3 2 3" xfId="23471" xr:uid="{00000000-0005-0000-0000-0000AE5B0000}"/>
    <cellStyle name="Comma 28 2 3 3" xfId="23472" xr:uid="{00000000-0005-0000-0000-0000AF5B0000}"/>
    <cellStyle name="Comma 28 2 3 3 2" xfId="23473" xr:uid="{00000000-0005-0000-0000-0000B05B0000}"/>
    <cellStyle name="Comma 28 2 3 4" xfId="23474" xr:uid="{00000000-0005-0000-0000-0000B15B0000}"/>
    <cellStyle name="Comma 28 2 3 4 2" xfId="23475" xr:uid="{00000000-0005-0000-0000-0000B25B0000}"/>
    <cellStyle name="Comma 28 2 3 5" xfId="23476" xr:uid="{00000000-0005-0000-0000-0000B35B0000}"/>
    <cellStyle name="Comma 28 2 4" xfId="23477" xr:uid="{00000000-0005-0000-0000-0000B45B0000}"/>
    <cellStyle name="Comma 28 2 4 2" xfId="23478" xr:uid="{00000000-0005-0000-0000-0000B55B0000}"/>
    <cellStyle name="Comma 28 2 4 2 2" xfId="23479" xr:uid="{00000000-0005-0000-0000-0000B65B0000}"/>
    <cellStyle name="Comma 28 2 4 3" xfId="23480" xr:uid="{00000000-0005-0000-0000-0000B75B0000}"/>
    <cellStyle name="Comma 28 2 5" xfId="23481" xr:uid="{00000000-0005-0000-0000-0000B85B0000}"/>
    <cellStyle name="Comma 28 2 5 2" xfId="23482" xr:uid="{00000000-0005-0000-0000-0000B95B0000}"/>
    <cellStyle name="Comma 28 2 6" xfId="23483" xr:uid="{00000000-0005-0000-0000-0000BA5B0000}"/>
    <cellStyle name="Comma 28 2 6 2" xfId="23484" xr:uid="{00000000-0005-0000-0000-0000BB5B0000}"/>
    <cellStyle name="Comma 28 2 7" xfId="23485" xr:uid="{00000000-0005-0000-0000-0000BC5B0000}"/>
    <cellStyle name="Comma 28 3" xfId="23486" xr:uid="{00000000-0005-0000-0000-0000BD5B0000}"/>
    <cellStyle name="Comma 28 3 2" xfId="23487" xr:uid="{00000000-0005-0000-0000-0000BE5B0000}"/>
    <cellStyle name="Comma 28 3 2 2" xfId="23488" xr:uid="{00000000-0005-0000-0000-0000BF5B0000}"/>
    <cellStyle name="Comma 28 3 2 2 2" xfId="23489" xr:uid="{00000000-0005-0000-0000-0000C05B0000}"/>
    <cellStyle name="Comma 28 3 2 3" xfId="23490" xr:uid="{00000000-0005-0000-0000-0000C15B0000}"/>
    <cellStyle name="Comma 28 3 3" xfId="23491" xr:uid="{00000000-0005-0000-0000-0000C25B0000}"/>
    <cellStyle name="Comma 28 3 3 2" xfId="23492" xr:uid="{00000000-0005-0000-0000-0000C35B0000}"/>
    <cellStyle name="Comma 28 3 4" xfId="23493" xr:uid="{00000000-0005-0000-0000-0000C45B0000}"/>
    <cellStyle name="Comma 28 3 4 2" xfId="23494" xr:uid="{00000000-0005-0000-0000-0000C55B0000}"/>
    <cellStyle name="Comma 28 3 5" xfId="23495" xr:uid="{00000000-0005-0000-0000-0000C65B0000}"/>
    <cellStyle name="Comma 28 4" xfId="23496" xr:uid="{00000000-0005-0000-0000-0000C75B0000}"/>
    <cellStyle name="Comma 28 4 2" xfId="23497" xr:uid="{00000000-0005-0000-0000-0000C85B0000}"/>
    <cellStyle name="Comma 28 4 2 2" xfId="23498" xr:uid="{00000000-0005-0000-0000-0000C95B0000}"/>
    <cellStyle name="Comma 28 4 2 2 2" xfId="23499" xr:uid="{00000000-0005-0000-0000-0000CA5B0000}"/>
    <cellStyle name="Comma 28 4 2 3" xfId="23500" xr:uid="{00000000-0005-0000-0000-0000CB5B0000}"/>
    <cellStyle name="Comma 28 4 3" xfId="23501" xr:uid="{00000000-0005-0000-0000-0000CC5B0000}"/>
    <cellStyle name="Comma 28 4 3 2" xfId="23502" xr:uid="{00000000-0005-0000-0000-0000CD5B0000}"/>
    <cellStyle name="Comma 28 4 4" xfId="23503" xr:uid="{00000000-0005-0000-0000-0000CE5B0000}"/>
    <cellStyle name="Comma 28 4 4 2" xfId="23504" xr:uid="{00000000-0005-0000-0000-0000CF5B0000}"/>
    <cellStyle name="Comma 28 4 5" xfId="23505" xr:uid="{00000000-0005-0000-0000-0000D05B0000}"/>
    <cellStyle name="Comma 28 5" xfId="23506" xr:uid="{00000000-0005-0000-0000-0000D15B0000}"/>
    <cellStyle name="Comma 28 5 2" xfId="23507" xr:uid="{00000000-0005-0000-0000-0000D25B0000}"/>
    <cellStyle name="Comma 28 5 2 2" xfId="23508" xr:uid="{00000000-0005-0000-0000-0000D35B0000}"/>
    <cellStyle name="Comma 28 5 3" xfId="23509" xr:uid="{00000000-0005-0000-0000-0000D45B0000}"/>
    <cellStyle name="Comma 28 6" xfId="23510" xr:uid="{00000000-0005-0000-0000-0000D55B0000}"/>
    <cellStyle name="Comma 28 6 2" xfId="23511" xr:uid="{00000000-0005-0000-0000-0000D65B0000}"/>
    <cellStyle name="Comma 28 7" xfId="23512" xr:uid="{00000000-0005-0000-0000-0000D75B0000}"/>
    <cellStyle name="Comma 28 7 2" xfId="23513" xr:uid="{00000000-0005-0000-0000-0000D85B0000}"/>
    <cellStyle name="Comma 28 8" xfId="23514" xr:uid="{00000000-0005-0000-0000-0000D95B0000}"/>
    <cellStyle name="Comma 29" xfId="23515" xr:uid="{00000000-0005-0000-0000-0000DA5B0000}"/>
    <cellStyle name="Comma 29 2" xfId="23516" xr:uid="{00000000-0005-0000-0000-0000DB5B0000}"/>
    <cellStyle name="Comma 29 2 2" xfId="23517" xr:uid="{00000000-0005-0000-0000-0000DC5B0000}"/>
    <cellStyle name="Comma 29 2 2 2" xfId="23518" xr:uid="{00000000-0005-0000-0000-0000DD5B0000}"/>
    <cellStyle name="Comma 29 2 2 2 2" xfId="23519" xr:uid="{00000000-0005-0000-0000-0000DE5B0000}"/>
    <cellStyle name="Comma 29 2 2 2 2 2" xfId="23520" xr:uid="{00000000-0005-0000-0000-0000DF5B0000}"/>
    <cellStyle name="Comma 29 2 2 2 3" xfId="23521" xr:uid="{00000000-0005-0000-0000-0000E05B0000}"/>
    <cellStyle name="Comma 29 2 2 3" xfId="23522" xr:uid="{00000000-0005-0000-0000-0000E15B0000}"/>
    <cellStyle name="Comma 29 2 2 3 2" xfId="23523" xr:uid="{00000000-0005-0000-0000-0000E25B0000}"/>
    <cellStyle name="Comma 29 2 2 4" xfId="23524" xr:uid="{00000000-0005-0000-0000-0000E35B0000}"/>
    <cellStyle name="Comma 29 2 2 4 2" xfId="23525" xr:uid="{00000000-0005-0000-0000-0000E45B0000}"/>
    <cellStyle name="Comma 29 2 2 5" xfId="23526" xr:uid="{00000000-0005-0000-0000-0000E55B0000}"/>
    <cellStyle name="Comma 29 2 3" xfId="23527" xr:uid="{00000000-0005-0000-0000-0000E65B0000}"/>
    <cellStyle name="Comma 29 2 3 2" xfId="23528" xr:uid="{00000000-0005-0000-0000-0000E75B0000}"/>
    <cellStyle name="Comma 29 2 3 2 2" xfId="23529" xr:uid="{00000000-0005-0000-0000-0000E85B0000}"/>
    <cellStyle name="Comma 29 2 3 2 2 2" xfId="23530" xr:uid="{00000000-0005-0000-0000-0000E95B0000}"/>
    <cellStyle name="Comma 29 2 3 2 3" xfId="23531" xr:uid="{00000000-0005-0000-0000-0000EA5B0000}"/>
    <cellStyle name="Comma 29 2 3 3" xfId="23532" xr:uid="{00000000-0005-0000-0000-0000EB5B0000}"/>
    <cellStyle name="Comma 29 2 3 3 2" xfId="23533" xr:uid="{00000000-0005-0000-0000-0000EC5B0000}"/>
    <cellStyle name="Comma 29 2 3 4" xfId="23534" xr:uid="{00000000-0005-0000-0000-0000ED5B0000}"/>
    <cellStyle name="Comma 29 2 3 4 2" xfId="23535" xr:uid="{00000000-0005-0000-0000-0000EE5B0000}"/>
    <cellStyle name="Comma 29 2 3 5" xfId="23536" xr:uid="{00000000-0005-0000-0000-0000EF5B0000}"/>
    <cellStyle name="Comma 29 2 4" xfId="23537" xr:uid="{00000000-0005-0000-0000-0000F05B0000}"/>
    <cellStyle name="Comma 29 2 4 2" xfId="23538" xr:uid="{00000000-0005-0000-0000-0000F15B0000}"/>
    <cellStyle name="Comma 29 2 4 2 2" xfId="23539" xr:uid="{00000000-0005-0000-0000-0000F25B0000}"/>
    <cellStyle name="Comma 29 2 4 3" xfId="23540" xr:uid="{00000000-0005-0000-0000-0000F35B0000}"/>
    <cellStyle name="Comma 29 2 5" xfId="23541" xr:uid="{00000000-0005-0000-0000-0000F45B0000}"/>
    <cellStyle name="Comma 29 2 5 2" xfId="23542" xr:uid="{00000000-0005-0000-0000-0000F55B0000}"/>
    <cellStyle name="Comma 29 2 6" xfId="23543" xr:uid="{00000000-0005-0000-0000-0000F65B0000}"/>
    <cellStyle name="Comma 29 2 6 2" xfId="23544" xr:uid="{00000000-0005-0000-0000-0000F75B0000}"/>
    <cellStyle name="Comma 29 2 7" xfId="23545" xr:uid="{00000000-0005-0000-0000-0000F85B0000}"/>
    <cellStyle name="Comma 29 3" xfId="23546" xr:uid="{00000000-0005-0000-0000-0000F95B0000}"/>
    <cellStyle name="Comma 29 3 2" xfId="23547" xr:uid="{00000000-0005-0000-0000-0000FA5B0000}"/>
    <cellStyle name="Comma 29 3 2 2" xfId="23548" xr:uid="{00000000-0005-0000-0000-0000FB5B0000}"/>
    <cellStyle name="Comma 29 3 2 2 2" xfId="23549" xr:uid="{00000000-0005-0000-0000-0000FC5B0000}"/>
    <cellStyle name="Comma 29 3 2 3" xfId="23550" xr:uid="{00000000-0005-0000-0000-0000FD5B0000}"/>
    <cellStyle name="Comma 29 3 3" xfId="23551" xr:uid="{00000000-0005-0000-0000-0000FE5B0000}"/>
    <cellStyle name="Comma 29 3 3 2" xfId="23552" xr:uid="{00000000-0005-0000-0000-0000FF5B0000}"/>
    <cellStyle name="Comma 29 3 4" xfId="23553" xr:uid="{00000000-0005-0000-0000-0000005C0000}"/>
    <cellStyle name="Comma 29 3 4 2" xfId="23554" xr:uid="{00000000-0005-0000-0000-0000015C0000}"/>
    <cellStyle name="Comma 29 3 5" xfId="23555" xr:uid="{00000000-0005-0000-0000-0000025C0000}"/>
    <cellStyle name="Comma 29 4" xfId="23556" xr:uid="{00000000-0005-0000-0000-0000035C0000}"/>
    <cellStyle name="Comma 29 4 2" xfId="23557" xr:uid="{00000000-0005-0000-0000-0000045C0000}"/>
    <cellStyle name="Comma 29 4 2 2" xfId="23558" xr:uid="{00000000-0005-0000-0000-0000055C0000}"/>
    <cellStyle name="Comma 29 4 2 2 2" xfId="23559" xr:uid="{00000000-0005-0000-0000-0000065C0000}"/>
    <cellStyle name="Comma 29 4 2 3" xfId="23560" xr:uid="{00000000-0005-0000-0000-0000075C0000}"/>
    <cellStyle name="Comma 29 4 3" xfId="23561" xr:uid="{00000000-0005-0000-0000-0000085C0000}"/>
    <cellStyle name="Comma 29 4 3 2" xfId="23562" xr:uid="{00000000-0005-0000-0000-0000095C0000}"/>
    <cellStyle name="Comma 29 4 4" xfId="23563" xr:uid="{00000000-0005-0000-0000-00000A5C0000}"/>
    <cellStyle name="Comma 29 4 4 2" xfId="23564" xr:uid="{00000000-0005-0000-0000-00000B5C0000}"/>
    <cellStyle name="Comma 29 4 5" xfId="23565" xr:uid="{00000000-0005-0000-0000-00000C5C0000}"/>
    <cellStyle name="Comma 29 5" xfId="23566" xr:uid="{00000000-0005-0000-0000-00000D5C0000}"/>
    <cellStyle name="Comma 29 5 2" xfId="23567" xr:uid="{00000000-0005-0000-0000-00000E5C0000}"/>
    <cellStyle name="Comma 29 5 2 2" xfId="23568" xr:uid="{00000000-0005-0000-0000-00000F5C0000}"/>
    <cellStyle name="Comma 29 5 3" xfId="23569" xr:uid="{00000000-0005-0000-0000-0000105C0000}"/>
    <cellStyle name="Comma 29 6" xfId="23570" xr:uid="{00000000-0005-0000-0000-0000115C0000}"/>
    <cellStyle name="Comma 29 6 2" xfId="23571" xr:uid="{00000000-0005-0000-0000-0000125C0000}"/>
    <cellStyle name="Comma 29 7" xfId="23572" xr:uid="{00000000-0005-0000-0000-0000135C0000}"/>
    <cellStyle name="Comma 29 7 2" xfId="23573" xr:uid="{00000000-0005-0000-0000-0000145C0000}"/>
    <cellStyle name="Comma 29 8" xfId="23574" xr:uid="{00000000-0005-0000-0000-0000155C0000}"/>
    <cellStyle name="Comma 3" xfId="23575" xr:uid="{00000000-0005-0000-0000-0000165C0000}"/>
    <cellStyle name="Comma 3 10" xfId="23576" xr:uid="{00000000-0005-0000-0000-0000175C0000}"/>
    <cellStyle name="Comma 3 2" xfId="23577" xr:uid="{00000000-0005-0000-0000-0000185C0000}"/>
    <cellStyle name="Comma 3 2 2" xfId="23578" xr:uid="{00000000-0005-0000-0000-0000195C0000}"/>
    <cellStyle name="Comma 3 2 2 2" xfId="23579" xr:uid="{00000000-0005-0000-0000-00001A5C0000}"/>
    <cellStyle name="Comma 3 2 3" xfId="23580" xr:uid="{00000000-0005-0000-0000-00001B5C0000}"/>
    <cellStyle name="Comma 3 2 4" xfId="23581" xr:uid="{00000000-0005-0000-0000-00001C5C0000}"/>
    <cellStyle name="Comma 3 2 5" xfId="23582" xr:uid="{00000000-0005-0000-0000-00001D5C0000}"/>
    <cellStyle name="Comma 3 3" xfId="23583" xr:uid="{00000000-0005-0000-0000-00001E5C0000}"/>
    <cellStyle name="Comma 3 3 2" xfId="23584" xr:uid="{00000000-0005-0000-0000-00001F5C0000}"/>
    <cellStyle name="Comma 3 4" xfId="23585" xr:uid="{00000000-0005-0000-0000-0000205C0000}"/>
    <cellStyle name="Comma 3 4 2" xfId="23586" xr:uid="{00000000-0005-0000-0000-0000215C0000}"/>
    <cellStyle name="Comma 3 4 2 2" xfId="23587" xr:uid="{00000000-0005-0000-0000-0000225C0000}"/>
    <cellStyle name="Comma 3 4 2 2 2" xfId="23588" xr:uid="{00000000-0005-0000-0000-0000235C0000}"/>
    <cellStyle name="Comma 3 4 2 2 2 2" xfId="23589" xr:uid="{00000000-0005-0000-0000-0000245C0000}"/>
    <cellStyle name="Comma 3 4 2 2 3" xfId="23590" xr:uid="{00000000-0005-0000-0000-0000255C0000}"/>
    <cellStyle name="Comma 3 4 2 3" xfId="23591" xr:uid="{00000000-0005-0000-0000-0000265C0000}"/>
    <cellStyle name="Comma 3 4 2 3 2" xfId="23592" xr:uid="{00000000-0005-0000-0000-0000275C0000}"/>
    <cellStyle name="Comma 3 4 2 4" xfId="23593" xr:uid="{00000000-0005-0000-0000-0000285C0000}"/>
    <cellStyle name="Comma 3 4 2 4 2" xfId="23594" xr:uid="{00000000-0005-0000-0000-0000295C0000}"/>
    <cellStyle name="Comma 3 4 2 5" xfId="23595" xr:uid="{00000000-0005-0000-0000-00002A5C0000}"/>
    <cellStyle name="Comma 3 4 3" xfId="23596" xr:uid="{00000000-0005-0000-0000-00002B5C0000}"/>
    <cellStyle name="Comma 3 4 3 2" xfId="23597" xr:uid="{00000000-0005-0000-0000-00002C5C0000}"/>
    <cellStyle name="Comma 3 4 3 2 2" xfId="23598" xr:uid="{00000000-0005-0000-0000-00002D5C0000}"/>
    <cellStyle name="Comma 3 4 3 2 2 2" xfId="23599" xr:uid="{00000000-0005-0000-0000-00002E5C0000}"/>
    <cellStyle name="Comma 3 4 3 2 3" xfId="23600" xr:uid="{00000000-0005-0000-0000-00002F5C0000}"/>
    <cellStyle name="Comma 3 4 3 3" xfId="23601" xr:uid="{00000000-0005-0000-0000-0000305C0000}"/>
    <cellStyle name="Comma 3 4 3 3 2" xfId="23602" xr:uid="{00000000-0005-0000-0000-0000315C0000}"/>
    <cellStyle name="Comma 3 4 3 4" xfId="23603" xr:uid="{00000000-0005-0000-0000-0000325C0000}"/>
    <cellStyle name="Comma 3 4 3 4 2" xfId="23604" xr:uid="{00000000-0005-0000-0000-0000335C0000}"/>
    <cellStyle name="Comma 3 4 3 5" xfId="23605" xr:uid="{00000000-0005-0000-0000-0000345C0000}"/>
    <cellStyle name="Comma 3 4 4" xfId="23606" xr:uid="{00000000-0005-0000-0000-0000355C0000}"/>
    <cellStyle name="Comma 3 4 4 2" xfId="23607" xr:uid="{00000000-0005-0000-0000-0000365C0000}"/>
    <cellStyle name="Comma 3 4 4 2 2" xfId="23608" xr:uid="{00000000-0005-0000-0000-0000375C0000}"/>
    <cellStyle name="Comma 3 4 4 3" xfId="23609" xr:uid="{00000000-0005-0000-0000-0000385C0000}"/>
    <cellStyle name="Comma 3 4 5" xfId="23610" xr:uid="{00000000-0005-0000-0000-0000395C0000}"/>
    <cellStyle name="Comma 3 4 5 2" xfId="23611" xr:uid="{00000000-0005-0000-0000-00003A5C0000}"/>
    <cellStyle name="Comma 3 4 6" xfId="23612" xr:uid="{00000000-0005-0000-0000-00003B5C0000}"/>
    <cellStyle name="Comma 3 4 6 2" xfId="23613" xr:uid="{00000000-0005-0000-0000-00003C5C0000}"/>
    <cellStyle name="Comma 3 4 7" xfId="23614" xr:uid="{00000000-0005-0000-0000-00003D5C0000}"/>
    <cellStyle name="Comma 3 5" xfId="23615" xr:uid="{00000000-0005-0000-0000-00003E5C0000}"/>
    <cellStyle name="Comma 3 5 2" xfId="23616" xr:uid="{00000000-0005-0000-0000-00003F5C0000}"/>
    <cellStyle name="Comma 3 5 2 2" xfId="23617" xr:uid="{00000000-0005-0000-0000-0000405C0000}"/>
    <cellStyle name="Comma 3 5 2 2 2" xfId="23618" xr:uid="{00000000-0005-0000-0000-0000415C0000}"/>
    <cellStyle name="Comma 3 5 2 3" xfId="23619" xr:uid="{00000000-0005-0000-0000-0000425C0000}"/>
    <cellStyle name="Comma 3 5 3" xfId="23620" xr:uid="{00000000-0005-0000-0000-0000435C0000}"/>
    <cellStyle name="Comma 3 5 3 2" xfId="23621" xr:uid="{00000000-0005-0000-0000-0000445C0000}"/>
    <cellStyle name="Comma 3 5 4" xfId="23622" xr:uid="{00000000-0005-0000-0000-0000455C0000}"/>
    <cellStyle name="Comma 3 5 4 2" xfId="23623" xr:uid="{00000000-0005-0000-0000-0000465C0000}"/>
    <cellStyle name="Comma 3 5 5" xfId="23624" xr:uid="{00000000-0005-0000-0000-0000475C0000}"/>
    <cellStyle name="Comma 3 6" xfId="23625" xr:uid="{00000000-0005-0000-0000-0000485C0000}"/>
    <cellStyle name="Comma 3 6 2" xfId="23626" xr:uid="{00000000-0005-0000-0000-0000495C0000}"/>
    <cellStyle name="Comma 3 6 2 2" xfId="23627" xr:uid="{00000000-0005-0000-0000-00004A5C0000}"/>
    <cellStyle name="Comma 3 6 2 2 2" xfId="23628" xr:uid="{00000000-0005-0000-0000-00004B5C0000}"/>
    <cellStyle name="Comma 3 6 2 3" xfId="23629" xr:uid="{00000000-0005-0000-0000-00004C5C0000}"/>
    <cellStyle name="Comma 3 6 3" xfId="23630" xr:uid="{00000000-0005-0000-0000-00004D5C0000}"/>
    <cellStyle name="Comma 3 6 3 2" xfId="23631" xr:uid="{00000000-0005-0000-0000-00004E5C0000}"/>
    <cellStyle name="Comma 3 6 4" xfId="23632" xr:uid="{00000000-0005-0000-0000-00004F5C0000}"/>
    <cellStyle name="Comma 3 6 4 2" xfId="23633" xr:uid="{00000000-0005-0000-0000-0000505C0000}"/>
    <cellStyle name="Comma 3 6 5" xfId="23634" xr:uid="{00000000-0005-0000-0000-0000515C0000}"/>
    <cellStyle name="Comma 3 7" xfId="23635" xr:uid="{00000000-0005-0000-0000-0000525C0000}"/>
    <cellStyle name="Comma 3 7 2" xfId="23636" xr:uid="{00000000-0005-0000-0000-0000535C0000}"/>
    <cellStyle name="Comma 3 7 2 2" xfId="23637" xr:uid="{00000000-0005-0000-0000-0000545C0000}"/>
    <cellStyle name="Comma 3 7 2 2 2" xfId="23638" xr:uid="{00000000-0005-0000-0000-0000555C0000}"/>
    <cellStyle name="Comma 3 7 2 3" xfId="23639" xr:uid="{00000000-0005-0000-0000-0000565C0000}"/>
    <cellStyle name="Comma 3 7 3" xfId="23640" xr:uid="{00000000-0005-0000-0000-0000575C0000}"/>
    <cellStyle name="Comma 3 7 3 2" xfId="23641" xr:uid="{00000000-0005-0000-0000-0000585C0000}"/>
    <cellStyle name="Comma 3 7 4" xfId="23642" xr:uid="{00000000-0005-0000-0000-0000595C0000}"/>
    <cellStyle name="Comma 3 8" xfId="23643" xr:uid="{00000000-0005-0000-0000-00005A5C0000}"/>
    <cellStyle name="Comma 3 9" xfId="23644" xr:uid="{00000000-0005-0000-0000-00005B5C0000}"/>
    <cellStyle name="Comma 30" xfId="23645" xr:uid="{00000000-0005-0000-0000-00005C5C0000}"/>
    <cellStyle name="Comma 30 2" xfId="23646" xr:uid="{00000000-0005-0000-0000-00005D5C0000}"/>
    <cellStyle name="Comma 30 2 2" xfId="23647" xr:uid="{00000000-0005-0000-0000-00005E5C0000}"/>
    <cellStyle name="Comma 30 2 2 2" xfId="23648" xr:uid="{00000000-0005-0000-0000-00005F5C0000}"/>
    <cellStyle name="Comma 30 2 2 2 2" xfId="23649" xr:uid="{00000000-0005-0000-0000-0000605C0000}"/>
    <cellStyle name="Comma 30 2 2 2 2 2" xfId="23650" xr:uid="{00000000-0005-0000-0000-0000615C0000}"/>
    <cellStyle name="Comma 30 2 2 2 3" xfId="23651" xr:uid="{00000000-0005-0000-0000-0000625C0000}"/>
    <cellStyle name="Comma 30 2 2 3" xfId="23652" xr:uid="{00000000-0005-0000-0000-0000635C0000}"/>
    <cellStyle name="Comma 30 2 2 3 2" xfId="23653" xr:uid="{00000000-0005-0000-0000-0000645C0000}"/>
    <cellStyle name="Comma 30 2 2 4" xfId="23654" xr:uid="{00000000-0005-0000-0000-0000655C0000}"/>
    <cellStyle name="Comma 30 2 2 4 2" xfId="23655" xr:uid="{00000000-0005-0000-0000-0000665C0000}"/>
    <cellStyle name="Comma 30 2 2 5" xfId="23656" xr:uid="{00000000-0005-0000-0000-0000675C0000}"/>
    <cellStyle name="Comma 30 2 3" xfId="23657" xr:uid="{00000000-0005-0000-0000-0000685C0000}"/>
    <cellStyle name="Comma 30 2 3 2" xfId="23658" xr:uid="{00000000-0005-0000-0000-0000695C0000}"/>
    <cellStyle name="Comma 30 2 3 2 2" xfId="23659" xr:uid="{00000000-0005-0000-0000-00006A5C0000}"/>
    <cellStyle name="Comma 30 2 3 2 2 2" xfId="23660" xr:uid="{00000000-0005-0000-0000-00006B5C0000}"/>
    <cellStyle name="Comma 30 2 3 2 3" xfId="23661" xr:uid="{00000000-0005-0000-0000-00006C5C0000}"/>
    <cellStyle name="Comma 30 2 3 3" xfId="23662" xr:uid="{00000000-0005-0000-0000-00006D5C0000}"/>
    <cellStyle name="Comma 30 2 3 3 2" xfId="23663" xr:uid="{00000000-0005-0000-0000-00006E5C0000}"/>
    <cellStyle name="Comma 30 2 3 4" xfId="23664" xr:uid="{00000000-0005-0000-0000-00006F5C0000}"/>
    <cellStyle name="Comma 30 2 3 4 2" xfId="23665" xr:uid="{00000000-0005-0000-0000-0000705C0000}"/>
    <cellStyle name="Comma 30 2 3 5" xfId="23666" xr:uid="{00000000-0005-0000-0000-0000715C0000}"/>
    <cellStyle name="Comma 30 2 4" xfId="23667" xr:uid="{00000000-0005-0000-0000-0000725C0000}"/>
    <cellStyle name="Comma 30 2 4 2" xfId="23668" xr:uid="{00000000-0005-0000-0000-0000735C0000}"/>
    <cellStyle name="Comma 30 2 4 2 2" xfId="23669" xr:uid="{00000000-0005-0000-0000-0000745C0000}"/>
    <cellStyle name="Comma 30 2 4 3" xfId="23670" xr:uid="{00000000-0005-0000-0000-0000755C0000}"/>
    <cellStyle name="Comma 30 2 5" xfId="23671" xr:uid="{00000000-0005-0000-0000-0000765C0000}"/>
    <cellStyle name="Comma 30 2 5 2" xfId="23672" xr:uid="{00000000-0005-0000-0000-0000775C0000}"/>
    <cellStyle name="Comma 30 2 6" xfId="23673" xr:uid="{00000000-0005-0000-0000-0000785C0000}"/>
    <cellStyle name="Comma 30 2 6 2" xfId="23674" xr:uid="{00000000-0005-0000-0000-0000795C0000}"/>
    <cellStyle name="Comma 30 2 7" xfId="23675" xr:uid="{00000000-0005-0000-0000-00007A5C0000}"/>
    <cellStyle name="Comma 30 3" xfId="23676" xr:uid="{00000000-0005-0000-0000-00007B5C0000}"/>
    <cellStyle name="Comma 30 3 2" xfId="23677" xr:uid="{00000000-0005-0000-0000-00007C5C0000}"/>
    <cellStyle name="Comma 30 3 2 2" xfId="23678" xr:uid="{00000000-0005-0000-0000-00007D5C0000}"/>
    <cellStyle name="Comma 30 3 2 2 2" xfId="23679" xr:uid="{00000000-0005-0000-0000-00007E5C0000}"/>
    <cellStyle name="Comma 30 3 2 3" xfId="23680" xr:uid="{00000000-0005-0000-0000-00007F5C0000}"/>
    <cellStyle name="Comma 30 3 3" xfId="23681" xr:uid="{00000000-0005-0000-0000-0000805C0000}"/>
    <cellStyle name="Comma 30 3 3 2" xfId="23682" xr:uid="{00000000-0005-0000-0000-0000815C0000}"/>
    <cellStyle name="Comma 30 3 4" xfId="23683" xr:uid="{00000000-0005-0000-0000-0000825C0000}"/>
    <cellStyle name="Comma 30 3 4 2" xfId="23684" xr:uid="{00000000-0005-0000-0000-0000835C0000}"/>
    <cellStyle name="Comma 30 3 5" xfId="23685" xr:uid="{00000000-0005-0000-0000-0000845C0000}"/>
    <cellStyle name="Comma 30 4" xfId="23686" xr:uid="{00000000-0005-0000-0000-0000855C0000}"/>
    <cellStyle name="Comma 30 4 2" xfId="23687" xr:uid="{00000000-0005-0000-0000-0000865C0000}"/>
    <cellStyle name="Comma 30 4 2 2" xfId="23688" xr:uid="{00000000-0005-0000-0000-0000875C0000}"/>
    <cellStyle name="Comma 30 4 2 2 2" xfId="23689" xr:uid="{00000000-0005-0000-0000-0000885C0000}"/>
    <cellStyle name="Comma 30 4 2 3" xfId="23690" xr:uid="{00000000-0005-0000-0000-0000895C0000}"/>
    <cellStyle name="Comma 30 4 3" xfId="23691" xr:uid="{00000000-0005-0000-0000-00008A5C0000}"/>
    <cellStyle name="Comma 30 4 3 2" xfId="23692" xr:uid="{00000000-0005-0000-0000-00008B5C0000}"/>
    <cellStyle name="Comma 30 4 4" xfId="23693" xr:uid="{00000000-0005-0000-0000-00008C5C0000}"/>
    <cellStyle name="Comma 30 4 4 2" xfId="23694" xr:uid="{00000000-0005-0000-0000-00008D5C0000}"/>
    <cellStyle name="Comma 30 4 5" xfId="23695" xr:uid="{00000000-0005-0000-0000-00008E5C0000}"/>
    <cellStyle name="Comma 30 5" xfId="23696" xr:uid="{00000000-0005-0000-0000-00008F5C0000}"/>
    <cellStyle name="Comma 30 5 2" xfId="23697" xr:uid="{00000000-0005-0000-0000-0000905C0000}"/>
    <cellStyle name="Comma 30 5 2 2" xfId="23698" xr:uid="{00000000-0005-0000-0000-0000915C0000}"/>
    <cellStyle name="Comma 30 5 3" xfId="23699" xr:uid="{00000000-0005-0000-0000-0000925C0000}"/>
    <cellStyle name="Comma 30 6" xfId="23700" xr:uid="{00000000-0005-0000-0000-0000935C0000}"/>
    <cellStyle name="Comma 30 6 2" xfId="23701" xr:uid="{00000000-0005-0000-0000-0000945C0000}"/>
    <cellStyle name="Comma 30 7" xfId="23702" xr:uid="{00000000-0005-0000-0000-0000955C0000}"/>
    <cellStyle name="Comma 30 7 2" xfId="23703" xr:uid="{00000000-0005-0000-0000-0000965C0000}"/>
    <cellStyle name="Comma 30 8" xfId="23704" xr:uid="{00000000-0005-0000-0000-0000975C0000}"/>
    <cellStyle name="Comma 31" xfId="23705" xr:uid="{00000000-0005-0000-0000-0000985C0000}"/>
    <cellStyle name="Comma 31 2" xfId="23706" xr:uid="{00000000-0005-0000-0000-0000995C0000}"/>
    <cellStyle name="Comma 31 2 2" xfId="23707" xr:uid="{00000000-0005-0000-0000-00009A5C0000}"/>
    <cellStyle name="Comma 31 2 2 2" xfId="23708" xr:uid="{00000000-0005-0000-0000-00009B5C0000}"/>
    <cellStyle name="Comma 31 2 2 2 2" xfId="23709" xr:uid="{00000000-0005-0000-0000-00009C5C0000}"/>
    <cellStyle name="Comma 31 2 2 2 2 2" xfId="23710" xr:uid="{00000000-0005-0000-0000-00009D5C0000}"/>
    <cellStyle name="Comma 31 2 2 2 3" xfId="23711" xr:uid="{00000000-0005-0000-0000-00009E5C0000}"/>
    <cellStyle name="Comma 31 2 2 3" xfId="23712" xr:uid="{00000000-0005-0000-0000-00009F5C0000}"/>
    <cellStyle name="Comma 31 2 2 3 2" xfId="23713" xr:uid="{00000000-0005-0000-0000-0000A05C0000}"/>
    <cellStyle name="Comma 31 2 2 4" xfId="23714" xr:uid="{00000000-0005-0000-0000-0000A15C0000}"/>
    <cellStyle name="Comma 31 2 2 4 2" xfId="23715" xr:uid="{00000000-0005-0000-0000-0000A25C0000}"/>
    <cellStyle name="Comma 31 2 2 5" xfId="23716" xr:uid="{00000000-0005-0000-0000-0000A35C0000}"/>
    <cellStyle name="Comma 31 2 3" xfId="23717" xr:uid="{00000000-0005-0000-0000-0000A45C0000}"/>
    <cellStyle name="Comma 31 2 3 2" xfId="23718" xr:uid="{00000000-0005-0000-0000-0000A55C0000}"/>
    <cellStyle name="Comma 31 2 3 2 2" xfId="23719" xr:uid="{00000000-0005-0000-0000-0000A65C0000}"/>
    <cellStyle name="Comma 31 2 3 2 2 2" xfId="23720" xr:uid="{00000000-0005-0000-0000-0000A75C0000}"/>
    <cellStyle name="Comma 31 2 3 2 3" xfId="23721" xr:uid="{00000000-0005-0000-0000-0000A85C0000}"/>
    <cellStyle name="Comma 31 2 3 3" xfId="23722" xr:uid="{00000000-0005-0000-0000-0000A95C0000}"/>
    <cellStyle name="Comma 31 2 3 3 2" xfId="23723" xr:uid="{00000000-0005-0000-0000-0000AA5C0000}"/>
    <cellStyle name="Comma 31 2 3 4" xfId="23724" xr:uid="{00000000-0005-0000-0000-0000AB5C0000}"/>
    <cellStyle name="Comma 31 2 3 4 2" xfId="23725" xr:uid="{00000000-0005-0000-0000-0000AC5C0000}"/>
    <cellStyle name="Comma 31 2 3 5" xfId="23726" xr:uid="{00000000-0005-0000-0000-0000AD5C0000}"/>
    <cellStyle name="Comma 31 2 4" xfId="23727" xr:uid="{00000000-0005-0000-0000-0000AE5C0000}"/>
    <cellStyle name="Comma 31 2 4 2" xfId="23728" xr:uid="{00000000-0005-0000-0000-0000AF5C0000}"/>
    <cellStyle name="Comma 31 2 4 2 2" xfId="23729" xr:uid="{00000000-0005-0000-0000-0000B05C0000}"/>
    <cellStyle name="Comma 31 2 4 3" xfId="23730" xr:uid="{00000000-0005-0000-0000-0000B15C0000}"/>
    <cellStyle name="Comma 31 2 5" xfId="23731" xr:uid="{00000000-0005-0000-0000-0000B25C0000}"/>
    <cellStyle name="Comma 31 2 5 2" xfId="23732" xr:uid="{00000000-0005-0000-0000-0000B35C0000}"/>
    <cellStyle name="Comma 31 2 6" xfId="23733" xr:uid="{00000000-0005-0000-0000-0000B45C0000}"/>
    <cellStyle name="Comma 31 2 6 2" xfId="23734" xr:uid="{00000000-0005-0000-0000-0000B55C0000}"/>
    <cellStyle name="Comma 31 2 7" xfId="23735" xr:uid="{00000000-0005-0000-0000-0000B65C0000}"/>
    <cellStyle name="Comma 31 3" xfId="23736" xr:uid="{00000000-0005-0000-0000-0000B75C0000}"/>
    <cellStyle name="Comma 31 3 2" xfId="23737" xr:uid="{00000000-0005-0000-0000-0000B85C0000}"/>
    <cellStyle name="Comma 31 3 2 2" xfId="23738" xr:uid="{00000000-0005-0000-0000-0000B95C0000}"/>
    <cellStyle name="Comma 31 3 2 2 2" xfId="23739" xr:uid="{00000000-0005-0000-0000-0000BA5C0000}"/>
    <cellStyle name="Comma 31 3 2 3" xfId="23740" xr:uid="{00000000-0005-0000-0000-0000BB5C0000}"/>
    <cellStyle name="Comma 31 3 3" xfId="23741" xr:uid="{00000000-0005-0000-0000-0000BC5C0000}"/>
    <cellStyle name="Comma 31 3 3 2" xfId="23742" xr:uid="{00000000-0005-0000-0000-0000BD5C0000}"/>
    <cellStyle name="Comma 31 3 4" xfId="23743" xr:uid="{00000000-0005-0000-0000-0000BE5C0000}"/>
    <cellStyle name="Comma 31 3 4 2" xfId="23744" xr:uid="{00000000-0005-0000-0000-0000BF5C0000}"/>
    <cellStyle name="Comma 31 3 5" xfId="23745" xr:uid="{00000000-0005-0000-0000-0000C05C0000}"/>
    <cellStyle name="Comma 31 4" xfId="23746" xr:uid="{00000000-0005-0000-0000-0000C15C0000}"/>
    <cellStyle name="Comma 31 4 2" xfId="23747" xr:uid="{00000000-0005-0000-0000-0000C25C0000}"/>
    <cellStyle name="Comma 31 4 2 2" xfId="23748" xr:uid="{00000000-0005-0000-0000-0000C35C0000}"/>
    <cellStyle name="Comma 31 4 2 2 2" xfId="23749" xr:uid="{00000000-0005-0000-0000-0000C45C0000}"/>
    <cellStyle name="Comma 31 4 2 3" xfId="23750" xr:uid="{00000000-0005-0000-0000-0000C55C0000}"/>
    <cellStyle name="Comma 31 4 3" xfId="23751" xr:uid="{00000000-0005-0000-0000-0000C65C0000}"/>
    <cellStyle name="Comma 31 4 3 2" xfId="23752" xr:uid="{00000000-0005-0000-0000-0000C75C0000}"/>
    <cellStyle name="Comma 31 4 4" xfId="23753" xr:uid="{00000000-0005-0000-0000-0000C85C0000}"/>
    <cellStyle name="Comma 31 4 4 2" xfId="23754" xr:uid="{00000000-0005-0000-0000-0000C95C0000}"/>
    <cellStyle name="Comma 31 4 5" xfId="23755" xr:uid="{00000000-0005-0000-0000-0000CA5C0000}"/>
    <cellStyle name="Comma 31 5" xfId="23756" xr:uid="{00000000-0005-0000-0000-0000CB5C0000}"/>
    <cellStyle name="Comma 31 5 2" xfId="23757" xr:uid="{00000000-0005-0000-0000-0000CC5C0000}"/>
    <cellStyle name="Comma 31 5 2 2" xfId="23758" xr:uid="{00000000-0005-0000-0000-0000CD5C0000}"/>
    <cellStyle name="Comma 31 5 3" xfId="23759" xr:uid="{00000000-0005-0000-0000-0000CE5C0000}"/>
    <cellStyle name="Comma 31 6" xfId="23760" xr:uid="{00000000-0005-0000-0000-0000CF5C0000}"/>
    <cellStyle name="Comma 31 6 2" xfId="23761" xr:uid="{00000000-0005-0000-0000-0000D05C0000}"/>
    <cellStyle name="Comma 31 7" xfId="23762" xr:uid="{00000000-0005-0000-0000-0000D15C0000}"/>
    <cellStyle name="Comma 31 7 2" xfId="23763" xr:uid="{00000000-0005-0000-0000-0000D25C0000}"/>
    <cellStyle name="Comma 31 8" xfId="23764" xr:uid="{00000000-0005-0000-0000-0000D35C0000}"/>
    <cellStyle name="Comma 32" xfId="23765" xr:uid="{00000000-0005-0000-0000-0000D45C0000}"/>
    <cellStyle name="Comma 32 2" xfId="23766" xr:uid="{00000000-0005-0000-0000-0000D55C0000}"/>
    <cellStyle name="Comma 32 2 2" xfId="23767" xr:uid="{00000000-0005-0000-0000-0000D65C0000}"/>
    <cellStyle name="Comma 32 2 2 2" xfId="23768" xr:uid="{00000000-0005-0000-0000-0000D75C0000}"/>
    <cellStyle name="Comma 32 2 2 2 2" xfId="23769" xr:uid="{00000000-0005-0000-0000-0000D85C0000}"/>
    <cellStyle name="Comma 32 2 2 2 2 2" xfId="23770" xr:uid="{00000000-0005-0000-0000-0000D95C0000}"/>
    <cellStyle name="Comma 32 2 2 2 3" xfId="23771" xr:uid="{00000000-0005-0000-0000-0000DA5C0000}"/>
    <cellStyle name="Comma 32 2 2 3" xfId="23772" xr:uid="{00000000-0005-0000-0000-0000DB5C0000}"/>
    <cellStyle name="Comma 32 2 2 3 2" xfId="23773" xr:uid="{00000000-0005-0000-0000-0000DC5C0000}"/>
    <cellStyle name="Comma 32 2 2 4" xfId="23774" xr:uid="{00000000-0005-0000-0000-0000DD5C0000}"/>
    <cellStyle name="Comma 32 2 2 4 2" xfId="23775" xr:uid="{00000000-0005-0000-0000-0000DE5C0000}"/>
    <cellStyle name="Comma 32 2 2 5" xfId="23776" xr:uid="{00000000-0005-0000-0000-0000DF5C0000}"/>
    <cellStyle name="Comma 32 2 3" xfId="23777" xr:uid="{00000000-0005-0000-0000-0000E05C0000}"/>
    <cellStyle name="Comma 32 2 3 2" xfId="23778" xr:uid="{00000000-0005-0000-0000-0000E15C0000}"/>
    <cellStyle name="Comma 32 2 3 2 2" xfId="23779" xr:uid="{00000000-0005-0000-0000-0000E25C0000}"/>
    <cellStyle name="Comma 32 2 3 2 2 2" xfId="23780" xr:uid="{00000000-0005-0000-0000-0000E35C0000}"/>
    <cellStyle name="Comma 32 2 3 2 3" xfId="23781" xr:uid="{00000000-0005-0000-0000-0000E45C0000}"/>
    <cellStyle name="Comma 32 2 3 3" xfId="23782" xr:uid="{00000000-0005-0000-0000-0000E55C0000}"/>
    <cellStyle name="Comma 32 2 3 3 2" xfId="23783" xr:uid="{00000000-0005-0000-0000-0000E65C0000}"/>
    <cellStyle name="Comma 32 2 3 4" xfId="23784" xr:uid="{00000000-0005-0000-0000-0000E75C0000}"/>
    <cellStyle name="Comma 32 2 3 4 2" xfId="23785" xr:uid="{00000000-0005-0000-0000-0000E85C0000}"/>
    <cellStyle name="Comma 32 2 3 5" xfId="23786" xr:uid="{00000000-0005-0000-0000-0000E95C0000}"/>
    <cellStyle name="Comma 32 2 4" xfId="23787" xr:uid="{00000000-0005-0000-0000-0000EA5C0000}"/>
    <cellStyle name="Comma 32 2 4 2" xfId="23788" xr:uid="{00000000-0005-0000-0000-0000EB5C0000}"/>
    <cellStyle name="Comma 32 2 4 2 2" xfId="23789" xr:uid="{00000000-0005-0000-0000-0000EC5C0000}"/>
    <cellStyle name="Comma 32 2 4 3" xfId="23790" xr:uid="{00000000-0005-0000-0000-0000ED5C0000}"/>
    <cellStyle name="Comma 32 2 5" xfId="23791" xr:uid="{00000000-0005-0000-0000-0000EE5C0000}"/>
    <cellStyle name="Comma 32 2 5 2" xfId="23792" xr:uid="{00000000-0005-0000-0000-0000EF5C0000}"/>
    <cellStyle name="Comma 32 2 6" xfId="23793" xr:uid="{00000000-0005-0000-0000-0000F05C0000}"/>
    <cellStyle name="Comma 32 2 6 2" xfId="23794" xr:uid="{00000000-0005-0000-0000-0000F15C0000}"/>
    <cellStyle name="Comma 32 2 7" xfId="23795" xr:uid="{00000000-0005-0000-0000-0000F25C0000}"/>
    <cellStyle name="Comma 32 3" xfId="23796" xr:uid="{00000000-0005-0000-0000-0000F35C0000}"/>
    <cellStyle name="Comma 32 3 2" xfId="23797" xr:uid="{00000000-0005-0000-0000-0000F45C0000}"/>
    <cellStyle name="Comma 32 3 2 2" xfId="23798" xr:uid="{00000000-0005-0000-0000-0000F55C0000}"/>
    <cellStyle name="Comma 32 3 2 2 2" xfId="23799" xr:uid="{00000000-0005-0000-0000-0000F65C0000}"/>
    <cellStyle name="Comma 32 3 2 3" xfId="23800" xr:uid="{00000000-0005-0000-0000-0000F75C0000}"/>
    <cellStyle name="Comma 32 3 3" xfId="23801" xr:uid="{00000000-0005-0000-0000-0000F85C0000}"/>
    <cellStyle name="Comma 32 3 3 2" xfId="23802" xr:uid="{00000000-0005-0000-0000-0000F95C0000}"/>
    <cellStyle name="Comma 32 3 4" xfId="23803" xr:uid="{00000000-0005-0000-0000-0000FA5C0000}"/>
    <cellStyle name="Comma 32 3 4 2" xfId="23804" xr:uid="{00000000-0005-0000-0000-0000FB5C0000}"/>
    <cellStyle name="Comma 32 3 5" xfId="23805" xr:uid="{00000000-0005-0000-0000-0000FC5C0000}"/>
    <cellStyle name="Comma 32 4" xfId="23806" xr:uid="{00000000-0005-0000-0000-0000FD5C0000}"/>
    <cellStyle name="Comma 32 4 2" xfId="23807" xr:uid="{00000000-0005-0000-0000-0000FE5C0000}"/>
    <cellStyle name="Comma 32 4 2 2" xfId="23808" xr:uid="{00000000-0005-0000-0000-0000FF5C0000}"/>
    <cellStyle name="Comma 32 4 2 2 2" xfId="23809" xr:uid="{00000000-0005-0000-0000-0000005D0000}"/>
    <cellStyle name="Comma 32 4 2 3" xfId="23810" xr:uid="{00000000-0005-0000-0000-0000015D0000}"/>
    <cellStyle name="Comma 32 4 3" xfId="23811" xr:uid="{00000000-0005-0000-0000-0000025D0000}"/>
    <cellStyle name="Comma 32 4 3 2" xfId="23812" xr:uid="{00000000-0005-0000-0000-0000035D0000}"/>
    <cellStyle name="Comma 32 4 4" xfId="23813" xr:uid="{00000000-0005-0000-0000-0000045D0000}"/>
    <cellStyle name="Comma 32 4 4 2" xfId="23814" xr:uid="{00000000-0005-0000-0000-0000055D0000}"/>
    <cellStyle name="Comma 32 4 5" xfId="23815" xr:uid="{00000000-0005-0000-0000-0000065D0000}"/>
    <cellStyle name="Comma 32 5" xfId="23816" xr:uid="{00000000-0005-0000-0000-0000075D0000}"/>
    <cellStyle name="Comma 32 5 2" xfId="23817" xr:uid="{00000000-0005-0000-0000-0000085D0000}"/>
    <cellStyle name="Comma 32 5 2 2" xfId="23818" xr:uid="{00000000-0005-0000-0000-0000095D0000}"/>
    <cellStyle name="Comma 32 5 3" xfId="23819" xr:uid="{00000000-0005-0000-0000-00000A5D0000}"/>
    <cellStyle name="Comma 32 6" xfId="23820" xr:uid="{00000000-0005-0000-0000-00000B5D0000}"/>
    <cellStyle name="Comma 32 6 2" xfId="23821" xr:uid="{00000000-0005-0000-0000-00000C5D0000}"/>
    <cellStyle name="Comma 32 7" xfId="23822" xr:uid="{00000000-0005-0000-0000-00000D5D0000}"/>
    <cellStyle name="Comma 32 7 2" xfId="23823" xr:uid="{00000000-0005-0000-0000-00000E5D0000}"/>
    <cellStyle name="Comma 32 8" xfId="23824" xr:uid="{00000000-0005-0000-0000-00000F5D0000}"/>
    <cellStyle name="Comma 33" xfId="23825" xr:uid="{00000000-0005-0000-0000-0000105D0000}"/>
    <cellStyle name="Comma 33 2" xfId="23826" xr:uid="{00000000-0005-0000-0000-0000115D0000}"/>
    <cellStyle name="Comma 33 2 2" xfId="23827" xr:uid="{00000000-0005-0000-0000-0000125D0000}"/>
    <cellStyle name="Comma 33 2 2 2" xfId="23828" xr:uid="{00000000-0005-0000-0000-0000135D0000}"/>
    <cellStyle name="Comma 33 2 2 2 2" xfId="23829" xr:uid="{00000000-0005-0000-0000-0000145D0000}"/>
    <cellStyle name="Comma 33 2 2 2 2 2" xfId="23830" xr:uid="{00000000-0005-0000-0000-0000155D0000}"/>
    <cellStyle name="Comma 33 2 2 2 3" xfId="23831" xr:uid="{00000000-0005-0000-0000-0000165D0000}"/>
    <cellStyle name="Comma 33 2 2 3" xfId="23832" xr:uid="{00000000-0005-0000-0000-0000175D0000}"/>
    <cellStyle name="Comma 33 2 2 3 2" xfId="23833" xr:uid="{00000000-0005-0000-0000-0000185D0000}"/>
    <cellStyle name="Comma 33 2 2 4" xfId="23834" xr:uid="{00000000-0005-0000-0000-0000195D0000}"/>
    <cellStyle name="Comma 33 2 2 4 2" xfId="23835" xr:uid="{00000000-0005-0000-0000-00001A5D0000}"/>
    <cellStyle name="Comma 33 2 2 5" xfId="23836" xr:uid="{00000000-0005-0000-0000-00001B5D0000}"/>
    <cellStyle name="Comma 33 2 3" xfId="23837" xr:uid="{00000000-0005-0000-0000-00001C5D0000}"/>
    <cellStyle name="Comma 33 2 3 2" xfId="23838" xr:uid="{00000000-0005-0000-0000-00001D5D0000}"/>
    <cellStyle name="Comma 33 2 3 2 2" xfId="23839" xr:uid="{00000000-0005-0000-0000-00001E5D0000}"/>
    <cellStyle name="Comma 33 2 3 2 2 2" xfId="23840" xr:uid="{00000000-0005-0000-0000-00001F5D0000}"/>
    <cellStyle name="Comma 33 2 3 2 3" xfId="23841" xr:uid="{00000000-0005-0000-0000-0000205D0000}"/>
    <cellStyle name="Comma 33 2 3 3" xfId="23842" xr:uid="{00000000-0005-0000-0000-0000215D0000}"/>
    <cellStyle name="Comma 33 2 3 3 2" xfId="23843" xr:uid="{00000000-0005-0000-0000-0000225D0000}"/>
    <cellStyle name="Comma 33 2 3 4" xfId="23844" xr:uid="{00000000-0005-0000-0000-0000235D0000}"/>
    <cellStyle name="Comma 33 2 3 4 2" xfId="23845" xr:uid="{00000000-0005-0000-0000-0000245D0000}"/>
    <cellStyle name="Comma 33 2 3 5" xfId="23846" xr:uid="{00000000-0005-0000-0000-0000255D0000}"/>
    <cellStyle name="Comma 33 2 4" xfId="23847" xr:uid="{00000000-0005-0000-0000-0000265D0000}"/>
    <cellStyle name="Comma 33 2 4 2" xfId="23848" xr:uid="{00000000-0005-0000-0000-0000275D0000}"/>
    <cellStyle name="Comma 33 2 4 2 2" xfId="23849" xr:uid="{00000000-0005-0000-0000-0000285D0000}"/>
    <cellStyle name="Comma 33 2 4 3" xfId="23850" xr:uid="{00000000-0005-0000-0000-0000295D0000}"/>
    <cellStyle name="Comma 33 2 5" xfId="23851" xr:uid="{00000000-0005-0000-0000-00002A5D0000}"/>
    <cellStyle name="Comma 33 2 5 2" xfId="23852" xr:uid="{00000000-0005-0000-0000-00002B5D0000}"/>
    <cellStyle name="Comma 33 2 6" xfId="23853" xr:uid="{00000000-0005-0000-0000-00002C5D0000}"/>
    <cellStyle name="Comma 33 2 6 2" xfId="23854" xr:uid="{00000000-0005-0000-0000-00002D5D0000}"/>
    <cellStyle name="Comma 33 2 7" xfId="23855" xr:uid="{00000000-0005-0000-0000-00002E5D0000}"/>
    <cellStyle name="Comma 33 3" xfId="23856" xr:uid="{00000000-0005-0000-0000-00002F5D0000}"/>
    <cellStyle name="Comma 33 3 2" xfId="23857" xr:uid="{00000000-0005-0000-0000-0000305D0000}"/>
    <cellStyle name="Comma 33 3 2 2" xfId="23858" xr:uid="{00000000-0005-0000-0000-0000315D0000}"/>
    <cellStyle name="Comma 33 3 2 2 2" xfId="23859" xr:uid="{00000000-0005-0000-0000-0000325D0000}"/>
    <cellStyle name="Comma 33 3 2 3" xfId="23860" xr:uid="{00000000-0005-0000-0000-0000335D0000}"/>
    <cellStyle name="Comma 33 3 3" xfId="23861" xr:uid="{00000000-0005-0000-0000-0000345D0000}"/>
    <cellStyle name="Comma 33 3 3 2" xfId="23862" xr:uid="{00000000-0005-0000-0000-0000355D0000}"/>
    <cellStyle name="Comma 33 3 4" xfId="23863" xr:uid="{00000000-0005-0000-0000-0000365D0000}"/>
    <cellStyle name="Comma 33 3 4 2" xfId="23864" xr:uid="{00000000-0005-0000-0000-0000375D0000}"/>
    <cellStyle name="Comma 33 3 5" xfId="23865" xr:uid="{00000000-0005-0000-0000-0000385D0000}"/>
    <cellStyle name="Comma 33 4" xfId="23866" xr:uid="{00000000-0005-0000-0000-0000395D0000}"/>
    <cellStyle name="Comma 33 4 2" xfId="23867" xr:uid="{00000000-0005-0000-0000-00003A5D0000}"/>
    <cellStyle name="Comma 33 4 2 2" xfId="23868" xr:uid="{00000000-0005-0000-0000-00003B5D0000}"/>
    <cellStyle name="Comma 33 4 2 2 2" xfId="23869" xr:uid="{00000000-0005-0000-0000-00003C5D0000}"/>
    <cellStyle name="Comma 33 4 2 3" xfId="23870" xr:uid="{00000000-0005-0000-0000-00003D5D0000}"/>
    <cellStyle name="Comma 33 4 3" xfId="23871" xr:uid="{00000000-0005-0000-0000-00003E5D0000}"/>
    <cellStyle name="Comma 33 4 3 2" xfId="23872" xr:uid="{00000000-0005-0000-0000-00003F5D0000}"/>
    <cellStyle name="Comma 33 4 4" xfId="23873" xr:uid="{00000000-0005-0000-0000-0000405D0000}"/>
    <cellStyle name="Comma 33 4 4 2" xfId="23874" xr:uid="{00000000-0005-0000-0000-0000415D0000}"/>
    <cellStyle name="Comma 33 4 5" xfId="23875" xr:uid="{00000000-0005-0000-0000-0000425D0000}"/>
    <cellStyle name="Comma 33 5" xfId="23876" xr:uid="{00000000-0005-0000-0000-0000435D0000}"/>
    <cellStyle name="Comma 33 5 2" xfId="23877" xr:uid="{00000000-0005-0000-0000-0000445D0000}"/>
    <cellStyle name="Comma 33 5 2 2" xfId="23878" xr:uid="{00000000-0005-0000-0000-0000455D0000}"/>
    <cellStyle name="Comma 33 5 3" xfId="23879" xr:uid="{00000000-0005-0000-0000-0000465D0000}"/>
    <cellStyle name="Comma 33 6" xfId="23880" xr:uid="{00000000-0005-0000-0000-0000475D0000}"/>
    <cellStyle name="Comma 33 6 2" xfId="23881" xr:uid="{00000000-0005-0000-0000-0000485D0000}"/>
    <cellStyle name="Comma 33 7" xfId="23882" xr:uid="{00000000-0005-0000-0000-0000495D0000}"/>
    <cellStyle name="Comma 33 7 2" xfId="23883" xr:uid="{00000000-0005-0000-0000-00004A5D0000}"/>
    <cellStyle name="Comma 33 8" xfId="23884" xr:uid="{00000000-0005-0000-0000-00004B5D0000}"/>
    <cellStyle name="Comma 34" xfId="23885" xr:uid="{00000000-0005-0000-0000-00004C5D0000}"/>
    <cellStyle name="Comma 34 2" xfId="23886" xr:uid="{00000000-0005-0000-0000-00004D5D0000}"/>
    <cellStyle name="Comma 34 2 2" xfId="23887" xr:uid="{00000000-0005-0000-0000-00004E5D0000}"/>
    <cellStyle name="Comma 34 2 2 2" xfId="23888" xr:uid="{00000000-0005-0000-0000-00004F5D0000}"/>
    <cellStyle name="Comma 34 2 2 2 2" xfId="23889" xr:uid="{00000000-0005-0000-0000-0000505D0000}"/>
    <cellStyle name="Comma 34 2 2 2 2 2" xfId="23890" xr:uid="{00000000-0005-0000-0000-0000515D0000}"/>
    <cellStyle name="Comma 34 2 2 2 3" xfId="23891" xr:uid="{00000000-0005-0000-0000-0000525D0000}"/>
    <cellStyle name="Comma 34 2 2 3" xfId="23892" xr:uid="{00000000-0005-0000-0000-0000535D0000}"/>
    <cellStyle name="Comma 34 2 2 3 2" xfId="23893" xr:uid="{00000000-0005-0000-0000-0000545D0000}"/>
    <cellStyle name="Comma 34 2 2 4" xfId="23894" xr:uid="{00000000-0005-0000-0000-0000555D0000}"/>
    <cellStyle name="Comma 34 2 2 4 2" xfId="23895" xr:uid="{00000000-0005-0000-0000-0000565D0000}"/>
    <cellStyle name="Comma 34 2 2 5" xfId="23896" xr:uid="{00000000-0005-0000-0000-0000575D0000}"/>
    <cellStyle name="Comma 34 2 3" xfId="23897" xr:uid="{00000000-0005-0000-0000-0000585D0000}"/>
    <cellStyle name="Comma 34 2 3 2" xfId="23898" xr:uid="{00000000-0005-0000-0000-0000595D0000}"/>
    <cellStyle name="Comma 34 2 3 2 2" xfId="23899" xr:uid="{00000000-0005-0000-0000-00005A5D0000}"/>
    <cellStyle name="Comma 34 2 3 2 2 2" xfId="23900" xr:uid="{00000000-0005-0000-0000-00005B5D0000}"/>
    <cellStyle name="Comma 34 2 3 2 3" xfId="23901" xr:uid="{00000000-0005-0000-0000-00005C5D0000}"/>
    <cellStyle name="Comma 34 2 3 3" xfId="23902" xr:uid="{00000000-0005-0000-0000-00005D5D0000}"/>
    <cellStyle name="Comma 34 2 3 3 2" xfId="23903" xr:uid="{00000000-0005-0000-0000-00005E5D0000}"/>
    <cellStyle name="Comma 34 2 3 4" xfId="23904" xr:uid="{00000000-0005-0000-0000-00005F5D0000}"/>
    <cellStyle name="Comma 34 2 3 4 2" xfId="23905" xr:uid="{00000000-0005-0000-0000-0000605D0000}"/>
    <cellStyle name="Comma 34 2 3 5" xfId="23906" xr:uid="{00000000-0005-0000-0000-0000615D0000}"/>
    <cellStyle name="Comma 34 2 4" xfId="23907" xr:uid="{00000000-0005-0000-0000-0000625D0000}"/>
    <cellStyle name="Comma 34 2 4 2" xfId="23908" xr:uid="{00000000-0005-0000-0000-0000635D0000}"/>
    <cellStyle name="Comma 34 2 4 2 2" xfId="23909" xr:uid="{00000000-0005-0000-0000-0000645D0000}"/>
    <cellStyle name="Comma 34 2 4 3" xfId="23910" xr:uid="{00000000-0005-0000-0000-0000655D0000}"/>
    <cellStyle name="Comma 34 2 5" xfId="23911" xr:uid="{00000000-0005-0000-0000-0000665D0000}"/>
    <cellStyle name="Comma 34 2 5 2" xfId="23912" xr:uid="{00000000-0005-0000-0000-0000675D0000}"/>
    <cellStyle name="Comma 34 2 6" xfId="23913" xr:uid="{00000000-0005-0000-0000-0000685D0000}"/>
    <cellStyle name="Comma 34 2 6 2" xfId="23914" xr:uid="{00000000-0005-0000-0000-0000695D0000}"/>
    <cellStyle name="Comma 34 2 7" xfId="23915" xr:uid="{00000000-0005-0000-0000-00006A5D0000}"/>
    <cellStyle name="Comma 34 3" xfId="23916" xr:uid="{00000000-0005-0000-0000-00006B5D0000}"/>
    <cellStyle name="Comma 34 3 2" xfId="23917" xr:uid="{00000000-0005-0000-0000-00006C5D0000}"/>
    <cellStyle name="Comma 34 3 2 2" xfId="23918" xr:uid="{00000000-0005-0000-0000-00006D5D0000}"/>
    <cellStyle name="Comma 34 3 2 2 2" xfId="23919" xr:uid="{00000000-0005-0000-0000-00006E5D0000}"/>
    <cellStyle name="Comma 34 3 2 3" xfId="23920" xr:uid="{00000000-0005-0000-0000-00006F5D0000}"/>
    <cellStyle name="Comma 34 3 3" xfId="23921" xr:uid="{00000000-0005-0000-0000-0000705D0000}"/>
    <cellStyle name="Comma 34 3 3 2" xfId="23922" xr:uid="{00000000-0005-0000-0000-0000715D0000}"/>
    <cellStyle name="Comma 34 3 4" xfId="23923" xr:uid="{00000000-0005-0000-0000-0000725D0000}"/>
    <cellStyle name="Comma 34 3 4 2" xfId="23924" xr:uid="{00000000-0005-0000-0000-0000735D0000}"/>
    <cellStyle name="Comma 34 3 5" xfId="23925" xr:uid="{00000000-0005-0000-0000-0000745D0000}"/>
    <cellStyle name="Comma 34 4" xfId="23926" xr:uid="{00000000-0005-0000-0000-0000755D0000}"/>
    <cellStyle name="Comma 34 4 2" xfId="23927" xr:uid="{00000000-0005-0000-0000-0000765D0000}"/>
    <cellStyle name="Comma 34 4 2 2" xfId="23928" xr:uid="{00000000-0005-0000-0000-0000775D0000}"/>
    <cellStyle name="Comma 34 4 2 2 2" xfId="23929" xr:uid="{00000000-0005-0000-0000-0000785D0000}"/>
    <cellStyle name="Comma 34 4 2 3" xfId="23930" xr:uid="{00000000-0005-0000-0000-0000795D0000}"/>
    <cellStyle name="Comma 34 4 3" xfId="23931" xr:uid="{00000000-0005-0000-0000-00007A5D0000}"/>
    <cellStyle name="Comma 34 4 3 2" xfId="23932" xr:uid="{00000000-0005-0000-0000-00007B5D0000}"/>
    <cellStyle name="Comma 34 4 4" xfId="23933" xr:uid="{00000000-0005-0000-0000-00007C5D0000}"/>
    <cellStyle name="Comma 34 4 4 2" xfId="23934" xr:uid="{00000000-0005-0000-0000-00007D5D0000}"/>
    <cellStyle name="Comma 34 4 5" xfId="23935" xr:uid="{00000000-0005-0000-0000-00007E5D0000}"/>
    <cellStyle name="Comma 34 5" xfId="23936" xr:uid="{00000000-0005-0000-0000-00007F5D0000}"/>
    <cellStyle name="Comma 34 5 2" xfId="23937" xr:uid="{00000000-0005-0000-0000-0000805D0000}"/>
    <cellStyle name="Comma 34 5 2 2" xfId="23938" xr:uid="{00000000-0005-0000-0000-0000815D0000}"/>
    <cellStyle name="Comma 34 5 3" xfId="23939" xr:uid="{00000000-0005-0000-0000-0000825D0000}"/>
    <cellStyle name="Comma 34 6" xfId="23940" xr:uid="{00000000-0005-0000-0000-0000835D0000}"/>
    <cellStyle name="Comma 34 6 2" xfId="23941" xr:uid="{00000000-0005-0000-0000-0000845D0000}"/>
    <cellStyle name="Comma 34 7" xfId="23942" xr:uid="{00000000-0005-0000-0000-0000855D0000}"/>
    <cellStyle name="Comma 34 7 2" xfId="23943" xr:uid="{00000000-0005-0000-0000-0000865D0000}"/>
    <cellStyle name="Comma 34 8" xfId="23944" xr:uid="{00000000-0005-0000-0000-0000875D0000}"/>
    <cellStyle name="Comma 35" xfId="23945" xr:uid="{00000000-0005-0000-0000-0000885D0000}"/>
    <cellStyle name="Comma 35 2" xfId="23946" xr:uid="{00000000-0005-0000-0000-0000895D0000}"/>
    <cellStyle name="Comma 35 2 2" xfId="23947" xr:uid="{00000000-0005-0000-0000-00008A5D0000}"/>
    <cellStyle name="Comma 35 2 2 2" xfId="23948" xr:uid="{00000000-0005-0000-0000-00008B5D0000}"/>
    <cellStyle name="Comma 35 2 2 2 2" xfId="23949" xr:uid="{00000000-0005-0000-0000-00008C5D0000}"/>
    <cellStyle name="Comma 35 2 2 2 2 2" xfId="23950" xr:uid="{00000000-0005-0000-0000-00008D5D0000}"/>
    <cellStyle name="Comma 35 2 2 2 3" xfId="23951" xr:uid="{00000000-0005-0000-0000-00008E5D0000}"/>
    <cellStyle name="Comma 35 2 2 3" xfId="23952" xr:uid="{00000000-0005-0000-0000-00008F5D0000}"/>
    <cellStyle name="Comma 35 2 2 3 2" xfId="23953" xr:uid="{00000000-0005-0000-0000-0000905D0000}"/>
    <cellStyle name="Comma 35 2 2 4" xfId="23954" xr:uid="{00000000-0005-0000-0000-0000915D0000}"/>
    <cellStyle name="Comma 35 2 2 4 2" xfId="23955" xr:uid="{00000000-0005-0000-0000-0000925D0000}"/>
    <cellStyle name="Comma 35 2 2 5" xfId="23956" xr:uid="{00000000-0005-0000-0000-0000935D0000}"/>
    <cellStyle name="Comma 35 2 3" xfId="23957" xr:uid="{00000000-0005-0000-0000-0000945D0000}"/>
    <cellStyle name="Comma 35 2 3 2" xfId="23958" xr:uid="{00000000-0005-0000-0000-0000955D0000}"/>
    <cellStyle name="Comma 35 2 3 2 2" xfId="23959" xr:uid="{00000000-0005-0000-0000-0000965D0000}"/>
    <cellStyle name="Comma 35 2 3 2 2 2" xfId="23960" xr:uid="{00000000-0005-0000-0000-0000975D0000}"/>
    <cellStyle name="Comma 35 2 3 2 3" xfId="23961" xr:uid="{00000000-0005-0000-0000-0000985D0000}"/>
    <cellStyle name="Comma 35 2 3 3" xfId="23962" xr:uid="{00000000-0005-0000-0000-0000995D0000}"/>
    <cellStyle name="Comma 35 2 3 3 2" xfId="23963" xr:uid="{00000000-0005-0000-0000-00009A5D0000}"/>
    <cellStyle name="Comma 35 2 3 4" xfId="23964" xr:uid="{00000000-0005-0000-0000-00009B5D0000}"/>
    <cellStyle name="Comma 35 2 3 4 2" xfId="23965" xr:uid="{00000000-0005-0000-0000-00009C5D0000}"/>
    <cellStyle name="Comma 35 2 3 5" xfId="23966" xr:uid="{00000000-0005-0000-0000-00009D5D0000}"/>
    <cellStyle name="Comma 35 2 4" xfId="23967" xr:uid="{00000000-0005-0000-0000-00009E5D0000}"/>
    <cellStyle name="Comma 35 2 4 2" xfId="23968" xr:uid="{00000000-0005-0000-0000-00009F5D0000}"/>
    <cellStyle name="Comma 35 2 4 2 2" xfId="23969" xr:uid="{00000000-0005-0000-0000-0000A05D0000}"/>
    <cellStyle name="Comma 35 2 4 3" xfId="23970" xr:uid="{00000000-0005-0000-0000-0000A15D0000}"/>
    <cellStyle name="Comma 35 2 5" xfId="23971" xr:uid="{00000000-0005-0000-0000-0000A25D0000}"/>
    <cellStyle name="Comma 35 2 5 2" xfId="23972" xr:uid="{00000000-0005-0000-0000-0000A35D0000}"/>
    <cellStyle name="Comma 35 2 6" xfId="23973" xr:uid="{00000000-0005-0000-0000-0000A45D0000}"/>
    <cellStyle name="Comma 35 2 6 2" xfId="23974" xr:uid="{00000000-0005-0000-0000-0000A55D0000}"/>
    <cellStyle name="Comma 35 2 7" xfId="23975" xr:uid="{00000000-0005-0000-0000-0000A65D0000}"/>
    <cellStyle name="Comma 35 3" xfId="23976" xr:uid="{00000000-0005-0000-0000-0000A75D0000}"/>
    <cellStyle name="Comma 35 3 2" xfId="23977" xr:uid="{00000000-0005-0000-0000-0000A85D0000}"/>
    <cellStyle name="Comma 35 3 2 2" xfId="23978" xr:uid="{00000000-0005-0000-0000-0000A95D0000}"/>
    <cellStyle name="Comma 35 3 2 2 2" xfId="23979" xr:uid="{00000000-0005-0000-0000-0000AA5D0000}"/>
    <cellStyle name="Comma 35 3 2 3" xfId="23980" xr:uid="{00000000-0005-0000-0000-0000AB5D0000}"/>
    <cellStyle name="Comma 35 3 3" xfId="23981" xr:uid="{00000000-0005-0000-0000-0000AC5D0000}"/>
    <cellStyle name="Comma 35 3 3 2" xfId="23982" xr:uid="{00000000-0005-0000-0000-0000AD5D0000}"/>
    <cellStyle name="Comma 35 3 4" xfId="23983" xr:uid="{00000000-0005-0000-0000-0000AE5D0000}"/>
    <cellStyle name="Comma 35 3 4 2" xfId="23984" xr:uid="{00000000-0005-0000-0000-0000AF5D0000}"/>
    <cellStyle name="Comma 35 3 5" xfId="23985" xr:uid="{00000000-0005-0000-0000-0000B05D0000}"/>
    <cellStyle name="Comma 35 4" xfId="23986" xr:uid="{00000000-0005-0000-0000-0000B15D0000}"/>
    <cellStyle name="Comma 35 4 2" xfId="23987" xr:uid="{00000000-0005-0000-0000-0000B25D0000}"/>
    <cellStyle name="Comma 35 4 2 2" xfId="23988" xr:uid="{00000000-0005-0000-0000-0000B35D0000}"/>
    <cellStyle name="Comma 35 4 2 2 2" xfId="23989" xr:uid="{00000000-0005-0000-0000-0000B45D0000}"/>
    <cellStyle name="Comma 35 4 2 3" xfId="23990" xr:uid="{00000000-0005-0000-0000-0000B55D0000}"/>
    <cellStyle name="Comma 35 4 3" xfId="23991" xr:uid="{00000000-0005-0000-0000-0000B65D0000}"/>
    <cellStyle name="Comma 35 4 3 2" xfId="23992" xr:uid="{00000000-0005-0000-0000-0000B75D0000}"/>
    <cellStyle name="Comma 35 4 4" xfId="23993" xr:uid="{00000000-0005-0000-0000-0000B85D0000}"/>
    <cellStyle name="Comma 35 4 4 2" xfId="23994" xr:uid="{00000000-0005-0000-0000-0000B95D0000}"/>
    <cellStyle name="Comma 35 4 5" xfId="23995" xr:uid="{00000000-0005-0000-0000-0000BA5D0000}"/>
    <cellStyle name="Comma 35 5" xfId="23996" xr:uid="{00000000-0005-0000-0000-0000BB5D0000}"/>
    <cellStyle name="Comma 35 5 2" xfId="23997" xr:uid="{00000000-0005-0000-0000-0000BC5D0000}"/>
    <cellStyle name="Comma 35 5 2 2" xfId="23998" xr:uid="{00000000-0005-0000-0000-0000BD5D0000}"/>
    <cellStyle name="Comma 35 5 3" xfId="23999" xr:uid="{00000000-0005-0000-0000-0000BE5D0000}"/>
    <cellStyle name="Comma 35 6" xfId="24000" xr:uid="{00000000-0005-0000-0000-0000BF5D0000}"/>
    <cellStyle name="Comma 35 6 2" xfId="24001" xr:uid="{00000000-0005-0000-0000-0000C05D0000}"/>
    <cellStyle name="Comma 35 7" xfId="24002" xr:uid="{00000000-0005-0000-0000-0000C15D0000}"/>
    <cellStyle name="Comma 35 7 2" xfId="24003" xr:uid="{00000000-0005-0000-0000-0000C25D0000}"/>
    <cellStyle name="Comma 35 8" xfId="24004" xr:uid="{00000000-0005-0000-0000-0000C35D0000}"/>
    <cellStyle name="Comma 36" xfId="24005" xr:uid="{00000000-0005-0000-0000-0000C45D0000}"/>
    <cellStyle name="Comma 36 2" xfId="24006" xr:uid="{00000000-0005-0000-0000-0000C55D0000}"/>
    <cellStyle name="Comma 36 2 2" xfId="24007" xr:uid="{00000000-0005-0000-0000-0000C65D0000}"/>
    <cellStyle name="Comma 36 2 2 2" xfId="24008" xr:uid="{00000000-0005-0000-0000-0000C75D0000}"/>
    <cellStyle name="Comma 36 2 2 2 2" xfId="24009" xr:uid="{00000000-0005-0000-0000-0000C85D0000}"/>
    <cellStyle name="Comma 36 2 2 3" xfId="24010" xr:uid="{00000000-0005-0000-0000-0000C95D0000}"/>
    <cellStyle name="Comma 36 2 3" xfId="24011" xr:uid="{00000000-0005-0000-0000-0000CA5D0000}"/>
    <cellStyle name="Comma 36 2 3 2" xfId="24012" xr:uid="{00000000-0005-0000-0000-0000CB5D0000}"/>
    <cellStyle name="Comma 36 2 4" xfId="24013" xr:uid="{00000000-0005-0000-0000-0000CC5D0000}"/>
    <cellStyle name="Comma 36 2 4 2" xfId="24014" xr:uid="{00000000-0005-0000-0000-0000CD5D0000}"/>
    <cellStyle name="Comma 36 2 5" xfId="24015" xr:uid="{00000000-0005-0000-0000-0000CE5D0000}"/>
    <cellStyle name="Comma 36 3" xfId="24016" xr:uid="{00000000-0005-0000-0000-0000CF5D0000}"/>
    <cellStyle name="Comma 36 3 2" xfId="24017" xr:uid="{00000000-0005-0000-0000-0000D05D0000}"/>
    <cellStyle name="Comma 36 3 2 2" xfId="24018" xr:uid="{00000000-0005-0000-0000-0000D15D0000}"/>
    <cellStyle name="Comma 36 3 2 2 2" xfId="24019" xr:uid="{00000000-0005-0000-0000-0000D25D0000}"/>
    <cellStyle name="Comma 36 3 2 3" xfId="24020" xr:uid="{00000000-0005-0000-0000-0000D35D0000}"/>
    <cellStyle name="Comma 36 3 3" xfId="24021" xr:uid="{00000000-0005-0000-0000-0000D45D0000}"/>
    <cellStyle name="Comma 36 3 3 2" xfId="24022" xr:uid="{00000000-0005-0000-0000-0000D55D0000}"/>
    <cellStyle name="Comma 36 3 4" xfId="24023" xr:uid="{00000000-0005-0000-0000-0000D65D0000}"/>
    <cellStyle name="Comma 36 3 4 2" xfId="24024" xr:uid="{00000000-0005-0000-0000-0000D75D0000}"/>
    <cellStyle name="Comma 36 3 5" xfId="24025" xr:uid="{00000000-0005-0000-0000-0000D85D0000}"/>
    <cellStyle name="Comma 36 4" xfId="24026" xr:uid="{00000000-0005-0000-0000-0000D95D0000}"/>
    <cellStyle name="Comma 36 4 2" xfId="24027" xr:uid="{00000000-0005-0000-0000-0000DA5D0000}"/>
    <cellStyle name="Comma 36 4 2 2" xfId="24028" xr:uid="{00000000-0005-0000-0000-0000DB5D0000}"/>
    <cellStyle name="Comma 36 4 3" xfId="24029" xr:uid="{00000000-0005-0000-0000-0000DC5D0000}"/>
    <cellStyle name="Comma 36 5" xfId="24030" xr:uid="{00000000-0005-0000-0000-0000DD5D0000}"/>
    <cellStyle name="Comma 36 5 2" xfId="24031" xr:uid="{00000000-0005-0000-0000-0000DE5D0000}"/>
    <cellStyle name="Comma 36 6" xfId="24032" xr:uid="{00000000-0005-0000-0000-0000DF5D0000}"/>
    <cellStyle name="Comma 36 6 2" xfId="24033" xr:uid="{00000000-0005-0000-0000-0000E05D0000}"/>
    <cellStyle name="Comma 36 7" xfId="24034" xr:uid="{00000000-0005-0000-0000-0000E15D0000}"/>
    <cellStyle name="Comma 37" xfId="24035" xr:uid="{00000000-0005-0000-0000-0000E25D0000}"/>
    <cellStyle name="Comma 37 2" xfId="24036" xr:uid="{00000000-0005-0000-0000-0000E35D0000}"/>
    <cellStyle name="Comma 37 2 2" xfId="24037" xr:uid="{00000000-0005-0000-0000-0000E45D0000}"/>
    <cellStyle name="Comma 37 2 2 2" xfId="24038" xr:uid="{00000000-0005-0000-0000-0000E55D0000}"/>
    <cellStyle name="Comma 37 2 2 2 2" xfId="24039" xr:uid="{00000000-0005-0000-0000-0000E65D0000}"/>
    <cellStyle name="Comma 37 2 2 3" xfId="24040" xr:uid="{00000000-0005-0000-0000-0000E75D0000}"/>
    <cellStyle name="Comma 37 2 3" xfId="24041" xr:uid="{00000000-0005-0000-0000-0000E85D0000}"/>
    <cellStyle name="Comma 37 2 3 2" xfId="24042" xr:uid="{00000000-0005-0000-0000-0000E95D0000}"/>
    <cellStyle name="Comma 37 2 4" xfId="24043" xr:uid="{00000000-0005-0000-0000-0000EA5D0000}"/>
    <cellStyle name="Comma 37 2 4 2" xfId="24044" xr:uid="{00000000-0005-0000-0000-0000EB5D0000}"/>
    <cellStyle name="Comma 37 2 5" xfId="24045" xr:uid="{00000000-0005-0000-0000-0000EC5D0000}"/>
    <cellStyle name="Comma 37 3" xfId="24046" xr:uid="{00000000-0005-0000-0000-0000ED5D0000}"/>
    <cellStyle name="Comma 37 3 2" xfId="24047" xr:uid="{00000000-0005-0000-0000-0000EE5D0000}"/>
    <cellStyle name="Comma 37 3 2 2" xfId="24048" xr:uid="{00000000-0005-0000-0000-0000EF5D0000}"/>
    <cellStyle name="Comma 37 3 2 2 2" xfId="24049" xr:uid="{00000000-0005-0000-0000-0000F05D0000}"/>
    <cellStyle name="Comma 37 3 2 3" xfId="24050" xr:uid="{00000000-0005-0000-0000-0000F15D0000}"/>
    <cellStyle name="Comma 37 3 3" xfId="24051" xr:uid="{00000000-0005-0000-0000-0000F25D0000}"/>
    <cellStyle name="Comma 37 3 3 2" xfId="24052" xr:uid="{00000000-0005-0000-0000-0000F35D0000}"/>
    <cellStyle name="Comma 37 3 4" xfId="24053" xr:uid="{00000000-0005-0000-0000-0000F45D0000}"/>
    <cellStyle name="Comma 37 3 4 2" xfId="24054" xr:uid="{00000000-0005-0000-0000-0000F55D0000}"/>
    <cellStyle name="Comma 37 3 5" xfId="24055" xr:uid="{00000000-0005-0000-0000-0000F65D0000}"/>
    <cellStyle name="Comma 37 4" xfId="24056" xr:uid="{00000000-0005-0000-0000-0000F75D0000}"/>
    <cellStyle name="Comma 37 4 2" xfId="24057" xr:uid="{00000000-0005-0000-0000-0000F85D0000}"/>
    <cellStyle name="Comma 37 4 2 2" xfId="24058" xr:uid="{00000000-0005-0000-0000-0000F95D0000}"/>
    <cellStyle name="Comma 37 4 3" xfId="24059" xr:uid="{00000000-0005-0000-0000-0000FA5D0000}"/>
    <cellStyle name="Comma 37 5" xfId="24060" xr:uid="{00000000-0005-0000-0000-0000FB5D0000}"/>
    <cellStyle name="Comma 37 5 2" xfId="24061" xr:uid="{00000000-0005-0000-0000-0000FC5D0000}"/>
    <cellStyle name="Comma 37 6" xfId="24062" xr:uid="{00000000-0005-0000-0000-0000FD5D0000}"/>
    <cellStyle name="Comma 37 6 2" xfId="24063" xr:uid="{00000000-0005-0000-0000-0000FE5D0000}"/>
    <cellStyle name="Comma 37 7" xfId="24064" xr:uid="{00000000-0005-0000-0000-0000FF5D0000}"/>
    <cellStyle name="Comma 38" xfId="24065" xr:uid="{00000000-0005-0000-0000-0000005E0000}"/>
    <cellStyle name="Comma 38 2" xfId="24066" xr:uid="{00000000-0005-0000-0000-0000015E0000}"/>
    <cellStyle name="Comma 38 2 2" xfId="24067" xr:uid="{00000000-0005-0000-0000-0000025E0000}"/>
    <cellStyle name="Comma 38 2 2 2" xfId="24068" xr:uid="{00000000-0005-0000-0000-0000035E0000}"/>
    <cellStyle name="Comma 38 2 2 2 2" xfId="24069" xr:uid="{00000000-0005-0000-0000-0000045E0000}"/>
    <cellStyle name="Comma 38 2 2 3" xfId="24070" xr:uid="{00000000-0005-0000-0000-0000055E0000}"/>
    <cellStyle name="Comma 38 2 3" xfId="24071" xr:uid="{00000000-0005-0000-0000-0000065E0000}"/>
    <cellStyle name="Comma 38 2 3 2" xfId="24072" xr:uid="{00000000-0005-0000-0000-0000075E0000}"/>
    <cellStyle name="Comma 38 2 4" xfId="24073" xr:uid="{00000000-0005-0000-0000-0000085E0000}"/>
    <cellStyle name="Comma 38 2 4 2" xfId="24074" xr:uid="{00000000-0005-0000-0000-0000095E0000}"/>
    <cellStyle name="Comma 38 2 5" xfId="24075" xr:uid="{00000000-0005-0000-0000-00000A5E0000}"/>
    <cellStyle name="Comma 38 3" xfId="24076" xr:uid="{00000000-0005-0000-0000-00000B5E0000}"/>
    <cellStyle name="Comma 38 3 2" xfId="24077" xr:uid="{00000000-0005-0000-0000-00000C5E0000}"/>
    <cellStyle name="Comma 38 3 2 2" xfId="24078" xr:uid="{00000000-0005-0000-0000-00000D5E0000}"/>
    <cellStyle name="Comma 38 3 2 2 2" xfId="24079" xr:uid="{00000000-0005-0000-0000-00000E5E0000}"/>
    <cellStyle name="Comma 38 3 2 3" xfId="24080" xr:uid="{00000000-0005-0000-0000-00000F5E0000}"/>
    <cellStyle name="Comma 38 3 3" xfId="24081" xr:uid="{00000000-0005-0000-0000-0000105E0000}"/>
    <cellStyle name="Comma 38 3 3 2" xfId="24082" xr:uid="{00000000-0005-0000-0000-0000115E0000}"/>
    <cellStyle name="Comma 38 3 4" xfId="24083" xr:uid="{00000000-0005-0000-0000-0000125E0000}"/>
    <cellStyle name="Comma 38 3 4 2" xfId="24084" xr:uid="{00000000-0005-0000-0000-0000135E0000}"/>
    <cellStyle name="Comma 38 3 5" xfId="24085" xr:uid="{00000000-0005-0000-0000-0000145E0000}"/>
    <cellStyle name="Comma 38 4" xfId="24086" xr:uid="{00000000-0005-0000-0000-0000155E0000}"/>
    <cellStyle name="Comma 38 4 2" xfId="24087" xr:uid="{00000000-0005-0000-0000-0000165E0000}"/>
    <cellStyle name="Comma 38 4 2 2" xfId="24088" xr:uid="{00000000-0005-0000-0000-0000175E0000}"/>
    <cellStyle name="Comma 38 4 3" xfId="24089" xr:uid="{00000000-0005-0000-0000-0000185E0000}"/>
    <cellStyle name="Comma 38 5" xfId="24090" xr:uid="{00000000-0005-0000-0000-0000195E0000}"/>
    <cellStyle name="Comma 38 5 2" xfId="24091" xr:uid="{00000000-0005-0000-0000-00001A5E0000}"/>
    <cellStyle name="Comma 38 6" xfId="24092" xr:uid="{00000000-0005-0000-0000-00001B5E0000}"/>
    <cellStyle name="Comma 38 6 2" xfId="24093" xr:uid="{00000000-0005-0000-0000-00001C5E0000}"/>
    <cellStyle name="Comma 38 7" xfId="24094" xr:uid="{00000000-0005-0000-0000-00001D5E0000}"/>
    <cellStyle name="Comma 39" xfId="24095" xr:uid="{00000000-0005-0000-0000-00001E5E0000}"/>
    <cellStyle name="Comma 39 2" xfId="24096" xr:uid="{00000000-0005-0000-0000-00001F5E0000}"/>
    <cellStyle name="Comma 39 2 2" xfId="24097" xr:uid="{00000000-0005-0000-0000-0000205E0000}"/>
    <cellStyle name="Comma 39 2 2 2" xfId="24098" xr:uid="{00000000-0005-0000-0000-0000215E0000}"/>
    <cellStyle name="Comma 39 2 2 2 2" xfId="24099" xr:uid="{00000000-0005-0000-0000-0000225E0000}"/>
    <cellStyle name="Comma 39 2 2 3" xfId="24100" xr:uid="{00000000-0005-0000-0000-0000235E0000}"/>
    <cellStyle name="Comma 39 2 3" xfId="24101" xr:uid="{00000000-0005-0000-0000-0000245E0000}"/>
    <cellStyle name="Comma 39 2 3 2" xfId="24102" xr:uid="{00000000-0005-0000-0000-0000255E0000}"/>
    <cellStyle name="Comma 39 2 4" xfId="24103" xr:uid="{00000000-0005-0000-0000-0000265E0000}"/>
    <cellStyle name="Comma 39 2 4 2" xfId="24104" xr:uid="{00000000-0005-0000-0000-0000275E0000}"/>
    <cellStyle name="Comma 39 2 5" xfId="24105" xr:uid="{00000000-0005-0000-0000-0000285E0000}"/>
    <cellStyle name="Comma 39 3" xfId="24106" xr:uid="{00000000-0005-0000-0000-0000295E0000}"/>
    <cellStyle name="Comma 39 3 2" xfId="24107" xr:uid="{00000000-0005-0000-0000-00002A5E0000}"/>
    <cellStyle name="Comma 39 3 2 2" xfId="24108" xr:uid="{00000000-0005-0000-0000-00002B5E0000}"/>
    <cellStyle name="Comma 39 3 2 2 2" xfId="24109" xr:uid="{00000000-0005-0000-0000-00002C5E0000}"/>
    <cellStyle name="Comma 39 3 2 3" xfId="24110" xr:uid="{00000000-0005-0000-0000-00002D5E0000}"/>
    <cellStyle name="Comma 39 3 3" xfId="24111" xr:uid="{00000000-0005-0000-0000-00002E5E0000}"/>
    <cellStyle name="Comma 39 3 3 2" xfId="24112" xr:uid="{00000000-0005-0000-0000-00002F5E0000}"/>
    <cellStyle name="Comma 39 3 4" xfId="24113" xr:uid="{00000000-0005-0000-0000-0000305E0000}"/>
    <cellStyle name="Comma 39 3 4 2" xfId="24114" xr:uid="{00000000-0005-0000-0000-0000315E0000}"/>
    <cellStyle name="Comma 39 3 5" xfId="24115" xr:uid="{00000000-0005-0000-0000-0000325E0000}"/>
    <cellStyle name="Comma 39 4" xfId="24116" xr:uid="{00000000-0005-0000-0000-0000335E0000}"/>
    <cellStyle name="Comma 39 4 2" xfId="24117" xr:uid="{00000000-0005-0000-0000-0000345E0000}"/>
    <cellStyle name="Comma 39 4 2 2" xfId="24118" xr:uid="{00000000-0005-0000-0000-0000355E0000}"/>
    <cellStyle name="Comma 39 4 3" xfId="24119" xr:uid="{00000000-0005-0000-0000-0000365E0000}"/>
    <cellStyle name="Comma 39 5" xfId="24120" xr:uid="{00000000-0005-0000-0000-0000375E0000}"/>
    <cellStyle name="Comma 39 5 2" xfId="24121" xr:uid="{00000000-0005-0000-0000-0000385E0000}"/>
    <cellStyle name="Comma 39 6" xfId="24122" xr:uid="{00000000-0005-0000-0000-0000395E0000}"/>
    <cellStyle name="Comma 39 6 2" xfId="24123" xr:uid="{00000000-0005-0000-0000-00003A5E0000}"/>
    <cellStyle name="Comma 39 7" xfId="24124" xr:uid="{00000000-0005-0000-0000-00003B5E0000}"/>
    <cellStyle name="Comma 4" xfId="24125" xr:uid="{00000000-0005-0000-0000-00003C5E0000}"/>
    <cellStyle name="Comma 4 2" xfId="24126" xr:uid="{00000000-0005-0000-0000-00003D5E0000}"/>
    <cellStyle name="Comma 4 2 2" xfId="24127" xr:uid="{00000000-0005-0000-0000-00003E5E0000}"/>
    <cellStyle name="Comma 4 3" xfId="24128" xr:uid="{00000000-0005-0000-0000-00003F5E0000}"/>
    <cellStyle name="Comma 4 4" xfId="24129" xr:uid="{00000000-0005-0000-0000-0000405E0000}"/>
    <cellStyle name="Comma 4 4 2" xfId="24130" xr:uid="{00000000-0005-0000-0000-0000415E0000}"/>
    <cellStyle name="Comma 4 4 2 2" xfId="24131" xr:uid="{00000000-0005-0000-0000-0000425E0000}"/>
    <cellStyle name="Comma 4 4 2 2 2" xfId="24132" xr:uid="{00000000-0005-0000-0000-0000435E0000}"/>
    <cellStyle name="Comma 4 4 2 3" xfId="24133" xr:uid="{00000000-0005-0000-0000-0000445E0000}"/>
    <cellStyle name="Comma 4 4 3" xfId="24134" xr:uid="{00000000-0005-0000-0000-0000455E0000}"/>
    <cellStyle name="Comma 4 4 3 2" xfId="24135" xr:uid="{00000000-0005-0000-0000-0000465E0000}"/>
    <cellStyle name="Comma 4 4 4" xfId="24136" xr:uid="{00000000-0005-0000-0000-0000475E0000}"/>
    <cellStyle name="Comma 4 4 4 2" xfId="24137" xr:uid="{00000000-0005-0000-0000-0000485E0000}"/>
    <cellStyle name="Comma 4 4 5" xfId="24138" xr:uid="{00000000-0005-0000-0000-0000495E0000}"/>
    <cellStyle name="Comma 4 5" xfId="24139" xr:uid="{00000000-0005-0000-0000-00004A5E0000}"/>
    <cellStyle name="Comma 4 5 2" xfId="24140" xr:uid="{00000000-0005-0000-0000-00004B5E0000}"/>
    <cellStyle name="Comma 4 5 2 2" xfId="24141" xr:uid="{00000000-0005-0000-0000-00004C5E0000}"/>
    <cellStyle name="Comma 4 5 2 2 2" xfId="24142" xr:uid="{00000000-0005-0000-0000-00004D5E0000}"/>
    <cellStyle name="Comma 4 5 2 3" xfId="24143" xr:uid="{00000000-0005-0000-0000-00004E5E0000}"/>
    <cellStyle name="Comma 4 5 3" xfId="24144" xr:uid="{00000000-0005-0000-0000-00004F5E0000}"/>
    <cellStyle name="Comma 4 5 3 2" xfId="24145" xr:uid="{00000000-0005-0000-0000-0000505E0000}"/>
    <cellStyle name="Comma 4 5 4" xfId="24146" xr:uid="{00000000-0005-0000-0000-0000515E0000}"/>
    <cellStyle name="Comma 4 5 4 2" xfId="24147" xr:uid="{00000000-0005-0000-0000-0000525E0000}"/>
    <cellStyle name="Comma 4 5 5" xfId="24148" xr:uid="{00000000-0005-0000-0000-0000535E0000}"/>
    <cellStyle name="Comma 4 6" xfId="24149" xr:uid="{00000000-0005-0000-0000-0000545E0000}"/>
    <cellStyle name="Comma 4 6 2" xfId="24150" xr:uid="{00000000-0005-0000-0000-0000555E0000}"/>
    <cellStyle name="Comma 4 6 2 2" xfId="24151" xr:uid="{00000000-0005-0000-0000-0000565E0000}"/>
    <cellStyle name="Comma 4 6 2 2 2" xfId="24152" xr:uid="{00000000-0005-0000-0000-0000575E0000}"/>
    <cellStyle name="Comma 4 6 2 3" xfId="24153" xr:uid="{00000000-0005-0000-0000-0000585E0000}"/>
    <cellStyle name="Comma 4 6 3" xfId="24154" xr:uid="{00000000-0005-0000-0000-0000595E0000}"/>
    <cellStyle name="Comma 4 6 3 2" xfId="24155" xr:uid="{00000000-0005-0000-0000-00005A5E0000}"/>
    <cellStyle name="Comma 4 6 4" xfId="24156" xr:uid="{00000000-0005-0000-0000-00005B5E0000}"/>
    <cellStyle name="Comma 4 6 4 2" xfId="24157" xr:uid="{00000000-0005-0000-0000-00005C5E0000}"/>
    <cellStyle name="Comma 4 6 5" xfId="24158" xr:uid="{00000000-0005-0000-0000-00005D5E0000}"/>
    <cellStyle name="Comma 4 7" xfId="24159" xr:uid="{00000000-0005-0000-0000-00005E5E0000}"/>
    <cellStyle name="Comma 4 8" xfId="24160" xr:uid="{00000000-0005-0000-0000-00005F5E0000}"/>
    <cellStyle name="Comma 40" xfId="24161" xr:uid="{00000000-0005-0000-0000-0000605E0000}"/>
    <cellStyle name="Comma 40 2" xfId="24162" xr:uid="{00000000-0005-0000-0000-0000615E0000}"/>
    <cellStyle name="Comma 40 2 2" xfId="24163" xr:uid="{00000000-0005-0000-0000-0000625E0000}"/>
    <cellStyle name="Comma 40 2 2 2" xfId="24164" xr:uid="{00000000-0005-0000-0000-0000635E0000}"/>
    <cellStyle name="Comma 40 2 2 2 2" xfId="24165" xr:uid="{00000000-0005-0000-0000-0000645E0000}"/>
    <cellStyle name="Comma 40 2 2 3" xfId="24166" xr:uid="{00000000-0005-0000-0000-0000655E0000}"/>
    <cellStyle name="Comma 40 2 3" xfId="24167" xr:uid="{00000000-0005-0000-0000-0000665E0000}"/>
    <cellStyle name="Comma 40 2 3 2" xfId="24168" xr:uid="{00000000-0005-0000-0000-0000675E0000}"/>
    <cellStyle name="Comma 40 2 4" xfId="24169" xr:uid="{00000000-0005-0000-0000-0000685E0000}"/>
    <cellStyle name="Comma 40 2 4 2" xfId="24170" xr:uid="{00000000-0005-0000-0000-0000695E0000}"/>
    <cellStyle name="Comma 40 2 5" xfId="24171" xr:uid="{00000000-0005-0000-0000-00006A5E0000}"/>
    <cellStyle name="Comma 40 3" xfId="24172" xr:uid="{00000000-0005-0000-0000-00006B5E0000}"/>
    <cellStyle name="Comma 40 3 2" xfId="24173" xr:uid="{00000000-0005-0000-0000-00006C5E0000}"/>
    <cellStyle name="Comma 40 3 2 2" xfId="24174" xr:uid="{00000000-0005-0000-0000-00006D5E0000}"/>
    <cellStyle name="Comma 40 3 2 2 2" xfId="24175" xr:uid="{00000000-0005-0000-0000-00006E5E0000}"/>
    <cellStyle name="Comma 40 3 2 3" xfId="24176" xr:uid="{00000000-0005-0000-0000-00006F5E0000}"/>
    <cellStyle name="Comma 40 3 3" xfId="24177" xr:uid="{00000000-0005-0000-0000-0000705E0000}"/>
    <cellStyle name="Comma 40 3 3 2" xfId="24178" xr:uid="{00000000-0005-0000-0000-0000715E0000}"/>
    <cellStyle name="Comma 40 3 4" xfId="24179" xr:uid="{00000000-0005-0000-0000-0000725E0000}"/>
    <cellStyle name="Comma 40 3 4 2" xfId="24180" xr:uid="{00000000-0005-0000-0000-0000735E0000}"/>
    <cellStyle name="Comma 40 3 5" xfId="24181" xr:uid="{00000000-0005-0000-0000-0000745E0000}"/>
    <cellStyle name="Comma 40 4" xfId="24182" xr:uid="{00000000-0005-0000-0000-0000755E0000}"/>
    <cellStyle name="Comma 40 4 2" xfId="24183" xr:uid="{00000000-0005-0000-0000-0000765E0000}"/>
    <cellStyle name="Comma 40 4 2 2" xfId="24184" xr:uid="{00000000-0005-0000-0000-0000775E0000}"/>
    <cellStyle name="Comma 40 4 3" xfId="24185" xr:uid="{00000000-0005-0000-0000-0000785E0000}"/>
    <cellStyle name="Comma 40 5" xfId="24186" xr:uid="{00000000-0005-0000-0000-0000795E0000}"/>
    <cellStyle name="Comma 40 5 2" xfId="24187" xr:uid="{00000000-0005-0000-0000-00007A5E0000}"/>
    <cellStyle name="Comma 40 6" xfId="24188" xr:uid="{00000000-0005-0000-0000-00007B5E0000}"/>
    <cellStyle name="Comma 40 6 2" xfId="24189" xr:uid="{00000000-0005-0000-0000-00007C5E0000}"/>
    <cellStyle name="Comma 40 7" xfId="24190" xr:uid="{00000000-0005-0000-0000-00007D5E0000}"/>
    <cellStyle name="Comma 41" xfId="24191" xr:uid="{00000000-0005-0000-0000-00007E5E0000}"/>
    <cellStyle name="Comma 41 2" xfId="24192" xr:uid="{00000000-0005-0000-0000-00007F5E0000}"/>
    <cellStyle name="Comma 41 2 2" xfId="24193" xr:uid="{00000000-0005-0000-0000-0000805E0000}"/>
    <cellStyle name="Comma 41 2 2 2" xfId="24194" xr:uid="{00000000-0005-0000-0000-0000815E0000}"/>
    <cellStyle name="Comma 41 2 2 2 2" xfId="24195" xr:uid="{00000000-0005-0000-0000-0000825E0000}"/>
    <cellStyle name="Comma 41 2 2 3" xfId="24196" xr:uid="{00000000-0005-0000-0000-0000835E0000}"/>
    <cellStyle name="Comma 41 2 3" xfId="24197" xr:uid="{00000000-0005-0000-0000-0000845E0000}"/>
    <cellStyle name="Comma 41 2 3 2" xfId="24198" xr:uid="{00000000-0005-0000-0000-0000855E0000}"/>
    <cellStyle name="Comma 41 2 4" xfId="24199" xr:uid="{00000000-0005-0000-0000-0000865E0000}"/>
    <cellStyle name="Comma 41 2 4 2" xfId="24200" xr:uid="{00000000-0005-0000-0000-0000875E0000}"/>
    <cellStyle name="Comma 41 2 5" xfId="24201" xr:uid="{00000000-0005-0000-0000-0000885E0000}"/>
    <cellStyle name="Comma 41 3" xfId="24202" xr:uid="{00000000-0005-0000-0000-0000895E0000}"/>
    <cellStyle name="Comma 41 3 2" xfId="24203" xr:uid="{00000000-0005-0000-0000-00008A5E0000}"/>
    <cellStyle name="Comma 41 3 2 2" xfId="24204" xr:uid="{00000000-0005-0000-0000-00008B5E0000}"/>
    <cellStyle name="Comma 41 3 2 2 2" xfId="24205" xr:uid="{00000000-0005-0000-0000-00008C5E0000}"/>
    <cellStyle name="Comma 41 3 2 3" xfId="24206" xr:uid="{00000000-0005-0000-0000-00008D5E0000}"/>
    <cellStyle name="Comma 41 3 3" xfId="24207" xr:uid="{00000000-0005-0000-0000-00008E5E0000}"/>
    <cellStyle name="Comma 41 3 3 2" xfId="24208" xr:uid="{00000000-0005-0000-0000-00008F5E0000}"/>
    <cellStyle name="Comma 41 3 4" xfId="24209" xr:uid="{00000000-0005-0000-0000-0000905E0000}"/>
    <cellStyle name="Comma 41 3 4 2" xfId="24210" xr:uid="{00000000-0005-0000-0000-0000915E0000}"/>
    <cellStyle name="Comma 41 3 5" xfId="24211" xr:uid="{00000000-0005-0000-0000-0000925E0000}"/>
    <cellStyle name="Comma 41 4" xfId="24212" xr:uid="{00000000-0005-0000-0000-0000935E0000}"/>
    <cellStyle name="Comma 41 4 2" xfId="24213" xr:uid="{00000000-0005-0000-0000-0000945E0000}"/>
    <cellStyle name="Comma 41 4 2 2" xfId="24214" xr:uid="{00000000-0005-0000-0000-0000955E0000}"/>
    <cellStyle name="Comma 41 4 3" xfId="24215" xr:uid="{00000000-0005-0000-0000-0000965E0000}"/>
    <cellStyle name="Comma 41 5" xfId="24216" xr:uid="{00000000-0005-0000-0000-0000975E0000}"/>
    <cellStyle name="Comma 41 5 2" xfId="24217" xr:uid="{00000000-0005-0000-0000-0000985E0000}"/>
    <cellStyle name="Comma 41 6" xfId="24218" xr:uid="{00000000-0005-0000-0000-0000995E0000}"/>
    <cellStyle name="Comma 41 6 2" xfId="24219" xr:uid="{00000000-0005-0000-0000-00009A5E0000}"/>
    <cellStyle name="Comma 41 7" xfId="24220" xr:uid="{00000000-0005-0000-0000-00009B5E0000}"/>
    <cellStyle name="Comma 42" xfId="24221" xr:uid="{00000000-0005-0000-0000-00009C5E0000}"/>
    <cellStyle name="Comma 42 2" xfId="24222" xr:uid="{00000000-0005-0000-0000-00009D5E0000}"/>
    <cellStyle name="Comma 42 2 2" xfId="24223" xr:uid="{00000000-0005-0000-0000-00009E5E0000}"/>
    <cellStyle name="Comma 42 2 2 2" xfId="24224" xr:uid="{00000000-0005-0000-0000-00009F5E0000}"/>
    <cellStyle name="Comma 42 2 2 2 2" xfId="24225" xr:uid="{00000000-0005-0000-0000-0000A05E0000}"/>
    <cellStyle name="Comma 42 2 2 3" xfId="24226" xr:uid="{00000000-0005-0000-0000-0000A15E0000}"/>
    <cellStyle name="Comma 42 2 3" xfId="24227" xr:uid="{00000000-0005-0000-0000-0000A25E0000}"/>
    <cellStyle name="Comma 42 2 3 2" xfId="24228" xr:uid="{00000000-0005-0000-0000-0000A35E0000}"/>
    <cellStyle name="Comma 42 2 4" xfId="24229" xr:uid="{00000000-0005-0000-0000-0000A45E0000}"/>
    <cellStyle name="Comma 42 2 4 2" xfId="24230" xr:uid="{00000000-0005-0000-0000-0000A55E0000}"/>
    <cellStyle name="Comma 42 2 5" xfId="24231" xr:uid="{00000000-0005-0000-0000-0000A65E0000}"/>
    <cellStyle name="Comma 42 3" xfId="24232" xr:uid="{00000000-0005-0000-0000-0000A75E0000}"/>
    <cellStyle name="Comma 42 3 2" xfId="24233" xr:uid="{00000000-0005-0000-0000-0000A85E0000}"/>
    <cellStyle name="Comma 42 3 2 2" xfId="24234" xr:uid="{00000000-0005-0000-0000-0000A95E0000}"/>
    <cellStyle name="Comma 42 3 2 2 2" xfId="24235" xr:uid="{00000000-0005-0000-0000-0000AA5E0000}"/>
    <cellStyle name="Comma 42 3 2 3" xfId="24236" xr:uid="{00000000-0005-0000-0000-0000AB5E0000}"/>
    <cellStyle name="Comma 42 3 3" xfId="24237" xr:uid="{00000000-0005-0000-0000-0000AC5E0000}"/>
    <cellStyle name="Comma 42 3 3 2" xfId="24238" xr:uid="{00000000-0005-0000-0000-0000AD5E0000}"/>
    <cellStyle name="Comma 42 3 4" xfId="24239" xr:uid="{00000000-0005-0000-0000-0000AE5E0000}"/>
    <cellStyle name="Comma 42 3 4 2" xfId="24240" xr:uid="{00000000-0005-0000-0000-0000AF5E0000}"/>
    <cellStyle name="Comma 42 3 5" xfId="24241" xr:uid="{00000000-0005-0000-0000-0000B05E0000}"/>
    <cellStyle name="Comma 42 4" xfId="24242" xr:uid="{00000000-0005-0000-0000-0000B15E0000}"/>
    <cellStyle name="Comma 42 4 2" xfId="24243" xr:uid="{00000000-0005-0000-0000-0000B25E0000}"/>
    <cellStyle name="Comma 42 4 2 2" xfId="24244" xr:uid="{00000000-0005-0000-0000-0000B35E0000}"/>
    <cellStyle name="Comma 42 4 3" xfId="24245" xr:uid="{00000000-0005-0000-0000-0000B45E0000}"/>
    <cellStyle name="Comma 42 5" xfId="24246" xr:uid="{00000000-0005-0000-0000-0000B55E0000}"/>
    <cellStyle name="Comma 42 5 2" xfId="24247" xr:uid="{00000000-0005-0000-0000-0000B65E0000}"/>
    <cellStyle name="Comma 42 6" xfId="24248" xr:uid="{00000000-0005-0000-0000-0000B75E0000}"/>
    <cellStyle name="Comma 42 6 2" xfId="24249" xr:uid="{00000000-0005-0000-0000-0000B85E0000}"/>
    <cellStyle name="Comma 42 7" xfId="24250" xr:uid="{00000000-0005-0000-0000-0000B95E0000}"/>
    <cellStyle name="Comma 43" xfId="24251" xr:uid="{00000000-0005-0000-0000-0000BA5E0000}"/>
    <cellStyle name="Comma 44" xfId="24252" xr:uid="{00000000-0005-0000-0000-0000BB5E0000}"/>
    <cellStyle name="Comma 44 2" xfId="24253" xr:uid="{00000000-0005-0000-0000-0000BC5E0000}"/>
    <cellStyle name="Comma 44 2 2" xfId="24254" xr:uid="{00000000-0005-0000-0000-0000BD5E0000}"/>
    <cellStyle name="Comma 44 2 2 2" xfId="24255" xr:uid="{00000000-0005-0000-0000-0000BE5E0000}"/>
    <cellStyle name="Comma 44 2 2 2 2" xfId="24256" xr:uid="{00000000-0005-0000-0000-0000BF5E0000}"/>
    <cellStyle name="Comma 44 2 2 3" xfId="24257" xr:uid="{00000000-0005-0000-0000-0000C05E0000}"/>
    <cellStyle name="Comma 44 2 3" xfId="24258" xr:uid="{00000000-0005-0000-0000-0000C15E0000}"/>
    <cellStyle name="Comma 44 2 3 2" xfId="24259" xr:uid="{00000000-0005-0000-0000-0000C25E0000}"/>
    <cellStyle name="Comma 44 2 4" xfId="24260" xr:uid="{00000000-0005-0000-0000-0000C35E0000}"/>
    <cellStyle name="Comma 44 2 4 2" xfId="24261" xr:uid="{00000000-0005-0000-0000-0000C45E0000}"/>
    <cellStyle name="Comma 44 2 5" xfId="24262" xr:uid="{00000000-0005-0000-0000-0000C55E0000}"/>
    <cellStyle name="Comma 44 3" xfId="24263" xr:uid="{00000000-0005-0000-0000-0000C65E0000}"/>
    <cellStyle name="Comma 44 3 2" xfId="24264" xr:uid="{00000000-0005-0000-0000-0000C75E0000}"/>
    <cellStyle name="Comma 44 3 2 2" xfId="24265" xr:uid="{00000000-0005-0000-0000-0000C85E0000}"/>
    <cellStyle name="Comma 44 3 2 2 2" xfId="24266" xr:uid="{00000000-0005-0000-0000-0000C95E0000}"/>
    <cellStyle name="Comma 44 3 2 3" xfId="24267" xr:uid="{00000000-0005-0000-0000-0000CA5E0000}"/>
    <cellStyle name="Comma 44 3 3" xfId="24268" xr:uid="{00000000-0005-0000-0000-0000CB5E0000}"/>
    <cellStyle name="Comma 44 3 3 2" xfId="24269" xr:uid="{00000000-0005-0000-0000-0000CC5E0000}"/>
    <cellStyle name="Comma 44 3 4" xfId="24270" xr:uid="{00000000-0005-0000-0000-0000CD5E0000}"/>
    <cellStyle name="Comma 44 3 4 2" xfId="24271" xr:uid="{00000000-0005-0000-0000-0000CE5E0000}"/>
    <cellStyle name="Comma 44 3 5" xfId="24272" xr:uid="{00000000-0005-0000-0000-0000CF5E0000}"/>
    <cellStyle name="Comma 44 4" xfId="24273" xr:uid="{00000000-0005-0000-0000-0000D05E0000}"/>
    <cellStyle name="Comma 44 4 2" xfId="24274" xr:uid="{00000000-0005-0000-0000-0000D15E0000}"/>
    <cellStyle name="Comma 44 4 2 2" xfId="24275" xr:uid="{00000000-0005-0000-0000-0000D25E0000}"/>
    <cellStyle name="Comma 44 4 3" xfId="24276" xr:uid="{00000000-0005-0000-0000-0000D35E0000}"/>
    <cellStyle name="Comma 44 5" xfId="24277" xr:uid="{00000000-0005-0000-0000-0000D45E0000}"/>
    <cellStyle name="Comma 44 5 2" xfId="24278" xr:uid="{00000000-0005-0000-0000-0000D55E0000}"/>
    <cellStyle name="Comma 44 6" xfId="24279" xr:uid="{00000000-0005-0000-0000-0000D65E0000}"/>
    <cellStyle name="Comma 44 6 2" xfId="24280" xr:uid="{00000000-0005-0000-0000-0000D75E0000}"/>
    <cellStyle name="Comma 44 7" xfId="24281" xr:uid="{00000000-0005-0000-0000-0000D85E0000}"/>
    <cellStyle name="Comma 45" xfId="24282" xr:uid="{00000000-0005-0000-0000-0000D95E0000}"/>
    <cellStyle name="Comma 45 2" xfId="24283" xr:uid="{00000000-0005-0000-0000-0000DA5E0000}"/>
    <cellStyle name="Comma 45 2 2" xfId="24284" xr:uid="{00000000-0005-0000-0000-0000DB5E0000}"/>
    <cellStyle name="Comma 45 2 2 2" xfId="24285" xr:uid="{00000000-0005-0000-0000-0000DC5E0000}"/>
    <cellStyle name="Comma 45 2 3" xfId="24286" xr:uid="{00000000-0005-0000-0000-0000DD5E0000}"/>
    <cellStyle name="Comma 45 3" xfId="24287" xr:uid="{00000000-0005-0000-0000-0000DE5E0000}"/>
    <cellStyle name="Comma 45 3 2" xfId="24288" xr:uid="{00000000-0005-0000-0000-0000DF5E0000}"/>
    <cellStyle name="Comma 45 4" xfId="24289" xr:uid="{00000000-0005-0000-0000-0000E05E0000}"/>
    <cellStyle name="Comma 45 4 2" xfId="24290" xr:uid="{00000000-0005-0000-0000-0000E15E0000}"/>
    <cellStyle name="Comma 45 5" xfId="24291" xr:uid="{00000000-0005-0000-0000-0000E25E0000}"/>
    <cellStyle name="Comma 46" xfId="24292" xr:uid="{00000000-0005-0000-0000-0000E35E0000}"/>
    <cellStyle name="Comma 46 2" xfId="24293" xr:uid="{00000000-0005-0000-0000-0000E45E0000}"/>
    <cellStyle name="Comma 46 2 2" xfId="24294" xr:uid="{00000000-0005-0000-0000-0000E55E0000}"/>
    <cellStyle name="Comma 46 2 2 2" xfId="24295" xr:uid="{00000000-0005-0000-0000-0000E65E0000}"/>
    <cellStyle name="Comma 46 2 3" xfId="24296" xr:uid="{00000000-0005-0000-0000-0000E75E0000}"/>
    <cellStyle name="Comma 46 3" xfId="24297" xr:uid="{00000000-0005-0000-0000-0000E85E0000}"/>
    <cellStyle name="Comma 46 3 2" xfId="24298" xr:uid="{00000000-0005-0000-0000-0000E95E0000}"/>
    <cellStyle name="Comma 46 4" xfId="24299" xr:uid="{00000000-0005-0000-0000-0000EA5E0000}"/>
    <cellStyle name="Comma 46 4 2" xfId="24300" xr:uid="{00000000-0005-0000-0000-0000EB5E0000}"/>
    <cellStyle name="Comma 46 5" xfId="24301" xr:uid="{00000000-0005-0000-0000-0000EC5E0000}"/>
    <cellStyle name="Comma 5" xfId="24302" xr:uid="{00000000-0005-0000-0000-0000ED5E0000}"/>
    <cellStyle name="Comma 5 2" xfId="24303" xr:uid="{00000000-0005-0000-0000-0000EE5E0000}"/>
    <cellStyle name="Comma 5 2 2" xfId="24304" xr:uid="{00000000-0005-0000-0000-0000EF5E0000}"/>
    <cellStyle name="Comma 5 2 2 2" xfId="24305" xr:uid="{00000000-0005-0000-0000-0000F05E0000}"/>
    <cellStyle name="Comma 5 2 2 2 2" xfId="24306" xr:uid="{00000000-0005-0000-0000-0000F15E0000}"/>
    <cellStyle name="Comma 5 2 2 2 2 2" xfId="24307" xr:uid="{00000000-0005-0000-0000-0000F25E0000}"/>
    <cellStyle name="Comma 5 2 2 2 3" xfId="24308" xr:uid="{00000000-0005-0000-0000-0000F35E0000}"/>
    <cellStyle name="Comma 5 2 2 3" xfId="24309" xr:uid="{00000000-0005-0000-0000-0000F45E0000}"/>
    <cellStyle name="Comma 5 2 2 3 2" xfId="24310" xr:uid="{00000000-0005-0000-0000-0000F55E0000}"/>
    <cellStyle name="Comma 5 2 2 4" xfId="24311" xr:uid="{00000000-0005-0000-0000-0000F65E0000}"/>
    <cellStyle name="Comma 5 2 2 4 2" xfId="24312" xr:uid="{00000000-0005-0000-0000-0000F75E0000}"/>
    <cellStyle name="Comma 5 2 2 5" xfId="24313" xr:uid="{00000000-0005-0000-0000-0000F85E0000}"/>
    <cellStyle name="Comma 5 2 3" xfId="24314" xr:uid="{00000000-0005-0000-0000-0000F95E0000}"/>
    <cellStyle name="Comma 5 2 3 2" xfId="24315" xr:uid="{00000000-0005-0000-0000-0000FA5E0000}"/>
    <cellStyle name="Comma 5 2 3 2 2" xfId="24316" xr:uid="{00000000-0005-0000-0000-0000FB5E0000}"/>
    <cellStyle name="Comma 5 2 3 2 2 2" xfId="24317" xr:uid="{00000000-0005-0000-0000-0000FC5E0000}"/>
    <cellStyle name="Comma 5 2 3 2 3" xfId="24318" xr:uid="{00000000-0005-0000-0000-0000FD5E0000}"/>
    <cellStyle name="Comma 5 2 3 3" xfId="24319" xr:uid="{00000000-0005-0000-0000-0000FE5E0000}"/>
    <cellStyle name="Comma 5 2 3 3 2" xfId="24320" xr:uid="{00000000-0005-0000-0000-0000FF5E0000}"/>
    <cellStyle name="Comma 5 2 3 4" xfId="24321" xr:uid="{00000000-0005-0000-0000-0000005F0000}"/>
    <cellStyle name="Comma 5 2 3 4 2" xfId="24322" xr:uid="{00000000-0005-0000-0000-0000015F0000}"/>
    <cellStyle name="Comma 5 2 3 5" xfId="24323" xr:uid="{00000000-0005-0000-0000-0000025F0000}"/>
    <cellStyle name="Comma 5 2 4" xfId="24324" xr:uid="{00000000-0005-0000-0000-0000035F0000}"/>
    <cellStyle name="Comma 5 2 4 2" xfId="24325" xr:uid="{00000000-0005-0000-0000-0000045F0000}"/>
    <cellStyle name="Comma 5 2 4 2 2" xfId="24326" xr:uid="{00000000-0005-0000-0000-0000055F0000}"/>
    <cellStyle name="Comma 5 2 4 3" xfId="24327" xr:uid="{00000000-0005-0000-0000-0000065F0000}"/>
    <cellStyle name="Comma 5 2 5" xfId="24328" xr:uid="{00000000-0005-0000-0000-0000075F0000}"/>
    <cellStyle name="Comma 5 2 5 2" xfId="24329" xr:uid="{00000000-0005-0000-0000-0000085F0000}"/>
    <cellStyle name="Comma 5 2 6" xfId="24330" xr:uid="{00000000-0005-0000-0000-0000095F0000}"/>
    <cellStyle name="Comma 5 2 6 2" xfId="24331" xr:uid="{00000000-0005-0000-0000-00000A5F0000}"/>
    <cellStyle name="Comma 5 2 7" xfId="24332" xr:uid="{00000000-0005-0000-0000-00000B5F0000}"/>
    <cellStyle name="Comma 5 3" xfId="24333" xr:uid="{00000000-0005-0000-0000-00000C5F0000}"/>
    <cellStyle name="Comma 5 3 2" xfId="24334" xr:uid="{00000000-0005-0000-0000-00000D5F0000}"/>
    <cellStyle name="Comma 5 3 2 2" xfId="24335" xr:uid="{00000000-0005-0000-0000-00000E5F0000}"/>
    <cellStyle name="Comma 5 3 2 2 2" xfId="24336" xr:uid="{00000000-0005-0000-0000-00000F5F0000}"/>
    <cellStyle name="Comma 5 3 2 2 2 2" xfId="24337" xr:uid="{00000000-0005-0000-0000-0000105F0000}"/>
    <cellStyle name="Comma 5 3 2 2 3" xfId="24338" xr:uid="{00000000-0005-0000-0000-0000115F0000}"/>
    <cellStyle name="Comma 5 3 2 3" xfId="24339" xr:uid="{00000000-0005-0000-0000-0000125F0000}"/>
    <cellStyle name="Comma 5 3 2 3 2" xfId="24340" xr:uid="{00000000-0005-0000-0000-0000135F0000}"/>
    <cellStyle name="Comma 5 3 2 4" xfId="24341" xr:uid="{00000000-0005-0000-0000-0000145F0000}"/>
    <cellStyle name="Comma 5 3 2 4 2" xfId="24342" xr:uid="{00000000-0005-0000-0000-0000155F0000}"/>
    <cellStyle name="Comma 5 3 2 5" xfId="24343" xr:uid="{00000000-0005-0000-0000-0000165F0000}"/>
    <cellStyle name="Comma 5 3 3" xfId="24344" xr:uid="{00000000-0005-0000-0000-0000175F0000}"/>
    <cellStyle name="Comma 5 3 3 2" xfId="24345" xr:uid="{00000000-0005-0000-0000-0000185F0000}"/>
    <cellStyle name="Comma 5 3 3 2 2" xfId="24346" xr:uid="{00000000-0005-0000-0000-0000195F0000}"/>
    <cellStyle name="Comma 5 3 3 2 2 2" xfId="24347" xr:uid="{00000000-0005-0000-0000-00001A5F0000}"/>
    <cellStyle name="Comma 5 3 3 2 3" xfId="24348" xr:uid="{00000000-0005-0000-0000-00001B5F0000}"/>
    <cellStyle name="Comma 5 3 3 3" xfId="24349" xr:uid="{00000000-0005-0000-0000-00001C5F0000}"/>
    <cellStyle name="Comma 5 3 3 3 2" xfId="24350" xr:uid="{00000000-0005-0000-0000-00001D5F0000}"/>
    <cellStyle name="Comma 5 3 3 4" xfId="24351" xr:uid="{00000000-0005-0000-0000-00001E5F0000}"/>
    <cellStyle name="Comma 5 3 3 4 2" xfId="24352" xr:uid="{00000000-0005-0000-0000-00001F5F0000}"/>
    <cellStyle name="Comma 5 3 3 5" xfId="24353" xr:uid="{00000000-0005-0000-0000-0000205F0000}"/>
    <cellStyle name="Comma 5 3 4" xfId="24354" xr:uid="{00000000-0005-0000-0000-0000215F0000}"/>
    <cellStyle name="Comma 5 3 4 2" xfId="24355" xr:uid="{00000000-0005-0000-0000-0000225F0000}"/>
    <cellStyle name="Comma 5 3 4 2 2" xfId="24356" xr:uid="{00000000-0005-0000-0000-0000235F0000}"/>
    <cellStyle name="Comma 5 3 4 3" xfId="24357" xr:uid="{00000000-0005-0000-0000-0000245F0000}"/>
    <cellStyle name="Comma 5 3 5" xfId="24358" xr:uid="{00000000-0005-0000-0000-0000255F0000}"/>
    <cellStyle name="Comma 5 3 5 2" xfId="24359" xr:uid="{00000000-0005-0000-0000-0000265F0000}"/>
    <cellStyle name="Comma 5 3 6" xfId="24360" xr:uid="{00000000-0005-0000-0000-0000275F0000}"/>
    <cellStyle name="Comma 5 3 6 2" xfId="24361" xr:uid="{00000000-0005-0000-0000-0000285F0000}"/>
    <cellStyle name="Comma 5 3 7" xfId="24362" xr:uid="{00000000-0005-0000-0000-0000295F0000}"/>
    <cellStyle name="Comma 6" xfId="24363" xr:uid="{00000000-0005-0000-0000-00002A5F0000}"/>
    <cellStyle name="Comma 6 2" xfId="24364" xr:uid="{00000000-0005-0000-0000-00002B5F0000}"/>
    <cellStyle name="Comma 6 2 2" xfId="24365" xr:uid="{00000000-0005-0000-0000-00002C5F0000}"/>
    <cellStyle name="Comma 6 2 2 2" xfId="24366" xr:uid="{00000000-0005-0000-0000-00002D5F0000}"/>
    <cellStyle name="Comma 6 2 2 2 2" xfId="24367" xr:uid="{00000000-0005-0000-0000-00002E5F0000}"/>
    <cellStyle name="Comma 6 2 2 2 2 2" xfId="24368" xr:uid="{00000000-0005-0000-0000-00002F5F0000}"/>
    <cellStyle name="Comma 6 2 2 2 2 2 2" xfId="24369" xr:uid="{00000000-0005-0000-0000-0000305F0000}"/>
    <cellStyle name="Comma 6 2 2 2 2 3" xfId="24370" xr:uid="{00000000-0005-0000-0000-0000315F0000}"/>
    <cellStyle name="Comma 6 2 2 2 3" xfId="24371" xr:uid="{00000000-0005-0000-0000-0000325F0000}"/>
    <cellStyle name="Comma 6 2 2 2 3 2" xfId="24372" xr:uid="{00000000-0005-0000-0000-0000335F0000}"/>
    <cellStyle name="Comma 6 2 2 2 4" xfId="24373" xr:uid="{00000000-0005-0000-0000-0000345F0000}"/>
    <cellStyle name="Comma 6 2 2 2 4 2" xfId="24374" xr:uid="{00000000-0005-0000-0000-0000355F0000}"/>
    <cellStyle name="Comma 6 2 2 2 5" xfId="24375" xr:uid="{00000000-0005-0000-0000-0000365F0000}"/>
    <cellStyle name="Comma 6 2 2 3" xfId="24376" xr:uid="{00000000-0005-0000-0000-0000375F0000}"/>
    <cellStyle name="Comma 6 2 2 3 2" xfId="24377" xr:uid="{00000000-0005-0000-0000-0000385F0000}"/>
    <cellStyle name="Comma 6 2 2 3 2 2" xfId="24378" xr:uid="{00000000-0005-0000-0000-0000395F0000}"/>
    <cellStyle name="Comma 6 2 2 3 2 2 2" xfId="24379" xr:uid="{00000000-0005-0000-0000-00003A5F0000}"/>
    <cellStyle name="Comma 6 2 2 3 2 3" xfId="24380" xr:uid="{00000000-0005-0000-0000-00003B5F0000}"/>
    <cellStyle name="Comma 6 2 2 3 3" xfId="24381" xr:uid="{00000000-0005-0000-0000-00003C5F0000}"/>
    <cellStyle name="Comma 6 2 2 3 3 2" xfId="24382" xr:uid="{00000000-0005-0000-0000-00003D5F0000}"/>
    <cellStyle name="Comma 6 2 2 3 4" xfId="24383" xr:uid="{00000000-0005-0000-0000-00003E5F0000}"/>
    <cellStyle name="Comma 6 2 2 3 4 2" xfId="24384" xr:uid="{00000000-0005-0000-0000-00003F5F0000}"/>
    <cellStyle name="Comma 6 2 2 3 5" xfId="24385" xr:uid="{00000000-0005-0000-0000-0000405F0000}"/>
    <cellStyle name="Comma 6 2 2 4" xfId="24386" xr:uid="{00000000-0005-0000-0000-0000415F0000}"/>
    <cellStyle name="Comma 6 2 2 4 2" xfId="24387" xr:uid="{00000000-0005-0000-0000-0000425F0000}"/>
    <cellStyle name="Comma 6 2 2 4 2 2" xfId="24388" xr:uid="{00000000-0005-0000-0000-0000435F0000}"/>
    <cellStyle name="Comma 6 2 2 4 3" xfId="24389" xr:uid="{00000000-0005-0000-0000-0000445F0000}"/>
    <cellStyle name="Comma 6 2 2 5" xfId="24390" xr:uid="{00000000-0005-0000-0000-0000455F0000}"/>
    <cellStyle name="Comma 6 2 2 5 2" xfId="24391" xr:uid="{00000000-0005-0000-0000-0000465F0000}"/>
    <cellStyle name="Comma 6 2 2 6" xfId="24392" xr:uid="{00000000-0005-0000-0000-0000475F0000}"/>
    <cellStyle name="Comma 6 2 2 6 2" xfId="24393" xr:uid="{00000000-0005-0000-0000-0000485F0000}"/>
    <cellStyle name="Comma 6 2 2 7" xfId="24394" xr:uid="{00000000-0005-0000-0000-0000495F0000}"/>
    <cellStyle name="Comma 6 2 3" xfId="24395" xr:uid="{00000000-0005-0000-0000-00004A5F0000}"/>
    <cellStyle name="Comma 6 2 3 2" xfId="24396" xr:uid="{00000000-0005-0000-0000-00004B5F0000}"/>
    <cellStyle name="Comma 6 2 3 2 2" xfId="24397" xr:uid="{00000000-0005-0000-0000-00004C5F0000}"/>
    <cellStyle name="Comma 6 2 3 2 2 2" xfId="24398" xr:uid="{00000000-0005-0000-0000-00004D5F0000}"/>
    <cellStyle name="Comma 6 2 3 2 3" xfId="24399" xr:uid="{00000000-0005-0000-0000-00004E5F0000}"/>
    <cellStyle name="Comma 6 2 3 3" xfId="24400" xr:uid="{00000000-0005-0000-0000-00004F5F0000}"/>
    <cellStyle name="Comma 6 2 3 3 2" xfId="24401" xr:uid="{00000000-0005-0000-0000-0000505F0000}"/>
    <cellStyle name="Comma 6 2 3 4" xfId="24402" xr:uid="{00000000-0005-0000-0000-0000515F0000}"/>
    <cellStyle name="Comma 6 2 3 4 2" xfId="24403" xr:uid="{00000000-0005-0000-0000-0000525F0000}"/>
    <cellStyle name="Comma 6 2 3 5" xfId="24404" xr:uid="{00000000-0005-0000-0000-0000535F0000}"/>
    <cellStyle name="Comma 6 2 4" xfId="24405" xr:uid="{00000000-0005-0000-0000-0000545F0000}"/>
    <cellStyle name="Comma 6 2 4 2" xfId="24406" xr:uid="{00000000-0005-0000-0000-0000555F0000}"/>
    <cellStyle name="Comma 6 2 4 2 2" xfId="24407" xr:uid="{00000000-0005-0000-0000-0000565F0000}"/>
    <cellStyle name="Comma 6 2 4 2 2 2" xfId="24408" xr:uid="{00000000-0005-0000-0000-0000575F0000}"/>
    <cellStyle name="Comma 6 2 4 2 3" xfId="24409" xr:uid="{00000000-0005-0000-0000-0000585F0000}"/>
    <cellStyle name="Comma 6 2 4 3" xfId="24410" xr:uid="{00000000-0005-0000-0000-0000595F0000}"/>
    <cellStyle name="Comma 6 2 4 3 2" xfId="24411" xr:uid="{00000000-0005-0000-0000-00005A5F0000}"/>
    <cellStyle name="Comma 6 2 4 4" xfId="24412" xr:uid="{00000000-0005-0000-0000-00005B5F0000}"/>
    <cellStyle name="Comma 6 2 4 4 2" xfId="24413" xr:uid="{00000000-0005-0000-0000-00005C5F0000}"/>
    <cellStyle name="Comma 6 2 4 5" xfId="24414" xr:uid="{00000000-0005-0000-0000-00005D5F0000}"/>
    <cellStyle name="Comma 6 2 5" xfId="24415" xr:uid="{00000000-0005-0000-0000-00005E5F0000}"/>
    <cellStyle name="Comma 6 2 5 2" xfId="24416" xr:uid="{00000000-0005-0000-0000-00005F5F0000}"/>
    <cellStyle name="Comma 6 2 5 2 2" xfId="24417" xr:uid="{00000000-0005-0000-0000-0000605F0000}"/>
    <cellStyle name="Comma 6 2 5 3" xfId="24418" xr:uid="{00000000-0005-0000-0000-0000615F0000}"/>
    <cellStyle name="Comma 6 2 6" xfId="24419" xr:uid="{00000000-0005-0000-0000-0000625F0000}"/>
    <cellStyle name="Comma 6 2 6 2" xfId="24420" xr:uid="{00000000-0005-0000-0000-0000635F0000}"/>
    <cellStyle name="Comma 6 2 7" xfId="24421" xr:uid="{00000000-0005-0000-0000-0000645F0000}"/>
    <cellStyle name="Comma 6 2 7 2" xfId="24422" xr:uid="{00000000-0005-0000-0000-0000655F0000}"/>
    <cellStyle name="Comma 6 2 8" xfId="24423" xr:uid="{00000000-0005-0000-0000-0000665F0000}"/>
    <cellStyle name="Comma 6 3" xfId="24424" xr:uid="{00000000-0005-0000-0000-0000675F0000}"/>
    <cellStyle name="Comma 6 4" xfId="24425" xr:uid="{00000000-0005-0000-0000-0000685F0000}"/>
    <cellStyle name="Comma 6 5" xfId="24426" xr:uid="{00000000-0005-0000-0000-0000695F0000}"/>
    <cellStyle name="Comma 6_BS retrieve" xfId="24427" xr:uid="{00000000-0005-0000-0000-00006A5F0000}"/>
    <cellStyle name="Comma 7" xfId="24428" xr:uid="{00000000-0005-0000-0000-00006B5F0000}"/>
    <cellStyle name="Comma 7 2" xfId="24429" xr:uid="{00000000-0005-0000-0000-00006C5F0000}"/>
    <cellStyle name="Comma 8" xfId="24430" xr:uid="{00000000-0005-0000-0000-00006D5F0000}"/>
    <cellStyle name="Comma 8 2" xfId="24431" xr:uid="{00000000-0005-0000-0000-00006E5F0000}"/>
    <cellStyle name="Comma 9" xfId="24432" xr:uid="{00000000-0005-0000-0000-00006F5F0000}"/>
    <cellStyle name="Comma 9 2" xfId="24433" xr:uid="{00000000-0005-0000-0000-0000705F0000}"/>
    <cellStyle name="Comma 9 2 2" xfId="24434" xr:uid="{00000000-0005-0000-0000-0000715F0000}"/>
    <cellStyle name="Comma 9 2 2 2" xfId="24435" xr:uid="{00000000-0005-0000-0000-0000725F0000}"/>
    <cellStyle name="Comma 9 2 2 2 2" xfId="24436" xr:uid="{00000000-0005-0000-0000-0000735F0000}"/>
    <cellStyle name="Comma 9 2 2 2 2 2" xfId="24437" xr:uid="{00000000-0005-0000-0000-0000745F0000}"/>
    <cellStyle name="Comma 9 2 2 2 3" xfId="24438" xr:uid="{00000000-0005-0000-0000-0000755F0000}"/>
    <cellStyle name="Comma 9 2 2 3" xfId="24439" xr:uid="{00000000-0005-0000-0000-0000765F0000}"/>
    <cellStyle name="Comma 9 2 2 3 2" xfId="24440" xr:uid="{00000000-0005-0000-0000-0000775F0000}"/>
    <cellStyle name="Comma 9 2 2 4" xfId="24441" xr:uid="{00000000-0005-0000-0000-0000785F0000}"/>
    <cellStyle name="Comma 9 2 2 4 2" xfId="24442" xr:uid="{00000000-0005-0000-0000-0000795F0000}"/>
    <cellStyle name="Comma 9 2 2 5" xfId="24443" xr:uid="{00000000-0005-0000-0000-00007A5F0000}"/>
    <cellStyle name="Comma 9 2 3" xfId="24444" xr:uid="{00000000-0005-0000-0000-00007B5F0000}"/>
    <cellStyle name="Comma 9 2 3 2" xfId="24445" xr:uid="{00000000-0005-0000-0000-00007C5F0000}"/>
    <cellStyle name="Comma 9 2 3 2 2" xfId="24446" xr:uid="{00000000-0005-0000-0000-00007D5F0000}"/>
    <cellStyle name="Comma 9 2 3 2 2 2" xfId="24447" xr:uid="{00000000-0005-0000-0000-00007E5F0000}"/>
    <cellStyle name="Comma 9 2 3 2 3" xfId="24448" xr:uid="{00000000-0005-0000-0000-00007F5F0000}"/>
    <cellStyle name="Comma 9 2 3 3" xfId="24449" xr:uid="{00000000-0005-0000-0000-0000805F0000}"/>
    <cellStyle name="Comma 9 2 3 3 2" xfId="24450" xr:uid="{00000000-0005-0000-0000-0000815F0000}"/>
    <cellStyle name="Comma 9 2 3 4" xfId="24451" xr:uid="{00000000-0005-0000-0000-0000825F0000}"/>
    <cellStyle name="Comma 9 2 3 4 2" xfId="24452" xr:uid="{00000000-0005-0000-0000-0000835F0000}"/>
    <cellStyle name="Comma 9 2 3 5" xfId="24453" xr:uid="{00000000-0005-0000-0000-0000845F0000}"/>
    <cellStyle name="Comma 9 2 4" xfId="24454" xr:uid="{00000000-0005-0000-0000-0000855F0000}"/>
    <cellStyle name="Comma 9 2 4 2" xfId="24455" xr:uid="{00000000-0005-0000-0000-0000865F0000}"/>
    <cellStyle name="Comma 9 2 4 2 2" xfId="24456" xr:uid="{00000000-0005-0000-0000-0000875F0000}"/>
    <cellStyle name="Comma 9 2 4 3" xfId="24457" xr:uid="{00000000-0005-0000-0000-0000885F0000}"/>
    <cellStyle name="Comma 9 2 5" xfId="24458" xr:uid="{00000000-0005-0000-0000-0000895F0000}"/>
    <cellStyle name="Comma 9 2 5 2" xfId="24459" xr:uid="{00000000-0005-0000-0000-00008A5F0000}"/>
    <cellStyle name="Comma 9 2 6" xfId="24460" xr:uid="{00000000-0005-0000-0000-00008B5F0000}"/>
    <cellStyle name="Comma 9 2 6 2" xfId="24461" xr:uid="{00000000-0005-0000-0000-00008C5F0000}"/>
    <cellStyle name="Comma 9 2 7" xfId="24462" xr:uid="{00000000-0005-0000-0000-00008D5F0000}"/>
    <cellStyle name="Comma 9 3" xfId="24463" xr:uid="{00000000-0005-0000-0000-00008E5F0000}"/>
    <cellStyle name="Comma 9 3 2" xfId="24464" xr:uid="{00000000-0005-0000-0000-00008F5F0000}"/>
    <cellStyle name="Comma 9 3 2 2" xfId="24465" xr:uid="{00000000-0005-0000-0000-0000905F0000}"/>
    <cellStyle name="Comma 9 3 2 2 2" xfId="24466" xr:uid="{00000000-0005-0000-0000-0000915F0000}"/>
    <cellStyle name="Comma 9 3 2 3" xfId="24467" xr:uid="{00000000-0005-0000-0000-0000925F0000}"/>
    <cellStyle name="Comma 9 3 3" xfId="24468" xr:uid="{00000000-0005-0000-0000-0000935F0000}"/>
    <cellStyle name="Comma 9 3 3 2" xfId="24469" xr:uid="{00000000-0005-0000-0000-0000945F0000}"/>
    <cellStyle name="Comma 9 3 4" xfId="24470" xr:uid="{00000000-0005-0000-0000-0000955F0000}"/>
    <cellStyle name="Comma 9 3 4 2" xfId="24471" xr:uid="{00000000-0005-0000-0000-0000965F0000}"/>
    <cellStyle name="Comma 9 3 5" xfId="24472" xr:uid="{00000000-0005-0000-0000-0000975F0000}"/>
    <cellStyle name="Comma 9 4" xfId="24473" xr:uid="{00000000-0005-0000-0000-0000985F0000}"/>
    <cellStyle name="Comma 9 4 2" xfId="24474" xr:uid="{00000000-0005-0000-0000-0000995F0000}"/>
    <cellStyle name="Comma 9 4 2 2" xfId="24475" xr:uid="{00000000-0005-0000-0000-00009A5F0000}"/>
    <cellStyle name="Comma 9 4 2 2 2" xfId="24476" xr:uid="{00000000-0005-0000-0000-00009B5F0000}"/>
    <cellStyle name="Comma 9 4 2 3" xfId="24477" xr:uid="{00000000-0005-0000-0000-00009C5F0000}"/>
    <cellStyle name="Comma 9 4 3" xfId="24478" xr:uid="{00000000-0005-0000-0000-00009D5F0000}"/>
    <cellStyle name="Comma 9 4 3 2" xfId="24479" xr:uid="{00000000-0005-0000-0000-00009E5F0000}"/>
    <cellStyle name="Comma 9 4 4" xfId="24480" xr:uid="{00000000-0005-0000-0000-00009F5F0000}"/>
    <cellStyle name="Comma 9 4 4 2" xfId="24481" xr:uid="{00000000-0005-0000-0000-0000A05F0000}"/>
    <cellStyle name="Comma 9 4 5" xfId="24482" xr:uid="{00000000-0005-0000-0000-0000A15F0000}"/>
    <cellStyle name="Comma 9 5" xfId="24483" xr:uid="{00000000-0005-0000-0000-0000A25F0000}"/>
    <cellStyle name="Comma 9 5 2" xfId="24484" xr:uid="{00000000-0005-0000-0000-0000A35F0000}"/>
    <cellStyle name="Comma 9 5 2 2" xfId="24485" xr:uid="{00000000-0005-0000-0000-0000A45F0000}"/>
    <cellStyle name="Comma 9 5 3" xfId="24486" xr:uid="{00000000-0005-0000-0000-0000A55F0000}"/>
    <cellStyle name="Comma 9 6" xfId="24487" xr:uid="{00000000-0005-0000-0000-0000A65F0000}"/>
    <cellStyle name="Comma 9 6 2" xfId="24488" xr:uid="{00000000-0005-0000-0000-0000A75F0000}"/>
    <cellStyle name="Comma 9 7" xfId="24489" xr:uid="{00000000-0005-0000-0000-0000A85F0000}"/>
    <cellStyle name="Comma 9 7 2" xfId="24490" xr:uid="{00000000-0005-0000-0000-0000A95F0000}"/>
    <cellStyle name="Comma 9 8" xfId="24491" xr:uid="{00000000-0005-0000-0000-0000AA5F0000}"/>
    <cellStyle name="Comma0" xfId="24492" xr:uid="{00000000-0005-0000-0000-0000AB5F0000}"/>
    <cellStyle name="Comma0 2" xfId="24493" xr:uid="{00000000-0005-0000-0000-0000AC5F0000}"/>
    <cellStyle name="Comma0 2 2" xfId="24494" xr:uid="{00000000-0005-0000-0000-0000AD5F0000}"/>
    <cellStyle name="CommaşAPAC Productivity base on New AOP by quarter-0406" xfId="24495" xr:uid="{00000000-0005-0000-0000-0000AE5F0000}"/>
    <cellStyle name="CommaşAPAC Productivity base on New AOP by quarter-0406 2" xfId="24496" xr:uid="{00000000-0005-0000-0000-0000AF5F0000}"/>
    <cellStyle name="Content" xfId="24497" xr:uid="{00000000-0005-0000-0000-0000B05F0000}"/>
    <cellStyle name="Copied" xfId="24498" xr:uid="{00000000-0005-0000-0000-0000B15F0000}"/>
    <cellStyle name="Currency (0)" xfId="24499" xr:uid="{00000000-0005-0000-0000-0000B25F0000}"/>
    <cellStyle name="Currency (0) 2" xfId="24500" xr:uid="{00000000-0005-0000-0000-0000B35F0000}"/>
    <cellStyle name="Currency (0.00)" xfId="24501" xr:uid="{00000000-0005-0000-0000-0000B45F0000}"/>
    <cellStyle name="Currency (0.00) 2" xfId="24502" xr:uid="{00000000-0005-0000-0000-0000B55F0000}"/>
    <cellStyle name="Currency (0.00) 2 2" xfId="24503" xr:uid="{00000000-0005-0000-0000-0000B65F0000}"/>
    <cellStyle name="Currency (0.00) 2 2 2" xfId="24504" xr:uid="{00000000-0005-0000-0000-0000B75F0000}"/>
    <cellStyle name="Currency (0.00) 2 2 3" xfId="24505" xr:uid="{00000000-0005-0000-0000-0000B85F0000}"/>
    <cellStyle name="Currency (0.00) 2 3" xfId="24506" xr:uid="{00000000-0005-0000-0000-0000B95F0000}"/>
    <cellStyle name="Currency (0.00) 2 3 2" xfId="24507" xr:uid="{00000000-0005-0000-0000-0000BA5F0000}"/>
    <cellStyle name="Currency (0.00) 2 3 3" xfId="24508" xr:uid="{00000000-0005-0000-0000-0000BB5F0000}"/>
    <cellStyle name="Currency (0.00) 2 4" xfId="24509" xr:uid="{00000000-0005-0000-0000-0000BC5F0000}"/>
    <cellStyle name="Currency (0.00) 3" xfId="24510" xr:uid="{00000000-0005-0000-0000-0000BD5F0000}"/>
    <cellStyle name="Currency (0.00) 3 2" xfId="24511" xr:uid="{00000000-0005-0000-0000-0000BE5F0000}"/>
    <cellStyle name="Currency (0.00) 3 3" xfId="24512" xr:uid="{00000000-0005-0000-0000-0000BF5F0000}"/>
    <cellStyle name="Currency (0.00) 4" xfId="24513" xr:uid="{00000000-0005-0000-0000-0000C05F0000}"/>
    <cellStyle name="Currency (0.00) 4 2" xfId="24514" xr:uid="{00000000-0005-0000-0000-0000C15F0000}"/>
    <cellStyle name="Currency (0.00) 4 3" xfId="24515" xr:uid="{00000000-0005-0000-0000-0000C25F0000}"/>
    <cellStyle name="Currency (2)" xfId="24516" xr:uid="{00000000-0005-0000-0000-0000C35F0000}"/>
    <cellStyle name="Currency (2) 2" xfId="24517" xr:uid="{00000000-0005-0000-0000-0000C45F0000}"/>
    <cellStyle name="Currency [00]" xfId="24518" xr:uid="{00000000-0005-0000-0000-0000C55F0000}"/>
    <cellStyle name="Currency [00] 2" xfId="24519" xr:uid="{00000000-0005-0000-0000-0000C65F0000}"/>
    <cellStyle name="Currency 2" xfId="24520" xr:uid="{00000000-0005-0000-0000-0000C75F0000}"/>
    <cellStyle name="Currency 2 2" xfId="24521" xr:uid="{00000000-0005-0000-0000-0000C85F0000}"/>
    <cellStyle name="Currency 2 3" xfId="24522" xr:uid="{00000000-0005-0000-0000-0000C95F0000}"/>
    <cellStyle name="Currency 2 3 2" xfId="24523" xr:uid="{00000000-0005-0000-0000-0000CA5F0000}"/>
    <cellStyle name="Currency 2 3 2 2" xfId="24524" xr:uid="{00000000-0005-0000-0000-0000CB5F0000}"/>
    <cellStyle name="Currency 2 3 2 2 2" xfId="24525" xr:uid="{00000000-0005-0000-0000-0000CC5F0000}"/>
    <cellStyle name="Currency 2 3 2 2 2 2" xfId="24526" xr:uid="{00000000-0005-0000-0000-0000CD5F0000}"/>
    <cellStyle name="Currency 2 3 2 2 3" xfId="24527" xr:uid="{00000000-0005-0000-0000-0000CE5F0000}"/>
    <cellStyle name="Currency 2 3 2 3" xfId="24528" xr:uid="{00000000-0005-0000-0000-0000CF5F0000}"/>
    <cellStyle name="Currency 2 3 2 3 2" xfId="24529" xr:uid="{00000000-0005-0000-0000-0000D05F0000}"/>
    <cellStyle name="Currency 2 3 2 4" xfId="24530" xr:uid="{00000000-0005-0000-0000-0000D15F0000}"/>
    <cellStyle name="Currency 2 3 2 4 2" xfId="24531" xr:uid="{00000000-0005-0000-0000-0000D25F0000}"/>
    <cellStyle name="Currency 2 3 2 5" xfId="24532" xr:uid="{00000000-0005-0000-0000-0000D35F0000}"/>
    <cellStyle name="Currency 2 3 3" xfId="24533" xr:uid="{00000000-0005-0000-0000-0000D45F0000}"/>
    <cellStyle name="Currency 2 3 3 2" xfId="24534" xr:uid="{00000000-0005-0000-0000-0000D55F0000}"/>
    <cellStyle name="Currency 2 3 3 2 2" xfId="24535" xr:uid="{00000000-0005-0000-0000-0000D65F0000}"/>
    <cellStyle name="Currency 2 3 3 2 2 2" xfId="24536" xr:uid="{00000000-0005-0000-0000-0000D75F0000}"/>
    <cellStyle name="Currency 2 3 3 2 3" xfId="24537" xr:uid="{00000000-0005-0000-0000-0000D85F0000}"/>
    <cellStyle name="Currency 2 3 3 3" xfId="24538" xr:uid="{00000000-0005-0000-0000-0000D95F0000}"/>
    <cellStyle name="Currency 2 3 3 3 2" xfId="24539" xr:uid="{00000000-0005-0000-0000-0000DA5F0000}"/>
    <cellStyle name="Currency 2 3 3 4" xfId="24540" xr:uid="{00000000-0005-0000-0000-0000DB5F0000}"/>
    <cellStyle name="Currency 2 3 3 4 2" xfId="24541" xr:uid="{00000000-0005-0000-0000-0000DC5F0000}"/>
    <cellStyle name="Currency 2 3 3 5" xfId="24542" xr:uid="{00000000-0005-0000-0000-0000DD5F0000}"/>
    <cellStyle name="Currency 2 3 4" xfId="24543" xr:uid="{00000000-0005-0000-0000-0000DE5F0000}"/>
    <cellStyle name="Currency 2 3 4 2" xfId="24544" xr:uid="{00000000-0005-0000-0000-0000DF5F0000}"/>
    <cellStyle name="Currency 2 3 4 2 2" xfId="24545" xr:uid="{00000000-0005-0000-0000-0000E05F0000}"/>
    <cellStyle name="Currency 2 3 4 3" xfId="24546" xr:uid="{00000000-0005-0000-0000-0000E15F0000}"/>
    <cellStyle name="Currency 2 3 5" xfId="24547" xr:uid="{00000000-0005-0000-0000-0000E25F0000}"/>
    <cellStyle name="Currency 2 3 5 2" xfId="24548" xr:uid="{00000000-0005-0000-0000-0000E35F0000}"/>
    <cellStyle name="Currency 2 3 6" xfId="24549" xr:uid="{00000000-0005-0000-0000-0000E45F0000}"/>
    <cellStyle name="Currency 2 3 6 2" xfId="24550" xr:uid="{00000000-0005-0000-0000-0000E55F0000}"/>
    <cellStyle name="Currency 2 3 7" xfId="24551" xr:uid="{00000000-0005-0000-0000-0000E65F0000}"/>
    <cellStyle name="Currency 2 4" xfId="24552" xr:uid="{00000000-0005-0000-0000-0000E75F0000}"/>
    <cellStyle name="Currency 2 4 2" xfId="24553" xr:uid="{00000000-0005-0000-0000-0000E85F0000}"/>
    <cellStyle name="Currency 2 4 2 2" xfId="24554" xr:uid="{00000000-0005-0000-0000-0000E95F0000}"/>
    <cellStyle name="Currency 2 4 2 2 2" xfId="24555" xr:uid="{00000000-0005-0000-0000-0000EA5F0000}"/>
    <cellStyle name="Currency 2 4 2 3" xfId="24556" xr:uid="{00000000-0005-0000-0000-0000EB5F0000}"/>
    <cellStyle name="Currency 2 4 3" xfId="24557" xr:uid="{00000000-0005-0000-0000-0000EC5F0000}"/>
    <cellStyle name="Currency 2 4 3 2" xfId="24558" xr:uid="{00000000-0005-0000-0000-0000ED5F0000}"/>
    <cellStyle name="Currency 2 4 4" xfId="24559" xr:uid="{00000000-0005-0000-0000-0000EE5F0000}"/>
    <cellStyle name="Currency 2 4 4 2" xfId="24560" xr:uid="{00000000-0005-0000-0000-0000EF5F0000}"/>
    <cellStyle name="Currency 2 4 5" xfId="24561" xr:uid="{00000000-0005-0000-0000-0000F05F0000}"/>
    <cellStyle name="Currency 2 5" xfId="24562" xr:uid="{00000000-0005-0000-0000-0000F15F0000}"/>
    <cellStyle name="Currency 2 5 2" xfId="24563" xr:uid="{00000000-0005-0000-0000-0000F25F0000}"/>
    <cellStyle name="Currency 2 5 2 2" xfId="24564" xr:uid="{00000000-0005-0000-0000-0000F35F0000}"/>
    <cellStyle name="Currency 2 5 2 2 2" xfId="24565" xr:uid="{00000000-0005-0000-0000-0000F45F0000}"/>
    <cellStyle name="Currency 2 5 2 3" xfId="24566" xr:uid="{00000000-0005-0000-0000-0000F55F0000}"/>
    <cellStyle name="Currency 2 5 3" xfId="24567" xr:uid="{00000000-0005-0000-0000-0000F65F0000}"/>
    <cellStyle name="Currency 2 5 3 2" xfId="24568" xr:uid="{00000000-0005-0000-0000-0000F75F0000}"/>
    <cellStyle name="Currency 2 5 4" xfId="24569" xr:uid="{00000000-0005-0000-0000-0000F85F0000}"/>
    <cellStyle name="Currency 2 5 4 2" xfId="24570" xr:uid="{00000000-0005-0000-0000-0000F95F0000}"/>
    <cellStyle name="Currency 2 5 5" xfId="24571" xr:uid="{00000000-0005-0000-0000-0000FA5F0000}"/>
    <cellStyle name="Currency 2 6" xfId="24572" xr:uid="{00000000-0005-0000-0000-0000FB5F0000}"/>
    <cellStyle name="Currency 3" xfId="24573" xr:uid="{00000000-0005-0000-0000-0000FC5F0000}"/>
    <cellStyle name="Currency 3 2" xfId="24574" xr:uid="{00000000-0005-0000-0000-0000FD5F0000}"/>
    <cellStyle name="Currency 3 2 2" xfId="24575" xr:uid="{00000000-0005-0000-0000-0000FE5F0000}"/>
    <cellStyle name="Currency 3 2 2 2" xfId="24576" xr:uid="{00000000-0005-0000-0000-0000FF5F0000}"/>
    <cellStyle name="Currency 3 2 2 2 2" xfId="24577" xr:uid="{00000000-0005-0000-0000-000000600000}"/>
    <cellStyle name="Currency 3 2 2 2 2 2" xfId="24578" xr:uid="{00000000-0005-0000-0000-000001600000}"/>
    <cellStyle name="Currency 3 2 2 2 3" xfId="24579" xr:uid="{00000000-0005-0000-0000-000002600000}"/>
    <cellStyle name="Currency 3 2 2 3" xfId="24580" xr:uid="{00000000-0005-0000-0000-000003600000}"/>
    <cellStyle name="Currency 3 2 2 3 2" xfId="24581" xr:uid="{00000000-0005-0000-0000-000004600000}"/>
    <cellStyle name="Currency 3 2 2 4" xfId="24582" xr:uid="{00000000-0005-0000-0000-000005600000}"/>
    <cellStyle name="Currency 3 2 2 4 2" xfId="24583" xr:uid="{00000000-0005-0000-0000-000006600000}"/>
    <cellStyle name="Currency 3 2 2 5" xfId="24584" xr:uid="{00000000-0005-0000-0000-000007600000}"/>
    <cellStyle name="Currency 3 2 3" xfId="24585" xr:uid="{00000000-0005-0000-0000-000008600000}"/>
    <cellStyle name="Currency 3 2 3 2" xfId="24586" xr:uid="{00000000-0005-0000-0000-000009600000}"/>
    <cellStyle name="Currency 3 2 3 2 2" xfId="24587" xr:uid="{00000000-0005-0000-0000-00000A600000}"/>
    <cellStyle name="Currency 3 2 3 2 2 2" xfId="24588" xr:uid="{00000000-0005-0000-0000-00000B600000}"/>
    <cellStyle name="Currency 3 2 3 2 3" xfId="24589" xr:uid="{00000000-0005-0000-0000-00000C600000}"/>
    <cellStyle name="Currency 3 2 3 3" xfId="24590" xr:uid="{00000000-0005-0000-0000-00000D600000}"/>
    <cellStyle name="Currency 3 2 3 3 2" xfId="24591" xr:uid="{00000000-0005-0000-0000-00000E600000}"/>
    <cellStyle name="Currency 3 2 3 4" xfId="24592" xr:uid="{00000000-0005-0000-0000-00000F600000}"/>
    <cellStyle name="Currency 3 2 3 4 2" xfId="24593" xr:uid="{00000000-0005-0000-0000-000010600000}"/>
    <cellStyle name="Currency 3 2 3 5" xfId="24594" xr:uid="{00000000-0005-0000-0000-000011600000}"/>
    <cellStyle name="Currency 3 2 4" xfId="24595" xr:uid="{00000000-0005-0000-0000-000012600000}"/>
    <cellStyle name="Currency 3 2 4 2" xfId="24596" xr:uid="{00000000-0005-0000-0000-000013600000}"/>
    <cellStyle name="Currency 3 2 4 2 2" xfId="24597" xr:uid="{00000000-0005-0000-0000-000014600000}"/>
    <cellStyle name="Currency 3 2 4 3" xfId="24598" xr:uid="{00000000-0005-0000-0000-000015600000}"/>
    <cellStyle name="Currency 3 2 5" xfId="24599" xr:uid="{00000000-0005-0000-0000-000016600000}"/>
    <cellStyle name="Currency 3 2 5 2" xfId="24600" xr:uid="{00000000-0005-0000-0000-000017600000}"/>
    <cellStyle name="Currency 3 2 6" xfId="24601" xr:uid="{00000000-0005-0000-0000-000018600000}"/>
    <cellStyle name="Currency 3 2 6 2" xfId="24602" xr:uid="{00000000-0005-0000-0000-000019600000}"/>
    <cellStyle name="Currency 3 2 7" xfId="24603" xr:uid="{00000000-0005-0000-0000-00001A600000}"/>
    <cellStyle name="Currency 3 3" xfId="24604" xr:uid="{00000000-0005-0000-0000-00001B600000}"/>
    <cellStyle name="Currency 3 3 2" xfId="24605" xr:uid="{00000000-0005-0000-0000-00001C600000}"/>
    <cellStyle name="Currency 3 3 2 2" xfId="24606" xr:uid="{00000000-0005-0000-0000-00001D600000}"/>
    <cellStyle name="Currency 3 3 2 2 2" xfId="24607" xr:uid="{00000000-0005-0000-0000-00001E600000}"/>
    <cellStyle name="Currency 3 3 2 3" xfId="24608" xr:uid="{00000000-0005-0000-0000-00001F600000}"/>
    <cellStyle name="Currency 3 3 3" xfId="24609" xr:uid="{00000000-0005-0000-0000-000020600000}"/>
    <cellStyle name="Currency 3 3 3 2" xfId="24610" xr:uid="{00000000-0005-0000-0000-000021600000}"/>
    <cellStyle name="Currency 3 3 4" xfId="24611" xr:uid="{00000000-0005-0000-0000-000022600000}"/>
    <cellStyle name="Currency 3 3 4 2" xfId="24612" xr:uid="{00000000-0005-0000-0000-000023600000}"/>
    <cellStyle name="Currency 3 3 5" xfId="24613" xr:uid="{00000000-0005-0000-0000-000024600000}"/>
    <cellStyle name="Currency 3 4" xfId="24614" xr:uid="{00000000-0005-0000-0000-000025600000}"/>
    <cellStyle name="Currency 3 4 2" xfId="24615" xr:uid="{00000000-0005-0000-0000-000026600000}"/>
    <cellStyle name="Currency 3 4 2 2" xfId="24616" xr:uid="{00000000-0005-0000-0000-000027600000}"/>
    <cellStyle name="Currency 3 4 2 2 2" xfId="24617" xr:uid="{00000000-0005-0000-0000-000028600000}"/>
    <cellStyle name="Currency 3 4 2 3" xfId="24618" xr:uid="{00000000-0005-0000-0000-000029600000}"/>
    <cellStyle name="Currency 3 4 3" xfId="24619" xr:uid="{00000000-0005-0000-0000-00002A600000}"/>
    <cellStyle name="Currency 3 4 3 2" xfId="24620" xr:uid="{00000000-0005-0000-0000-00002B600000}"/>
    <cellStyle name="Currency 3 4 4" xfId="24621" xr:uid="{00000000-0005-0000-0000-00002C600000}"/>
    <cellStyle name="Currency 3 4 4 2" xfId="24622" xr:uid="{00000000-0005-0000-0000-00002D600000}"/>
    <cellStyle name="Currency 3 4 5" xfId="24623" xr:uid="{00000000-0005-0000-0000-00002E600000}"/>
    <cellStyle name="Currency 3 5" xfId="24624" xr:uid="{00000000-0005-0000-0000-00002F600000}"/>
    <cellStyle name="Currency 4" xfId="24625" xr:uid="{00000000-0005-0000-0000-000030600000}"/>
    <cellStyle name="Currency 4 2" xfId="24626" xr:uid="{00000000-0005-0000-0000-000031600000}"/>
    <cellStyle name="Currency 4 3" xfId="24627" xr:uid="{00000000-0005-0000-0000-000032600000}"/>
    <cellStyle name="Currency 4 3 2" xfId="24628" xr:uid="{00000000-0005-0000-0000-000033600000}"/>
    <cellStyle name="Currency 4 3 2 2" xfId="24629" xr:uid="{00000000-0005-0000-0000-000034600000}"/>
    <cellStyle name="Currency 4 3 2 2 2" xfId="24630" xr:uid="{00000000-0005-0000-0000-000035600000}"/>
    <cellStyle name="Currency 4 3 2 2 2 2" xfId="24631" xr:uid="{00000000-0005-0000-0000-000036600000}"/>
    <cellStyle name="Currency 4 3 2 2 3" xfId="24632" xr:uid="{00000000-0005-0000-0000-000037600000}"/>
    <cellStyle name="Currency 4 3 2 3" xfId="24633" xr:uid="{00000000-0005-0000-0000-000038600000}"/>
    <cellStyle name="Currency 4 3 2 3 2" xfId="24634" xr:uid="{00000000-0005-0000-0000-000039600000}"/>
    <cellStyle name="Currency 4 3 2 4" xfId="24635" xr:uid="{00000000-0005-0000-0000-00003A600000}"/>
    <cellStyle name="Currency 4 3 2 4 2" xfId="24636" xr:uid="{00000000-0005-0000-0000-00003B600000}"/>
    <cellStyle name="Currency 4 3 2 5" xfId="24637" xr:uid="{00000000-0005-0000-0000-00003C600000}"/>
    <cellStyle name="Currency 4 3 3" xfId="24638" xr:uid="{00000000-0005-0000-0000-00003D600000}"/>
    <cellStyle name="Currency 4 3 3 2" xfId="24639" xr:uid="{00000000-0005-0000-0000-00003E600000}"/>
    <cellStyle name="Currency 4 3 3 2 2" xfId="24640" xr:uid="{00000000-0005-0000-0000-00003F600000}"/>
    <cellStyle name="Currency 4 3 3 2 2 2" xfId="24641" xr:uid="{00000000-0005-0000-0000-000040600000}"/>
    <cellStyle name="Currency 4 3 3 2 3" xfId="24642" xr:uid="{00000000-0005-0000-0000-000041600000}"/>
    <cellStyle name="Currency 4 3 3 3" xfId="24643" xr:uid="{00000000-0005-0000-0000-000042600000}"/>
    <cellStyle name="Currency 4 3 3 3 2" xfId="24644" xr:uid="{00000000-0005-0000-0000-000043600000}"/>
    <cellStyle name="Currency 4 3 3 4" xfId="24645" xr:uid="{00000000-0005-0000-0000-000044600000}"/>
    <cellStyle name="Currency 4 3 3 4 2" xfId="24646" xr:uid="{00000000-0005-0000-0000-000045600000}"/>
    <cellStyle name="Currency 4 3 3 5" xfId="24647" xr:uid="{00000000-0005-0000-0000-000046600000}"/>
    <cellStyle name="Currency 4 3 4" xfId="24648" xr:uid="{00000000-0005-0000-0000-000047600000}"/>
    <cellStyle name="Currency 4 3 4 2" xfId="24649" xr:uid="{00000000-0005-0000-0000-000048600000}"/>
    <cellStyle name="Currency 4 3 4 2 2" xfId="24650" xr:uid="{00000000-0005-0000-0000-000049600000}"/>
    <cellStyle name="Currency 4 3 4 3" xfId="24651" xr:uid="{00000000-0005-0000-0000-00004A600000}"/>
    <cellStyle name="Currency 4 3 5" xfId="24652" xr:uid="{00000000-0005-0000-0000-00004B600000}"/>
    <cellStyle name="Currency 4 3 5 2" xfId="24653" xr:uid="{00000000-0005-0000-0000-00004C600000}"/>
    <cellStyle name="Currency 4 3 6" xfId="24654" xr:uid="{00000000-0005-0000-0000-00004D600000}"/>
    <cellStyle name="Currency 4 3 6 2" xfId="24655" xr:uid="{00000000-0005-0000-0000-00004E600000}"/>
    <cellStyle name="Currency 4 3 7" xfId="24656" xr:uid="{00000000-0005-0000-0000-00004F600000}"/>
    <cellStyle name="Currency 4 4" xfId="24657" xr:uid="{00000000-0005-0000-0000-000050600000}"/>
    <cellStyle name="Currency 4 4 2" xfId="24658" xr:uid="{00000000-0005-0000-0000-000051600000}"/>
    <cellStyle name="Currency 4 4 2 2" xfId="24659" xr:uid="{00000000-0005-0000-0000-000052600000}"/>
    <cellStyle name="Currency 4 4 2 2 2" xfId="24660" xr:uid="{00000000-0005-0000-0000-000053600000}"/>
    <cellStyle name="Currency 4 4 2 3" xfId="24661" xr:uid="{00000000-0005-0000-0000-000054600000}"/>
    <cellStyle name="Currency 4 4 3" xfId="24662" xr:uid="{00000000-0005-0000-0000-000055600000}"/>
    <cellStyle name="Currency 4 4 3 2" xfId="24663" xr:uid="{00000000-0005-0000-0000-000056600000}"/>
    <cellStyle name="Currency 4 4 4" xfId="24664" xr:uid="{00000000-0005-0000-0000-000057600000}"/>
    <cellStyle name="Currency 4 4 4 2" xfId="24665" xr:uid="{00000000-0005-0000-0000-000058600000}"/>
    <cellStyle name="Currency 4 4 5" xfId="24666" xr:uid="{00000000-0005-0000-0000-000059600000}"/>
    <cellStyle name="Currency 4 5" xfId="24667" xr:uid="{00000000-0005-0000-0000-00005A600000}"/>
    <cellStyle name="Currency 4 5 2" xfId="24668" xr:uid="{00000000-0005-0000-0000-00005B600000}"/>
    <cellStyle name="Currency 4 5 2 2" xfId="24669" xr:uid="{00000000-0005-0000-0000-00005C600000}"/>
    <cellStyle name="Currency 4 5 2 2 2" xfId="24670" xr:uid="{00000000-0005-0000-0000-00005D600000}"/>
    <cellStyle name="Currency 4 5 2 3" xfId="24671" xr:uid="{00000000-0005-0000-0000-00005E600000}"/>
    <cellStyle name="Currency 4 5 3" xfId="24672" xr:uid="{00000000-0005-0000-0000-00005F600000}"/>
    <cellStyle name="Currency 4 5 3 2" xfId="24673" xr:uid="{00000000-0005-0000-0000-000060600000}"/>
    <cellStyle name="Currency 4 5 4" xfId="24674" xr:uid="{00000000-0005-0000-0000-000061600000}"/>
    <cellStyle name="Currency 4 5 4 2" xfId="24675" xr:uid="{00000000-0005-0000-0000-000062600000}"/>
    <cellStyle name="Currency 4 5 5" xfId="24676" xr:uid="{00000000-0005-0000-0000-000063600000}"/>
    <cellStyle name="Currency 4 6" xfId="24677" xr:uid="{00000000-0005-0000-0000-000064600000}"/>
    <cellStyle name="Currency 5" xfId="24678" xr:uid="{00000000-0005-0000-0000-000065600000}"/>
    <cellStyle name="Currency 5 2" xfId="24679" xr:uid="{00000000-0005-0000-0000-000066600000}"/>
    <cellStyle name="Currency 5 2 2" xfId="24680" xr:uid="{00000000-0005-0000-0000-000067600000}"/>
    <cellStyle name="Currency 5 2 2 2" xfId="24681" xr:uid="{00000000-0005-0000-0000-000068600000}"/>
    <cellStyle name="Currency 5 2 2 2 2" xfId="24682" xr:uid="{00000000-0005-0000-0000-000069600000}"/>
    <cellStyle name="Currency 5 2 2 2 2 2" xfId="24683" xr:uid="{00000000-0005-0000-0000-00006A600000}"/>
    <cellStyle name="Currency 5 2 2 2 3" xfId="24684" xr:uid="{00000000-0005-0000-0000-00006B600000}"/>
    <cellStyle name="Currency 5 2 2 3" xfId="24685" xr:uid="{00000000-0005-0000-0000-00006C600000}"/>
    <cellStyle name="Currency 5 2 2 3 2" xfId="24686" xr:uid="{00000000-0005-0000-0000-00006D600000}"/>
    <cellStyle name="Currency 5 2 2 4" xfId="24687" xr:uid="{00000000-0005-0000-0000-00006E600000}"/>
    <cellStyle name="Currency 5 2 2 4 2" xfId="24688" xr:uid="{00000000-0005-0000-0000-00006F600000}"/>
    <cellStyle name="Currency 5 2 2 5" xfId="24689" xr:uid="{00000000-0005-0000-0000-000070600000}"/>
    <cellStyle name="Currency 5 2 3" xfId="24690" xr:uid="{00000000-0005-0000-0000-000071600000}"/>
    <cellStyle name="Currency 5 2 3 2" xfId="24691" xr:uid="{00000000-0005-0000-0000-000072600000}"/>
    <cellStyle name="Currency 5 2 3 2 2" xfId="24692" xr:uid="{00000000-0005-0000-0000-000073600000}"/>
    <cellStyle name="Currency 5 2 3 2 2 2" xfId="24693" xr:uid="{00000000-0005-0000-0000-000074600000}"/>
    <cellStyle name="Currency 5 2 3 2 3" xfId="24694" xr:uid="{00000000-0005-0000-0000-000075600000}"/>
    <cellStyle name="Currency 5 2 3 3" xfId="24695" xr:uid="{00000000-0005-0000-0000-000076600000}"/>
    <cellStyle name="Currency 5 2 3 3 2" xfId="24696" xr:uid="{00000000-0005-0000-0000-000077600000}"/>
    <cellStyle name="Currency 5 2 3 4" xfId="24697" xr:uid="{00000000-0005-0000-0000-000078600000}"/>
    <cellStyle name="Currency 5 2 3 4 2" xfId="24698" xr:uid="{00000000-0005-0000-0000-000079600000}"/>
    <cellStyle name="Currency 5 2 3 5" xfId="24699" xr:uid="{00000000-0005-0000-0000-00007A600000}"/>
    <cellStyle name="Currency 5 2 4" xfId="24700" xr:uid="{00000000-0005-0000-0000-00007B600000}"/>
    <cellStyle name="Currency 5 2 4 2" xfId="24701" xr:uid="{00000000-0005-0000-0000-00007C600000}"/>
    <cellStyle name="Currency 5 2 4 2 2" xfId="24702" xr:uid="{00000000-0005-0000-0000-00007D600000}"/>
    <cellStyle name="Currency 5 2 4 3" xfId="24703" xr:uid="{00000000-0005-0000-0000-00007E600000}"/>
    <cellStyle name="Currency 5 2 5" xfId="24704" xr:uid="{00000000-0005-0000-0000-00007F600000}"/>
    <cellStyle name="Currency 5 2 5 2" xfId="24705" xr:uid="{00000000-0005-0000-0000-000080600000}"/>
    <cellStyle name="Currency 5 2 6" xfId="24706" xr:uid="{00000000-0005-0000-0000-000081600000}"/>
    <cellStyle name="Currency 5 2 6 2" xfId="24707" xr:uid="{00000000-0005-0000-0000-000082600000}"/>
    <cellStyle name="Currency 5 2 7" xfId="24708" xr:uid="{00000000-0005-0000-0000-000083600000}"/>
    <cellStyle name="Currency 5 3" xfId="24709" xr:uid="{00000000-0005-0000-0000-000084600000}"/>
    <cellStyle name="Currency 5 3 2" xfId="24710" xr:uid="{00000000-0005-0000-0000-000085600000}"/>
    <cellStyle name="Currency 5 3 2 2" xfId="24711" xr:uid="{00000000-0005-0000-0000-000086600000}"/>
    <cellStyle name="Currency 5 3 2 2 2" xfId="24712" xr:uid="{00000000-0005-0000-0000-000087600000}"/>
    <cellStyle name="Currency 5 3 2 3" xfId="24713" xr:uid="{00000000-0005-0000-0000-000088600000}"/>
    <cellStyle name="Currency 5 3 3" xfId="24714" xr:uid="{00000000-0005-0000-0000-000089600000}"/>
    <cellStyle name="Currency 5 3 3 2" xfId="24715" xr:uid="{00000000-0005-0000-0000-00008A600000}"/>
    <cellStyle name="Currency 5 3 4" xfId="24716" xr:uid="{00000000-0005-0000-0000-00008B600000}"/>
    <cellStyle name="Currency 5 3 4 2" xfId="24717" xr:uid="{00000000-0005-0000-0000-00008C600000}"/>
    <cellStyle name="Currency 5 3 5" xfId="24718" xr:uid="{00000000-0005-0000-0000-00008D600000}"/>
    <cellStyle name="Currency 5 4" xfId="24719" xr:uid="{00000000-0005-0000-0000-00008E600000}"/>
    <cellStyle name="Currency 5 4 2" xfId="24720" xr:uid="{00000000-0005-0000-0000-00008F600000}"/>
    <cellStyle name="Currency 5 4 2 2" xfId="24721" xr:uid="{00000000-0005-0000-0000-000090600000}"/>
    <cellStyle name="Currency 5 4 2 2 2" xfId="24722" xr:uid="{00000000-0005-0000-0000-000091600000}"/>
    <cellStyle name="Currency 5 4 2 3" xfId="24723" xr:uid="{00000000-0005-0000-0000-000092600000}"/>
    <cellStyle name="Currency 5 4 3" xfId="24724" xr:uid="{00000000-0005-0000-0000-000093600000}"/>
    <cellStyle name="Currency 5 4 3 2" xfId="24725" xr:uid="{00000000-0005-0000-0000-000094600000}"/>
    <cellStyle name="Currency 5 4 4" xfId="24726" xr:uid="{00000000-0005-0000-0000-000095600000}"/>
    <cellStyle name="Currency 5 4 4 2" xfId="24727" xr:uid="{00000000-0005-0000-0000-000096600000}"/>
    <cellStyle name="Currency 5 4 5" xfId="24728" xr:uid="{00000000-0005-0000-0000-000097600000}"/>
    <cellStyle name="Currency 5 5" xfId="24729" xr:uid="{00000000-0005-0000-0000-000098600000}"/>
    <cellStyle name="Currency 5 5 2" xfId="24730" xr:uid="{00000000-0005-0000-0000-000099600000}"/>
    <cellStyle name="Currency 5 5 2 2" xfId="24731" xr:uid="{00000000-0005-0000-0000-00009A600000}"/>
    <cellStyle name="Currency 5 5 2 2 2" xfId="24732" xr:uid="{00000000-0005-0000-0000-00009B600000}"/>
    <cellStyle name="Currency 5 5 2 3" xfId="24733" xr:uid="{00000000-0005-0000-0000-00009C600000}"/>
    <cellStyle name="Currency 5 5 3" xfId="24734" xr:uid="{00000000-0005-0000-0000-00009D600000}"/>
    <cellStyle name="Currency 5 5 3 2" xfId="24735" xr:uid="{00000000-0005-0000-0000-00009E600000}"/>
    <cellStyle name="Currency 5 5 4" xfId="24736" xr:uid="{00000000-0005-0000-0000-00009F600000}"/>
    <cellStyle name="Currency 5 5 4 2" xfId="24737" xr:uid="{00000000-0005-0000-0000-0000A0600000}"/>
    <cellStyle name="Currency 5 5 5" xfId="24738" xr:uid="{00000000-0005-0000-0000-0000A1600000}"/>
    <cellStyle name="Currency 5 6" xfId="24739" xr:uid="{00000000-0005-0000-0000-0000A2600000}"/>
    <cellStyle name="Currency 5 6 2" xfId="24740" xr:uid="{00000000-0005-0000-0000-0000A3600000}"/>
    <cellStyle name="Currency 5 6 2 2" xfId="24741" xr:uid="{00000000-0005-0000-0000-0000A4600000}"/>
    <cellStyle name="Currency 5 6 3" xfId="24742" xr:uid="{00000000-0005-0000-0000-0000A5600000}"/>
    <cellStyle name="Currency 5 7" xfId="24743" xr:uid="{00000000-0005-0000-0000-0000A6600000}"/>
    <cellStyle name="Currency 5 7 2" xfId="24744" xr:uid="{00000000-0005-0000-0000-0000A7600000}"/>
    <cellStyle name="Currency 5 8" xfId="24745" xr:uid="{00000000-0005-0000-0000-0000A8600000}"/>
    <cellStyle name="Currency 5 8 2" xfId="24746" xr:uid="{00000000-0005-0000-0000-0000A9600000}"/>
    <cellStyle name="Currency 5 9" xfId="24747" xr:uid="{00000000-0005-0000-0000-0000AA600000}"/>
    <cellStyle name="Currency 6" xfId="24748" xr:uid="{00000000-0005-0000-0000-0000AB600000}"/>
    <cellStyle name="Currency 6 2" xfId="24749" xr:uid="{00000000-0005-0000-0000-0000AC600000}"/>
    <cellStyle name="Currency 6 2 2" xfId="24750" xr:uid="{00000000-0005-0000-0000-0000AD600000}"/>
    <cellStyle name="Currency 6 2 2 2" xfId="24751" xr:uid="{00000000-0005-0000-0000-0000AE600000}"/>
    <cellStyle name="Currency 6 2 3" xfId="24752" xr:uid="{00000000-0005-0000-0000-0000AF600000}"/>
    <cellStyle name="Currency 6 3" xfId="24753" xr:uid="{00000000-0005-0000-0000-0000B0600000}"/>
    <cellStyle name="Currency 6 3 2" xfId="24754" xr:uid="{00000000-0005-0000-0000-0000B1600000}"/>
    <cellStyle name="Currency 6 4" xfId="24755" xr:uid="{00000000-0005-0000-0000-0000B2600000}"/>
    <cellStyle name="Currency 6 4 2" xfId="24756" xr:uid="{00000000-0005-0000-0000-0000B3600000}"/>
    <cellStyle name="Currency 6 5" xfId="24757" xr:uid="{00000000-0005-0000-0000-0000B4600000}"/>
    <cellStyle name="Currency 7" xfId="24758" xr:uid="{00000000-0005-0000-0000-0000B5600000}"/>
    <cellStyle name="Currency 7 2" xfId="24759" xr:uid="{00000000-0005-0000-0000-0000B6600000}"/>
    <cellStyle name="Currency 7 2 2" xfId="24760" xr:uid="{00000000-0005-0000-0000-0000B7600000}"/>
    <cellStyle name="Currency 7 2 2 2" xfId="24761" xr:uid="{00000000-0005-0000-0000-0000B8600000}"/>
    <cellStyle name="Currency 7 2 3" xfId="24762" xr:uid="{00000000-0005-0000-0000-0000B9600000}"/>
    <cellStyle name="Currency 7 3" xfId="24763" xr:uid="{00000000-0005-0000-0000-0000BA600000}"/>
    <cellStyle name="Currency 7 3 2" xfId="24764" xr:uid="{00000000-0005-0000-0000-0000BB600000}"/>
    <cellStyle name="Currency 7 4" xfId="24765" xr:uid="{00000000-0005-0000-0000-0000BC600000}"/>
    <cellStyle name="Currency 7 4 2" xfId="24766" xr:uid="{00000000-0005-0000-0000-0000BD600000}"/>
    <cellStyle name="Currency 7 5" xfId="24767" xr:uid="{00000000-0005-0000-0000-0000BE600000}"/>
    <cellStyle name="Currency0" xfId="24768" xr:uid="{00000000-0005-0000-0000-0000BF600000}"/>
    <cellStyle name="Currency0 2" xfId="24769" xr:uid="{00000000-0005-0000-0000-0000C0600000}"/>
    <cellStyle name="Currency0_BS retrieve" xfId="24770" xr:uid="{00000000-0005-0000-0000-0000C1600000}"/>
    <cellStyle name="Dan" xfId="24771" xr:uid="{00000000-0005-0000-0000-0000C2600000}"/>
    <cellStyle name="Dark Title" xfId="24772" xr:uid="{00000000-0005-0000-0000-0000C3600000}"/>
    <cellStyle name="Data" xfId="24773" xr:uid="{00000000-0005-0000-0000-0000C4600000}"/>
    <cellStyle name="Data 2" xfId="24774" xr:uid="{00000000-0005-0000-0000-0000C5600000}"/>
    <cellStyle name="Data 2 2" xfId="24775" xr:uid="{00000000-0005-0000-0000-0000C6600000}"/>
    <cellStyle name="Data 2 2 2" xfId="24776" xr:uid="{00000000-0005-0000-0000-0000C7600000}"/>
    <cellStyle name="Data 2 2 3" xfId="24777" xr:uid="{00000000-0005-0000-0000-0000C8600000}"/>
    <cellStyle name="Data 2 3" xfId="24778" xr:uid="{00000000-0005-0000-0000-0000C9600000}"/>
    <cellStyle name="Data 2 3 2" xfId="24779" xr:uid="{00000000-0005-0000-0000-0000CA600000}"/>
    <cellStyle name="Data 2 3 3" xfId="24780" xr:uid="{00000000-0005-0000-0000-0000CB600000}"/>
    <cellStyle name="Data 2 4" xfId="24781" xr:uid="{00000000-0005-0000-0000-0000CC600000}"/>
    <cellStyle name="Data 2 5" xfId="24782" xr:uid="{00000000-0005-0000-0000-0000CD600000}"/>
    <cellStyle name="Data 3" xfId="24783" xr:uid="{00000000-0005-0000-0000-0000CE600000}"/>
    <cellStyle name="Date" xfId="24784" xr:uid="{00000000-0005-0000-0000-0000CF600000}"/>
    <cellStyle name="Date 2" xfId="24785" xr:uid="{00000000-0005-0000-0000-0000D0600000}"/>
    <cellStyle name="Date Short" xfId="24786" xr:uid="{00000000-0005-0000-0000-0000D1600000}"/>
    <cellStyle name="Date_BS retrieve" xfId="24787" xr:uid="{00000000-0005-0000-0000-0000D2600000}"/>
    <cellStyle name="Date-Time" xfId="24788" xr:uid="{00000000-0005-0000-0000-0000D3600000}"/>
    <cellStyle name="Decimal 1" xfId="24789" xr:uid="{00000000-0005-0000-0000-0000D4600000}"/>
    <cellStyle name="Decimal 2" xfId="24790" xr:uid="{00000000-0005-0000-0000-0000D5600000}"/>
    <cellStyle name="Decimal 3" xfId="24791" xr:uid="{00000000-0005-0000-0000-0000D6600000}"/>
    <cellStyle name="DELTA" xfId="24792" xr:uid="{00000000-0005-0000-0000-0000D7600000}"/>
    <cellStyle name="DELTA 2" xfId="24793" xr:uid="{00000000-0005-0000-0000-0000D8600000}"/>
    <cellStyle name="Dezimal [0]_1994 - 1998" xfId="24794" xr:uid="{00000000-0005-0000-0000-0000D9600000}"/>
    <cellStyle name="Dezimal_1994 - 1998" xfId="24795" xr:uid="{00000000-0005-0000-0000-0000DA600000}"/>
    <cellStyle name="diskette" xfId="24796" xr:uid="{00000000-0005-0000-0000-0000DB600000}"/>
    <cellStyle name="Dziesiętny [0]_D" xfId="24797" xr:uid="{00000000-0005-0000-0000-0000DC600000}"/>
    <cellStyle name="Dziesietny [0]_Zeszyt1" xfId="24798" xr:uid="{00000000-0005-0000-0000-0000DD600000}"/>
    <cellStyle name="Dziesiętny [0]_Zeszyt1" xfId="24799" xr:uid="{00000000-0005-0000-0000-0000DE600000}"/>
    <cellStyle name="Dziesietny [0]_Zeszyt1 2" xfId="24800" xr:uid="{00000000-0005-0000-0000-0000DF600000}"/>
    <cellStyle name="Dziesiętny [0]_Zeszyt1 2" xfId="24801" xr:uid="{00000000-0005-0000-0000-0000E0600000}"/>
    <cellStyle name="Dziesietny [0]_Zeszyt1 3" xfId="24802" xr:uid="{00000000-0005-0000-0000-0000E1600000}"/>
    <cellStyle name="Dziesiętny [0]_Zeszyt1 3" xfId="24803" xr:uid="{00000000-0005-0000-0000-0000E2600000}"/>
    <cellStyle name="Dziesietny [0]_Zeszyt1 4" xfId="24804" xr:uid="{00000000-0005-0000-0000-0000E3600000}"/>
    <cellStyle name="Dziesiętny [0]_Zeszyt1 4" xfId="24805" xr:uid="{00000000-0005-0000-0000-0000E4600000}"/>
    <cellStyle name="Dziesietny [0]_Zeszyt1 5" xfId="24806" xr:uid="{00000000-0005-0000-0000-0000E5600000}"/>
    <cellStyle name="Dziesiętny [0]_Zeszyt1 5" xfId="24807" xr:uid="{00000000-0005-0000-0000-0000E6600000}"/>
    <cellStyle name="Dziesietny [0]_Zeszyt1_Book2" xfId="24808" xr:uid="{00000000-0005-0000-0000-0000E7600000}"/>
    <cellStyle name="Dziesiętny [0]_Zeszyt1_Book2" xfId="24809" xr:uid="{00000000-0005-0000-0000-0000E8600000}"/>
    <cellStyle name="Dziesietny [0]_Zeszyt1_Book2 2" xfId="24810" xr:uid="{00000000-0005-0000-0000-0000E9600000}"/>
    <cellStyle name="Dziesiętny [0]_Zeszyt1_Book2 2" xfId="24811" xr:uid="{00000000-0005-0000-0000-0000EA600000}"/>
    <cellStyle name="Dziesietny [0]_Zeszyt1_Book2 3" xfId="24812" xr:uid="{00000000-0005-0000-0000-0000EB600000}"/>
    <cellStyle name="Dziesiętny [0]_Zeszyt1_Book2 3" xfId="24813" xr:uid="{00000000-0005-0000-0000-0000EC600000}"/>
    <cellStyle name="Dziesietny [0]_Zeszyt1_Book2 4" xfId="24814" xr:uid="{00000000-0005-0000-0000-0000ED600000}"/>
    <cellStyle name="Dziesiętny [0]_Zeszyt1_Book2 4" xfId="24815" xr:uid="{00000000-0005-0000-0000-0000EE600000}"/>
    <cellStyle name="Dziesietny [0]_Zeszyt1_Book2 5" xfId="24816" xr:uid="{00000000-0005-0000-0000-0000EF600000}"/>
    <cellStyle name="Dziesiętny [0]_Zeszyt1_Book2 5" xfId="24817" xr:uid="{00000000-0005-0000-0000-0000F0600000}"/>
    <cellStyle name="Dziesietny [0]_Zeszyt1_Book2_1" xfId="24818" xr:uid="{00000000-0005-0000-0000-0000F1600000}"/>
    <cellStyle name="Dziesiętny [0]_Zeszyt1_Book2_1" xfId="24819" xr:uid="{00000000-0005-0000-0000-0000F2600000}"/>
    <cellStyle name="Dziesietny [0]_Zeszyt1_Camb calc2002_4_Rev 1508" xfId="24820" xr:uid="{00000000-0005-0000-0000-0000F3600000}"/>
    <cellStyle name="Dziesiętny [0]_Zeszyt1_Camb calc2002_4_Rev 1508" xfId="24821" xr:uid="{00000000-0005-0000-0000-0000F4600000}"/>
    <cellStyle name="Dziesietny [0]_Zeszyt1_Camb calc2002_4_Rev 1508 2" xfId="24822" xr:uid="{00000000-0005-0000-0000-0000F5600000}"/>
    <cellStyle name="Dziesiętny [0]_Zeszyt1_Camb calc2002_4_Rev 1508 2" xfId="24823" xr:uid="{00000000-0005-0000-0000-0000F6600000}"/>
    <cellStyle name="Dziesietny [0]_Zeszyt1_Camb calc2002_4_Rev 1508 3" xfId="24824" xr:uid="{00000000-0005-0000-0000-0000F7600000}"/>
    <cellStyle name="Dziesiętny [0]_Zeszyt1_Camb calc2002_4_Rev 1508 3" xfId="24825" xr:uid="{00000000-0005-0000-0000-0000F8600000}"/>
    <cellStyle name="Dziesietny [0]_Zeszyt1_Camb calc2002_4_Rev 1508 4" xfId="24826" xr:uid="{00000000-0005-0000-0000-0000F9600000}"/>
    <cellStyle name="Dziesiętny [0]_Zeszyt1_Camb calc2002_4_Rev 1508 4" xfId="24827" xr:uid="{00000000-0005-0000-0000-0000FA600000}"/>
    <cellStyle name="Dziesietny [0]_Zeszyt1_Camb calc2002_4_Rev 1508 5" xfId="24828" xr:uid="{00000000-0005-0000-0000-0000FB600000}"/>
    <cellStyle name="Dziesiętny [0]_Zeszyt1_Camb calc2002_4_Rev 1508 5" xfId="24829" xr:uid="{00000000-0005-0000-0000-0000FC600000}"/>
    <cellStyle name="Dziesiętny_D" xfId="24830" xr:uid="{00000000-0005-0000-0000-0000FD600000}"/>
    <cellStyle name="Dziesietny_Zeszyt1" xfId="24831" xr:uid="{00000000-0005-0000-0000-0000FE600000}"/>
    <cellStyle name="Dziesiętny_Zeszyt1" xfId="24832" xr:uid="{00000000-0005-0000-0000-0000FF600000}"/>
    <cellStyle name="Dziesietny_Zeszyt1 2" xfId="24833" xr:uid="{00000000-0005-0000-0000-000000610000}"/>
    <cellStyle name="Dziesiętny_Zeszyt1 2" xfId="24834" xr:uid="{00000000-0005-0000-0000-000001610000}"/>
    <cellStyle name="Dziesietny_Zeszyt1 3" xfId="24835" xr:uid="{00000000-0005-0000-0000-000002610000}"/>
    <cellStyle name="Dziesiętny_Zeszyt1 3" xfId="24836" xr:uid="{00000000-0005-0000-0000-000003610000}"/>
    <cellStyle name="Dziesietny_Zeszyt1 4" xfId="24837" xr:uid="{00000000-0005-0000-0000-000004610000}"/>
    <cellStyle name="Dziesiętny_Zeszyt1 4" xfId="24838" xr:uid="{00000000-0005-0000-0000-000005610000}"/>
    <cellStyle name="Dziesietny_Zeszyt1 5" xfId="24839" xr:uid="{00000000-0005-0000-0000-000006610000}"/>
    <cellStyle name="Dziesiętny_Zeszyt1 5" xfId="24840" xr:uid="{00000000-0005-0000-0000-000007610000}"/>
    <cellStyle name="Dziesietny_Zeszyt1_Book2" xfId="24841" xr:uid="{00000000-0005-0000-0000-000008610000}"/>
    <cellStyle name="Dziesiętny_Zeszyt1_Book2" xfId="24842" xr:uid="{00000000-0005-0000-0000-000009610000}"/>
    <cellStyle name="Dziesietny_Zeszyt1_Book2 2" xfId="24843" xr:uid="{00000000-0005-0000-0000-00000A610000}"/>
    <cellStyle name="Dziesiętny_Zeszyt1_Book2 2" xfId="24844" xr:uid="{00000000-0005-0000-0000-00000B610000}"/>
    <cellStyle name="Dziesietny_Zeszyt1_Book2 3" xfId="24845" xr:uid="{00000000-0005-0000-0000-00000C610000}"/>
    <cellStyle name="Dziesiętny_Zeszyt1_Book2 3" xfId="24846" xr:uid="{00000000-0005-0000-0000-00000D610000}"/>
    <cellStyle name="Dziesietny_Zeszyt1_Book2 4" xfId="24847" xr:uid="{00000000-0005-0000-0000-00000E610000}"/>
    <cellStyle name="Dziesiętny_Zeszyt1_Book2 4" xfId="24848" xr:uid="{00000000-0005-0000-0000-00000F610000}"/>
    <cellStyle name="Dziesietny_Zeszyt1_Book2 5" xfId="24849" xr:uid="{00000000-0005-0000-0000-000010610000}"/>
    <cellStyle name="Dziesiętny_Zeszyt1_Book2 5" xfId="24850" xr:uid="{00000000-0005-0000-0000-000011610000}"/>
    <cellStyle name="Dziesietny_Zeszyt1_Book2_1" xfId="24851" xr:uid="{00000000-0005-0000-0000-000012610000}"/>
    <cellStyle name="Dziesiętny_Zeszyt1_Book2_1" xfId="24852" xr:uid="{00000000-0005-0000-0000-000013610000}"/>
    <cellStyle name="Dziesietny_Zeszyt1_Camb calc2002_4_Rev 1508" xfId="24853" xr:uid="{00000000-0005-0000-0000-000014610000}"/>
    <cellStyle name="Dziesiętny_Zeszyt1_Camb calc2002_4_Rev 1508" xfId="24854" xr:uid="{00000000-0005-0000-0000-000015610000}"/>
    <cellStyle name="Dziesietny_Zeszyt1_Camb calc2002_4_Rev 1508 2" xfId="24855" xr:uid="{00000000-0005-0000-0000-000016610000}"/>
    <cellStyle name="Dziesiętny_Zeszyt1_Camb calc2002_4_Rev 1508 2" xfId="24856" xr:uid="{00000000-0005-0000-0000-000017610000}"/>
    <cellStyle name="Dziesietny_Zeszyt1_Camb calc2002_4_Rev 1508 3" xfId="24857" xr:uid="{00000000-0005-0000-0000-000018610000}"/>
    <cellStyle name="Dziesiętny_Zeszyt1_Camb calc2002_4_Rev 1508 3" xfId="24858" xr:uid="{00000000-0005-0000-0000-000019610000}"/>
    <cellStyle name="Dziesietny_Zeszyt1_Camb calc2002_4_Rev 1508 4" xfId="24859" xr:uid="{00000000-0005-0000-0000-00001A610000}"/>
    <cellStyle name="Dziesiętny_Zeszyt1_Camb calc2002_4_Rev 1508 4" xfId="24860" xr:uid="{00000000-0005-0000-0000-00001B610000}"/>
    <cellStyle name="Dziesietny_Zeszyt1_Camb calc2002_4_Rev 1508 5" xfId="24861" xr:uid="{00000000-0005-0000-0000-00001C610000}"/>
    <cellStyle name="Dziesiętny_Zeszyt1_Camb calc2002_4_Rev 1508 5" xfId="24862" xr:uid="{00000000-0005-0000-0000-00001D610000}"/>
    <cellStyle name="Enter Currency (0)" xfId="24863" xr:uid="{00000000-0005-0000-0000-00001E610000}"/>
    <cellStyle name="Enter Currency (0) 2" xfId="24864" xr:uid="{00000000-0005-0000-0000-00001F610000}"/>
    <cellStyle name="Enter Currency (2)" xfId="24865" xr:uid="{00000000-0005-0000-0000-000020610000}"/>
    <cellStyle name="Enter Currency (2) 2" xfId="24866" xr:uid="{00000000-0005-0000-0000-000021610000}"/>
    <cellStyle name="Enter Units (0)" xfId="24867" xr:uid="{00000000-0005-0000-0000-000022610000}"/>
    <cellStyle name="Enter Units (0) 2" xfId="24868" xr:uid="{00000000-0005-0000-0000-000023610000}"/>
    <cellStyle name="Enter Units (1)" xfId="24869" xr:uid="{00000000-0005-0000-0000-000024610000}"/>
    <cellStyle name="Enter Units (1) 2" xfId="24870" xr:uid="{00000000-0005-0000-0000-000025610000}"/>
    <cellStyle name="Enter Units (2)" xfId="24871" xr:uid="{00000000-0005-0000-0000-000026610000}"/>
    <cellStyle name="Enter Units (2) 2" xfId="24872" xr:uid="{00000000-0005-0000-0000-000027610000}"/>
    <cellStyle name="Entered" xfId="24873" xr:uid="{00000000-0005-0000-0000-000028610000}"/>
    <cellStyle name="entry" xfId="24874" xr:uid="{00000000-0005-0000-0000-000029610000}"/>
    <cellStyle name="Euro" xfId="24875" xr:uid="{00000000-0005-0000-0000-00002A610000}"/>
    <cellStyle name="Euro 2" xfId="24876" xr:uid="{00000000-0005-0000-0000-00002B610000}"/>
    <cellStyle name="Euro 3" xfId="24877" xr:uid="{00000000-0005-0000-0000-00002C610000}"/>
    <cellStyle name="Euro_BS retrieve" xfId="24878" xr:uid="{00000000-0005-0000-0000-00002D610000}"/>
    <cellStyle name="Excel Built-in Normal" xfId="24879" xr:uid="{00000000-0005-0000-0000-00002E610000}"/>
    <cellStyle name="Explanatory Text 2" xfId="24880" xr:uid="{00000000-0005-0000-0000-00002F610000}"/>
    <cellStyle name="Explanatory Text 2 2" xfId="24881" xr:uid="{00000000-0005-0000-0000-000030610000}"/>
    <cellStyle name="Explanatory Text 2 3" xfId="24882" xr:uid="{00000000-0005-0000-0000-000031610000}"/>
    <cellStyle name="Explanatory Text 3" xfId="24883" xr:uid="{00000000-0005-0000-0000-000032610000}"/>
    <cellStyle name="EYBlocked" xfId="24884" xr:uid="{00000000-0005-0000-0000-000033610000}"/>
    <cellStyle name="EYCallUp" xfId="24885" xr:uid="{00000000-0005-0000-0000-000034610000}"/>
    <cellStyle name="EYCheck" xfId="24886" xr:uid="{00000000-0005-0000-0000-000035610000}"/>
    <cellStyle name="EYDate" xfId="24887" xr:uid="{00000000-0005-0000-0000-000036610000}"/>
    <cellStyle name="EYDeviant" xfId="24888" xr:uid="{00000000-0005-0000-0000-000037610000}"/>
    <cellStyle name="EYHeader1" xfId="24889" xr:uid="{00000000-0005-0000-0000-000038610000}"/>
    <cellStyle name="EYHeader1 2" xfId="24890" xr:uid="{00000000-0005-0000-0000-000039610000}"/>
    <cellStyle name="EYHeader1 2 2" xfId="24891" xr:uid="{00000000-0005-0000-0000-00003A610000}"/>
    <cellStyle name="EYHeader1 2 2 2" xfId="24892" xr:uid="{00000000-0005-0000-0000-00003B610000}"/>
    <cellStyle name="EYHeader1 2 2 3" xfId="24893" xr:uid="{00000000-0005-0000-0000-00003C610000}"/>
    <cellStyle name="EYHeader1 2 3" xfId="24894" xr:uid="{00000000-0005-0000-0000-00003D610000}"/>
    <cellStyle name="EYHeader1 2 3 2" xfId="24895" xr:uid="{00000000-0005-0000-0000-00003E610000}"/>
    <cellStyle name="EYHeader1 2 3 3" xfId="24896" xr:uid="{00000000-0005-0000-0000-00003F610000}"/>
    <cellStyle name="EYHeader1 2 4" xfId="24897" xr:uid="{00000000-0005-0000-0000-000040610000}"/>
    <cellStyle name="EYHeader1 2 5" xfId="24898" xr:uid="{00000000-0005-0000-0000-000041610000}"/>
    <cellStyle name="EYHeader1 3" xfId="24899" xr:uid="{00000000-0005-0000-0000-000042610000}"/>
    <cellStyle name="EYHeader1 3 2" xfId="24900" xr:uid="{00000000-0005-0000-0000-000043610000}"/>
    <cellStyle name="EYHeader1 3 3" xfId="24901" xr:uid="{00000000-0005-0000-0000-000044610000}"/>
    <cellStyle name="EYHeader1 4" xfId="24902" xr:uid="{00000000-0005-0000-0000-000045610000}"/>
    <cellStyle name="EYHeader2" xfId="24903" xr:uid="{00000000-0005-0000-0000-000046610000}"/>
    <cellStyle name="EYHeader3" xfId="24904" xr:uid="{00000000-0005-0000-0000-000047610000}"/>
    <cellStyle name="EYInputDate" xfId="24905" xr:uid="{00000000-0005-0000-0000-000048610000}"/>
    <cellStyle name="EYInputPercent" xfId="24906" xr:uid="{00000000-0005-0000-0000-000049610000}"/>
    <cellStyle name="EYInputValue" xfId="24907" xr:uid="{00000000-0005-0000-0000-00004A610000}"/>
    <cellStyle name="EYNormal" xfId="24908" xr:uid="{00000000-0005-0000-0000-00004B610000}"/>
    <cellStyle name="EYPercent" xfId="24909" xr:uid="{00000000-0005-0000-0000-00004C610000}"/>
    <cellStyle name="EYPercentCapped" xfId="24910" xr:uid="{00000000-0005-0000-0000-00004D610000}"/>
    <cellStyle name="EYSubTotal" xfId="24911" xr:uid="{00000000-0005-0000-0000-00004E610000}"/>
    <cellStyle name="EYSubTotal 2" xfId="24912" xr:uid="{00000000-0005-0000-0000-00004F610000}"/>
    <cellStyle name="EYSubTotal 2 2" xfId="24913" xr:uid="{00000000-0005-0000-0000-000050610000}"/>
    <cellStyle name="EYSubTotal 2 2 2" xfId="24914" xr:uid="{00000000-0005-0000-0000-000051610000}"/>
    <cellStyle name="EYSubTotal 2 2 3" xfId="24915" xr:uid="{00000000-0005-0000-0000-000052610000}"/>
    <cellStyle name="EYSubTotal 2 3" xfId="24916" xr:uid="{00000000-0005-0000-0000-000053610000}"/>
    <cellStyle name="EYSubTotal 2 3 2" xfId="24917" xr:uid="{00000000-0005-0000-0000-000054610000}"/>
    <cellStyle name="EYSubTotal 2 3 3" xfId="24918" xr:uid="{00000000-0005-0000-0000-000055610000}"/>
    <cellStyle name="EYSubTotal 2 4" xfId="24919" xr:uid="{00000000-0005-0000-0000-000056610000}"/>
    <cellStyle name="EYSubTotal 2 5" xfId="24920" xr:uid="{00000000-0005-0000-0000-000057610000}"/>
    <cellStyle name="EYSubTotal 3" xfId="24921" xr:uid="{00000000-0005-0000-0000-000058610000}"/>
    <cellStyle name="EYSubTotal 3 2" xfId="24922" xr:uid="{00000000-0005-0000-0000-000059610000}"/>
    <cellStyle name="EYSubTotal 3 3" xfId="24923" xr:uid="{00000000-0005-0000-0000-00005A610000}"/>
    <cellStyle name="EYSubTotal 4" xfId="24924" xr:uid="{00000000-0005-0000-0000-00005B610000}"/>
    <cellStyle name="EYTotal" xfId="24925" xr:uid="{00000000-0005-0000-0000-00005C610000}"/>
    <cellStyle name="EYWIP" xfId="24926" xr:uid="{00000000-0005-0000-0000-00005D610000}"/>
    <cellStyle name="Ezres [0]_Ausdruck" xfId="24927" xr:uid="{00000000-0005-0000-0000-00005E610000}"/>
    <cellStyle name="Ezres_Ausdruck" xfId="24928" xr:uid="{00000000-0005-0000-0000-00005F610000}"/>
    <cellStyle name="Fixed" xfId="24929" xr:uid="{00000000-0005-0000-0000-000060610000}"/>
    <cellStyle name="Fixed 2" xfId="24930" xr:uid="{00000000-0005-0000-0000-000061610000}"/>
    <cellStyle name="Fixed 2 2" xfId="24931" xr:uid="{00000000-0005-0000-0000-000062610000}"/>
    <cellStyle name="Fixed_BS retrieve" xfId="24932" xr:uid="{00000000-0005-0000-0000-000063610000}"/>
    <cellStyle name="Flag" xfId="24933" xr:uid="{00000000-0005-0000-0000-000064610000}"/>
    <cellStyle name="Flag 2" xfId="24934" xr:uid="{00000000-0005-0000-0000-000065610000}"/>
    <cellStyle name="Forecast" xfId="24935" xr:uid="{00000000-0005-0000-0000-000066610000}"/>
    <cellStyle name="General" xfId="24936" xr:uid="{00000000-0005-0000-0000-000067610000}"/>
    <cellStyle name="Good 2" xfId="24937" xr:uid="{00000000-0005-0000-0000-000068610000}"/>
    <cellStyle name="Good 2 2" xfId="24938" xr:uid="{00000000-0005-0000-0000-000069610000}"/>
    <cellStyle name="Good 2 3" xfId="24939" xr:uid="{00000000-0005-0000-0000-00006A610000}"/>
    <cellStyle name="Good 3" xfId="24940" xr:uid="{00000000-0005-0000-0000-00006B610000}"/>
    <cellStyle name="Grey" xfId="24941" xr:uid="{00000000-0005-0000-0000-00006C610000}"/>
    <cellStyle name="Grey 2" xfId="24942" xr:uid="{00000000-0005-0000-0000-00006D610000}"/>
    <cellStyle name="hard no." xfId="24943" xr:uid="{00000000-0005-0000-0000-00006E610000}"/>
    <cellStyle name="hard no. 2" xfId="24944" xr:uid="{00000000-0005-0000-0000-00006F610000}"/>
    <cellStyle name="hard no. 2 2" xfId="24945" xr:uid="{00000000-0005-0000-0000-000070610000}"/>
    <cellStyle name="hard no. 2 2 2" xfId="24946" xr:uid="{00000000-0005-0000-0000-000071610000}"/>
    <cellStyle name="hard no. 2 2 3" xfId="24947" xr:uid="{00000000-0005-0000-0000-000072610000}"/>
    <cellStyle name="hard no. 2 3" xfId="24948" xr:uid="{00000000-0005-0000-0000-000073610000}"/>
    <cellStyle name="hard no. 2 3 2" xfId="24949" xr:uid="{00000000-0005-0000-0000-000074610000}"/>
    <cellStyle name="hard no. 2 3 3" xfId="24950" xr:uid="{00000000-0005-0000-0000-000075610000}"/>
    <cellStyle name="hard no. 2 4" xfId="24951" xr:uid="{00000000-0005-0000-0000-000076610000}"/>
    <cellStyle name="hard no. 3" xfId="24952" xr:uid="{00000000-0005-0000-0000-000077610000}"/>
    <cellStyle name="hard no. 3 2" xfId="24953" xr:uid="{00000000-0005-0000-0000-000078610000}"/>
    <cellStyle name="hard no. 3 3" xfId="24954" xr:uid="{00000000-0005-0000-0000-000079610000}"/>
    <cellStyle name="hard no. 4" xfId="24955" xr:uid="{00000000-0005-0000-0000-00007A610000}"/>
    <cellStyle name="hard no. 4 2" xfId="24956" xr:uid="{00000000-0005-0000-0000-00007B610000}"/>
    <cellStyle name="hard no. 4 3" xfId="24957" xr:uid="{00000000-0005-0000-0000-00007C610000}"/>
    <cellStyle name="Head" xfId="24958" xr:uid="{00000000-0005-0000-0000-00007D610000}"/>
    <cellStyle name="Header1" xfId="24959" xr:uid="{00000000-0005-0000-0000-00007E610000}"/>
    <cellStyle name="Header1 2" xfId="24960" xr:uid="{00000000-0005-0000-0000-00007F610000}"/>
    <cellStyle name="Header2" xfId="24961" xr:uid="{00000000-0005-0000-0000-000080610000}"/>
    <cellStyle name="Header2 2" xfId="24962" xr:uid="{00000000-0005-0000-0000-000081610000}"/>
    <cellStyle name="Header2 2 2" xfId="24963" xr:uid="{00000000-0005-0000-0000-000082610000}"/>
    <cellStyle name="Header2 2 2 2" xfId="24964" xr:uid="{00000000-0005-0000-0000-000083610000}"/>
    <cellStyle name="Header2 2 2 2 2" xfId="24965" xr:uid="{00000000-0005-0000-0000-000084610000}"/>
    <cellStyle name="Header2 2 2 2 3" xfId="24966" xr:uid="{00000000-0005-0000-0000-000085610000}"/>
    <cellStyle name="Header2 2 2 3" xfId="24967" xr:uid="{00000000-0005-0000-0000-000086610000}"/>
    <cellStyle name="Header2 2 2 3 2" xfId="24968" xr:uid="{00000000-0005-0000-0000-000087610000}"/>
    <cellStyle name="Header2 2 2 3 3" xfId="24969" xr:uid="{00000000-0005-0000-0000-000088610000}"/>
    <cellStyle name="Header2 2 2 4" xfId="24970" xr:uid="{00000000-0005-0000-0000-000089610000}"/>
    <cellStyle name="Header2 2 2 5" xfId="24971" xr:uid="{00000000-0005-0000-0000-00008A610000}"/>
    <cellStyle name="Header2 2 3" xfId="24972" xr:uid="{00000000-0005-0000-0000-00008B610000}"/>
    <cellStyle name="Header2 2 3 2" xfId="24973" xr:uid="{00000000-0005-0000-0000-00008C610000}"/>
    <cellStyle name="Header2 2 3 3" xfId="24974" xr:uid="{00000000-0005-0000-0000-00008D610000}"/>
    <cellStyle name="Header2 2 4" xfId="24975" xr:uid="{00000000-0005-0000-0000-00008E610000}"/>
    <cellStyle name="Header2 3" xfId="24976" xr:uid="{00000000-0005-0000-0000-00008F610000}"/>
    <cellStyle name="Header2 3 2" xfId="24977" xr:uid="{00000000-0005-0000-0000-000090610000}"/>
    <cellStyle name="Header2 3 2 2" xfId="24978" xr:uid="{00000000-0005-0000-0000-000091610000}"/>
    <cellStyle name="Header2 3 2 3" xfId="24979" xr:uid="{00000000-0005-0000-0000-000092610000}"/>
    <cellStyle name="Header2 3 3" xfId="24980" xr:uid="{00000000-0005-0000-0000-000093610000}"/>
    <cellStyle name="Header2 3 3 2" xfId="24981" xr:uid="{00000000-0005-0000-0000-000094610000}"/>
    <cellStyle name="Header2 3 3 3" xfId="24982" xr:uid="{00000000-0005-0000-0000-000095610000}"/>
    <cellStyle name="Header2 3 4" xfId="24983" xr:uid="{00000000-0005-0000-0000-000096610000}"/>
    <cellStyle name="Header2 3 5" xfId="24984" xr:uid="{00000000-0005-0000-0000-000097610000}"/>
    <cellStyle name="Header2 4" xfId="24985" xr:uid="{00000000-0005-0000-0000-000098610000}"/>
    <cellStyle name="Header2 4 2" xfId="24986" xr:uid="{00000000-0005-0000-0000-000099610000}"/>
    <cellStyle name="Header2 4 3" xfId="24987" xr:uid="{00000000-0005-0000-0000-00009A610000}"/>
    <cellStyle name="Header2 5" xfId="24988" xr:uid="{00000000-0005-0000-0000-00009B610000}"/>
    <cellStyle name="Header2_BS retrieve" xfId="24989" xr:uid="{00000000-0005-0000-0000-00009C610000}"/>
    <cellStyle name="Heading" xfId="24990" xr:uid="{00000000-0005-0000-0000-00009D610000}"/>
    <cellStyle name="Heading 1 2" xfId="24991" xr:uid="{00000000-0005-0000-0000-00009E610000}"/>
    <cellStyle name="Heading 1 2 2" xfId="24992" xr:uid="{00000000-0005-0000-0000-00009F610000}"/>
    <cellStyle name="Heading 1 2 3" xfId="24993" xr:uid="{00000000-0005-0000-0000-0000A0610000}"/>
    <cellStyle name="Heading 1 3" xfId="24994" xr:uid="{00000000-0005-0000-0000-0000A1610000}"/>
    <cellStyle name="Heading 2 2" xfId="24995" xr:uid="{00000000-0005-0000-0000-0000A2610000}"/>
    <cellStyle name="Heading 2 2 2" xfId="24996" xr:uid="{00000000-0005-0000-0000-0000A3610000}"/>
    <cellStyle name="Heading 2 2 3" xfId="24997" xr:uid="{00000000-0005-0000-0000-0000A4610000}"/>
    <cellStyle name="Heading 2 3" xfId="24998" xr:uid="{00000000-0005-0000-0000-0000A5610000}"/>
    <cellStyle name="Heading 3 2" xfId="24999" xr:uid="{00000000-0005-0000-0000-0000A6610000}"/>
    <cellStyle name="Heading 3 2 2" xfId="25000" xr:uid="{00000000-0005-0000-0000-0000A7610000}"/>
    <cellStyle name="Heading 3 2 3" xfId="25001" xr:uid="{00000000-0005-0000-0000-0000A8610000}"/>
    <cellStyle name="Heading 3 3" xfId="25002" xr:uid="{00000000-0005-0000-0000-0000A9610000}"/>
    <cellStyle name="Heading 4 2" xfId="25003" xr:uid="{00000000-0005-0000-0000-0000AA610000}"/>
    <cellStyle name="Heading 4 2 2" xfId="25004" xr:uid="{00000000-0005-0000-0000-0000AB610000}"/>
    <cellStyle name="Heading 4 2 3" xfId="25005" xr:uid="{00000000-0005-0000-0000-0000AC610000}"/>
    <cellStyle name="Heading 4 3" xfId="25006" xr:uid="{00000000-0005-0000-0000-0000AD610000}"/>
    <cellStyle name="Heading1" xfId="25007" xr:uid="{00000000-0005-0000-0000-0000AE610000}"/>
    <cellStyle name="Heading2" xfId="25008" xr:uid="{00000000-0005-0000-0000-0000AF610000}"/>
    <cellStyle name="Heading3" xfId="25009" xr:uid="{00000000-0005-0000-0000-0000B0610000}"/>
    <cellStyle name="Heading4" xfId="25010" xr:uid="{00000000-0005-0000-0000-0000B1610000}"/>
    <cellStyle name="Heading5" xfId="25011" xr:uid="{00000000-0005-0000-0000-0000B2610000}"/>
    <cellStyle name="Heading6" xfId="25012" xr:uid="{00000000-0005-0000-0000-0000B3610000}"/>
    <cellStyle name="Horizontal" xfId="25013" xr:uid="{00000000-0005-0000-0000-0000B4610000}"/>
    <cellStyle name="Horizontal 2" xfId="25014" xr:uid="{00000000-0005-0000-0000-0000B5610000}"/>
    <cellStyle name="Hyperlink 2" xfId="25015" xr:uid="{00000000-0005-0000-0000-0000B6610000}"/>
    <cellStyle name="Hyperlink 2 2" xfId="25016" xr:uid="{00000000-0005-0000-0000-0000B7610000}"/>
    <cellStyle name="Hyperlink 2 3" xfId="25017" xr:uid="{00000000-0005-0000-0000-0000B8610000}"/>
    <cellStyle name="Hyperlink 2 4" xfId="25018" xr:uid="{00000000-0005-0000-0000-0000B9610000}"/>
    <cellStyle name="Hyperlink 3" xfId="25019" xr:uid="{00000000-0005-0000-0000-0000BA610000}"/>
    <cellStyle name="Hyperlink 3 2" xfId="25020" xr:uid="{00000000-0005-0000-0000-0000BB610000}"/>
    <cellStyle name="Hyperlink 4" xfId="25021" xr:uid="{00000000-0005-0000-0000-0000BC610000}"/>
    <cellStyle name="Hyperlink 4 2" xfId="25022" xr:uid="{00000000-0005-0000-0000-0000BD610000}"/>
    <cellStyle name="Hyperlink 5" xfId="25023" xr:uid="{00000000-0005-0000-0000-0000BE610000}"/>
    <cellStyle name="Îáû÷íûé_UPL-pers" xfId="25024" xr:uid="{00000000-0005-0000-0000-0000BF610000}"/>
    <cellStyle name="Indent" xfId="25025" xr:uid="{00000000-0005-0000-0000-0000C0610000}"/>
    <cellStyle name="Input %" xfId="25026" xr:uid="{00000000-0005-0000-0000-0000C1610000}"/>
    <cellStyle name="Input [yellow]" xfId="25027" xr:uid="{00000000-0005-0000-0000-0000C2610000}"/>
    <cellStyle name="Input [yellow] 2" xfId="25028" xr:uid="{00000000-0005-0000-0000-0000C3610000}"/>
    <cellStyle name="Input [yellow] 2 2" xfId="25029" xr:uid="{00000000-0005-0000-0000-0000C4610000}"/>
    <cellStyle name="Input [yellow] 2 2 2" xfId="25030" xr:uid="{00000000-0005-0000-0000-0000C5610000}"/>
    <cellStyle name="Input [yellow] 2 2 2 2" xfId="25031" xr:uid="{00000000-0005-0000-0000-0000C6610000}"/>
    <cellStyle name="Input [yellow] 2 2 2 3" xfId="25032" xr:uid="{00000000-0005-0000-0000-0000C7610000}"/>
    <cellStyle name="Input [yellow] 2 2 3" xfId="25033" xr:uid="{00000000-0005-0000-0000-0000C8610000}"/>
    <cellStyle name="Input [yellow] 2 2 3 2" xfId="25034" xr:uid="{00000000-0005-0000-0000-0000C9610000}"/>
    <cellStyle name="Input [yellow] 2 2 3 3" xfId="25035" xr:uid="{00000000-0005-0000-0000-0000CA610000}"/>
    <cellStyle name="Input [yellow] 2 2 4" xfId="25036" xr:uid="{00000000-0005-0000-0000-0000CB610000}"/>
    <cellStyle name="Input [yellow] 2 3" xfId="25037" xr:uid="{00000000-0005-0000-0000-0000CC610000}"/>
    <cellStyle name="Input [yellow] 2 3 2" xfId="25038" xr:uid="{00000000-0005-0000-0000-0000CD610000}"/>
    <cellStyle name="Input [yellow] 2 3 3" xfId="25039" xr:uid="{00000000-0005-0000-0000-0000CE610000}"/>
    <cellStyle name="Input [yellow] 2 4" xfId="25040" xr:uid="{00000000-0005-0000-0000-0000CF610000}"/>
    <cellStyle name="Input [yellow] 2 4 2" xfId="25041" xr:uid="{00000000-0005-0000-0000-0000D0610000}"/>
    <cellStyle name="Input [yellow] 2 4 3" xfId="25042" xr:uid="{00000000-0005-0000-0000-0000D1610000}"/>
    <cellStyle name="Input [yellow] 3" xfId="25043" xr:uid="{00000000-0005-0000-0000-0000D2610000}"/>
    <cellStyle name="Input [yellow] 3 2" xfId="25044" xr:uid="{00000000-0005-0000-0000-0000D3610000}"/>
    <cellStyle name="Input [yellow] 3 2 2" xfId="25045" xr:uid="{00000000-0005-0000-0000-0000D4610000}"/>
    <cellStyle name="Input [yellow] 3 2 3" xfId="25046" xr:uid="{00000000-0005-0000-0000-0000D5610000}"/>
    <cellStyle name="Input [yellow] 3 3" xfId="25047" xr:uid="{00000000-0005-0000-0000-0000D6610000}"/>
    <cellStyle name="Input [yellow] 3 3 2" xfId="25048" xr:uid="{00000000-0005-0000-0000-0000D7610000}"/>
    <cellStyle name="Input [yellow] 3 3 3" xfId="25049" xr:uid="{00000000-0005-0000-0000-0000D8610000}"/>
    <cellStyle name="Input [yellow] 3 4" xfId="25050" xr:uid="{00000000-0005-0000-0000-0000D9610000}"/>
    <cellStyle name="Input [yellow] 4" xfId="25051" xr:uid="{00000000-0005-0000-0000-0000DA610000}"/>
    <cellStyle name="Input [yellow] 4 2" xfId="25052" xr:uid="{00000000-0005-0000-0000-0000DB610000}"/>
    <cellStyle name="Input [yellow] 4 3" xfId="25053" xr:uid="{00000000-0005-0000-0000-0000DC610000}"/>
    <cellStyle name="Input [yellow] 5" xfId="25054" xr:uid="{00000000-0005-0000-0000-0000DD610000}"/>
    <cellStyle name="Input [yellow] 5 2" xfId="25055" xr:uid="{00000000-0005-0000-0000-0000DE610000}"/>
    <cellStyle name="Input [yellow] 5 3" xfId="25056" xr:uid="{00000000-0005-0000-0000-0000DF610000}"/>
    <cellStyle name="Input 1" xfId="25057" xr:uid="{00000000-0005-0000-0000-0000E0610000}"/>
    <cellStyle name="Input 2" xfId="25058" xr:uid="{00000000-0005-0000-0000-0000E1610000}"/>
    <cellStyle name="Input 2 2" xfId="25059" xr:uid="{00000000-0005-0000-0000-0000E2610000}"/>
    <cellStyle name="Input 2 3" xfId="25060" xr:uid="{00000000-0005-0000-0000-0000E3610000}"/>
    <cellStyle name="Input 2 3 2" xfId="25061" xr:uid="{00000000-0005-0000-0000-0000E4610000}"/>
    <cellStyle name="Input 2 3 2 2" xfId="25062" xr:uid="{00000000-0005-0000-0000-0000E5610000}"/>
    <cellStyle name="Input 2 3 2 3" xfId="25063" xr:uid="{00000000-0005-0000-0000-0000E6610000}"/>
    <cellStyle name="Input 2 3 3" xfId="25064" xr:uid="{00000000-0005-0000-0000-0000E7610000}"/>
    <cellStyle name="Input 2 3 3 2" xfId="25065" xr:uid="{00000000-0005-0000-0000-0000E8610000}"/>
    <cellStyle name="Input 2 3 3 3" xfId="25066" xr:uid="{00000000-0005-0000-0000-0000E9610000}"/>
    <cellStyle name="Input 2 3 4" xfId="25067" xr:uid="{00000000-0005-0000-0000-0000EA610000}"/>
    <cellStyle name="Input 2 3 5" xfId="25068" xr:uid="{00000000-0005-0000-0000-0000EB610000}"/>
    <cellStyle name="Input 2 4" xfId="25069" xr:uid="{00000000-0005-0000-0000-0000EC610000}"/>
    <cellStyle name="Input 2 4 2" xfId="25070" xr:uid="{00000000-0005-0000-0000-0000ED610000}"/>
    <cellStyle name="Input 2 4 3" xfId="25071" xr:uid="{00000000-0005-0000-0000-0000EE610000}"/>
    <cellStyle name="Input 2 5" xfId="25072" xr:uid="{00000000-0005-0000-0000-0000EF610000}"/>
    <cellStyle name="Input 2 6" xfId="25073" xr:uid="{00000000-0005-0000-0000-0000F0610000}"/>
    <cellStyle name="Input 3" xfId="25074" xr:uid="{00000000-0005-0000-0000-0000F1610000}"/>
    <cellStyle name="Input 3 2" xfId="25075" xr:uid="{00000000-0005-0000-0000-0000F2610000}"/>
    <cellStyle name="Input 3 2 2" xfId="25076" xr:uid="{00000000-0005-0000-0000-0000F3610000}"/>
    <cellStyle name="Input 3 2 2 2" xfId="25077" xr:uid="{00000000-0005-0000-0000-0000F4610000}"/>
    <cellStyle name="Input 3 2 2 3" xfId="25078" xr:uid="{00000000-0005-0000-0000-0000F5610000}"/>
    <cellStyle name="Input 3 2 3" xfId="25079" xr:uid="{00000000-0005-0000-0000-0000F6610000}"/>
    <cellStyle name="Input 3 2 3 2" xfId="25080" xr:uid="{00000000-0005-0000-0000-0000F7610000}"/>
    <cellStyle name="Input 3 2 3 3" xfId="25081" xr:uid="{00000000-0005-0000-0000-0000F8610000}"/>
    <cellStyle name="Input 3 2 4" xfId="25082" xr:uid="{00000000-0005-0000-0000-0000F9610000}"/>
    <cellStyle name="Input 3 2 5" xfId="25083" xr:uid="{00000000-0005-0000-0000-0000FA610000}"/>
    <cellStyle name="Input 3 3" xfId="25084" xr:uid="{00000000-0005-0000-0000-0000FB610000}"/>
    <cellStyle name="Input 3 3 2" xfId="25085" xr:uid="{00000000-0005-0000-0000-0000FC610000}"/>
    <cellStyle name="Input 3 3 3" xfId="25086" xr:uid="{00000000-0005-0000-0000-0000FD610000}"/>
    <cellStyle name="Input 3 4" xfId="25087" xr:uid="{00000000-0005-0000-0000-0000FE610000}"/>
    <cellStyle name="Input 3 5" xfId="25088" xr:uid="{00000000-0005-0000-0000-0000FF610000}"/>
    <cellStyle name="Input 4" xfId="25089" xr:uid="{00000000-0005-0000-0000-000000620000}"/>
    <cellStyle name="Input 4 2" xfId="25090" xr:uid="{00000000-0005-0000-0000-000001620000}"/>
    <cellStyle name="Input 4 2 2" xfId="25091" xr:uid="{00000000-0005-0000-0000-000002620000}"/>
    <cellStyle name="Input 4 2 2 2" xfId="25092" xr:uid="{00000000-0005-0000-0000-000003620000}"/>
    <cellStyle name="Input 4 2 2 3" xfId="25093" xr:uid="{00000000-0005-0000-0000-000004620000}"/>
    <cellStyle name="Input 4 2 3" xfId="25094" xr:uid="{00000000-0005-0000-0000-000005620000}"/>
    <cellStyle name="Input 4 2 3 2" xfId="25095" xr:uid="{00000000-0005-0000-0000-000006620000}"/>
    <cellStyle name="Input 4 2 3 3" xfId="25096" xr:uid="{00000000-0005-0000-0000-000007620000}"/>
    <cellStyle name="Input 4 2 4" xfId="25097" xr:uid="{00000000-0005-0000-0000-000008620000}"/>
    <cellStyle name="Input 4 2 5" xfId="25098" xr:uid="{00000000-0005-0000-0000-000009620000}"/>
    <cellStyle name="Input 4 3" xfId="25099" xr:uid="{00000000-0005-0000-0000-00000A620000}"/>
    <cellStyle name="Input 4 3 2" xfId="25100" xr:uid="{00000000-0005-0000-0000-00000B620000}"/>
    <cellStyle name="Input 4 3 3" xfId="25101" xr:uid="{00000000-0005-0000-0000-00000C620000}"/>
    <cellStyle name="Input 4 4" xfId="25102" xr:uid="{00000000-0005-0000-0000-00000D620000}"/>
    <cellStyle name="Input 5" xfId="25103" xr:uid="{00000000-0005-0000-0000-00000E620000}"/>
    <cellStyle name="Input 5 2" xfId="25104" xr:uid="{00000000-0005-0000-0000-00000F620000}"/>
    <cellStyle name="Input 5 2 2" xfId="25105" xr:uid="{00000000-0005-0000-0000-000010620000}"/>
    <cellStyle name="Input 5 2 2 2" xfId="25106" xr:uid="{00000000-0005-0000-0000-000011620000}"/>
    <cellStyle name="Input 5 2 2 3" xfId="25107" xr:uid="{00000000-0005-0000-0000-000012620000}"/>
    <cellStyle name="Input 5 2 3" xfId="25108" xr:uid="{00000000-0005-0000-0000-000013620000}"/>
    <cellStyle name="Input 5 2 3 2" xfId="25109" xr:uid="{00000000-0005-0000-0000-000014620000}"/>
    <cellStyle name="Input 5 2 3 3" xfId="25110" xr:uid="{00000000-0005-0000-0000-000015620000}"/>
    <cellStyle name="Input 5 2 4" xfId="25111" xr:uid="{00000000-0005-0000-0000-000016620000}"/>
    <cellStyle name="Input 5 2 5" xfId="25112" xr:uid="{00000000-0005-0000-0000-000017620000}"/>
    <cellStyle name="Input 5 3" xfId="25113" xr:uid="{00000000-0005-0000-0000-000018620000}"/>
    <cellStyle name="Input 5 3 2" xfId="25114" xr:uid="{00000000-0005-0000-0000-000019620000}"/>
    <cellStyle name="Input 5 3 3" xfId="25115" xr:uid="{00000000-0005-0000-0000-00001A620000}"/>
    <cellStyle name="Input 5 4" xfId="25116" xr:uid="{00000000-0005-0000-0000-00001B620000}"/>
    <cellStyle name="Input 6" xfId="25117" xr:uid="{00000000-0005-0000-0000-00001C620000}"/>
    <cellStyle name="Input 6 2" xfId="25118" xr:uid="{00000000-0005-0000-0000-00001D620000}"/>
    <cellStyle name="Input 6 2 2" xfId="25119" xr:uid="{00000000-0005-0000-0000-00001E620000}"/>
    <cellStyle name="Input 6 2 2 2" xfId="25120" xr:uid="{00000000-0005-0000-0000-00001F620000}"/>
    <cellStyle name="Input 6 2 2 3" xfId="25121" xr:uid="{00000000-0005-0000-0000-000020620000}"/>
    <cellStyle name="Input 6 2 3" xfId="25122" xr:uid="{00000000-0005-0000-0000-000021620000}"/>
    <cellStyle name="Input 6 2 3 2" xfId="25123" xr:uid="{00000000-0005-0000-0000-000022620000}"/>
    <cellStyle name="Input 6 2 3 3" xfId="25124" xr:uid="{00000000-0005-0000-0000-000023620000}"/>
    <cellStyle name="Input 6 2 4" xfId="25125" xr:uid="{00000000-0005-0000-0000-000024620000}"/>
    <cellStyle name="Input 6 2 5" xfId="25126" xr:uid="{00000000-0005-0000-0000-000025620000}"/>
    <cellStyle name="Input 6 3" xfId="25127" xr:uid="{00000000-0005-0000-0000-000026620000}"/>
    <cellStyle name="Input 6 3 2" xfId="25128" xr:uid="{00000000-0005-0000-0000-000027620000}"/>
    <cellStyle name="Input 6 3 3" xfId="25129" xr:uid="{00000000-0005-0000-0000-000028620000}"/>
    <cellStyle name="Input 6 4" xfId="25130" xr:uid="{00000000-0005-0000-0000-000029620000}"/>
    <cellStyle name="Input 7" xfId="25131" xr:uid="{00000000-0005-0000-0000-00002A620000}"/>
    <cellStyle name="Komma 2" xfId="25132" xr:uid="{00000000-0005-0000-0000-00002B620000}"/>
    <cellStyle name="Komma 2 2" xfId="25133" xr:uid="{00000000-0005-0000-0000-00002C620000}"/>
    <cellStyle name="Komma 2 2 2" xfId="25134" xr:uid="{00000000-0005-0000-0000-00002D620000}"/>
    <cellStyle name="Komma_DPI Performance (Unit's Level) Level 1 final version" xfId="25135" xr:uid="{00000000-0005-0000-0000-00002E620000}"/>
    <cellStyle name="KPMG Heading 1" xfId="25136" xr:uid="{00000000-0005-0000-0000-00002F620000}"/>
    <cellStyle name="KPMG Heading 2" xfId="25137" xr:uid="{00000000-0005-0000-0000-000030620000}"/>
    <cellStyle name="KPMG Heading 3" xfId="25138" xr:uid="{00000000-0005-0000-0000-000031620000}"/>
    <cellStyle name="KPMG Heading 4" xfId="25139" xr:uid="{00000000-0005-0000-0000-000032620000}"/>
    <cellStyle name="KPMG Normal" xfId="25140" xr:uid="{00000000-0005-0000-0000-000033620000}"/>
    <cellStyle name="KPMG Normal Text" xfId="25141" xr:uid="{00000000-0005-0000-0000-000034620000}"/>
    <cellStyle name="KPMG Normal_Book1" xfId="25142" xr:uid="{00000000-0005-0000-0000-000035620000}"/>
    <cellStyle name="Lien hypertexte" xfId="25143" xr:uid="{00000000-0005-0000-0000-000036620000}"/>
    <cellStyle name="Link Currency (0)" xfId="25144" xr:uid="{00000000-0005-0000-0000-000037620000}"/>
    <cellStyle name="Link Currency (0) 2" xfId="25145" xr:uid="{00000000-0005-0000-0000-000038620000}"/>
    <cellStyle name="Link Currency (2)" xfId="25146" xr:uid="{00000000-0005-0000-0000-000039620000}"/>
    <cellStyle name="Link Currency (2) 2" xfId="25147" xr:uid="{00000000-0005-0000-0000-00003A620000}"/>
    <cellStyle name="Link Units (0)" xfId="25148" xr:uid="{00000000-0005-0000-0000-00003B620000}"/>
    <cellStyle name="Link Units (0) 2" xfId="25149" xr:uid="{00000000-0005-0000-0000-00003C620000}"/>
    <cellStyle name="Link Units (1)" xfId="25150" xr:uid="{00000000-0005-0000-0000-00003D620000}"/>
    <cellStyle name="Link Units (1) 2" xfId="25151" xr:uid="{00000000-0005-0000-0000-00003E620000}"/>
    <cellStyle name="Link Units (2)" xfId="25152" xr:uid="{00000000-0005-0000-0000-00003F620000}"/>
    <cellStyle name="Link Units (2) 2" xfId="25153" xr:uid="{00000000-0005-0000-0000-000040620000}"/>
    <cellStyle name="Linked Cell 2" xfId="25154" xr:uid="{00000000-0005-0000-0000-000041620000}"/>
    <cellStyle name="Linked Cell 2 2" xfId="25155" xr:uid="{00000000-0005-0000-0000-000042620000}"/>
    <cellStyle name="Linked Cell 2 3" xfId="25156" xr:uid="{00000000-0005-0000-0000-000043620000}"/>
    <cellStyle name="Linked Cell 3" xfId="25157" xr:uid="{00000000-0005-0000-0000-000044620000}"/>
    <cellStyle name="Market Segment" xfId="25158" xr:uid="{00000000-0005-0000-0000-000045620000}"/>
    <cellStyle name="Market Segment 2" xfId="25159" xr:uid="{00000000-0005-0000-0000-000046620000}"/>
    <cellStyle name="Market Segment 2 2" xfId="25160" xr:uid="{00000000-0005-0000-0000-000047620000}"/>
    <cellStyle name="Market Segment 2 2 2" xfId="25161" xr:uid="{00000000-0005-0000-0000-000048620000}"/>
    <cellStyle name="Market Segment 2 2 3" xfId="25162" xr:uid="{00000000-0005-0000-0000-000049620000}"/>
    <cellStyle name="Market Segment 2 3" xfId="25163" xr:uid="{00000000-0005-0000-0000-00004A620000}"/>
    <cellStyle name="Market Segment 2 3 2" xfId="25164" xr:uid="{00000000-0005-0000-0000-00004B620000}"/>
    <cellStyle name="Market Segment 2 3 3" xfId="25165" xr:uid="{00000000-0005-0000-0000-00004C620000}"/>
    <cellStyle name="Market Segment 2 4" xfId="25166" xr:uid="{00000000-0005-0000-0000-00004D620000}"/>
    <cellStyle name="Market Segment 2 5" xfId="25167" xr:uid="{00000000-0005-0000-0000-00004E620000}"/>
    <cellStyle name="Market Segment 3" xfId="25168" xr:uid="{00000000-0005-0000-0000-00004F620000}"/>
    <cellStyle name="Market Segment 3 2" xfId="25169" xr:uid="{00000000-0005-0000-0000-000050620000}"/>
    <cellStyle name="Market Segment 3 3" xfId="25170" xr:uid="{00000000-0005-0000-0000-000051620000}"/>
    <cellStyle name="Market Segment 4" xfId="25171" xr:uid="{00000000-0005-0000-0000-000052620000}"/>
    <cellStyle name="Matrix" xfId="25172" xr:uid="{00000000-0005-0000-0000-000053620000}"/>
    <cellStyle name="Matrix 2" xfId="25173" xr:uid="{00000000-0005-0000-0000-000054620000}"/>
    <cellStyle name="Menu Bar" xfId="25174" xr:uid="{00000000-0005-0000-0000-000055620000}"/>
    <cellStyle name="Milliers [0]_28A Total Functional Costs" xfId="25175" xr:uid="{00000000-0005-0000-0000-000056620000}"/>
    <cellStyle name="Milliers_28A Total Functional Costs" xfId="25176" xr:uid="{00000000-0005-0000-0000-000057620000}"/>
    <cellStyle name="Moeda [0]_aola" xfId="25177" xr:uid="{00000000-0005-0000-0000-000058620000}"/>
    <cellStyle name="Moeda_aola" xfId="25178" xr:uid="{00000000-0005-0000-0000-000059620000}"/>
    <cellStyle name="Monétaire [0]_28A Total Functional Costs" xfId="25179" xr:uid="{00000000-0005-0000-0000-00005A620000}"/>
    <cellStyle name="Monétaire_28A Total Functional Costs" xfId="25180" xr:uid="{00000000-0005-0000-0000-00005B620000}"/>
    <cellStyle name="Month" xfId="25181" xr:uid="{00000000-0005-0000-0000-00005C620000}"/>
    <cellStyle name="MS_Arabic" xfId="25182" xr:uid="{00000000-0005-0000-0000-00005D620000}"/>
    <cellStyle name="n" xfId="25183" xr:uid="{00000000-0005-0000-0000-00005E620000}"/>
    <cellStyle name="Neutral 2" xfId="25184" xr:uid="{00000000-0005-0000-0000-00005F620000}"/>
    <cellStyle name="Neutral 2 2" xfId="25185" xr:uid="{00000000-0005-0000-0000-000060620000}"/>
    <cellStyle name="Neutral 2 3" xfId="25186" xr:uid="{00000000-0005-0000-0000-000061620000}"/>
    <cellStyle name="Neutral 2 4" xfId="25187" xr:uid="{00000000-0005-0000-0000-000062620000}"/>
    <cellStyle name="Neutral 3" xfId="25188" xr:uid="{00000000-0005-0000-0000-000063620000}"/>
    <cellStyle name="no dec" xfId="25189" xr:uid="{00000000-0005-0000-0000-000064620000}"/>
    <cellStyle name="Normal" xfId="25190" xr:uid="{00000000-0005-0000-0000-000065620000}"/>
    <cellStyle name="Normal - Formatvorlage1" xfId="25191" xr:uid="{00000000-0005-0000-0000-000066620000}"/>
    <cellStyle name="Normal - Formatvorlage2" xfId="25192" xr:uid="{00000000-0005-0000-0000-000067620000}"/>
    <cellStyle name="Normal - Formatvorlage3" xfId="25193" xr:uid="{00000000-0005-0000-0000-000068620000}"/>
    <cellStyle name="Normal - Formatvorlage4" xfId="25194" xr:uid="{00000000-0005-0000-0000-000069620000}"/>
    <cellStyle name="Normal - Formatvorlage5" xfId="25195" xr:uid="{00000000-0005-0000-0000-00006A620000}"/>
    <cellStyle name="Normal - Formatvorlage6" xfId="25196" xr:uid="{00000000-0005-0000-0000-00006B620000}"/>
    <cellStyle name="Normal - Formatvorlage7" xfId="25197" xr:uid="{00000000-0005-0000-0000-00006C620000}"/>
    <cellStyle name="Normal - Formatvorlage8" xfId="25198" xr:uid="{00000000-0005-0000-0000-00006D620000}"/>
    <cellStyle name="Normal - Style1" xfId="25199" xr:uid="{00000000-0005-0000-0000-00006E620000}"/>
    <cellStyle name="Normal - Style1 2" xfId="25200" xr:uid="{00000000-0005-0000-0000-00006F620000}"/>
    <cellStyle name="Normal - Style1 2 2" xfId="25201" xr:uid="{00000000-0005-0000-0000-000070620000}"/>
    <cellStyle name="Normal - Style1 2 3" xfId="25202" xr:uid="{00000000-0005-0000-0000-000071620000}"/>
    <cellStyle name="Normal - Style1 3" xfId="25203" xr:uid="{00000000-0005-0000-0000-000072620000}"/>
    <cellStyle name="Normal - Style1_BS retrieve" xfId="25204" xr:uid="{00000000-0005-0000-0000-000073620000}"/>
    <cellStyle name="Normal [0]" xfId="25205" xr:uid="{00000000-0005-0000-0000-000074620000}"/>
    <cellStyle name="Normal [0] 2" xfId="25206" xr:uid="{00000000-0005-0000-0000-000075620000}"/>
    <cellStyle name="Normal [1]" xfId="25207" xr:uid="{00000000-0005-0000-0000-000076620000}"/>
    <cellStyle name="Normal [1] 2" xfId="25208" xr:uid="{00000000-0005-0000-0000-000077620000}"/>
    <cellStyle name="Normal 10" xfId="25209" xr:uid="{00000000-0005-0000-0000-000078620000}"/>
    <cellStyle name="Normal 10 2" xfId="25210" xr:uid="{00000000-0005-0000-0000-000079620000}"/>
    <cellStyle name="Normal 10 2 2" xfId="25211" xr:uid="{00000000-0005-0000-0000-00007A620000}"/>
    <cellStyle name="Normal 10 2 2 2" xfId="25212" xr:uid="{00000000-0005-0000-0000-00007B620000}"/>
    <cellStyle name="Normal 10 2 3" xfId="25213" xr:uid="{00000000-0005-0000-0000-00007C620000}"/>
    <cellStyle name="Normal 10 2 4" xfId="25214" xr:uid="{00000000-0005-0000-0000-00007D620000}"/>
    <cellStyle name="Normal 10 2 5" xfId="25215" xr:uid="{00000000-0005-0000-0000-00007E620000}"/>
    <cellStyle name="Normal 10 2 6" xfId="25216" xr:uid="{00000000-0005-0000-0000-00007F620000}"/>
    <cellStyle name="Normal 10 3" xfId="25217" xr:uid="{00000000-0005-0000-0000-000080620000}"/>
    <cellStyle name="Normal 10 3 2" xfId="25218" xr:uid="{00000000-0005-0000-0000-000081620000}"/>
    <cellStyle name="Normal 10 4" xfId="25219" xr:uid="{00000000-0005-0000-0000-000082620000}"/>
    <cellStyle name="Normal 10 4 2" xfId="25220" xr:uid="{00000000-0005-0000-0000-000083620000}"/>
    <cellStyle name="Normal 10 5" xfId="25221" xr:uid="{00000000-0005-0000-0000-000084620000}"/>
    <cellStyle name="Normal 10 6" xfId="25222" xr:uid="{00000000-0005-0000-0000-000085620000}"/>
    <cellStyle name="Normal 10 7" xfId="25223" xr:uid="{00000000-0005-0000-0000-000086620000}"/>
    <cellStyle name="Normal 10_Free CF" xfId="25224" xr:uid="{00000000-0005-0000-0000-000087620000}"/>
    <cellStyle name="Normal 100" xfId="25225" xr:uid="{00000000-0005-0000-0000-000088620000}"/>
    <cellStyle name="Normal 101" xfId="25226" xr:uid="{00000000-0005-0000-0000-000089620000}"/>
    <cellStyle name="Normal 102" xfId="25227" xr:uid="{00000000-0005-0000-0000-00008A620000}"/>
    <cellStyle name="Normal 103" xfId="25228" xr:uid="{00000000-0005-0000-0000-00008B620000}"/>
    <cellStyle name="Normal 104" xfId="25229" xr:uid="{00000000-0005-0000-0000-00008C620000}"/>
    <cellStyle name="Normal 105" xfId="25230" xr:uid="{00000000-0005-0000-0000-00008D620000}"/>
    <cellStyle name="Normal 106" xfId="25231" xr:uid="{00000000-0005-0000-0000-00008E620000}"/>
    <cellStyle name="Normal 107" xfId="25232" xr:uid="{00000000-0005-0000-0000-00008F620000}"/>
    <cellStyle name="Normal 108" xfId="25233" xr:uid="{00000000-0005-0000-0000-000090620000}"/>
    <cellStyle name="Normal 109" xfId="25234" xr:uid="{00000000-0005-0000-0000-000091620000}"/>
    <cellStyle name="Normal 11" xfId="25235" xr:uid="{00000000-0005-0000-0000-000092620000}"/>
    <cellStyle name="Normal 11 2" xfId="25236" xr:uid="{00000000-0005-0000-0000-000093620000}"/>
    <cellStyle name="Normal 11 2 2" xfId="25237" xr:uid="{00000000-0005-0000-0000-000094620000}"/>
    <cellStyle name="Normal 11 2 2 2" xfId="25238" xr:uid="{00000000-0005-0000-0000-000095620000}"/>
    <cellStyle name="Normal 11 2 3" xfId="25239" xr:uid="{00000000-0005-0000-0000-000096620000}"/>
    <cellStyle name="Normal 11 2 3 2" xfId="25240" xr:uid="{00000000-0005-0000-0000-000097620000}"/>
    <cellStyle name="Normal 11 2 4" xfId="25241" xr:uid="{00000000-0005-0000-0000-000098620000}"/>
    <cellStyle name="Normal 11 2 4 2" xfId="25242" xr:uid="{00000000-0005-0000-0000-000099620000}"/>
    <cellStyle name="Normal 11 2 5" xfId="25243" xr:uid="{00000000-0005-0000-0000-00009A620000}"/>
    <cellStyle name="Normal 11 2 6" xfId="25244" xr:uid="{00000000-0005-0000-0000-00009B620000}"/>
    <cellStyle name="Normal 11 3" xfId="25245" xr:uid="{00000000-0005-0000-0000-00009C620000}"/>
    <cellStyle name="Normal 11 3 2" xfId="25246" xr:uid="{00000000-0005-0000-0000-00009D620000}"/>
    <cellStyle name="Normal 11 3 3" xfId="25247" xr:uid="{00000000-0005-0000-0000-00009E620000}"/>
    <cellStyle name="Normal 11 4" xfId="25248" xr:uid="{00000000-0005-0000-0000-00009F620000}"/>
    <cellStyle name="Normal 11 4 2" xfId="25249" xr:uid="{00000000-0005-0000-0000-0000A0620000}"/>
    <cellStyle name="Normal 11 5" xfId="25250" xr:uid="{00000000-0005-0000-0000-0000A1620000}"/>
    <cellStyle name="Normal 11 5 2" xfId="25251" xr:uid="{00000000-0005-0000-0000-0000A2620000}"/>
    <cellStyle name="Normal 11 6" xfId="25252" xr:uid="{00000000-0005-0000-0000-0000A3620000}"/>
    <cellStyle name="Normal 11 7" xfId="25253" xr:uid="{00000000-0005-0000-0000-0000A4620000}"/>
    <cellStyle name="Normal 110" xfId="25254" xr:uid="{00000000-0005-0000-0000-0000A5620000}"/>
    <cellStyle name="Normal 110 2" xfId="25255" xr:uid="{00000000-0005-0000-0000-0000A6620000}"/>
    <cellStyle name="Normal 111" xfId="25256" xr:uid="{00000000-0005-0000-0000-0000A7620000}"/>
    <cellStyle name="Normal 111 2" xfId="25257" xr:uid="{00000000-0005-0000-0000-0000A8620000}"/>
    <cellStyle name="Normal 112" xfId="25258" xr:uid="{00000000-0005-0000-0000-0000A9620000}"/>
    <cellStyle name="Normal 113" xfId="25259" xr:uid="{00000000-0005-0000-0000-0000AA620000}"/>
    <cellStyle name="Normal 114" xfId="25260" xr:uid="{00000000-0005-0000-0000-0000AB620000}"/>
    <cellStyle name="Normal 115" xfId="25261" xr:uid="{00000000-0005-0000-0000-0000AC620000}"/>
    <cellStyle name="Normal 116" xfId="25262" xr:uid="{00000000-0005-0000-0000-0000AD620000}"/>
    <cellStyle name="Normal 117" xfId="25263" xr:uid="{00000000-0005-0000-0000-0000AE620000}"/>
    <cellStyle name="Normal 118" xfId="25264" xr:uid="{00000000-0005-0000-0000-0000AF620000}"/>
    <cellStyle name="Normal 119" xfId="25265" xr:uid="{00000000-0005-0000-0000-0000B0620000}"/>
    <cellStyle name="Normal 12" xfId="25266" xr:uid="{00000000-0005-0000-0000-0000B1620000}"/>
    <cellStyle name="Normal 12 2" xfId="25267" xr:uid="{00000000-0005-0000-0000-0000B2620000}"/>
    <cellStyle name="Normal 12 2 2" xfId="25268" xr:uid="{00000000-0005-0000-0000-0000B3620000}"/>
    <cellStyle name="Normal 12 2 2 2" xfId="25269" xr:uid="{00000000-0005-0000-0000-0000B4620000}"/>
    <cellStyle name="Normal 12 2 3" xfId="25270" xr:uid="{00000000-0005-0000-0000-0000B5620000}"/>
    <cellStyle name="Normal 12 2 4" xfId="25271" xr:uid="{00000000-0005-0000-0000-0000B6620000}"/>
    <cellStyle name="Normal 12 2 5" xfId="25272" xr:uid="{00000000-0005-0000-0000-0000B7620000}"/>
    <cellStyle name="Normal 12 3" xfId="25273" xr:uid="{00000000-0005-0000-0000-0000B8620000}"/>
    <cellStyle name="Normal 12 3 2" xfId="25274" xr:uid="{00000000-0005-0000-0000-0000B9620000}"/>
    <cellStyle name="Normal 12 4" xfId="25275" xr:uid="{00000000-0005-0000-0000-0000BA620000}"/>
    <cellStyle name="Normal 12 4 2" xfId="25276" xr:uid="{00000000-0005-0000-0000-0000BB620000}"/>
    <cellStyle name="Normal 12 5" xfId="25277" xr:uid="{00000000-0005-0000-0000-0000BC620000}"/>
    <cellStyle name="Normal 12 5 2" xfId="25278" xr:uid="{00000000-0005-0000-0000-0000BD620000}"/>
    <cellStyle name="Normal 12 6" xfId="25279" xr:uid="{00000000-0005-0000-0000-0000BE620000}"/>
    <cellStyle name="Normal 12 7" xfId="25280" xr:uid="{00000000-0005-0000-0000-0000BF620000}"/>
    <cellStyle name="Normal 120" xfId="25281" xr:uid="{00000000-0005-0000-0000-0000C0620000}"/>
    <cellStyle name="Normal 121" xfId="25282" xr:uid="{00000000-0005-0000-0000-0000C1620000}"/>
    <cellStyle name="Normal 122" xfId="25283" xr:uid="{00000000-0005-0000-0000-0000C2620000}"/>
    <cellStyle name="Normal 123" xfId="25284" xr:uid="{00000000-0005-0000-0000-0000C3620000}"/>
    <cellStyle name="Normal 124" xfId="25285" xr:uid="{00000000-0005-0000-0000-0000C4620000}"/>
    <cellStyle name="Normal 125" xfId="25286" xr:uid="{00000000-0005-0000-0000-0000C5620000}"/>
    <cellStyle name="Normal 126" xfId="25287" xr:uid="{00000000-0005-0000-0000-0000C6620000}"/>
    <cellStyle name="Normal 127" xfId="25288" xr:uid="{00000000-0005-0000-0000-0000C7620000}"/>
    <cellStyle name="Normal 128" xfId="25289" xr:uid="{00000000-0005-0000-0000-0000C8620000}"/>
    <cellStyle name="Normal 129" xfId="25290" xr:uid="{00000000-0005-0000-0000-0000C9620000}"/>
    <cellStyle name="Normal 13" xfId="25291" xr:uid="{00000000-0005-0000-0000-0000CA620000}"/>
    <cellStyle name="Normal 13 2" xfId="25292" xr:uid="{00000000-0005-0000-0000-0000CB620000}"/>
    <cellStyle name="Normal 13 2 2" xfId="25293" xr:uid="{00000000-0005-0000-0000-0000CC620000}"/>
    <cellStyle name="Normal 13 2 2 2" xfId="25294" xr:uid="{00000000-0005-0000-0000-0000CD620000}"/>
    <cellStyle name="Normal 13 2 3" xfId="25295" xr:uid="{00000000-0005-0000-0000-0000CE620000}"/>
    <cellStyle name="Normal 13 2 4" xfId="25296" xr:uid="{00000000-0005-0000-0000-0000CF620000}"/>
    <cellStyle name="Normal 13 2 5" xfId="25297" xr:uid="{00000000-0005-0000-0000-0000D0620000}"/>
    <cellStyle name="Normal 13 3" xfId="25298" xr:uid="{00000000-0005-0000-0000-0000D1620000}"/>
    <cellStyle name="Normal 13 3 2" xfId="25299" xr:uid="{00000000-0005-0000-0000-0000D2620000}"/>
    <cellStyle name="Normal 13 4" xfId="25300" xr:uid="{00000000-0005-0000-0000-0000D3620000}"/>
    <cellStyle name="Normal 13 4 2" xfId="25301" xr:uid="{00000000-0005-0000-0000-0000D4620000}"/>
    <cellStyle name="Normal 13 5" xfId="25302" xr:uid="{00000000-0005-0000-0000-0000D5620000}"/>
    <cellStyle name="Normal 13 6" xfId="25303" xr:uid="{00000000-0005-0000-0000-0000D6620000}"/>
    <cellStyle name="Normal 13 7" xfId="25304" xr:uid="{00000000-0005-0000-0000-0000D7620000}"/>
    <cellStyle name="Normal 13 8" xfId="25305" xr:uid="{00000000-0005-0000-0000-0000D8620000}"/>
    <cellStyle name="Normal 130" xfId="25306" xr:uid="{00000000-0005-0000-0000-0000D9620000}"/>
    <cellStyle name="Normal 131" xfId="25307" xr:uid="{00000000-0005-0000-0000-0000DA620000}"/>
    <cellStyle name="Normal 14" xfId="25308" xr:uid="{00000000-0005-0000-0000-0000DB620000}"/>
    <cellStyle name="Normal 14 2" xfId="25309" xr:uid="{00000000-0005-0000-0000-0000DC620000}"/>
    <cellStyle name="Normal 14 2 2" xfId="25310" xr:uid="{00000000-0005-0000-0000-0000DD620000}"/>
    <cellStyle name="Normal 14 2 2 2" xfId="25311" xr:uid="{00000000-0005-0000-0000-0000DE620000}"/>
    <cellStyle name="Normal 14 2 3" xfId="25312" xr:uid="{00000000-0005-0000-0000-0000DF620000}"/>
    <cellStyle name="Normal 14 2 3 2" xfId="25313" xr:uid="{00000000-0005-0000-0000-0000E0620000}"/>
    <cellStyle name="Normal 14 2 4" xfId="25314" xr:uid="{00000000-0005-0000-0000-0000E1620000}"/>
    <cellStyle name="Normal 14 2 5" xfId="25315" xr:uid="{00000000-0005-0000-0000-0000E2620000}"/>
    <cellStyle name="Normal 14 3" xfId="25316" xr:uid="{00000000-0005-0000-0000-0000E3620000}"/>
    <cellStyle name="Normal 14 3 2" xfId="25317" xr:uid="{00000000-0005-0000-0000-0000E4620000}"/>
    <cellStyle name="Normal 14 4" xfId="25318" xr:uid="{00000000-0005-0000-0000-0000E5620000}"/>
    <cellStyle name="Normal 14 4 2" xfId="25319" xr:uid="{00000000-0005-0000-0000-0000E6620000}"/>
    <cellStyle name="Normal 14 5" xfId="25320" xr:uid="{00000000-0005-0000-0000-0000E7620000}"/>
    <cellStyle name="Normal 14 5 2" xfId="25321" xr:uid="{00000000-0005-0000-0000-0000E8620000}"/>
    <cellStyle name="Normal 14 6" xfId="25322" xr:uid="{00000000-0005-0000-0000-0000E9620000}"/>
    <cellStyle name="Normal 14 7" xfId="25323" xr:uid="{00000000-0005-0000-0000-0000EA620000}"/>
    <cellStyle name="Normal 14 8" xfId="25324" xr:uid="{00000000-0005-0000-0000-0000EB620000}"/>
    <cellStyle name="Normal 144" xfId="25325" xr:uid="{00000000-0005-0000-0000-0000EC620000}"/>
    <cellStyle name="Normal 15" xfId="25326" xr:uid="{00000000-0005-0000-0000-0000ED620000}"/>
    <cellStyle name="Normal 15 2" xfId="25327" xr:uid="{00000000-0005-0000-0000-0000EE620000}"/>
    <cellStyle name="Normal 15 2 2" xfId="25328" xr:uid="{00000000-0005-0000-0000-0000EF620000}"/>
    <cellStyle name="Normal 15 2 2 2" xfId="25329" xr:uid="{00000000-0005-0000-0000-0000F0620000}"/>
    <cellStyle name="Normal 15 2 3" xfId="25330" xr:uid="{00000000-0005-0000-0000-0000F1620000}"/>
    <cellStyle name="Normal 15 2 4" xfId="25331" xr:uid="{00000000-0005-0000-0000-0000F2620000}"/>
    <cellStyle name="Normal 15 2 5" xfId="25332" xr:uid="{00000000-0005-0000-0000-0000F3620000}"/>
    <cellStyle name="Normal 15 3" xfId="25333" xr:uid="{00000000-0005-0000-0000-0000F4620000}"/>
    <cellStyle name="Normal 15 3 2" xfId="25334" xr:uid="{00000000-0005-0000-0000-0000F5620000}"/>
    <cellStyle name="Normal 15 4" xfId="25335" xr:uid="{00000000-0005-0000-0000-0000F6620000}"/>
    <cellStyle name="Normal 15 5" xfId="25336" xr:uid="{00000000-0005-0000-0000-0000F7620000}"/>
    <cellStyle name="Normal 15 6" xfId="25337" xr:uid="{00000000-0005-0000-0000-0000F8620000}"/>
    <cellStyle name="Normal 16" xfId="25338" xr:uid="{00000000-0005-0000-0000-0000F9620000}"/>
    <cellStyle name="Normal 16 2" xfId="25339" xr:uid="{00000000-0005-0000-0000-0000FA620000}"/>
    <cellStyle name="Normal 16 2 2" xfId="25340" xr:uid="{00000000-0005-0000-0000-0000FB620000}"/>
    <cellStyle name="Normal 16 2 2 2" xfId="25341" xr:uid="{00000000-0005-0000-0000-0000FC620000}"/>
    <cellStyle name="Normal 16 2 3" xfId="25342" xr:uid="{00000000-0005-0000-0000-0000FD620000}"/>
    <cellStyle name="Normal 16 2 4" xfId="25343" xr:uid="{00000000-0005-0000-0000-0000FE620000}"/>
    <cellStyle name="Normal 16 2 5" xfId="25344" xr:uid="{00000000-0005-0000-0000-0000FF620000}"/>
    <cellStyle name="Normal 16 3" xfId="25345" xr:uid="{00000000-0005-0000-0000-000000630000}"/>
    <cellStyle name="Normal 16 3 2" xfId="25346" xr:uid="{00000000-0005-0000-0000-000001630000}"/>
    <cellStyle name="Normal 16 4" xfId="25347" xr:uid="{00000000-0005-0000-0000-000002630000}"/>
    <cellStyle name="Normal 16 5" xfId="25348" xr:uid="{00000000-0005-0000-0000-000003630000}"/>
    <cellStyle name="Normal 16 6" xfId="25349" xr:uid="{00000000-0005-0000-0000-000004630000}"/>
    <cellStyle name="Normal 17" xfId="25350" xr:uid="{00000000-0005-0000-0000-000005630000}"/>
    <cellStyle name="Normal 17 2" xfId="25351" xr:uid="{00000000-0005-0000-0000-000006630000}"/>
    <cellStyle name="Normal 17 2 2" xfId="25352" xr:uid="{00000000-0005-0000-0000-000007630000}"/>
    <cellStyle name="Normal 17 2 2 2" xfId="25353" xr:uid="{00000000-0005-0000-0000-000008630000}"/>
    <cellStyle name="Normal 17 2 3" xfId="25354" xr:uid="{00000000-0005-0000-0000-000009630000}"/>
    <cellStyle name="Normal 17 2 4" xfId="25355" xr:uid="{00000000-0005-0000-0000-00000A630000}"/>
    <cellStyle name="Normal 17 2 5" xfId="25356" xr:uid="{00000000-0005-0000-0000-00000B630000}"/>
    <cellStyle name="Normal 17 3" xfId="25357" xr:uid="{00000000-0005-0000-0000-00000C630000}"/>
    <cellStyle name="Normal 17 4" xfId="25358" xr:uid="{00000000-0005-0000-0000-00000D630000}"/>
    <cellStyle name="Normal 17 5" xfId="25359" xr:uid="{00000000-0005-0000-0000-00000E630000}"/>
    <cellStyle name="Normal 17 6" xfId="25360" xr:uid="{00000000-0005-0000-0000-00000F630000}"/>
    <cellStyle name="Normal 18" xfId="25361" xr:uid="{00000000-0005-0000-0000-000010630000}"/>
    <cellStyle name="Normal 18 2" xfId="25362" xr:uid="{00000000-0005-0000-0000-000011630000}"/>
    <cellStyle name="Normal 18 2 2" xfId="25363" xr:uid="{00000000-0005-0000-0000-000012630000}"/>
    <cellStyle name="Normal 18 2 2 2" xfId="25364" xr:uid="{00000000-0005-0000-0000-000013630000}"/>
    <cellStyle name="Normal 18 2 3" xfId="25365" xr:uid="{00000000-0005-0000-0000-000014630000}"/>
    <cellStyle name="Normal 18 2 4" xfId="25366" xr:uid="{00000000-0005-0000-0000-000015630000}"/>
    <cellStyle name="Normal 18 2 5" xfId="25367" xr:uid="{00000000-0005-0000-0000-000016630000}"/>
    <cellStyle name="Normal 18 3" xfId="25368" xr:uid="{00000000-0005-0000-0000-000017630000}"/>
    <cellStyle name="Normal 18 3 2" xfId="25369" xr:uid="{00000000-0005-0000-0000-000018630000}"/>
    <cellStyle name="Normal 18 4" xfId="25370" xr:uid="{00000000-0005-0000-0000-000019630000}"/>
    <cellStyle name="Normal 18 5" xfId="25371" xr:uid="{00000000-0005-0000-0000-00001A630000}"/>
    <cellStyle name="Normal 18 6" xfId="25372" xr:uid="{00000000-0005-0000-0000-00001B630000}"/>
    <cellStyle name="Normal 19" xfId="25373" xr:uid="{00000000-0005-0000-0000-00001C630000}"/>
    <cellStyle name="Normal 19 2" xfId="25374" xr:uid="{00000000-0005-0000-0000-00001D630000}"/>
    <cellStyle name="Normal 19 2 2" xfId="25375" xr:uid="{00000000-0005-0000-0000-00001E630000}"/>
    <cellStyle name="Normal 19 2 3" xfId="25376" xr:uid="{00000000-0005-0000-0000-00001F630000}"/>
    <cellStyle name="Normal 19 2 4" xfId="25377" xr:uid="{00000000-0005-0000-0000-000020630000}"/>
    <cellStyle name="Normal 19 2 5" xfId="25378" xr:uid="{00000000-0005-0000-0000-000021630000}"/>
    <cellStyle name="Normal 19 3" xfId="25379" xr:uid="{00000000-0005-0000-0000-000022630000}"/>
    <cellStyle name="Normal 19 3 2" xfId="25380" xr:uid="{00000000-0005-0000-0000-000023630000}"/>
    <cellStyle name="Normal 19 4" xfId="25381" xr:uid="{00000000-0005-0000-0000-000024630000}"/>
    <cellStyle name="Normal 19 5" xfId="25382" xr:uid="{00000000-0005-0000-0000-000025630000}"/>
    <cellStyle name="Normal 19 6" xfId="25383" xr:uid="{00000000-0005-0000-0000-000026630000}"/>
    <cellStyle name="Normal 2" xfId="25384" xr:uid="{00000000-0005-0000-0000-000027630000}"/>
    <cellStyle name="Normal 2 10" xfId="25385" xr:uid="{00000000-0005-0000-0000-000028630000}"/>
    <cellStyle name="Normal 2 12" xfId="25386" xr:uid="{00000000-0005-0000-0000-000029630000}"/>
    <cellStyle name="Normal 2 2" xfId="25387" xr:uid="{00000000-0005-0000-0000-00002A630000}"/>
    <cellStyle name="Normal 2 2 10" xfId="25388" xr:uid="{00000000-0005-0000-0000-00002B630000}"/>
    <cellStyle name="Normal 2 2 2" xfId="25389" xr:uid="{00000000-0005-0000-0000-00002C630000}"/>
    <cellStyle name="Normal 2 2 2 2" xfId="25390" xr:uid="{00000000-0005-0000-0000-00002D630000}"/>
    <cellStyle name="Normal 2 2 2 2 2" xfId="25391" xr:uid="{00000000-0005-0000-0000-00002E630000}"/>
    <cellStyle name="Normal 2 2 2 2 3" xfId="25392" xr:uid="{00000000-0005-0000-0000-00002F630000}"/>
    <cellStyle name="Normal 2 2 2 3" xfId="25393" xr:uid="{00000000-0005-0000-0000-000030630000}"/>
    <cellStyle name="Normal 2 2 2 4" xfId="25394" xr:uid="{00000000-0005-0000-0000-000031630000}"/>
    <cellStyle name="Normal 2 2 3" xfId="25395" xr:uid="{00000000-0005-0000-0000-000032630000}"/>
    <cellStyle name="Normal 2 2 3 2" xfId="25396" xr:uid="{00000000-0005-0000-0000-000033630000}"/>
    <cellStyle name="Normal 2 2 3 3" xfId="25397" xr:uid="{00000000-0005-0000-0000-000034630000}"/>
    <cellStyle name="Normal 2 2 4" xfId="25398" xr:uid="{00000000-0005-0000-0000-000035630000}"/>
    <cellStyle name="Normal 2 2 4 2" xfId="25399" xr:uid="{00000000-0005-0000-0000-000036630000}"/>
    <cellStyle name="Normal 2 2 5" xfId="25400" xr:uid="{00000000-0005-0000-0000-000037630000}"/>
    <cellStyle name="Normal 2 2 5 2" xfId="25401" xr:uid="{00000000-0005-0000-0000-000038630000}"/>
    <cellStyle name="Normal 2 2 5 3" xfId="25402" xr:uid="{00000000-0005-0000-0000-000039630000}"/>
    <cellStyle name="Normal 2 2 6" xfId="25403" xr:uid="{00000000-0005-0000-0000-00003A630000}"/>
    <cellStyle name="Normal 2 2 7" xfId="25404" xr:uid="{00000000-0005-0000-0000-00003B630000}"/>
    <cellStyle name="Normal 2 2 8" xfId="25405" xr:uid="{00000000-0005-0000-0000-00003C630000}"/>
    <cellStyle name="Normal 2 2 9" xfId="25406" xr:uid="{00000000-0005-0000-0000-00003D630000}"/>
    <cellStyle name="Normal 2 3" xfId="25407" xr:uid="{00000000-0005-0000-0000-00003E630000}"/>
    <cellStyle name="Normal 2 3 2" xfId="25408" xr:uid="{00000000-0005-0000-0000-00003F630000}"/>
    <cellStyle name="Normal 2 3 2 2" xfId="25409" xr:uid="{00000000-0005-0000-0000-000040630000}"/>
    <cellStyle name="Normal 2 3 2 2 2" xfId="25410" xr:uid="{00000000-0005-0000-0000-000041630000}"/>
    <cellStyle name="Normal 2 3 2 3" xfId="25411" xr:uid="{00000000-0005-0000-0000-000042630000}"/>
    <cellStyle name="Normal 2 3 2 4" xfId="25412" xr:uid="{00000000-0005-0000-0000-000043630000}"/>
    <cellStyle name="Normal 2 3 3" xfId="25413" xr:uid="{00000000-0005-0000-0000-000044630000}"/>
    <cellStyle name="Normal 2 3 3 2" xfId="25414" xr:uid="{00000000-0005-0000-0000-000045630000}"/>
    <cellStyle name="Normal 2 3 3 3" xfId="25415" xr:uid="{00000000-0005-0000-0000-000046630000}"/>
    <cellStyle name="Normal 2 3 4" xfId="25416" xr:uid="{00000000-0005-0000-0000-000047630000}"/>
    <cellStyle name="Normal 2 3 5" xfId="25417" xr:uid="{00000000-0005-0000-0000-000048630000}"/>
    <cellStyle name="Normal 2 3 6" xfId="25418" xr:uid="{00000000-0005-0000-0000-000049630000}"/>
    <cellStyle name="Normal 2 4" xfId="25419" xr:uid="{00000000-0005-0000-0000-00004A630000}"/>
    <cellStyle name="Normal 2 4 2" xfId="25420" xr:uid="{00000000-0005-0000-0000-00004B630000}"/>
    <cellStyle name="Normal 2 4 2 2" xfId="25421" xr:uid="{00000000-0005-0000-0000-00004C630000}"/>
    <cellStyle name="Normal 2 4 2 2 2" xfId="25422" xr:uid="{00000000-0005-0000-0000-00004D630000}"/>
    <cellStyle name="Normal 2 4 2 3" xfId="25423" xr:uid="{00000000-0005-0000-0000-00004E630000}"/>
    <cellStyle name="Normal 2 4 3" xfId="25424" xr:uid="{00000000-0005-0000-0000-00004F630000}"/>
    <cellStyle name="Normal 2 4 3 2" xfId="25425" xr:uid="{00000000-0005-0000-0000-000050630000}"/>
    <cellStyle name="Normal 2 4 3 3" xfId="25426" xr:uid="{00000000-0005-0000-0000-000051630000}"/>
    <cellStyle name="Normal 2 4 3 4" xfId="25427" xr:uid="{00000000-0005-0000-0000-000052630000}"/>
    <cellStyle name="Normal 2 4 4" xfId="25428" xr:uid="{00000000-0005-0000-0000-000053630000}"/>
    <cellStyle name="Normal 2 5" xfId="25429" xr:uid="{00000000-0005-0000-0000-000054630000}"/>
    <cellStyle name="Normal 2 5 2" xfId="25430" xr:uid="{00000000-0005-0000-0000-000055630000}"/>
    <cellStyle name="Normal 2 6" xfId="25431" xr:uid="{00000000-0005-0000-0000-000056630000}"/>
    <cellStyle name="Normal 2 6 2" xfId="25432" xr:uid="{00000000-0005-0000-0000-000057630000}"/>
    <cellStyle name="Normal 2 6 2 2" xfId="25433" xr:uid="{00000000-0005-0000-0000-000058630000}"/>
    <cellStyle name="Normal 2 6 3" xfId="25434" xr:uid="{00000000-0005-0000-0000-000059630000}"/>
    <cellStyle name="Normal 2 7" xfId="25435" xr:uid="{00000000-0005-0000-0000-00005A630000}"/>
    <cellStyle name="Normal 2 7 2" xfId="25436" xr:uid="{00000000-0005-0000-0000-00005B630000}"/>
    <cellStyle name="Normal 2 8" xfId="25437" xr:uid="{00000000-0005-0000-0000-00005C630000}"/>
    <cellStyle name="Normal 2 9" xfId="25438" xr:uid="{00000000-0005-0000-0000-00005D630000}"/>
    <cellStyle name="Normal 2_BS retrieve" xfId="25439" xr:uid="{00000000-0005-0000-0000-00005E630000}"/>
    <cellStyle name="Normal 20" xfId="25440" xr:uid="{00000000-0005-0000-0000-00005F630000}"/>
    <cellStyle name="Normal 20 2" xfId="25441" xr:uid="{00000000-0005-0000-0000-000060630000}"/>
    <cellStyle name="Normal 20 2 2" xfId="25442" xr:uid="{00000000-0005-0000-0000-000061630000}"/>
    <cellStyle name="Normal 20 2 3" xfId="25443" xr:uid="{00000000-0005-0000-0000-000062630000}"/>
    <cellStyle name="Normal 20 2 4" xfId="25444" xr:uid="{00000000-0005-0000-0000-000063630000}"/>
    <cellStyle name="Normal 20 2 5" xfId="25445" xr:uid="{00000000-0005-0000-0000-000064630000}"/>
    <cellStyle name="Normal 20 3" xfId="25446" xr:uid="{00000000-0005-0000-0000-000065630000}"/>
    <cellStyle name="Normal 20 3 2" xfId="25447" xr:uid="{00000000-0005-0000-0000-000066630000}"/>
    <cellStyle name="Normal 20 4" xfId="25448" xr:uid="{00000000-0005-0000-0000-000067630000}"/>
    <cellStyle name="Normal 20 5" xfId="25449" xr:uid="{00000000-0005-0000-0000-000068630000}"/>
    <cellStyle name="Normal 20 6" xfId="25450" xr:uid="{00000000-0005-0000-0000-000069630000}"/>
    <cellStyle name="Normal 21" xfId="25451" xr:uid="{00000000-0005-0000-0000-00006A630000}"/>
    <cellStyle name="Normal 21 2" xfId="25452" xr:uid="{00000000-0005-0000-0000-00006B630000}"/>
    <cellStyle name="Normal 21 2 2" xfId="25453" xr:uid="{00000000-0005-0000-0000-00006C630000}"/>
    <cellStyle name="Normal 21 2 3" xfId="25454" xr:uid="{00000000-0005-0000-0000-00006D630000}"/>
    <cellStyle name="Normal 21 2 4" xfId="25455" xr:uid="{00000000-0005-0000-0000-00006E630000}"/>
    <cellStyle name="Normal 21 2 5" xfId="25456" xr:uid="{00000000-0005-0000-0000-00006F630000}"/>
    <cellStyle name="Normal 21 3" xfId="25457" xr:uid="{00000000-0005-0000-0000-000070630000}"/>
    <cellStyle name="Normal 21 3 2" xfId="25458" xr:uid="{00000000-0005-0000-0000-000071630000}"/>
    <cellStyle name="Normal 21 4" xfId="25459" xr:uid="{00000000-0005-0000-0000-000072630000}"/>
    <cellStyle name="Normal 21 5" xfId="25460" xr:uid="{00000000-0005-0000-0000-000073630000}"/>
    <cellStyle name="Normal 21 6" xfId="25461" xr:uid="{00000000-0005-0000-0000-000074630000}"/>
    <cellStyle name="Normal 22" xfId="25462" xr:uid="{00000000-0005-0000-0000-000075630000}"/>
    <cellStyle name="Normal 22 2" xfId="25463" xr:uid="{00000000-0005-0000-0000-000076630000}"/>
    <cellStyle name="Normal 22 2 2" xfId="25464" xr:uid="{00000000-0005-0000-0000-000077630000}"/>
    <cellStyle name="Normal 22 2 3" xfId="25465" xr:uid="{00000000-0005-0000-0000-000078630000}"/>
    <cellStyle name="Normal 22 2 4" xfId="25466" xr:uid="{00000000-0005-0000-0000-000079630000}"/>
    <cellStyle name="Normal 22 2 5" xfId="25467" xr:uid="{00000000-0005-0000-0000-00007A630000}"/>
    <cellStyle name="Normal 22 3" xfId="25468" xr:uid="{00000000-0005-0000-0000-00007B630000}"/>
    <cellStyle name="Normal 22 3 2" xfId="25469" xr:uid="{00000000-0005-0000-0000-00007C630000}"/>
    <cellStyle name="Normal 22 4" xfId="25470" xr:uid="{00000000-0005-0000-0000-00007D630000}"/>
    <cellStyle name="Normal 22 5" xfId="25471" xr:uid="{00000000-0005-0000-0000-00007E630000}"/>
    <cellStyle name="Normal 22 6" xfId="25472" xr:uid="{00000000-0005-0000-0000-00007F630000}"/>
    <cellStyle name="Normal 23" xfId="25473" xr:uid="{00000000-0005-0000-0000-000080630000}"/>
    <cellStyle name="Normal 23 2" xfId="25474" xr:uid="{00000000-0005-0000-0000-000081630000}"/>
    <cellStyle name="Normal 23 2 2" xfId="25475" xr:uid="{00000000-0005-0000-0000-000082630000}"/>
    <cellStyle name="Normal 23 2 3" xfId="25476" xr:uid="{00000000-0005-0000-0000-000083630000}"/>
    <cellStyle name="Normal 23 2 4" xfId="25477" xr:uid="{00000000-0005-0000-0000-000084630000}"/>
    <cellStyle name="Normal 23 2 5" xfId="25478" xr:uid="{00000000-0005-0000-0000-000085630000}"/>
    <cellStyle name="Normal 23 3" xfId="25479" xr:uid="{00000000-0005-0000-0000-000086630000}"/>
    <cellStyle name="Normal 23 3 2" xfId="25480" xr:uid="{00000000-0005-0000-0000-000087630000}"/>
    <cellStyle name="Normal 23 4" xfId="25481" xr:uid="{00000000-0005-0000-0000-000088630000}"/>
    <cellStyle name="Normal 23 5" xfId="25482" xr:uid="{00000000-0005-0000-0000-000089630000}"/>
    <cellStyle name="Normal 23 6" xfId="25483" xr:uid="{00000000-0005-0000-0000-00008A630000}"/>
    <cellStyle name="Normal 24" xfId="25484" xr:uid="{00000000-0005-0000-0000-00008B630000}"/>
    <cellStyle name="Normal 24 2" xfId="25485" xr:uid="{00000000-0005-0000-0000-00008C630000}"/>
    <cellStyle name="Normal 24 2 2" xfId="25486" xr:uid="{00000000-0005-0000-0000-00008D630000}"/>
    <cellStyle name="Normal 24 2 3" xfId="25487" xr:uid="{00000000-0005-0000-0000-00008E630000}"/>
    <cellStyle name="Normal 24 2 4" xfId="25488" xr:uid="{00000000-0005-0000-0000-00008F630000}"/>
    <cellStyle name="Normal 24 2 5" xfId="25489" xr:uid="{00000000-0005-0000-0000-000090630000}"/>
    <cellStyle name="Normal 24 3" xfId="25490" xr:uid="{00000000-0005-0000-0000-000091630000}"/>
    <cellStyle name="Normal 24 3 2" xfId="25491" xr:uid="{00000000-0005-0000-0000-000092630000}"/>
    <cellStyle name="Normal 24 4" xfId="25492" xr:uid="{00000000-0005-0000-0000-000093630000}"/>
    <cellStyle name="Normal 24 5" xfId="25493" xr:uid="{00000000-0005-0000-0000-000094630000}"/>
    <cellStyle name="Normal 24 6" xfId="25494" xr:uid="{00000000-0005-0000-0000-000095630000}"/>
    <cellStyle name="Normal 25" xfId="25495" xr:uid="{00000000-0005-0000-0000-000096630000}"/>
    <cellStyle name="Normal 25 2" xfId="25496" xr:uid="{00000000-0005-0000-0000-000097630000}"/>
    <cellStyle name="Normal 25 2 2" xfId="25497" xr:uid="{00000000-0005-0000-0000-000098630000}"/>
    <cellStyle name="Normal 25 2 3" xfId="25498" xr:uid="{00000000-0005-0000-0000-000099630000}"/>
    <cellStyle name="Normal 25 2 4" xfId="25499" xr:uid="{00000000-0005-0000-0000-00009A630000}"/>
    <cellStyle name="Normal 25 2 5" xfId="25500" xr:uid="{00000000-0005-0000-0000-00009B630000}"/>
    <cellStyle name="Normal 25 3" xfId="25501" xr:uid="{00000000-0005-0000-0000-00009C630000}"/>
    <cellStyle name="Normal 25 3 2" xfId="25502" xr:uid="{00000000-0005-0000-0000-00009D630000}"/>
    <cellStyle name="Normal 25 4" xfId="25503" xr:uid="{00000000-0005-0000-0000-00009E630000}"/>
    <cellStyle name="Normal 25 5" xfId="25504" xr:uid="{00000000-0005-0000-0000-00009F630000}"/>
    <cellStyle name="Normal 25 6" xfId="25505" xr:uid="{00000000-0005-0000-0000-0000A0630000}"/>
    <cellStyle name="Normal 26" xfId="25506" xr:uid="{00000000-0005-0000-0000-0000A1630000}"/>
    <cellStyle name="Normal 26 2" xfId="25507" xr:uid="{00000000-0005-0000-0000-0000A2630000}"/>
    <cellStyle name="Normal 26 2 2" xfId="25508" xr:uid="{00000000-0005-0000-0000-0000A3630000}"/>
    <cellStyle name="Normal 26 2 3" xfId="25509" xr:uid="{00000000-0005-0000-0000-0000A4630000}"/>
    <cellStyle name="Normal 26 2 4" xfId="25510" xr:uid="{00000000-0005-0000-0000-0000A5630000}"/>
    <cellStyle name="Normal 26 2 5" xfId="25511" xr:uid="{00000000-0005-0000-0000-0000A6630000}"/>
    <cellStyle name="Normal 26 3" xfId="25512" xr:uid="{00000000-0005-0000-0000-0000A7630000}"/>
    <cellStyle name="Normal 26 3 2" xfId="25513" xr:uid="{00000000-0005-0000-0000-0000A8630000}"/>
    <cellStyle name="Normal 26 4" xfId="25514" xr:uid="{00000000-0005-0000-0000-0000A9630000}"/>
    <cellStyle name="Normal 26 5" xfId="25515" xr:uid="{00000000-0005-0000-0000-0000AA630000}"/>
    <cellStyle name="Normal 26 6" xfId="25516" xr:uid="{00000000-0005-0000-0000-0000AB630000}"/>
    <cellStyle name="Normal 27" xfId="25517" xr:uid="{00000000-0005-0000-0000-0000AC630000}"/>
    <cellStyle name="Normal 27 2" xfId="25518" xr:uid="{00000000-0005-0000-0000-0000AD630000}"/>
    <cellStyle name="Normal 27 2 2" xfId="25519" xr:uid="{00000000-0005-0000-0000-0000AE630000}"/>
    <cellStyle name="Normal 27 2 3" xfId="25520" xr:uid="{00000000-0005-0000-0000-0000AF630000}"/>
    <cellStyle name="Normal 27 2 4" xfId="25521" xr:uid="{00000000-0005-0000-0000-0000B0630000}"/>
    <cellStyle name="Normal 27 2 5" xfId="25522" xr:uid="{00000000-0005-0000-0000-0000B1630000}"/>
    <cellStyle name="Normal 27 3" xfId="25523" xr:uid="{00000000-0005-0000-0000-0000B2630000}"/>
    <cellStyle name="Normal 27 3 2" xfId="25524" xr:uid="{00000000-0005-0000-0000-0000B3630000}"/>
    <cellStyle name="Normal 27 4" xfId="25525" xr:uid="{00000000-0005-0000-0000-0000B4630000}"/>
    <cellStyle name="Normal 27 5" xfId="25526" xr:uid="{00000000-0005-0000-0000-0000B5630000}"/>
    <cellStyle name="Normal 27 6" xfId="25527" xr:uid="{00000000-0005-0000-0000-0000B6630000}"/>
    <cellStyle name="Normal 28" xfId="25528" xr:uid="{00000000-0005-0000-0000-0000B7630000}"/>
    <cellStyle name="Normal 28 2" xfId="25529" xr:uid="{00000000-0005-0000-0000-0000B8630000}"/>
    <cellStyle name="Normal 28 2 2" xfId="25530" xr:uid="{00000000-0005-0000-0000-0000B9630000}"/>
    <cellStyle name="Normal 28 2 3" xfId="25531" xr:uid="{00000000-0005-0000-0000-0000BA630000}"/>
    <cellStyle name="Normal 28 2 4" xfId="25532" xr:uid="{00000000-0005-0000-0000-0000BB630000}"/>
    <cellStyle name="Normal 28 2 5" xfId="25533" xr:uid="{00000000-0005-0000-0000-0000BC630000}"/>
    <cellStyle name="Normal 28 3" xfId="25534" xr:uid="{00000000-0005-0000-0000-0000BD630000}"/>
    <cellStyle name="Normal 28 3 2" xfId="25535" xr:uid="{00000000-0005-0000-0000-0000BE630000}"/>
    <cellStyle name="Normal 28 4" xfId="25536" xr:uid="{00000000-0005-0000-0000-0000BF630000}"/>
    <cellStyle name="Normal 28 5" xfId="25537" xr:uid="{00000000-0005-0000-0000-0000C0630000}"/>
    <cellStyle name="Normal 28 6" xfId="25538" xr:uid="{00000000-0005-0000-0000-0000C1630000}"/>
    <cellStyle name="Normal 29" xfId="25539" xr:uid="{00000000-0005-0000-0000-0000C2630000}"/>
    <cellStyle name="Normal 29 2" xfId="25540" xr:uid="{00000000-0005-0000-0000-0000C3630000}"/>
    <cellStyle name="Normal 29 2 2" xfId="25541" xr:uid="{00000000-0005-0000-0000-0000C4630000}"/>
    <cellStyle name="Normal 29 2 3" xfId="25542" xr:uid="{00000000-0005-0000-0000-0000C5630000}"/>
    <cellStyle name="Normal 29 2 4" xfId="25543" xr:uid="{00000000-0005-0000-0000-0000C6630000}"/>
    <cellStyle name="Normal 29 2 5" xfId="25544" xr:uid="{00000000-0005-0000-0000-0000C7630000}"/>
    <cellStyle name="Normal 29 3" xfId="25545" xr:uid="{00000000-0005-0000-0000-0000C8630000}"/>
    <cellStyle name="Normal 29 3 2" xfId="25546" xr:uid="{00000000-0005-0000-0000-0000C9630000}"/>
    <cellStyle name="Normal 29 4" xfId="25547" xr:uid="{00000000-0005-0000-0000-0000CA630000}"/>
    <cellStyle name="Normal 29 5" xfId="25548" xr:uid="{00000000-0005-0000-0000-0000CB630000}"/>
    <cellStyle name="Normal 29 6" xfId="25549" xr:uid="{00000000-0005-0000-0000-0000CC630000}"/>
    <cellStyle name="Normal 3" xfId="25550" xr:uid="{00000000-0005-0000-0000-0000CD630000}"/>
    <cellStyle name="Normal 3 2" xfId="25551" xr:uid="{00000000-0005-0000-0000-0000CE630000}"/>
    <cellStyle name="Normal 3 2 2" xfId="25552" xr:uid="{00000000-0005-0000-0000-0000CF630000}"/>
    <cellStyle name="Normal 3 2 2 2" xfId="25553" xr:uid="{00000000-0005-0000-0000-0000D0630000}"/>
    <cellStyle name="Normal 3 2 2 3" xfId="25554" xr:uid="{00000000-0005-0000-0000-0000D1630000}"/>
    <cellStyle name="Normal 3 2 2 4" xfId="25555" xr:uid="{00000000-0005-0000-0000-0000D2630000}"/>
    <cellStyle name="Normal 3 2 3" xfId="25556" xr:uid="{00000000-0005-0000-0000-0000D3630000}"/>
    <cellStyle name="Normal 3 2 3 2" xfId="25557" xr:uid="{00000000-0005-0000-0000-0000D4630000}"/>
    <cellStyle name="Normal 3 2 4" xfId="25558" xr:uid="{00000000-0005-0000-0000-0000D5630000}"/>
    <cellStyle name="Normal 3 2 4 2" xfId="25559" xr:uid="{00000000-0005-0000-0000-0000D6630000}"/>
    <cellStyle name="Normal 3 2 5" xfId="25560" xr:uid="{00000000-0005-0000-0000-0000D7630000}"/>
    <cellStyle name="Normal 3 3" xfId="25561" xr:uid="{00000000-0005-0000-0000-0000D8630000}"/>
    <cellStyle name="Normal 3 3 2" xfId="25562" xr:uid="{00000000-0005-0000-0000-0000D9630000}"/>
    <cellStyle name="Normal 3 3 2 2" xfId="25563" xr:uid="{00000000-0005-0000-0000-0000DA630000}"/>
    <cellStyle name="Normal 3 3 3" xfId="25564" xr:uid="{00000000-0005-0000-0000-0000DB630000}"/>
    <cellStyle name="Normal 3 3 4" xfId="25565" xr:uid="{00000000-0005-0000-0000-0000DC630000}"/>
    <cellStyle name="Normal 3 3 5" xfId="25566" xr:uid="{00000000-0005-0000-0000-0000DD630000}"/>
    <cellStyle name="Normal 3 4" xfId="25567" xr:uid="{00000000-0005-0000-0000-0000DE630000}"/>
    <cellStyle name="Normal 3 4 2" xfId="25568" xr:uid="{00000000-0005-0000-0000-0000DF630000}"/>
    <cellStyle name="Normal 3 5" xfId="25569" xr:uid="{00000000-0005-0000-0000-0000E0630000}"/>
    <cellStyle name="Normal 3 5 2" xfId="25570" xr:uid="{00000000-0005-0000-0000-0000E1630000}"/>
    <cellStyle name="Normal 3 5 3" xfId="25571" xr:uid="{00000000-0005-0000-0000-0000E2630000}"/>
    <cellStyle name="Normal 3 6" xfId="25572" xr:uid="{00000000-0005-0000-0000-0000E3630000}"/>
    <cellStyle name="Normal 3 7" xfId="25573" xr:uid="{00000000-0005-0000-0000-0000E4630000}"/>
    <cellStyle name="Normal 3 8" xfId="25574" xr:uid="{00000000-0005-0000-0000-0000E5630000}"/>
    <cellStyle name="Normal 3 9" xfId="25575" xr:uid="{00000000-0005-0000-0000-0000E6630000}"/>
    <cellStyle name="Normal 3_BS retrieve" xfId="25576" xr:uid="{00000000-0005-0000-0000-0000E7630000}"/>
    <cellStyle name="Normal 30" xfId="25577" xr:uid="{00000000-0005-0000-0000-0000E8630000}"/>
    <cellStyle name="Normal 30 2" xfId="25578" xr:uid="{00000000-0005-0000-0000-0000E9630000}"/>
    <cellStyle name="Normal 30 2 2" xfId="25579" xr:uid="{00000000-0005-0000-0000-0000EA630000}"/>
    <cellStyle name="Normal 30 2 3" xfId="25580" xr:uid="{00000000-0005-0000-0000-0000EB630000}"/>
    <cellStyle name="Normal 30 2 4" xfId="25581" xr:uid="{00000000-0005-0000-0000-0000EC630000}"/>
    <cellStyle name="Normal 30 2 5" xfId="25582" xr:uid="{00000000-0005-0000-0000-0000ED630000}"/>
    <cellStyle name="Normal 30 3" xfId="25583" xr:uid="{00000000-0005-0000-0000-0000EE630000}"/>
    <cellStyle name="Normal 30 3 2" xfId="25584" xr:uid="{00000000-0005-0000-0000-0000EF630000}"/>
    <cellStyle name="Normal 30 4" xfId="25585" xr:uid="{00000000-0005-0000-0000-0000F0630000}"/>
    <cellStyle name="Normal 30 5" xfId="25586" xr:uid="{00000000-0005-0000-0000-0000F1630000}"/>
    <cellStyle name="Normal 30 6" xfId="25587" xr:uid="{00000000-0005-0000-0000-0000F2630000}"/>
    <cellStyle name="Normal 31" xfId="25588" xr:uid="{00000000-0005-0000-0000-0000F3630000}"/>
    <cellStyle name="Normal 31 2" xfId="25589" xr:uid="{00000000-0005-0000-0000-0000F4630000}"/>
    <cellStyle name="Normal 31 2 2" xfId="25590" xr:uid="{00000000-0005-0000-0000-0000F5630000}"/>
    <cellStyle name="Normal 31 2 3" xfId="25591" xr:uid="{00000000-0005-0000-0000-0000F6630000}"/>
    <cellStyle name="Normal 31 2 4" xfId="25592" xr:uid="{00000000-0005-0000-0000-0000F7630000}"/>
    <cellStyle name="Normal 31 2 5" xfId="25593" xr:uid="{00000000-0005-0000-0000-0000F8630000}"/>
    <cellStyle name="Normal 31 3" xfId="25594" xr:uid="{00000000-0005-0000-0000-0000F9630000}"/>
    <cellStyle name="Normal 31 3 2" xfId="25595" xr:uid="{00000000-0005-0000-0000-0000FA630000}"/>
    <cellStyle name="Normal 31 4" xfId="25596" xr:uid="{00000000-0005-0000-0000-0000FB630000}"/>
    <cellStyle name="Normal 31 5" xfId="25597" xr:uid="{00000000-0005-0000-0000-0000FC630000}"/>
    <cellStyle name="Normal 31 6" xfId="25598" xr:uid="{00000000-0005-0000-0000-0000FD630000}"/>
    <cellStyle name="Normal 32" xfId="25599" xr:uid="{00000000-0005-0000-0000-0000FE630000}"/>
    <cellStyle name="Normal 32 2" xfId="25600" xr:uid="{00000000-0005-0000-0000-0000FF630000}"/>
    <cellStyle name="Normal 32 2 2" xfId="25601" xr:uid="{00000000-0005-0000-0000-000000640000}"/>
    <cellStyle name="Normal 32 2 3" xfId="25602" xr:uid="{00000000-0005-0000-0000-000001640000}"/>
    <cellStyle name="Normal 32 2 4" xfId="25603" xr:uid="{00000000-0005-0000-0000-000002640000}"/>
    <cellStyle name="Normal 32 2 5" xfId="25604" xr:uid="{00000000-0005-0000-0000-000003640000}"/>
    <cellStyle name="Normal 32 3" xfId="25605" xr:uid="{00000000-0005-0000-0000-000004640000}"/>
    <cellStyle name="Normal 32 3 2" xfId="25606" xr:uid="{00000000-0005-0000-0000-000005640000}"/>
    <cellStyle name="Normal 32 4" xfId="25607" xr:uid="{00000000-0005-0000-0000-000006640000}"/>
    <cellStyle name="Normal 32 5" xfId="25608" xr:uid="{00000000-0005-0000-0000-000007640000}"/>
    <cellStyle name="Normal 32 6" xfId="25609" xr:uid="{00000000-0005-0000-0000-000008640000}"/>
    <cellStyle name="Normal 33" xfId="25610" xr:uid="{00000000-0005-0000-0000-000009640000}"/>
    <cellStyle name="Normal 33 2" xfId="25611" xr:uid="{00000000-0005-0000-0000-00000A640000}"/>
    <cellStyle name="Normal 33 2 2" xfId="25612" xr:uid="{00000000-0005-0000-0000-00000B640000}"/>
    <cellStyle name="Normal 33 2 3" xfId="25613" xr:uid="{00000000-0005-0000-0000-00000C640000}"/>
    <cellStyle name="Normal 33 2 4" xfId="25614" xr:uid="{00000000-0005-0000-0000-00000D640000}"/>
    <cellStyle name="Normal 33 2 5" xfId="25615" xr:uid="{00000000-0005-0000-0000-00000E640000}"/>
    <cellStyle name="Normal 33 3" xfId="25616" xr:uid="{00000000-0005-0000-0000-00000F640000}"/>
    <cellStyle name="Normal 33 4" xfId="25617" xr:uid="{00000000-0005-0000-0000-000010640000}"/>
    <cellStyle name="Normal 33 5" xfId="25618" xr:uid="{00000000-0005-0000-0000-000011640000}"/>
    <cellStyle name="Normal 33 6" xfId="25619" xr:uid="{00000000-0005-0000-0000-000012640000}"/>
    <cellStyle name="Normal 34" xfId="25620" xr:uid="{00000000-0005-0000-0000-000013640000}"/>
    <cellStyle name="Normal 34 2" xfId="25621" xr:uid="{00000000-0005-0000-0000-000014640000}"/>
    <cellStyle name="Normal 34 2 2" xfId="25622" xr:uid="{00000000-0005-0000-0000-000015640000}"/>
    <cellStyle name="Normal 34 2 3" xfId="25623" xr:uid="{00000000-0005-0000-0000-000016640000}"/>
    <cellStyle name="Normal 34 2 4" xfId="25624" xr:uid="{00000000-0005-0000-0000-000017640000}"/>
    <cellStyle name="Normal 34 2 5" xfId="25625" xr:uid="{00000000-0005-0000-0000-000018640000}"/>
    <cellStyle name="Normal 34 3" xfId="25626" xr:uid="{00000000-0005-0000-0000-000019640000}"/>
    <cellStyle name="Normal 34 3 2" xfId="25627" xr:uid="{00000000-0005-0000-0000-00001A640000}"/>
    <cellStyle name="Normal 34 4" xfId="25628" xr:uid="{00000000-0005-0000-0000-00001B640000}"/>
    <cellStyle name="Normal 34 5" xfId="25629" xr:uid="{00000000-0005-0000-0000-00001C640000}"/>
    <cellStyle name="Normal 34 6" xfId="25630" xr:uid="{00000000-0005-0000-0000-00001D640000}"/>
    <cellStyle name="Normal 35" xfId="25631" xr:uid="{00000000-0005-0000-0000-00001E640000}"/>
    <cellStyle name="Normal 35 2" xfId="25632" xr:uid="{00000000-0005-0000-0000-00001F640000}"/>
    <cellStyle name="Normal 35 2 2" xfId="25633" xr:uid="{00000000-0005-0000-0000-000020640000}"/>
    <cellStyle name="Normal 35 2 3" xfId="25634" xr:uid="{00000000-0005-0000-0000-000021640000}"/>
    <cellStyle name="Normal 35 2 4" xfId="25635" xr:uid="{00000000-0005-0000-0000-000022640000}"/>
    <cellStyle name="Normal 35 2 5" xfId="25636" xr:uid="{00000000-0005-0000-0000-000023640000}"/>
    <cellStyle name="Normal 35 3" xfId="25637" xr:uid="{00000000-0005-0000-0000-000024640000}"/>
    <cellStyle name="Normal 35 3 2" xfId="25638" xr:uid="{00000000-0005-0000-0000-000025640000}"/>
    <cellStyle name="Normal 35 4" xfId="25639" xr:uid="{00000000-0005-0000-0000-000026640000}"/>
    <cellStyle name="Normal 35 5" xfId="25640" xr:uid="{00000000-0005-0000-0000-000027640000}"/>
    <cellStyle name="Normal 35 6" xfId="25641" xr:uid="{00000000-0005-0000-0000-000028640000}"/>
    <cellStyle name="Normal 36" xfId="25642" xr:uid="{00000000-0005-0000-0000-000029640000}"/>
    <cellStyle name="Normal 36 2" xfId="25643" xr:uid="{00000000-0005-0000-0000-00002A640000}"/>
    <cellStyle name="Normal 36 2 2" xfId="25644" xr:uid="{00000000-0005-0000-0000-00002B640000}"/>
    <cellStyle name="Normal 36 2 3" xfId="25645" xr:uid="{00000000-0005-0000-0000-00002C640000}"/>
    <cellStyle name="Normal 36 2 4" xfId="25646" xr:uid="{00000000-0005-0000-0000-00002D640000}"/>
    <cellStyle name="Normal 36 2 5" xfId="25647" xr:uid="{00000000-0005-0000-0000-00002E640000}"/>
    <cellStyle name="Normal 36 3" xfId="25648" xr:uid="{00000000-0005-0000-0000-00002F640000}"/>
    <cellStyle name="Normal 36 4" xfId="25649" xr:uid="{00000000-0005-0000-0000-000030640000}"/>
    <cellStyle name="Normal 36 5" xfId="25650" xr:uid="{00000000-0005-0000-0000-000031640000}"/>
    <cellStyle name="Normal 36 6" xfId="25651" xr:uid="{00000000-0005-0000-0000-000032640000}"/>
    <cellStyle name="Normal 37" xfId="25652" xr:uid="{00000000-0005-0000-0000-000033640000}"/>
    <cellStyle name="Normal 37 2" xfId="25653" xr:uid="{00000000-0005-0000-0000-000034640000}"/>
    <cellStyle name="Normal 37 2 2" xfId="25654" xr:uid="{00000000-0005-0000-0000-000035640000}"/>
    <cellStyle name="Normal 37 2 3" xfId="25655" xr:uid="{00000000-0005-0000-0000-000036640000}"/>
    <cellStyle name="Normal 37 2 4" xfId="25656" xr:uid="{00000000-0005-0000-0000-000037640000}"/>
    <cellStyle name="Normal 37 2 5" xfId="25657" xr:uid="{00000000-0005-0000-0000-000038640000}"/>
    <cellStyle name="Normal 37 3" xfId="25658" xr:uid="{00000000-0005-0000-0000-000039640000}"/>
    <cellStyle name="Normal 37 3 2" xfId="25659" xr:uid="{00000000-0005-0000-0000-00003A640000}"/>
    <cellStyle name="Normal 37 4" xfId="25660" xr:uid="{00000000-0005-0000-0000-00003B640000}"/>
    <cellStyle name="Normal 37 5" xfId="25661" xr:uid="{00000000-0005-0000-0000-00003C640000}"/>
    <cellStyle name="Normal 37 6" xfId="25662" xr:uid="{00000000-0005-0000-0000-00003D640000}"/>
    <cellStyle name="Normal 38" xfId="25663" xr:uid="{00000000-0005-0000-0000-00003E640000}"/>
    <cellStyle name="Normal 38 2" xfId="25664" xr:uid="{00000000-0005-0000-0000-00003F640000}"/>
    <cellStyle name="Normal 38 2 2" xfId="25665" xr:uid="{00000000-0005-0000-0000-000040640000}"/>
    <cellStyle name="Normal 38 2 3" xfId="25666" xr:uid="{00000000-0005-0000-0000-000041640000}"/>
    <cellStyle name="Normal 38 2 4" xfId="25667" xr:uid="{00000000-0005-0000-0000-000042640000}"/>
    <cellStyle name="Normal 38 2 5" xfId="25668" xr:uid="{00000000-0005-0000-0000-000043640000}"/>
    <cellStyle name="Normal 38 3" xfId="25669" xr:uid="{00000000-0005-0000-0000-000044640000}"/>
    <cellStyle name="Normal 38 3 2" xfId="25670" xr:uid="{00000000-0005-0000-0000-000045640000}"/>
    <cellStyle name="Normal 38 4" xfId="25671" xr:uid="{00000000-0005-0000-0000-000046640000}"/>
    <cellStyle name="Normal 38 5" xfId="25672" xr:uid="{00000000-0005-0000-0000-000047640000}"/>
    <cellStyle name="Normal 38 6" xfId="25673" xr:uid="{00000000-0005-0000-0000-000048640000}"/>
    <cellStyle name="Normal 39" xfId="25674" xr:uid="{00000000-0005-0000-0000-000049640000}"/>
    <cellStyle name="Normal 39 2" xfId="25675" xr:uid="{00000000-0005-0000-0000-00004A640000}"/>
    <cellStyle name="Normal 39 2 2" xfId="25676" xr:uid="{00000000-0005-0000-0000-00004B640000}"/>
    <cellStyle name="Normal 39 2 3" xfId="25677" xr:uid="{00000000-0005-0000-0000-00004C640000}"/>
    <cellStyle name="Normal 39 2 4" xfId="25678" xr:uid="{00000000-0005-0000-0000-00004D640000}"/>
    <cellStyle name="Normal 39 2 5" xfId="25679" xr:uid="{00000000-0005-0000-0000-00004E640000}"/>
    <cellStyle name="Normal 39 3" xfId="25680" xr:uid="{00000000-0005-0000-0000-00004F640000}"/>
    <cellStyle name="Normal 39 4" xfId="25681" xr:uid="{00000000-0005-0000-0000-000050640000}"/>
    <cellStyle name="Normal 39 5" xfId="25682" xr:uid="{00000000-0005-0000-0000-000051640000}"/>
    <cellStyle name="Normal 39 6" xfId="25683" xr:uid="{00000000-0005-0000-0000-000052640000}"/>
    <cellStyle name="Normal 4" xfId="25684" xr:uid="{00000000-0005-0000-0000-000053640000}"/>
    <cellStyle name="Normal 4 2" xfId="25685" xr:uid="{00000000-0005-0000-0000-000054640000}"/>
    <cellStyle name="Normal 4 2 2" xfId="25686" xr:uid="{00000000-0005-0000-0000-000055640000}"/>
    <cellStyle name="Normal 4 2 2 2" xfId="25687" xr:uid="{00000000-0005-0000-0000-000056640000}"/>
    <cellStyle name="Normal 4 2 2 3" xfId="25688" xr:uid="{00000000-0005-0000-0000-000057640000}"/>
    <cellStyle name="Normal 4 2 2 4" xfId="25689" xr:uid="{00000000-0005-0000-0000-000058640000}"/>
    <cellStyle name="Normal 4 2 3" xfId="25690" xr:uid="{00000000-0005-0000-0000-000059640000}"/>
    <cellStyle name="Normal 4 2 3 2" xfId="25691" xr:uid="{00000000-0005-0000-0000-00005A640000}"/>
    <cellStyle name="Normal 4 2 3 2 2" xfId="25692" xr:uid="{00000000-0005-0000-0000-00005B640000}"/>
    <cellStyle name="Normal 4 2 3 2 3" xfId="25693" xr:uid="{00000000-0005-0000-0000-00005C640000}"/>
    <cellStyle name="Normal 4 2 3 3" xfId="25694" xr:uid="{00000000-0005-0000-0000-00005D640000}"/>
    <cellStyle name="Normal 4 2 3 4" xfId="25695" xr:uid="{00000000-0005-0000-0000-00005E640000}"/>
    <cellStyle name="Normal 4 2 3 5" xfId="25696" xr:uid="{00000000-0005-0000-0000-00005F640000}"/>
    <cellStyle name="Normal 4 2 4" xfId="25697" xr:uid="{00000000-0005-0000-0000-000060640000}"/>
    <cellStyle name="Normal 4 2 4 2" xfId="25698" xr:uid="{00000000-0005-0000-0000-000061640000}"/>
    <cellStyle name="Normal 4 2 5" xfId="25699" xr:uid="{00000000-0005-0000-0000-000062640000}"/>
    <cellStyle name="Normal 4 2 6" xfId="25700" xr:uid="{00000000-0005-0000-0000-000063640000}"/>
    <cellStyle name="Normal 4 2 7" xfId="25701" xr:uid="{00000000-0005-0000-0000-000064640000}"/>
    <cellStyle name="Normal 4 2 8" xfId="25702" xr:uid="{00000000-0005-0000-0000-000065640000}"/>
    <cellStyle name="Normal 4 3" xfId="25703" xr:uid="{00000000-0005-0000-0000-000066640000}"/>
    <cellStyle name="Normal 4 3 2" xfId="25704" xr:uid="{00000000-0005-0000-0000-000067640000}"/>
    <cellStyle name="Normal 4 3 2 2" xfId="25705" xr:uid="{00000000-0005-0000-0000-000068640000}"/>
    <cellStyle name="Normal 4 3 3" xfId="25706" xr:uid="{00000000-0005-0000-0000-000069640000}"/>
    <cellStyle name="Normal 4 3 3 2" xfId="25707" xr:uid="{00000000-0005-0000-0000-00006A640000}"/>
    <cellStyle name="Normal 4 3 4" xfId="25708" xr:uid="{00000000-0005-0000-0000-00006B640000}"/>
    <cellStyle name="Normal 4 3 5" xfId="25709" xr:uid="{00000000-0005-0000-0000-00006C640000}"/>
    <cellStyle name="Normal 4 4" xfId="25710" xr:uid="{00000000-0005-0000-0000-00006D640000}"/>
    <cellStyle name="Normal 4 4 2" xfId="25711" xr:uid="{00000000-0005-0000-0000-00006E640000}"/>
    <cellStyle name="Normal 4 4 2 2" xfId="25712" xr:uid="{00000000-0005-0000-0000-00006F640000}"/>
    <cellStyle name="Normal 4 4 3" xfId="25713" xr:uid="{00000000-0005-0000-0000-000070640000}"/>
    <cellStyle name="Normal 4 5" xfId="25714" xr:uid="{00000000-0005-0000-0000-000071640000}"/>
    <cellStyle name="Normal 4 5 2" xfId="25715" xr:uid="{00000000-0005-0000-0000-000072640000}"/>
    <cellStyle name="Normal 4 5 3" xfId="25716" xr:uid="{00000000-0005-0000-0000-000073640000}"/>
    <cellStyle name="Normal 4 6" xfId="25717" xr:uid="{00000000-0005-0000-0000-000074640000}"/>
    <cellStyle name="Normal 4 6 2" xfId="25718" xr:uid="{00000000-0005-0000-0000-000075640000}"/>
    <cellStyle name="Normal 4 7" xfId="25719" xr:uid="{00000000-0005-0000-0000-000076640000}"/>
    <cellStyle name="Normal 4 7 2" xfId="25720" xr:uid="{00000000-0005-0000-0000-000077640000}"/>
    <cellStyle name="Normal 4 8" xfId="25721" xr:uid="{00000000-0005-0000-0000-000078640000}"/>
    <cellStyle name="Normal 4 9" xfId="25722" xr:uid="{00000000-0005-0000-0000-000079640000}"/>
    <cellStyle name="Normal 40" xfId="25723" xr:uid="{00000000-0005-0000-0000-00007A640000}"/>
    <cellStyle name="Normal 40 2" xfId="25724" xr:uid="{00000000-0005-0000-0000-00007B640000}"/>
    <cellStyle name="Normal 40 2 2" xfId="25725" xr:uid="{00000000-0005-0000-0000-00007C640000}"/>
    <cellStyle name="Normal 40 2 3" xfId="25726" xr:uid="{00000000-0005-0000-0000-00007D640000}"/>
    <cellStyle name="Normal 40 2 4" xfId="25727" xr:uid="{00000000-0005-0000-0000-00007E640000}"/>
    <cellStyle name="Normal 40 2 5" xfId="25728" xr:uid="{00000000-0005-0000-0000-00007F640000}"/>
    <cellStyle name="Normal 40 3" xfId="25729" xr:uid="{00000000-0005-0000-0000-000080640000}"/>
    <cellStyle name="Normal 40 4" xfId="25730" xr:uid="{00000000-0005-0000-0000-000081640000}"/>
    <cellStyle name="Normal 40 5" xfId="25731" xr:uid="{00000000-0005-0000-0000-000082640000}"/>
    <cellStyle name="Normal 40 6" xfId="25732" xr:uid="{00000000-0005-0000-0000-000083640000}"/>
    <cellStyle name="Normal 41" xfId="25733" xr:uid="{00000000-0005-0000-0000-000084640000}"/>
    <cellStyle name="Normal 41 2" xfId="25734" xr:uid="{00000000-0005-0000-0000-000085640000}"/>
    <cellStyle name="Normal 41 2 2" xfId="25735" xr:uid="{00000000-0005-0000-0000-000086640000}"/>
    <cellStyle name="Normal 41 2 3" xfId="25736" xr:uid="{00000000-0005-0000-0000-000087640000}"/>
    <cellStyle name="Normal 41 2 4" xfId="25737" xr:uid="{00000000-0005-0000-0000-000088640000}"/>
    <cellStyle name="Normal 41 2 5" xfId="25738" xr:uid="{00000000-0005-0000-0000-000089640000}"/>
    <cellStyle name="Normal 41 3" xfId="25739" xr:uid="{00000000-0005-0000-0000-00008A640000}"/>
    <cellStyle name="Normal 41 4" xfId="25740" xr:uid="{00000000-0005-0000-0000-00008B640000}"/>
    <cellStyle name="Normal 41 5" xfId="25741" xr:uid="{00000000-0005-0000-0000-00008C640000}"/>
    <cellStyle name="Normal 41 6" xfId="25742" xr:uid="{00000000-0005-0000-0000-00008D640000}"/>
    <cellStyle name="Normal 42" xfId="25743" xr:uid="{00000000-0005-0000-0000-00008E640000}"/>
    <cellStyle name="Normal 42 2" xfId="25744" xr:uid="{00000000-0005-0000-0000-00008F640000}"/>
    <cellStyle name="Normal 42 2 2" xfId="25745" xr:uid="{00000000-0005-0000-0000-000090640000}"/>
    <cellStyle name="Normal 42 2 3" xfId="25746" xr:uid="{00000000-0005-0000-0000-000091640000}"/>
    <cellStyle name="Normal 42 2 4" xfId="25747" xr:uid="{00000000-0005-0000-0000-000092640000}"/>
    <cellStyle name="Normal 42 3" xfId="25748" xr:uid="{00000000-0005-0000-0000-000093640000}"/>
    <cellStyle name="Normal 42 4" xfId="25749" xr:uid="{00000000-0005-0000-0000-000094640000}"/>
    <cellStyle name="Normal 42 5" xfId="25750" xr:uid="{00000000-0005-0000-0000-000095640000}"/>
    <cellStyle name="Normal 42 6" xfId="25751" xr:uid="{00000000-0005-0000-0000-000096640000}"/>
    <cellStyle name="Normal 43" xfId="25752" xr:uid="{00000000-0005-0000-0000-000097640000}"/>
    <cellStyle name="Normal 43 2" xfId="25753" xr:uid="{00000000-0005-0000-0000-000098640000}"/>
    <cellStyle name="Normal 43 2 2" xfId="25754" xr:uid="{00000000-0005-0000-0000-000099640000}"/>
    <cellStyle name="Normal 43 2 3" xfId="25755" xr:uid="{00000000-0005-0000-0000-00009A640000}"/>
    <cellStyle name="Normal 43 2 4" xfId="25756" xr:uid="{00000000-0005-0000-0000-00009B640000}"/>
    <cellStyle name="Normal 43 3" xfId="25757" xr:uid="{00000000-0005-0000-0000-00009C640000}"/>
    <cellStyle name="Normal 43 4" xfId="25758" xr:uid="{00000000-0005-0000-0000-00009D640000}"/>
    <cellStyle name="Normal 43 5" xfId="25759" xr:uid="{00000000-0005-0000-0000-00009E640000}"/>
    <cellStyle name="Normal 43 6" xfId="25760" xr:uid="{00000000-0005-0000-0000-00009F640000}"/>
    <cellStyle name="Normal 44" xfId="25761" xr:uid="{00000000-0005-0000-0000-0000A0640000}"/>
    <cellStyle name="Normal 44 2" xfId="25762" xr:uid="{00000000-0005-0000-0000-0000A1640000}"/>
    <cellStyle name="Normal 44 2 2" xfId="25763" xr:uid="{00000000-0005-0000-0000-0000A2640000}"/>
    <cellStyle name="Normal 44 2 3" xfId="25764" xr:uid="{00000000-0005-0000-0000-0000A3640000}"/>
    <cellStyle name="Normal 44 2 4" xfId="25765" xr:uid="{00000000-0005-0000-0000-0000A4640000}"/>
    <cellStyle name="Normal 44 3" xfId="25766" xr:uid="{00000000-0005-0000-0000-0000A5640000}"/>
    <cellStyle name="Normal 44 4" xfId="25767" xr:uid="{00000000-0005-0000-0000-0000A6640000}"/>
    <cellStyle name="Normal 44 5" xfId="25768" xr:uid="{00000000-0005-0000-0000-0000A7640000}"/>
    <cellStyle name="Normal 44 6" xfId="25769" xr:uid="{00000000-0005-0000-0000-0000A8640000}"/>
    <cellStyle name="Normal 45" xfId="25770" xr:uid="{00000000-0005-0000-0000-0000A9640000}"/>
    <cellStyle name="Normal 45 2" xfId="25771" xr:uid="{00000000-0005-0000-0000-0000AA640000}"/>
    <cellStyle name="Normal 45 2 2" xfId="25772" xr:uid="{00000000-0005-0000-0000-0000AB640000}"/>
    <cellStyle name="Normal 45 2 3" xfId="25773" xr:uid="{00000000-0005-0000-0000-0000AC640000}"/>
    <cellStyle name="Normal 45 2 4" xfId="25774" xr:uid="{00000000-0005-0000-0000-0000AD640000}"/>
    <cellStyle name="Normal 45 3" xfId="25775" xr:uid="{00000000-0005-0000-0000-0000AE640000}"/>
    <cellStyle name="Normal 45 4" xfId="25776" xr:uid="{00000000-0005-0000-0000-0000AF640000}"/>
    <cellStyle name="Normal 45 5" xfId="25777" xr:uid="{00000000-0005-0000-0000-0000B0640000}"/>
    <cellStyle name="Normal 45 6" xfId="25778" xr:uid="{00000000-0005-0000-0000-0000B1640000}"/>
    <cellStyle name="Normal 46" xfId="25779" xr:uid="{00000000-0005-0000-0000-0000B2640000}"/>
    <cellStyle name="Normal 46 2" xfId="25780" xr:uid="{00000000-0005-0000-0000-0000B3640000}"/>
    <cellStyle name="Normal 46 2 2" xfId="25781" xr:uid="{00000000-0005-0000-0000-0000B4640000}"/>
    <cellStyle name="Normal 46 2 3" xfId="25782" xr:uid="{00000000-0005-0000-0000-0000B5640000}"/>
    <cellStyle name="Normal 46 2 4" xfId="25783" xr:uid="{00000000-0005-0000-0000-0000B6640000}"/>
    <cellStyle name="Normal 46 3" xfId="25784" xr:uid="{00000000-0005-0000-0000-0000B7640000}"/>
    <cellStyle name="Normal 46 4" xfId="25785" xr:uid="{00000000-0005-0000-0000-0000B8640000}"/>
    <cellStyle name="Normal 46 5" xfId="25786" xr:uid="{00000000-0005-0000-0000-0000B9640000}"/>
    <cellStyle name="Normal 46 6" xfId="25787" xr:uid="{00000000-0005-0000-0000-0000BA640000}"/>
    <cellStyle name="Normal 47" xfId="25788" xr:uid="{00000000-0005-0000-0000-0000BB640000}"/>
    <cellStyle name="Normal 47 2" xfId="25789" xr:uid="{00000000-0005-0000-0000-0000BC640000}"/>
    <cellStyle name="Normal 47 2 2" xfId="25790" xr:uid="{00000000-0005-0000-0000-0000BD640000}"/>
    <cellStyle name="Normal 47 2 3" xfId="25791" xr:uid="{00000000-0005-0000-0000-0000BE640000}"/>
    <cellStyle name="Normal 47 2 4" xfId="25792" xr:uid="{00000000-0005-0000-0000-0000BF640000}"/>
    <cellStyle name="Normal 47 3" xfId="25793" xr:uid="{00000000-0005-0000-0000-0000C0640000}"/>
    <cellStyle name="Normal 47 4" xfId="25794" xr:uid="{00000000-0005-0000-0000-0000C1640000}"/>
    <cellStyle name="Normal 47 5" xfId="25795" xr:uid="{00000000-0005-0000-0000-0000C2640000}"/>
    <cellStyle name="Normal 47 6" xfId="25796" xr:uid="{00000000-0005-0000-0000-0000C3640000}"/>
    <cellStyle name="Normal 48" xfId="25797" xr:uid="{00000000-0005-0000-0000-0000C4640000}"/>
    <cellStyle name="Normal 49" xfId="25798" xr:uid="{00000000-0005-0000-0000-0000C5640000}"/>
    <cellStyle name="Normal 49 2" xfId="25799" xr:uid="{00000000-0005-0000-0000-0000C6640000}"/>
    <cellStyle name="Normal 5" xfId="25800" xr:uid="{00000000-0005-0000-0000-0000C7640000}"/>
    <cellStyle name="Normal 5 2" xfId="25801" xr:uid="{00000000-0005-0000-0000-0000C8640000}"/>
    <cellStyle name="Normal 5 2 2" xfId="25802" xr:uid="{00000000-0005-0000-0000-0000C9640000}"/>
    <cellStyle name="Normal 5 2 2 2" xfId="25803" xr:uid="{00000000-0005-0000-0000-0000CA640000}"/>
    <cellStyle name="Normal 5 2 3" xfId="25804" xr:uid="{00000000-0005-0000-0000-0000CB640000}"/>
    <cellStyle name="Normal 5 2 3 2" xfId="25805" xr:uid="{00000000-0005-0000-0000-0000CC640000}"/>
    <cellStyle name="Normal 5 2 4" xfId="25806" xr:uid="{00000000-0005-0000-0000-0000CD640000}"/>
    <cellStyle name="Normal 5 2 5" xfId="25807" xr:uid="{00000000-0005-0000-0000-0000CE640000}"/>
    <cellStyle name="Normal 5 2 6" xfId="25808" xr:uid="{00000000-0005-0000-0000-0000CF640000}"/>
    <cellStyle name="Normal 5 3" xfId="25809" xr:uid="{00000000-0005-0000-0000-0000D0640000}"/>
    <cellStyle name="Normal 5 3 2" xfId="25810" xr:uid="{00000000-0005-0000-0000-0000D1640000}"/>
    <cellStyle name="Normal 5 3 2 2" xfId="25811" xr:uid="{00000000-0005-0000-0000-0000D2640000}"/>
    <cellStyle name="Normal 5 3 3" xfId="25812" xr:uid="{00000000-0005-0000-0000-0000D3640000}"/>
    <cellStyle name="Normal 5 4" xfId="25813" xr:uid="{00000000-0005-0000-0000-0000D4640000}"/>
    <cellStyle name="Normal 5 4 2" xfId="25814" xr:uid="{00000000-0005-0000-0000-0000D5640000}"/>
    <cellStyle name="Normal 5 4 3" xfId="25815" xr:uid="{00000000-0005-0000-0000-0000D6640000}"/>
    <cellStyle name="Normal 5 5" xfId="25816" xr:uid="{00000000-0005-0000-0000-0000D7640000}"/>
    <cellStyle name="Normal 5 5 2" xfId="25817" xr:uid="{00000000-0005-0000-0000-0000D8640000}"/>
    <cellStyle name="Normal 5 6" xfId="25818" xr:uid="{00000000-0005-0000-0000-0000D9640000}"/>
    <cellStyle name="Normal 5 6 2" xfId="25819" xr:uid="{00000000-0005-0000-0000-0000DA640000}"/>
    <cellStyle name="Normal 5 7" xfId="25820" xr:uid="{00000000-0005-0000-0000-0000DB640000}"/>
    <cellStyle name="Normal 5 8" xfId="25821" xr:uid="{00000000-0005-0000-0000-0000DC640000}"/>
    <cellStyle name="Normal 50" xfId="25822" xr:uid="{00000000-0005-0000-0000-0000DD640000}"/>
    <cellStyle name="Normal 51" xfId="25823" xr:uid="{00000000-0005-0000-0000-0000DE640000}"/>
    <cellStyle name="Normal 52" xfId="25824" xr:uid="{00000000-0005-0000-0000-0000DF640000}"/>
    <cellStyle name="Normal 53" xfId="25825" xr:uid="{00000000-0005-0000-0000-0000E0640000}"/>
    <cellStyle name="Normal 54" xfId="25826" xr:uid="{00000000-0005-0000-0000-0000E1640000}"/>
    <cellStyle name="Normal 55" xfId="25827" xr:uid="{00000000-0005-0000-0000-0000E2640000}"/>
    <cellStyle name="Normal 55 2" xfId="25828" xr:uid="{00000000-0005-0000-0000-0000E3640000}"/>
    <cellStyle name="Normal 56" xfId="25829" xr:uid="{00000000-0005-0000-0000-0000E4640000}"/>
    <cellStyle name="Normal 57" xfId="25830" xr:uid="{00000000-0005-0000-0000-0000E5640000}"/>
    <cellStyle name="Normal 58" xfId="25831" xr:uid="{00000000-0005-0000-0000-0000E6640000}"/>
    <cellStyle name="Normal 59" xfId="25832" xr:uid="{00000000-0005-0000-0000-0000E7640000}"/>
    <cellStyle name="Normal 6" xfId="25833" xr:uid="{00000000-0005-0000-0000-0000E8640000}"/>
    <cellStyle name="Normal 6 2" xfId="25834" xr:uid="{00000000-0005-0000-0000-0000E9640000}"/>
    <cellStyle name="Normal 6 2 2" xfId="25835" xr:uid="{00000000-0005-0000-0000-0000EA640000}"/>
    <cellStyle name="Normal 6 2 2 2" xfId="25836" xr:uid="{00000000-0005-0000-0000-0000EB640000}"/>
    <cellStyle name="Normal 6 2 3" xfId="25837" xr:uid="{00000000-0005-0000-0000-0000EC640000}"/>
    <cellStyle name="Normal 6 2 4" xfId="25838" xr:uid="{00000000-0005-0000-0000-0000ED640000}"/>
    <cellStyle name="Normal 6 2 5" xfId="25839" xr:uid="{00000000-0005-0000-0000-0000EE640000}"/>
    <cellStyle name="Normal 6 2 6" xfId="25840" xr:uid="{00000000-0005-0000-0000-0000EF640000}"/>
    <cellStyle name="Normal 6 3" xfId="25841" xr:uid="{00000000-0005-0000-0000-0000F0640000}"/>
    <cellStyle name="Normal 6 3 2" xfId="25842" xr:uid="{00000000-0005-0000-0000-0000F1640000}"/>
    <cellStyle name="Normal 6 3 3" xfId="25843" xr:uid="{00000000-0005-0000-0000-0000F2640000}"/>
    <cellStyle name="Normal 6 4" xfId="25844" xr:uid="{00000000-0005-0000-0000-0000F3640000}"/>
    <cellStyle name="Normal 6 4 2" xfId="25845" xr:uid="{00000000-0005-0000-0000-0000F4640000}"/>
    <cellStyle name="Normal 6 5" xfId="25846" xr:uid="{00000000-0005-0000-0000-0000F5640000}"/>
    <cellStyle name="Normal 6 6" xfId="25847" xr:uid="{00000000-0005-0000-0000-0000F6640000}"/>
    <cellStyle name="Normal 6 7" xfId="25848" xr:uid="{00000000-0005-0000-0000-0000F7640000}"/>
    <cellStyle name="Normal 6 8" xfId="25849" xr:uid="{00000000-0005-0000-0000-0000F8640000}"/>
    <cellStyle name="Normal 60" xfId="25850" xr:uid="{00000000-0005-0000-0000-0000F9640000}"/>
    <cellStyle name="Normal 61" xfId="25851" xr:uid="{00000000-0005-0000-0000-0000FA640000}"/>
    <cellStyle name="Normal 62" xfId="25852" xr:uid="{00000000-0005-0000-0000-0000FB640000}"/>
    <cellStyle name="Normal 63" xfId="25853" xr:uid="{00000000-0005-0000-0000-0000FC640000}"/>
    <cellStyle name="Normal 64" xfId="25854" xr:uid="{00000000-0005-0000-0000-0000FD640000}"/>
    <cellStyle name="Normal 64 2" xfId="25855" xr:uid="{00000000-0005-0000-0000-0000FE640000}"/>
    <cellStyle name="Normal 65" xfId="25856" xr:uid="{00000000-0005-0000-0000-0000FF640000}"/>
    <cellStyle name="Normal 66" xfId="25857" xr:uid="{00000000-0005-0000-0000-000000650000}"/>
    <cellStyle name="Normal 67" xfId="25858" xr:uid="{00000000-0005-0000-0000-000001650000}"/>
    <cellStyle name="Normal 68" xfId="25859" xr:uid="{00000000-0005-0000-0000-000002650000}"/>
    <cellStyle name="Normal 68 2" xfId="25860" xr:uid="{00000000-0005-0000-0000-000003650000}"/>
    <cellStyle name="Normal 69" xfId="25861" xr:uid="{00000000-0005-0000-0000-000004650000}"/>
    <cellStyle name="Normal 7" xfId="25862" xr:uid="{00000000-0005-0000-0000-000005650000}"/>
    <cellStyle name="Normal 7 2" xfId="25863" xr:uid="{00000000-0005-0000-0000-000006650000}"/>
    <cellStyle name="Normal 7 2 2" xfId="25864" xr:uid="{00000000-0005-0000-0000-000007650000}"/>
    <cellStyle name="Normal 7 2 2 2" xfId="25865" xr:uid="{00000000-0005-0000-0000-000008650000}"/>
    <cellStyle name="Normal 7 2 3" xfId="25866" xr:uid="{00000000-0005-0000-0000-000009650000}"/>
    <cellStyle name="Normal 7 2 4" xfId="25867" xr:uid="{00000000-0005-0000-0000-00000A650000}"/>
    <cellStyle name="Normal 7 2 5" xfId="25868" xr:uid="{00000000-0005-0000-0000-00000B650000}"/>
    <cellStyle name="Normal 7 3" xfId="25869" xr:uid="{00000000-0005-0000-0000-00000C650000}"/>
    <cellStyle name="Normal 7 3 2" xfId="25870" xr:uid="{00000000-0005-0000-0000-00000D650000}"/>
    <cellStyle name="Normal 7 4" xfId="25871" xr:uid="{00000000-0005-0000-0000-00000E650000}"/>
    <cellStyle name="Normal 7 5" xfId="25872" xr:uid="{00000000-0005-0000-0000-00000F650000}"/>
    <cellStyle name="Normal 7 6" xfId="25873" xr:uid="{00000000-0005-0000-0000-000010650000}"/>
    <cellStyle name="Normal 7 7" xfId="25874" xr:uid="{00000000-0005-0000-0000-000011650000}"/>
    <cellStyle name="Normal 70" xfId="25875" xr:uid="{00000000-0005-0000-0000-000012650000}"/>
    <cellStyle name="Normal 71" xfId="25876" xr:uid="{00000000-0005-0000-0000-000013650000}"/>
    <cellStyle name="Normal 72" xfId="25877" xr:uid="{00000000-0005-0000-0000-000014650000}"/>
    <cellStyle name="Normal 73" xfId="25878" xr:uid="{00000000-0005-0000-0000-000015650000}"/>
    <cellStyle name="Normal 74" xfId="25879" xr:uid="{00000000-0005-0000-0000-000016650000}"/>
    <cellStyle name="Normal 75" xfId="25880" xr:uid="{00000000-0005-0000-0000-000017650000}"/>
    <cellStyle name="Normal 75 2" xfId="25881" xr:uid="{00000000-0005-0000-0000-000018650000}"/>
    <cellStyle name="Normal 76" xfId="25882" xr:uid="{00000000-0005-0000-0000-000019650000}"/>
    <cellStyle name="Normal 76 2" xfId="25883" xr:uid="{00000000-0005-0000-0000-00001A650000}"/>
    <cellStyle name="Normal 77" xfId="25884" xr:uid="{00000000-0005-0000-0000-00001B650000}"/>
    <cellStyle name="Normal 77 2" xfId="25885" xr:uid="{00000000-0005-0000-0000-00001C650000}"/>
    <cellStyle name="Normal 78" xfId="25886" xr:uid="{00000000-0005-0000-0000-00001D650000}"/>
    <cellStyle name="Normal 79" xfId="25887" xr:uid="{00000000-0005-0000-0000-00001E650000}"/>
    <cellStyle name="Normal 8" xfId="25888" xr:uid="{00000000-0005-0000-0000-00001F650000}"/>
    <cellStyle name="Normal 8 2" xfId="25889" xr:uid="{00000000-0005-0000-0000-000020650000}"/>
    <cellStyle name="Normal 8 2 2" xfId="25890" xr:uid="{00000000-0005-0000-0000-000021650000}"/>
    <cellStyle name="Normal 8 2 3" xfId="25891" xr:uid="{00000000-0005-0000-0000-000022650000}"/>
    <cellStyle name="Normal 8 2 4" xfId="25892" xr:uid="{00000000-0005-0000-0000-000023650000}"/>
    <cellStyle name="Normal 8 2 5" xfId="25893" xr:uid="{00000000-0005-0000-0000-000024650000}"/>
    <cellStyle name="Normal 8 3" xfId="25894" xr:uid="{00000000-0005-0000-0000-000025650000}"/>
    <cellStyle name="Normal 8 3 2" xfId="25895" xr:uid="{00000000-0005-0000-0000-000026650000}"/>
    <cellStyle name="Normal 8 4" xfId="25896" xr:uid="{00000000-0005-0000-0000-000027650000}"/>
    <cellStyle name="Normal 8 4 2" xfId="25897" xr:uid="{00000000-0005-0000-0000-000028650000}"/>
    <cellStyle name="Normal 8 5" xfId="25898" xr:uid="{00000000-0005-0000-0000-000029650000}"/>
    <cellStyle name="Normal 8 6" xfId="25899" xr:uid="{00000000-0005-0000-0000-00002A650000}"/>
    <cellStyle name="Normal 8 7" xfId="25900" xr:uid="{00000000-0005-0000-0000-00002B650000}"/>
    <cellStyle name="Normal 80" xfId="25901" xr:uid="{00000000-0005-0000-0000-00002C650000}"/>
    <cellStyle name="Normal 81" xfId="25902" xr:uid="{00000000-0005-0000-0000-00002D650000}"/>
    <cellStyle name="Normal 81 2" xfId="25903" xr:uid="{00000000-0005-0000-0000-00002E650000}"/>
    <cellStyle name="Normal 82" xfId="25904" xr:uid="{00000000-0005-0000-0000-00002F650000}"/>
    <cellStyle name="Normal 82 2" xfId="25905" xr:uid="{00000000-0005-0000-0000-000030650000}"/>
    <cellStyle name="Normal 83" xfId="25906" xr:uid="{00000000-0005-0000-0000-000031650000}"/>
    <cellStyle name="Normal 84" xfId="25907" xr:uid="{00000000-0005-0000-0000-000032650000}"/>
    <cellStyle name="Normal 85" xfId="25908" xr:uid="{00000000-0005-0000-0000-000033650000}"/>
    <cellStyle name="Normal 86" xfId="25909" xr:uid="{00000000-0005-0000-0000-000034650000}"/>
    <cellStyle name="Normal 86 2" xfId="25910" xr:uid="{00000000-0005-0000-0000-000035650000}"/>
    <cellStyle name="Normal 87" xfId="25911" xr:uid="{00000000-0005-0000-0000-000036650000}"/>
    <cellStyle name="Normal 87 2" xfId="25912" xr:uid="{00000000-0005-0000-0000-000037650000}"/>
    <cellStyle name="Normal 88" xfId="25913" xr:uid="{00000000-0005-0000-0000-000038650000}"/>
    <cellStyle name="Normal 88 2" xfId="25914" xr:uid="{00000000-0005-0000-0000-000039650000}"/>
    <cellStyle name="Normal 89" xfId="25915" xr:uid="{00000000-0005-0000-0000-00003A650000}"/>
    <cellStyle name="Normal 89 2" xfId="25916" xr:uid="{00000000-0005-0000-0000-00003B650000}"/>
    <cellStyle name="Normal 9" xfId="25917" xr:uid="{00000000-0005-0000-0000-00003C650000}"/>
    <cellStyle name="Normal 9 2" xfId="25918" xr:uid="{00000000-0005-0000-0000-00003D650000}"/>
    <cellStyle name="Normal 9 2 2" xfId="25919" xr:uid="{00000000-0005-0000-0000-00003E650000}"/>
    <cellStyle name="Normal 9 2 2 2" xfId="25920" xr:uid="{00000000-0005-0000-0000-00003F650000}"/>
    <cellStyle name="Normal 9 2 3" xfId="25921" xr:uid="{00000000-0005-0000-0000-000040650000}"/>
    <cellStyle name="Normal 9 2 4" xfId="25922" xr:uid="{00000000-0005-0000-0000-000041650000}"/>
    <cellStyle name="Normal 9 2 5" xfId="25923" xr:uid="{00000000-0005-0000-0000-000042650000}"/>
    <cellStyle name="Normal 9 2 6" xfId="25924" xr:uid="{00000000-0005-0000-0000-000043650000}"/>
    <cellStyle name="Normal 9 3" xfId="25925" xr:uid="{00000000-0005-0000-0000-000044650000}"/>
    <cellStyle name="Normal 9 3 2" xfId="25926" xr:uid="{00000000-0005-0000-0000-000045650000}"/>
    <cellStyle name="Normal 9 4" xfId="25927" xr:uid="{00000000-0005-0000-0000-000046650000}"/>
    <cellStyle name="Normal 9 4 2" xfId="25928" xr:uid="{00000000-0005-0000-0000-000047650000}"/>
    <cellStyle name="Normal 9 5" xfId="25929" xr:uid="{00000000-0005-0000-0000-000048650000}"/>
    <cellStyle name="Normal 9 6" xfId="25930" xr:uid="{00000000-0005-0000-0000-000049650000}"/>
    <cellStyle name="Normal 9 7" xfId="25931" xr:uid="{00000000-0005-0000-0000-00004A650000}"/>
    <cellStyle name="Normal 90" xfId="25932" xr:uid="{00000000-0005-0000-0000-00004B650000}"/>
    <cellStyle name="Normal 90 2" xfId="25933" xr:uid="{00000000-0005-0000-0000-00004C650000}"/>
    <cellStyle name="Normal 91" xfId="25934" xr:uid="{00000000-0005-0000-0000-00004D650000}"/>
    <cellStyle name="Normal 91 2" xfId="25935" xr:uid="{00000000-0005-0000-0000-00004E650000}"/>
    <cellStyle name="Normal 92" xfId="25936" xr:uid="{00000000-0005-0000-0000-00004F650000}"/>
    <cellStyle name="Normal 92 2" xfId="25937" xr:uid="{00000000-0005-0000-0000-000050650000}"/>
    <cellStyle name="Normal 93" xfId="25938" xr:uid="{00000000-0005-0000-0000-000051650000}"/>
    <cellStyle name="Normal 93 2" xfId="25939" xr:uid="{00000000-0005-0000-0000-000052650000}"/>
    <cellStyle name="Normal 94" xfId="25940" xr:uid="{00000000-0005-0000-0000-000053650000}"/>
    <cellStyle name="Normal 95" xfId="25941" xr:uid="{00000000-0005-0000-0000-000054650000}"/>
    <cellStyle name="Normal 96" xfId="25942" xr:uid="{00000000-0005-0000-0000-000055650000}"/>
    <cellStyle name="Normal 97" xfId="25943" xr:uid="{00000000-0005-0000-0000-000056650000}"/>
    <cellStyle name="Normal 98" xfId="25944" xr:uid="{00000000-0005-0000-0000-000057650000}"/>
    <cellStyle name="Normal 99" xfId="25945" xr:uid="{00000000-0005-0000-0000-000058650000}"/>
    <cellStyle name="Normál_ABS96 PLAN" xfId="25946" xr:uid="{00000000-0005-0000-0000-000059650000}"/>
    <cellStyle name="Normal_Components" xfId="25947" xr:uid="{00000000-0005-0000-0000-00005A650000}"/>
    <cellStyle name="Normalny_KIScommHa03" xfId="25948" xr:uid="{00000000-0005-0000-0000-00005B650000}"/>
    <cellStyle name="Normбl_Paramйter tбbla" xfId="25949" xr:uid="{00000000-0005-0000-0000-00005C650000}"/>
    <cellStyle name="Notas 2" xfId="25950" xr:uid="{00000000-0005-0000-0000-00005D650000}"/>
    <cellStyle name="Notas 2 2" xfId="25951" xr:uid="{00000000-0005-0000-0000-00005E650000}"/>
    <cellStyle name="Notas 2 2 2" xfId="25952" xr:uid="{00000000-0005-0000-0000-00005F650000}"/>
    <cellStyle name="Notas 2 2 2 2" xfId="25953" xr:uid="{00000000-0005-0000-0000-000060650000}"/>
    <cellStyle name="Notas 2 2 2 2 2" xfId="25954" xr:uid="{00000000-0005-0000-0000-000061650000}"/>
    <cellStyle name="Notas 2 2 3" xfId="25955" xr:uid="{00000000-0005-0000-0000-000062650000}"/>
    <cellStyle name="Notas 2 2 3 2" xfId="25956" xr:uid="{00000000-0005-0000-0000-000063650000}"/>
    <cellStyle name="Notas 2 3" xfId="25957" xr:uid="{00000000-0005-0000-0000-000064650000}"/>
    <cellStyle name="Notas 2 3 2" xfId="25958" xr:uid="{00000000-0005-0000-0000-000065650000}"/>
    <cellStyle name="Notas 2 3 2 2" xfId="25959" xr:uid="{00000000-0005-0000-0000-000066650000}"/>
    <cellStyle name="Notas 2 4" xfId="25960" xr:uid="{00000000-0005-0000-0000-000067650000}"/>
    <cellStyle name="Notas 2 4 2" xfId="25961" xr:uid="{00000000-0005-0000-0000-000068650000}"/>
    <cellStyle name="Note 10" xfId="25962" xr:uid="{00000000-0005-0000-0000-000069650000}"/>
    <cellStyle name="Note 10 2" xfId="25963" xr:uid="{00000000-0005-0000-0000-00006A650000}"/>
    <cellStyle name="Note 10 3" xfId="25964" xr:uid="{00000000-0005-0000-0000-00006B650000}"/>
    <cellStyle name="Note 10 4" xfId="25965" xr:uid="{00000000-0005-0000-0000-00006C650000}"/>
    <cellStyle name="Note 10 5" xfId="25966" xr:uid="{00000000-0005-0000-0000-00006D650000}"/>
    <cellStyle name="Note 11" xfId="25967" xr:uid="{00000000-0005-0000-0000-00006E650000}"/>
    <cellStyle name="Note 11 2" xfId="25968" xr:uid="{00000000-0005-0000-0000-00006F650000}"/>
    <cellStyle name="Note 11 3" xfId="25969" xr:uid="{00000000-0005-0000-0000-000070650000}"/>
    <cellStyle name="Note 11 4" xfId="25970" xr:uid="{00000000-0005-0000-0000-000071650000}"/>
    <cellStyle name="Note 12" xfId="25971" xr:uid="{00000000-0005-0000-0000-000072650000}"/>
    <cellStyle name="Note 13" xfId="25972" xr:uid="{00000000-0005-0000-0000-000073650000}"/>
    <cellStyle name="Note 14" xfId="25973" xr:uid="{00000000-0005-0000-0000-000074650000}"/>
    <cellStyle name="Note 15" xfId="25974" xr:uid="{00000000-0005-0000-0000-000075650000}"/>
    <cellStyle name="Note 2" xfId="25975" xr:uid="{00000000-0005-0000-0000-000076650000}"/>
    <cellStyle name="Note 2 10" xfId="25976" xr:uid="{00000000-0005-0000-0000-000077650000}"/>
    <cellStyle name="Note 2 2" xfId="25977" xr:uid="{00000000-0005-0000-0000-000078650000}"/>
    <cellStyle name="Note 2 2 10" xfId="25978" xr:uid="{00000000-0005-0000-0000-000079650000}"/>
    <cellStyle name="Note 2 2 2" xfId="25979" xr:uid="{00000000-0005-0000-0000-00007A650000}"/>
    <cellStyle name="Note 2 2 2 2" xfId="25980" xr:uid="{00000000-0005-0000-0000-00007B650000}"/>
    <cellStyle name="Note 2 2 2 2 2" xfId="25981" xr:uid="{00000000-0005-0000-0000-00007C650000}"/>
    <cellStyle name="Note 2 2 2 2 2 2" xfId="25982" xr:uid="{00000000-0005-0000-0000-00007D650000}"/>
    <cellStyle name="Note 2 2 2 2 2 3" xfId="25983" xr:uid="{00000000-0005-0000-0000-00007E650000}"/>
    <cellStyle name="Note 2 2 2 2 2 4" xfId="25984" xr:uid="{00000000-0005-0000-0000-00007F650000}"/>
    <cellStyle name="Note 2 2 2 2 2 5" xfId="25985" xr:uid="{00000000-0005-0000-0000-000080650000}"/>
    <cellStyle name="Note 2 2 2 2 3" xfId="25986" xr:uid="{00000000-0005-0000-0000-000081650000}"/>
    <cellStyle name="Note 2 2 2 2 3 2" xfId="25987" xr:uid="{00000000-0005-0000-0000-000082650000}"/>
    <cellStyle name="Note 2 2 2 2 3 3" xfId="25988" xr:uid="{00000000-0005-0000-0000-000083650000}"/>
    <cellStyle name="Note 2 2 2 2 3 4" xfId="25989" xr:uid="{00000000-0005-0000-0000-000084650000}"/>
    <cellStyle name="Note 2 2 2 2 3 5" xfId="25990" xr:uid="{00000000-0005-0000-0000-000085650000}"/>
    <cellStyle name="Note 2 2 2 2 4" xfId="25991" xr:uid="{00000000-0005-0000-0000-000086650000}"/>
    <cellStyle name="Note 2 2 2 2 5" xfId="25992" xr:uid="{00000000-0005-0000-0000-000087650000}"/>
    <cellStyle name="Note 2 2 2 2 6" xfId="25993" xr:uid="{00000000-0005-0000-0000-000088650000}"/>
    <cellStyle name="Note 2 2 2 2 7" xfId="25994" xr:uid="{00000000-0005-0000-0000-000089650000}"/>
    <cellStyle name="Note 2 2 2 3" xfId="25995" xr:uid="{00000000-0005-0000-0000-00008A650000}"/>
    <cellStyle name="Note 2 2 2 3 2" xfId="25996" xr:uid="{00000000-0005-0000-0000-00008B650000}"/>
    <cellStyle name="Note 2 2 2 3 2 2" xfId="25997" xr:uid="{00000000-0005-0000-0000-00008C650000}"/>
    <cellStyle name="Note 2 2 2 3 2 3" xfId="25998" xr:uid="{00000000-0005-0000-0000-00008D650000}"/>
    <cellStyle name="Note 2 2 2 3 2 4" xfId="25999" xr:uid="{00000000-0005-0000-0000-00008E650000}"/>
    <cellStyle name="Note 2 2 2 3 2 5" xfId="26000" xr:uid="{00000000-0005-0000-0000-00008F650000}"/>
    <cellStyle name="Note 2 2 2 3 3" xfId="26001" xr:uid="{00000000-0005-0000-0000-000090650000}"/>
    <cellStyle name="Note 2 2 2 3 3 2" xfId="26002" xr:uid="{00000000-0005-0000-0000-000091650000}"/>
    <cellStyle name="Note 2 2 2 3 3 3" xfId="26003" xr:uid="{00000000-0005-0000-0000-000092650000}"/>
    <cellStyle name="Note 2 2 2 3 3 4" xfId="26004" xr:uid="{00000000-0005-0000-0000-000093650000}"/>
    <cellStyle name="Note 2 2 2 3 3 5" xfId="26005" xr:uid="{00000000-0005-0000-0000-000094650000}"/>
    <cellStyle name="Note 2 2 2 3 4" xfId="26006" xr:uid="{00000000-0005-0000-0000-000095650000}"/>
    <cellStyle name="Note 2 2 2 3 5" xfId="26007" xr:uid="{00000000-0005-0000-0000-000096650000}"/>
    <cellStyle name="Note 2 2 2 3 6" xfId="26008" xr:uid="{00000000-0005-0000-0000-000097650000}"/>
    <cellStyle name="Note 2 2 2 3 7" xfId="26009" xr:uid="{00000000-0005-0000-0000-000098650000}"/>
    <cellStyle name="Note 2 2 2 4" xfId="26010" xr:uid="{00000000-0005-0000-0000-000099650000}"/>
    <cellStyle name="Note 2 2 2 4 2" xfId="26011" xr:uid="{00000000-0005-0000-0000-00009A650000}"/>
    <cellStyle name="Note 2 2 2 4 3" xfId="26012" xr:uid="{00000000-0005-0000-0000-00009B650000}"/>
    <cellStyle name="Note 2 2 2 4 4" xfId="26013" xr:uid="{00000000-0005-0000-0000-00009C650000}"/>
    <cellStyle name="Note 2 2 2 4 5" xfId="26014" xr:uid="{00000000-0005-0000-0000-00009D650000}"/>
    <cellStyle name="Note 2 2 2 5" xfId="26015" xr:uid="{00000000-0005-0000-0000-00009E650000}"/>
    <cellStyle name="Note 2 2 2 5 2" xfId="26016" xr:uid="{00000000-0005-0000-0000-00009F650000}"/>
    <cellStyle name="Note 2 2 2 5 3" xfId="26017" xr:uid="{00000000-0005-0000-0000-0000A0650000}"/>
    <cellStyle name="Note 2 2 2 5 4" xfId="26018" xr:uid="{00000000-0005-0000-0000-0000A1650000}"/>
    <cellStyle name="Note 2 2 2 5 5" xfId="26019" xr:uid="{00000000-0005-0000-0000-0000A2650000}"/>
    <cellStyle name="Note 2 2 2 6" xfId="26020" xr:uid="{00000000-0005-0000-0000-0000A3650000}"/>
    <cellStyle name="Note 2 2 2 7" xfId="26021" xr:uid="{00000000-0005-0000-0000-0000A4650000}"/>
    <cellStyle name="Note 2 2 2 8" xfId="26022" xr:uid="{00000000-0005-0000-0000-0000A5650000}"/>
    <cellStyle name="Note 2 2 2 9" xfId="26023" xr:uid="{00000000-0005-0000-0000-0000A6650000}"/>
    <cellStyle name="Note 2 2 3" xfId="26024" xr:uid="{00000000-0005-0000-0000-0000A7650000}"/>
    <cellStyle name="Note 2 2 3 2" xfId="26025" xr:uid="{00000000-0005-0000-0000-0000A8650000}"/>
    <cellStyle name="Note 2 2 3 2 2" xfId="26026" xr:uid="{00000000-0005-0000-0000-0000A9650000}"/>
    <cellStyle name="Note 2 2 3 2 3" xfId="26027" xr:uid="{00000000-0005-0000-0000-0000AA650000}"/>
    <cellStyle name="Note 2 2 3 2 4" xfId="26028" xr:uid="{00000000-0005-0000-0000-0000AB650000}"/>
    <cellStyle name="Note 2 2 3 2 5" xfId="26029" xr:uid="{00000000-0005-0000-0000-0000AC650000}"/>
    <cellStyle name="Note 2 2 3 3" xfId="26030" xr:uid="{00000000-0005-0000-0000-0000AD650000}"/>
    <cellStyle name="Note 2 2 3 3 2" xfId="26031" xr:uid="{00000000-0005-0000-0000-0000AE650000}"/>
    <cellStyle name="Note 2 2 3 3 3" xfId="26032" xr:uid="{00000000-0005-0000-0000-0000AF650000}"/>
    <cellStyle name="Note 2 2 3 3 4" xfId="26033" xr:uid="{00000000-0005-0000-0000-0000B0650000}"/>
    <cellStyle name="Note 2 2 3 3 5" xfId="26034" xr:uid="{00000000-0005-0000-0000-0000B1650000}"/>
    <cellStyle name="Note 2 2 3 4" xfId="26035" xr:uid="{00000000-0005-0000-0000-0000B2650000}"/>
    <cellStyle name="Note 2 2 3 5" xfId="26036" xr:uid="{00000000-0005-0000-0000-0000B3650000}"/>
    <cellStyle name="Note 2 2 3 6" xfId="26037" xr:uid="{00000000-0005-0000-0000-0000B4650000}"/>
    <cellStyle name="Note 2 2 3 7" xfId="26038" xr:uid="{00000000-0005-0000-0000-0000B5650000}"/>
    <cellStyle name="Note 2 2 4" xfId="26039" xr:uid="{00000000-0005-0000-0000-0000B6650000}"/>
    <cellStyle name="Note 2 2 4 2" xfId="26040" xr:uid="{00000000-0005-0000-0000-0000B7650000}"/>
    <cellStyle name="Note 2 2 4 2 2" xfId="26041" xr:uid="{00000000-0005-0000-0000-0000B8650000}"/>
    <cellStyle name="Note 2 2 4 2 3" xfId="26042" xr:uid="{00000000-0005-0000-0000-0000B9650000}"/>
    <cellStyle name="Note 2 2 4 2 4" xfId="26043" xr:uid="{00000000-0005-0000-0000-0000BA650000}"/>
    <cellStyle name="Note 2 2 4 3" xfId="26044" xr:uid="{00000000-0005-0000-0000-0000BB650000}"/>
    <cellStyle name="Note 2 2 4 3 2" xfId="26045" xr:uid="{00000000-0005-0000-0000-0000BC650000}"/>
    <cellStyle name="Note 2 2 4 3 3" xfId="26046" xr:uid="{00000000-0005-0000-0000-0000BD650000}"/>
    <cellStyle name="Note 2 2 4 3 4" xfId="26047" xr:uid="{00000000-0005-0000-0000-0000BE650000}"/>
    <cellStyle name="Note 2 2 4 4" xfId="26048" xr:uid="{00000000-0005-0000-0000-0000BF650000}"/>
    <cellStyle name="Note 2 2 4 5" xfId="26049" xr:uid="{00000000-0005-0000-0000-0000C0650000}"/>
    <cellStyle name="Note 2 2 4 6" xfId="26050" xr:uid="{00000000-0005-0000-0000-0000C1650000}"/>
    <cellStyle name="Note 2 2 4 7" xfId="26051" xr:uid="{00000000-0005-0000-0000-0000C2650000}"/>
    <cellStyle name="Note 2 2 5" xfId="26052" xr:uid="{00000000-0005-0000-0000-0000C3650000}"/>
    <cellStyle name="Note 2 2 5 2" xfId="26053" xr:uid="{00000000-0005-0000-0000-0000C4650000}"/>
    <cellStyle name="Note 2 2 5 3" xfId="26054" xr:uid="{00000000-0005-0000-0000-0000C5650000}"/>
    <cellStyle name="Note 2 2 5 4" xfId="26055" xr:uid="{00000000-0005-0000-0000-0000C6650000}"/>
    <cellStyle name="Note 2 2 6" xfId="26056" xr:uid="{00000000-0005-0000-0000-0000C7650000}"/>
    <cellStyle name="Note 2 2 6 2" xfId="26057" xr:uid="{00000000-0005-0000-0000-0000C8650000}"/>
    <cellStyle name="Note 2 2 6 3" xfId="26058" xr:uid="{00000000-0005-0000-0000-0000C9650000}"/>
    <cellStyle name="Note 2 2 6 4" xfId="26059" xr:uid="{00000000-0005-0000-0000-0000CA650000}"/>
    <cellStyle name="Note 2 2 7" xfId="26060" xr:uid="{00000000-0005-0000-0000-0000CB650000}"/>
    <cellStyle name="Note 2 2 8" xfId="26061" xr:uid="{00000000-0005-0000-0000-0000CC650000}"/>
    <cellStyle name="Note 2 2 9" xfId="26062" xr:uid="{00000000-0005-0000-0000-0000CD650000}"/>
    <cellStyle name="Note 2 3" xfId="26063" xr:uid="{00000000-0005-0000-0000-0000CE650000}"/>
    <cellStyle name="Note 2 3 2" xfId="26064" xr:uid="{00000000-0005-0000-0000-0000CF650000}"/>
    <cellStyle name="Note 2 3 2 2" xfId="26065" xr:uid="{00000000-0005-0000-0000-0000D0650000}"/>
    <cellStyle name="Note 2 3 2 2 2" xfId="26066" xr:uid="{00000000-0005-0000-0000-0000D1650000}"/>
    <cellStyle name="Note 2 3 2 2 3" xfId="26067" xr:uid="{00000000-0005-0000-0000-0000D2650000}"/>
    <cellStyle name="Note 2 3 2 2 4" xfId="26068" xr:uid="{00000000-0005-0000-0000-0000D3650000}"/>
    <cellStyle name="Note 2 3 2 3" xfId="26069" xr:uid="{00000000-0005-0000-0000-0000D4650000}"/>
    <cellStyle name="Note 2 3 2 3 2" xfId="26070" xr:uid="{00000000-0005-0000-0000-0000D5650000}"/>
    <cellStyle name="Note 2 3 2 3 3" xfId="26071" xr:uid="{00000000-0005-0000-0000-0000D6650000}"/>
    <cellStyle name="Note 2 3 2 3 4" xfId="26072" xr:uid="{00000000-0005-0000-0000-0000D7650000}"/>
    <cellStyle name="Note 2 3 2 4" xfId="26073" xr:uid="{00000000-0005-0000-0000-0000D8650000}"/>
    <cellStyle name="Note 2 3 2 4 2" xfId="26074" xr:uid="{00000000-0005-0000-0000-0000D9650000}"/>
    <cellStyle name="Note 2 3 2 5" xfId="26075" xr:uid="{00000000-0005-0000-0000-0000DA650000}"/>
    <cellStyle name="Note 2 3 2 6" xfId="26076" xr:uid="{00000000-0005-0000-0000-0000DB650000}"/>
    <cellStyle name="Note 2 3 3" xfId="26077" xr:uid="{00000000-0005-0000-0000-0000DC650000}"/>
    <cellStyle name="Note 2 3 3 2" xfId="26078" xr:uid="{00000000-0005-0000-0000-0000DD650000}"/>
    <cellStyle name="Note 2 3 3 2 2" xfId="26079" xr:uid="{00000000-0005-0000-0000-0000DE650000}"/>
    <cellStyle name="Note 2 3 3 3" xfId="26080" xr:uid="{00000000-0005-0000-0000-0000DF650000}"/>
    <cellStyle name="Note 2 3 3 3 2" xfId="26081" xr:uid="{00000000-0005-0000-0000-0000E0650000}"/>
    <cellStyle name="Note 2 3 3 4" xfId="26082" xr:uid="{00000000-0005-0000-0000-0000E1650000}"/>
    <cellStyle name="Note 2 3 3 5" xfId="26083" xr:uid="{00000000-0005-0000-0000-0000E2650000}"/>
    <cellStyle name="Note 2 3 4" xfId="26084" xr:uid="{00000000-0005-0000-0000-0000E3650000}"/>
    <cellStyle name="Note 2 3 4 2" xfId="26085" xr:uid="{00000000-0005-0000-0000-0000E4650000}"/>
    <cellStyle name="Note 2 3 5" xfId="26086" xr:uid="{00000000-0005-0000-0000-0000E5650000}"/>
    <cellStyle name="Note 2 3 6" xfId="26087" xr:uid="{00000000-0005-0000-0000-0000E6650000}"/>
    <cellStyle name="Note 2 3 7" xfId="26088" xr:uid="{00000000-0005-0000-0000-0000E7650000}"/>
    <cellStyle name="Note 2 4" xfId="26089" xr:uid="{00000000-0005-0000-0000-0000E8650000}"/>
    <cellStyle name="Note 2 4 2" xfId="26090" xr:uid="{00000000-0005-0000-0000-0000E9650000}"/>
    <cellStyle name="Note 2 4 2 2" xfId="26091" xr:uid="{00000000-0005-0000-0000-0000EA650000}"/>
    <cellStyle name="Note 2 4 2 3" xfId="26092" xr:uid="{00000000-0005-0000-0000-0000EB650000}"/>
    <cellStyle name="Note 2 4 2 4" xfId="26093" xr:uid="{00000000-0005-0000-0000-0000EC650000}"/>
    <cellStyle name="Note 2 4 3" xfId="26094" xr:uid="{00000000-0005-0000-0000-0000ED650000}"/>
    <cellStyle name="Note 2 4 3 2" xfId="26095" xr:uid="{00000000-0005-0000-0000-0000EE650000}"/>
    <cellStyle name="Note 2 4 3 3" xfId="26096" xr:uid="{00000000-0005-0000-0000-0000EF650000}"/>
    <cellStyle name="Note 2 4 3 4" xfId="26097" xr:uid="{00000000-0005-0000-0000-0000F0650000}"/>
    <cellStyle name="Note 2 4 4" xfId="26098" xr:uid="{00000000-0005-0000-0000-0000F1650000}"/>
    <cellStyle name="Note 2 4 5" xfId="26099" xr:uid="{00000000-0005-0000-0000-0000F2650000}"/>
    <cellStyle name="Note 2 4 6" xfId="26100" xr:uid="{00000000-0005-0000-0000-0000F3650000}"/>
    <cellStyle name="Note 2 5" xfId="26101" xr:uid="{00000000-0005-0000-0000-0000F4650000}"/>
    <cellStyle name="Note 2 5 2" xfId="26102" xr:uid="{00000000-0005-0000-0000-0000F5650000}"/>
    <cellStyle name="Note 2 5 3" xfId="26103" xr:uid="{00000000-0005-0000-0000-0000F6650000}"/>
    <cellStyle name="Note 2 5 4" xfId="26104" xr:uid="{00000000-0005-0000-0000-0000F7650000}"/>
    <cellStyle name="Note 2 6" xfId="26105" xr:uid="{00000000-0005-0000-0000-0000F8650000}"/>
    <cellStyle name="Note 2 6 2" xfId="26106" xr:uid="{00000000-0005-0000-0000-0000F9650000}"/>
    <cellStyle name="Note 2 6 3" xfId="26107" xr:uid="{00000000-0005-0000-0000-0000FA650000}"/>
    <cellStyle name="Note 2 6 4" xfId="26108" xr:uid="{00000000-0005-0000-0000-0000FB650000}"/>
    <cellStyle name="Note 2 7" xfId="26109" xr:uid="{00000000-0005-0000-0000-0000FC650000}"/>
    <cellStyle name="Note 2 8" xfId="26110" xr:uid="{00000000-0005-0000-0000-0000FD650000}"/>
    <cellStyle name="Note 2 9" xfId="26111" xr:uid="{00000000-0005-0000-0000-0000FE650000}"/>
    <cellStyle name="Note 3" xfId="26112" xr:uid="{00000000-0005-0000-0000-0000FF650000}"/>
    <cellStyle name="Note 3 10" xfId="26113" xr:uid="{00000000-0005-0000-0000-000000660000}"/>
    <cellStyle name="Note 3 2" xfId="26114" xr:uid="{00000000-0005-0000-0000-000001660000}"/>
    <cellStyle name="Note 3 2 10" xfId="26115" xr:uid="{00000000-0005-0000-0000-000002660000}"/>
    <cellStyle name="Note 3 2 2" xfId="26116" xr:uid="{00000000-0005-0000-0000-000003660000}"/>
    <cellStyle name="Note 3 2 2 2" xfId="26117" xr:uid="{00000000-0005-0000-0000-000004660000}"/>
    <cellStyle name="Note 3 2 2 2 2" xfId="26118" xr:uid="{00000000-0005-0000-0000-000005660000}"/>
    <cellStyle name="Note 3 2 2 2 2 2" xfId="26119" xr:uid="{00000000-0005-0000-0000-000006660000}"/>
    <cellStyle name="Note 3 2 2 2 2 3" xfId="26120" xr:uid="{00000000-0005-0000-0000-000007660000}"/>
    <cellStyle name="Note 3 2 2 2 2 4" xfId="26121" xr:uid="{00000000-0005-0000-0000-000008660000}"/>
    <cellStyle name="Note 3 2 2 2 3" xfId="26122" xr:uid="{00000000-0005-0000-0000-000009660000}"/>
    <cellStyle name="Note 3 2 2 2 3 2" xfId="26123" xr:uid="{00000000-0005-0000-0000-00000A660000}"/>
    <cellStyle name="Note 3 2 2 2 3 3" xfId="26124" xr:uid="{00000000-0005-0000-0000-00000B660000}"/>
    <cellStyle name="Note 3 2 2 2 3 4" xfId="26125" xr:uid="{00000000-0005-0000-0000-00000C660000}"/>
    <cellStyle name="Note 3 2 2 2 4" xfId="26126" xr:uid="{00000000-0005-0000-0000-00000D660000}"/>
    <cellStyle name="Note 3 2 2 2 5" xfId="26127" xr:uid="{00000000-0005-0000-0000-00000E660000}"/>
    <cellStyle name="Note 3 2 2 2 6" xfId="26128" xr:uid="{00000000-0005-0000-0000-00000F660000}"/>
    <cellStyle name="Note 3 2 2 3" xfId="26129" xr:uid="{00000000-0005-0000-0000-000010660000}"/>
    <cellStyle name="Note 3 2 2 3 2" xfId="26130" xr:uid="{00000000-0005-0000-0000-000011660000}"/>
    <cellStyle name="Note 3 2 2 3 2 2" xfId="26131" xr:uid="{00000000-0005-0000-0000-000012660000}"/>
    <cellStyle name="Note 3 2 2 3 2 3" xfId="26132" xr:uid="{00000000-0005-0000-0000-000013660000}"/>
    <cellStyle name="Note 3 2 2 3 2 4" xfId="26133" xr:uid="{00000000-0005-0000-0000-000014660000}"/>
    <cellStyle name="Note 3 2 2 3 3" xfId="26134" xr:uid="{00000000-0005-0000-0000-000015660000}"/>
    <cellStyle name="Note 3 2 2 3 3 2" xfId="26135" xr:uid="{00000000-0005-0000-0000-000016660000}"/>
    <cellStyle name="Note 3 2 2 3 3 3" xfId="26136" xr:uid="{00000000-0005-0000-0000-000017660000}"/>
    <cellStyle name="Note 3 2 2 3 3 4" xfId="26137" xr:uid="{00000000-0005-0000-0000-000018660000}"/>
    <cellStyle name="Note 3 2 2 3 4" xfId="26138" xr:uid="{00000000-0005-0000-0000-000019660000}"/>
    <cellStyle name="Note 3 2 2 3 5" xfId="26139" xr:uid="{00000000-0005-0000-0000-00001A660000}"/>
    <cellStyle name="Note 3 2 2 3 6" xfId="26140" xr:uid="{00000000-0005-0000-0000-00001B660000}"/>
    <cellStyle name="Note 3 2 2 4" xfId="26141" xr:uid="{00000000-0005-0000-0000-00001C660000}"/>
    <cellStyle name="Note 3 2 2 4 2" xfId="26142" xr:uid="{00000000-0005-0000-0000-00001D660000}"/>
    <cellStyle name="Note 3 2 2 4 3" xfId="26143" xr:uid="{00000000-0005-0000-0000-00001E660000}"/>
    <cellStyle name="Note 3 2 2 4 4" xfId="26144" xr:uid="{00000000-0005-0000-0000-00001F660000}"/>
    <cellStyle name="Note 3 2 2 5" xfId="26145" xr:uid="{00000000-0005-0000-0000-000020660000}"/>
    <cellStyle name="Note 3 2 2 5 2" xfId="26146" xr:uid="{00000000-0005-0000-0000-000021660000}"/>
    <cellStyle name="Note 3 2 2 5 3" xfId="26147" xr:uid="{00000000-0005-0000-0000-000022660000}"/>
    <cellStyle name="Note 3 2 2 5 4" xfId="26148" xr:uid="{00000000-0005-0000-0000-000023660000}"/>
    <cellStyle name="Note 3 2 2 6" xfId="26149" xr:uid="{00000000-0005-0000-0000-000024660000}"/>
    <cellStyle name="Note 3 2 2 7" xfId="26150" xr:uid="{00000000-0005-0000-0000-000025660000}"/>
    <cellStyle name="Note 3 2 2 8" xfId="26151" xr:uid="{00000000-0005-0000-0000-000026660000}"/>
    <cellStyle name="Note 3 2 3" xfId="26152" xr:uid="{00000000-0005-0000-0000-000027660000}"/>
    <cellStyle name="Note 3 2 3 2" xfId="26153" xr:uid="{00000000-0005-0000-0000-000028660000}"/>
    <cellStyle name="Note 3 2 3 2 2" xfId="26154" xr:uid="{00000000-0005-0000-0000-000029660000}"/>
    <cellStyle name="Note 3 2 3 2 3" xfId="26155" xr:uid="{00000000-0005-0000-0000-00002A660000}"/>
    <cellStyle name="Note 3 2 3 2 4" xfId="26156" xr:uid="{00000000-0005-0000-0000-00002B660000}"/>
    <cellStyle name="Note 3 2 3 3" xfId="26157" xr:uid="{00000000-0005-0000-0000-00002C660000}"/>
    <cellStyle name="Note 3 2 3 3 2" xfId="26158" xr:uid="{00000000-0005-0000-0000-00002D660000}"/>
    <cellStyle name="Note 3 2 3 3 3" xfId="26159" xr:uid="{00000000-0005-0000-0000-00002E660000}"/>
    <cellStyle name="Note 3 2 3 3 4" xfId="26160" xr:uid="{00000000-0005-0000-0000-00002F660000}"/>
    <cellStyle name="Note 3 2 3 4" xfId="26161" xr:uid="{00000000-0005-0000-0000-000030660000}"/>
    <cellStyle name="Note 3 2 3 5" xfId="26162" xr:uid="{00000000-0005-0000-0000-000031660000}"/>
    <cellStyle name="Note 3 2 3 6" xfId="26163" xr:uid="{00000000-0005-0000-0000-000032660000}"/>
    <cellStyle name="Note 3 2 4" xfId="26164" xr:uid="{00000000-0005-0000-0000-000033660000}"/>
    <cellStyle name="Note 3 2 4 2" xfId="26165" xr:uid="{00000000-0005-0000-0000-000034660000}"/>
    <cellStyle name="Note 3 2 4 2 2" xfId="26166" xr:uid="{00000000-0005-0000-0000-000035660000}"/>
    <cellStyle name="Note 3 2 4 2 3" xfId="26167" xr:uid="{00000000-0005-0000-0000-000036660000}"/>
    <cellStyle name="Note 3 2 4 2 4" xfId="26168" xr:uid="{00000000-0005-0000-0000-000037660000}"/>
    <cellStyle name="Note 3 2 4 3" xfId="26169" xr:uid="{00000000-0005-0000-0000-000038660000}"/>
    <cellStyle name="Note 3 2 4 3 2" xfId="26170" xr:uid="{00000000-0005-0000-0000-000039660000}"/>
    <cellStyle name="Note 3 2 4 3 3" xfId="26171" xr:uid="{00000000-0005-0000-0000-00003A660000}"/>
    <cellStyle name="Note 3 2 4 3 4" xfId="26172" xr:uid="{00000000-0005-0000-0000-00003B660000}"/>
    <cellStyle name="Note 3 2 4 4" xfId="26173" xr:uid="{00000000-0005-0000-0000-00003C660000}"/>
    <cellStyle name="Note 3 2 4 5" xfId="26174" xr:uid="{00000000-0005-0000-0000-00003D660000}"/>
    <cellStyle name="Note 3 2 4 6" xfId="26175" xr:uid="{00000000-0005-0000-0000-00003E660000}"/>
    <cellStyle name="Note 3 2 5" xfId="26176" xr:uid="{00000000-0005-0000-0000-00003F660000}"/>
    <cellStyle name="Note 3 2 5 2" xfId="26177" xr:uid="{00000000-0005-0000-0000-000040660000}"/>
    <cellStyle name="Note 3 2 5 3" xfId="26178" xr:uid="{00000000-0005-0000-0000-000041660000}"/>
    <cellStyle name="Note 3 2 5 4" xfId="26179" xr:uid="{00000000-0005-0000-0000-000042660000}"/>
    <cellStyle name="Note 3 2 6" xfId="26180" xr:uid="{00000000-0005-0000-0000-000043660000}"/>
    <cellStyle name="Note 3 2 6 2" xfId="26181" xr:uid="{00000000-0005-0000-0000-000044660000}"/>
    <cellStyle name="Note 3 2 6 3" xfId="26182" xr:uid="{00000000-0005-0000-0000-000045660000}"/>
    <cellStyle name="Note 3 2 6 4" xfId="26183" xr:uid="{00000000-0005-0000-0000-000046660000}"/>
    <cellStyle name="Note 3 2 7" xfId="26184" xr:uid="{00000000-0005-0000-0000-000047660000}"/>
    <cellStyle name="Note 3 2 8" xfId="26185" xr:uid="{00000000-0005-0000-0000-000048660000}"/>
    <cellStyle name="Note 3 2 9" xfId="26186" xr:uid="{00000000-0005-0000-0000-000049660000}"/>
    <cellStyle name="Note 3 3" xfId="26187" xr:uid="{00000000-0005-0000-0000-00004A660000}"/>
    <cellStyle name="Note 3 3 2" xfId="26188" xr:uid="{00000000-0005-0000-0000-00004B660000}"/>
    <cellStyle name="Note 3 3 2 2" xfId="26189" xr:uid="{00000000-0005-0000-0000-00004C660000}"/>
    <cellStyle name="Note 3 3 2 3" xfId="26190" xr:uid="{00000000-0005-0000-0000-00004D660000}"/>
    <cellStyle name="Note 3 3 2 4" xfId="26191" xr:uid="{00000000-0005-0000-0000-00004E660000}"/>
    <cellStyle name="Note 3 3 3" xfId="26192" xr:uid="{00000000-0005-0000-0000-00004F660000}"/>
    <cellStyle name="Note 3 3 3 2" xfId="26193" xr:uid="{00000000-0005-0000-0000-000050660000}"/>
    <cellStyle name="Note 3 3 3 3" xfId="26194" xr:uid="{00000000-0005-0000-0000-000051660000}"/>
    <cellStyle name="Note 3 3 3 4" xfId="26195" xr:uid="{00000000-0005-0000-0000-000052660000}"/>
    <cellStyle name="Note 3 3 4" xfId="26196" xr:uid="{00000000-0005-0000-0000-000053660000}"/>
    <cellStyle name="Note 3 3 5" xfId="26197" xr:uid="{00000000-0005-0000-0000-000054660000}"/>
    <cellStyle name="Note 3 3 6" xfId="26198" xr:uid="{00000000-0005-0000-0000-000055660000}"/>
    <cellStyle name="Note 3 4" xfId="26199" xr:uid="{00000000-0005-0000-0000-000056660000}"/>
    <cellStyle name="Note 3 4 2" xfId="26200" xr:uid="{00000000-0005-0000-0000-000057660000}"/>
    <cellStyle name="Note 3 4 2 2" xfId="26201" xr:uid="{00000000-0005-0000-0000-000058660000}"/>
    <cellStyle name="Note 3 4 2 3" xfId="26202" xr:uid="{00000000-0005-0000-0000-000059660000}"/>
    <cellStyle name="Note 3 4 2 4" xfId="26203" xr:uid="{00000000-0005-0000-0000-00005A660000}"/>
    <cellStyle name="Note 3 4 3" xfId="26204" xr:uid="{00000000-0005-0000-0000-00005B660000}"/>
    <cellStyle name="Note 3 4 3 2" xfId="26205" xr:uid="{00000000-0005-0000-0000-00005C660000}"/>
    <cellStyle name="Note 3 4 3 3" xfId="26206" xr:uid="{00000000-0005-0000-0000-00005D660000}"/>
    <cellStyle name="Note 3 4 3 4" xfId="26207" xr:uid="{00000000-0005-0000-0000-00005E660000}"/>
    <cellStyle name="Note 3 4 4" xfId="26208" xr:uid="{00000000-0005-0000-0000-00005F660000}"/>
    <cellStyle name="Note 3 4 5" xfId="26209" xr:uid="{00000000-0005-0000-0000-000060660000}"/>
    <cellStyle name="Note 3 4 6" xfId="26210" xr:uid="{00000000-0005-0000-0000-000061660000}"/>
    <cellStyle name="Note 3 5" xfId="26211" xr:uid="{00000000-0005-0000-0000-000062660000}"/>
    <cellStyle name="Note 3 5 2" xfId="26212" xr:uid="{00000000-0005-0000-0000-000063660000}"/>
    <cellStyle name="Note 3 5 3" xfId="26213" xr:uid="{00000000-0005-0000-0000-000064660000}"/>
    <cellStyle name="Note 3 5 4" xfId="26214" xr:uid="{00000000-0005-0000-0000-000065660000}"/>
    <cellStyle name="Note 3 6" xfId="26215" xr:uid="{00000000-0005-0000-0000-000066660000}"/>
    <cellStyle name="Note 3 6 2" xfId="26216" xr:uid="{00000000-0005-0000-0000-000067660000}"/>
    <cellStyle name="Note 3 6 3" xfId="26217" xr:uid="{00000000-0005-0000-0000-000068660000}"/>
    <cellStyle name="Note 3 6 4" xfId="26218" xr:uid="{00000000-0005-0000-0000-000069660000}"/>
    <cellStyle name="Note 3 7" xfId="26219" xr:uid="{00000000-0005-0000-0000-00006A660000}"/>
    <cellStyle name="Note 3 8" xfId="26220" xr:uid="{00000000-0005-0000-0000-00006B660000}"/>
    <cellStyle name="Note 3 9" xfId="26221" xr:uid="{00000000-0005-0000-0000-00006C660000}"/>
    <cellStyle name="Note 4" xfId="26222" xr:uid="{00000000-0005-0000-0000-00006D660000}"/>
    <cellStyle name="Note 4 10" xfId="26223" xr:uid="{00000000-0005-0000-0000-00006E660000}"/>
    <cellStyle name="Note 4 2" xfId="26224" xr:uid="{00000000-0005-0000-0000-00006F660000}"/>
    <cellStyle name="Note 4 2 2" xfId="26225" xr:uid="{00000000-0005-0000-0000-000070660000}"/>
    <cellStyle name="Note 4 2 2 2" xfId="26226" xr:uid="{00000000-0005-0000-0000-000071660000}"/>
    <cellStyle name="Note 4 2 2 2 2" xfId="26227" xr:uid="{00000000-0005-0000-0000-000072660000}"/>
    <cellStyle name="Note 4 2 2 2 2 2" xfId="26228" xr:uid="{00000000-0005-0000-0000-000073660000}"/>
    <cellStyle name="Note 4 2 2 2 2 3" xfId="26229" xr:uid="{00000000-0005-0000-0000-000074660000}"/>
    <cellStyle name="Note 4 2 2 2 2 4" xfId="26230" xr:uid="{00000000-0005-0000-0000-000075660000}"/>
    <cellStyle name="Note 4 2 2 2 3" xfId="26231" xr:uid="{00000000-0005-0000-0000-000076660000}"/>
    <cellStyle name="Note 4 2 2 2 3 2" xfId="26232" xr:uid="{00000000-0005-0000-0000-000077660000}"/>
    <cellStyle name="Note 4 2 2 2 3 3" xfId="26233" xr:uid="{00000000-0005-0000-0000-000078660000}"/>
    <cellStyle name="Note 4 2 2 2 3 4" xfId="26234" xr:uid="{00000000-0005-0000-0000-000079660000}"/>
    <cellStyle name="Note 4 2 2 2 4" xfId="26235" xr:uid="{00000000-0005-0000-0000-00007A660000}"/>
    <cellStyle name="Note 4 2 2 2 5" xfId="26236" xr:uid="{00000000-0005-0000-0000-00007B660000}"/>
    <cellStyle name="Note 4 2 2 2 6" xfId="26237" xr:uid="{00000000-0005-0000-0000-00007C660000}"/>
    <cellStyle name="Note 4 2 2 3" xfId="26238" xr:uid="{00000000-0005-0000-0000-00007D660000}"/>
    <cellStyle name="Note 4 2 2 3 2" xfId="26239" xr:uid="{00000000-0005-0000-0000-00007E660000}"/>
    <cellStyle name="Note 4 2 2 3 2 2" xfId="26240" xr:uid="{00000000-0005-0000-0000-00007F660000}"/>
    <cellStyle name="Note 4 2 2 3 2 3" xfId="26241" xr:uid="{00000000-0005-0000-0000-000080660000}"/>
    <cellStyle name="Note 4 2 2 3 2 4" xfId="26242" xr:uid="{00000000-0005-0000-0000-000081660000}"/>
    <cellStyle name="Note 4 2 2 3 3" xfId="26243" xr:uid="{00000000-0005-0000-0000-000082660000}"/>
    <cellStyle name="Note 4 2 2 3 3 2" xfId="26244" xr:uid="{00000000-0005-0000-0000-000083660000}"/>
    <cellStyle name="Note 4 2 2 3 3 3" xfId="26245" xr:uid="{00000000-0005-0000-0000-000084660000}"/>
    <cellStyle name="Note 4 2 2 3 3 4" xfId="26246" xr:uid="{00000000-0005-0000-0000-000085660000}"/>
    <cellStyle name="Note 4 2 2 3 4" xfId="26247" xr:uid="{00000000-0005-0000-0000-000086660000}"/>
    <cellStyle name="Note 4 2 2 3 5" xfId="26248" xr:uid="{00000000-0005-0000-0000-000087660000}"/>
    <cellStyle name="Note 4 2 2 3 6" xfId="26249" xr:uid="{00000000-0005-0000-0000-000088660000}"/>
    <cellStyle name="Note 4 2 2 4" xfId="26250" xr:uid="{00000000-0005-0000-0000-000089660000}"/>
    <cellStyle name="Note 4 2 2 4 2" xfId="26251" xr:uid="{00000000-0005-0000-0000-00008A660000}"/>
    <cellStyle name="Note 4 2 2 4 3" xfId="26252" xr:uid="{00000000-0005-0000-0000-00008B660000}"/>
    <cellStyle name="Note 4 2 2 4 4" xfId="26253" xr:uid="{00000000-0005-0000-0000-00008C660000}"/>
    <cellStyle name="Note 4 2 2 5" xfId="26254" xr:uid="{00000000-0005-0000-0000-00008D660000}"/>
    <cellStyle name="Note 4 2 2 5 2" xfId="26255" xr:uid="{00000000-0005-0000-0000-00008E660000}"/>
    <cellStyle name="Note 4 2 2 5 3" xfId="26256" xr:uid="{00000000-0005-0000-0000-00008F660000}"/>
    <cellStyle name="Note 4 2 2 5 4" xfId="26257" xr:uid="{00000000-0005-0000-0000-000090660000}"/>
    <cellStyle name="Note 4 2 2 6" xfId="26258" xr:uid="{00000000-0005-0000-0000-000091660000}"/>
    <cellStyle name="Note 4 2 2 7" xfId="26259" xr:uid="{00000000-0005-0000-0000-000092660000}"/>
    <cellStyle name="Note 4 2 2 8" xfId="26260" xr:uid="{00000000-0005-0000-0000-000093660000}"/>
    <cellStyle name="Note 4 2 3" xfId="26261" xr:uid="{00000000-0005-0000-0000-000094660000}"/>
    <cellStyle name="Note 4 2 3 2" xfId="26262" xr:uid="{00000000-0005-0000-0000-000095660000}"/>
    <cellStyle name="Note 4 2 3 2 2" xfId="26263" xr:uid="{00000000-0005-0000-0000-000096660000}"/>
    <cellStyle name="Note 4 2 3 2 3" xfId="26264" xr:uid="{00000000-0005-0000-0000-000097660000}"/>
    <cellStyle name="Note 4 2 3 2 4" xfId="26265" xr:uid="{00000000-0005-0000-0000-000098660000}"/>
    <cellStyle name="Note 4 2 3 3" xfId="26266" xr:uid="{00000000-0005-0000-0000-000099660000}"/>
    <cellStyle name="Note 4 2 3 3 2" xfId="26267" xr:uid="{00000000-0005-0000-0000-00009A660000}"/>
    <cellStyle name="Note 4 2 3 3 3" xfId="26268" xr:uid="{00000000-0005-0000-0000-00009B660000}"/>
    <cellStyle name="Note 4 2 3 3 4" xfId="26269" xr:uid="{00000000-0005-0000-0000-00009C660000}"/>
    <cellStyle name="Note 4 2 3 4" xfId="26270" xr:uid="{00000000-0005-0000-0000-00009D660000}"/>
    <cellStyle name="Note 4 2 3 5" xfId="26271" xr:uid="{00000000-0005-0000-0000-00009E660000}"/>
    <cellStyle name="Note 4 2 3 6" xfId="26272" xr:uid="{00000000-0005-0000-0000-00009F660000}"/>
    <cellStyle name="Note 4 2 4" xfId="26273" xr:uid="{00000000-0005-0000-0000-0000A0660000}"/>
    <cellStyle name="Note 4 2 4 2" xfId="26274" xr:uid="{00000000-0005-0000-0000-0000A1660000}"/>
    <cellStyle name="Note 4 2 4 2 2" xfId="26275" xr:uid="{00000000-0005-0000-0000-0000A2660000}"/>
    <cellStyle name="Note 4 2 4 2 3" xfId="26276" xr:uid="{00000000-0005-0000-0000-0000A3660000}"/>
    <cellStyle name="Note 4 2 4 2 4" xfId="26277" xr:uid="{00000000-0005-0000-0000-0000A4660000}"/>
    <cellStyle name="Note 4 2 4 3" xfId="26278" xr:uid="{00000000-0005-0000-0000-0000A5660000}"/>
    <cellStyle name="Note 4 2 4 3 2" xfId="26279" xr:uid="{00000000-0005-0000-0000-0000A6660000}"/>
    <cellStyle name="Note 4 2 4 3 3" xfId="26280" xr:uid="{00000000-0005-0000-0000-0000A7660000}"/>
    <cellStyle name="Note 4 2 4 3 4" xfId="26281" xr:uid="{00000000-0005-0000-0000-0000A8660000}"/>
    <cellStyle name="Note 4 2 4 4" xfId="26282" xr:uid="{00000000-0005-0000-0000-0000A9660000}"/>
    <cellStyle name="Note 4 2 4 5" xfId="26283" xr:uid="{00000000-0005-0000-0000-0000AA660000}"/>
    <cellStyle name="Note 4 2 4 6" xfId="26284" xr:uid="{00000000-0005-0000-0000-0000AB660000}"/>
    <cellStyle name="Note 4 2 5" xfId="26285" xr:uid="{00000000-0005-0000-0000-0000AC660000}"/>
    <cellStyle name="Note 4 2 5 2" xfId="26286" xr:uid="{00000000-0005-0000-0000-0000AD660000}"/>
    <cellStyle name="Note 4 2 5 3" xfId="26287" xr:uid="{00000000-0005-0000-0000-0000AE660000}"/>
    <cellStyle name="Note 4 2 5 4" xfId="26288" xr:uid="{00000000-0005-0000-0000-0000AF660000}"/>
    <cellStyle name="Note 4 2 6" xfId="26289" xr:uid="{00000000-0005-0000-0000-0000B0660000}"/>
    <cellStyle name="Note 4 2 6 2" xfId="26290" xr:uid="{00000000-0005-0000-0000-0000B1660000}"/>
    <cellStyle name="Note 4 2 6 3" xfId="26291" xr:uid="{00000000-0005-0000-0000-0000B2660000}"/>
    <cellStyle name="Note 4 2 6 4" xfId="26292" xr:uid="{00000000-0005-0000-0000-0000B3660000}"/>
    <cellStyle name="Note 4 2 7" xfId="26293" xr:uid="{00000000-0005-0000-0000-0000B4660000}"/>
    <cellStyle name="Note 4 2 8" xfId="26294" xr:uid="{00000000-0005-0000-0000-0000B5660000}"/>
    <cellStyle name="Note 4 2 9" xfId="26295" xr:uid="{00000000-0005-0000-0000-0000B6660000}"/>
    <cellStyle name="Note 4 3" xfId="26296" xr:uid="{00000000-0005-0000-0000-0000B7660000}"/>
    <cellStyle name="Note 4 3 2" xfId="26297" xr:uid="{00000000-0005-0000-0000-0000B8660000}"/>
    <cellStyle name="Note 4 3 2 2" xfId="26298" xr:uid="{00000000-0005-0000-0000-0000B9660000}"/>
    <cellStyle name="Note 4 3 2 3" xfId="26299" xr:uid="{00000000-0005-0000-0000-0000BA660000}"/>
    <cellStyle name="Note 4 3 2 4" xfId="26300" xr:uid="{00000000-0005-0000-0000-0000BB660000}"/>
    <cellStyle name="Note 4 3 3" xfId="26301" xr:uid="{00000000-0005-0000-0000-0000BC660000}"/>
    <cellStyle name="Note 4 3 3 2" xfId="26302" xr:uid="{00000000-0005-0000-0000-0000BD660000}"/>
    <cellStyle name="Note 4 3 3 3" xfId="26303" xr:uid="{00000000-0005-0000-0000-0000BE660000}"/>
    <cellStyle name="Note 4 3 3 4" xfId="26304" xr:uid="{00000000-0005-0000-0000-0000BF660000}"/>
    <cellStyle name="Note 4 3 4" xfId="26305" xr:uid="{00000000-0005-0000-0000-0000C0660000}"/>
    <cellStyle name="Note 4 3 5" xfId="26306" xr:uid="{00000000-0005-0000-0000-0000C1660000}"/>
    <cellStyle name="Note 4 3 6" xfId="26307" xr:uid="{00000000-0005-0000-0000-0000C2660000}"/>
    <cellStyle name="Note 4 4" xfId="26308" xr:uid="{00000000-0005-0000-0000-0000C3660000}"/>
    <cellStyle name="Note 4 4 2" xfId="26309" xr:uid="{00000000-0005-0000-0000-0000C4660000}"/>
    <cellStyle name="Note 4 4 2 2" xfId="26310" xr:uid="{00000000-0005-0000-0000-0000C5660000}"/>
    <cellStyle name="Note 4 4 2 3" xfId="26311" xr:uid="{00000000-0005-0000-0000-0000C6660000}"/>
    <cellStyle name="Note 4 4 2 4" xfId="26312" xr:uid="{00000000-0005-0000-0000-0000C7660000}"/>
    <cellStyle name="Note 4 4 3" xfId="26313" xr:uid="{00000000-0005-0000-0000-0000C8660000}"/>
    <cellStyle name="Note 4 4 3 2" xfId="26314" xr:uid="{00000000-0005-0000-0000-0000C9660000}"/>
    <cellStyle name="Note 4 4 3 3" xfId="26315" xr:uid="{00000000-0005-0000-0000-0000CA660000}"/>
    <cellStyle name="Note 4 4 3 4" xfId="26316" xr:uid="{00000000-0005-0000-0000-0000CB660000}"/>
    <cellStyle name="Note 4 4 4" xfId="26317" xr:uid="{00000000-0005-0000-0000-0000CC660000}"/>
    <cellStyle name="Note 4 4 5" xfId="26318" xr:uid="{00000000-0005-0000-0000-0000CD660000}"/>
    <cellStyle name="Note 4 4 6" xfId="26319" xr:uid="{00000000-0005-0000-0000-0000CE660000}"/>
    <cellStyle name="Note 4 5" xfId="26320" xr:uid="{00000000-0005-0000-0000-0000CF660000}"/>
    <cellStyle name="Note 4 5 2" xfId="26321" xr:uid="{00000000-0005-0000-0000-0000D0660000}"/>
    <cellStyle name="Note 4 5 3" xfId="26322" xr:uid="{00000000-0005-0000-0000-0000D1660000}"/>
    <cellStyle name="Note 4 5 4" xfId="26323" xr:uid="{00000000-0005-0000-0000-0000D2660000}"/>
    <cellStyle name="Note 4 6" xfId="26324" xr:uid="{00000000-0005-0000-0000-0000D3660000}"/>
    <cellStyle name="Note 4 6 2" xfId="26325" xr:uid="{00000000-0005-0000-0000-0000D4660000}"/>
    <cellStyle name="Note 4 6 3" xfId="26326" xr:uid="{00000000-0005-0000-0000-0000D5660000}"/>
    <cellStyle name="Note 4 6 4" xfId="26327" xr:uid="{00000000-0005-0000-0000-0000D6660000}"/>
    <cellStyle name="Note 4 7" xfId="26328" xr:uid="{00000000-0005-0000-0000-0000D7660000}"/>
    <cellStyle name="Note 4 8" xfId="26329" xr:uid="{00000000-0005-0000-0000-0000D8660000}"/>
    <cellStyle name="Note 4 9" xfId="26330" xr:uid="{00000000-0005-0000-0000-0000D9660000}"/>
    <cellStyle name="Note 5" xfId="26331" xr:uid="{00000000-0005-0000-0000-0000DA660000}"/>
    <cellStyle name="Note 5 10" xfId="26332" xr:uid="{00000000-0005-0000-0000-0000DB660000}"/>
    <cellStyle name="Note 5 2" xfId="26333" xr:uid="{00000000-0005-0000-0000-0000DC660000}"/>
    <cellStyle name="Note 5 2 2" xfId="26334" xr:uid="{00000000-0005-0000-0000-0000DD660000}"/>
    <cellStyle name="Note 5 2 2 2" xfId="26335" xr:uid="{00000000-0005-0000-0000-0000DE660000}"/>
    <cellStyle name="Note 5 2 2 2 2" xfId="26336" xr:uid="{00000000-0005-0000-0000-0000DF660000}"/>
    <cellStyle name="Note 5 2 2 2 2 2" xfId="26337" xr:uid="{00000000-0005-0000-0000-0000E0660000}"/>
    <cellStyle name="Note 5 2 2 2 2 3" xfId="26338" xr:uid="{00000000-0005-0000-0000-0000E1660000}"/>
    <cellStyle name="Note 5 2 2 2 2 4" xfId="26339" xr:uid="{00000000-0005-0000-0000-0000E2660000}"/>
    <cellStyle name="Note 5 2 2 2 3" xfId="26340" xr:uid="{00000000-0005-0000-0000-0000E3660000}"/>
    <cellStyle name="Note 5 2 2 2 3 2" xfId="26341" xr:uid="{00000000-0005-0000-0000-0000E4660000}"/>
    <cellStyle name="Note 5 2 2 2 3 3" xfId="26342" xr:uid="{00000000-0005-0000-0000-0000E5660000}"/>
    <cellStyle name="Note 5 2 2 2 3 4" xfId="26343" xr:uid="{00000000-0005-0000-0000-0000E6660000}"/>
    <cellStyle name="Note 5 2 2 2 4" xfId="26344" xr:uid="{00000000-0005-0000-0000-0000E7660000}"/>
    <cellStyle name="Note 5 2 2 2 5" xfId="26345" xr:uid="{00000000-0005-0000-0000-0000E8660000}"/>
    <cellStyle name="Note 5 2 2 2 6" xfId="26346" xr:uid="{00000000-0005-0000-0000-0000E9660000}"/>
    <cellStyle name="Note 5 2 2 3" xfId="26347" xr:uid="{00000000-0005-0000-0000-0000EA660000}"/>
    <cellStyle name="Note 5 2 2 3 2" xfId="26348" xr:uid="{00000000-0005-0000-0000-0000EB660000}"/>
    <cellStyle name="Note 5 2 2 3 2 2" xfId="26349" xr:uid="{00000000-0005-0000-0000-0000EC660000}"/>
    <cellStyle name="Note 5 2 2 3 2 3" xfId="26350" xr:uid="{00000000-0005-0000-0000-0000ED660000}"/>
    <cellStyle name="Note 5 2 2 3 2 4" xfId="26351" xr:uid="{00000000-0005-0000-0000-0000EE660000}"/>
    <cellStyle name="Note 5 2 2 3 3" xfId="26352" xr:uid="{00000000-0005-0000-0000-0000EF660000}"/>
    <cellStyle name="Note 5 2 2 3 3 2" xfId="26353" xr:uid="{00000000-0005-0000-0000-0000F0660000}"/>
    <cellStyle name="Note 5 2 2 3 3 3" xfId="26354" xr:uid="{00000000-0005-0000-0000-0000F1660000}"/>
    <cellStyle name="Note 5 2 2 3 3 4" xfId="26355" xr:uid="{00000000-0005-0000-0000-0000F2660000}"/>
    <cellStyle name="Note 5 2 2 3 4" xfId="26356" xr:uid="{00000000-0005-0000-0000-0000F3660000}"/>
    <cellStyle name="Note 5 2 2 3 5" xfId="26357" xr:uid="{00000000-0005-0000-0000-0000F4660000}"/>
    <cellStyle name="Note 5 2 2 3 6" xfId="26358" xr:uid="{00000000-0005-0000-0000-0000F5660000}"/>
    <cellStyle name="Note 5 2 2 4" xfId="26359" xr:uid="{00000000-0005-0000-0000-0000F6660000}"/>
    <cellStyle name="Note 5 2 2 4 2" xfId="26360" xr:uid="{00000000-0005-0000-0000-0000F7660000}"/>
    <cellStyle name="Note 5 2 2 4 3" xfId="26361" xr:uid="{00000000-0005-0000-0000-0000F8660000}"/>
    <cellStyle name="Note 5 2 2 4 4" xfId="26362" xr:uid="{00000000-0005-0000-0000-0000F9660000}"/>
    <cellStyle name="Note 5 2 2 5" xfId="26363" xr:uid="{00000000-0005-0000-0000-0000FA660000}"/>
    <cellStyle name="Note 5 2 2 5 2" xfId="26364" xr:uid="{00000000-0005-0000-0000-0000FB660000}"/>
    <cellStyle name="Note 5 2 2 5 3" xfId="26365" xr:uid="{00000000-0005-0000-0000-0000FC660000}"/>
    <cellStyle name="Note 5 2 2 5 4" xfId="26366" xr:uid="{00000000-0005-0000-0000-0000FD660000}"/>
    <cellStyle name="Note 5 2 2 6" xfId="26367" xr:uid="{00000000-0005-0000-0000-0000FE660000}"/>
    <cellStyle name="Note 5 2 2 7" xfId="26368" xr:uid="{00000000-0005-0000-0000-0000FF660000}"/>
    <cellStyle name="Note 5 2 2 8" xfId="26369" xr:uid="{00000000-0005-0000-0000-000000670000}"/>
    <cellStyle name="Note 5 2 3" xfId="26370" xr:uid="{00000000-0005-0000-0000-000001670000}"/>
    <cellStyle name="Note 5 2 3 2" xfId="26371" xr:uid="{00000000-0005-0000-0000-000002670000}"/>
    <cellStyle name="Note 5 2 3 2 2" xfId="26372" xr:uid="{00000000-0005-0000-0000-000003670000}"/>
    <cellStyle name="Note 5 2 3 2 3" xfId="26373" xr:uid="{00000000-0005-0000-0000-000004670000}"/>
    <cellStyle name="Note 5 2 3 2 4" xfId="26374" xr:uid="{00000000-0005-0000-0000-000005670000}"/>
    <cellStyle name="Note 5 2 3 3" xfId="26375" xr:uid="{00000000-0005-0000-0000-000006670000}"/>
    <cellStyle name="Note 5 2 3 3 2" xfId="26376" xr:uid="{00000000-0005-0000-0000-000007670000}"/>
    <cellStyle name="Note 5 2 3 3 3" xfId="26377" xr:uid="{00000000-0005-0000-0000-000008670000}"/>
    <cellStyle name="Note 5 2 3 3 4" xfId="26378" xr:uid="{00000000-0005-0000-0000-000009670000}"/>
    <cellStyle name="Note 5 2 3 4" xfId="26379" xr:uid="{00000000-0005-0000-0000-00000A670000}"/>
    <cellStyle name="Note 5 2 3 5" xfId="26380" xr:uid="{00000000-0005-0000-0000-00000B670000}"/>
    <cellStyle name="Note 5 2 3 6" xfId="26381" xr:uid="{00000000-0005-0000-0000-00000C670000}"/>
    <cellStyle name="Note 5 2 4" xfId="26382" xr:uid="{00000000-0005-0000-0000-00000D670000}"/>
    <cellStyle name="Note 5 2 4 2" xfId="26383" xr:uid="{00000000-0005-0000-0000-00000E670000}"/>
    <cellStyle name="Note 5 2 4 2 2" xfId="26384" xr:uid="{00000000-0005-0000-0000-00000F670000}"/>
    <cellStyle name="Note 5 2 4 2 3" xfId="26385" xr:uid="{00000000-0005-0000-0000-000010670000}"/>
    <cellStyle name="Note 5 2 4 2 4" xfId="26386" xr:uid="{00000000-0005-0000-0000-000011670000}"/>
    <cellStyle name="Note 5 2 4 3" xfId="26387" xr:uid="{00000000-0005-0000-0000-000012670000}"/>
    <cellStyle name="Note 5 2 4 3 2" xfId="26388" xr:uid="{00000000-0005-0000-0000-000013670000}"/>
    <cellStyle name="Note 5 2 4 3 3" xfId="26389" xr:uid="{00000000-0005-0000-0000-000014670000}"/>
    <cellStyle name="Note 5 2 4 3 4" xfId="26390" xr:uid="{00000000-0005-0000-0000-000015670000}"/>
    <cellStyle name="Note 5 2 4 4" xfId="26391" xr:uid="{00000000-0005-0000-0000-000016670000}"/>
    <cellStyle name="Note 5 2 4 5" xfId="26392" xr:uid="{00000000-0005-0000-0000-000017670000}"/>
    <cellStyle name="Note 5 2 4 6" xfId="26393" xr:uid="{00000000-0005-0000-0000-000018670000}"/>
    <cellStyle name="Note 5 2 5" xfId="26394" xr:uid="{00000000-0005-0000-0000-000019670000}"/>
    <cellStyle name="Note 5 2 5 2" xfId="26395" xr:uid="{00000000-0005-0000-0000-00001A670000}"/>
    <cellStyle name="Note 5 2 5 3" xfId="26396" xr:uid="{00000000-0005-0000-0000-00001B670000}"/>
    <cellStyle name="Note 5 2 5 4" xfId="26397" xr:uid="{00000000-0005-0000-0000-00001C670000}"/>
    <cellStyle name="Note 5 2 6" xfId="26398" xr:uid="{00000000-0005-0000-0000-00001D670000}"/>
    <cellStyle name="Note 5 2 6 2" xfId="26399" xr:uid="{00000000-0005-0000-0000-00001E670000}"/>
    <cellStyle name="Note 5 2 6 3" xfId="26400" xr:uid="{00000000-0005-0000-0000-00001F670000}"/>
    <cellStyle name="Note 5 2 6 4" xfId="26401" xr:uid="{00000000-0005-0000-0000-000020670000}"/>
    <cellStyle name="Note 5 2 7" xfId="26402" xr:uid="{00000000-0005-0000-0000-000021670000}"/>
    <cellStyle name="Note 5 2 8" xfId="26403" xr:uid="{00000000-0005-0000-0000-000022670000}"/>
    <cellStyle name="Note 5 2 9" xfId="26404" xr:uid="{00000000-0005-0000-0000-000023670000}"/>
    <cellStyle name="Note 5 3" xfId="26405" xr:uid="{00000000-0005-0000-0000-000024670000}"/>
    <cellStyle name="Note 5 3 2" xfId="26406" xr:uid="{00000000-0005-0000-0000-000025670000}"/>
    <cellStyle name="Note 5 3 2 2" xfId="26407" xr:uid="{00000000-0005-0000-0000-000026670000}"/>
    <cellStyle name="Note 5 3 2 3" xfId="26408" xr:uid="{00000000-0005-0000-0000-000027670000}"/>
    <cellStyle name="Note 5 3 2 4" xfId="26409" xr:uid="{00000000-0005-0000-0000-000028670000}"/>
    <cellStyle name="Note 5 3 3" xfId="26410" xr:uid="{00000000-0005-0000-0000-000029670000}"/>
    <cellStyle name="Note 5 3 3 2" xfId="26411" xr:uid="{00000000-0005-0000-0000-00002A670000}"/>
    <cellStyle name="Note 5 3 3 3" xfId="26412" xr:uid="{00000000-0005-0000-0000-00002B670000}"/>
    <cellStyle name="Note 5 3 3 4" xfId="26413" xr:uid="{00000000-0005-0000-0000-00002C670000}"/>
    <cellStyle name="Note 5 3 4" xfId="26414" xr:uid="{00000000-0005-0000-0000-00002D670000}"/>
    <cellStyle name="Note 5 3 5" xfId="26415" xr:uid="{00000000-0005-0000-0000-00002E670000}"/>
    <cellStyle name="Note 5 3 6" xfId="26416" xr:uid="{00000000-0005-0000-0000-00002F670000}"/>
    <cellStyle name="Note 5 4" xfId="26417" xr:uid="{00000000-0005-0000-0000-000030670000}"/>
    <cellStyle name="Note 5 4 2" xfId="26418" xr:uid="{00000000-0005-0000-0000-000031670000}"/>
    <cellStyle name="Note 5 4 2 2" xfId="26419" xr:uid="{00000000-0005-0000-0000-000032670000}"/>
    <cellStyle name="Note 5 4 2 3" xfId="26420" xr:uid="{00000000-0005-0000-0000-000033670000}"/>
    <cellStyle name="Note 5 4 2 4" xfId="26421" xr:uid="{00000000-0005-0000-0000-000034670000}"/>
    <cellStyle name="Note 5 4 3" xfId="26422" xr:uid="{00000000-0005-0000-0000-000035670000}"/>
    <cellStyle name="Note 5 4 3 2" xfId="26423" xr:uid="{00000000-0005-0000-0000-000036670000}"/>
    <cellStyle name="Note 5 4 3 3" xfId="26424" xr:uid="{00000000-0005-0000-0000-000037670000}"/>
    <cellStyle name="Note 5 4 3 4" xfId="26425" xr:uid="{00000000-0005-0000-0000-000038670000}"/>
    <cellStyle name="Note 5 4 4" xfId="26426" xr:uid="{00000000-0005-0000-0000-000039670000}"/>
    <cellStyle name="Note 5 4 5" xfId="26427" xr:uid="{00000000-0005-0000-0000-00003A670000}"/>
    <cellStyle name="Note 5 4 6" xfId="26428" xr:uid="{00000000-0005-0000-0000-00003B670000}"/>
    <cellStyle name="Note 5 5" xfId="26429" xr:uid="{00000000-0005-0000-0000-00003C670000}"/>
    <cellStyle name="Note 5 5 2" xfId="26430" xr:uid="{00000000-0005-0000-0000-00003D670000}"/>
    <cellStyle name="Note 5 5 3" xfId="26431" xr:uid="{00000000-0005-0000-0000-00003E670000}"/>
    <cellStyle name="Note 5 5 4" xfId="26432" xr:uid="{00000000-0005-0000-0000-00003F670000}"/>
    <cellStyle name="Note 5 6" xfId="26433" xr:uid="{00000000-0005-0000-0000-000040670000}"/>
    <cellStyle name="Note 5 6 2" xfId="26434" xr:uid="{00000000-0005-0000-0000-000041670000}"/>
    <cellStyle name="Note 5 6 3" xfId="26435" xr:uid="{00000000-0005-0000-0000-000042670000}"/>
    <cellStyle name="Note 5 6 4" xfId="26436" xr:uid="{00000000-0005-0000-0000-000043670000}"/>
    <cellStyle name="Note 5 7" xfId="26437" xr:uid="{00000000-0005-0000-0000-000044670000}"/>
    <cellStyle name="Note 5 8" xfId="26438" xr:uid="{00000000-0005-0000-0000-000045670000}"/>
    <cellStyle name="Note 5 9" xfId="26439" xr:uid="{00000000-0005-0000-0000-000046670000}"/>
    <cellStyle name="Note 6" xfId="26440" xr:uid="{00000000-0005-0000-0000-000047670000}"/>
    <cellStyle name="Note 6 10" xfId="26441" xr:uid="{00000000-0005-0000-0000-000048670000}"/>
    <cellStyle name="Note 6 2" xfId="26442" xr:uid="{00000000-0005-0000-0000-000049670000}"/>
    <cellStyle name="Note 6 2 2" xfId="26443" xr:uid="{00000000-0005-0000-0000-00004A670000}"/>
    <cellStyle name="Note 6 2 2 2" xfId="26444" xr:uid="{00000000-0005-0000-0000-00004B670000}"/>
    <cellStyle name="Note 6 2 2 2 2" xfId="26445" xr:uid="{00000000-0005-0000-0000-00004C670000}"/>
    <cellStyle name="Note 6 2 2 2 2 2" xfId="26446" xr:uid="{00000000-0005-0000-0000-00004D670000}"/>
    <cellStyle name="Note 6 2 2 2 2 3" xfId="26447" xr:uid="{00000000-0005-0000-0000-00004E670000}"/>
    <cellStyle name="Note 6 2 2 2 2 4" xfId="26448" xr:uid="{00000000-0005-0000-0000-00004F670000}"/>
    <cellStyle name="Note 6 2 2 2 3" xfId="26449" xr:uid="{00000000-0005-0000-0000-000050670000}"/>
    <cellStyle name="Note 6 2 2 2 3 2" xfId="26450" xr:uid="{00000000-0005-0000-0000-000051670000}"/>
    <cellStyle name="Note 6 2 2 2 3 3" xfId="26451" xr:uid="{00000000-0005-0000-0000-000052670000}"/>
    <cellStyle name="Note 6 2 2 2 3 4" xfId="26452" xr:uid="{00000000-0005-0000-0000-000053670000}"/>
    <cellStyle name="Note 6 2 2 2 4" xfId="26453" xr:uid="{00000000-0005-0000-0000-000054670000}"/>
    <cellStyle name="Note 6 2 2 2 5" xfId="26454" xr:uid="{00000000-0005-0000-0000-000055670000}"/>
    <cellStyle name="Note 6 2 2 2 6" xfId="26455" xr:uid="{00000000-0005-0000-0000-000056670000}"/>
    <cellStyle name="Note 6 2 2 3" xfId="26456" xr:uid="{00000000-0005-0000-0000-000057670000}"/>
    <cellStyle name="Note 6 2 2 3 2" xfId="26457" xr:uid="{00000000-0005-0000-0000-000058670000}"/>
    <cellStyle name="Note 6 2 2 3 2 2" xfId="26458" xr:uid="{00000000-0005-0000-0000-000059670000}"/>
    <cellStyle name="Note 6 2 2 3 2 3" xfId="26459" xr:uid="{00000000-0005-0000-0000-00005A670000}"/>
    <cellStyle name="Note 6 2 2 3 2 4" xfId="26460" xr:uid="{00000000-0005-0000-0000-00005B670000}"/>
    <cellStyle name="Note 6 2 2 3 3" xfId="26461" xr:uid="{00000000-0005-0000-0000-00005C670000}"/>
    <cellStyle name="Note 6 2 2 3 3 2" xfId="26462" xr:uid="{00000000-0005-0000-0000-00005D670000}"/>
    <cellStyle name="Note 6 2 2 3 3 3" xfId="26463" xr:uid="{00000000-0005-0000-0000-00005E670000}"/>
    <cellStyle name="Note 6 2 2 3 3 4" xfId="26464" xr:uid="{00000000-0005-0000-0000-00005F670000}"/>
    <cellStyle name="Note 6 2 2 3 4" xfId="26465" xr:uid="{00000000-0005-0000-0000-000060670000}"/>
    <cellStyle name="Note 6 2 2 3 5" xfId="26466" xr:uid="{00000000-0005-0000-0000-000061670000}"/>
    <cellStyle name="Note 6 2 2 3 6" xfId="26467" xr:uid="{00000000-0005-0000-0000-000062670000}"/>
    <cellStyle name="Note 6 2 2 4" xfId="26468" xr:uid="{00000000-0005-0000-0000-000063670000}"/>
    <cellStyle name="Note 6 2 2 4 2" xfId="26469" xr:uid="{00000000-0005-0000-0000-000064670000}"/>
    <cellStyle name="Note 6 2 2 4 3" xfId="26470" xr:uid="{00000000-0005-0000-0000-000065670000}"/>
    <cellStyle name="Note 6 2 2 4 4" xfId="26471" xr:uid="{00000000-0005-0000-0000-000066670000}"/>
    <cellStyle name="Note 6 2 2 5" xfId="26472" xr:uid="{00000000-0005-0000-0000-000067670000}"/>
    <cellStyle name="Note 6 2 2 5 2" xfId="26473" xr:uid="{00000000-0005-0000-0000-000068670000}"/>
    <cellStyle name="Note 6 2 2 5 3" xfId="26474" xr:uid="{00000000-0005-0000-0000-000069670000}"/>
    <cellStyle name="Note 6 2 2 5 4" xfId="26475" xr:uid="{00000000-0005-0000-0000-00006A670000}"/>
    <cellStyle name="Note 6 2 2 6" xfId="26476" xr:uid="{00000000-0005-0000-0000-00006B670000}"/>
    <cellStyle name="Note 6 2 2 7" xfId="26477" xr:uid="{00000000-0005-0000-0000-00006C670000}"/>
    <cellStyle name="Note 6 2 2 8" xfId="26478" xr:uid="{00000000-0005-0000-0000-00006D670000}"/>
    <cellStyle name="Note 6 2 3" xfId="26479" xr:uid="{00000000-0005-0000-0000-00006E670000}"/>
    <cellStyle name="Note 6 2 3 2" xfId="26480" xr:uid="{00000000-0005-0000-0000-00006F670000}"/>
    <cellStyle name="Note 6 2 3 2 2" xfId="26481" xr:uid="{00000000-0005-0000-0000-000070670000}"/>
    <cellStyle name="Note 6 2 3 2 3" xfId="26482" xr:uid="{00000000-0005-0000-0000-000071670000}"/>
    <cellStyle name="Note 6 2 3 2 4" xfId="26483" xr:uid="{00000000-0005-0000-0000-000072670000}"/>
    <cellStyle name="Note 6 2 3 3" xfId="26484" xr:uid="{00000000-0005-0000-0000-000073670000}"/>
    <cellStyle name="Note 6 2 3 3 2" xfId="26485" xr:uid="{00000000-0005-0000-0000-000074670000}"/>
    <cellStyle name="Note 6 2 3 3 3" xfId="26486" xr:uid="{00000000-0005-0000-0000-000075670000}"/>
    <cellStyle name="Note 6 2 3 3 4" xfId="26487" xr:uid="{00000000-0005-0000-0000-000076670000}"/>
    <cellStyle name="Note 6 2 3 4" xfId="26488" xr:uid="{00000000-0005-0000-0000-000077670000}"/>
    <cellStyle name="Note 6 2 3 5" xfId="26489" xr:uid="{00000000-0005-0000-0000-000078670000}"/>
    <cellStyle name="Note 6 2 3 6" xfId="26490" xr:uid="{00000000-0005-0000-0000-000079670000}"/>
    <cellStyle name="Note 6 2 4" xfId="26491" xr:uid="{00000000-0005-0000-0000-00007A670000}"/>
    <cellStyle name="Note 6 2 4 2" xfId="26492" xr:uid="{00000000-0005-0000-0000-00007B670000}"/>
    <cellStyle name="Note 6 2 4 2 2" xfId="26493" xr:uid="{00000000-0005-0000-0000-00007C670000}"/>
    <cellStyle name="Note 6 2 4 2 3" xfId="26494" xr:uid="{00000000-0005-0000-0000-00007D670000}"/>
    <cellStyle name="Note 6 2 4 2 4" xfId="26495" xr:uid="{00000000-0005-0000-0000-00007E670000}"/>
    <cellStyle name="Note 6 2 4 3" xfId="26496" xr:uid="{00000000-0005-0000-0000-00007F670000}"/>
    <cellStyle name="Note 6 2 4 3 2" xfId="26497" xr:uid="{00000000-0005-0000-0000-000080670000}"/>
    <cellStyle name="Note 6 2 4 3 3" xfId="26498" xr:uid="{00000000-0005-0000-0000-000081670000}"/>
    <cellStyle name="Note 6 2 4 3 4" xfId="26499" xr:uid="{00000000-0005-0000-0000-000082670000}"/>
    <cellStyle name="Note 6 2 4 4" xfId="26500" xr:uid="{00000000-0005-0000-0000-000083670000}"/>
    <cellStyle name="Note 6 2 4 5" xfId="26501" xr:uid="{00000000-0005-0000-0000-000084670000}"/>
    <cellStyle name="Note 6 2 4 6" xfId="26502" xr:uid="{00000000-0005-0000-0000-000085670000}"/>
    <cellStyle name="Note 6 2 5" xfId="26503" xr:uid="{00000000-0005-0000-0000-000086670000}"/>
    <cellStyle name="Note 6 2 5 2" xfId="26504" xr:uid="{00000000-0005-0000-0000-000087670000}"/>
    <cellStyle name="Note 6 2 5 3" xfId="26505" xr:uid="{00000000-0005-0000-0000-000088670000}"/>
    <cellStyle name="Note 6 2 5 4" xfId="26506" xr:uid="{00000000-0005-0000-0000-000089670000}"/>
    <cellStyle name="Note 6 2 6" xfId="26507" xr:uid="{00000000-0005-0000-0000-00008A670000}"/>
    <cellStyle name="Note 6 2 6 2" xfId="26508" xr:uid="{00000000-0005-0000-0000-00008B670000}"/>
    <cellStyle name="Note 6 2 6 3" xfId="26509" xr:uid="{00000000-0005-0000-0000-00008C670000}"/>
    <cellStyle name="Note 6 2 6 4" xfId="26510" xr:uid="{00000000-0005-0000-0000-00008D670000}"/>
    <cellStyle name="Note 6 2 7" xfId="26511" xr:uid="{00000000-0005-0000-0000-00008E670000}"/>
    <cellStyle name="Note 6 2 8" xfId="26512" xr:uid="{00000000-0005-0000-0000-00008F670000}"/>
    <cellStyle name="Note 6 2 9" xfId="26513" xr:uid="{00000000-0005-0000-0000-000090670000}"/>
    <cellStyle name="Note 6 3" xfId="26514" xr:uid="{00000000-0005-0000-0000-000091670000}"/>
    <cellStyle name="Note 6 3 2" xfId="26515" xr:uid="{00000000-0005-0000-0000-000092670000}"/>
    <cellStyle name="Note 6 3 2 2" xfId="26516" xr:uid="{00000000-0005-0000-0000-000093670000}"/>
    <cellStyle name="Note 6 3 2 3" xfId="26517" xr:uid="{00000000-0005-0000-0000-000094670000}"/>
    <cellStyle name="Note 6 3 2 4" xfId="26518" xr:uid="{00000000-0005-0000-0000-000095670000}"/>
    <cellStyle name="Note 6 3 3" xfId="26519" xr:uid="{00000000-0005-0000-0000-000096670000}"/>
    <cellStyle name="Note 6 3 3 2" xfId="26520" xr:uid="{00000000-0005-0000-0000-000097670000}"/>
    <cellStyle name="Note 6 3 3 3" xfId="26521" xr:uid="{00000000-0005-0000-0000-000098670000}"/>
    <cellStyle name="Note 6 3 3 4" xfId="26522" xr:uid="{00000000-0005-0000-0000-000099670000}"/>
    <cellStyle name="Note 6 3 4" xfId="26523" xr:uid="{00000000-0005-0000-0000-00009A670000}"/>
    <cellStyle name="Note 6 3 5" xfId="26524" xr:uid="{00000000-0005-0000-0000-00009B670000}"/>
    <cellStyle name="Note 6 3 6" xfId="26525" xr:uid="{00000000-0005-0000-0000-00009C670000}"/>
    <cellStyle name="Note 6 4" xfId="26526" xr:uid="{00000000-0005-0000-0000-00009D670000}"/>
    <cellStyle name="Note 6 4 2" xfId="26527" xr:uid="{00000000-0005-0000-0000-00009E670000}"/>
    <cellStyle name="Note 6 4 2 2" xfId="26528" xr:uid="{00000000-0005-0000-0000-00009F670000}"/>
    <cellStyle name="Note 6 4 2 3" xfId="26529" xr:uid="{00000000-0005-0000-0000-0000A0670000}"/>
    <cellStyle name="Note 6 4 2 4" xfId="26530" xr:uid="{00000000-0005-0000-0000-0000A1670000}"/>
    <cellStyle name="Note 6 4 3" xfId="26531" xr:uid="{00000000-0005-0000-0000-0000A2670000}"/>
    <cellStyle name="Note 6 4 3 2" xfId="26532" xr:uid="{00000000-0005-0000-0000-0000A3670000}"/>
    <cellStyle name="Note 6 4 3 3" xfId="26533" xr:uid="{00000000-0005-0000-0000-0000A4670000}"/>
    <cellStyle name="Note 6 4 3 4" xfId="26534" xr:uid="{00000000-0005-0000-0000-0000A5670000}"/>
    <cellStyle name="Note 6 4 4" xfId="26535" xr:uid="{00000000-0005-0000-0000-0000A6670000}"/>
    <cellStyle name="Note 6 4 5" xfId="26536" xr:uid="{00000000-0005-0000-0000-0000A7670000}"/>
    <cellStyle name="Note 6 4 6" xfId="26537" xr:uid="{00000000-0005-0000-0000-0000A8670000}"/>
    <cellStyle name="Note 6 5" xfId="26538" xr:uid="{00000000-0005-0000-0000-0000A9670000}"/>
    <cellStyle name="Note 6 5 2" xfId="26539" xr:uid="{00000000-0005-0000-0000-0000AA670000}"/>
    <cellStyle name="Note 6 5 3" xfId="26540" xr:uid="{00000000-0005-0000-0000-0000AB670000}"/>
    <cellStyle name="Note 6 5 4" xfId="26541" xr:uid="{00000000-0005-0000-0000-0000AC670000}"/>
    <cellStyle name="Note 6 6" xfId="26542" xr:uid="{00000000-0005-0000-0000-0000AD670000}"/>
    <cellStyle name="Note 6 6 2" xfId="26543" xr:uid="{00000000-0005-0000-0000-0000AE670000}"/>
    <cellStyle name="Note 6 6 3" xfId="26544" xr:uid="{00000000-0005-0000-0000-0000AF670000}"/>
    <cellStyle name="Note 6 6 4" xfId="26545" xr:uid="{00000000-0005-0000-0000-0000B0670000}"/>
    <cellStyle name="Note 6 7" xfId="26546" xr:uid="{00000000-0005-0000-0000-0000B1670000}"/>
    <cellStyle name="Note 6 8" xfId="26547" xr:uid="{00000000-0005-0000-0000-0000B2670000}"/>
    <cellStyle name="Note 6 9" xfId="26548" xr:uid="{00000000-0005-0000-0000-0000B3670000}"/>
    <cellStyle name="Note 7" xfId="26549" xr:uid="{00000000-0005-0000-0000-0000B4670000}"/>
    <cellStyle name="Note 7 10" xfId="26550" xr:uid="{00000000-0005-0000-0000-0000B5670000}"/>
    <cellStyle name="Note 7 2" xfId="26551" xr:uid="{00000000-0005-0000-0000-0000B6670000}"/>
    <cellStyle name="Note 7 2 2" xfId="26552" xr:uid="{00000000-0005-0000-0000-0000B7670000}"/>
    <cellStyle name="Note 7 2 2 2" xfId="26553" xr:uid="{00000000-0005-0000-0000-0000B8670000}"/>
    <cellStyle name="Note 7 2 2 2 2" xfId="26554" xr:uid="{00000000-0005-0000-0000-0000B9670000}"/>
    <cellStyle name="Note 7 2 2 2 3" xfId="26555" xr:uid="{00000000-0005-0000-0000-0000BA670000}"/>
    <cellStyle name="Note 7 2 2 2 4" xfId="26556" xr:uid="{00000000-0005-0000-0000-0000BB670000}"/>
    <cellStyle name="Note 7 2 2 3" xfId="26557" xr:uid="{00000000-0005-0000-0000-0000BC670000}"/>
    <cellStyle name="Note 7 2 2 3 2" xfId="26558" xr:uid="{00000000-0005-0000-0000-0000BD670000}"/>
    <cellStyle name="Note 7 2 2 3 3" xfId="26559" xr:uid="{00000000-0005-0000-0000-0000BE670000}"/>
    <cellStyle name="Note 7 2 2 3 4" xfId="26560" xr:uid="{00000000-0005-0000-0000-0000BF670000}"/>
    <cellStyle name="Note 7 2 2 4" xfId="26561" xr:uid="{00000000-0005-0000-0000-0000C0670000}"/>
    <cellStyle name="Note 7 2 2 5" xfId="26562" xr:uid="{00000000-0005-0000-0000-0000C1670000}"/>
    <cellStyle name="Note 7 2 2 6" xfId="26563" xr:uid="{00000000-0005-0000-0000-0000C2670000}"/>
    <cellStyle name="Note 7 2 3" xfId="26564" xr:uid="{00000000-0005-0000-0000-0000C3670000}"/>
    <cellStyle name="Note 7 2 3 2" xfId="26565" xr:uid="{00000000-0005-0000-0000-0000C4670000}"/>
    <cellStyle name="Note 7 2 3 2 2" xfId="26566" xr:uid="{00000000-0005-0000-0000-0000C5670000}"/>
    <cellStyle name="Note 7 2 3 2 3" xfId="26567" xr:uid="{00000000-0005-0000-0000-0000C6670000}"/>
    <cellStyle name="Note 7 2 3 2 4" xfId="26568" xr:uid="{00000000-0005-0000-0000-0000C7670000}"/>
    <cellStyle name="Note 7 2 3 3" xfId="26569" xr:uid="{00000000-0005-0000-0000-0000C8670000}"/>
    <cellStyle name="Note 7 2 3 3 2" xfId="26570" xr:uid="{00000000-0005-0000-0000-0000C9670000}"/>
    <cellStyle name="Note 7 2 3 3 3" xfId="26571" xr:uid="{00000000-0005-0000-0000-0000CA670000}"/>
    <cellStyle name="Note 7 2 3 3 4" xfId="26572" xr:uid="{00000000-0005-0000-0000-0000CB670000}"/>
    <cellStyle name="Note 7 2 3 4" xfId="26573" xr:uid="{00000000-0005-0000-0000-0000CC670000}"/>
    <cellStyle name="Note 7 2 3 5" xfId="26574" xr:uid="{00000000-0005-0000-0000-0000CD670000}"/>
    <cellStyle name="Note 7 2 3 6" xfId="26575" xr:uid="{00000000-0005-0000-0000-0000CE670000}"/>
    <cellStyle name="Note 7 2 4" xfId="26576" xr:uid="{00000000-0005-0000-0000-0000CF670000}"/>
    <cellStyle name="Note 7 2 4 2" xfId="26577" xr:uid="{00000000-0005-0000-0000-0000D0670000}"/>
    <cellStyle name="Note 7 2 4 3" xfId="26578" xr:uid="{00000000-0005-0000-0000-0000D1670000}"/>
    <cellStyle name="Note 7 2 4 4" xfId="26579" xr:uid="{00000000-0005-0000-0000-0000D2670000}"/>
    <cellStyle name="Note 7 2 5" xfId="26580" xr:uid="{00000000-0005-0000-0000-0000D3670000}"/>
    <cellStyle name="Note 7 2 5 2" xfId="26581" xr:uid="{00000000-0005-0000-0000-0000D4670000}"/>
    <cellStyle name="Note 7 2 5 3" xfId="26582" xr:uid="{00000000-0005-0000-0000-0000D5670000}"/>
    <cellStyle name="Note 7 2 5 4" xfId="26583" xr:uid="{00000000-0005-0000-0000-0000D6670000}"/>
    <cellStyle name="Note 7 2 6" xfId="26584" xr:uid="{00000000-0005-0000-0000-0000D7670000}"/>
    <cellStyle name="Note 7 2 7" xfId="26585" xr:uid="{00000000-0005-0000-0000-0000D8670000}"/>
    <cellStyle name="Note 7 2 8" xfId="26586" xr:uid="{00000000-0005-0000-0000-0000D9670000}"/>
    <cellStyle name="Note 7 3" xfId="26587" xr:uid="{00000000-0005-0000-0000-0000DA670000}"/>
    <cellStyle name="Note 7 3 2" xfId="26588" xr:uid="{00000000-0005-0000-0000-0000DB670000}"/>
    <cellStyle name="Note 7 3 2 2" xfId="26589" xr:uid="{00000000-0005-0000-0000-0000DC670000}"/>
    <cellStyle name="Note 7 3 2 3" xfId="26590" xr:uid="{00000000-0005-0000-0000-0000DD670000}"/>
    <cellStyle name="Note 7 3 2 4" xfId="26591" xr:uid="{00000000-0005-0000-0000-0000DE670000}"/>
    <cellStyle name="Note 7 3 3" xfId="26592" xr:uid="{00000000-0005-0000-0000-0000DF670000}"/>
    <cellStyle name="Note 7 3 3 2" xfId="26593" xr:uid="{00000000-0005-0000-0000-0000E0670000}"/>
    <cellStyle name="Note 7 3 3 3" xfId="26594" xr:uid="{00000000-0005-0000-0000-0000E1670000}"/>
    <cellStyle name="Note 7 3 3 4" xfId="26595" xr:uid="{00000000-0005-0000-0000-0000E2670000}"/>
    <cellStyle name="Note 7 3 4" xfId="26596" xr:uid="{00000000-0005-0000-0000-0000E3670000}"/>
    <cellStyle name="Note 7 3 5" xfId="26597" xr:uid="{00000000-0005-0000-0000-0000E4670000}"/>
    <cellStyle name="Note 7 3 6" xfId="26598" xr:uid="{00000000-0005-0000-0000-0000E5670000}"/>
    <cellStyle name="Note 7 4" xfId="26599" xr:uid="{00000000-0005-0000-0000-0000E6670000}"/>
    <cellStyle name="Note 7 4 2" xfId="26600" xr:uid="{00000000-0005-0000-0000-0000E7670000}"/>
    <cellStyle name="Note 7 4 2 2" xfId="26601" xr:uid="{00000000-0005-0000-0000-0000E8670000}"/>
    <cellStyle name="Note 7 4 2 3" xfId="26602" xr:uid="{00000000-0005-0000-0000-0000E9670000}"/>
    <cellStyle name="Note 7 4 2 4" xfId="26603" xr:uid="{00000000-0005-0000-0000-0000EA670000}"/>
    <cellStyle name="Note 7 4 3" xfId="26604" xr:uid="{00000000-0005-0000-0000-0000EB670000}"/>
    <cellStyle name="Note 7 4 3 2" xfId="26605" xr:uid="{00000000-0005-0000-0000-0000EC670000}"/>
    <cellStyle name="Note 7 4 3 3" xfId="26606" xr:uid="{00000000-0005-0000-0000-0000ED670000}"/>
    <cellStyle name="Note 7 4 3 4" xfId="26607" xr:uid="{00000000-0005-0000-0000-0000EE670000}"/>
    <cellStyle name="Note 7 4 4" xfId="26608" xr:uid="{00000000-0005-0000-0000-0000EF670000}"/>
    <cellStyle name="Note 7 4 5" xfId="26609" xr:uid="{00000000-0005-0000-0000-0000F0670000}"/>
    <cellStyle name="Note 7 4 6" xfId="26610" xr:uid="{00000000-0005-0000-0000-0000F1670000}"/>
    <cellStyle name="Note 7 5" xfId="26611" xr:uid="{00000000-0005-0000-0000-0000F2670000}"/>
    <cellStyle name="Note 7 5 2" xfId="26612" xr:uid="{00000000-0005-0000-0000-0000F3670000}"/>
    <cellStyle name="Note 7 5 3" xfId="26613" xr:uid="{00000000-0005-0000-0000-0000F4670000}"/>
    <cellStyle name="Note 7 5 4" xfId="26614" xr:uid="{00000000-0005-0000-0000-0000F5670000}"/>
    <cellStyle name="Note 7 6" xfId="26615" xr:uid="{00000000-0005-0000-0000-0000F6670000}"/>
    <cellStyle name="Note 7 6 2" xfId="26616" xr:uid="{00000000-0005-0000-0000-0000F7670000}"/>
    <cellStyle name="Note 7 6 3" xfId="26617" xr:uid="{00000000-0005-0000-0000-0000F8670000}"/>
    <cellStyle name="Note 7 6 4" xfId="26618" xr:uid="{00000000-0005-0000-0000-0000F9670000}"/>
    <cellStyle name="Note 7 7" xfId="26619" xr:uid="{00000000-0005-0000-0000-0000FA670000}"/>
    <cellStyle name="Note 7 8" xfId="26620" xr:uid="{00000000-0005-0000-0000-0000FB670000}"/>
    <cellStyle name="Note 7 9" xfId="26621" xr:uid="{00000000-0005-0000-0000-0000FC670000}"/>
    <cellStyle name="Note 8" xfId="26622" xr:uid="{00000000-0005-0000-0000-0000FD670000}"/>
    <cellStyle name="Note 8 2" xfId="26623" xr:uid="{00000000-0005-0000-0000-0000FE670000}"/>
    <cellStyle name="Note 8 2 2" xfId="26624" xr:uid="{00000000-0005-0000-0000-0000FF670000}"/>
    <cellStyle name="Note 8 2 3" xfId="26625" xr:uid="{00000000-0005-0000-0000-000000680000}"/>
    <cellStyle name="Note 8 2 4" xfId="26626" xr:uid="{00000000-0005-0000-0000-000001680000}"/>
    <cellStyle name="Note 8 3" xfId="26627" xr:uid="{00000000-0005-0000-0000-000002680000}"/>
    <cellStyle name="Note 8 3 2" xfId="26628" xr:uid="{00000000-0005-0000-0000-000003680000}"/>
    <cellStyle name="Note 8 3 3" xfId="26629" xr:uid="{00000000-0005-0000-0000-000004680000}"/>
    <cellStyle name="Note 8 3 4" xfId="26630" xr:uid="{00000000-0005-0000-0000-000005680000}"/>
    <cellStyle name="Note 8 4" xfId="26631" xr:uid="{00000000-0005-0000-0000-000006680000}"/>
    <cellStyle name="Note 8 5" xfId="26632" xr:uid="{00000000-0005-0000-0000-000007680000}"/>
    <cellStyle name="Note 8 6" xfId="26633" xr:uid="{00000000-0005-0000-0000-000008680000}"/>
    <cellStyle name="Note 8 7" xfId="26634" xr:uid="{00000000-0005-0000-0000-000009680000}"/>
    <cellStyle name="Note 9" xfId="26635" xr:uid="{00000000-0005-0000-0000-00000A680000}"/>
    <cellStyle name="Note 9 2" xfId="26636" xr:uid="{00000000-0005-0000-0000-00000B680000}"/>
    <cellStyle name="Note 9 2 2" xfId="26637" xr:uid="{00000000-0005-0000-0000-00000C680000}"/>
    <cellStyle name="Note 9 2 3" xfId="26638" xr:uid="{00000000-0005-0000-0000-00000D680000}"/>
    <cellStyle name="Note 9 2 4" xfId="26639" xr:uid="{00000000-0005-0000-0000-00000E680000}"/>
    <cellStyle name="Note 9 3" xfId="26640" xr:uid="{00000000-0005-0000-0000-00000F680000}"/>
    <cellStyle name="Note 9 3 2" xfId="26641" xr:uid="{00000000-0005-0000-0000-000010680000}"/>
    <cellStyle name="Note 9 3 3" xfId="26642" xr:uid="{00000000-0005-0000-0000-000011680000}"/>
    <cellStyle name="Note 9 3 4" xfId="26643" xr:uid="{00000000-0005-0000-0000-000012680000}"/>
    <cellStyle name="Note 9 4" xfId="26644" xr:uid="{00000000-0005-0000-0000-000013680000}"/>
    <cellStyle name="Note 9 5" xfId="26645" xr:uid="{00000000-0005-0000-0000-000014680000}"/>
    <cellStyle name="Note 9 6" xfId="26646" xr:uid="{00000000-0005-0000-0000-000015680000}"/>
    <cellStyle name="Note 9 7" xfId="26647" xr:uid="{00000000-0005-0000-0000-000016680000}"/>
    <cellStyle name="Notes" xfId="26648" xr:uid="{00000000-0005-0000-0000-000017680000}"/>
    <cellStyle name="Notes 2" xfId="26649" xr:uid="{00000000-0005-0000-0000-000018680000}"/>
    <cellStyle name="Notiz 2" xfId="26650" xr:uid="{00000000-0005-0000-0000-000019680000}"/>
    <cellStyle name="Number_00_Red" xfId="26651" xr:uid="{00000000-0005-0000-0000-00001A680000}"/>
    <cellStyle name="øöñÞ_Australia_original" xfId="26652" xr:uid="{00000000-0005-0000-0000-00001B680000}"/>
    <cellStyle name="Option" xfId="26653" xr:uid="{00000000-0005-0000-0000-00001C680000}"/>
    <cellStyle name="Option 2" xfId="26654" xr:uid="{00000000-0005-0000-0000-00001D680000}"/>
    <cellStyle name="OptionHeading" xfId="26655" xr:uid="{00000000-0005-0000-0000-00001E680000}"/>
    <cellStyle name="Output 2" xfId="26656" xr:uid="{00000000-0005-0000-0000-00001F680000}"/>
    <cellStyle name="Output 2 2" xfId="26657" xr:uid="{00000000-0005-0000-0000-000020680000}"/>
    <cellStyle name="Output 2 3" xfId="26658" xr:uid="{00000000-0005-0000-0000-000021680000}"/>
    <cellStyle name="Output 2 3 2" xfId="26659" xr:uid="{00000000-0005-0000-0000-000022680000}"/>
    <cellStyle name="Output 2 3 2 2" xfId="26660" xr:uid="{00000000-0005-0000-0000-000023680000}"/>
    <cellStyle name="Output 2 3 2 3" xfId="26661" xr:uid="{00000000-0005-0000-0000-000024680000}"/>
    <cellStyle name="Output 2 3 3" xfId="26662" xr:uid="{00000000-0005-0000-0000-000025680000}"/>
    <cellStyle name="Output 2 3 3 2" xfId="26663" xr:uid="{00000000-0005-0000-0000-000026680000}"/>
    <cellStyle name="Output 2 3 3 3" xfId="26664" xr:uid="{00000000-0005-0000-0000-000027680000}"/>
    <cellStyle name="Output 2 3 4" xfId="26665" xr:uid="{00000000-0005-0000-0000-000028680000}"/>
    <cellStyle name="Output 2 3 5" xfId="26666" xr:uid="{00000000-0005-0000-0000-000029680000}"/>
    <cellStyle name="Output 2 4" xfId="26667" xr:uid="{00000000-0005-0000-0000-00002A680000}"/>
    <cellStyle name="Output 2 4 2" xfId="26668" xr:uid="{00000000-0005-0000-0000-00002B680000}"/>
    <cellStyle name="Output 2 4 3" xfId="26669" xr:uid="{00000000-0005-0000-0000-00002C680000}"/>
    <cellStyle name="Output 2 5" xfId="26670" xr:uid="{00000000-0005-0000-0000-00002D680000}"/>
    <cellStyle name="Output 2 6" xfId="26671" xr:uid="{00000000-0005-0000-0000-00002E680000}"/>
    <cellStyle name="Output 3" xfId="26672" xr:uid="{00000000-0005-0000-0000-00002F680000}"/>
    <cellStyle name="Output 3 2" xfId="26673" xr:uid="{00000000-0005-0000-0000-000030680000}"/>
    <cellStyle name="pcent" xfId="26674" xr:uid="{00000000-0005-0000-0000-000031680000}"/>
    <cellStyle name="pcent 2" xfId="26675" xr:uid="{00000000-0005-0000-0000-000032680000}"/>
    <cellStyle name="Pénznem [0]_Ausdruck" xfId="26676" xr:uid="{00000000-0005-0000-0000-000033680000}"/>
    <cellStyle name="Pénznem_Ausdruck" xfId="26677" xr:uid="{00000000-0005-0000-0000-000034680000}"/>
    <cellStyle name="Percent ()" xfId="26678" xr:uid="{00000000-0005-0000-0000-000035680000}"/>
    <cellStyle name="Percent (0)" xfId="26679" xr:uid="{00000000-0005-0000-0000-000036680000}"/>
    <cellStyle name="Percent (1)" xfId="26680" xr:uid="{00000000-0005-0000-0000-000037680000}"/>
    <cellStyle name="Percent (1) 2" xfId="26681" xr:uid="{00000000-0005-0000-0000-000038680000}"/>
    <cellStyle name="Percent (2)" xfId="26682" xr:uid="{00000000-0005-0000-0000-000039680000}"/>
    <cellStyle name="Percent (2) 2" xfId="26683" xr:uid="{00000000-0005-0000-0000-00003A680000}"/>
    <cellStyle name="Percent [0]" xfId="26684" xr:uid="{00000000-0005-0000-0000-00003B680000}"/>
    <cellStyle name="Percent [0] 2" xfId="26685" xr:uid="{00000000-0005-0000-0000-00003C680000}"/>
    <cellStyle name="Percent [00]" xfId="26686" xr:uid="{00000000-0005-0000-0000-00003D680000}"/>
    <cellStyle name="Percent [2]" xfId="26687" xr:uid="{00000000-0005-0000-0000-00003E680000}"/>
    <cellStyle name="Percent [2] 2" xfId="26688" xr:uid="{00000000-0005-0000-0000-00003F680000}"/>
    <cellStyle name="Percent [2] 2 2" xfId="26689" xr:uid="{00000000-0005-0000-0000-000040680000}"/>
    <cellStyle name="Percent 1" xfId="26690" xr:uid="{00000000-0005-0000-0000-000041680000}"/>
    <cellStyle name="Percent 10" xfId="26691" xr:uid="{00000000-0005-0000-0000-000042680000}"/>
    <cellStyle name="Percent 10 2" xfId="26692" xr:uid="{00000000-0005-0000-0000-000043680000}"/>
    <cellStyle name="Percent 10 2 2" xfId="26693" xr:uid="{00000000-0005-0000-0000-000044680000}"/>
    <cellStyle name="Percent 10 3" xfId="26694" xr:uid="{00000000-0005-0000-0000-000045680000}"/>
    <cellStyle name="Percent 11" xfId="26695" xr:uid="{00000000-0005-0000-0000-000046680000}"/>
    <cellStyle name="Percent 11 2" xfId="26696" xr:uid="{00000000-0005-0000-0000-000047680000}"/>
    <cellStyle name="Percent 11 2 2" xfId="26697" xr:uid="{00000000-0005-0000-0000-000048680000}"/>
    <cellStyle name="Percent 11 3" xfId="26698" xr:uid="{00000000-0005-0000-0000-000049680000}"/>
    <cellStyle name="Percent 12" xfId="26699" xr:uid="{00000000-0005-0000-0000-00004A680000}"/>
    <cellStyle name="Percent 12 2" xfId="26700" xr:uid="{00000000-0005-0000-0000-00004B680000}"/>
    <cellStyle name="Percent 12 2 2" xfId="26701" xr:uid="{00000000-0005-0000-0000-00004C680000}"/>
    <cellStyle name="Percent 12 3" xfId="26702" xr:uid="{00000000-0005-0000-0000-00004D680000}"/>
    <cellStyle name="Percent 13" xfId="26703" xr:uid="{00000000-0005-0000-0000-00004E680000}"/>
    <cellStyle name="Percent 14" xfId="26704" xr:uid="{00000000-0005-0000-0000-00004F680000}"/>
    <cellStyle name="Percent 15" xfId="26705" xr:uid="{00000000-0005-0000-0000-000050680000}"/>
    <cellStyle name="Percent 16" xfId="26706" xr:uid="{00000000-0005-0000-0000-000051680000}"/>
    <cellStyle name="Percent 17" xfId="26707" xr:uid="{00000000-0005-0000-0000-000052680000}"/>
    <cellStyle name="Percent 18" xfId="26708" xr:uid="{00000000-0005-0000-0000-000053680000}"/>
    <cellStyle name="Percent 19" xfId="26709" xr:uid="{00000000-0005-0000-0000-000054680000}"/>
    <cellStyle name="Percent 2" xfId="26710" xr:uid="{00000000-0005-0000-0000-000055680000}"/>
    <cellStyle name="Percent 2 2" xfId="26711" xr:uid="{00000000-0005-0000-0000-000056680000}"/>
    <cellStyle name="Percent 2 3" xfId="26712" xr:uid="{00000000-0005-0000-0000-000057680000}"/>
    <cellStyle name="Percent 2 4" xfId="26713" xr:uid="{00000000-0005-0000-0000-000058680000}"/>
    <cellStyle name="Percent 2 5" xfId="26714" xr:uid="{00000000-0005-0000-0000-000059680000}"/>
    <cellStyle name="Percent 20" xfId="26715" xr:uid="{00000000-0005-0000-0000-00005A680000}"/>
    <cellStyle name="Percent 21" xfId="26716" xr:uid="{00000000-0005-0000-0000-00005B680000}"/>
    <cellStyle name="Percent 22" xfId="26717" xr:uid="{00000000-0005-0000-0000-00005C680000}"/>
    <cellStyle name="Percent 23" xfId="26718" xr:uid="{00000000-0005-0000-0000-00005D680000}"/>
    <cellStyle name="Percent 24" xfId="26719" xr:uid="{00000000-0005-0000-0000-00005E680000}"/>
    <cellStyle name="Percent 25" xfId="26720" xr:uid="{00000000-0005-0000-0000-00005F680000}"/>
    <cellStyle name="Percent 26" xfId="26721" xr:uid="{00000000-0005-0000-0000-000060680000}"/>
    <cellStyle name="Percent 27" xfId="26722" xr:uid="{00000000-0005-0000-0000-000061680000}"/>
    <cellStyle name="Percent 28" xfId="26723" xr:uid="{00000000-0005-0000-0000-000062680000}"/>
    <cellStyle name="Percent 29" xfId="26724" xr:uid="{00000000-0005-0000-0000-000063680000}"/>
    <cellStyle name="Percent 3" xfId="26725" xr:uid="{00000000-0005-0000-0000-000064680000}"/>
    <cellStyle name="Percent 3 2" xfId="26726" xr:uid="{00000000-0005-0000-0000-000065680000}"/>
    <cellStyle name="Percent 3 3" xfId="26727" xr:uid="{00000000-0005-0000-0000-000066680000}"/>
    <cellStyle name="Percent 3 4" xfId="26728" xr:uid="{00000000-0005-0000-0000-000067680000}"/>
    <cellStyle name="Percent 3 5" xfId="26729" xr:uid="{00000000-0005-0000-0000-000068680000}"/>
    <cellStyle name="Percent 30" xfId="26730" xr:uid="{00000000-0005-0000-0000-000069680000}"/>
    <cellStyle name="Percent 31" xfId="26731" xr:uid="{00000000-0005-0000-0000-00006A680000}"/>
    <cellStyle name="Percent 32" xfId="26732" xr:uid="{00000000-0005-0000-0000-00006B680000}"/>
    <cellStyle name="Percent 33" xfId="26733" xr:uid="{00000000-0005-0000-0000-00006C680000}"/>
    <cellStyle name="Percent 34" xfId="26734" xr:uid="{00000000-0005-0000-0000-00006D680000}"/>
    <cellStyle name="Percent 35" xfId="26735" xr:uid="{00000000-0005-0000-0000-00006E680000}"/>
    <cellStyle name="Percent 36" xfId="26736" xr:uid="{00000000-0005-0000-0000-00006F680000}"/>
    <cellStyle name="Percent 37" xfId="26737" xr:uid="{00000000-0005-0000-0000-000070680000}"/>
    <cellStyle name="Percent 38" xfId="26738" xr:uid="{00000000-0005-0000-0000-000071680000}"/>
    <cellStyle name="Percent 4" xfId="26739" xr:uid="{00000000-0005-0000-0000-000072680000}"/>
    <cellStyle name="Percent 4 2" xfId="26740" xr:uid="{00000000-0005-0000-0000-000073680000}"/>
    <cellStyle name="Percent 4 3" xfId="26741" xr:uid="{00000000-0005-0000-0000-000074680000}"/>
    <cellStyle name="Percent 4 4" xfId="26742" xr:uid="{00000000-0005-0000-0000-000075680000}"/>
    <cellStyle name="Percent 5" xfId="26743" xr:uid="{00000000-0005-0000-0000-000076680000}"/>
    <cellStyle name="Percent 5 2" xfId="26744" xr:uid="{00000000-0005-0000-0000-000077680000}"/>
    <cellStyle name="Percent 5 3" xfId="26745" xr:uid="{00000000-0005-0000-0000-000078680000}"/>
    <cellStyle name="Percent 5 4" xfId="26746" xr:uid="{00000000-0005-0000-0000-000079680000}"/>
    <cellStyle name="Percent 6" xfId="26747" xr:uid="{00000000-0005-0000-0000-00007A680000}"/>
    <cellStyle name="Percent 6 2" xfId="26748" xr:uid="{00000000-0005-0000-0000-00007B680000}"/>
    <cellStyle name="Percent 7" xfId="26749" xr:uid="{00000000-0005-0000-0000-00007C680000}"/>
    <cellStyle name="Percent 7 2" xfId="26750" xr:uid="{00000000-0005-0000-0000-00007D680000}"/>
    <cellStyle name="Percent 8" xfId="26751" xr:uid="{00000000-0005-0000-0000-00007E680000}"/>
    <cellStyle name="Percent 8 2" xfId="26752" xr:uid="{00000000-0005-0000-0000-00007F680000}"/>
    <cellStyle name="Percent 9" xfId="26753" xr:uid="{00000000-0005-0000-0000-000080680000}"/>
    <cellStyle name="Percent 9 2" xfId="26754" xr:uid="{00000000-0005-0000-0000-000081680000}"/>
    <cellStyle name="Percent 9 2 2" xfId="26755" xr:uid="{00000000-0005-0000-0000-000082680000}"/>
    <cellStyle name="Percent 9 3" xfId="26756" xr:uid="{00000000-0005-0000-0000-000083680000}"/>
    <cellStyle name="percentage" xfId="26757" xr:uid="{00000000-0005-0000-0000-000084680000}"/>
    <cellStyle name="PrePop Currency (0)" xfId="26758" xr:uid="{00000000-0005-0000-0000-000085680000}"/>
    <cellStyle name="PrePop Currency (0) 2" xfId="26759" xr:uid="{00000000-0005-0000-0000-000086680000}"/>
    <cellStyle name="PrePop Currency (2)" xfId="26760" xr:uid="{00000000-0005-0000-0000-000087680000}"/>
    <cellStyle name="PrePop Currency (2) 2" xfId="26761" xr:uid="{00000000-0005-0000-0000-000088680000}"/>
    <cellStyle name="PrePop Units (0)" xfId="26762" xr:uid="{00000000-0005-0000-0000-000089680000}"/>
    <cellStyle name="PrePop Units (0) 2" xfId="26763" xr:uid="{00000000-0005-0000-0000-00008A680000}"/>
    <cellStyle name="PrePop Units (1)" xfId="26764" xr:uid="{00000000-0005-0000-0000-00008B680000}"/>
    <cellStyle name="PrePop Units (1) 2" xfId="26765" xr:uid="{00000000-0005-0000-0000-00008C680000}"/>
    <cellStyle name="PrePop Units (2)" xfId="26766" xr:uid="{00000000-0005-0000-0000-00008D680000}"/>
    <cellStyle name="PrePop Units (2) 2" xfId="26767" xr:uid="{00000000-0005-0000-0000-00008E680000}"/>
    <cellStyle name="Price" xfId="26768" xr:uid="{00000000-0005-0000-0000-00008F680000}"/>
    <cellStyle name="Price 2" xfId="26769" xr:uid="{00000000-0005-0000-0000-000090680000}"/>
    <cellStyle name="Price 3" xfId="26770" xr:uid="{00000000-0005-0000-0000-000091680000}"/>
    <cellStyle name="Prozent_DEPREC.XLS" xfId="26771" xr:uid="{00000000-0005-0000-0000-000092680000}"/>
    <cellStyle name="PSChar" xfId="26772" xr:uid="{00000000-0005-0000-0000-000093680000}"/>
    <cellStyle name="PSDate" xfId="26773" xr:uid="{00000000-0005-0000-0000-000094680000}"/>
    <cellStyle name="PSDec" xfId="26774" xr:uid="{00000000-0005-0000-0000-000095680000}"/>
    <cellStyle name="PSHeading" xfId="26775" xr:uid="{00000000-0005-0000-0000-000096680000}"/>
    <cellStyle name="PSInt" xfId="26776" xr:uid="{00000000-0005-0000-0000-000097680000}"/>
    <cellStyle name="PSSpacer" xfId="26777" xr:uid="{00000000-0005-0000-0000-000098680000}"/>
    <cellStyle name="Qty" xfId="26778" xr:uid="{00000000-0005-0000-0000-000099680000}"/>
    <cellStyle name="RAMEY" xfId="26779" xr:uid="{00000000-0005-0000-0000-00009A680000}"/>
    <cellStyle name="Ramey $k" xfId="26780" xr:uid="{00000000-0005-0000-0000-00009B680000}"/>
    <cellStyle name="Ramey $k 2" xfId="26781" xr:uid="{00000000-0005-0000-0000-00009C680000}"/>
    <cellStyle name="RAMEY_P&amp;O BKUP" xfId="26782" xr:uid="{00000000-0005-0000-0000-00009D680000}"/>
    <cellStyle name="RevList" xfId="26783" xr:uid="{00000000-0005-0000-0000-00009E680000}"/>
    <cellStyle name="SAPBEXaggData" xfId="26784" xr:uid="{00000000-0005-0000-0000-00009F680000}"/>
    <cellStyle name="SAPBEXaggData 2" xfId="26785" xr:uid="{00000000-0005-0000-0000-0000A0680000}"/>
    <cellStyle name="SAPBEXaggData 2 2" xfId="26786" xr:uid="{00000000-0005-0000-0000-0000A1680000}"/>
    <cellStyle name="SAPBEXaggData 2 2 2" xfId="26787" xr:uid="{00000000-0005-0000-0000-0000A2680000}"/>
    <cellStyle name="SAPBEXaggData 2 2 2 2" xfId="26788" xr:uid="{00000000-0005-0000-0000-0000A3680000}"/>
    <cellStyle name="SAPBEXaggData 2 2 2 3" xfId="26789" xr:uid="{00000000-0005-0000-0000-0000A4680000}"/>
    <cellStyle name="SAPBEXaggData 2 2 3" xfId="26790" xr:uid="{00000000-0005-0000-0000-0000A5680000}"/>
    <cellStyle name="SAPBEXaggData 2 2 3 2" xfId="26791" xr:uid="{00000000-0005-0000-0000-0000A6680000}"/>
    <cellStyle name="SAPBEXaggData 2 2 3 3" xfId="26792" xr:uid="{00000000-0005-0000-0000-0000A7680000}"/>
    <cellStyle name="SAPBEXaggData 2 2 4" xfId="26793" xr:uid="{00000000-0005-0000-0000-0000A8680000}"/>
    <cellStyle name="SAPBEXaggData 2 2 5" xfId="26794" xr:uid="{00000000-0005-0000-0000-0000A9680000}"/>
    <cellStyle name="SAPBEXaggData 2 3" xfId="26795" xr:uid="{00000000-0005-0000-0000-0000AA680000}"/>
    <cellStyle name="SAPBEXaggData 2 3 2" xfId="26796" xr:uid="{00000000-0005-0000-0000-0000AB680000}"/>
    <cellStyle name="SAPBEXaggData 2 3 3" xfId="26797" xr:uid="{00000000-0005-0000-0000-0000AC680000}"/>
    <cellStyle name="SAPBEXaggData 2 4" xfId="26798" xr:uid="{00000000-0005-0000-0000-0000AD680000}"/>
    <cellStyle name="SAPBEXaggData 3" xfId="26799" xr:uid="{00000000-0005-0000-0000-0000AE680000}"/>
    <cellStyle name="SAPBEXaggData 3 2" xfId="26800" xr:uid="{00000000-0005-0000-0000-0000AF680000}"/>
    <cellStyle name="SAPBEXaggData 3 2 2" xfId="26801" xr:uid="{00000000-0005-0000-0000-0000B0680000}"/>
    <cellStyle name="SAPBEXaggData 3 2 3" xfId="26802" xr:uid="{00000000-0005-0000-0000-0000B1680000}"/>
    <cellStyle name="SAPBEXaggData 3 3" xfId="26803" xr:uid="{00000000-0005-0000-0000-0000B2680000}"/>
    <cellStyle name="SAPBEXaggData 3 3 2" xfId="26804" xr:uid="{00000000-0005-0000-0000-0000B3680000}"/>
    <cellStyle name="SAPBEXaggData 3 3 3" xfId="26805" xr:uid="{00000000-0005-0000-0000-0000B4680000}"/>
    <cellStyle name="SAPBEXaggData 3 4" xfId="26806" xr:uid="{00000000-0005-0000-0000-0000B5680000}"/>
    <cellStyle name="SAPBEXaggData 3 5" xfId="26807" xr:uid="{00000000-0005-0000-0000-0000B6680000}"/>
    <cellStyle name="SAPBEXaggData 4" xfId="26808" xr:uid="{00000000-0005-0000-0000-0000B7680000}"/>
    <cellStyle name="SAPBEXaggData 4 2" xfId="26809" xr:uid="{00000000-0005-0000-0000-0000B8680000}"/>
    <cellStyle name="SAPBEXaggData 4 3" xfId="26810" xr:uid="{00000000-0005-0000-0000-0000B9680000}"/>
    <cellStyle name="SAPBEXaggData 5" xfId="26811" xr:uid="{00000000-0005-0000-0000-0000BA680000}"/>
    <cellStyle name="SAPBEXaggDataEmph" xfId="26812" xr:uid="{00000000-0005-0000-0000-0000BB680000}"/>
    <cellStyle name="SAPBEXaggDataEmph 2" xfId="26813" xr:uid="{00000000-0005-0000-0000-0000BC680000}"/>
    <cellStyle name="SAPBEXaggDataEmph 2 2" xfId="26814" xr:uid="{00000000-0005-0000-0000-0000BD680000}"/>
    <cellStyle name="SAPBEXaggDataEmph 2 2 2" xfId="26815" xr:uid="{00000000-0005-0000-0000-0000BE680000}"/>
    <cellStyle name="SAPBEXaggDataEmph 2 2 3" xfId="26816" xr:uid="{00000000-0005-0000-0000-0000BF680000}"/>
    <cellStyle name="SAPBEXaggDataEmph 2 3" xfId="26817" xr:uid="{00000000-0005-0000-0000-0000C0680000}"/>
    <cellStyle name="SAPBEXaggDataEmph 2 3 2" xfId="26818" xr:uid="{00000000-0005-0000-0000-0000C1680000}"/>
    <cellStyle name="SAPBEXaggDataEmph 2 3 3" xfId="26819" xr:uid="{00000000-0005-0000-0000-0000C2680000}"/>
    <cellStyle name="SAPBEXaggDataEmph 2 4" xfId="26820" xr:uid="{00000000-0005-0000-0000-0000C3680000}"/>
    <cellStyle name="SAPBEXaggDataEmph 2 5" xfId="26821" xr:uid="{00000000-0005-0000-0000-0000C4680000}"/>
    <cellStyle name="SAPBEXaggDataEmph 3" xfId="26822" xr:uid="{00000000-0005-0000-0000-0000C5680000}"/>
    <cellStyle name="SAPBEXaggDataEmph 3 2" xfId="26823" xr:uid="{00000000-0005-0000-0000-0000C6680000}"/>
    <cellStyle name="SAPBEXaggDataEmph 3 3" xfId="26824" xr:uid="{00000000-0005-0000-0000-0000C7680000}"/>
    <cellStyle name="SAPBEXaggDataEmph 4" xfId="26825" xr:uid="{00000000-0005-0000-0000-0000C8680000}"/>
    <cellStyle name="SAPBEXaggItem" xfId="26826" xr:uid="{00000000-0005-0000-0000-0000C9680000}"/>
    <cellStyle name="SAPBEXaggItem 2" xfId="26827" xr:uid="{00000000-0005-0000-0000-0000CA680000}"/>
    <cellStyle name="SAPBEXaggItem 2 2" xfId="26828" xr:uid="{00000000-0005-0000-0000-0000CB680000}"/>
    <cellStyle name="SAPBEXaggItem 2 2 2" xfId="26829" xr:uid="{00000000-0005-0000-0000-0000CC680000}"/>
    <cellStyle name="SAPBEXaggItem 2 2 2 2" xfId="26830" xr:uid="{00000000-0005-0000-0000-0000CD680000}"/>
    <cellStyle name="SAPBEXaggItem 2 2 2 3" xfId="26831" xr:uid="{00000000-0005-0000-0000-0000CE680000}"/>
    <cellStyle name="SAPBEXaggItem 2 2 3" xfId="26832" xr:uid="{00000000-0005-0000-0000-0000CF680000}"/>
    <cellStyle name="SAPBEXaggItem 2 2 3 2" xfId="26833" xr:uid="{00000000-0005-0000-0000-0000D0680000}"/>
    <cellStyle name="SAPBEXaggItem 2 2 3 3" xfId="26834" xr:uid="{00000000-0005-0000-0000-0000D1680000}"/>
    <cellStyle name="SAPBEXaggItem 2 2 4" xfId="26835" xr:uid="{00000000-0005-0000-0000-0000D2680000}"/>
    <cellStyle name="SAPBEXaggItem 2 2 5" xfId="26836" xr:uid="{00000000-0005-0000-0000-0000D3680000}"/>
    <cellStyle name="SAPBEXaggItem 2 3" xfId="26837" xr:uid="{00000000-0005-0000-0000-0000D4680000}"/>
    <cellStyle name="SAPBEXaggItem 2 3 2" xfId="26838" xr:uid="{00000000-0005-0000-0000-0000D5680000}"/>
    <cellStyle name="SAPBEXaggItem 2 3 3" xfId="26839" xr:uid="{00000000-0005-0000-0000-0000D6680000}"/>
    <cellStyle name="SAPBEXaggItem 2 4" xfId="26840" xr:uid="{00000000-0005-0000-0000-0000D7680000}"/>
    <cellStyle name="SAPBEXaggItem 3" xfId="26841" xr:uid="{00000000-0005-0000-0000-0000D8680000}"/>
    <cellStyle name="SAPBEXaggItem 3 2" xfId="26842" xr:uid="{00000000-0005-0000-0000-0000D9680000}"/>
    <cellStyle name="SAPBEXaggItem 3 2 2" xfId="26843" xr:uid="{00000000-0005-0000-0000-0000DA680000}"/>
    <cellStyle name="SAPBEXaggItem 3 2 3" xfId="26844" xr:uid="{00000000-0005-0000-0000-0000DB680000}"/>
    <cellStyle name="SAPBEXaggItem 3 3" xfId="26845" xr:uid="{00000000-0005-0000-0000-0000DC680000}"/>
    <cellStyle name="SAPBEXaggItem 3 3 2" xfId="26846" xr:uid="{00000000-0005-0000-0000-0000DD680000}"/>
    <cellStyle name="SAPBEXaggItem 3 3 3" xfId="26847" xr:uid="{00000000-0005-0000-0000-0000DE680000}"/>
    <cellStyle name="SAPBEXaggItem 3 4" xfId="26848" xr:uid="{00000000-0005-0000-0000-0000DF680000}"/>
    <cellStyle name="SAPBEXaggItem 3 5" xfId="26849" xr:uid="{00000000-0005-0000-0000-0000E0680000}"/>
    <cellStyle name="SAPBEXaggItem 4" xfId="26850" xr:uid="{00000000-0005-0000-0000-0000E1680000}"/>
    <cellStyle name="SAPBEXaggItem 4 2" xfId="26851" xr:uid="{00000000-0005-0000-0000-0000E2680000}"/>
    <cellStyle name="SAPBEXaggItem 4 3" xfId="26852" xr:uid="{00000000-0005-0000-0000-0000E3680000}"/>
    <cellStyle name="SAPBEXaggItem 5" xfId="26853" xr:uid="{00000000-0005-0000-0000-0000E4680000}"/>
    <cellStyle name="SAPBEXaggItemX" xfId="26854" xr:uid="{00000000-0005-0000-0000-0000E5680000}"/>
    <cellStyle name="SAPBEXaggItemX 2" xfId="26855" xr:uid="{00000000-0005-0000-0000-0000E6680000}"/>
    <cellStyle name="SAPBEXaggItemX 2 2" xfId="26856" xr:uid="{00000000-0005-0000-0000-0000E7680000}"/>
    <cellStyle name="SAPBEXaggItemX 2 2 2" xfId="26857" xr:uid="{00000000-0005-0000-0000-0000E8680000}"/>
    <cellStyle name="SAPBEXaggItemX 2 2 2 2" xfId="26858" xr:uid="{00000000-0005-0000-0000-0000E9680000}"/>
    <cellStyle name="SAPBEXaggItemX 2 2 2 3" xfId="26859" xr:uid="{00000000-0005-0000-0000-0000EA680000}"/>
    <cellStyle name="SAPBEXaggItemX 2 2 3" xfId="26860" xr:uid="{00000000-0005-0000-0000-0000EB680000}"/>
    <cellStyle name="SAPBEXaggItemX 2 2 3 2" xfId="26861" xr:uid="{00000000-0005-0000-0000-0000EC680000}"/>
    <cellStyle name="SAPBEXaggItemX 2 2 3 3" xfId="26862" xr:uid="{00000000-0005-0000-0000-0000ED680000}"/>
    <cellStyle name="SAPBEXaggItemX 2 2 4" xfId="26863" xr:uid="{00000000-0005-0000-0000-0000EE680000}"/>
    <cellStyle name="SAPBEXaggItemX 2 2 5" xfId="26864" xr:uid="{00000000-0005-0000-0000-0000EF680000}"/>
    <cellStyle name="SAPBEXaggItemX 2 3" xfId="26865" xr:uid="{00000000-0005-0000-0000-0000F0680000}"/>
    <cellStyle name="SAPBEXaggItemX 2 3 2" xfId="26866" xr:uid="{00000000-0005-0000-0000-0000F1680000}"/>
    <cellStyle name="SAPBEXaggItemX 2 3 3" xfId="26867" xr:uid="{00000000-0005-0000-0000-0000F2680000}"/>
    <cellStyle name="SAPBEXaggItemX 2 4" xfId="26868" xr:uid="{00000000-0005-0000-0000-0000F3680000}"/>
    <cellStyle name="SAPBEXaggItemX 3" xfId="26869" xr:uid="{00000000-0005-0000-0000-0000F4680000}"/>
    <cellStyle name="SAPBEXaggItemX 3 2" xfId="26870" xr:uid="{00000000-0005-0000-0000-0000F5680000}"/>
    <cellStyle name="SAPBEXaggItemX 3 2 2" xfId="26871" xr:uid="{00000000-0005-0000-0000-0000F6680000}"/>
    <cellStyle name="SAPBEXaggItemX 3 2 3" xfId="26872" xr:uid="{00000000-0005-0000-0000-0000F7680000}"/>
    <cellStyle name="SAPBEXaggItemX 3 3" xfId="26873" xr:uid="{00000000-0005-0000-0000-0000F8680000}"/>
    <cellStyle name="SAPBEXaggItemX 3 3 2" xfId="26874" xr:uid="{00000000-0005-0000-0000-0000F9680000}"/>
    <cellStyle name="SAPBEXaggItemX 3 3 3" xfId="26875" xr:uid="{00000000-0005-0000-0000-0000FA680000}"/>
    <cellStyle name="SAPBEXaggItemX 3 4" xfId="26876" xr:uid="{00000000-0005-0000-0000-0000FB680000}"/>
    <cellStyle name="SAPBEXaggItemX 3 5" xfId="26877" xr:uid="{00000000-0005-0000-0000-0000FC680000}"/>
    <cellStyle name="SAPBEXaggItemX 4" xfId="26878" xr:uid="{00000000-0005-0000-0000-0000FD680000}"/>
    <cellStyle name="SAPBEXaggItemX 4 2" xfId="26879" xr:uid="{00000000-0005-0000-0000-0000FE680000}"/>
    <cellStyle name="SAPBEXaggItemX 4 3" xfId="26880" xr:uid="{00000000-0005-0000-0000-0000FF680000}"/>
    <cellStyle name="SAPBEXaggItemX 5" xfId="26881" xr:uid="{00000000-0005-0000-0000-000000690000}"/>
    <cellStyle name="SAPBEXchaText" xfId="26882" xr:uid="{00000000-0005-0000-0000-000001690000}"/>
    <cellStyle name="SAPBEXchaText 2" xfId="26883" xr:uid="{00000000-0005-0000-0000-000002690000}"/>
    <cellStyle name="SAPBEXchaText 2 2" xfId="26884" xr:uid="{00000000-0005-0000-0000-000003690000}"/>
    <cellStyle name="SAPBEXchaText 2 2 2" xfId="26885" xr:uid="{00000000-0005-0000-0000-000004690000}"/>
    <cellStyle name="SAPBEXchaText 2 2 3" xfId="26886" xr:uid="{00000000-0005-0000-0000-000005690000}"/>
    <cellStyle name="SAPBEXchaText 2 3" xfId="26887" xr:uid="{00000000-0005-0000-0000-000006690000}"/>
    <cellStyle name="SAPBEXchaText 2 3 2" xfId="26888" xr:uid="{00000000-0005-0000-0000-000007690000}"/>
    <cellStyle name="SAPBEXchaText 2 3 3" xfId="26889" xr:uid="{00000000-0005-0000-0000-000008690000}"/>
    <cellStyle name="SAPBEXchaText 2 4" xfId="26890" xr:uid="{00000000-0005-0000-0000-000009690000}"/>
    <cellStyle name="SAPBEXchaText 2 5" xfId="26891" xr:uid="{00000000-0005-0000-0000-00000A690000}"/>
    <cellStyle name="SAPBEXchaText 3" xfId="26892" xr:uid="{00000000-0005-0000-0000-00000B690000}"/>
    <cellStyle name="SAPBEXchaText 3 2" xfId="26893" xr:uid="{00000000-0005-0000-0000-00000C690000}"/>
    <cellStyle name="SAPBEXchaText 3 3" xfId="26894" xr:uid="{00000000-0005-0000-0000-00000D690000}"/>
    <cellStyle name="SAPBEXchaText 4" xfId="26895" xr:uid="{00000000-0005-0000-0000-00000E690000}"/>
    <cellStyle name="SAPBEXexcBad7" xfId="26896" xr:uid="{00000000-0005-0000-0000-00000F690000}"/>
    <cellStyle name="SAPBEXexcBad7 2" xfId="26897" xr:uid="{00000000-0005-0000-0000-000010690000}"/>
    <cellStyle name="SAPBEXexcBad7 2 2" xfId="26898" xr:uid="{00000000-0005-0000-0000-000011690000}"/>
    <cellStyle name="SAPBEXexcBad7 2 2 2" xfId="26899" xr:uid="{00000000-0005-0000-0000-000012690000}"/>
    <cellStyle name="SAPBEXexcBad7 2 2 2 2" xfId="26900" xr:uid="{00000000-0005-0000-0000-000013690000}"/>
    <cellStyle name="SAPBEXexcBad7 2 2 2 3" xfId="26901" xr:uid="{00000000-0005-0000-0000-000014690000}"/>
    <cellStyle name="SAPBEXexcBad7 2 2 3" xfId="26902" xr:uid="{00000000-0005-0000-0000-000015690000}"/>
    <cellStyle name="SAPBEXexcBad7 2 2 3 2" xfId="26903" xr:uid="{00000000-0005-0000-0000-000016690000}"/>
    <cellStyle name="SAPBEXexcBad7 2 2 3 3" xfId="26904" xr:uid="{00000000-0005-0000-0000-000017690000}"/>
    <cellStyle name="SAPBEXexcBad7 2 2 4" xfId="26905" xr:uid="{00000000-0005-0000-0000-000018690000}"/>
    <cellStyle name="SAPBEXexcBad7 2 2 5" xfId="26906" xr:uid="{00000000-0005-0000-0000-000019690000}"/>
    <cellStyle name="SAPBEXexcBad7 2 3" xfId="26907" xr:uid="{00000000-0005-0000-0000-00001A690000}"/>
    <cellStyle name="SAPBEXexcBad7 2 3 2" xfId="26908" xr:uid="{00000000-0005-0000-0000-00001B690000}"/>
    <cellStyle name="SAPBEXexcBad7 2 3 3" xfId="26909" xr:uid="{00000000-0005-0000-0000-00001C690000}"/>
    <cellStyle name="SAPBEXexcBad7 2 4" xfId="26910" xr:uid="{00000000-0005-0000-0000-00001D690000}"/>
    <cellStyle name="SAPBEXexcBad7 3" xfId="26911" xr:uid="{00000000-0005-0000-0000-00001E690000}"/>
    <cellStyle name="SAPBEXexcBad7 3 2" xfId="26912" xr:uid="{00000000-0005-0000-0000-00001F690000}"/>
    <cellStyle name="SAPBEXexcBad7 3 2 2" xfId="26913" xr:uid="{00000000-0005-0000-0000-000020690000}"/>
    <cellStyle name="SAPBEXexcBad7 3 2 3" xfId="26914" xr:uid="{00000000-0005-0000-0000-000021690000}"/>
    <cellStyle name="SAPBEXexcBad7 3 3" xfId="26915" xr:uid="{00000000-0005-0000-0000-000022690000}"/>
    <cellStyle name="SAPBEXexcBad7 3 3 2" xfId="26916" xr:uid="{00000000-0005-0000-0000-000023690000}"/>
    <cellStyle name="SAPBEXexcBad7 3 3 3" xfId="26917" xr:uid="{00000000-0005-0000-0000-000024690000}"/>
    <cellStyle name="SAPBEXexcBad7 3 4" xfId="26918" xr:uid="{00000000-0005-0000-0000-000025690000}"/>
    <cellStyle name="SAPBEXexcBad7 3 5" xfId="26919" xr:uid="{00000000-0005-0000-0000-000026690000}"/>
    <cellStyle name="SAPBEXexcBad7 4" xfId="26920" xr:uid="{00000000-0005-0000-0000-000027690000}"/>
    <cellStyle name="SAPBEXexcBad7 4 2" xfId="26921" xr:uid="{00000000-0005-0000-0000-000028690000}"/>
    <cellStyle name="SAPBEXexcBad7 4 3" xfId="26922" xr:uid="{00000000-0005-0000-0000-000029690000}"/>
    <cellStyle name="SAPBEXexcBad7 5" xfId="26923" xr:uid="{00000000-0005-0000-0000-00002A690000}"/>
    <cellStyle name="SAPBEXexcBad8" xfId="26924" xr:uid="{00000000-0005-0000-0000-00002B690000}"/>
    <cellStyle name="SAPBEXexcBad8 2" xfId="26925" xr:uid="{00000000-0005-0000-0000-00002C690000}"/>
    <cellStyle name="SAPBEXexcBad8 2 2" xfId="26926" xr:uid="{00000000-0005-0000-0000-00002D690000}"/>
    <cellStyle name="SAPBEXexcBad8 2 2 2" xfId="26927" xr:uid="{00000000-0005-0000-0000-00002E690000}"/>
    <cellStyle name="SAPBEXexcBad8 2 2 2 2" xfId="26928" xr:uid="{00000000-0005-0000-0000-00002F690000}"/>
    <cellStyle name="SAPBEXexcBad8 2 2 2 3" xfId="26929" xr:uid="{00000000-0005-0000-0000-000030690000}"/>
    <cellStyle name="SAPBEXexcBad8 2 2 3" xfId="26930" xr:uid="{00000000-0005-0000-0000-000031690000}"/>
    <cellStyle name="SAPBEXexcBad8 2 2 3 2" xfId="26931" xr:uid="{00000000-0005-0000-0000-000032690000}"/>
    <cellStyle name="SAPBEXexcBad8 2 2 3 3" xfId="26932" xr:uid="{00000000-0005-0000-0000-000033690000}"/>
    <cellStyle name="SAPBEXexcBad8 2 2 4" xfId="26933" xr:uid="{00000000-0005-0000-0000-000034690000}"/>
    <cellStyle name="SAPBEXexcBad8 2 2 5" xfId="26934" xr:uid="{00000000-0005-0000-0000-000035690000}"/>
    <cellStyle name="SAPBEXexcBad8 2 3" xfId="26935" xr:uid="{00000000-0005-0000-0000-000036690000}"/>
    <cellStyle name="SAPBEXexcBad8 2 3 2" xfId="26936" xr:uid="{00000000-0005-0000-0000-000037690000}"/>
    <cellStyle name="SAPBEXexcBad8 2 3 3" xfId="26937" xr:uid="{00000000-0005-0000-0000-000038690000}"/>
    <cellStyle name="SAPBEXexcBad8 2 4" xfId="26938" xr:uid="{00000000-0005-0000-0000-000039690000}"/>
    <cellStyle name="SAPBEXexcBad8 3" xfId="26939" xr:uid="{00000000-0005-0000-0000-00003A690000}"/>
    <cellStyle name="SAPBEXexcBad8 3 2" xfId="26940" xr:uid="{00000000-0005-0000-0000-00003B690000}"/>
    <cellStyle name="SAPBEXexcBad8 3 2 2" xfId="26941" xr:uid="{00000000-0005-0000-0000-00003C690000}"/>
    <cellStyle name="SAPBEXexcBad8 3 2 3" xfId="26942" xr:uid="{00000000-0005-0000-0000-00003D690000}"/>
    <cellStyle name="SAPBEXexcBad8 3 3" xfId="26943" xr:uid="{00000000-0005-0000-0000-00003E690000}"/>
    <cellStyle name="SAPBEXexcBad8 3 3 2" xfId="26944" xr:uid="{00000000-0005-0000-0000-00003F690000}"/>
    <cellStyle name="SAPBEXexcBad8 3 3 3" xfId="26945" xr:uid="{00000000-0005-0000-0000-000040690000}"/>
    <cellStyle name="SAPBEXexcBad8 3 4" xfId="26946" xr:uid="{00000000-0005-0000-0000-000041690000}"/>
    <cellStyle name="SAPBEXexcBad8 3 5" xfId="26947" xr:uid="{00000000-0005-0000-0000-000042690000}"/>
    <cellStyle name="SAPBEXexcBad8 4" xfId="26948" xr:uid="{00000000-0005-0000-0000-000043690000}"/>
    <cellStyle name="SAPBEXexcBad8 4 2" xfId="26949" xr:uid="{00000000-0005-0000-0000-000044690000}"/>
    <cellStyle name="SAPBEXexcBad8 4 3" xfId="26950" xr:uid="{00000000-0005-0000-0000-000045690000}"/>
    <cellStyle name="SAPBEXexcBad8 5" xfId="26951" xr:uid="{00000000-0005-0000-0000-000046690000}"/>
    <cellStyle name="SAPBEXexcBad9" xfId="26952" xr:uid="{00000000-0005-0000-0000-000047690000}"/>
    <cellStyle name="SAPBEXexcBad9 2" xfId="26953" xr:uid="{00000000-0005-0000-0000-000048690000}"/>
    <cellStyle name="SAPBEXexcBad9 2 2" xfId="26954" xr:uid="{00000000-0005-0000-0000-000049690000}"/>
    <cellStyle name="SAPBEXexcBad9 2 2 2" xfId="26955" xr:uid="{00000000-0005-0000-0000-00004A690000}"/>
    <cellStyle name="SAPBEXexcBad9 2 2 2 2" xfId="26956" xr:uid="{00000000-0005-0000-0000-00004B690000}"/>
    <cellStyle name="SAPBEXexcBad9 2 2 2 3" xfId="26957" xr:uid="{00000000-0005-0000-0000-00004C690000}"/>
    <cellStyle name="SAPBEXexcBad9 2 2 3" xfId="26958" xr:uid="{00000000-0005-0000-0000-00004D690000}"/>
    <cellStyle name="SAPBEXexcBad9 2 2 3 2" xfId="26959" xr:uid="{00000000-0005-0000-0000-00004E690000}"/>
    <cellStyle name="SAPBEXexcBad9 2 2 3 3" xfId="26960" xr:uid="{00000000-0005-0000-0000-00004F690000}"/>
    <cellStyle name="SAPBEXexcBad9 2 2 4" xfId="26961" xr:uid="{00000000-0005-0000-0000-000050690000}"/>
    <cellStyle name="SAPBEXexcBad9 2 2 5" xfId="26962" xr:uid="{00000000-0005-0000-0000-000051690000}"/>
    <cellStyle name="SAPBEXexcBad9 2 3" xfId="26963" xr:uid="{00000000-0005-0000-0000-000052690000}"/>
    <cellStyle name="SAPBEXexcBad9 2 3 2" xfId="26964" xr:uid="{00000000-0005-0000-0000-000053690000}"/>
    <cellStyle name="SAPBEXexcBad9 2 3 3" xfId="26965" xr:uid="{00000000-0005-0000-0000-000054690000}"/>
    <cellStyle name="SAPBEXexcBad9 2 4" xfId="26966" xr:uid="{00000000-0005-0000-0000-000055690000}"/>
    <cellStyle name="SAPBEXexcBad9 3" xfId="26967" xr:uid="{00000000-0005-0000-0000-000056690000}"/>
    <cellStyle name="SAPBEXexcBad9 3 2" xfId="26968" xr:uid="{00000000-0005-0000-0000-000057690000}"/>
    <cellStyle name="SAPBEXexcBad9 3 2 2" xfId="26969" xr:uid="{00000000-0005-0000-0000-000058690000}"/>
    <cellStyle name="SAPBEXexcBad9 3 2 3" xfId="26970" xr:uid="{00000000-0005-0000-0000-000059690000}"/>
    <cellStyle name="SAPBEXexcBad9 3 3" xfId="26971" xr:uid="{00000000-0005-0000-0000-00005A690000}"/>
    <cellStyle name="SAPBEXexcBad9 3 3 2" xfId="26972" xr:uid="{00000000-0005-0000-0000-00005B690000}"/>
    <cellStyle name="SAPBEXexcBad9 3 3 3" xfId="26973" xr:uid="{00000000-0005-0000-0000-00005C690000}"/>
    <cellStyle name="SAPBEXexcBad9 3 4" xfId="26974" xr:uid="{00000000-0005-0000-0000-00005D690000}"/>
    <cellStyle name="SAPBEXexcBad9 3 5" xfId="26975" xr:uid="{00000000-0005-0000-0000-00005E690000}"/>
    <cellStyle name="SAPBEXexcBad9 4" xfId="26976" xr:uid="{00000000-0005-0000-0000-00005F690000}"/>
    <cellStyle name="SAPBEXexcBad9 4 2" xfId="26977" xr:uid="{00000000-0005-0000-0000-000060690000}"/>
    <cellStyle name="SAPBEXexcBad9 4 3" xfId="26978" xr:uid="{00000000-0005-0000-0000-000061690000}"/>
    <cellStyle name="SAPBEXexcBad9 5" xfId="26979" xr:uid="{00000000-0005-0000-0000-000062690000}"/>
    <cellStyle name="SAPBEXexcCritical4" xfId="26980" xr:uid="{00000000-0005-0000-0000-000063690000}"/>
    <cellStyle name="SAPBEXexcCritical4 2" xfId="26981" xr:uid="{00000000-0005-0000-0000-000064690000}"/>
    <cellStyle name="SAPBEXexcCritical4 2 2" xfId="26982" xr:uid="{00000000-0005-0000-0000-000065690000}"/>
    <cellStyle name="SAPBEXexcCritical4 2 2 2" xfId="26983" xr:uid="{00000000-0005-0000-0000-000066690000}"/>
    <cellStyle name="SAPBEXexcCritical4 2 2 2 2" xfId="26984" xr:uid="{00000000-0005-0000-0000-000067690000}"/>
    <cellStyle name="SAPBEXexcCritical4 2 2 2 3" xfId="26985" xr:uid="{00000000-0005-0000-0000-000068690000}"/>
    <cellStyle name="SAPBEXexcCritical4 2 2 3" xfId="26986" xr:uid="{00000000-0005-0000-0000-000069690000}"/>
    <cellStyle name="SAPBEXexcCritical4 2 2 3 2" xfId="26987" xr:uid="{00000000-0005-0000-0000-00006A690000}"/>
    <cellStyle name="SAPBEXexcCritical4 2 2 3 3" xfId="26988" xr:uid="{00000000-0005-0000-0000-00006B690000}"/>
    <cellStyle name="SAPBEXexcCritical4 2 2 4" xfId="26989" xr:uid="{00000000-0005-0000-0000-00006C690000}"/>
    <cellStyle name="SAPBEXexcCritical4 2 2 5" xfId="26990" xr:uid="{00000000-0005-0000-0000-00006D690000}"/>
    <cellStyle name="SAPBEXexcCritical4 2 3" xfId="26991" xr:uid="{00000000-0005-0000-0000-00006E690000}"/>
    <cellStyle name="SAPBEXexcCritical4 2 3 2" xfId="26992" xr:uid="{00000000-0005-0000-0000-00006F690000}"/>
    <cellStyle name="SAPBEXexcCritical4 2 3 3" xfId="26993" xr:uid="{00000000-0005-0000-0000-000070690000}"/>
    <cellStyle name="SAPBEXexcCritical4 2 4" xfId="26994" xr:uid="{00000000-0005-0000-0000-000071690000}"/>
    <cellStyle name="SAPBEXexcCritical4 3" xfId="26995" xr:uid="{00000000-0005-0000-0000-000072690000}"/>
    <cellStyle name="SAPBEXexcCritical4 3 2" xfId="26996" xr:uid="{00000000-0005-0000-0000-000073690000}"/>
    <cellStyle name="SAPBEXexcCritical4 3 2 2" xfId="26997" xr:uid="{00000000-0005-0000-0000-000074690000}"/>
    <cellStyle name="SAPBEXexcCritical4 3 2 3" xfId="26998" xr:uid="{00000000-0005-0000-0000-000075690000}"/>
    <cellStyle name="SAPBEXexcCritical4 3 3" xfId="26999" xr:uid="{00000000-0005-0000-0000-000076690000}"/>
    <cellStyle name="SAPBEXexcCritical4 3 3 2" xfId="27000" xr:uid="{00000000-0005-0000-0000-000077690000}"/>
    <cellStyle name="SAPBEXexcCritical4 3 3 3" xfId="27001" xr:uid="{00000000-0005-0000-0000-000078690000}"/>
    <cellStyle name="SAPBEXexcCritical4 3 4" xfId="27002" xr:uid="{00000000-0005-0000-0000-000079690000}"/>
    <cellStyle name="SAPBEXexcCritical4 3 5" xfId="27003" xr:uid="{00000000-0005-0000-0000-00007A690000}"/>
    <cellStyle name="SAPBEXexcCritical4 4" xfId="27004" xr:uid="{00000000-0005-0000-0000-00007B690000}"/>
    <cellStyle name="SAPBEXexcCritical4 4 2" xfId="27005" xr:uid="{00000000-0005-0000-0000-00007C690000}"/>
    <cellStyle name="SAPBEXexcCritical4 4 3" xfId="27006" xr:uid="{00000000-0005-0000-0000-00007D690000}"/>
    <cellStyle name="SAPBEXexcCritical4 5" xfId="27007" xr:uid="{00000000-0005-0000-0000-00007E690000}"/>
    <cellStyle name="SAPBEXexcCritical5" xfId="27008" xr:uid="{00000000-0005-0000-0000-00007F690000}"/>
    <cellStyle name="SAPBEXexcCritical5 2" xfId="27009" xr:uid="{00000000-0005-0000-0000-000080690000}"/>
    <cellStyle name="SAPBEXexcCritical5 2 2" xfId="27010" xr:uid="{00000000-0005-0000-0000-000081690000}"/>
    <cellStyle name="SAPBEXexcCritical5 2 2 2" xfId="27011" xr:uid="{00000000-0005-0000-0000-000082690000}"/>
    <cellStyle name="SAPBEXexcCritical5 2 2 2 2" xfId="27012" xr:uid="{00000000-0005-0000-0000-000083690000}"/>
    <cellStyle name="SAPBEXexcCritical5 2 2 2 3" xfId="27013" xr:uid="{00000000-0005-0000-0000-000084690000}"/>
    <cellStyle name="SAPBEXexcCritical5 2 2 3" xfId="27014" xr:uid="{00000000-0005-0000-0000-000085690000}"/>
    <cellStyle name="SAPBEXexcCritical5 2 2 3 2" xfId="27015" xr:uid="{00000000-0005-0000-0000-000086690000}"/>
    <cellStyle name="SAPBEXexcCritical5 2 2 3 3" xfId="27016" xr:uid="{00000000-0005-0000-0000-000087690000}"/>
    <cellStyle name="SAPBEXexcCritical5 2 2 4" xfId="27017" xr:uid="{00000000-0005-0000-0000-000088690000}"/>
    <cellStyle name="SAPBEXexcCritical5 2 2 5" xfId="27018" xr:uid="{00000000-0005-0000-0000-000089690000}"/>
    <cellStyle name="SAPBEXexcCritical5 2 3" xfId="27019" xr:uid="{00000000-0005-0000-0000-00008A690000}"/>
    <cellStyle name="SAPBEXexcCritical5 2 3 2" xfId="27020" xr:uid="{00000000-0005-0000-0000-00008B690000}"/>
    <cellStyle name="SAPBEXexcCritical5 2 3 3" xfId="27021" xr:uid="{00000000-0005-0000-0000-00008C690000}"/>
    <cellStyle name="SAPBEXexcCritical5 2 4" xfId="27022" xr:uid="{00000000-0005-0000-0000-00008D690000}"/>
    <cellStyle name="SAPBEXexcCritical5 3" xfId="27023" xr:uid="{00000000-0005-0000-0000-00008E690000}"/>
    <cellStyle name="SAPBEXexcCritical5 3 2" xfId="27024" xr:uid="{00000000-0005-0000-0000-00008F690000}"/>
    <cellStyle name="SAPBEXexcCritical5 3 2 2" xfId="27025" xr:uid="{00000000-0005-0000-0000-000090690000}"/>
    <cellStyle name="SAPBEXexcCritical5 3 2 3" xfId="27026" xr:uid="{00000000-0005-0000-0000-000091690000}"/>
    <cellStyle name="SAPBEXexcCritical5 3 3" xfId="27027" xr:uid="{00000000-0005-0000-0000-000092690000}"/>
    <cellStyle name="SAPBEXexcCritical5 3 3 2" xfId="27028" xr:uid="{00000000-0005-0000-0000-000093690000}"/>
    <cellStyle name="SAPBEXexcCritical5 3 3 3" xfId="27029" xr:uid="{00000000-0005-0000-0000-000094690000}"/>
    <cellStyle name="SAPBEXexcCritical5 3 4" xfId="27030" xr:uid="{00000000-0005-0000-0000-000095690000}"/>
    <cellStyle name="SAPBEXexcCritical5 3 5" xfId="27031" xr:uid="{00000000-0005-0000-0000-000096690000}"/>
    <cellStyle name="SAPBEXexcCritical5 4" xfId="27032" xr:uid="{00000000-0005-0000-0000-000097690000}"/>
    <cellStyle name="SAPBEXexcCritical5 4 2" xfId="27033" xr:uid="{00000000-0005-0000-0000-000098690000}"/>
    <cellStyle name="SAPBEXexcCritical5 4 3" xfId="27034" xr:uid="{00000000-0005-0000-0000-000099690000}"/>
    <cellStyle name="SAPBEXexcCritical5 5" xfId="27035" xr:uid="{00000000-0005-0000-0000-00009A690000}"/>
    <cellStyle name="SAPBEXexcCritical6" xfId="27036" xr:uid="{00000000-0005-0000-0000-00009B690000}"/>
    <cellStyle name="SAPBEXexcCritical6 2" xfId="27037" xr:uid="{00000000-0005-0000-0000-00009C690000}"/>
    <cellStyle name="SAPBEXexcCritical6 2 2" xfId="27038" xr:uid="{00000000-0005-0000-0000-00009D690000}"/>
    <cellStyle name="SAPBEXexcCritical6 2 2 2" xfId="27039" xr:uid="{00000000-0005-0000-0000-00009E690000}"/>
    <cellStyle name="SAPBEXexcCritical6 2 2 2 2" xfId="27040" xr:uid="{00000000-0005-0000-0000-00009F690000}"/>
    <cellStyle name="SAPBEXexcCritical6 2 2 2 3" xfId="27041" xr:uid="{00000000-0005-0000-0000-0000A0690000}"/>
    <cellStyle name="SAPBEXexcCritical6 2 2 3" xfId="27042" xr:uid="{00000000-0005-0000-0000-0000A1690000}"/>
    <cellStyle name="SAPBEXexcCritical6 2 2 3 2" xfId="27043" xr:uid="{00000000-0005-0000-0000-0000A2690000}"/>
    <cellStyle name="SAPBEXexcCritical6 2 2 3 3" xfId="27044" xr:uid="{00000000-0005-0000-0000-0000A3690000}"/>
    <cellStyle name="SAPBEXexcCritical6 2 2 4" xfId="27045" xr:uid="{00000000-0005-0000-0000-0000A4690000}"/>
    <cellStyle name="SAPBEXexcCritical6 2 2 5" xfId="27046" xr:uid="{00000000-0005-0000-0000-0000A5690000}"/>
    <cellStyle name="SAPBEXexcCritical6 2 3" xfId="27047" xr:uid="{00000000-0005-0000-0000-0000A6690000}"/>
    <cellStyle name="SAPBEXexcCritical6 2 3 2" xfId="27048" xr:uid="{00000000-0005-0000-0000-0000A7690000}"/>
    <cellStyle name="SAPBEXexcCritical6 2 3 3" xfId="27049" xr:uid="{00000000-0005-0000-0000-0000A8690000}"/>
    <cellStyle name="SAPBEXexcCritical6 2 4" xfId="27050" xr:uid="{00000000-0005-0000-0000-0000A9690000}"/>
    <cellStyle name="SAPBEXexcCritical6 3" xfId="27051" xr:uid="{00000000-0005-0000-0000-0000AA690000}"/>
    <cellStyle name="SAPBEXexcCritical6 3 2" xfId="27052" xr:uid="{00000000-0005-0000-0000-0000AB690000}"/>
    <cellStyle name="SAPBEXexcCritical6 3 2 2" xfId="27053" xr:uid="{00000000-0005-0000-0000-0000AC690000}"/>
    <cellStyle name="SAPBEXexcCritical6 3 2 3" xfId="27054" xr:uid="{00000000-0005-0000-0000-0000AD690000}"/>
    <cellStyle name="SAPBEXexcCritical6 3 3" xfId="27055" xr:uid="{00000000-0005-0000-0000-0000AE690000}"/>
    <cellStyle name="SAPBEXexcCritical6 3 3 2" xfId="27056" xr:uid="{00000000-0005-0000-0000-0000AF690000}"/>
    <cellStyle name="SAPBEXexcCritical6 3 3 3" xfId="27057" xr:uid="{00000000-0005-0000-0000-0000B0690000}"/>
    <cellStyle name="SAPBEXexcCritical6 3 4" xfId="27058" xr:uid="{00000000-0005-0000-0000-0000B1690000}"/>
    <cellStyle name="SAPBEXexcCritical6 3 5" xfId="27059" xr:uid="{00000000-0005-0000-0000-0000B2690000}"/>
    <cellStyle name="SAPBEXexcCritical6 4" xfId="27060" xr:uid="{00000000-0005-0000-0000-0000B3690000}"/>
    <cellStyle name="SAPBEXexcCritical6 4 2" xfId="27061" xr:uid="{00000000-0005-0000-0000-0000B4690000}"/>
    <cellStyle name="SAPBEXexcCritical6 4 3" xfId="27062" xr:uid="{00000000-0005-0000-0000-0000B5690000}"/>
    <cellStyle name="SAPBEXexcCritical6 5" xfId="27063" xr:uid="{00000000-0005-0000-0000-0000B6690000}"/>
    <cellStyle name="SAPBEXexcGood1" xfId="27064" xr:uid="{00000000-0005-0000-0000-0000B7690000}"/>
    <cellStyle name="SAPBEXexcGood1 2" xfId="27065" xr:uid="{00000000-0005-0000-0000-0000B8690000}"/>
    <cellStyle name="SAPBEXexcGood1 2 2" xfId="27066" xr:uid="{00000000-0005-0000-0000-0000B9690000}"/>
    <cellStyle name="SAPBEXexcGood1 2 2 2" xfId="27067" xr:uid="{00000000-0005-0000-0000-0000BA690000}"/>
    <cellStyle name="SAPBEXexcGood1 2 2 2 2" xfId="27068" xr:uid="{00000000-0005-0000-0000-0000BB690000}"/>
    <cellStyle name="SAPBEXexcGood1 2 2 2 3" xfId="27069" xr:uid="{00000000-0005-0000-0000-0000BC690000}"/>
    <cellStyle name="SAPBEXexcGood1 2 2 3" xfId="27070" xr:uid="{00000000-0005-0000-0000-0000BD690000}"/>
    <cellStyle name="SAPBEXexcGood1 2 2 3 2" xfId="27071" xr:uid="{00000000-0005-0000-0000-0000BE690000}"/>
    <cellStyle name="SAPBEXexcGood1 2 2 3 3" xfId="27072" xr:uid="{00000000-0005-0000-0000-0000BF690000}"/>
    <cellStyle name="SAPBEXexcGood1 2 2 4" xfId="27073" xr:uid="{00000000-0005-0000-0000-0000C0690000}"/>
    <cellStyle name="SAPBEXexcGood1 2 2 5" xfId="27074" xr:uid="{00000000-0005-0000-0000-0000C1690000}"/>
    <cellStyle name="SAPBEXexcGood1 2 3" xfId="27075" xr:uid="{00000000-0005-0000-0000-0000C2690000}"/>
    <cellStyle name="SAPBEXexcGood1 2 3 2" xfId="27076" xr:uid="{00000000-0005-0000-0000-0000C3690000}"/>
    <cellStyle name="SAPBEXexcGood1 2 3 3" xfId="27077" xr:uid="{00000000-0005-0000-0000-0000C4690000}"/>
    <cellStyle name="SAPBEXexcGood1 2 4" xfId="27078" xr:uid="{00000000-0005-0000-0000-0000C5690000}"/>
    <cellStyle name="SAPBEXexcGood1 3" xfId="27079" xr:uid="{00000000-0005-0000-0000-0000C6690000}"/>
    <cellStyle name="SAPBEXexcGood1 3 2" xfId="27080" xr:uid="{00000000-0005-0000-0000-0000C7690000}"/>
    <cellStyle name="SAPBEXexcGood1 3 2 2" xfId="27081" xr:uid="{00000000-0005-0000-0000-0000C8690000}"/>
    <cellStyle name="SAPBEXexcGood1 3 2 3" xfId="27082" xr:uid="{00000000-0005-0000-0000-0000C9690000}"/>
    <cellStyle name="SAPBEXexcGood1 3 3" xfId="27083" xr:uid="{00000000-0005-0000-0000-0000CA690000}"/>
    <cellStyle name="SAPBEXexcGood1 3 3 2" xfId="27084" xr:uid="{00000000-0005-0000-0000-0000CB690000}"/>
    <cellStyle name="SAPBEXexcGood1 3 3 3" xfId="27085" xr:uid="{00000000-0005-0000-0000-0000CC690000}"/>
    <cellStyle name="SAPBEXexcGood1 3 4" xfId="27086" xr:uid="{00000000-0005-0000-0000-0000CD690000}"/>
    <cellStyle name="SAPBEXexcGood1 3 5" xfId="27087" xr:uid="{00000000-0005-0000-0000-0000CE690000}"/>
    <cellStyle name="SAPBEXexcGood1 4" xfId="27088" xr:uid="{00000000-0005-0000-0000-0000CF690000}"/>
    <cellStyle name="SAPBEXexcGood1 4 2" xfId="27089" xr:uid="{00000000-0005-0000-0000-0000D0690000}"/>
    <cellStyle name="SAPBEXexcGood1 4 3" xfId="27090" xr:uid="{00000000-0005-0000-0000-0000D1690000}"/>
    <cellStyle name="SAPBEXexcGood1 5" xfId="27091" xr:uid="{00000000-0005-0000-0000-0000D2690000}"/>
    <cellStyle name="SAPBEXexcGood2" xfId="27092" xr:uid="{00000000-0005-0000-0000-0000D3690000}"/>
    <cellStyle name="SAPBEXexcGood2 2" xfId="27093" xr:uid="{00000000-0005-0000-0000-0000D4690000}"/>
    <cellStyle name="SAPBEXexcGood2 2 2" xfId="27094" xr:uid="{00000000-0005-0000-0000-0000D5690000}"/>
    <cellStyle name="SAPBEXexcGood2 2 2 2" xfId="27095" xr:uid="{00000000-0005-0000-0000-0000D6690000}"/>
    <cellStyle name="SAPBEXexcGood2 2 2 2 2" xfId="27096" xr:uid="{00000000-0005-0000-0000-0000D7690000}"/>
    <cellStyle name="SAPBEXexcGood2 2 2 2 3" xfId="27097" xr:uid="{00000000-0005-0000-0000-0000D8690000}"/>
    <cellStyle name="SAPBEXexcGood2 2 2 3" xfId="27098" xr:uid="{00000000-0005-0000-0000-0000D9690000}"/>
    <cellStyle name="SAPBEXexcGood2 2 2 3 2" xfId="27099" xr:uid="{00000000-0005-0000-0000-0000DA690000}"/>
    <cellStyle name="SAPBEXexcGood2 2 2 3 3" xfId="27100" xr:uid="{00000000-0005-0000-0000-0000DB690000}"/>
    <cellStyle name="SAPBEXexcGood2 2 2 4" xfId="27101" xr:uid="{00000000-0005-0000-0000-0000DC690000}"/>
    <cellStyle name="SAPBEXexcGood2 2 2 5" xfId="27102" xr:uid="{00000000-0005-0000-0000-0000DD690000}"/>
    <cellStyle name="SAPBEXexcGood2 2 3" xfId="27103" xr:uid="{00000000-0005-0000-0000-0000DE690000}"/>
    <cellStyle name="SAPBEXexcGood2 2 3 2" xfId="27104" xr:uid="{00000000-0005-0000-0000-0000DF690000}"/>
    <cellStyle name="SAPBEXexcGood2 2 3 3" xfId="27105" xr:uid="{00000000-0005-0000-0000-0000E0690000}"/>
    <cellStyle name="SAPBEXexcGood2 2 4" xfId="27106" xr:uid="{00000000-0005-0000-0000-0000E1690000}"/>
    <cellStyle name="SAPBEXexcGood2 3" xfId="27107" xr:uid="{00000000-0005-0000-0000-0000E2690000}"/>
    <cellStyle name="SAPBEXexcGood2 3 2" xfId="27108" xr:uid="{00000000-0005-0000-0000-0000E3690000}"/>
    <cellStyle name="SAPBEXexcGood2 3 2 2" xfId="27109" xr:uid="{00000000-0005-0000-0000-0000E4690000}"/>
    <cellStyle name="SAPBEXexcGood2 3 2 3" xfId="27110" xr:uid="{00000000-0005-0000-0000-0000E5690000}"/>
    <cellStyle name="SAPBEXexcGood2 3 3" xfId="27111" xr:uid="{00000000-0005-0000-0000-0000E6690000}"/>
    <cellStyle name="SAPBEXexcGood2 3 3 2" xfId="27112" xr:uid="{00000000-0005-0000-0000-0000E7690000}"/>
    <cellStyle name="SAPBEXexcGood2 3 3 3" xfId="27113" xr:uid="{00000000-0005-0000-0000-0000E8690000}"/>
    <cellStyle name="SAPBEXexcGood2 3 4" xfId="27114" xr:uid="{00000000-0005-0000-0000-0000E9690000}"/>
    <cellStyle name="SAPBEXexcGood2 3 5" xfId="27115" xr:uid="{00000000-0005-0000-0000-0000EA690000}"/>
    <cellStyle name="SAPBEXexcGood2 4" xfId="27116" xr:uid="{00000000-0005-0000-0000-0000EB690000}"/>
    <cellStyle name="SAPBEXexcGood2 4 2" xfId="27117" xr:uid="{00000000-0005-0000-0000-0000EC690000}"/>
    <cellStyle name="SAPBEXexcGood2 4 3" xfId="27118" xr:uid="{00000000-0005-0000-0000-0000ED690000}"/>
    <cellStyle name="SAPBEXexcGood2 5" xfId="27119" xr:uid="{00000000-0005-0000-0000-0000EE690000}"/>
    <cellStyle name="SAPBEXexcGood3" xfId="27120" xr:uid="{00000000-0005-0000-0000-0000EF690000}"/>
    <cellStyle name="SAPBEXexcGood3 2" xfId="27121" xr:uid="{00000000-0005-0000-0000-0000F0690000}"/>
    <cellStyle name="SAPBEXexcGood3 2 2" xfId="27122" xr:uid="{00000000-0005-0000-0000-0000F1690000}"/>
    <cellStyle name="SAPBEXexcGood3 2 2 2" xfId="27123" xr:uid="{00000000-0005-0000-0000-0000F2690000}"/>
    <cellStyle name="SAPBEXexcGood3 2 2 2 2" xfId="27124" xr:uid="{00000000-0005-0000-0000-0000F3690000}"/>
    <cellStyle name="SAPBEXexcGood3 2 2 2 3" xfId="27125" xr:uid="{00000000-0005-0000-0000-0000F4690000}"/>
    <cellStyle name="SAPBEXexcGood3 2 2 3" xfId="27126" xr:uid="{00000000-0005-0000-0000-0000F5690000}"/>
    <cellStyle name="SAPBEXexcGood3 2 2 3 2" xfId="27127" xr:uid="{00000000-0005-0000-0000-0000F6690000}"/>
    <cellStyle name="SAPBEXexcGood3 2 2 3 3" xfId="27128" xr:uid="{00000000-0005-0000-0000-0000F7690000}"/>
    <cellStyle name="SAPBEXexcGood3 2 2 4" xfId="27129" xr:uid="{00000000-0005-0000-0000-0000F8690000}"/>
    <cellStyle name="SAPBEXexcGood3 2 2 5" xfId="27130" xr:uid="{00000000-0005-0000-0000-0000F9690000}"/>
    <cellStyle name="SAPBEXexcGood3 2 3" xfId="27131" xr:uid="{00000000-0005-0000-0000-0000FA690000}"/>
    <cellStyle name="SAPBEXexcGood3 2 3 2" xfId="27132" xr:uid="{00000000-0005-0000-0000-0000FB690000}"/>
    <cellStyle name="SAPBEXexcGood3 2 3 3" xfId="27133" xr:uid="{00000000-0005-0000-0000-0000FC690000}"/>
    <cellStyle name="SAPBEXexcGood3 2 4" xfId="27134" xr:uid="{00000000-0005-0000-0000-0000FD690000}"/>
    <cellStyle name="SAPBEXexcGood3 3" xfId="27135" xr:uid="{00000000-0005-0000-0000-0000FE690000}"/>
    <cellStyle name="SAPBEXexcGood3 3 2" xfId="27136" xr:uid="{00000000-0005-0000-0000-0000FF690000}"/>
    <cellStyle name="SAPBEXexcGood3 3 2 2" xfId="27137" xr:uid="{00000000-0005-0000-0000-0000006A0000}"/>
    <cellStyle name="SAPBEXexcGood3 3 2 3" xfId="27138" xr:uid="{00000000-0005-0000-0000-0000016A0000}"/>
    <cellStyle name="SAPBEXexcGood3 3 3" xfId="27139" xr:uid="{00000000-0005-0000-0000-0000026A0000}"/>
    <cellStyle name="SAPBEXexcGood3 3 3 2" xfId="27140" xr:uid="{00000000-0005-0000-0000-0000036A0000}"/>
    <cellStyle name="SAPBEXexcGood3 3 3 3" xfId="27141" xr:uid="{00000000-0005-0000-0000-0000046A0000}"/>
    <cellStyle name="SAPBEXexcGood3 3 4" xfId="27142" xr:uid="{00000000-0005-0000-0000-0000056A0000}"/>
    <cellStyle name="SAPBEXexcGood3 3 5" xfId="27143" xr:uid="{00000000-0005-0000-0000-0000066A0000}"/>
    <cellStyle name="SAPBEXexcGood3 4" xfId="27144" xr:uid="{00000000-0005-0000-0000-0000076A0000}"/>
    <cellStyle name="SAPBEXexcGood3 4 2" xfId="27145" xr:uid="{00000000-0005-0000-0000-0000086A0000}"/>
    <cellStyle name="SAPBEXexcGood3 4 3" xfId="27146" xr:uid="{00000000-0005-0000-0000-0000096A0000}"/>
    <cellStyle name="SAPBEXexcGood3 5" xfId="27147" xr:uid="{00000000-0005-0000-0000-00000A6A0000}"/>
    <cellStyle name="SAPBEXfilterDrill" xfId="27148" xr:uid="{00000000-0005-0000-0000-00000B6A0000}"/>
    <cellStyle name="SAPBEXfilterDrill 2" xfId="27149" xr:uid="{00000000-0005-0000-0000-00000C6A0000}"/>
    <cellStyle name="SAPBEXfilterDrill 2 2" xfId="27150" xr:uid="{00000000-0005-0000-0000-00000D6A0000}"/>
    <cellStyle name="SAPBEXfilterDrill 2 2 2" xfId="27151" xr:uid="{00000000-0005-0000-0000-00000E6A0000}"/>
    <cellStyle name="SAPBEXfilterDrill 2 2 3" xfId="27152" xr:uid="{00000000-0005-0000-0000-00000F6A0000}"/>
    <cellStyle name="SAPBEXfilterDrill 2 3" xfId="27153" xr:uid="{00000000-0005-0000-0000-0000106A0000}"/>
    <cellStyle name="SAPBEXfilterDrill 2 3 2" xfId="27154" xr:uid="{00000000-0005-0000-0000-0000116A0000}"/>
    <cellStyle name="SAPBEXfilterDrill 2 3 3" xfId="27155" xr:uid="{00000000-0005-0000-0000-0000126A0000}"/>
    <cellStyle name="SAPBEXfilterDrill 2 4" xfId="27156" xr:uid="{00000000-0005-0000-0000-0000136A0000}"/>
    <cellStyle name="SAPBEXfilterDrill 2 5" xfId="27157" xr:uid="{00000000-0005-0000-0000-0000146A0000}"/>
    <cellStyle name="SAPBEXfilterDrill 3" xfId="27158" xr:uid="{00000000-0005-0000-0000-0000156A0000}"/>
    <cellStyle name="SAPBEXfilterDrill 3 2" xfId="27159" xr:uid="{00000000-0005-0000-0000-0000166A0000}"/>
    <cellStyle name="SAPBEXfilterDrill 3 3" xfId="27160" xr:uid="{00000000-0005-0000-0000-0000176A0000}"/>
    <cellStyle name="SAPBEXfilterDrill 4" xfId="27161" xr:uid="{00000000-0005-0000-0000-0000186A0000}"/>
    <cellStyle name="SAPBEXfilterItem" xfId="27162" xr:uid="{00000000-0005-0000-0000-0000196A0000}"/>
    <cellStyle name="SAPBEXfilterItem 2" xfId="27163" xr:uid="{00000000-0005-0000-0000-00001A6A0000}"/>
    <cellStyle name="SAPBEXfilterItem 2 2" xfId="27164" xr:uid="{00000000-0005-0000-0000-00001B6A0000}"/>
    <cellStyle name="SAPBEXfilterItem 2 2 2" xfId="27165" xr:uid="{00000000-0005-0000-0000-00001C6A0000}"/>
    <cellStyle name="SAPBEXfilterItem 2 2 2 2" xfId="27166" xr:uid="{00000000-0005-0000-0000-00001D6A0000}"/>
    <cellStyle name="SAPBEXfilterItem 2 2 2 3" xfId="27167" xr:uid="{00000000-0005-0000-0000-00001E6A0000}"/>
    <cellStyle name="SAPBEXfilterItem 2 2 3" xfId="27168" xr:uid="{00000000-0005-0000-0000-00001F6A0000}"/>
    <cellStyle name="SAPBEXfilterItem 2 2 3 2" xfId="27169" xr:uid="{00000000-0005-0000-0000-0000206A0000}"/>
    <cellStyle name="SAPBEXfilterItem 2 2 3 3" xfId="27170" xr:uid="{00000000-0005-0000-0000-0000216A0000}"/>
    <cellStyle name="SAPBEXfilterItem 2 2 4" xfId="27171" xr:uid="{00000000-0005-0000-0000-0000226A0000}"/>
    <cellStyle name="SAPBEXfilterItem 2 3" xfId="27172" xr:uid="{00000000-0005-0000-0000-0000236A0000}"/>
    <cellStyle name="SAPBEXfilterItem 3" xfId="27173" xr:uid="{00000000-0005-0000-0000-0000246A0000}"/>
    <cellStyle name="SAPBEXfilterItem 3 2" xfId="27174" xr:uid="{00000000-0005-0000-0000-0000256A0000}"/>
    <cellStyle name="SAPBEXfilterItem 3 2 2" xfId="27175" xr:uid="{00000000-0005-0000-0000-0000266A0000}"/>
    <cellStyle name="SAPBEXfilterItem 3 2 3" xfId="27176" xr:uid="{00000000-0005-0000-0000-0000276A0000}"/>
    <cellStyle name="SAPBEXfilterItem 3 3" xfId="27177" xr:uid="{00000000-0005-0000-0000-0000286A0000}"/>
    <cellStyle name="SAPBEXfilterItem 3 3 2" xfId="27178" xr:uid="{00000000-0005-0000-0000-0000296A0000}"/>
    <cellStyle name="SAPBEXfilterItem 3 3 3" xfId="27179" xr:uid="{00000000-0005-0000-0000-00002A6A0000}"/>
    <cellStyle name="SAPBEXfilterItem 3 4" xfId="27180" xr:uid="{00000000-0005-0000-0000-00002B6A0000}"/>
    <cellStyle name="SAPBEXfilterItem 4" xfId="27181" xr:uid="{00000000-0005-0000-0000-00002C6A0000}"/>
    <cellStyle name="SAPBEXfilterText" xfId="27182" xr:uid="{00000000-0005-0000-0000-00002D6A0000}"/>
    <cellStyle name="SAPBEXformats" xfId="27183" xr:uid="{00000000-0005-0000-0000-00002E6A0000}"/>
    <cellStyle name="SAPBEXformats 2" xfId="27184" xr:uid="{00000000-0005-0000-0000-00002F6A0000}"/>
    <cellStyle name="SAPBEXformats 2 2" xfId="27185" xr:uid="{00000000-0005-0000-0000-0000306A0000}"/>
    <cellStyle name="SAPBEXformats 2 2 2" xfId="27186" xr:uid="{00000000-0005-0000-0000-0000316A0000}"/>
    <cellStyle name="SAPBEXformats 2 2 3" xfId="27187" xr:uid="{00000000-0005-0000-0000-0000326A0000}"/>
    <cellStyle name="SAPBEXformats 2 3" xfId="27188" xr:uid="{00000000-0005-0000-0000-0000336A0000}"/>
    <cellStyle name="SAPBEXformats 2 3 2" xfId="27189" xr:uid="{00000000-0005-0000-0000-0000346A0000}"/>
    <cellStyle name="SAPBEXformats 2 3 3" xfId="27190" xr:uid="{00000000-0005-0000-0000-0000356A0000}"/>
    <cellStyle name="SAPBEXformats 2 4" xfId="27191" xr:uid="{00000000-0005-0000-0000-0000366A0000}"/>
    <cellStyle name="SAPBEXformats 2 5" xfId="27192" xr:uid="{00000000-0005-0000-0000-0000376A0000}"/>
    <cellStyle name="SAPBEXformats 3" xfId="27193" xr:uid="{00000000-0005-0000-0000-0000386A0000}"/>
    <cellStyle name="SAPBEXformats 3 2" xfId="27194" xr:uid="{00000000-0005-0000-0000-0000396A0000}"/>
    <cellStyle name="SAPBEXformats 3 3" xfId="27195" xr:uid="{00000000-0005-0000-0000-00003A6A0000}"/>
    <cellStyle name="SAPBEXformats 4" xfId="27196" xr:uid="{00000000-0005-0000-0000-00003B6A0000}"/>
    <cellStyle name="SAPBEXheaderItem" xfId="27197" xr:uid="{00000000-0005-0000-0000-00003C6A0000}"/>
    <cellStyle name="SAPBEXheaderItem 2" xfId="27198" xr:uid="{00000000-0005-0000-0000-00003D6A0000}"/>
    <cellStyle name="SAPBEXheaderItem 2 2" xfId="27199" xr:uid="{00000000-0005-0000-0000-00003E6A0000}"/>
    <cellStyle name="SAPBEXheaderItem 2 2 2" xfId="27200" xr:uid="{00000000-0005-0000-0000-00003F6A0000}"/>
    <cellStyle name="SAPBEXheaderItem 2 2 2 2" xfId="27201" xr:uid="{00000000-0005-0000-0000-0000406A0000}"/>
    <cellStyle name="SAPBEXheaderItem 2 2 2 3" xfId="27202" xr:uid="{00000000-0005-0000-0000-0000416A0000}"/>
    <cellStyle name="SAPBEXheaderItem 2 2 3" xfId="27203" xr:uid="{00000000-0005-0000-0000-0000426A0000}"/>
    <cellStyle name="SAPBEXheaderItem 2 2 3 2" xfId="27204" xr:uid="{00000000-0005-0000-0000-0000436A0000}"/>
    <cellStyle name="SAPBEXheaderItem 2 2 3 3" xfId="27205" xr:uid="{00000000-0005-0000-0000-0000446A0000}"/>
    <cellStyle name="SAPBEXheaderItem 2 2 4" xfId="27206" xr:uid="{00000000-0005-0000-0000-0000456A0000}"/>
    <cellStyle name="SAPBEXheaderItem 2 2 5" xfId="27207" xr:uid="{00000000-0005-0000-0000-0000466A0000}"/>
    <cellStyle name="SAPBEXheaderItem 2 3" xfId="27208" xr:uid="{00000000-0005-0000-0000-0000476A0000}"/>
    <cellStyle name="SAPBEXheaderItem 2 3 2" xfId="27209" xr:uid="{00000000-0005-0000-0000-0000486A0000}"/>
    <cellStyle name="SAPBEXheaderItem 2 3 3" xfId="27210" xr:uid="{00000000-0005-0000-0000-0000496A0000}"/>
    <cellStyle name="SAPBEXheaderItem 2 4" xfId="27211" xr:uid="{00000000-0005-0000-0000-00004A6A0000}"/>
    <cellStyle name="SAPBEXheaderItem 3" xfId="27212" xr:uid="{00000000-0005-0000-0000-00004B6A0000}"/>
    <cellStyle name="SAPBEXheaderItem 3 2" xfId="27213" xr:uid="{00000000-0005-0000-0000-00004C6A0000}"/>
    <cellStyle name="SAPBEXheaderItem 3 2 2" xfId="27214" xr:uid="{00000000-0005-0000-0000-00004D6A0000}"/>
    <cellStyle name="SAPBEXheaderItem 3 2 3" xfId="27215" xr:uid="{00000000-0005-0000-0000-00004E6A0000}"/>
    <cellStyle name="SAPBEXheaderItem 3 3" xfId="27216" xr:uid="{00000000-0005-0000-0000-00004F6A0000}"/>
    <cellStyle name="SAPBEXheaderItem 3 3 2" xfId="27217" xr:uid="{00000000-0005-0000-0000-0000506A0000}"/>
    <cellStyle name="SAPBEXheaderItem 3 3 3" xfId="27218" xr:uid="{00000000-0005-0000-0000-0000516A0000}"/>
    <cellStyle name="SAPBEXheaderItem 3 4" xfId="27219" xr:uid="{00000000-0005-0000-0000-0000526A0000}"/>
    <cellStyle name="SAPBEXheaderItem 3 5" xfId="27220" xr:uid="{00000000-0005-0000-0000-0000536A0000}"/>
    <cellStyle name="SAPBEXheaderItem 4" xfId="27221" xr:uid="{00000000-0005-0000-0000-0000546A0000}"/>
    <cellStyle name="SAPBEXheaderItem 4 2" xfId="27222" xr:uid="{00000000-0005-0000-0000-0000556A0000}"/>
    <cellStyle name="SAPBEXheaderItem 4 3" xfId="27223" xr:uid="{00000000-0005-0000-0000-0000566A0000}"/>
    <cellStyle name="SAPBEXheaderItem 5" xfId="27224" xr:uid="{00000000-0005-0000-0000-0000576A0000}"/>
    <cellStyle name="SAPBEXheaderText" xfId="27225" xr:uid="{00000000-0005-0000-0000-0000586A0000}"/>
    <cellStyle name="SAPBEXheaderText 2" xfId="27226" xr:uid="{00000000-0005-0000-0000-0000596A0000}"/>
    <cellStyle name="SAPBEXheaderText 2 2" xfId="27227" xr:uid="{00000000-0005-0000-0000-00005A6A0000}"/>
    <cellStyle name="SAPBEXheaderText 2 2 2" xfId="27228" xr:uid="{00000000-0005-0000-0000-00005B6A0000}"/>
    <cellStyle name="SAPBEXheaderText 2 2 2 2" xfId="27229" xr:uid="{00000000-0005-0000-0000-00005C6A0000}"/>
    <cellStyle name="SAPBEXheaderText 2 2 2 3" xfId="27230" xr:uid="{00000000-0005-0000-0000-00005D6A0000}"/>
    <cellStyle name="SAPBEXheaderText 2 2 3" xfId="27231" xr:uid="{00000000-0005-0000-0000-00005E6A0000}"/>
    <cellStyle name="SAPBEXheaderText 2 2 3 2" xfId="27232" xr:uid="{00000000-0005-0000-0000-00005F6A0000}"/>
    <cellStyle name="SAPBEXheaderText 2 2 3 3" xfId="27233" xr:uid="{00000000-0005-0000-0000-0000606A0000}"/>
    <cellStyle name="SAPBEXheaderText 2 2 4" xfId="27234" xr:uid="{00000000-0005-0000-0000-0000616A0000}"/>
    <cellStyle name="SAPBEXheaderText 2 2 5" xfId="27235" xr:uid="{00000000-0005-0000-0000-0000626A0000}"/>
    <cellStyle name="SAPBEXheaderText 2 3" xfId="27236" xr:uid="{00000000-0005-0000-0000-0000636A0000}"/>
    <cellStyle name="SAPBEXheaderText 2 3 2" xfId="27237" xr:uid="{00000000-0005-0000-0000-0000646A0000}"/>
    <cellStyle name="SAPBEXheaderText 2 3 3" xfId="27238" xr:uid="{00000000-0005-0000-0000-0000656A0000}"/>
    <cellStyle name="SAPBEXheaderText 2 4" xfId="27239" xr:uid="{00000000-0005-0000-0000-0000666A0000}"/>
    <cellStyle name="SAPBEXheaderText 3" xfId="27240" xr:uid="{00000000-0005-0000-0000-0000676A0000}"/>
    <cellStyle name="SAPBEXheaderText 3 2" xfId="27241" xr:uid="{00000000-0005-0000-0000-0000686A0000}"/>
    <cellStyle name="SAPBEXheaderText 3 2 2" xfId="27242" xr:uid="{00000000-0005-0000-0000-0000696A0000}"/>
    <cellStyle name="SAPBEXheaderText 3 2 3" xfId="27243" xr:uid="{00000000-0005-0000-0000-00006A6A0000}"/>
    <cellStyle name="SAPBEXheaderText 3 3" xfId="27244" xr:uid="{00000000-0005-0000-0000-00006B6A0000}"/>
    <cellStyle name="SAPBEXheaderText 3 3 2" xfId="27245" xr:uid="{00000000-0005-0000-0000-00006C6A0000}"/>
    <cellStyle name="SAPBEXheaderText 3 3 3" xfId="27246" xr:uid="{00000000-0005-0000-0000-00006D6A0000}"/>
    <cellStyle name="SAPBEXheaderText 3 4" xfId="27247" xr:uid="{00000000-0005-0000-0000-00006E6A0000}"/>
    <cellStyle name="SAPBEXheaderText 3 5" xfId="27248" xr:uid="{00000000-0005-0000-0000-00006F6A0000}"/>
    <cellStyle name="SAPBEXheaderText 4" xfId="27249" xr:uid="{00000000-0005-0000-0000-0000706A0000}"/>
    <cellStyle name="SAPBEXheaderText 4 2" xfId="27250" xr:uid="{00000000-0005-0000-0000-0000716A0000}"/>
    <cellStyle name="SAPBEXheaderText 4 3" xfId="27251" xr:uid="{00000000-0005-0000-0000-0000726A0000}"/>
    <cellStyle name="SAPBEXheaderText 5" xfId="27252" xr:uid="{00000000-0005-0000-0000-0000736A0000}"/>
    <cellStyle name="SAPBEXHLevel0" xfId="27253" xr:uid="{00000000-0005-0000-0000-0000746A0000}"/>
    <cellStyle name="SAPBEXHLevel0 2" xfId="27254" xr:uid="{00000000-0005-0000-0000-0000756A0000}"/>
    <cellStyle name="SAPBEXHLevel0 2 2" xfId="27255" xr:uid="{00000000-0005-0000-0000-0000766A0000}"/>
    <cellStyle name="SAPBEXHLevel0 2 2 2" xfId="27256" xr:uid="{00000000-0005-0000-0000-0000776A0000}"/>
    <cellStyle name="SAPBEXHLevel0 2 2 3" xfId="27257" xr:uid="{00000000-0005-0000-0000-0000786A0000}"/>
    <cellStyle name="SAPBEXHLevel0 2 3" xfId="27258" xr:uid="{00000000-0005-0000-0000-0000796A0000}"/>
    <cellStyle name="SAPBEXHLevel0 2 3 2" xfId="27259" xr:uid="{00000000-0005-0000-0000-00007A6A0000}"/>
    <cellStyle name="SAPBEXHLevel0 2 3 3" xfId="27260" xr:uid="{00000000-0005-0000-0000-00007B6A0000}"/>
    <cellStyle name="SAPBEXHLevel0 2 4" xfId="27261" xr:uid="{00000000-0005-0000-0000-00007C6A0000}"/>
    <cellStyle name="SAPBEXHLevel0 2 5" xfId="27262" xr:uid="{00000000-0005-0000-0000-00007D6A0000}"/>
    <cellStyle name="SAPBEXHLevel0 3" xfId="27263" xr:uid="{00000000-0005-0000-0000-00007E6A0000}"/>
    <cellStyle name="SAPBEXHLevel0 3 2" xfId="27264" xr:uid="{00000000-0005-0000-0000-00007F6A0000}"/>
    <cellStyle name="SAPBEXHLevel0 3 3" xfId="27265" xr:uid="{00000000-0005-0000-0000-0000806A0000}"/>
    <cellStyle name="SAPBEXHLevel0 4" xfId="27266" xr:uid="{00000000-0005-0000-0000-0000816A0000}"/>
    <cellStyle name="SAPBEXHLevel0X" xfId="27267" xr:uid="{00000000-0005-0000-0000-0000826A0000}"/>
    <cellStyle name="SAPBEXHLevel0X 2" xfId="27268" xr:uid="{00000000-0005-0000-0000-0000836A0000}"/>
    <cellStyle name="SAPBEXHLevel0X 2 2" xfId="27269" xr:uid="{00000000-0005-0000-0000-0000846A0000}"/>
    <cellStyle name="SAPBEXHLevel0X 2 2 2" xfId="27270" xr:uid="{00000000-0005-0000-0000-0000856A0000}"/>
    <cellStyle name="SAPBEXHLevel0X 2 2 3" xfId="27271" xr:uid="{00000000-0005-0000-0000-0000866A0000}"/>
    <cellStyle name="SAPBEXHLevel0X 2 3" xfId="27272" xr:uid="{00000000-0005-0000-0000-0000876A0000}"/>
    <cellStyle name="SAPBEXHLevel0X 2 3 2" xfId="27273" xr:uid="{00000000-0005-0000-0000-0000886A0000}"/>
    <cellStyle name="SAPBEXHLevel0X 2 3 3" xfId="27274" xr:uid="{00000000-0005-0000-0000-0000896A0000}"/>
    <cellStyle name="SAPBEXHLevel0X 2 4" xfId="27275" xr:uid="{00000000-0005-0000-0000-00008A6A0000}"/>
    <cellStyle name="SAPBEXHLevel0X 2 5" xfId="27276" xr:uid="{00000000-0005-0000-0000-00008B6A0000}"/>
    <cellStyle name="SAPBEXHLevel0X 3" xfId="27277" xr:uid="{00000000-0005-0000-0000-00008C6A0000}"/>
    <cellStyle name="SAPBEXHLevel0X 3 2" xfId="27278" xr:uid="{00000000-0005-0000-0000-00008D6A0000}"/>
    <cellStyle name="SAPBEXHLevel0X 3 3" xfId="27279" xr:uid="{00000000-0005-0000-0000-00008E6A0000}"/>
    <cellStyle name="SAPBEXHLevel0X 4" xfId="27280" xr:uid="{00000000-0005-0000-0000-00008F6A0000}"/>
    <cellStyle name="SAPBEXHLevel1" xfId="27281" xr:uid="{00000000-0005-0000-0000-0000906A0000}"/>
    <cellStyle name="SAPBEXHLevel1 2" xfId="27282" xr:uid="{00000000-0005-0000-0000-0000916A0000}"/>
    <cellStyle name="SAPBEXHLevel1 2 2" xfId="27283" xr:uid="{00000000-0005-0000-0000-0000926A0000}"/>
    <cellStyle name="SAPBEXHLevel1 2 2 2" xfId="27284" xr:uid="{00000000-0005-0000-0000-0000936A0000}"/>
    <cellStyle name="SAPBEXHLevel1 2 2 3" xfId="27285" xr:uid="{00000000-0005-0000-0000-0000946A0000}"/>
    <cellStyle name="SAPBEXHLevel1 2 3" xfId="27286" xr:uid="{00000000-0005-0000-0000-0000956A0000}"/>
    <cellStyle name="SAPBEXHLevel1 2 3 2" xfId="27287" xr:uid="{00000000-0005-0000-0000-0000966A0000}"/>
    <cellStyle name="SAPBEXHLevel1 2 3 3" xfId="27288" xr:uid="{00000000-0005-0000-0000-0000976A0000}"/>
    <cellStyle name="SAPBEXHLevel1 2 4" xfId="27289" xr:uid="{00000000-0005-0000-0000-0000986A0000}"/>
    <cellStyle name="SAPBEXHLevel1 2 5" xfId="27290" xr:uid="{00000000-0005-0000-0000-0000996A0000}"/>
    <cellStyle name="SAPBEXHLevel1 3" xfId="27291" xr:uid="{00000000-0005-0000-0000-00009A6A0000}"/>
    <cellStyle name="SAPBEXHLevel1 3 2" xfId="27292" xr:uid="{00000000-0005-0000-0000-00009B6A0000}"/>
    <cellStyle name="SAPBEXHLevel1 3 3" xfId="27293" xr:uid="{00000000-0005-0000-0000-00009C6A0000}"/>
    <cellStyle name="SAPBEXHLevel1 4" xfId="27294" xr:uid="{00000000-0005-0000-0000-00009D6A0000}"/>
    <cellStyle name="SAPBEXHLevel1X" xfId="27295" xr:uid="{00000000-0005-0000-0000-00009E6A0000}"/>
    <cellStyle name="SAPBEXHLevel1X 2" xfId="27296" xr:uid="{00000000-0005-0000-0000-00009F6A0000}"/>
    <cellStyle name="SAPBEXHLevel1X 2 2" xfId="27297" xr:uid="{00000000-0005-0000-0000-0000A06A0000}"/>
    <cellStyle name="SAPBEXHLevel1X 2 2 2" xfId="27298" xr:uid="{00000000-0005-0000-0000-0000A16A0000}"/>
    <cellStyle name="SAPBEXHLevel1X 2 2 3" xfId="27299" xr:uid="{00000000-0005-0000-0000-0000A26A0000}"/>
    <cellStyle name="SAPBEXHLevel1X 2 3" xfId="27300" xr:uid="{00000000-0005-0000-0000-0000A36A0000}"/>
    <cellStyle name="SAPBEXHLevel1X 2 3 2" xfId="27301" xr:uid="{00000000-0005-0000-0000-0000A46A0000}"/>
    <cellStyle name="SAPBEXHLevel1X 2 3 3" xfId="27302" xr:uid="{00000000-0005-0000-0000-0000A56A0000}"/>
    <cellStyle name="SAPBEXHLevel1X 2 4" xfId="27303" xr:uid="{00000000-0005-0000-0000-0000A66A0000}"/>
    <cellStyle name="SAPBEXHLevel1X 2 5" xfId="27304" xr:uid="{00000000-0005-0000-0000-0000A76A0000}"/>
    <cellStyle name="SAPBEXHLevel1X 3" xfId="27305" xr:uid="{00000000-0005-0000-0000-0000A86A0000}"/>
    <cellStyle name="SAPBEXHLevel1X 3 2" xfId="27306" xr:uid="{00000000-0005-0000-0000-0000A96A0000}"/>
    <cellStyle name="SAPBEXHLevel1X 3 3" xfId="27307" xr:uid="{00000000-0005-0000-0000-0000AA6A0000}"/>
    <cellStyle name="SAPBEXHLevel1X 4" xfId="27308" xr:uid="{00000000-0005-0000-0000-0000AB6A0000}"/>
    <cellStyle name="SAPBEXHLevel2" xfId="27309" xr:uid="{00000000-0005-0000-0000-0000AC6A0000}"/>
    <cellStyle name="SAPBEXHLevel2 2" xfId="27310" xr:uid="{00000000-0005-0000-0000-0000AD6A0000}"/>
    <cellStyle name="SAPBEXHLevel2 2 2" xfId="27311" xr:uid="{00000000-0005-0000-0000-0000AE6A0000}"/>
    <cellStyle name="SAPBEXHLevel2 2 2 2" xfId="27312" xr:uid="{00000000-0005-0000-0000-0000AF6A0000}"/>
    <cellStyle name="SAPBEXHLevel2 2 2 3" xfId="27313" xr:uid="{00000000-0005-0000-0000-0000B06A0000}"/>
    <cellStyle name="SAPBEXHLevel2 2 3" xfId="27314" xr:uid="{00000000-0005-0000-0000-0000B16A0000}"/>
    <cellStyle name="SAPBEXHLevel2 2 3 2" xfId="27315" xr:uid="{00000000-0005-0000-0000-0000B26A0000}"/>
    <cellStyle name="SAPBEXHLevel2 2 3 3" xfId="27316" xr:uid="{00000000-0005-0000-0000-0000B36A0000}"/>
    <cellStyle name="SAPBEXHLevel2 2 4" xfId="27317" xr:uid="{00000000-0005-0000-0000-0000B46A0000}"/>
    <cellStyle name="SAPBEXHLevel2 2 5" xfId="27318" xr:uid="{00000000-0005-0000-0000-0000B56A0000}"/>
    <cellStyle name="SAPBEXHLevel2 3" xfId="27319" xr:uid="{00000000-0005-0000-0000-0000B66A0000}"/>
    <cellStyle name="SAPBEXHLevel2 3 2" xfId="27320" xr:uid="{00000000-0005-0000-0000-0000B76A0000}"/>
    <cellStyle name="SAPBEXHLevel2 3 3" xfId="27321" xr:uid="{00000000-0005-0000-0000-0000B86A0000}"/>
    <cellStyle name="SAPBEXHLevel2 4" xfId="27322" xr:uid="{00000000-0005-0000-0000-0000B96A0000}"/>
    <cellStyle name="SAPBEXHLevel2X" xfId="27323" xr:uid="{00000000-0005-0000-0000-0000BA6A0000}"/>
    <cellStyle name="SAPBEXHLevel2X 2" xfId="27324" xr:uid="{00000000-0005-0000-0000-0000BB6A0000}"/>
    <cellStyle name="SAPBEXHLevel2X 2 2" xfId="27325" xr:uid="{00000000-0005-0000-0000-0000BC6A0000}"/>
    <cellStyle name="SAPBEXHLevel2X 2 2 2" xfId="27326" xr:uid="{00000000-0005-0000-0000-0000BD6A0000}"/>
    <cellStyle name="SAPBEXHLevel2X 2 2 3" xfId="27327" xr:uid="{00000000-0005-0000-0000-0000BE6A0000}"/>
    <cellStyle name="SAPBEXHLevel2X 2 3" xfId="27328" xr:uid="{00000000-0005-0000-0000-0000BF6A0000}"/>
    <cellStyle name="SAPBEXHLevel2X 2 3 2" xfId="27329" xr:uid="{00000000-0005-0000-0000-0000C06A0000}"/>
    <cellStyle name="SAPBEXHLevel2X 2 3 3" xfId="27330" xr:uid="{00000000-0005-0000-0000-0000C16A0000}"/>
    <cellStyle name="SAPBEXHLevel2X 2 4" xfId="27331" xr:uid="{00000000-0005-0000-0000-0000C26A0000}"/>
    <cellStyle name="SAPBEXHLevel2X 2 5" xfId="27332" xr:uid="{00000000-0005-0000-0000-0000C36A0000}"/>
    <cellStyle name="SAPBEXHLevel2X 3" xfId="27333" xr:uid="{00000000-0005-0000-0000-0000C46A0000}"/>
    <cellStyle name="SAPBEXHLevel2X 3 2" xfId="27334" xr:uid="{00000000-0005-0000-0000-0000C56A0000}"/>
    <cellStyle name="SAPBEXHLevel2X 3 3" xfId="27335" xr:uid="{00000000-0005-0000-0000-0000C66A0000}"/>
    <cellStyle name="SAPBEXHLevel2X 4" xfId="27336" xr:uid="{00000000-0005-0000-0000-0000C76A0000}"/>
    <cellStyle name="SAPBEXHLevel3" xfId="27337" xr:uid="{00000000-0005-0000-0000-0000C86A0000}"/>
    <cellStyle name="SAPBEXHLevel3 2" xfId="27338" xr:uid="{00000000-0005-0000-0000-0000C96A0000}"/>
    <cellStyle name="SAPBEXHLevel3 2 2" xfId="27339" xr:uid="{00000000-0005-0000-0000-0000CA6A0000}"/>
    <cellStyle name="SAPBEXHLevel3 2 2 2" xfId="27340" xr:uid="{00000000-0005-0000-0000-0000CB6A0000}"/>
    <cellStyle name="SAPBEXHLevel3 2 2 3" xfId="27341" xr:uid="{00000000-0005-0000-0000-0000CC6A0000}"/>
    <cellStyle name="SAPBEXHLevel3 2 3" xfId="27342" xr:uid="{00000000-0005-0000-0000-0000CD6A0000}"/>
    <cellStyle name="SAPBEXHLevel3 2 3 2" xfId="27343" xr:uid="{00000000-0005-0000-0000-0000CE6A0000}"/>
    <cellStyle name="SAPBEXHLevel3 2 3 3" xfId="27344" xr:uid="{00000000-0005-0000-0000-0000CF6A0000}"/>
    <cellStyle name="SAPBEXHLevel3 2 4" xfId="27345" xr:uid="{00000000-0005-0000-0000-0000D06A0000}"/>
    <cellStyle name="SAPBEXHLevel3 2 5" xfId="27346" xr:uid="{00000000-0005-0000-0000-0000D16A0000}"/>
    <cellStyle name="SAPBEXHLevel3 3" xfId="27347" xr:uid="{00000000-0005-0000-0000-0000D26A0000}"/>
    <cellStyle name="SAPBEXHLevel3 3 2" xfId="27348" xr:uid="{00000000-0005-0000-0000-0000D36A0000}"/>
    <cellStyle name="SAPBEXHLevel3 3 3" xfId="27349" xr:uid="{00000000-0005-0000-0000-0000D46A0000}"/>
    <cellStyle name="SAPBEXHLevel3 4" xfId="27350" xr:uid="{00000000-0005-0000-0000-0000D56A0000}"/>
    <cellStyle name="SAPBEXHLevel3X" xfId="27351" xr:uid="{00000000-0005-0000-0000-0000D66A0000}"/>
    <cellStyle name="SAPBEXHLevel3X 2" xfId="27352" xr:uid="{00000000-0005-0000-0000-0000D76A0000}"/>
    <cellStyle name="SAPBEXHLevel3X 2 2" xfId="27353" xr:uid="{00000000-0005-0000-0000-0000D86A0000}"/>
    <cellStyle name="SAPBEXHLevel3X 2 2 2" xfId="27354" xr:uid="{00000000-0005-0000-0000-0000D96A0000}"/>
    <cellStyle name="SAPBEXHLevel3X 2 2 3" xfId="27355" xr:uid="{00000000-0005-0000-0000-0000DA6A0000}"/>
    <cellStyle name="SAPBEXHLevel3X 2 3" xfId="27356" xr:uid="{00000000-0005-0000-0000-0000DB6A0000}"/>
    <cellStyle name="SAPBEXHLevel3X 2 3 2" xfId="27357" xr:uid="{00000000-0005-0000-0000-0000DC6A0000}"/>
    <cellStyle name="SAPBEXHLevel3X 2 3 3" xfId="27358" xr:uid="{00000000-0005-0000-0000-0000DD6A0000}"/>
    <cellStyle name="SAPBEXHLevel3X 2 4" xfId="27359" xr:uid="{00000000-0005-0000-0000-0000DE6A0000}"/>
    <cellStyle name="SAPBEXHLevel3X 2 5" xfId="27360" xr:uid="{00000000-0005-0000-0000-0000DF6A0000}"/>
    <cellStyle name="SAPBEXHLevel3X 3" xfId="27361" xr:uid="{00000000-0005-0000-0000-0000E06A0000}"/>
    <cellStyle name="SAPBEXHLevel3X 3 2" xfId="27362" xr:uid="{00000000-0005-0000-0000-0000E16A0000}"/>
    <cellStyle name="SAPBEXHLevel3X 3 3" xfId="27363" xr:uid="{00000000-0005-0000-0000-0000E26A0000}"/>
    <cellStyle name="SAPBEXHLevel3X 4" xfId="27364" xr:uid="{00000000-0005-0000-0000-0000E36A0000}"/>
    <cellStyle name="SAPBEXresData" xfId="27365" xr:uid="{00000000-0005-0000-0000-0000E46A0000}"/>
    <cellStyle name="SAPBEXresData 2" xfId="27366" xr:uid="{00000000-0005-0000-0000-0000E56A0000}"/>
    <cellStyle name="SAPBEXresData 2 2" xfId="27367" xr:uid="{00000000-0005-0000-0000-0000E66A0000}"/>
    <cellStyle name="SAPBEXresData 2 2 2" xfId="27368" xr:uid="{00000000-0005-0000-0000-0000E76A0000}"/>
    <cellStyle name="SAPBEXresData 2 2 2 2" xfId="27369" xr:uid="{00000000-0005-0000-0000-0000E86A0000}"/>
    <cellStyle name="SAPBEXresData 2 2 2 3" xfId="27370" xr:uid="{00000000-0005-0000-0000-0000E96A0000}"/>
    <cellStyle name="SAPBEXresData 2 2 3" xfId="27371" xr:uid="{00000000-0005-0000-0000-0000EA6A0000}"/>
    <cellStyle name="SAPBEXresData 2 2 3 2" xfId="27372" xr:uid="{00000000-0005-0000-0000-0000EB6A0000}"/>
    <cellStyle name="SAPBEXresData 2 2 3 3" xfId="27373" xr:uid="{00000000-0005-0000-0000-0000EC6A0000}"/>
    <cellStyle name="SAPBEXresData 2 2 4" xfId="27374" xr:uid="{00000000-0005-0000-0000-0000ED6A0000}"/>
    <cellStyle name="SAPBEXresData 2 2 5" xfId="27375" xr:uid="{00000000-0005-0000-0000-0000EE6A0000}"/>
    <cellStyle name="SAPBEXresData 2 3" xfId="27376" xr:uid="{00000000-0005-0000-0000-0000EF6A0000}"/>
    <cellStyle name="SAPBEXresData 2 3 2" xfId="27377" xr:uid="{00000000-0005-0000-0000-0000F06A0000}"/>
    <cellStyle name="SAPBEXresData 2 3 3" xfId="27378" xr:uid="{00000000-0005-0000-0000-0000F16A0000}"/>
    <cellStyle name="SAPBEXresData 2 4" xfId="27379" xr:uid="{00000000-0005-0000-0000-0000F26A0000}"/>
    <cellStyle name="SAPBEXresData 3" xfId="27380" xr:uid="{00000000-0005-0000-0000-0000F36A0000}"/>
    <cellStyle name="SAPBEXresData 3 2" xfId="27381" xr:uid="{00000000-0005-0000-0000-0000F46A0000}"/>
    <cellStyle name="SAPBEXresData 3 2 2" xfId="27382" xr:uid="{00000000-0005-0000-0000-0000F56A0000}"/>
    <cellStyle name="SAPBEXresData 3 2 3" xfId="27383" xr:uid="{00000000-0005-0000-0000-0000F66A0000}"/>
    <cellStyle name="SAPBEXresData 3 3" xfId="27384" xr:uid="{00000000-0005-0000-0000-0000F76A0000}"/>
    <cellStyle name="SAPBEXresData 3 3 2" xfId="27385" xr:uid="{00000000-0005-0000-0000-0000F86A0000}"/>
    <cellStyle name="SAPBEXresData 3 3 3" xfId="27386" xr:uid="{00000000-0005-0000-0000-0000F96A0000}"/>
    <cellStyle name="SAPBEXresData 3 4" xfId="27387" xr:uid="{00000000-0005-0000-0000-0000FA6A0000}"/>
    <cellStyle name="SAPBEXresData 3 5" xfId="27388" xr:uid="{00000000-0005-0000-0000-0000FB6A0000}"/>
    <cellStyle name="SAPBEXresData 4" xfId="27389" xr:uid="{00000000-0005-0000-0000-0000FC6A0000}"/>
    <cellStyle name="SAPBEXresData 4 2" xfId="27390" xr:uid="{00000000-0005-0000-0000-0000FD6A0000}"/>
    <cellStyle name="SAPBEXresData 4 3" xfId="27391" xr:uid="{00000000-0005-0000-0000-0000FE6A0000}"/>
    <cellStyle name="SAPBEXresData 5" xfId="27392" xr:uid="{00000000-0005-0000-0000-0000FF6A0000}"/>
    <cellStyle name="SAPBEXresDataEmph" xfId="27393" xr:uid="{00000000-0005-0000-0000-0000006B0000}"/>
    <cellStyle name="SAPBEXresDataEmph 2" xfId="27394" xr:uid="{00000000-0005-0000-0000-0000016B0000}"/>
    <cellStyle name="SAPBEXresDataEmph 2 2" xfId="27395" xr:uid="{00000000-0005-0000-0000-0000026B0000}"/>
    <cellStyle name="SAPBEXresDataEmph 2 2 2" xfId="27396" xr:uid="{00000000-0005-0000-0000-0000036B0000}"/>
    <cellStyle name="SAPBEXresDataEmph 2 2 3" xfId="27397" xr:uid="{00000000-0005-0000-0000-0000046B0000}"/>
    <cellStyle name="SAPBEXresDataEmph 2 3" xfId="27398" xr:uid="{00000000-0005-0000-0000-0000056B0000}"/>
    <cellStyle name="SAPBEXresDataEmph 2 3 2" xfId="27399" xr:uid="{00000000-0005-0000-0000-0000066B0000}"/>
    <cellStyle name="SAPBEXresDataEmph 2 3 3" xfId="27400" xr:uid="{00000000-0005-0000-0000-0000076B0000}"/>
    <cellStyle name="SAPBEXresDataEmph 2 4" xfId="27401" xr:uid="{00000000-0005-0000-0000-0000086B0000}"/>
    <cellStyle name="SAPBEXresDataEmph 2 5" xfId="27402" xr:uid="{00000000-0005-0000-0000-0000096B0000}"/>
    <cellStyle name="SAPBEXresDataEmph 3" xfId="27403" xr:uid="{00000000-0005-0000-0000-00000A6B0000}"/>
    <cellStyle name="SAPBEXresDataEmph 3 2" xfId="27404" xr:uid="{00000000-0005-0000-0000-00000B6B0000}"/>
    <cellStyle name="SAPBEXresDataEmph 3 3" xfId="27405" xr:uid="{00000000-0005-0000-0000-00000C6B0000}"/>
    <cellStyle name="SAPBEXresDataEmph 4" xfId="27406" xr:uid="{00000000-0005-0000-0000-00000D6B0000}"/>
    <cellStyle name="SAPBEXresItem" xfId="27407" xr:uid="{00000000-0005-0000-0000-00000E6B0000}"/>
    <cellStyle name="SAPBEXresItem 2" xfId="27408" xr:uid="{00000000-0005-0000-0000-00000F6B0000}"/>
    <cellStyle name="SAPBEXresItem 2 2" xfId="27409" xr:uid="{00000000-0005-0000-0000-0000106B0000}"/>
    <cellStyle name="SAPBEXresItem 2 2 2" xfId="27410" xr:uid="{00000000-0005-0000-0000-0000116B0000}"/>
    <cellStyle name="SAPBEXresItem 2 2 2 2" xfId="27411" xr:uid="{00000000-0005-0000-0000-0000126B0000}"/>
    <cellStyle name="SAPBEXresItem 2 2 2 3" xfId="27412" xr:uid="{00000000-0005-0000-0000-0000136B0000}"/>
    <cellStyle name="SAPBEXresItem 2 2 3" xfId="27413" xr:uid="{00000000-0005-0000-0000-0000146B0000}"/>
    <cellStyle name="SAPBEXresItem 2 2 3 2" xfId="27414" xr:uid="{00000000-0005-0000-0000-0000156B0000}"/>
    <cellStyle name="SAPBEXresItem 2 2 3 3" xfId="27415" xr:uid="{00000000-0005-0000-0000-0000166B0000}"/>
    <cellStyle name="SAPBEXresItem 2 2 4" xfId="27416" xr:uid="{00000000-0005-0000-0000-0000176B0000}"/>
    <cellStyle name="SAPBEXresItem 2 2 5" xfId="27417" xr:uid="{00000000-0005-0000-0000-0000186B0000}"/>
    <cellStyle name="SAPBEXresItem 2 3" xfId="27418" xr:uid="{00000000-0005-0000-0000-0000196B0000}"/>
    <cellStyle name="SAPBEXresItem 2 3 2" xfId="27419" xr:uid="{00000000-0005-0000-0000-00001A6B0000}"/>
    <cellStyle name="SAPBEXresItem 2 3 3" xfId="27420" xr:uid="{00000000-0005-0000-0000-00001B6B0000}"/>
    <cellStyle name="SAPBEXresItem 2 4" xfId="27421" xr:uid="{00000000-0005-0000-0000-00001C6B0000}"/>
    <cellStyle name="SAPBEXresItem 3" xfId="27422" xr:uid="{00000000-0005-0000-0000-00001D6B0000}"/>
    <cellStyle name="SAPBEXresItem 3 2" xfId="27423" xr:uid="{00000000-0005-0000-0000-00001E6B0000}"/>
    <cellStyle name="SAPBEXresItem 3 2 2" xfId="27424" xr:uid="{00000000-0005-0000-0000-00001F6B0000}"/>
    <cellStyle name="SAPBEXresItem 3 2 3" xfId="27425" xr:uid="{00000000-0005-0000-0000-0000206B0000}"/>
    <cellStyle name="SAPBEXresItem 3 3" xfId="27426" xr:uid="{00000000-0005-0000-0000-0000216B0000}"/>
    <cellStyle name="SAPBEXresItem 3 3 2" xfId="27427" xr:uid="{00000000-0005-0000-0000-0000226B0000}"/>
    <cellStyle name="SAPBEXresItem 3 3 3" xfId="27428" xr:uid="{00000000-0005-0000-0000-0000236B0000}"/>
    <cellStyle name="SAPBEXresItem 3 4" xfId="27429" xr:uid="{00000000-0005-0000-0000-0000246B0000}"/>
    <cellStyle name="SAPBEXresItem 3 5" xfId="27430" xr:uid="{00000000-0005-0000-0000-0000256B0000}"/>
    <cellStyle name="SAPBEXresItem 4" xfId="27431" xr:uid="{00000000-0005-0000-0000-0000266B0000}"/>
    <cellStyle name="SAPBEXresItem 4 2" xfId="27432" xr:uid="{00000000-0005-0000-0000-0000276B0000}"/>
    <cellStyle name="SAPBEXresItem 4 3" xfId="27433" xr:uid="{00000000-0005-0000-0000-0000286B0000}"/>
    <cellStyle name="SAPBEXresItem 5" xfId="27434" xr:uid="{00000000-0005-0000-0000-0000296B0000}"/>
    <cellStyle name="SAPBEXresItemX" xfId="27435" xr:uid="{00000000-0005-0000-0000-00002A6B0000}"/>
    <cellStyle name="SAPBEXresItemX 2" xfId="27436" xr:uid="{00000000-0005-0000-0000-00002B6B0000}"/>
    <cellStyle name="SAPBEXresItemX 2 2" xfId="27437" xr:uid="{00000000-0005-0000-0000-00002C6B0000}"/>
    <cellStyle name="SAPBEXresItemX 2 2 2" xfId="27438" xr:uid="{00000000-0005-0000-0000-00002D6B0000}"/>
    <cellStyle name="SAPBEXresItemX 2 2 2 2" xfId="27439" xr:uid="{00000000-0005-0000-0000-00002E6B0000}"/>
    <cellStyle name="SAPBEXresItemX 2 2 2 3" xfId="27440" xr:uid="{00000000-0005-0000-0000-00002F6B0000}"/>
    <cellStyle name="SAPBEXresItemX 2 2 3" xfId="27441" xr:uid="{00000000-0005-0000-0000-0000306B0000}"/>
    <cellStyle name="SAPBEXresItemX 2 2 3 2" xfId="27442" xr:uid="{00000000-0005-0000-0000-0000316B0000}"/>
    <cellStyle name="SAPBEXresItemX 2 2 3 3" xfId="27443" xr:uid="{00000000-0005-0000-0000-0000326B0000}"/>
    <cellStyle name="SAPBEXresItemX 2 2 4" xfId="27444" xr:uid="{00000000-0005-0000-0000-0000336B0000}"/>
    <cellStyle name="SAPBEXresItemX 2 2 5" xfId="27445" xr:uid="{00000000-0005-0000-0000-0000346B0000}"/>
    <cellStyle name="SAPBEXresItemX 2 3" xfId="27446" xr:uid="{00000000-0005-0000-0000-0000356B0000}"/>
    <cellStyle name="SAPBEXresItemX 2 3 2" xfId="27447" xr:uid="{00000000-0005-0000-0000-0000366B0000}"/>
    <cellStyle name="SAPBEXresItemX 2 3 3" xfId="27448" xr:uid="{00000000-0005-0000-0000-0000376B0000}"/>
    <cellStyle name="SAPBEXresItemX 2 4" xfId="27449" xr:uid="{00000000-0005-0000-0000-0000386B0000}"/>
    <cellStyle name="SAPBEXresItemX 3" xfId="27450" xr:uid="{00000000-0005-0000-0000-0000396B0000}"/>
    <cellStyle name="SAPBEXresItemX 3 2" xfId="27451" xr:uid="{00000000-0005-0000-0000-00003A6B0000}"/>
    <cellStyle name="SAPBEXresItemX 3 2 2" xfId="27452" xr:uid="{00000000-0005-0000-0000-00003B6B0000}"/>
    <cellStyle name="SAPBEXresItemX 3 2 3" xfId="27453" xr:uid="{00000000-0005-0000-0000-00003C6B0000}"/>
    <cellStyle name="SAPBEXresItemX 3 3" xfId="27454" xr:uid="{00000000-0005-0000-0000-00003D6B0000}"/>
    <cellStyle name="SAPBEXresItemX 3 3 2" xfId="27455" xr:uid="{00000000-0005-0000-0000-00003E6B0000}"/>
    <cellStyle name="SAPBEXresItemX 3 3 3" xfId="27456" xr:uid="{00000000-0005-0000-0000-00003F6B0000}"/>
    <cellStyle name="SAPBEXresItemX 3 4" xfId="27457" xr:uid="{00000000-0005-0000-0000-0000406B0000}"/>
    <cellStyle name="SAPBEXresItemX 3 5" xfId="27458" xr:uid="{00000000-0005-0000-0000-0000416B0000}"/>
    <cellStyle name="SAPBEXresItemX 4" xfId="27459" xr:uid="{00000000-0005-0000-0000-0000426B0000}"/>
    <cellStyle name="SAPBEXresItemX 4 2" xfId="27460" xr:uid="{00000000-0005-0000-0000-0000436B0000}"/>
    <cellStyle name="SAPBEXresItemX 4 3" xfId="27461" xr:uid="{00000000-0005-0000-0000-0000446B0000}"/>
    <cellStyle name="SAPBEXresItemX 5" xfId="27462" xr:uid="{00000000-0005-0000-0000-0000456B0000}"/>
    <cellStyle name="SAPBEXstdData" xfId="27463" xr:uid="{00000000-0005-0000-0000-0000466B0000}"/>
    <cellStyle name="SAPBEXstdData 2" xfId="27464" xr:uid="{00000000-0005-0000-0000-0000476B0000}"/>
    <cellStyle name="SAPBEXstdData 2 2" xfId="27465" xr:uid="{00000000-0005-0000-0000-0000486B0000}"/>
    <cellStyle name="SAPBEXstdData 2 2 2" xfId="27466" xr:uid="{00000000-0005-0000-0000-0000496B0000}"/>
    <cellStyle name="SAPBEXstdData 2 2 2 2" xfId="27467" xr:uid="{00000000-0005-0000-0000-00004A6B0000}"/>
    <cellStyle name="SAPBEXstdData 2 2 2 3" xfId="27468" xr:uid="{00000000-0005-0000-0000-00004B6B0000}"/>
    <cellStyle name="SAPBEXstdData 2 2 3" xfId="27469" xr:uid="{00000000-0005-0000-0000-00004C6B0000}"/>
    <cellStyle name="SAPBEXstdData 2 2 3 2" xfId="27470" xr:uid="{00000000-0005-0000-0000-00004D6B0000}"/>
    <cellStyle name="SAPBEXstdData 2 2 3 3" xfId="27471" xr:uid="{00000000-0005-0000-0000-00004E6B0000}"/>
    <cellStyle name="SAPBEXstdData 2 2 4" xfId="27472" xr:uid="{00000000-0005-0000-0000-00004F6B0000}"/>
    <cellStyle name="SAPBEXstdData 2 2 5" xfId="27473" xr:uid="{00000000-0005-0000-0000-0000506B0000}"/>
    <cellStyle name="SAPBEXstdData 2 3" xfId="27474" xr:uid="{00000000-0005-0000-0000-0000516B0000}"/>
    <cellStyle name="SAPBEXstdData 2 3 2" xfId="27475" xr:uid="{00000000-0005-0000-0000-0000526B0000}"/>
    <cellStyle name="SAPBEXstdData 2 3 3" xfId="27476" xr:uid="{00000000-0005-0000-0000-0000536B0000}"/>
    <cellStyle name="SAPBEXstdData 2 4" xfId="27477" xr:uid="{00000000-0005-0000-0000-0000546B0000}"/>
    <cellStyle name="SAPBEXstdData 3" xfId="27478" xr:uid="{00000000-0005-0000-0000-0000556B0000}"/>
    <cellStyle name="SAPBEXstdData 3 2" xfId="27479" xr:uid="{00000000-0005-0000-0000-0000566B0000}"/>
    <cellStyle name="SAPBEXstdData 3 2 2" xfId="27480" xr:uid="{00000000-0005-0000-0000-0000576B0000}"/>
    <cellStyle name="SAPBEXstdData 3 2 3" xfId="27481" xr:uid="{00000000-0005-0000-0000-0000586B0000}"/>
    <cellStyle name="SAPBEXstdData 3 3" xfId="27482" xr:uid="{00000000-0005-0000-0000-0000596B0000}"/>
    <cellStyle name="SAPBEXstdData 3 3 2" xfId="27483" xr:uid="{00000000-0005-0000-0000-00005A6B0000}"/>
    <cellStyle name="SAPBEXstdData 3 3 3" xfId="27484" xr:uid="{00000000-0005-0000-0000-00005B6B0000}"/>
    <cellStyle name="SAPBEXstdData 3 4" xfId="27485" xr:uid="{00000000-0005-0000-0000-00005C6B0000}"/>
    <cellStyle name="SAPBEXstdData 3 5" xfId="27486" xr:uid="{00000000-0005-0000-0000-00005D6B0000}"/>
    <cellStyle name="SAPBEXstdData 4" xfId="27487" xr:uid="{00000000-0005-0000-0000-00005E6B0000}"/>
    <cellStyle name="SAPBEXstdData 4 2" xfId="27488" xr:uid="{00000000-0005-0000-0000-00005F6B0000}"/>
    <cellStyle name="SAPBEXstdData 4 3" xfId="27489" xr:uid="{00000000-0005-0000-0000-0000606B0000}"/>
    <cellStyle name="SAPBEXstdData 5" xfId="27490" xr:uid="{00000000-0005-0000-0000-0000616B0000}"/>
    <cellStyle name="SAPBEXstdDataEmph" xfId="27491" xr:uid="{00000000-0005-0000-0000-0000626B0000}"/>
    <cellStyle name="SAPBEXstdDataEmph 2" xfId="27492" xr:uid="{00000000-0005-0000-0000-0000636B0000}"/>
    <cellStyle name="SAPBEXstdDataEmph 2 2" xfId="27493" xr:uid="{00000000-0005-0000-0000-0000646B0000}"/>
    <cellStyle name="SAPBEXstdDataEmph 2 2 2" xfId="27494" xr:uid="{00000000-0005-0000-0000-0000656B0000}"/>
    <cellStyle name="SAPBEXstdDataEmph 2 2 3" xfId="27495" xr:uid="{00000000-0005-0000-0000-0000666B0000}"/>
    <cellStyle name="SAPBEXstdDataEmph 2 3" xfId="27496" xr:uid="{00000000-0005-0000-0000-0000676B0000}"/>
    <cellStyle name="SAPBEXstdDataEmph 2 3 2" xfId="27497" xr:uid="{00000000-0005-0000-0000-0000686B0000}"/>
    <cellStyle name="SAPBEXstdDataEmph 2 3 3" xfId="27498" xr:uid="{00000000-0005-0000-0000-0000696B0000}"/>
    <cellStyle name="SAPBEXstdDataEmph 2 4" xfId="27499" xr:uid="{00000000-0005-0000-0000-00006A6B0000}"/>
    <cellStyle name="SAPBEXstdDataEmph 2 5" xfId="27500" xr:uid="{00000000-0005-0000-0000-00006B6B0000}"/>
    <cellStyle name="SAPBEXstdDataEmph 3" xfId="27501" xr:uid="{00000000-0005-0000-0000-00006C6B0000}"/>
    <cellStyle name="SAPBEXstdDataEmph 3 2" xfId="27502" xr:uid="{00000000-0005-0000-0000-00006D6B0000}"/>
    <cellStyle name="SAPBEXstdDataEmph 3 3" xfId="27503" xr:uid="{00000000-0005-0000-0000-00006E6B0000}"/>
    <cellStyle name="SAPBEXstdDataEmph 4" xfId="27504" xr:uid="{00000000-0005-0000-0000-00006F6B0000}"/>
    <cellStyle name="SAPBEXstdItem" xfId="27505" xr:uid="{00000000-0005-0000-0000-0000706B0000}"/>
    <cellStyle name="SAPBEXstdItem 2" xfId="27506" xr:uid="{00000000-0005-0000-0000-0000716B0000}"/>
    <cellStyle name="SAPBEXstdItem 2 2" xfId="27507" xr:uid="{00000000-0005-0000-0000-0000726B0000}"/>
    <cellStyle name="SAPBEXstdItem 2 2 2" xfId="27508" xr:uid="{00000000-0005-0000-0000-0000736B0000}"/>
    <cellStyle name="SAPBEXstdItem 2 2 3" xfId="27509" xr:uid="{00000000-0005-0000-0000-0000746B0000}"/>
    <cellStyle name="SAPBEXstdItem 2 3" xfId="27510" xr:uid="{00000000-0005-0000-0000-0000756B0000}"/>
    <cellStyle name="SAPBEXstdItem 2 3 2" xfId="27511" xr:uid="{00000000-0005-0000-0000-0000766B0000}"/>
    <cellStyle name="SAPBEXstdItem 2 3 3" xfId="27512" xr:uid="{00000000-0005-0000-0000-0000776B0000}"/>
    <cellStyle name="SAPBEXstdItem 2 4" xfId="27513" xr:uid="{00000000-0005-0000-0000-0000786B0000}"/>
    <cellStyle name="SAPBEXstdItem 2 5" xfId="27514" xr:uid="{00000000-0005-0000-0000-0000796B0000}"/>
    <cellStyle name="SAPBEXstdItem 3" xfId="27515" xr:uid="{00000000-0005-0000-0000-00007A6B0000}"/>
    <cellStyle name="SAPBEXstdItem 3 2" xfId="27516" xr:uid="{00000000-0005-0000-0000-00007B6B0000}"/>
    <cellStyle name="SAPBEXstdItem 3 3" xfId="27517" xr:uid="{00000000-0005-0000-0000-00007C6B0000}"/>
    <cellStyle name="SAPBEXstdItem 4" xfId="27518" xr:uid="{00000000-0005-0000-0000-00007D6B0000}"/>
    <cellStyle name="SAPBEXstdItemX" xfId="27519" xr:uid="{00000000-0005-0000-0000-00007E6B0000}"/>
    <cellStyle name="SAPBEXstdItemX 2" xfId="27520" xr:uid="{00000000-0005-0000-0000-00007F6B0000}"/>
    <cellStyle name="SAPBEXstdItemX 2 2" xfId="27521" xr:uid="{00000000-0005-0000-0000-0000806B0000}"/>
    <cellStyle name="SAPBEXstdItemX 2 2 2" xfId="27522" xr:uid="{00000000-0005-0000-0000-0000816B0000}"/>
    <cellStyle name="SAPBEXstdItemX 2 2 3" xfId="27523" xr:uid="{00000000-0005-0000-0000-0000826B0000}"/>
    <cellStyle name="SAPBEXstdItemX 2 3" xfId="27524" xr:uid="{00000000-0005-0000-0000-0000836B0000}"/>
    <cellStyle name="SAPBEXstdItemX 2 3 2" xfId="27525" xr:uid="{00000000-0005-0000-0000-0000846B0000}"/>
    <cellStyle name="SAPBEXstdItemX 2 3 3" xfId="27526" xr:uid="{00000000-0005-0000-0000-0000856B0000}"/>
    <cellStyle name="SAPBEXstdItemX 2 4" xfId="27527" xr:uid="{00000000-0005-0000-0000-0000866B0000}"/>
    <cellStyle name="SAPBEXstdItemX 2 5" xfId="27528" xr:uid="{00000000-0005-0000-0000-0000876B0000}"/>
    <cellStyle name="SAPBEXstdItemX 3" xfId="27529" xr:uid="{00000000-0005-0000-0000-0000886B0000}"/>
    <cellStyle name="SAPBEXstdItemX 3 2" xfId="27530" xr:uid="{00000000-0005-0000-0000-0000896B0000}"/>
    <cellStyle name="SAPBEXstdItemX 3 3" xfId="27531" xr:uid="{00000000-0005-0000-0000-00008A6B0000}"/>
    <cellStyle name="SAPBEXstdItemX 4" xfId="27532" xr:uid="{00000000-0005-0000-0000-00008B6B0000}"/>
    <cellStyle name="SAPBEXtitle" xfId="27533" xr:uid="{00000000-0005-0000-0000-00008C6B0000}"/>
    <cellStyle name="SAPBEXundefined" xfId="27534" xr:uid="{00000000-0005-0000-0000-00008D6B0000}"/>
    <cellStyle name="SAPBEXundefined 2" xfId="27535" xr:uid="{00000000-0005-0000-0000-00008E6B0000}"/>
    <cellStyle name="SAPBEXundefined 2 2" xfId="27536" xr:uid="{00000000-0005-0000-0000-00008F6B0000}"/>
    <cellStyle name="SAPBEXundefined 2 2 2" xfId="27537" xr:uid="{00000000-0005-0000-0000-0000906B0000}"/>
    <cellStyle name="SAPBEXundefined 2 2 3" xfId="27538" xr:uid="{00000000-0005-0000-0000-0000916B0000}"/>
    <cellStyle name="SAPBEXundefined 2 3" xfId="27539" xr:uid="{00000000-0005-0000-0000-0000926B0000}"/>
    <cellStyle name="SAPBEXundefined 2 3 2" xfId="27540" xr:uid="{00000000-0005-0000-0000-0000936B0000}"/>
    <cellStyle name="SAPBEXundefined 2 3 3" xfId="27541" xr:uid="{00000000-0005-0000-0000-0000946B0000}"/>
    <cellStyle name="SAPBEXundefined 2 4" xfId="27542" xr:uid="{00000000-0005-0000-0000-0000956B0000}"/>
    <cellStyle name="SAPBEXundefined 2 5" xfId="27543" xr:uid="{00000000-0005-0000-0000-0000966B0000}"/>
    <cellStyle name="SAPBEXundefined 3" xfId="27544" xr:uid="{00000000-0005-0000-0000-0000976B0000}"/>
    <cellStyle name="SAPBEXundefined 3 2" xfId="27545" xr:uid="{00000000-0005-0000-0000-0000986B0000}"/>
    <cellStyle name="SAPBEXundefined 3 3" xfId="27546" xr:uid="{00000000-0005-0000-0000-0000996B0000}"/>
    <cellStyle name="SAPBEXundefined 4" xfId="27547" xr:uid="{00000000-0005-0000-0000-00009A6B0000}"/>
    <cellStyle name="sbt2" xfId="27548" xr:uid="{00000000-0005-0000-0000-00009B6B0000}"/>
    <cellStyle name="sbt2 2" xfId="27549" xr:uid="{00000000-0005-0000-0000-00009C6B0000}"/>
    <cellStyle name="sbt2 2 2" xfId="27550" xr:uid="{00000000-0005-0000-0000-00009D6B0000}"/>
    <cellStyle name="sbt2 2 2 2" xfId="27551" xr:uid="{00000000-0005-0000-0000-00009E6B0000}"/>
    <cellStyle name="sbt2 2 2 3" xfId="27552" xr:uid="{00000000-0005-0000-0000-00009F6B0000}"/>
    <cellStyle name="sbt2 2 3" xfId="27553" xr:uid="{00000000-0005-0000-0000-0000A06B0000}"/>
    <cellStyle name="sbt2 2 3 2" xfId="27554" xr:uid="{00000000-0005-0000-0000-0000A16B0000}"/>
    <cellStyle name="sbt2 2 3 3" xfId="27555" xr:uid="{00000000-0005-0000-0000-0000A26B0000}"/>
    <cellStyle name="sbt2 2 4" xfId="27556" xr:uid="{00000000-0005-0000-0000-0000A36B0000}"/>
    <cellStyle name="sbt2 2 5" xfId="27557" xr:uid="{00000000-0005-0000-0000-0000A46B0000}"/>
    <cellStyle name="sbt2 3" xfId="27558" xr:uid="{00000000-0005-0000-0000-0000A56B0000}"/>
    <cellStyle name="ScheduleHeading" xfId="27559" xr:uid="{00000000-0005-0000-0000-0000A66B0000}"/>
    <cellStyle name="SEM-BPS-data" xfId="27560" xr:uid="{00000000-0005-0000-0000-0000A76B0000}"/>
    <cellStyle name="SEM-BPS-head" xfId="27561" xr:uid="{00000000-0005-0000-0000-0000A86B0000}"/>
    <cellStyle name="SEM-BPS-headdata" xfId="27562" xr:uid="{00000000-0005-0000-0000-0000A96B0000}"/>
    <cellStyle name="SEM-BPS-headkey" xfId="27563" xr:uid="{00000000-0005-0000-0000-0000AA6B0000}"/>
    <cellStyle name="SEM-BPS-input-on" xfId="27564" xr:uid="{00000000-0005-0000-0000-0000AB6B0000}"/>
    <cellStyle name="SEM-BPS-key" xfId="27565" xr:uid="{00000000-0005-0000-0000-0000AC6B0000}"/>
    <cellStyle name="SEM-BPS-sub1" xfId="27566" xr:uid="{00000000-0005-0000-0000-0000AD6B0000}"/>
    <cellStyle name="SEM-BPS-sub2" xfId="27567" xr:uid="{00000000-0005-0000-0000-0000AE6B0000}"/>
    <cellStyle name="SEM-BPS-total" xfId="27568" xr:uid="{00000000-0005-0000-0000-0000AF6B0000}"/>
    <cellStyle name="Separador de milhares [0]_Person" xfId="27569" xr:uid="{00000000-0005-0000-0000-0000B06B0000}"/>
    <cellStyle name="Separador de milhares_Person" xfId="27570" xr:uid="{00000000-0005-0000-0000-0000B16B0000}"/>
    <cellStyle name="Shaded" xfId="27571" xr:uid="{00000000-0005-0000-0000-0000B26B0000}"/>
    <cellStyle name="Shaded 2" xfId="27572" xr:uid="{00000000-0005-0000-0000-0000B36B0000}"/>
    <cellStyle name="Standard 2" xfId="27573" xr:uid="{00000000-0005-0000-0000-0000B46B0000}"/>
    <cellStyle name="Standard 3" xfId="27574" xr:uid="{00000000-0005-0000-0000-0000B56B0000}"/>
    <cellStyle name="Standard_96" xfId="27575" xr:uid="{00000000-0005-0000-0000-0000B66B0000}"/>
    <cellStyle name="Style 1" xfId="27576" xr:uid="{00000000-0005-0000-0000-0000B76B0000}"/>
    <cellStyle name="Style 1 2" xfId="27577" xr:uid="{00000000-0005-0000-0000-0000B86B0000}"/>
    <cellStyle name="Style 1 2 2" xfId="27578" xr:uid="{00000000-0005-0000-0000-0000B96B0000}"/>
    <cellStyle name="Style 1 2 3" xfId="27579" xr:uid="{00000000-0005-0000-0000-0000BA6B0000}"/>
    <cellStyle name="Style 1 3" xfId="27580" xr:uid="{00000000-0005-0000-0000-0000BB6B0000}"/>
    <cellStyle name="Style 1_BS retrieve" xfId="27581" xr:uid="{00000000-0005-0000-0000-0000BC6B0000}"/>
    <cellStyle name="Style 24" xfId="27582" xr:uid="{00000000-0005-0000-0000-0000BD6B0000}"/>
    <cellStyle name="SubHeading" xfId="27583" xr:uid="{00000000-0005-0000-0000-0000BE6B0000}"/>
    <cellStyle name="subt1" xfId="27584" xr:uid="{00000000-0005-0000-0000-0000BF6B0000}"/>
    <cellStyle name="SubTitleHeads" xfId="27585" xr:uid="{00000000-0005-0000-0000-0000C06B0000}"/>
    <cellStyle name="Subtotal" xfId="27586" xr:uid="{00000000-0005-0000-0000-0000C16B0000}"/>
    <cellStyle name="SubTotal 2" xfId="27587" xr:uid="{00000000-0005-0000-0000-0000C26B0000}"/>
    <cellStyle name="SubTotal 2 2" xfId="27588" xr:uid="{00000000-0005-0000-0000-0000C36B0000}"/>
    <cellStyle name="SubTotal 2 2 2" xfId="27589" xr:uid="{00000000-0005-0000-0000-0000C46B0000}"/>
    <cellStyle name="SubTotal 2 2 2 2" xfId="27590" xr:uid="{00000000-0005-0000-0000-0000C56B0000}"/>
    <cellStyle name="SubTotal 2 2 2 3" xfId="27591" xr:uid="{00000000-0005-0000-0000-0000C66B0000}"/>
    <cellStyle name="SubTotal 2 2 3" xfId="27592" xr:uid="{00000000-0005-0000-0000-0000C76B0000}"/>
    <cellStyle name="SubTotal 2 2 3 2" xfId="27593" xr:uid="{00000000-0005-0000-0000-0000C86B0000}"/>
    <cellStyle name="SubTotal 2 2 3 3" xfId="27594" xr:uid="{00000000-0005-0000-0000-0000C96B0000}"/>
    <cellStyle name="SubTotal 2 2 4" xfId="27595" xr:uid="{00000000-0005-0000-0000-0000CA6B0000}"/>
    <cellStyle name="SubTotal 2 2 5" xfId="27596" xr:uid="{00000000-0005-0000-0000-0000CB6B0000}"/>
    <cellStyle name="SubTotal 2 3" xfId="27597" xr:uid="{00000000-0005-0000-0000-0000CC6B0000}"/>
    <cellStyle name="SubTotal 2 3 2" xfId="27598" xr:uid="{00000000-0005-0000-0000-0000CD6B0000}"/>
    <cellStyle name="SubTotal 2 3 3" xfId="27599" xr:uid="{00000000-0005-0000-0000-0000CE6B0000}"/>
    <cellStyle name="SubTotal 2 4" xfId="27600" xr:uid="{00000000-0005-0000-0000-0000CF6B0000}"/>
    <cellStyle name="SubTotal 2 4 2" xfId="27601" xr:uid="{00000000-0005-0000-0000-0000D06B0000}"/>
    <cellStyle name="SubTotal 2 4 3" xfId="27602" xr:uid="{00000000-0005-0000-0000-0000D16B0000}"/>
    <cellStyle name="SubTotal 2 5" xfId="27603" xr:uid="{00000000-0005-0000-0000-0000D26B0000}"/>
    <cellStyle name="SubTotal 2 6" xfId="27604" xr:uid="{00000000-0005-0000-0000-0000D36B0000}"/>
    <cellStyle name="SubTotal 2 7" xfId="27605" xr:uid="{00000000-0005-0000-0000-0000D46B0000}"/>
    <cellStyle name="SubTotal 3" xfId="27606" xr:uid="{00000000-0005-0000-0000-0000D56B0000}"/>
    <cellStyle name="SubTotal 3 2" xfId="27607" xr:uid="{00000000-0005-0000-0000-0000D66B0000}"/>
    <cellStyle name="SubTotal 3 2 2" xfId="27608" xr:uid="{00000000-0005-0000-0000-0000D76B0000}"/>
    <cellStyle name="SubTotal 3 2 2 2" xfId="27609" xr:uid="{00000000-0005-0000-0000-0000D86B0000}"/>
    <cellStyle name="SubTotal 3 2 2 3" xfId="27610" xr:uid="{00000000-0005-0000-0000-0000D96B0000}"/>
    <cellStyle name="SubTotal 3 2 3" xfId="27611" xr:uid="{00000000-0005-0000-0000-0000DA6B0000}"/>
    <cellStyle name="SubTotal 3 2 3 2" xfId="27612" xr:uid="{00000000-0005-0000-0000-0000DB6B0000}"/>
    <cellStyle name="SubTotal 3 2 3 3" xfId="27613" xr:uid="{00000000-0005-0000-0000-0000DC6B0000}"/>
    <cellStyle name="SubTotal 3 2 4" xfId="27614" xr:uid="{00000000-0005-0000-0000-0000DD6B0000}"/>
    <cellStyle name="SubTotal 3 2 5" xfId="27615" xr:uid="{00000000-0005-0000-0000-0000DE6B0000}"/>
    <cellStyle name="SubTotal 3 3" xfId="27616" xr:uid="{00000000-0005-0000-0000-0000DF6B0000}"/>
    <cellStyle name="SubTotal 3 3 2" xfId="27617" xr:uid="{00000000-0005-0000-0000-0000E06B0000}"/>
    <cellStyle name="SubTotal 3 3 3" xfId="27618" xr:uid="{00000000-0005-0000-0000-0000E16B0000}"/>
    <cellStyle name="SubTotal 3 4" xfId="27619" xr:uid="{00000000-0005-0000-0000-0000E26B0000}"/>
    <cellStyle name="SubTotal 3 4 2" xfId="27620" xr:uid="{00000000-0005-0000-0000-0000E36B0000}"/>
    <cellStyle name="SubTotal 3 4 3" xfId="27621" xr:uid="{00000000-0005-0000-0000-0000E46B0000}"/>
    <cellStyle name="SubTotal 3 5" xfId="27622" xr:uid="{00000000-0005-0000-0000-0000E56B0000}"/>
    <cellStyle name="SubTotal 3 6" xfId="27623" xr:uid="{00000000-0005-0000-0000-0000E66B0000}"/>
    <cellStyle name="SubTotal 3 7" xfId="27624" xr:uid="{00000000-0005-0000-0000-0000E76B0000}"/>
    <cellStyle name="SubTotal 4" xfId="27625" xr:uid="{00000000-0005-0000-0000-0000E86B0000}"/>
    <cellStyle name="Sum" xfId="27626" xr:uid="{00000000-0005-0000-0000-0000E96B0000}"/>
    <cellStyle name="Sum %of HV" xfId="27627" xr:uid="{00000000-0005-0000-0000-0000EA6B0000}"/>
    <cellStyle name="tabel" xfId="27628" xr:uid="{00000000-0005-0000-0000-0000EB6B0000}"/>
    <cellStyle name="TabHead" xfId="27629" xr:uid="{00000000-0005-0000-0000-0000EC6B0000}"/>
    <cellStyle name="Text" xfId="27630" xr:uid="{00000000-0005-0000-0000-0000ED6B0000}"/>
    <cellStyle name="Text Indent A" xfId="27631" xr:uid="{00000000-0005-0000-0000-0000EE6B0000}"/>
    <cellStyle name="Text Indent B" xfId="27632" xr:uid="{00000000-0005-0000-0000-0000EF6B0000}"/>
    <cellStyle name="Text Indent B 2" xfId="27633" xr:uid="{00000000-0005-0000-0000-0000F06B0000}"/>
    <cellStyle name="Text Indent C" xfId="27634" xr:uid="{00000000-0005-0000-0000-0000F16B0000}"/>
    <cellStyle name="Text Indent C 2" xfId="27635" xr:uid="{00000000-0005-0000-0000-0000F26B0000}"/>
    <cellStyle name="Thousands" xfId="27636" xr:uid="{00000000-0005-0000-0000-0000F36B0000}"/>
    <cellStyle name="Thousands (0)" xfId="27637" xr:uid="{00000000-0005-0000-0000-0000F46B0000}"/>
    <cellStyle name="Thousands (1)" xfId="27638" xr:uid="{00000000-0005-0000-0000-0000F56B0000}"/>
    <cellStyle name="Thousands 2" xfId="27639" xr:uid="{00000000-0005-0000-0000-0000F66B0000}"/>
    <cellStyle name="Thousands 2 2" xfId="27640" xr:uid="{00000000-0005-0000-0000-0000F76B0000}"/>
    <cellStyle name="Thousands_By Country Detail 1Q10 041410pm FIN 18 revised per disc w Mary" xfId="27641" xr:uid="{00000000-0005-0000-0000-0000F86B0000}"/>
    <cellStyle name="time" xfId="27642" xr:uid="{00000000-0005-0000-0000-0000F96B0000}"/>
    <cellStyle name="Titel" xfId="27643" xr:uid="{00000000-0005-0000-0000-0000FA6B0000}"/>
    <cellStyle name="Title 2" xfId="27644" xr:uid="{00000000-0005-0000-0000-0000FB6B0000}"/>
    <cellStyle name="Title 2 2" xfId="27645" xr:uid="{00000000-0005-0000-0000-0000FC6B0000}"/>
    <cellStyle name="Title 2 3" xfId="27646" xr:uid="{00000000-0005-0000-0000-0000FD6B0000}"/>
    <cellStyle name="Title 3" xfId="27647" xr:uid="{00000000-0005-0000-0000-0000FE6B0000}"/>
    <cellStyle name="Título 4" xfId="27648" xr:uid="{00000000-0005-0000-0000-0000FF6B0000}"/>
    <cellStyle name="Título 4 2" xfId="27649" xr:uid="{00000000-0005-0000-0000-0000006C0000}"/>
    <cellStyle name="Título 4 2 2" xfId="27650" xr:uid="{00000000-0005-0000-0000-0000016C0000}"/>
    <cellStyle name="Título 4 2 2 2" xfId="27651" xr:uid="{00000000-0005-0000-0000-0000026C0000}"/>
    <cellStyle name="Título 4 2 2 2 2" xfId="27652" xr:uid="{00000000-0005-0000-0000-0000036C0000}"/>
    <cellStyle name="Título 4 2 3" xfId="27653" xr:uid="{00000000-0005-0000-0000-0000046C0000}"/>
    <cellStyle name="Título 4 2 3 2" xfId="27654" xr:uid="{00000000-0005-0000-0000-0000056C0000}"/>
    <cellStyle name="Título 4 3" xfId="27655" xr:uid="{00000000-0005-0000-0000-0000066C0000}"/>
    <cellStyle name="Título 4 3 2" xfId="27656" xr:uid="{00000000-0005-0000-0000-0000076C0000}"/>
    <cellStyle name="Título 4 3 2 2" xfId="27657" xr:uid="{00000000-0005-0000-0000-0000086C0000}"/>
    <cellStyle name="Título 4 4" xfId="27658" xr:uid="{00000000-0005-0000-0000-0000096C0000}"/>
    <cellStyle name="Título 4 4 2" xfId="27659" xr:uid="{00000000-0005-0000-0000-00000A6C0000}"/>
    <cellStyle name="Topline" xfId="27660" xr:uid="{00000000-0005-0000-0000-00000B6C0000}"/>
    <cellStyle name="Topline 2" xfId="27661" xr:uid="{00000000-0005-0000-0000-00000C6C0000}"/>
    <cellStyle name="Topline 2 2" xfId="27662" xr:uid="{00000000-0005-0000-0000-00000D6C0000}"/>
    <cellStyle name="Topline 2 2 2" xfId="27663" xr:uid="{00000000-0005-0000-0000-00000E6C0000}"/>
    <cellStyle name="Topline 2 2 3" xfId="27664" xr:uid="{00000000-0005-0000-0000-00000F6C0000}"/>
    <cellStyle name="Topline 2 3" xfId="27665" xr:uid="{00000000-0005-0000-0000-0000106C0000}"/>
    <cellStyle name="Topline 2 3 2" xfId="27666" xr:uid="{00000000-0005-0000-0000-0000116C0000}"/>
    <cellStyle name="Topline 2 3 3" xfId="27667" xr:uid="{00000000-0005-0000-0000-0000126C0000}"/>
    <cellStyle name="Topline 2 4" xfId="27668" xr:uid="{00000000-0005-0000-0000-0000136C0000}"/>
    <cellStyle name="Topline 2 5" xfId="27669" xr:uid="{00000000-0005-0000-0000-0000146C0000}"/>
    <cellStyle name="Topline 3" xfId="27670" xr:uid="{00000000-0005-0000-0000-0000156C0000}"/>
    <cellStyle name="Topline 3 2" xfId="27671" xr:uid="{00000000-0005-0000-0000-0000166C0000}"/>
    <cellStyle name="Topline 3 3" xfId="27672" xr:uid="{00000000-0005-0000-0000-0000176C0000}"/>
    <cellStyle name="Topline 4" xfId="27673" xr:uid="{00000000-0005-0000-0000-0000186C0000}"/>
    <cellStyle name="Total 2" xfId="27674" xr:uid="{00000000-0005-0000-0000-0000196C0000}"/>
    <cellStyle name="Total 2 2" xfId="27675" xr:uid="{00000000-0005-0000-0000-00001A6C0000}"/>
    <cellStyle name="Total 2 3" xfId="27676" xr:uid="{00000000-0005-0000-0000-00001B6C0000}"/>
    <cellStyle name="Total 2 4" xfId="27677" xr:uid="{00000000-0005-0000-0000-00001C6C0000}"/>
    <cellStyle name="Total 3" xfId="27678" xr:uid="{00000000-0005-0000-0000-00001D6C0000}"/>
    <cellStyle name="Total 3 2" xfId="27679" xr:uid="{00000000-0005-0000-0000-00001E6C0000}"/>
    <cellStyle name="Underline 2" xfId="27680" xr:uid="{00000000-0005-0000-0000-00001F6C0000}"/>
    <cellStyle name="Unit" xfId="27681" xr:uid="{00000000-0005-0000-0000-0000206C0000}"/>
    <cellStyle name="Unit 2" xfId="27682" xr:uid="{00000000-0005-0000-0000-0000216C0000}"/>
    <cellStyle name="ùù?ï·ªê [0.00]_Revised MOR4" xfId="27683" xr:uid="{00000000-0005-0000-0000-0000226C0000}"/>
    <cellStyle name="Vertical" xfId="27684" xr:uid="{00000000-0005-0000-0000-0000236C0000}"/>
    <cellStyle name="Vertical 2" xfId="27685" xr:uid="{00000000-0005-0000-0000-0000246C0000}"/>
    <cellStyle name="W?hrung [0]_1994 - 1998" xfId="27686" xr:uid="{00000000-0005-0000-0000-0000256C0000}"/>
    <cellStyle name="W?hrung_1994 - 1998" xfId="27687" xr:uid="{00000000-0005-0000-0000-0000266C0000}"/>
    <cellStyle name="Währung [0]_1994 - 1998" xfId="27688" xr:uid="{00000000-0005-0000-0000-0000276C0000}"/>
    <cellStyle name="Währung_1994 - 1998" xfId="27689" xr:uid="{00000000-0005-0000-0000-0000286C0000}"/>
    <cellStyle name="Walutowy [0]_Zeszyt1" xfId="27690" xr:uid="{00000000-0005-0000-0000-0000296C0000}"/>
    <cellStyle name="Walutowy_Zeszyt1" xfId="27691" xr:uid="{00000000-0005-0000-0000-00002A6C0000}"/>
    <cellStyle name="Warning Text 2" xfId="27692" xr:uid="{00000000-0005-0000-0000-00002B6C0000}"/>
    <cellStyle name="Warning Text 2 2" xfId="27693" xr:uid="{00000000-0005-0000-0000-00002C6C0000}"/>
    <cellStyle name="Warning Text 2 3" xfId="27694" xr:uid="{00000000-0005-0000-0000-00002D6C0000}"/>
    <cellStyle name="Warning Text 3" xfId="27695" xr:uid="{00000000-0005-0000-0000-00002E6C0000}"/>
    <cellStyle name="Wrap" xfId="27696" xr:uid="{00000000-0005-0000-0000-00002F6C0000}"/>
    <cellStyle name="Wдhrung [0]_Perskurz 98" xfId="27697" xr:uid="{00000000-0005-0000-0000-0000306C0000}"/>
    <cellStyle name="Wдhrung_Perskurz 98" xfId="27698" xr:uid="{00000000-0005-0000-0000-0000316C0000}"/>
    <cellStyle name="Year" xfId="27699" xr:uid="{00000000-0005-0000-0000-0000326C0000}"/>
    <cellStyle name="Year 2" xfId="27700" xr:uid="{00000000-0005-0000-0000-0000336C0000}"/>
    <cellStyle name="Year 2 2" xfId="27701" xr:uid="{00000000-0005-0000-0000-0000346C0000}"/>
    <cellStyle name="Year 2 2 2" xfId="27702" xr:uid="{00000000-0005-0000-0000-0000356C0000}"/>
    <cellStyle name="Year 2 2 3" xfId="27703" xr:uid="{00000000-0005-0000-0000-0000366C0000}"/>
    <cellStyle name="Year 2 3" xfId="27704" xr:uid="{00000000-0005-0000-0000-0000376C0000}"/>
    <cellStyle name="Year 2 3 2" xfId="27705" xr:uid="{00000000-0005-0000-0000-0000386C0000}"/>
    <cellStyle name="Year 2 3 3" xfId="27706" xr:uid="{00000000-0005-0000-0000-0000396C0000}"/>
    <cellStyle name="Year 2 4" xfId="27707" xr:uid="{00000000-0005-0000-0000-00003A6C0000}"/>
    <cellStyle name="Year 2 5" xfId="27708" xr:uid="{00000000-0005-0000-0000-00003B6C0000}"/>
    <cellStyle name="Year 3" xfId="27709" xr:uid="{00000000-0005-0000-0000-00003C6C0000}"/>
    <cellStyle name="Year 3 2" xfId="27710" xr:uid="{00000000-0005-0000-0000-00003D6C0000}"/>
    <cellStyle name="Year 3 3" xfId="27711" xr:uid="{00000000-0005-0000-0000-00003E6C0000}"/>
    <cellStyle name="Year 4" xfId="27712" xr:uid="{00000000-0005-0000-0000-00003F6C0000}"/>
    <cellStyle name="Zero [---]" xfId="27713" xr:uid="{00000000-0005-0000-0000-0000406C0000}"/>
    <cellStyle name="Акцент1 2" xfId="27714" xr:uid="{00000000-0005-0000-0000-0000416C0000}"/>
    <cellStyle name="Акцент2 2" xfId="27715" xr:uid="{00000000-0005-0000-0000-0000426C0000}"/>
    <cellStyle name="Акцент3 2" xfId="27716" xr:uid="{00000000-0005-0000-0000-0000436C0000}"/>
    <cellStyle name="Акцент4 2" xfId="27717" xr:uid="{00000000-0005-0000-0000-0000446C0000}"/>
    <cellStyle name="Акцент5 2" xfId="27718" xr:uid="{00000000-0005-0000-0000-0000456C0000}"/>
    <cellStyle name="Акцент6 2" xfId="27719" xr:uid="{00000000-0005-0000-0000-0000466C0000}"/>
    <cellStyle name="Ввод  2" xfId="27720" xr:uid="{00000000-0005-0000-0000-0000476C0000}"/>
    <cellStyle name="Вывод 2" xfId="27721" xr:uid="{00000000-0005-0000-0000-0000486C0000}"/>
    <cellStyle name="Вычисление 2" xfId="27722" xr:uid="{00000000-0005-0000-0000-0000496C0000}"/>
    <cellStyle name="Гиперссылка" xfId="27723" builtinId="8"/>
    <cellStyle name="Гиперссылка 2" xfId="27724" xr:uid="{00000000-0005-0000-0000-00004B6C0000}"/>
    <cellStyle name="Гиперссылка 3" xfId="27725" xr:uid="{00000000-0005-0000-0000-00004C6C0000}"/>
    <cellStyle name="Гиперссылка 4" xfId="27726" xr:uid="{00000000-0005-0000-0000-00004D6C0000}"/>
    <cellStyle name="Денежный 10" xfId="27727" xr:uid="{00000000-0005-0000-0000-00004E6C0000}"/>
    <cellStyle name="Денежный 10 2" xfId="27728" xr:uid="{00000000-0005-0000-0000-00004F6C0000}"/>
    <cellStyle name="Денежный 11" xfId="27729" xr:uid="{00000000-0005-0000-0000-0000506C0000}"/>
    <cellStyle name="Денежный 12" xfId="27730" xr:uid="{00000000-0005-0000-0000-0000516C0000}"/>
    <cellStyle name="Денежный 13" xfId="27731" xr:uid="{00000000-0005-0000-0000-0000526C0000}"/>
    <cellStyle name="Денежный 14" xfId="27732" xr:uid="{00000000-0005-0000-0000-0000536C0000}"/>
    <cellStyle name="Денежный 2" xfId="27733" xr:uid="{00000000-0005-0000-0000-0000546C0000}"/>
    <cellStyle name="Денежный 2 10" xfId="27734" xr:uid="{00000000-0005-0000-0000-0000556C0000}"/>
    <cellStyle name="Денежный 2 10 2" xfId="27735" xr:uid="{00000000-0005-0000-0000-0000566C0000}"/>
    <cellStyle name="Денежный 2 10 2 2" xfId="27736" xr:uid="{00000000-0005-0000-0000-0000576C0000}"/>
    <cellStyle name="Денежный 2 10 2 2 2" xfId="27737" xr:uid="{00000000-0005-0000-0000-0000586C0000}"/>
    <cellStyle name="Денежный 2 10 2 3" xfId="27738" xr:uid="{00000000-0005-0000-0000-0000596C0000}"/>
    <cellStyle name="Денежный 2 10 3" xfId="27739" xr:uid="{00000000-0005-0000-0000-00005A6C0000}"/>
    <cellStyle name="Денежный 2 10 3 2" xfId="27740" xr:uid="{00000000-0005-0000-0000-00005B6C0000}"/>
    <cellStyle name="Денежный 2 10 4" xfId="27741" xr:uid="{00000000-0005-0000-0000-00005C6C0000}"/>
    <cellStyle name="Денежный 2 10 4 2" xfId="27742" xr:uid="{00000000-0005-0000-0000-00005D6C0000}"/>
    <cellStyle name="Денежный 2 10 5" xfId="27743" xr:uid="{00000000-0005-0000-0000-00005E6C0000}"/>
    <cellStyle name="Денежный 2 11" xfId="27744" xr:uid="{00000000-0005-0000-0000-00005F6C0000}"/>
    <cellStyle name="Денежный 2 11 2" xfId="27745" xr:uid="{00000000-0005-0000-0000-0000606C0000}"/>
    <cellStyle name="Денежный 2 11 2 2" xfId="27746" xr:uid="{00000000-0005-0000-0000-0000616C0000}"/>
    <cellStyle name="Денежный 2 11 2 2 2" xfId="27747" xr:uid="{00000000-0005-0000-0000-0000626C0000}"/>
    <cellStyle name="Денежный 2 11 2 3" xfId="27748" xr:uid="{00000000-0005-0000-0000-0000636C0000}"/>
    <cellStyle name="Денежный 2 11 3" xfId="27749" xr:uid="{00000000-0005-0000-0000-0000646C0000}"/>
    <cellStyle name="Денежный 2 11 3 2" xfId="27750" xr:uid="{00000000-0005-0000-0000-0000656C0000}"/>
    <cellStyle name="Денежный 2 11 4" xfId="27751" xr:uid="{00000000-0005-0000-0000-0000666C0000}"/>
    <cellStyle name="Денежный 2 11 4 2" xfId="27752" xr:uid="{00000000-0005-0000-0000-0000676C0000}"/>
    <cellStyle name="Денежный 2 11 5" xfId="27753" xr:uid="{00000000-0005-0000-0000-0000686C0000}"/>
    <cellStyle name="Денежный 2 12" xfId="27754" xr:uid="{00000000-0005-0000-0000-0000696C0000}"/>
    <cellStyle name="Денежный 2 12 2" xfId="27755" xr:uid="{00000000-0005-0000-0000-00006A6C0000}"/>
    <cellStyle name="Денежный 2 12 2 2" xfId="27756" xr:uid="{00000000-0005-0000-0000-00006B6C0000}"/>
    <cellStyle name="Денежный 2 12 2 2 2" xfId="27757" xr:uid="{00000000-0005-0000-0000-00006C6C0000}"/>
    <cellStyle name="Денежный 2 12 2 3" xfId="27758" xr:uid="{00000000-0005-0000-0000-00006D6C0000}"/>
    <cellStyle name="Денежный 2 12 3" xfId="27759" xr:uid="{00000000-0005-0000-0000-00006E6C0000}"/>
    <cellStyle name="Денежный 2 12 3 2" xfId="27760" xr:uid="{00000000-0005-0000-0000-00006F6C0000}"/>
    <cellStyle name="Денежный 2 12 4" xfId="27761" xr:uid="{00000000-0005-0000-0000-0000706C0000}"/>
    <cellStyle name="Денежный 2 12 4 2" xfId="27762" xr:uid="{00000000-0005-0000-0000-0000716C0000}"/>
    <cellStyle name="Денежный 2 12 5" xfId="27763" xr:uid="{00000000-0005-0000-0000-0000726C0000}"/>
    <cellStyle name="Денежный 2 13" xfId="27764" xr:uid="{00000000-0005-0000-0000-0000736C0000}"/>
    <cellStyle name="Денежный 2 13 2" xfId="27765" xr:uid="{00000000-0005-0000-0000-0000746C0000}"/>
    <cellStyle name="Денежный 2 13 2 2" xfId="27766" xr:uid="{00000000-0005-0000-0000-0000756C0000}"/>
    <cellStyle name="Денежный 2 13 2 2 2" xfId="27767" xr:uid="{00000000-0005-0000-0000-0000766C0000}"/>
    <cellStyle name="Денежный 2 13 2 3" xfId="27768" xr:uid="{00000000-0005-0000-0000-0000776C0000}"/>
    <cellStyle name="Денежный 2 13 3" xfId="27769" xr:uid="{00000000-0005-0000-0000-0000786C0000}"/>
    <cellStyle name="Денежный 2 13 3 2" xfId="27770" xr:uid="{00000000-0005-0000-0000-0000796C0000}"/>
    <cellStyle name="Денежный 2 13 4" xfId="27771" xr:uid="{00000000-0005-0000-0000-00007A6C0000}"/>
    <cellStyle name="Денежный 2 13 4 2" xfId="27772" xr:uid="{00000000-0005-0000-0000-00007B6C0000}"/>
    <cellStyle name="Денежный 2 13 5" xfId="27773" xr:uid="{00000000-0005-0000-0000-00007C6C0000}"/>
    <cellStyle name="Денежный 2 14" xfId="27774" xr:uid="{00000000-0005-0000-0000-00007D6C0000}"/>
    <cellStyle name="Денежный 2 14 2" xfId="27775" xr:uid="{00000000-0005-0000-0000-00007E6C0000}"/>
    <cellStyle name="Денежный 2 14 2 2" xfId="27776" xr:uid="{00000000-0005-0000-0000-00007F6C0000}"/>
    <cellStyle name="Денежный 2 14 3" xfId="27777" xr:uid="{00000000-0005-0000-0000-0000806C0000}"/>
    <cellStyle name="Денежный 2 15" xfId="27778" xr:uid="{00000000-0005-0000-0000-0000816C0000}"/>
    <cellStyle name="Денежный 2 15 2" xfId="27779" xr:uid="{00000000-0005-0000-0000-0000826C0000}"/>
    <cellStyle name="Денежный 2 16" xfId="27780" xr:uid="{00000000-0005-0000-0000-0000836C0000}"/>
    <cellStyle name="Денежный 2 16 2" xfId="27781" xr:uid="{00000000-0005-0000-0000-0000846C0000}"/>
    <cellStyle name="Денежный 2 17" xfId="27782" xr:uid="{00000000-0005-0000-0000-0000856C0000}"/>
    <cellStyle name="Денежный 2 18" xfId="27783" xr:uid="{00000000-0005-0000-0000-0000866C0000}"/>
    <cellStyle name="Денежный 2 2" xfId="27784" xr:uid="{00000000-0005-0000-0000-0000876C0000}"/>
    <cellStyle name="Денежный 2 2 10" xfId="27785" xr:uid="{00000000-0005-0000-0000-0000886C0000}"/>
    <cellStyle name="Денежный 2 2 10 2" xfId="27786" xr:uid="{00000000-0005-0000-0000-0000896C0000}"/>
    <cellStyle name="Денежный 2 2 10 2 2" xfId="27787" xr:uid="{00000000-0005-0000-0000-00008A6C0000}"/>
    <cellStyle name="Денежный 2 2 10 2 2 2" xfId="27788" xr:uid="{00000000-0005-0000-0000-00008B6C0000}"/>
    <cellStyle name="Денежный 2 2 10 2 3" xfId="27789" xr:uid="{00000000-0005-0000-0000-00008C6C0000}"/>
    <cellStyle name="Денежный 2 2 10 3" xfId="27790" xr:uid="{00000000-0005-0000-0000-00008D6C0000}"/>
    <cellStyle name="Денежный 2 2 10 3 2" xfId="27791" xr:uid="{00000000-0005-0000-0000-00008E6C0000}"/>
    <cellStyle name="Денежный 2 2 10 4" xfId="27792" xr:uid="{00000000-0005-0000-0000-00008F6C0000}"/>
    <cellStyle name="Денежный 2 2 10 4 2" xfId="27793" xr:uid="{00000000-0005-0000-0000-0000906C0000}"/>
    <cellStyle name="Денежный 2 2 10 5" xfId="27794" xr:uid="{00000000-0005-0000-0000-0000916C0000}"/>
    <cellStyle name="Денежный 2 2 11" xfId="27795" xr:uid="{00000000-0005-0000-0000-0000926C0000}"/>
    <cellStyle name="Денежный 2 2 11 2" xfId="27796" xr:uid="{00000000-0005-0000-0000-0000936C0000}"/>
    <cellStyle name="Денежный 2 2 11 2 2" xfId="27797" xr:uid="{00000000-0005-0000-0000-0000946C0000}"/>
    <cellStyle name="Денежный 2 2 11 2 2 2" xfId="27798" xr:uid="{00000000-0005-0000-0000-0000956C0000}"/>
    <cellStyle name="Денежный 2 2 11 2 3" xfId="27799" xr:uid="{00000000-0005-0000-0000-0000966C0000}"/>
    <cellStyle name="Денежный 2 2 11 3" xfId="27800" xr:uid="{00000000-0005-0000-0000-0000976C0000}"/>
    <cellStyle name="Денежный 2 2 11 3 2" xfId="27801" xr:uid="{00000000-0005-0000-0000-0000986C0000}"/>
    <cellStyle name="Денежный 2 2 11 4" xfId="27802" xr:uid="{00000000-0005-0000-0000-0000996C0000}"/>
    <cellStyle name="Денежный 2 2 11 4 2" xfId="27803" xr:uid="{00000000-0005-0000-0000-00009A6C0000}"/>
    <cellStyle name="Денежный 2 2 11 5" xfId="27804" xr:uid="{00000000-0005-0000-0000-00009B6C0000}"/>
    <cellStyle name="Денежный 2 2 12" xfId="27805" xr:uid="{00000000-0005-0000-0000-00009C6C0000}"/>
    <cellStyle name="Денежный 2 2 12 2" xfId="27806" xr:uid="{00000000-0005-0000-0000-00009D6C0000}"/>
    <cellStyle name="Денежный 2 2 12 2 2" xfId="27807" xr:uid="{00000000-0005-0000-0000-00009E6C0000}"/>
    <cellStyle name="Денежный 2 2 12 2 2 2" xfId="27808" xr:uid="{00000000-0005-0000-0000-00009F6C0000}"/>
    <cellStyle name="Денежный 2 2 12 2 3" xfId="27809" xr:uid="{00000000-0005-0000-0000-0000A06C0000}"/>
    <cellStyle name="Денежный 2 2 12 3" xfId="27810" xr:uid="{00000000-0005-0000-0000-0000A16C0000}"/>
    <cellStyle name="Денежный 2 2 12 3 2" xfId="27811" xr:uid="{00000000-0005-0000-0000-0000A26C0000}"/>
    <cellStyle name="Денежный 2 2 12 4" xfId="27812" xr:uid="{00000000-0005-0000-0000-0000A36C0000}"/>
    <cellStyle name="Денежный 2 2 12 4 2" xfId="27813" xr:uid="{00000000-0005-0000-0000-0000A46C0000}"/>
    <cellStyle name="Денежный 2 2 12 5" xfId="27814" xr:uid="{00000000-0005-0000-0000-0000A56C0000}"/>
    <cellStyle name="Денежный 2 2 13" xfId="27815" xr:uid="{00000000-0005-0000-0000-0000A66C0000}"/>
    <cellStyle name="Денежный 2 2 13 2" xfId="27816" xr:uid="{00000000-0005-0000-0000-0000A76C0000}"/>
    <cellStyle name="Денежный 2 2 13 2 2" xfId="27817" xr:uid="{00000000-0005-0000-0000-0000A86C0000}"/>
    <cellStyle name="Денежный 2 2 13 3" xfId="27818" xr:uid="{00000000-0005-0000-0000-0000A96C0000}"/>
    <cellStyle name="Денежный 2 2 14" xfId="27819" xr:uid="{00000000-0005-0000-0000-0000AA6C0000}"/>
    <cellStyle name="Денежный 2 2 14 2" xfId="27820" xr:uid="{00000000-0005-0000-0000-0000AB6C0000}"/>
    <cellStyle name="Денежный 2 2 15" xfId="27821" xr:uid="{00000000-0005-0000-0000-0000AC6C0000}"/>
    <cellStyle name="Денежный 2 2 15 2" xfId="27822" xr:uid="{00000000-0005-0000-0000-0000AD6C0000}"/>
    <cellStyle name="Денежный 2 2 16" xfId="27823" xr:uid="{00000000-0005-0000-0000-0000AE6C0000}"/>
    <cellStyle name="Денежный 2 2 17" xfId="27824" xr:uid="{00000000-0005-0000-0000-0000AF6C0000}"/>
    <cellStyle name="Денежный 2 2 2" xfId="27825" xr:uid="{00000000-0005-0000-0000-0000B06C0000}"/>
    <cellStyle name="Денежный 2 2 2 10" xfId="27826" xr:uid="{00000000-0005-0000-0000-0000B16C0000}"/>
    <cellStyle name="Денежный 2 2 2 10 2" xfId="27827" xr:uid="{00000000-0005-0000-0000-0000B26C0000}"/>
    <cellStyle name="Денежный 2 2 2 10 2 2" xfId="27828" xr:uid="{00000000-0005-0000-0000-0000B36C0000}"/>
    <cellStyle name="Денежный 2 2 2 10 2 2 2" xfId="27829" xr:uid="{00000000-0005-0000-0000-0000B46C0000}"/>
    <cellStyle name="Денежный 2 2 2 10 2 3" xfId="27830" xr:uid="{00000000-0005-0000-0000-0000B56C0000}"/>
    <cellStyle name="Денежный 2 2 2 10 3" xfId="27831" xr:uid="{00000000-0005-0000-0000-0000B66C0000}"/>
    <cellStyle name="Денежный 2 2 2 10 3 2" xfId="27832" xr:uid="{00000000-0005-0000-0000-0000B76C0000}"/>
    <cellStyle name="Денежный 2 2 2 10 4" xfId="27833" xr:uid="{00000000-0005-0000-0000-0000B86C0000}"/>
    <cellStyle name="Денежный 2 2 2 10 4 2" xfId="27834" xr:uid="{00000000-0005-0000-0000-0000B96C0000}"/>
    <cellStyle name="Денежный 2 2 2 10 5" xfId="27835" xr:uid="{00000000-0005-0000-0000-0000BA6C0000}"/>
    <cellStyle name="Денежный 2 2 2 11" xfId="27836" xr:uid="{00000000-0005-0000-0000-0000BB6C0000}"/>
    <cellStyle name="Денежный 2 2 2 11 2" xfId="27837" xr:uid="{00000000-0005-0000-0000-0000BC6C0000}"/>
    <cellStyle name="Денежный 2 2 2 11 2 2" xfId="27838" xr:uid="{00000000-0005-0000-0000-0000BD6C0000}"/>
    <cellStyle name="Денежный 2 2 2 11 3" xfId="27839" xr:uid="{00000000-0005-0000-0000-0000BE6C0000}"/>
    <cellStyle name="Денежный 2 2 2 12" xfId="27840" xr:uid="{00000000-0005-0000-0000-0000BF6C0000}"/>
    <cellStyle name="Денежный 2 2 2 12 2" xfId="27841" xr:uid="{00000000-0005-0000-0000-0000C06C0000}"/>
    <cellStyle name="Денежный 2 2 2 13" xfId="27842" xr:uid="{00000000-0005-0000-0000-0000C16C0000}"/>
    <cellStyle name="Денежный 2 2 2 13 2" xfId="27843" xr:uid="{00000000-0005-0000-0000-0000C26C0000}"/>
    <cellStyle name="Денежный 2 2 2 14" xfId="27844" xr:uid="{00000000-0005-0000-0000-0000C36C0000}"/>
    <cellStyle name="Денежный 2 2 2 15" xfId="27845" xr:uid="{00000000-0005-0000-0000-0000C46C0000}"/>
    <cellStyle name="Денежный 2 2 2 2" xfId="27846" xr:uid="{00000000-0005-0000-0000-0000C56C0000}"/>
    <cellStyle name="Денежный 2 2 2 2 10" xfId="27847" xr:uid="{00000000-0005-0000-0000-0000C66C0000}"/>
    <cellStyle name="Денежный 2 2 2 2 2" xfId="27848" xr:uid="{00000000-0005-0000-0000-0000C76C0000}"/>
    <cellStyle name="Денежный 2 2 2 2 2 2" xfId="27849" xr:uid="{00000000-0005-0000-0000-0000C86C0000}"/>
    <cellStyle name="Денежный 2 2 2 2 2 2 2" xfId="27850" xr:uid="{00000000-0005-0000-0000-0000C96C0000}"/>
    <cellStyle name="Денежный 2 2 2 2 2 2 2 2" xfId="27851" xr:uid="{00000000-0005-0000-0000-0000CA6C0000}"/>
    <cellStyle name="Денежный 2 2 2 2 2 2 3" xfId="27852" xr:uid="{00000000-0005-0000-0000-0000CB6C0000}"/>
    <cellStyle name="Денежный 2 2 2 2 2 3" xfId="27853" xr:uid="{00000000-0005-0000-0000-0000CC6C0000}"/>
    <cellStyle name="Денежный 2 2 2 2 2 3 2" xfId="27854" xr:uid="{00000000-0005-0000-0000-0000CD6C0000}"/>
    <cellStyle name="Денежный 2 2 2 2 2 4" xfId="27855" xr:uid="{00000000-0005-0000-0000-0000CE6C0000}"/>
    <cellStyle name="Денежный 2 2 2 2 2 4 2" xfId="27856" xr:uid="{00000000-0005-0000-0000-0000CF6C0000}"/>
    <cellStyle name="Денежный 2 2 2 2 2 5" xfId="27857" xr:uid="{00000000-0005-0000-0000-0000D06C0000}"/>
    <cellStyle name="Денежный 2 2 2 2 3" xfId="27858" xr:uid="{00000000-0005-0000-0000-0000D16C0000}"/>
    <cellStyle name="Денежный 2 2 2 2 3 2" xfId="27859" xr:uid="{00000000-0005-0000-0000-0000D26C0000}"/>
    <cellStyle name="Денежный 2 2 2 2 3 2 2" xfId="27860" xr:uid="{00000000-0005-0000-0000-0000D36C0000}"/>
    <cellStyle name="Денежный 2 2 2 2 3 2 2 2" xfId="27861" xr:uid="{00000000-0005-0000-0000-0000D46C0000}"/>
    <cellStyle name="Денежный 2 2 2 2 3 2 3" xfId="27862" xr:uid="{00000000-0005-0000-0000-0000D56C0000}"/>
    <cellStyle name="Денежный 2 2 2 2 3 3" xfId="27863" xr:uid="{00000000-0005-0000-0000-0000D66C0000}"/>
    <cellStyle name="Денежный 2 2 2 2 3 3 2" xfId="27864" xr:uid="{00000000-0005-0000-0000-0000D76C0000}"/>
    <cellStyle name="Денежный 2 2 2 2 3 4" xfId="27865" xr:uid="{00000000-0005-0000-0000-0000D86C0000}"/>
    <cellStyle name="Денежный 2 2 2 2 3 4 2" xfId="27866" xr:uid="{00000000-0005-0000-0000-0000D96C0000}"/>
    <cellStyle name="Денежный 2 2 2 2 3 5" xfId="27867" xr:uid="{00000000-0005-0000-0000-0000DA6C0000}"/>
    <cellStyle name="Денежный 2 2 2 2 4" xfId="27868" xr:uid="{00000000-0005-0000-0000-0000DB6C0000}"/>
    <cellStyle name="Денежный 2 2 2 2 4 2" xfId="27869" xr:uid="{00000000-0005-0000-0000-0000DC6C0000}"/>
    <cellStyle name="Денежный 2 2 2 2 4 2 2" xfId="27870" xr:uid="{00000000-0005-0000-0000-0000DD6C0000}"/>
    <cellStyle name="Денежный 2 2 2 2 4 2 2 2" xfId="27871" xr:uid="{00000000-0005-0000-0000-0000DE6C0000}"/>
    <cellStyle name="Денежный 2 2 2 2 4 2 3" xfId="27872" xr:uid="{00000000-0005-0000-0000-0000DF6C0000}"/>
    <cellStyle name="Денежный 2 2 2 2 4 3" xfId="27873" xr:uid="{00000000-0005-0000-0000-0000E06C0000}"/>
    <cellStyle name="Денежный 2 2 2 2 4 3 2" xfId="27874" xr:uid="{00000000-0005-0000-0000-0000E16C0000}"/>
    <cellStyle name="Денежный 2 2 2 2 4 4" xfId="27875" xr:uid="{00000000-0005-0000-0000-0000E26C0000}"/>
    <cellStyle name="Денежный 2 2 2 2 4 4 2" xfId="27876" xr:uid="{00000000-0005-0000-0000-0000E36C0000}"/>
    <cellStyle name="Денежный 2 2 2 2 4 5" xfId="27877" xr:uid="{00000000-0005-0000-0000-0000E46C0000}"/>
    <cellStyle name="Денежный 2 2 2 2 5" xfId="27878" xr:uid="{00000000-0005-0000-0000-0000E56C0000}"/>
    <cellStyle name="Денежный 2 2 2 2 5 2" xfId="27879" xr:uid="{00000000-0005-0000-0000-0000E66C0000}"/>
    <cellStyle name="Денежный 2 2 2 2 5 2 2" xfId="27880" xr:uid="{00000000-0005-0000-0000-0000E76C0000}"/>
    <cellStyle name="Денежный 2 2 2 2 5 2 2 2" xfId="27881" xr:uid="{00000000-0005-0000-0000-0000E86C0000}"/>
    <cellStyle name="Денежный 2 2 2 2 5 2 3" xfId="27882" xr:uid="{00000000-0005-0000-0000-0000E96C0000}"/>
    <cellStyle name="Денежный 2 2 2 2 5 3" xfId="27883" xr:uid="{00000000-0005-0000-0000-0000EA6C0000}"/>
    <cellStyle name="Денежный 2 2 2 2 5 3 2" xfId="27884" xr:uid="{00000000-0005-0000-0000-0000EB6C0000}"/>
    <cellStyle name="Денежный 2 2 2 2 5 4" xfId="27885" xr:uid="{00000000-0005-0000-0000-0000EC6C0000}"/>
    <cellStyle name="Денежный 2 2 2 2 5 4 2" xfId="27886" xr:uid="{00000000-0005-0000-0000-0000ED6C0000}"/>
    <cellStyle name="Денежный 2 2 2 2 5 5" xfId="27887" xr:uid="{00000000-0005-0000-0000-0000EE6C0000}"/>
    <cellStyle name="Денежный 2 2 2 2 6" xfId="27888" xr:uid="{00000000-0005-0000-0000-0000EF6C0000}"/>
    <cellStyle name="Денежный 2 2 2 2 6 2" xfId="27889" xr:uid="{00000000-0005-0000-0000-0000F06C0000}"/>
    <cellStyle name="Денежный 2 2 2 2 6 2 2" xfId="27890" xr:uid="{00000000-0005-0000-0000-0000F16C0000}"/>
    <cellStyle name="Денежный 2 2 2 2 6 3" xfId="27891" xr:uid="{00000000-0005-0000-0000-0000F26C0000}"/>
    <cellStyle name="Денежный 2 2 2 2 7" xfId="27892" xr:uid="{00000000-0005-0000-0000-0000F36C0000}"/>
    <cellStyle name="Денежный 2 2 2 2 7 2" xfId="27893" xr:uid="{00000000-0005-0000-0000-0000F46C0000}"/>
    <cellStyle name="Денежный 2 2 2 2 8" xfId="27894" xr:uid="{00000000-0005-0000-0000-0000F56C0000}"/>
    <cellStyle name="Денежный 2 2 2 2 8 2" xfId="27895" xr:uid="{00000000-0005-0000-0000-0000F66C0000}"/>
    <cellStyle name="Денежный 2 2 2 2 9" xfId="27896" xr:uid="{00000000-0005-0000-0000-0000F76C0000}"/>
    <cellStyle name="Денежный 2 2 2 3" xfId="27897" xr:uid="{00000000-0005-0000-0000-0000F86C0000}"/>
    <cellStyle name="Денежный 2 2 2 3 10" xfId="27898" xr:uid="{00000000-0005-0000-0000-0000F96C0000}"/>
    <cellStyle name="Денежный 2 2 2 3 2" xfId="27899" xr:uid="{00000000-0005-0000-0000-0000FA6C0000}"/>
    <cellStyle name="Денежный 2 2 2 3 2 2" xfId="27900" xr:uid="{00000000-0005-0000-0000-0000FB6C0000}"/>
    <cellStyle name="Денежный 2 2 2 3 2 2 2" xfId="27901" xr:uid="{00000000-0005-0000-0000-0000FC6C0000}"/>
    <cellStyle name="Денежный 2 2 2 3 2 2 2 2" xfId="27902" xr:uid="{00000000-0005-0000-0000-0000FD6C0000}"/>
    <cellStyle name="Денежный 2 2 2 3 2 2 3" xfId="27903" xr:uid="{00000000-0005-0000-0000-0000FE6C0000}"/>
    <cellStyle name="Денежный 2 2 2 3 2 3" xfId="27904" xr:uid="{00000000-0005-0000-0000-0000FF6C0000}"/>
    <cellStyle name="Денежный 2 2 2 3 2 3 2" xfId="27905" xr:uid="{00000000-0005-0000-0000-0000006D0000}"/>
    <cellStyle name="Денежный 2 2 2 3 2 4" xfId="27906" xr:uid="{00000000-0005-0000-0000-0000016D0000}"/>
    <cellStyle name="Денежный 2 2 2 3 2 4 2" xfId="27907" xr:uid="{00000000-0005-0000-0000-0000026D0000}"/>
    <cellStyle name="Денежный 2 2 2 3 2 5" xfId="27908" xr:uid="{00000000-0005-0000-0000-0000036D0000}"/>
    <cellStyle name="Денежный 2 2 2 3 3" xfId="27909" xr:uid="{00000000-0005-0000-0000-0000046D0000}"/>
    <cellStyle name="Денежный 2 2 2 3 3 2" xfId="27910" xr:uid="{00000000-0005-0000-0000-0000056D0000}"/>
    <cellStyle name="Денежный 2 2 2 3 3 2 2" xfId="27911" xr:uid="{00000000-0005-0000-0000-0000066D0000}"/>
    <cellStyle name="Денежный 2 2 2 3 3 2 2 2" xfId="27912" xr:uid="{00000000-0005-0000-0000-0000076D0000}"/>
    <cellStyle name="Денежный 2 2 2 3 3 2 3" xfId="27913" xr:uid="{00000000-0005-0000-0000-0000086D0000}"/>
    <cellStyle name="Денежный 2 2 2 3 3 3" xfId="27914" xr:uid="{00000000-0005-0000-0000-0000096D0000}"/>
    <cellStyle name="Денежный 2 2 2 3 3 3 2" xfId="27915" xr:uid="{00000000-0005-0000-0000-00000A6D0000}"/>
    <cellStyle name="Денежный 2 2 2 3 3 4" xfId="27916" xr:uid="{00000000-0005-0000-0000-00000B6D0000}"/>
    <cellStyle name="Денежный 2 2 2 3 3 4 2" xfId="27917" xr:uid="{00000000-0005-0000-0000-00000C6D0000}"/>
    <cellStyle name="Денежный 2 2 2 3 3 5" xfId="27918" xr:uid="{00000000-0005-0000-0000-00000D6D0000}"/>
    <cellStyle name="Денежный 2 2 2 3 4" xfId="27919" xr:uid="{00000000-0005-0000-0000-00000E6D0000}"/>
    <cellStyle name="Денежный 2 2 2 3 4 2" xfId="27920" xr:uid="{00000000-0005-0000-0000-00000F6D0000}"/>
    <cellStyle name="Денежный 2 2 2 3 4 2 2" xfId="27921" xr:uid="{00000000-0005-0000-0000-0000106D0000}"/>
    <cellStyle name="Денежный 2 2 2 3 4 2 2 2" xfId="27922" xr:uid="{00000000-0005-0000-0000-0000116D0000}"/>
    <cellStyle name="Денежный 2 2 2 3 4 2 3" xfId="27923" xr:uid="{00000000-0005-0000-0000-0000126D0000}"/>
    <cellStyle name="Денежный 2 2 2 3 4 3" xfId="27924" xr:uid="{00000000-0005-0000-0000-0000136D0000}"/>
    <cellStyle name="Денежный 2 2 2 3 4 3 2" xfId="27925" xr:uid="{00000000-0005-0000-0000-0000146D0000}"/>
    <cellStyle name="Денежный 2 2 2 3 4 4" xfId="27926" xr:uid="{00000000-0005-0000-0000-0000156D0000}"/>
    <cellStyle name="Денежный 2 2 2 3 4 4 2" xfId="27927" xr:uid="{00000000-0005-0000-0000-0000166D0000}"/>
    <cellStyle name="Денежный 2 2 2 3 4 5" xfId="27928" xr:uid="{00000000-0005-0000-0000-0000176D0000}"/>
    <cellStyle name="Денежный 2 2 2 3 5" xfId="27929" xr:uid="{00000000-0005-0000-0000-0000186D0000}"/>
    <cellStyle name="Денежный 2 2 2 3 5 2" xfId="27930" xr:uid="{00000000-0005-0000-0000-0000196D0000}"/>
    <cellStyle name="Денежный 2 2 2 3 5 2 2" xfId="27931" xr:uid="{00000000-0005-0000-0000-00001A6D0000}"/>
    <cellStyle name="Денежный 2 2 2 3 5 2 2 2" xfId="27932" xr:uid="{00000000-0005-0000-0000-00001B6D0000}"/>
    <cellStyle name="Денежный 2 2 2 3 5 2 3" xfId="27933" xr:uid="{00000000-0005-0000-0000-00001C6D0000}"/>
    <cellStyle name="Денежный 2 2 2 3 5 3" xfId="27934" xr:uid="{00000000-0005-0000-0000-00001D6D0000}"/>
    <cellStyle name="Денежный 2 2 2 3 5 3 2" xfId="27935" xr:uid="{00000000-0005-0000-0000-00001E6D0000}"/>
    <cellStyle name="Денежный 2 2 2 3 5 4" xfId="27936" xr:uid="{00000000-0005-0000-0000-00001F6D0000}"/>
    <cellStyle name="Денежный 2 2 2 3 5 4 2" xfId="27937" xr:uid="{00000000-0005-0000-0000-0000206D0000}"/>
    <cellStyle name="Денежный 2 2 2 3 5 5" xfId="27938" xr:uid="{00000000-0005-0000-0000-0000216D0000}"/>
    <cellStyle name="Денежный 2 2 2 3 6" xfId="27939" xr:uid="{00000000-0005-0000-0000-0000226D0000}"/>
    <cellStyle name="Денежный 2 2 2 3 6 2" xfId="27940" xr:uid="{00000000-0005-0000-0000-0000236D0000}"/>
    <cellStyle name="Денежный 2 2 2 3 6 2 2" xfId="27941" xr:uid="{00000000-0005-0000-0000-0000246D0000}"/>
    <cellStyle name="Денежный 2 2 2 3 6 3" xfId="27942" xr:uid="{00000000-0005-0000-0000-0000256D0000}"/>
    <cellStyle name="Денежный 2 2 2 3 7" xfId="27943" xr:uid="{00000000-0005-0000-0000-0000266D0000}"/>
    <cellStyle name="Денежный 2 2 2 3 7 2" xfId="27944" xr:uid="{00000000-0005-0000-0000-0000276D0000}"/>
    <cellStyle name="Денежный 2 2 2 3 8" xfId="27945" xr:uid="{00000000-0005-0000-0000-0000286D0000}"/>
    <cellStyle name="Денежный 2 2 2 3 8 2" xfId="27946" xr:uid="{00000000-0005-0000-0000-0000296D0000}"/>
    <cellStyle name="Денежный 2 2 2 3 9" xfId="27947" xr:uid="{00000000-0005-0000-0000-00002A6D0000}"/>
    <cellStyle name="Денежный 2 2 2 4" xfId="27948" xr:uid="{00000000-0005-0000-0000-00002B6D0000}"/>
    <cellStyle name="Денежный 2 2 2 4 10" xfId="27949" xr:uid="{00000000-0005-0000-0000-00002C6D0000}"/>
    <cellStyle name="Денежный 2 2 2 4 2" xfId="27950" xr:uid="{00000000-0005-0000-0000-00002D6D0000}"/>
    <cellStyle name="Денежный 2 2 2 4 2 2" xfId="27951" xr:uid="{00000000-0005-0000-0000-00002E6D0000}"/>
    <cellStyle name="Денежный 2 2 2 4 2 2 2" xfId="27952" xr:uid="{00000000-0005-0000-0000-00002F6D0000}"/>
    <cellStyle name="Денежный 2 2 2 4 2 2 2 2" xfId="27953" xr:uid="{00000000-0005-0000-0000-0000306D0000}"/>
    <cellStyle name="Денежный 2 2 2 4 2 2 3" xfId="27954" xr:uid="{00000000-0005-0000-0000-0000316D0000}"/>
    <cellStyle name="Денежный 2 2 2 4 2 3" xfId="27955" xr:uid="{00000000-0005-0000-0000-0000326D0000}"/>
    <cellStyle name="Денежный 2 2 2 4 2 3 2" xfId="27956" xr:uid="{00000000-0005-0000-0000-0000336D0000}"/>
    <cellStyle name="Денежный 2 2 2 4 2 4" xfId="27957" xr:uid="{00000000-0005-0000-0000-0000346D0000}"/>
    <cellStyle name="Денежный 2 2 2 4 2 4 2" xfId="27958" xr:uid="{00000000-0005-0000-0000-0000356D0000}"/>
    <cellStyle name="Денежный 2 2 2 4 2 5" xfId="27959" xr:uid="{00000000-0005-0000-0000-0000366D0000}"/>
    <cellStyle name="Денежный 2 2 2 4 3" xfId="27960" xr:uid="{00000000-0005-0000-0000-0000376D0000}"/>
    <cellStyle name="Денежный 2 2 2 4 3 2" xfId="27961" xr:uid="{00000000-0005-0000-0000-0000386D0000}"/>
    <cellStyle name="Денежный 2 2 2 4 3 2 2" xfId="27962" xr:uid="{00000000-0005-0000-0000-0000396D0000}"/>
    <cellStyle name="Денежный 2 2 2 4 3 2 2 2" xfId="27963" xr:uid="{00000000-0005-0000-0000-00003A6D0000}"/>
    <cellStyle name="Денежный 2 2 2 4 3 2 3" xfId="27964" xr:uid="{00000000-0005-0000-0000-00003B6D0000}"/>
    <cellStyle name="Денежный 2 2 2 4 3 3" xfId="27965" xr:uid="{00000000-0005-0000-0000-00003C6D0000}"/>
    <cellStyle name="Денежный 2 2 2 4 3 3 2" xfId="27966" xr:uid="{00000000-0005-0000-0000-00003D6D0000}"/>
    <cellStyle name="Денежный 2 2 2 4 3 4" xfId="27967" xr:uid="{00000000-0005-0000-0000-00003E6D0000}"/>
    <cellStyle name="Денежный 2 2 2 4 3 4 2" xfId="27968" xr:uid="{00000000-0005-0000-0000-00003F6D0000}"/>
    <cellStyle name="Денежный 2 2 2 4 3 5" xfId="27969" xr:uid="{00000000-0005-0000-0000-0000406D0000}"/>
    <cellStyle name="Денежный 2 2 2 4 4" xfId="27970" xr:uid="{00000000-0005-0000-0000-0000416D0000}"/>
    <cellStyle name="Денежный 2 2 2 4 4 2" xfId="27971" xr:uid="{00000000-0005-0000-0000-0000426D0000}"/>
    <cellStyle name="Денежный 2 2 2 4 4 2 2" xfId="27972" xr:uid="{00000000-0005-0000-0000-0000436D0000}"/>
    <cellStyle name="Денежный 2 2 2 4 4 2 2 2" xfId="27973" xr:uid="{00000000-0005-0000-0000-0000446D0000}"/>
    <cellStyle name="Денежный 2 2 2 4 4 2 3" xfId="27974" xr:uid="{00000000-0005-0000-0000-0000456D0000}"/>
    <cellStyle name="Денежный 2 2 2 4 4 3" xfId="27975" xr:uid="{00000000-0005-0000-0000-0000466D0000}"/>
    <cellStyle name="Денежный 2 2 2 4 4 3 2" xfId="27976" xr:uid="{00000000-0005-0000-0000-0000476D0000}"/>
    <cellStyle name="Денежный 2 2 2 4 4 4" xfId="27977" xr:uid="{00000000-0005-0000-0000-0000486D0000}"/>
    <cellStyle name="Денежный 2 2 2 4 4 4 2" xfId="27978" xr:uid="{00000000-0005-0000-0000-0000496D0000}"/>
    <cellStyle name="Денежный 2 2 2 4 4 5" xfId="27979" xr:uid="{00000000-0005-0000-0000-00004A6D0000}"/>
    <cellStyle name="Денежный 2 2 2 4 5" xfId="27980" xr:uid="{00000000-0005-0000-0000-00004B6D0000}"/>
    <cellStyle name="Денежный 2 2 2 4 5 2" xfId="27981" xr:uid="{00000000-0005-0000-0000-00004C6D0000}"/>
    <cellStyle name="Денежный 2 2 2 4 5 2 2" xfId="27982" xr:uid="{00000000-0005-0000-0000-00004D6D0000}"/>
    <cellStyle name="Денежный 2 2 2 4 5 2 2 2" xfId="27983" xr:uid="{00000000-0005-0000-0000-00004E6D0000}"/>
    <cellStyle name="Денежный 2 2 2 4 5 2 3" xfId="27984" xr:uid="{00000000-0005-0000-0000-00004F6D0000}"/>
    <cellStyle name="Денежный 2 2 2 4 5 3" xfId="27985" xr:uid="{00000000-0005-0000-0000-0000506D0000}"/>
    <cellStyle name="Денежный 2 2 2 4 5 3 2" xfId="27986" xr:uid="{00000000-0005-0000-0000-0000516D0000}"/>
    <cellStyle name="Денежный 2 2 2 4 5 4" xfId="27987" xr:uid="{00000000-0005-0000-0000-0000526D0000}"/>
    <cellStyle name="Денежный 2 2 2 4 5 4 2" xfId="27988" xr:uid="{00000000-0005-0000-0000-0000536D0000}"/>
    <cellStyle name="Денежный 2 2 2 4 5 5" xfId="27989" xr:uid="{00000000-0005-0000-0000-0000546D0000}"/>
    <cellStyle name="Денежный 2 2 2 4 6" xfId="27990" xr:uid="{00000000-0005-0000-0000-0000556D0000}"/>
    <cellStyle name="Денежный 2 2 2 4 6 2" xfId="27991" xr:uid="{00000000-0005-0000-0000-0000566D0000}"/>
    <cellStyle name="Денежный 2 2 2 4 6 2 2" xfId="27992" xr:uid="{00000000-0005-0000-0000-0000576D0000}"/>
    <cellStyle name="Денежный 2 2 2 4 6 3" xfId="27993" xr:uid="{00000000-0005-0000-0000-0000586D0000}"/>
    <cellStyle name="Денежный 2 2 2 4 7" xfId="27994" xr:uid="{00000000-0005-0000-0000-0000596D0000}"/>
    <cellStyle name="Денежный 2 2 2 4 7 2" xfId="27995" xr:uid="{00000000-0005-0000-0000-00005A6D0000}"/>
    <cellStyle name="Денежный 2 2 2 4 8" xfId="27996" xr:uid="{00000000-0005-0000-0000-00005B6D0000}"/>
    <cellStyle name="Денежный 2 2 2 4 8 2" xfId="27997" xr:uid="{00000000-0005-0000-0000-00005C6D0000}"/>
    <cellStyle name="Денежный 2 2 2 4 9" xfId="27998" xr:uid="{00000000-0005-0000-0000-00005D6D0000}"/>
    <cellStyle name="Денежный 2 2 2 5" xfId="27999" xr:uid="{00000000-0005-0000-0000-00005E6D0000}"/>
    <cellStyle name="Денежный 2 2 2 5 10" xfId="28000" xr:uid="{00000000-0005-0000-0000-00005F6D0000}"/>
    <cellStyle name="Денежный 2 2 2 5 2" xfId="28001" xr:uid="{00000000-0005-0000-0000-0000606D0000}"/>
    <cellStyle name="Денежный 2 2 2 5 2 2" xfId="28002" xr:uid="{00000000-0005-0000-0000-0000616D0000}"/>
    <cellStyle name="Денежный 2 2 2 5 2 2 2" xfId="28003" xr:uid="{00000000-0005-0000-0000-0000626D0000}"/>
    <cellStyle name="Денежный 2 2 2 5 2 2 2 2" xfId="28004" xr:uid="{00000000-0005-0000-0000-0000636D0000}"/>
    <cellStyle name="Денежный 2 2 2 5 2 2 3" xfId="28005" xr:uid="{00000000-0005-0000-0000-0000646D0000}"/>
    <cellStyle name="Денежный 2 2 2 5 2 3" xfId="28006" xr:uid="{00000000-0005-0000-0000-0000656D0000}"/>
    <cellStyle name="Денежный 2 2 2 5 2 3 2" xfId="28007" xr:uid="{00000000-0005-0000-0000-0000666D0000}"/>
    <cellStyle name="Денежный 2 2 2 5 2 4" xfId="28008" xr:uid="{00000000-0005-0000-0000-0000676D0000}"/>
    <cellStyle name="Денежный 2 2 2 5 2 4 2" xfId="28009" xr:uid="{00000000-0005-0000-0000-0000686D0000}"/>
    <cellStyle name="Денежный 2 2 2 5 2 5" xfId="28010" xr:uid="{00000000-0005-0000-0000-0000696D0000}"/>
    <cellStyle name="Денежный 2 2 2 5 3" xfId="28011" xr:uid="{00000000-0005-0000-0000-00006A6D0000}"/>
    <cellStyle name="Денежный 2 2 2 5 3 2" xfId="28012" xr:uid="{00000000-0005-0000-0000-00006B6D0000}"/>
    <cellStyle name="Денежный 2 2 2 5 3 2 2" xfId="28013" xr:uid="{00000000-0005-0000-0000-00006C6D0000}"/>
    <cellStyle name="Денежный 2 2 2 5 3 2 2 2" xfId="28014" xr:uid="{00000000-0005-0000-0000-00006D6D0000}"/>
    <cellStyle name="Денежный 2 2 2 5 3 2 3" xfId="28015" xr:uid="{00000000-0005-0000-0000-00006E6D0000}"/>
    <cellStyle name="Денежный 2 2 2 5 3 3" xfId="28016" xr:uid="{00000000-0005-0000-0000-00006F6D0000}"/>
    <cellStyle name="Денежный 2 2 2 5 3 3 2" xfId="28017" xr:uid="{00000000-0005-0000-0000-0000706D0000}"/>
    <cellStyle name="Денежный 2 2 2 5 3 4" xfId="28018" xr:uid="{00000000-0005-0000-0000-0000716D0000}"/>
    <cellStyle name="Денежный 2 2 2 5 3 4 2" xfId="28019" xr:uid="{00000000-0005-0000-0000-0000726D0000}"/>
    <cellStyle name="Денежный 2 2 2 5 3 5" xfId="28020" xr:uid="{00000000-0005-0000-0000-0000736D0000}"/>
    <cellStyle name="Денежный 2 2 2 5 4" xfId="28021" xr:uid="{00000000-0005-0000-0000-0000746D0000}"/>
    <cellStyle name="Денежный 2 2 2 5 4 2" xfId="28022" xr:uid="{00000000-0005-0000-0000-0000756D0000}"/>
    <cellStyle name="Денежный 2 2 2 5 4 2 2" xfId="28023" xr:uid="{00000000-0005-0000-0000-0000766D0000}"/>
    <cellStyle name="Денежный 2 2 2 5 4 2 2 2" xfId="28024" xr:uid="{00000000-0005-0000-0000-0000776D0000}"/>
    <cellStyle name="Денежный 2 2 2 5 4 2 3" xfId="28025" xr:uid="{00000000-0005-0000-0000-0000786D0000}"/>
    <cellStyle name="Денежный 2 2 2 5 4 3" xfId="28026" xr:uid="{00000000-0005-0000-0000-0000796D0000}"/>
    <cellStyle name="Денежный 2 2 2 5 4 3 2" xfId="28027" xr:uid="{00000000-0005-0000-0000-00007A6D0000}"/>
    <cellStyle name="Денежный 2 2 2 5 4 4" xfId="28028" xr:uid="{00000000-0005-0000-0000-00007B6D0000}"/>
    <cellStyle name="Денежный 2 2 2 5 4 4 2" xfId="28029" xr:uid="{00000000-0005-0000-0000-00007C6D0000}"/>
    <cellStyle name="Денежный 2 2 2 5 4 5" xfId="28030" xr:uid="{00000000-0005-0000-0000-00007D6D0000}"/>
    <cellStyle name="Денежный 2 2 2 5 5" xfId="28031" xr:uid="{00000000-0005-0000-0000-00007E6D0000}"/>
    <cellStyle name="Денежный 2 2 2 5 5 2" xfId="28032" xr:uid="{00000000-0005-0000-0000-00007F6D0000}"/>
    <cellStyle name="Денежный 2 2 2 5 5 2 2" xfId="28033" xr:uid="{00000000-0005-0000-0000-0000806D0000}"/>
    <cellStyle name="Денежный 2 2 2 5 5 2 2 2" xfId="28034" xr:uid="{00000000-0005-0000-0000-0000816D0000}"/>
    <cellStyle name="Денежный 2 2 2 5 5 2 3" xfId="28035" xr:uid="{00000000-0005-0000-0000-0000826D0000}"/>
    <cellStyle name="Денежный 2 2 2 5 5 3" xfId="28036" xr:uid="{00000000-0005-0000-0000-0000836D0000}"/>
    <cellStyle name="Денежный 2 2 2 5 5 3 2" xfId="28037" xr:uid="{00000000-0005-0000-0000-0000846D0000}"/>
    <cellStyle name="Денежный 2 2 2 5 5 4" xfId="28038" xr:uid="{00000000-0005-0000-0000-0000856D0000}"/>
    <cellStyle name="Денежный 2 2 2 5 5 4 2" xfId="28039" xr:uid="{00000000-0005-0000-0000-0000866D0000}"/>
    <cellStyle name="Денежный 2 2 2 5 5 5" xfId="28040" xr:uid="{00000000-0005-0000-0000-0000876D0000}"/>
    <cellStyle name="Денежный 2 2 2 5 6" xfId="28041" xr:uid="{00000000-0005-0000-0000-0000886D0000}"/>
    <cellStyle name="Денежный 2 2 2 5 6 2" xfId="28042" xr:uid="{00000000-0005-0000-0000-0000896D0000}"/>
    <cellStyle name="Денежный 2 2 2 5 6 2 2" xfId="28043" xr:uid="{00000000-0005-0000-0000-00008A6D0000}"/>
    <cellStyle name="Денежный 2 2 2 5 6 3" xfId="28044" xr:uid="{00000000-0005-0000-0000-00008B6D0000}"/>
    <cellStyle name="Денежный 2 2 2 5 7" xfId="28045" xr:uid="{00000000-0005-0000-0000-00008C6D0000}"/>
    <cellStyle name="Денежный 2 2 2 5 7 2" xfId="28046" xr:uid="{00000000-0005-0000-0000-00008D6D0000}"/>
    <cellStyle name="Денежный 2 2 2 5 8" xfId="28047" xr:uid="{00000000-0005-0000-0000-00008E6D0000}"/>
    <cellStyle name="Денежный 2 2 2 5 8 2" xfId="28048" xr:uid="{00000000-0005-0000-0000-00008F6D0000}"/>
    <cellStyle name="Денежный 2 2 2 5 9" xfId="28049" xr:uid="{00000000-0005-0000-0000-0000906D0000}"/>
    <cellStyle name="Денежный 2 2 2 6" xfId="28050" xr:uid="{00000000-0005-0000-0000-0000916D0000}"/>
    <cellStyle name="Денежный 2 2 2 6 10" xfId="28051" xr:uid="{00000000-0005-0000-0000-0000926D0000}"/>
    <cellStyle name="Денежный 2 2 2 6 2" xfId="28052" xr:uid="{00000000-0005-0000-0000-0000936D0000}"/>
    <cellStyle name="Денежный 2 2 2 6 2 2" xfId="28053" xr:uid="{00000000-0005-0000-0000-0000946D0000}"/>
    <cellStyle name="Денежный 2 2 2 6 2 2 2" xfId="28054" xr:uid="{00000000-0005-0000-0000-0000956D0000}"/>
    <cellStyle name="Денежный 2 2 2 6 2 2 2 2" xfId="28055" xr:uid="{00000000-0005-0000-0000-0000966D0000}"/>
    <cellStyle name="Денежный 2 2 2 6 2 2 3" xfId="28056" xr:uid="{00000000-0005-0000-0000-0000976D0000}"/>
    <cellStyle name="Денежный 2 2 2 6 2 3" xfId="28057" xr:uid="{00000000-0005-0000-0000-0000986D0000}"/>
    <cellStyle name="Денежный 2 2 2 6 2 3 2" xfId="28058" xr:uid="{00000000-0005-0000-0000-0000996D0000}"/>
    <cellStyle name="Денежный 2 2 2 6 2 4" xfId="28059" xr:uid="{00000000-0005-0000-0000-00009A6D0000}"/>
    <cellStyle name="Денежный 2 2 2 6 2 4 2" xfId="28060" xr:uid="{00000000-0005-0000-0000-00009B6D0000}"/>
    <cellStyle name="Денежный 2 2 2 6 2 5" xfId="28061" xr:uid="{00000000-0005-0000-0000-00009C6D0000}"/>
    <cellStyle name="Денежный 2 2 2 6 3" xfId="28062" xr:uid="{00000000-0005-0000-0000-00009D6D0000}"/>
    <cellStyle name="Денежный 2 2 2 6 3 2" xfId="28063" xr:uid="{00000000-0005-0000-0000-00009E6D0000}"/>
    <cellStyle name="Денежный 2 2 2 6 3 2 2" xfId="28064" xr:uid="{00000000-0005-0000-0000-00009F6D0000}"/>
    <cellStyle name="Денежный 2 2 2 6 3 2 2 2" xfId="28065" xr:uid="{00000000-0005-0000-0000-0000A06D0000}"/>
    <cellStyle name="Денежный 2 2 2 6 3 2 3" xfId="28066" xr:uid="{00000000-0005-0000-0000-0000A16D0000}"/>
    <cellStyle name="Денежный 2 2 2 6 3 3" xfId="28067" xr:uid="{00000000-0005-0000-0000-0000A26D0000}"/>
    <cellStyle name="Денежный 2 2 2 6 3 3 2" xfId="28068" xr:uid="{00000000-0005-0000-0000-0000A36D0000}"/>
    <cellStyle name="Денежный 2 2 2 6 3 4" xfId="28069" xr:uid="{00000000-0005-0000-0000-0000A46D0000}"/>
    <cellStyle name="Денежный 2 2 2 6 3 4 2" xfId="28070" xr:uid="{00000000-0005-0000-0000-0000A56D0000}"/>
    <cellStyle name="Денежный 2 2 2 6 3 5" xfId="28071" xr:uid="{00000000-0005-0000-0000-0000A66D0000}"/>
    <cellStyle name="Денежный 2 2 2 6 4" xfId="28072" xr:uid="{00000000-0005-0000-0000-0000A76D0000}"/>
    <cellStyle name="Денежный 2 2 2 6 4 2" xfId="28073" xr:uid="{00000000-0005-0000-0000-0000A86D0000}"/>
    <cellStyle name="Денежный 2 2 2 6 4 2 2" xfId="28074" xr:uid="{00000000-0005-0000-0000-0000A96D0000}"/>
    <cellStyle name="Денежный 2 2 2 6 4 2 2 2" xfId="28075" xr:uid="{00000000-0005-0000-0000-0000AA6D0000}"/>
    <cellStyle name="Денежный 2 2 2 6 4 2 3" xfId="28076" xr:uid="{00000000-0005-0000-0000-0000AB6D0000}"/>
    <cellStyle name="Денежный 2 2 2 6 4 3" xfId="28077" xr:uid="{00000000-0005-0000-0000-0000AC6D0000}"/>
    <cellStyle name="Денежный 2 2 2 6 4 3 2" xfId="28078" xr:uid="{00000000-0005-0000-0000-0000AD6D0000}"/>
    <cellStyle name="Денежный 2 2 2 6 4 4" xfId="28079" xr:uid="{00000000-0005-0000-0000-0000AE6D0000}"/>
    <cellStyle name="Денежный 2 2 2 6 4 4 2" xfId="28080" xr:uid="{00000000-0005-0000-0000-0000AF6D0000}"/>
    <cellStyle name="Денежный 2 2 2 6 4 5" xfId="28081" xr:uid="{00000000-0005-0000-0000-0000B06D0000}"/>
    <cellStyle name="Денежный 2 2 2 6 5" xfId="28082" xr:uid="{00000000-0005-0000-0000-0000B16D0000}"/>
    <cellStyle name="Денежный 2 2 2 6 5 2" xfId="28083" xr:uid="{00000000-0005-0000-0000-0000B26D0000}"/>
    <cellStyle name="Денежный 2 2 2 6 5 2 2" xfId="28084" xr:uid="{00000000-0005-0000-0000-0000B36D0000}"/>
    <cellStyle name="Денежный 2 2 2 6 5 2 2 2" xfId="28085" xr:uid="{00000000-0005-0000-0000-0000B46D0000}"/>
    <cellStyle name="Денежный 2 2 2 6 5 2 3" xfId="28086" xr:uid="{00000000-0005-0000-0000-0000B56D0000}"/>
    <cellStyle name="Денежный 2 2 2 6 5 3" xfId="28087" xr:uid="{00000000-0005-0000-0000-0000B66D0000}"/>
    <cellStyle name="Денежный 2 2 2 6 5 3 2" xfId="28088" xr:uid="{00000000-0005-0000-0000-0000B76D0000}"/>
    <cellStyle name="Денежный 2 2 2 6 5 4" xfId="28089" xr:uid="{00000000-0005-0000-0000-0000B86D0000}"/>
    <cellStyle name="Денежный 2 2 2 6 5 4 2" xfId="28090" xr:uid="{00000000-0005-0000-0000-0000B96D0000}"/>
    <cellStyle name="Денежный 2 2 2 6 5 5" xfId="28091" xr:uid="{00000000-0005-0000-0000-0000BA6D0000}"/>
    <cellStyle name="Денежный 2 2 2 6 6" xfId="28092" xr:uid="{00000000-0005-0000-0000-0000BB6D0000}"/>
    <cellStyle name="Денежный 2 2 2 6 6 2" xfId="28093" xr:uid="{00000000-0005-0000-0000-0000BC6D0000}"/>
    <cellStyle name="Денежный 2 2 2 6 6 2 2" xfId="28094" xr:uid="{00000000-0005-0000-0000-0000BD6D0000}"/>
    <cellStyle name="Денежный 2 2 2 6 6 3" xfId="28095" xr:uid="{00000000-0005-0000-0000-0000BE6D0000}"/>
    <cellStyle name="Денежный 2 2 2 6 7" xfId="28096" xr:uid="{00000000-0005-0000-0000-0000BF6D0000}"/>
    <cellStyle name="Денежный 2 2 2 6 7 2" xfId="28097" xr:uid="{00000000-0005-0000-0000-0000C06D0000}"/>
    <cellStyle name="Денежный 2 2 2 6 8" xfId="28098" xr:uid="{00000000-0005-0000-0000-0000C16D0000}"/>
    <cellStyle name="Денежный 2 2 2 6 8 2" xfId="28099" xr:uid="{00000000-0005-0000-0000-0000C26D0000}"/>
    <cellStyle name="Денежный 2 2 2 6 9" xfId="28100" xr:uid="{00000000-0005-0000-0000-0000C36D0000}"/>
    <cellStyle name="Денежный 2 2 2 7" xfId="28101" xr:uid="{00000000-0005-0000-0000-0000C46D0000}"/>
    <cellStyle name="Денежный 2 2 2 7 2" xfId="28102" xr:uid="{00000000-0005-0000-0000-0000C56D0000}"/>
    <cellStyle name="Денежный 2 2 2 7 2 2" xfId="28103" xr:uid="{00000000-0005-0000-0000-0000C66D0000}"/>
    <cellStyle name="Денежный 2 2 2 7 2 2 2" xfId="28104" xr:uid="{00000000-0005-0000-0000-0000C76D0000}"/>
    <cellStyle name="Денежный 2 2 2 7 2 3" xfId="28105" xr:uid="{00000000-0005-0000-0000-0000C86D0000}"/>
    <cellStyle name="Денежный 2 2 2 7 3" xfId="28106" xr:uid="{00000000-0005-0000-0000-0000C96D0000}"/>
    <cellStyle name="Денежный 2 2 2 7 3 2" xfId="28107" xr:uid="{00000000-0005-0000-0000-0000CA6D0000}"/>
    <cellStyle name="Денежный 2 2 2 7 4" xfId="28108" xr:uid="{00000000-0005-0000-0000-0000CB6D0000}"/>
    <cellStyle name="Денежный 2 2 2 7 4 2" xfId="28109" xr:uid="{00000000-0005-0000-0000-0000CC6D0000}"/>
    <cellStyle name="Денежный 2 2 2 7 5" xfId="28110" xr:uid="{00000000-0005-0000-0000-0000CD6D0000}"/>
    <cellStyle name="Денежный 2 2 2 8" xfId="28111" xr:uid="{00000000-0005-0000-0000-0000CE6D0000}"/>
    <cellStyle name="Денежный 2 2 2 8 2" xfId="28112" xr:uid="{00000000-0005-0000-0000-0000CF6D0000}"/>
    <cellStyle name="Денежный 2 2 2 8 2 2" xfId="28113" xr:uid="{00000000-0005-0000-0000-0000D06D0000}"/>
    <cellStyle name="Денежный 2 2 2 8 2 2 2" xfId="28114" xr:uid="{00000000-0005-0000-0000-0000D16D0000}"/>
    <cellStyle name="Денежный 2 2 2 8 2 3" xfId="28115" xr:uid="{00000000-0005-0000-0000-0000D26D0000}"/>
    <cellStyle name="Денежный 2 2 2 8 3" xfId="28116" xr:uid="{00000000-0005-0000-0000-0000D36D0000}"/>
    <cellStyle name="Денежный 2 2 2 8 3 2" xfId="28117" xr:uid="{00000000-0005-0000-0000-0000D46D0000}"/>
    <cellStyle name="Денежный 2 2 2 8 4" xfId="28118" xr:uid="{00000000-0005-0000-0000-0000D56D0000}"/>
    <cellStyle name="Денежный 2 2 2 8 4 2" xfId="28119" xr:uid="{00000000-0005-0000-0000-0000D66D0000}"/>
    <cellStyle name="Денежный 2 2 2 8 5" xfId="28120" xr:uid="{00000000-0005-0000-0000-0000D76D0000}"/>
    <cellStyle name="Денежный 2 2 2 9" xfId="28121" xr:uid="{00000000-0005-0000-0000-0000D86D0000}"/>
    <cellStyle name="Денежный 2 2 2 9 2" xfId="28122" xr:uid="{00000000-0005-0000-0000-0000D96D0000}"/>
    <cellStyle name="Денежный 2 2 2 9 2 2" xfId="28123" xr:uid="{00000000-0005-0000-0000-0000DA6D0000}"/>
    <cellStyle name="Денежный 2 2 2 9 2 2 2" xfId="28124" xr:uid="{00000000-0005-0000-0000-0000DB6D0000}"/>
    <cellStyle name="Денежный 2 2 2 9 2 3" xfId="28125" xr:uid="{00000000-0005-0000-0000-0000DC6D0000}"/>
    <cellStyle name="Денежный 2 2 2 9 3" xfId="28126" xr:uid="{00000000-0005-0000-0000-0000DD6D0000}"/>
    <cellStyle name="Денежный 2 2 2 9 3 2" xfId="28127" xr:uid="{00000000-0005-0000-0000-0000DE6D0000}"/>
    <cellStyle name="Денежный 2 2 2 9 4" xfId="28128" xr:uid="{00000000-0005-0000-0000-0000DF6D0000}"/>
    <cellStyle name="Денежный 2 2 2 9 4 2" xfId="28129" xr:uid="{00000000-0005-0000-0000-0000E06D0000}"/>
    <cellStyle name="Денежный 2 2 2 9 5" xfId="28130" xr:uid="{00000000-0005-0000-0000-0000E16D0000}"/>
    <cellStyle name="Денежный 2 2 3" xfId="28131" xr:uid="{00000000-0005-0000-0000-0000E26D0000}"/>
    <cellStyle name="Денежный 2 2 3 10" xfId="28132" xr:uid="{00000000-0005-0000-0000-0000E36D0000}"/>
    <cellStyle name="Денежный 2 2 3 2" xfId="28133" xr:uid="{00000000-0005-0000-0000-0000E46D0000}"/>
    <cellStyle name="Денежный 2 2 3 2 2" xfId="28134" xr:uid="{00000000-0005-0000-0000-0000E56D0000}"/>
    <cellStyle name="Денежный 2 2 3 2 2 2" xfId="28135" xr:uid="{00000000-0005-0000-0000-0000E66D0000}"/>
    <cellStyle name="Денежный 2 2 3 2 2 2 2" xfId="28136" xr:uid="{00000000-0005-0000-0000-0000E76D0000}"/>
    <cellStyle name="Денежный 2 2 3 2 2 3" xfId="28137" xr:uid="{00000000-0005-0000-0000-0000E86D0000}"/>
    <cellStyle name="Денежный 2 2 3 2 3" xfId="28138" xr:uid="{00000000-0005-0000-0000-0000E96D0000}"/>
    <cellStyle name="Денежный 2 2 3 2 3 2" xfId="28139" xr:uid="{00000000-0005-0000-0000-0000EA6D0000}"/>
    <cellStyle name="Денежный 2 2 3 2 4" xfId="28140" xr:uid="{00000000-0005-0000-0000-0000EB6D0000}"/>
    <cellStyle name="Денежный 2 2 3 2 4 2" xfId="28141" xr:uid="{00000000-0005-0000-0000-0000EC6D0000}"/>
    <cellStyle name="Денежный 2 2 3 2 5" xfId="28142" xr:uid="{00000000-0005-0000-0000-0000ED6D0000}"/>
    <cellStyle name="Денежный 2 2 3 3" xfId="28143" xr:uid="{00000000-0005-0000-0000-0000EE6D0000}"/>
    <cellStyle name="Денежный 2 2 3 3 2" xfId="28144" xr:uid="{00000000-0005-0000-0000-0000EF6D0000}"/>
    <cellStyle name="Денежный 2 2 3 3 2 2" xfId="28145" xr:uid="{00000000-0005-0000-0000-0000F06D0000}"/>
    <cellStyle name="Денежный 2 2 3 3 2 2 2" xfId="28146" xr:uid="{00000000-0005-0000-0000-0000F16D0000}"/>
    <cellStyle name="Денежный 2 2 3 3 2 3" xfId="28147" xr:uid="{00000000-0005-0000-0000-0000F26D0000}"/>
    <cellStyle name="Денежный 2 2 3 3 3" xfId="28148" xr:uid="{00000000-0005-0000-0000-0000F36D0000}"/>
    <cellStyle name="Денежный 2 2 3 3 3 2" xfId="28149" xr:uid="{00000000-0005-0000-0000-0000F46D0000}"/>
    <cellStyle name="Денежный 2 2 3 3 4" xfId="28150" xr:uid="{00000000-0005-0000-0000-0000F56D0000}"/>
    <cellStyle name="Денежный 2 2 3 3 4 2" xfId="28151" xr:uid="{00000000-0005-0000-0000-0000F66D0000}"/>
    <cellStyle name="Денежный 2 2 3 3 5" xfId="28152" xr:uid="{00000000-0005-0000-0000-0000F76D0000}"/>
    <cellStyle name="Денежный 2 2 3 4" xfId="28153" xr:uid="{00000000-0005-0000-0000-0000F86D0000}"/>
    <cellStyle name="Денежный 2 2 3 4 2" xfId="28154" xr:uid="{00000000-0005-0000-0000-0000F96D0000}"/>
    <cellStyle name="Денежный 2 2 3 4 2 2" xfId="28155" xr:uid="{00000000-0005-0000-0000-0000FA6D0000}"/>
    <cellStyle name="Денежный 2 2 3 4 2 2 2" xfId="28156" xr:uid="{00000000-0005-0000-0000-0000FB6D0000}"/>
    <cellStyle name="Денежный 2 2 3 4 2 3" xfId="28157" xr:uid="{00000000-0005-0000-0000-0000FC6D0000}"/>
    <cellStyle name="Денежный 2 2 3 4 3" xfId="28158" xr:uid="{00000000-0005-0000-0000-0000FD6D0000}"/>
    <cellStyle name="Денежный 2 2 3 4 3 2" xfId="28159" xr:uid="{00000000-0005-0000-0000-0000FE6D0000}"/>
    <cellStyle name="Денежный 2 2 3 4 4" xfId="28160" xr:uid="{00000000-0005-0000-0000-0000FF6D0000}"/>
    <cellStyle name="Денежный 2 2 3 4 4 2" xfId="28161" xr:uid="{00000000-0005-0000-0000-0000006E0000}"/>
    <cellStyle name="Денежный 2 2 3 4 5" xfId="28162" xr:uid="{00000000-0005-0000-0000-0000016E0000}"/>
    <cellStyle name="Денежный 2 2 3 5" xfId="28163" xr:uid="{00000000-0005-0000-0000-0000026E0000}"/>
    <cellStyle name="Денежный 2 2 3 5 2" xfId="28164" xr:uid="{00000000-0005-0000-0000-0000036E0000}"/>
    <cellStyle name="Денежный 2 2 3 5 2 2" xfId="28165" xr:uid="{00000000-0005-0000-0000-0000046E0000}"/>
    <cellStyle name="Денежный 2 2 3 5 2 2 2" xfId="28166" xr:uid="{00000000-0005-0000-0000-0000056E0000}"/>
    <cellStyle name="Денежный 2 2 3 5 2 3" xfId="28167" xr:uid="{00000000-0005-0000-0000-0000066E0000}"/>
    <cellStyle name="Денежный 2 2 3 5 3" xfId="28168" xr:uid="{00000000-0005-0000-0000-0000076E0000}"/>
    <cellStyle name="Денежный 2 2 3 5 3 2" xfId="28169" xr:uid="{00000000-0005-0000-0000-0000086E0000}"/>
    <cellStyle name="Денежный 2 2 3 5 4" xfId="28170" xr:uid="{00000000-0005-0000-0000-0000096E0000}"/>
    <cellStyle name="Денежный 2 2 3 5 4 2" xfId="28171" xr:uid="{00000000-0005-0000-0000-00000A6E0000}"/>
    <cellStyle name="Денежный 2 2 3 5 5" xfId="28172" xr:uid="{00000000-0005-0000-0000-00000B6E0000}"/>
    <cellStyle name="Денежный 2 2 3 6" xfId="28173" xr:uid="{00000000-0005-0000-0000-00000C6E0000}"/>
    <cellStyle name="Денежный 2 2 3 6 2" xfId="28174" xr:uid="{00000000-0005-0000-0000-00000D6E0000}"/>
    <cellStyle name="Денежный 2 2 3 6 2 2" xfId="28175" xr:uid="{00000000-0005-0000-0000-00000E6E0000}"/>
    <cellStyle name="Денежный 2 2 3 6 3" xfId="28176" xr:uid="{00000000-0005-0000-0000-00000F6E0000}"/>
    <cellStyle name="Денежный 2 2 3 7" xfId="28177" xr:uid="{00000000-0005-0000-0000-0000106E0000}"/>
    <cellStyle name="Денежный 2 2 3 7 2" xfId="28178" xr:uid="{00000000-0005-0000-0000-0000116E0000}"/>
    <cellStyle name="Денежный 2 2 3 8" xfId="28179" xr:uid="{00000000-0005-0000-0000-0000126E0000}"/>
    <cellStyle name="Денежный 2 2 3 8 2" xfId="28180" xr:uid="{00000000-0005-0000-0000-0000136E0000}"/>
    <cellStyle name="Денежный 2 2 3 9" xfId="28181" xr:uid="{00000000-0005-0000-0000-0000146E0000}"/>
    <cellStyle name="Денежный 2 2 4" xfId="28182" xr:uid="{00000000-0005-0000-0000-0000156E0000}"/>
    <cellStyle name="Денежный 2 2 4 10" xfId="28183" xr:uid="{00000000-0005-0000-0000-0000166E0000}"/>
    <cellStyle name="Денежный 2 2 4 2" xfId="28184" xr:uid="{00000000-0005-0000-0000-0000176E0000}"/>
    <cellStyle name="Денежный 2 2 4 2 2" xfId="28185" xr:uid="{00000000-0005-0000-0000-0000186E0000}"/>
    <cellStyle name="Денежный 2 2 4 2 2 2" xfId="28186" xr:uid="{00000000-0005-0000-0000-0000196E0000}"/>
    <cellStyle name="Денежный 2 2 4 2 2 2 2" xfId="28187" xr:uid="{00000000-0005-0000-0000-00001A6E0000}"/>
    <cellStyle name="Денежный 2 2 4 2 2 3" xfId="28188" xr:uid="{00000000-0005-0000-0000-00001B6E0000}"/>
    <cellStyle name="Денежный 2 2 4 2 3" xfId="28189" xr:uid="{00000000-0005-0000-0000-00001C6E0000}"/>
    <cellStyle name="Денежный 2 2 4 2 3 2" xfId="28190" xr:uid="{00000000-0005-0000-0000-00001D6E0000}"/>
    <cellStyle name="Денежный 2 2 4 2 4" xfId="28191" xr:uid="{00000000-0005-0000-0000-00001E6E0000}"/>
    <cellStyle name="Денежный 2 2 4 2 4 2" xfId="28192" xr:uid="{00000000-0005-0000-0000-00001F6E0000}"/>
    <cellStyle name="Денежный 2 2 4 2 5" xfId="28193" xr:uid="{00000000-0005-0000-0000-0000206E0000}"/>
    <cellStyle name="Денежный 2 2 4 3" xfId="28194" xr:uid="{00000000-0005-0000-0000-0000216E0000}"/>
    <cellStyle name="Денежный 2 2 4 3 2" xfId="28195" xr:uid="{00000000-0005-0000-0000-0000226E0000}"/>
    <cellStyle name="Денежный 2 2 4 3 2 2" xfId="28196" xr:uid="{00000000-0005-0000-0000-0000236E0000}"/>
    <cellStyle name="Денежный 2 2 4 3 2 2 2" xfId="28197" xr:uid="{00000000-0005-0000-0000-0000246E0000}"/>
    <cellStyle name="Денежный 2 2 4 3 2 3" xfId="28198" xr:uid="{00000000-0005-0000-0000-0000256E0000}"/>
    <cellStyle name="Денежный 2 2 4 3 3" xfId="28199" xr:uid="{00000000-0005-0000-0000-0000266E0000}"/>
    <cellStyle name="Денежный 2 2 4 3 3 2" xfId="28200" xr:uid="{00000000-0005-0000-0000-0000276E0000}"/>
    <cellStyle name="Денежный 2 2 4 3 4" xfId="28201" xr:uid="{00000000-0005-0000-0000-0000286E0000}"/>
    <cellStyle name="Денежный 2 2 4 3 4 2" xfId="28202" xr:uid="{00000000-0005-0000-0000-0000296E0000}"/>
    <cellStyle name="Денежный 2 2 4 3 5" xfId="28203" xr:uid="{00000000-0005-0000-0000-00002A6E0000}"/>
    <cellStyle name="Денежный 2 2 4 4" xfId="28204" xr:uid="{00000000-0005-0000-0000-00002B6E0000}"/>
    <cellStyle name="Денежный 2 2 4 4 2" xfId="28205" xr:uid="{00000000-0005-0000-0000-00002C6E0000}"/>
    <cellStyle name="Денежный 2 2 4 4 2 2" xfId="28206" xr:uid="{00000000-0005-0000-0000-00002D6E0000}"/>
    <cellStyle name="Денежный 2 2 4 4 2 2 2" xfId="28207" xr:uid="{00000000-0005-0000-0000-00002E6E0000}"/>
    <cellStyle name="Денежный 2 2 4 4 2 3" xfId="28208" xr:uid="{00000000-0005-0000-0000-00002F6E0000}"/>
    <cellStyle name="Денежный 2 2 4 4 3" xfId="28209" xr:uid="{00000000-0005-0000-0000-0000306E0000}"/>
    <cellStyle name="Денежный 2 2 4 4 3 2" xfId="28210" xr:uid="{00000000-0005-0000-0000-0000316E0000}"/>
    <cellStyle name="Денежный 2 2 4 4 4" xfId="28211" xr:uid="{00000000-0005-0000-0000-0000326E0000}"/>
    <cellStyle name="Денежный 2 2 4 4 4 2" xfId="28212" xr:uid="{00000000-0005-0000-0000-0000336E0000}"/>
    <cellStyle name="Денежный 2 2 4 4 5" xfId="28213" xr:uid="{00000000-0005-0000-0000-0000346E0000}"/>
    <cellStyle name="Денежный 2 2 4 5" xfId="28214" xr:uid="{00000000-0005-0000-0000-0000356E0000}"/>
    <cellStyle name="Денежный 2 2 4 5 2" xfId="28215" xr:uid="{00000000-0005-0000-0000-0000366E0000}"/>
    <cellStyle name="Денежный 2 2 4 5 2 2" xfId="28216" xr:uid="{00000000-0005-0000-0000-0000376E0000}"/>
    <cellStyle name="Денежный 2 2 4 5 2 2 2" xfId="28217" xr:uid="{00000000-0005-0000-0000-0000386E0000}"/>
    <cellStyle name="Денежный 2 2 4 5 2 3" xfId="28218" xr:uid="{00000000-0005-0000-0000-0000396E0000}"/>
    <cellStyle name="Денежный 2 2 4 5 3" xfId="28219" xr:uid="{00000000-0005-0000-0000-00003A6E0000}"/>
    <cellStyle name="Денежный 2 2 4 5 3 2" xfId="28220" xr:uid="{00000000-0005-0000-0000-00003B6E0000}"/>
    <cellStyle name="Денежный 2 2 4 5 4" xfId="28221" xr:uid="{00000000-0005-0000-0000-00003C6E0000}"/>
    <cellStyle name="Денежный 2 2 4 5 4 2" xfId="28222" xr:uid="{00000000-0005-0000-0000-00003D6E0000}"/>
    <cellStyle name="Денежный 2 2 4 5 5" xfId="28223" xr:uid="{00000000-0005-0000-0000-00003E6E0000}"/>
    <cellStyle name="Денежный 2 2 4 6" xfId="28224" xr:uid="{00000000-0005-0000-0000-00003F6E0000}"/>
    <cellStyle name="Денежный 2 2 4 6 2" xfId="28225" xr:uid="{00000000-0005-0000-0000-0000406E0000}"/>
    <cellStyle name="Денежный 2 2 4 6 2 2" xfId="28226" xr:uid="{00000000-0005-0000-0000-0000416E0000}"/>
    <cellStyle name="Денежный 2 2 4 6 3" xfId="28227" xr:uid="{00000000-0005-0000-0000-0000426E0000}"/>
    <cellStyle name="Денежный 2 2 4 7" xfId="28228" xr:uid="{00000000-0005-0000-0000-0000436E0000}"/>
    <cellStyle name="Денежный 2 2 4 7 2" xfId="28229" xr:uid="{00000000-0005-0000-0000-0000446E0000}"/>
    <cellStyle name="Денежный 2 2 4 8" xfId="28230" xr:uid="{00000000-0005-0000-0000-0000456E0000}"/>
    <cellStyle name="Денежный 2 2 4 8 2" xfId="28231" xr:uid="{00000000-0005-0000-0000-0000466E0000}"/>
    <cellStyle name="Денежный 2 2 4 9" xfId="28232" xr:uid="{00000000-0005-0000-0000-0000476E0000}"/>
    <cellStyle name="Денежный 2 2 5" xfId="28233" xr:uid="{00000000-0005-0000-0000-0000486E0000}"/>
    <cellStyle name="Денежный 2 2 5 10" xfId="28234" xr:uid="{00000000-0005-0000-0000-0000496E0000}"/>
    <cellStyle name="Денежный 2 2 5 2" xfId="28235" xr:uid="{00000000-0005-0000-0000-00004A6E0000}"/>
    <cellStyle name="Денежный 2 2 5 2 2" xfId="28236" xr:uid="{00000000-0005-0000-0000-00004B6E0000}"/>
    <cellStyle name="Денежный 2 2 5 2 2 2" xfId="28237" xr:uid="{00000000-0005-0000-0000-00004C6E0000}"/>
    <cellStyle name="Денежный 2 2 5 2 2 2 2" xfId="28238" xr:uid="{00000000-0005-0000-0000-00004D6E0000}"/>
    <cellStyle name="Денежный 2 2 5 2 2 3" xfId="28239" xr:uid="{00000000-0005-0000-0000-00004E6E0000}"/>
    <cellStyle name="Денежный 2 2 5 2 3" xfId="28240" xr:uid="{00000000-0005-0000-0000-00004F6E0000}"/>
    <cellStyle name="Денежный 2 2 5 2 3 2" xfId="28241" xr:uid="{00000000-0005-0000-0000-0000506E0000}"/>
    <cellStyle name="Денежный 2 2 5 2 4" xfId="28242" xr:uid="{00000000-0005-0000-0000-0000516E0000}"/>
    <cellStyle name="Денежный 2 2 5 2 4 2" xfId="28243" xr:uid="{00000000-0005-0000-0000-0000526E0000}"/>
    <cellStyle name="Денежный 2 2 5 2 5" xfId="28244" xr:uid="{00000000-0005-0000-0000-0000536E0000}"/>
    <cellStyle name="Денежный 2 2 5 3" xfId="28245" xr:uid="{00000000-0005-0000-0000-0000546E0000}"/>
    <cellStyle name="Денежный 2 2 5 3 2" xfId="28246" xr:uid="{00000000-0005-0000-0000-0000556E0000}"/>
    <cellStyle name="Денежный 2 2 5 3 2 2" xfId="28247" xr:uid="{00000000-0005-0000-0000-0000566E0000}"/>
    <cellStyle name="Денежный 2 2 5 3 2 2 2" xfId="28248" xr:uid="{00000000-0005-0000-0000-0000576E0000}"/>
    <cellStyle name="Денежный 2 2 5 3 2 3" xfId="28249" xr:uid="{00000000-0005-0000-0000-0000586E0000}"/>
    <cellStyle name="Денежный 2 2 5 3 3" xfId="28250" xr:uid="{00000000-0005-0000-0000-0000596E0000}"/>
    <cellStyle name="Денежный 2 2 5 3 3 2" xfId="28251" xr:uid="{00000000-0005-0000-0000-00005A6E0000}"/>
    <cellStyle name="Денежный 2 2 5 3 4" xfId="28252" xr:uid="{00000000-0005-0000-0000-00005B6E0000}"/>
    <cellStyle name="Денежный 2 2 5 3 4 2" xfId="28253" xr:uid="{00000000-0005-0000-0000-00005C6E0000}"/>
    <cellStyle name="Денежный 2 2 5 3 5" xfId="28254" xr:uid="{00000000-0005-0000-0000-00005D6E0000}"/>
    <cellStyle name="Денежный 2 2 5 4" xfId="28255" xr:uid="{00000000-0005-0000-0000-00005E6E0000}"/>
    <cellStyle name="Денежный 2 2 5 4 2" xfId="28256" xr:uid="{00000000-0005-0000-0000-00005F6E0000}"/>
    <cellStyle name="Денежный 2 2 5 4 2 2" xfId="28257" xr:uid="{00000000-0005-0000-0000-0000606E0000}"/>
    <cellStyle name="Денежный 2 2 5 4 2 2 2" xfId="28258" xr:uid="{00000000-0005-0000-0000-0000616E0000}"/>
    <cellStyle name="Денежный 2 2 5 4 2 3" xfId="28259" xr:uid="{00000000-0005-0000-0000-0000626E0000}"/>
    <cellStyle name="Денежный 2 2 5 4 3" xfId="28260" xr:uid="{00000000-0005-0000-0000-0000636E0000}"/>
    <cellStyle name="Денежный 2 2 5 4 3 2" xfId="28261" xr:uid="{00000000-0005-0000-0000-0000646E0000}"/>
    <cellStyle name="Денежный 2 2 5 4 4" xfId="28262" xr:uid="{00000000-0005-0000-0000-0000656E0000}"/>
    <cellStyle name="Денежный 2 2 5 4 4 2" xfId="28263" xr:uid="{00000000-0005-0000-0000-0000666E0000}"/>
    <cellStyle name="Денежный 2 2 5 4 5" xfId="28264" xr:uid="{00000000-0005-0000-0000-0000676E0000}"/>
    <cellStyle name="Денежный 2 2 5 5" xfId="28265" xr:uid="{00000000-0005-0000-0000-0000686E0000}"/>
    <cellStyle name="Денежный 2 2 5 5 2" xfId="28266" xr:uid="{00000000-0005-0000-0000-0000696E0000}"/>
    <cellStyle name="Денежный 2 2 5 5 2 2" xfId="28267" xr:uid="{00000000-0005-0000-0000-00006A6E0000}"/>
    <cellStyle name="Денежный 2 2 5 5 2 2 2" xfId="28268" xr:uid="{00000000-0005-0000-0000-00006B6E0000}"/>
    <cellStyle name="Денежный 2 2 5 5 2 3" xfId="28269" xr:uid="{00000000-0005-0000-0000-00006C6E0000}"/>
    <cellStyle name="Денежный 2 2 5 5 3" xfId="28270" xr:uid="{00000000-0005-0000-0000-00006D6E0000}"/>
    <cellStyle name="Денежный 2 2 5 5 3 2" xfId="28271" xr:uid="{00000000-0005-0000-0000-00006E6E0000}"/>
    <cellStyle name="Денежный 2 2 5 5 4" xfId="28272" xr:uid="{00000000-0005-0000-0000-00006F6E0000}"/>
    <cellStyle name="Денежный 2 2 5 5 4 2" xfId="28273" xr:uid="{00000000-0005-0000-0000-0000706E0000}"/>
    <cellStyle name="Денежный 2 2 5 5 5" xfId="28274" xr:uid="{00000000-0005-0000-0000-0000716E0000}"/>
    <cellStyle name="Денежный 2 2 5 6" xfId="28275" xr:uid="{00000000-0005-0000-0000-0000726E0000}"/>
    <cellStyle name="Денежный 2 2 5 6 2" xfId="28276" xr:uid="{00000000-0005-0000-0000-0000736E0000}"/>
    <cellStyle name="Денежный 2 2 5 6 2 2" xfId="28277" xr:uid="{00000000-0005-0000-0000-0000746E0000}"/>
    <cellStyle name="Денежный 2 2 5 6 3" xfId="28278" xr:uid="{00000000-0005-0000-0000-0000756E0000}"/>
    <cellStyle name="Денежный 2 2 5 7" xfId="28279" xr:uid="{00000000-0005-0000-0000-0000766E0000}"/>
    <cellStyle name="Денежный 2 2 5 7 2" xfId="28280" xr:uid="{00000000-0005-0000-0000-0000776E0000}"/>
    <cellStyle name="Денежный 2 2 5 8" xfId="28281" xr:uid="{00000000-0005-0000-0000-0000786E0000}"/>
    <cellStyle name="Денежный 2 2 5 8 2" xfId="28282" xr:uid="{00000000-0005-0000-0000-0000796E0000}"/>
    <cellStyle name="Денежный 2 2 5 9" xfId="28283" xr:uid="{00000000-0005-0000-0000-00007A6E0000}"/>
    <cellStyle name="Денежный 2 2 6" xfId="28284" xr:uid="{00000000-0005-0000-0000-00007B6E0000}"/>
    <cellStyle name="Денежный 2 2 6 10" xfId="28285" xr:uid="{00000000-0005-0000-0000-00007C6E0000}"/>
    <cellStyle name="Денежный 2 2 6 2" xfId="28286" xr:uid="{00000000-0005-0000-0000-00007D6E0000}"/>
    <cellStyle name="Денежный 2 2 6 2 2" xfId="28287" xr:uid="{00000000-0005-0000-0000-00007E6E0000}"/>
    <cellStyle name="Денежный 2 2 6 2 2 2" xfId="28288" xr:uid="{00000000-0005-0000-0000-00007F6E0000}"/>
    <cellStyle name="Денежный 2 2 6 2 2 2 2" xfId="28289" xr:uid="{00000000-0005-0000-0000-0000806E0000}"/>
    <cellStyle name="Денежный 2 2 6 2 2 3" xfId="28290" xr:uid="{00000000-0005-0000-0000-0000816E0000}"/>
    <cellStyle name="Денежный 2 2 6 2 3" xfId="28291" xr:uid="{00000000-0005-0000-0000-0000826E0000}"/>
    <cellStyle name="Денежный 2 2 6 2 3 2" xfId="28292" xr:uid="{00000000-0005-0000-0000-0000836E0000}"/>
    <cellStyle name="Денежный 2 2 6 2 4" xfId="28293" xr:uid="{00000000-0005-0000-0000-0000846E0000}"/>
    <cellStyle name="Денежный 2 2 6 2 4 2" xfId="28294" xr:uid="{00000000-0005-0000-0000-0000856E0000}"/>
    <cellStyle name="Денежный 2 2 6 2 5" xfId="28295" xr:uid="{00000000-0005-0000-0000-0000866E0000}"/>
    <cellStyle name="Денежный 2 2 6 3" xfId="28296" xr:uid="{00000000-0005-0000-0000-0000876E0000}"/>
    <cellStyle name="Денежный 2 2 6 3 2" xfId="28297" xr:uid="{00000000-0005-0000-0000-0000886E0000}"/>
    <cellStyle name="Денежный 2 2 6 3 2 2" xfId="28298" xr:uid="{00000000-0005-0000-0000-0000896E0000}"/>
    <cellStyle name="Денежный 2 2 6 3 2 2 2" xfId="28299" xr:uid="{00000000-0005-0000-0000-00008A6E0000}"/>
    <cellStyle name="Денежный 2 2 6 3 2 3" xfId="28300" xr:uid="{00000000-0005-0000-0000-00008B6E0000}"/>
    <cellStyle name="Денежный 2 2 6 3 3" xfId="28301" xr:uid="{00000000-0005-0000-0000-00008C6E0000}"/>
    <cellStyle name="Денежный 2 2 6 3 3 2" xfId="28302" xr:uid="{00000000-0005-0000-0000-00008D6E0000}"/>
    <cellStyle name="Денежный 2 2 6 3 4" xfId="28303" xr:uid="{00000000-0005-0000-0000-00008E6E0000}"/>
    <cellStyle name="Денежный 2 2 6 3 4 2" xfId="28304" xr:uid="{00000000-0005-0000-0000-00008F6E0000}"/>
    <cellStyle name="Денежный 2 2 6 3 5" xfId="28305" xr:uid="{00000000-0005-0000-0000-0000906E0000}"/>
    <cellStyle name="Денежный 2 2 6 4" xfId="28306" xr:uid="{00000000-0005-0000-0000-0000916E0000}"/>
    <cellStyle name="Денежный 2 2 6 4 2" xfId="28307" xr:uid="{00000000-0005-0000-0000-0000926E0000}"/>
    <cellStyle name="Денежный 2 2 6 4 2 2" xfId="28308" xr:uid="{00000000-0005-0000-0000-0000936E0000}"/>
    <cellStyle name="Денежный 2 2 6 4 2 2 2" xfId="28309" xr:uid="{00000000-0005-0000-0000-0000946E0000}"/>
    <cellStyle name="Денежный 2 2 6 4 2 3" xfId="28310" xr:uid="{00000000-0005-0000-0000-0000956E0000}"/>
    <cellStyle name="Денежный 2 2 6 4 3" xfId="28311" xr:uid="{00000000-0005-0000-0000-0000966E0000}"/>
    <cellStyle name="Денежный 2 2 6 4 3 2" xfId="28312" xr:uid="{00000000-0005-0000-0000-0000976E0000}"/>
    <cellStyle name="Денежный 2 2 6 4 4" xfId="28313" xr:uid="{00000000-0005-0000-0000-0000986E0000}"/>
    <cellStyle name="Денежный 2 2 6 4 4 2" xfId="28314" xr:uid="{00000000-0005-0000-0000-0000996E0000}"/>
    <cellStyle name="Денежный 2 2 6 4 5" xfId="28315" xr:uid="{00000000-0005-0000-0000-00009A6E0000}"/>
    <cellStyle name="Денежный 2 2 6 5" xfId="28316" xr:uid="{00000000-0005-0000-0000-00009B6E0000}"/>
    <cellStyle name="Денежный 2 2 6 5 2" xfId="28317" xr:uid="{00000000-0005-0000-0000-00009C6E0000}"/>
    <cellStyle name="Денежный 2 2 6 5 2 2" xfId="28318" xr:uid="{00000000-0005-0000-0000-00009D6E0000}"/>
    <cellStyle name="Денежный 2 2 6 5 2 2 2" xfId="28319" xr:uid="{00000000-0005-0000-0000-00009E6E0000}"/>
    <cellStyle name="Денежный 2 2 6 5 2 3" xfId="28320" xr:uid="{00000000-0005-0000-0000-00009F6E0000}"/>
    <cellStyle name="Денежный 2 2 6 5 3" xfId="28321" xr:uid="{00000000-0005-0000-0000-0000A06E0000}"/>
    <cellStyle name="Денежный 2 2 6 5 3 2" xfId="28322" xr:uid="{00000000-0005-0000-0000-0000A16E0000}"/>
    <cellStyle name="Денежный 2 2 6 5 4" xfId="28323" xr:uid="{00000000-0005-0000-0000-0000A26E0000}"/>
    <cellStyle name="Денежный 2 2 6 5 4 2" xfId="28324" xr:uid="{00000000-0005-0000-0000-0000A36E0000}"/>
    <cellStyle name="Денежный 2 2 6 5 5" xfId="28325" xr:uid="{00000000-0005-0000-0000-0000A46E0000}"/>
    <cellStyle name="Денежный 2 2 6 6" xfId="28326" xr:uid="{00000000-0005-0000-0000-0000A56E0000}"/>
    <cellStyle name="Денежный 2 2 6 6 2" xfId="28327" xr:uid="{00000000-0005-0000-0000-0000A66E0000}"/>
    <cellStyle name="Денежный 2 2 6 6 2 2" xfId="28328" xr:uid="{00000000-0005-0000-0000-0000A76E0000}"/>
    <cellStyle name="Денежный 2 2 6 6 3" xfId="28329" xr:uid="{00000000-0005-0000-0000-0000A86E0000}"/>
    <cellStyle name="Денежный 2 2 6 7" xfId="28330" xr:uid="{00000000-0005-0000-0000-0000A96E0000}"/>
    <cellStyle name="Денежный 2 2 6 7 2" xfId="28331" xr:uid="{00000000-0005-0000-0000-0000AA6E0000}"/>
    <cellStyle name="Денежный 2 2 6 8" xfId="28332" xr:uid="{00000000-0005-0000-0000-0000AB6E0000}"/>
    <cellStyle name="Денежный 2 2 6 8 2" xfId="28333" xr:uid="{00000000-0005-0000-0000-0000AC6E0000}"/>
    <cellStyle name="Денежный 2 2 6 9" xfId="28334" xr:uid="{00000000-0005-0000-0000-0000AD6E0000}"/>
    <cellStyle name="Денежный 2 2 7" xfId="28335" xr:uid="{00000000-0005-0000-0000-0000AE6E0000}"/>
    <cellStyle name="Денежный 2 2 7 10" xfId="28336" xr:uid="{00000000-0005-0000-0000-0000AF6E0000}"/>
    <cellStyle name="Денежный 2 2 7 2" xfId="28337" xr:uid="{00000000-0005-0000-0000-0000B06E0000}"/>
    <cellStyle name="Денежный 2 2 7 2 2" xfId="28338" xr:uid="{00000000-0005-0000-0000-0000B16E0000}"/>
    <cellStyle name="Денежный 2 2 7 2 2 2" xfId="28339" xr:uid="{00000000-0005-0000-0000-0000B26E0000}"/>
    <cellStyle name="Денежный 2 2 7 2 2 2 2" xfId="28340" xr:uid="{00000000-0005-0000-0000-0000B36E0000}"/>
    <cellStyle name="Денежный 2 2 7 2 2 3" xfId="28341" xr:uid="{00000000-0005-0000-0000-0000B46E0000}"/>
    <cellStyle name="Денежный 2 2 7 2 3" xfId="28342" xr:uid="{00000000-0005-0000-0000-0000B56E0000}"/>
    <cellStyle name="Денежный 2 2 7 2 3 2" xfId="28343" xr:uid="{00000000-0005-0000-0000-0000B66E0000}"/>
    <cellStyle name="Денежный 2 2 7 2 4" xfId="28344" xr:uid="{00000000-0005-0000-0000-0000B76E0000}"/>
    <cellStyle name="Денежный 2 2 7 2 4 2" xfId="28345" xr:uid="{00000000-0005-0000-0000-0000B86E0000}"/>
    <cellStyle name="Денежный 2 2 7 2 5" xfId="28346" xr:uid="{00000000-0005-0000-0000-0000B96E0000}"/>
    <cellStyle name="Денежный 2 2 7 3" xfId="28347" xr:uid="{00000000-0005-0000-0000-0000BA6E0000}"/>
    <cellStyle name="Денежный 2 2 7 3 2" xfId="28348" xr:uid="{00000000-0005-0000-0000-0000BB6E0000}"/>
    <cellStyle name="Денежный 2 2 7 3 2 2" xfId="28349" xr:uid="{00000000-0005-0000-0000-0000BC6E0000}"/>
    <cellStyle name="Денежный 2 2 7 3 2 2 2" xfId="28350" xr:uid="{00000000-0005-0000-0000-0000BD6E0000}"/>
    <cellStyle name="Денежный 2 2 7 3 2 3" xfId="28351" xr:uid="{00000000-0005-0000-0000-0000BE6E0000}"/>
    <cellStyle name="Денежный 2 2 7 3 3" xfId="28352" xr:uid="{00000000-0005-0000-0000-0000BF6E0000}"/>
    <cellStyle name="Денежный 2 2 7 3 3 2" xfId="28353" xr:uid="{00000000-0005-0000-0000-0000C06E0000}"/>
    <cellStyle name="Денежный 2 2 7 3 4" xfId="28354" xr:uid="{00000000-0005-0000-0000-0000C16E0000}"/>
    <cellStyle name="Денежный 2 2 7 3 4 2" xfId="28355" xr:uid="{00000000-0005-0000-0000-0000C26E0000}"/>
    <cellStyle name="Денежный 2 2 7 3 5" xfId="28356" xr:uid="{00000000-0005-0000-0000-0000C36E0000}"/>
    <cellStyle name="Денежный 2 2 7 4" xfId="28357" xr:uid="{00000000-0005-0000-0000-0000C46E0000}"/>
    <cellStyle name="Денежный 2 2 7 4 2" xfId="28358" xr:uid="{00000000-0005-0000-0000-0000C56E0000}"/>
    <cellStyle name="Денежный 2 2 7 4 2 2" xfId="28359" xr:uid="{00000000-0005-0000-0000-0000C66E0000}"/>
    <cellStyle name="Денежный 2 2 7 4 2 2 2" xfId="28360" xr:uid="{00000000-0005-0000-0000-0000C76E0000}"/>
    <cellStyle name="Денежный 2 2 7 4 2 3" xfId="28361" xr:uid="{00000000-0005-0000-0000-0000C86E0000}"/>
    <cellStyle name="Денежный 2 2 7 4 3" xfId="28362" xr:uid="{00000000-0005-0000-0000-0000C96E0000}"/>
    <cellStyle name="Денежный 2 2 7 4 3 2" xfId="28363" xr:uid="{00000000-0005-0000-0000-0000CA6E0000}"/>
    <cellStyle name="Денежный 2 2 7 4 4" xfId="28364" xr:uid="{00000000-0005-0000-0000-0000CB6E0000}"/>
    <cellStyle name="Денежный 2 2 7 4 4 2" xfId="28365" xr:uid="{00000000-0005-0000-0000-0000CC6E0000}"/>
    <cellStyle name="Денежный 2 2 7 4 5" xfId="28366" xr:uid="{00000000-0005-0000-0000-0000CD6E0000}"/>
    <cellStyle name="Денежный 2 2 7 5" xfId="28367" xr:uid="{00000000-0005-0000-0000-0000CE6E0000}"/>
    <cellStyle name="Денежный 2 2 7 5 2" xfId="28368" xr:uid="{00000000-0005-0000-0000-0000CF6E0000}"/>
    <cellStyle name="Денежный 2 2 7 5 2 2" xfId="28369" xr:uid="{00000000-0005-0000-0000-0000D06E0000}"/>
    <cellStyle name="Денежный 2 2 7 5 2 2 2" xfId="28370" xr:uid="{00000000-0005-0000-0000-0000D16E0000}"/>
    <cellStyle name="Денежный 2 2 7 5 2 3" xfId="28371" xr:uid="{00000000-0005-0000-0000-0000D26E0000}"/>
    <cellStyle name="Денежный 2 2 7 5 3" xfId="28372" xr:uid="{00000000-0005-0000-0000-0000D36E0000}"/>
    <cellStyle name="Денежный 2 2 7 5 3 2" xfId="28373" xr:uid="{00000000-0005-0000-0000-0000D46E0000}"/>
    <cellStyle name="Денежный 2 2 7 5 4" xfId="28374" xr:uid="{00000000-0005-0000-0000-0000D56E0000}"/>
    <cellStyle name="Денежный 2 2 7 5 4 2" xfId="28375" xr:uid="{00000000-0005-0000-0000-0000D66E0000}"/>
    <cellStyle name="Денежный 2 2 7 5 5" xfId="28376" xr:uid="{00000000-0005-0000-0000-0000D76E0000}"/>
    <cellStyle name="Денежный 2 2 7 6" xfId="28377" xr:uid="{00000000-0005-0000-0000-0000D86E0000}"/>
    <cellStyle name="Денежный 2 2 7 6 2" xfId="28378" xr:uid="{00000000-0005-0000-0000-0000D96E0000}"/>
    <cellStyle name="Денежный 2 2 7 6 2 2" xfId="28379" xr:uid="{00000000-0005-0000-0000-0000DA6E0000}"/>
    <cellStyle name="Денежный 2 2 7 6 3" xfId="28380" xr:uid="{00000000-0005-0000-0000-0000DB6E0000}"/>
    <cellStyle name="Денежный 2 2 7 7" xfId="28381" xr:uid="{00000000-0005-0000-0000-0000DC6E0000}"/>
    <cellStyle name="Денежный 2 2 7 7 2" xfId="28382" xr:uid="{00000000-0005-0000-0000-0000DD6E0000}"/>
    <cellStyle name="Денежный 2 2 7 8" xfId="28383" xr:uid="{00000000-0005-0000-0000-0000DE6E0000}"/>
    <cellStyle name="Денежный 2 2 7 8 2" xfId="28384" xr:uid="{00000000-0005-0000-0000-0000DF6E0000}"/>
    <cellStyle name="Денежный 2 2 7 9" xfId="28385" xr:uid="{00000000-0005-0000-0000-0000E06E0000}"/>
    <cellStyle name="Денежный 2 2 8" xfId="28386" xr:uid="{00000000-0005-0000-0000-0000E16E0000}"/>
    <cellStyle name="Денежный 2 2 8 2" xfId="28387" xr:uid="{00000000-0005-0000-0000-0000E26E0000}"/>
    <cellStyle name="Денежный 2 2 8 2 2" xfId="28388" xr:uid="{00000000-0005-0000-0000-0000E36E0000}"/>
    <cellStyle name="Денежный 2 2 8 2 2 2" xfId="28389" xr:uid="{00000000-0005-0000-0000-0000E46E0000}"/>
    <cellStyle name="Денежный 2 2 8 2 2 2 2" xfId="28390" xr:uid="{00000000-0005-0000-0000-0000E56E0000}"/>
    <cellStyle name="Денежный 2 2 8 2 2 3" xfId="28391" xr:uid="{00000000-0005-0000-0000-0000E66E0000}"/>
    <cellStyle name="Денежный 2 2 8 2 3" xfId="28392" xr:uid="{00000000-0005-0000-0000-0000E76E0000}"/>
    <cellStyle name="Денежный 2 2 8 2 3 2" xfId="28393" xr:uid="{00000000-0005-0000-0000-0000E86E0000}"/>
    <cellStyle name="Денежный 2 2 8 2 4" xfId="28394" xr:uid="{00000000-0005-0000-0000-0000E96E0000}"/>
    <cellStyle name="Денежный 2 2 8 2 4 2" xfId="28395" xr:uid="{00000000-0005-0000-0000-0000EA6E0000}"/>
    <cellStyle name="Денежный 2 2 8 2 5" xfId="28396" xr:uid="{00000000-0005-0000-0000-0000EB6E0000}"/>
    <cellStyle name="Денежный 2 2 8 3" xfId="28397" xr:uid="{00000000-0005-0000-0000-0000EC6E0000}"/>
    <cellStyle name="Денежный 2 2 8 3 2" xfId="28398" xr:uid="{00000000-0005-0000-0000-0000ED6E0000}"/>
    <cellStyle name="Денежный 2 2 8 3 2 2" xfId="28399" xr:uid="{00000000-0005-0000-0000-0000EE6E0000}"/>
    <cellStyle name="Денежный 2 2 8 3 2 2 2" xfId="28400" xr:uid="{00000000-0005-0000-0000-0000EF6E0000}"/>
    <cellStyle name="Денежный 2 2 8 3 2 3" xfId="28401" xr:uid="{00000000-0005-0000-0000-0000F06E0000}"/>
    <cellStyle name="Денежный 2 2 8 3 3" xfId="28402" xr:uid="{00000000-0005-0000-0000-0000F16E0000}"/>
    <cellStyle name="Денежный 2 2 8 3 3 2" xfId="28403" xr:uid="{00000000-0005-0000-0000-0000F26E0000}"/>
    <cellStyle name="Денежный 2 2 8 3 4" xfId="28404" xr:uid="{00000000-0005-0000-0000-0000F36E0000}"/>
    <cellStyle name="Денежный 2 2 8 3 4 2" xfId="28405" xr:uid="{00000000-0005-0000-0000-0000F46E0000}"/>
    <cellStyle name="Денежный 2 2 8 3 5" xfId="28406" xr:uid="{00000000-0005-0000-0000-0000F56E0000}"/>
    <cellStyle name="Денежный 2 2 8 4" xfId="28407" xr:uid="{00000000-0005-0000-0000-0000F66E0000}"/>
    <cellStyle name="Денежный 2 2 8 4 2" xfId="28408" xr:uid="{00000000-0005-0000-0000-0000F76E0000}"/>
    <cellStyle name="Денежный 2 2 8 4 2 2" xfId="28409" xr:uid="{00000000-0005-0000-0000-0000F86E0000}"/>
    <cellStyle name="Денежный 2 2 8 4 3" xfId="28410" xr:uid="{00000000-0005-0000-0000-0000F96E0000}"/>
    <cellStyle name="Денежный 2 2 8 5" xfId="28411" xr:uid="{00000000-0005-0000-0000-0000FA6E0000}"/>
    <cellStyle name="Денежный 2 2 8 5 2" xfId="28412" xr:uid="{00000000-0005-0000-0000-0000FB6E0000}"/>
    <cellStyle name="Денежный 2 2 8 6" xfId="28413" xr:uid="{00000000-0005-0000-0000-0000FC6E0000}"/>
    <cellStyle name="Денежный 2 2 8 6 2" xfId="28414" xr:uid="{00000000-0005-0000-0000-0000FD6E0000}"/>
    <cellStyle name="Денежный 2 2 8 7" xfId="28415" xr:uid="{00000000-0005-0000-0000-0000FE6E0000}"/>
    <cellStyle name="Денежный 2 2 9" xfId="28416" xr:uid="{00000000-0005-0000-0000-0000FF6E0000}"/>
    <cellStyle name="Денежный 2 2 9 2" xfId="28417" xr:uid="{00000000-0005-0000-0000-0000006F0000}"/>
    <cellStyle name="Денежный 2 2 9 2 2" xfId="28418" xr:uid="{00000000-0005-0000-0000-0000016F0000}"/>
    <cellStyle name="Денежный 2 2 9 2 2 2" xfId="28419" xr:uid="{00000000-0005-0000-0000-0000026F0000}"/>
    <cellStyle name="Денежный 2 2 9 2 3" xfId="28420" xr:uid="{00000000-0005-0000-0000-0000036F0000}"/>
    <cellStyle name="Денежный 2 2 9 3" xfId="28421" xr:uid="{00000000-0005-0000-0000-0000046F0000}"/>
    <cellStyle name="Денежный 2 2 9 3 2" xfId="28422" xr:uid="{00000000-0005-0000-0000-0000056F0000}"/>
    <cellStyle name="Денежный 2 2 9 4" xfId="28423" xr:uid="{00000000-0005-0000-0000-0000066F0000}"/>
    <cellStyle name="Денежный 2 2 9 4 2" xfId="28424" xr:uid="{00000000-0005-0000-0000-0000076F0000}"/>
    <cellStyle name="Денежный 2 2 9 5" xfId="28425" xr:uid="{00000000-0005-0000-0000-0000086F0000}"/>
    <cellStyle name="Денежный 2 3" xfId="28426" xr:uid="{00000000-0005-0000-0000-0000096F0000}"/>
    <cellStyle name="Денежный 2 3 10" xfId="28427" xr:uid="{00000000-0005-0000-0000-00000A6F0000}"/>
    <cellStyle name="Денежный 2 3 10 2" xfId="28428" xr:uid="{00000000-0005-0000-0000-00000B6F0000}"/>
    <cellStyle name="Денежный 2 3 10 2 2" xfId="28429" xr:uid="{00000000-0005-0000-0000-00000C6F0000}"/>
    <cellStyle name="Денежный 2 3 10 2 2 2" xfId="28430" xr:uid="{00000000-0005-0000-0000-00000D6F0000}"/>
    <cellStyle name="Денежный 2 3 10 2 3" xfId="28431" xr:uid="{00000000-0005-0000-0000-00000E6F0000}"/>
    <cellStyle name="Денежный 2 3 10 3" xfId="28432" xr:uid="{00000000-0005-0000-0000-00000F6F0000}"/>
    <cellStyle name="Денежный 2 3 10 3 2" xfId="28433" xr:uid="{00000000-0005-0000-0000-0000106F0000}"/>
    <cellStyle name="Денежный 2 3 10 4" xfId="28434" xr:uid="{00000000-0005-0000-0000-0000116F0000}"/>
    <cellStyle name="Денежный 2 3 10 4 2" xfId="28435" xr:uid="{00000000-0005-0000-0000-0000126F0000}"/>
    <cellStyle name="Денежный 2 3 10 5" xfId="28436" xr:uid="{00000000-0005-0000-0000-0000136F0000}"/>
    <cellStyle name="Денежный 2 3 11" xfId="28437" xr:uid="{00000000-0005-0000-0000-0000146F0000}"/>
    <cellStyle name="Денежный 2 3 11 2" xfId="28438" xr:uid="{00000000-0005-0000-0000-0000156F0000}"/>
    <cellStyle name="Денежный 2 3 11 2 2" xfId="28439" xr:uid="{00000000-0005-0000-0000-0000166F0000}"/>
    <cellStyle name="Денежный 2 3 11 3" xfId="28440" xr:uid="{00000000-0005-0000-0000-0000176F0000}"/>
    <cellStyle name="Денежный 2 3 12" xfId="28441" xr:uid="{00000000-0005-0000-0000-0000186F0000}"/>
    <cellStyle name="Денежный 2 3 12 2" xfId="28442" xr:uid="{00000000-0005-0000-0000-0000196F0000}"/>
    <cellStyle name="Денежный 2 3 13" xfId="28443" xr:uid="{00000000-0005-0000-0000-00001A6F0000}"/>
    <cellStyle name="Денежный 2 3 13 2" xfId="28444" xr:uid="{00000000-0005-0000-0000-00001B6F0000}"/>
    <cellStyle name="Денежный 2 3 14" xfId="28445" xr:uid="{00000000-0005-0000-0000-00001C6F0000}"/>
    <cellStyle name="Денежный 2 3 15" xfId="28446" xr:uid="{00000000-0005-0000-0000-00001D6F0000}"/>
    <cellStyle name="Денежный 2 3 2" xfId="28447" xr:uid="{00000000-0005-0000-0000-00001E6F0000}"/>
    <cellStyle name="Денежный 2 3 2 10" xfId="28448" xr:uid="{00000000-0005-0000-0000-00001F6F0000}"/>
    <cellStyle name="Денежный 2 3 2 2" xfId="28449" xr:uid="{00000000-0005-0000-0000-0000206F0000}"/>
    <cellStyle name="Денежный 2 3 2 2 2" xfId="28450" xr:uid="{00000000-0005-0000-0000-0000216F0000}"/>
    <cellStyle name="Денежный 2 3 2 2 2 2" xfId="28451" xr:uid="{00000000-0005-0000-0000-0000226F0000}"/>
    <cellStyle name="Денежный 2 3 2 2 2 2 2" xfId="28452" xr:uid="{00000000-0005-0000-0000-0000236F0000}"/>
    <cellStyle name="Денежный 2 3 2 2 2 3" xfId="28453" xr:uid="{00000000-0005-0000-0000-0000246F0000}"/>
    <cellStyle name="Денежный 2 3 2 2 3" xfId="28454" xr:uid="{00000000-0005-0000-0000-0000256F0000}"/>
    <cellStyle name="Денежный 2 3 2 2 3 2" xfId="28455" xr:uid="{00000000-0005-0000-0000-0000266F0000}"/>
    <cellStyle name="Денежный 2 3 2 2 4" xfId="28456" xr:uid="{00000000-0005-0000-0000-0000276F0000}"/>
    <cellStyle name="Денежный 2 3 2 2 4 2" xfId="28457" xr:uid="{00000000-0005-0000-0000-0000286F0000}"/>
    <cellStyle name="Денежный 2 3 2 2 5" xfId="28458" xr:uid="{00000000-0005-0000-0000-0000296F0000}"/>
    <cellStyle name="Денежный 2 3 2 3" xfId="28459" xr:uid="{00000000-0005-0000-0000-00002A6F0000}"/>
    <cellStyle name="Денежный 2 3 2 3 2" xfId="28460" xr:uid="{00000000-0005-0000-0000-00002B6F0000}"/>
    <cellStyle name="Денежный 2 3 2 3 2 2" xfId="28461" xr:uid="{00000000-0005-0000-0000-00002C6F0000}"/>
    <cellStyle name="Денежный 2 3 2 3 2 2 2" xfId="28462" xr:uid="{00000000-0005-0000-0000-00002D6F0000}"/>
    <cellStyle name="Денежный 2 3 2 3 2 3" xfId="28463" xr:uid="{00000000-0005-0000-0000-00002E6F0000}"/>
    <cellStyle name="Денежный 2 3 2 3 3" xfId="28464" xr:uid="{00000000-0005-0000-0000-00002F6F0000}"/>
    <cellStyle name="Денежный 2 3 2 3 3 2" xfId="28465" xr:uid="{00000000-0005-0000-0000-0000306F0000}"/>
    <cellStyle name="Денежный 2 3 2 3 4" xfId="28466" xr:uid="{00000000-0005-0000-0000-0000316F0000}"/>
    <cellStyle name="Денежный 2 3 2 3 4 2" xfId="28467" xr:uid="{00000000-0005-0000-0000-0000326F0000}"/>
    <cellStyle name="Денежный 2 3 2 3 5" xfId="28468" xr:uid="{00000000-0005-0000-0000-0000336F0000}"/>
    <cellStyle name="Денежный 2 3 2 4" xfId="28469" xr:uid="{00000000-0005-0000-0000-0000346F0000}"/>
    <cellStyle name="Денежный 2 3 2 4 2" xfId="28470" xr:uid="{00000000-0005-0000-0000-0000356F0000}"/>
    <cellStyle name="Денежный 2 3 2 4 2 2" xfId="28471" xr:uid="{00000000-0005-0000-0000-0000366F0000}"/>
    <cellStyle name="Денежный 2 3 2 4 2 2 2" xfId="28472" xr:uid="{00000000-0005-0000-0000-0000376F0000}"/>
    <cellStyle name="Денежный 2 3 2 4 2 3" xfId="28473" xr:uid="{00000000-0005-0000-0000-0000386F0000}"/>
    <cellStyle name="Денежный 2 3 2 4 3" xfId="28474" xr:uid="{00000000-0005-0000-0000-0000396F0000}"/>
    <cellStyle name="Денежный 2 3 2 4 3 2" xfId="28475" xr:uid="{00000000-0005-0000-0000-00003A6F0000}"/>
    <cellStyle name="Денежный 2 3 2 4 4" xfId="28476" xr:uid="{00000000-0005-0000-0000-00003B6F0000}"/>
    <cellStyle name="Денежный 2 3 2 4 4 2" xfId="28477" xr:uid="{00000000-0005-0000-0000-00003C6F0000}"/>
    <cellStyle name="Денежный 2 3 2 4 5" xfId="28478" xr:uid="{00000000-0005-0000-0000-00003D6F0000}"/>
    <cellStyle name="Денежный 2 3 2 5" xfId="28479" xr:uid="{00000000-0005-0000-0000-00003E6F0000}"/>
    <cellStyle name="Денежный 2 3 2 5 2" xfId="28480" xr:uid="{00000000-0005-0000-0000-00003F6F0000}"/>
    <cellStyle name="Денежный 2 3 2 5 2 2" xfId="28481" xr:uid="{00000000-0005-0000-0000-0000406F0000}"/>
    <cellStyle name="Денежный 2 3 2 5 2 2 2" xfId="28482" xr:uid="{00000000-0005-0000-0000-0000416F0000}"/>
    <cellStyle name="Денежный 2 3 2 5 2 3" xfId="28483" xr:uid="{00000000-0005-0000-0000-0000426F0000}"/>
    <cellStyle name="Денежный 2 3 2 5 3" xfId="28484" xr:uid="{00000000-0005-0000-0000-0000436F0000}"/>
    <cellStyle name="Денежный 2 3 2 5 3 2" xfId="28485" xr:uid="{00000000-0005-0000-0000-0000446F0000}"/>
    <cellStyle name="Денежный 2 3 2 5 4" xfId="28486" xr:uid="{00000000-0005-0000-0000-0000456F0000}"/>
    <cellStyle name="Денежный 2 3 2 5 4 2" xfId="28487" xr:uid="{00000000-0005-0000-0000-0000466F0000}"/>
    <cellStyle name="Денежный 2 3 2 5 5" xfId="28488" xr:uid="{00000000-0005-0000-0000-0000476F0000}"/>
    <cellStyle name="Денежный 2 3 2 6" xfId="28489" xr:uid="{00000000-0005-0000-0000-0000486F0000}"/>
    <cellStyle name="Денежный 2 3 2 6 2" xfId="28490" xr:uid="{00000000-0005-0000-0000-0000496F0000}"/>
    <cellStyle name="Денежный 2 3 2 6 2 2" xfId="28491" xr:uid="{00000000-0005-0000-0000-00004A6F0000}"/>
    <cellStyle name="Денежный 2 3 2 6 3" xfId="28492" xr:uid="{00000000-0005-0000-0000-00004B6F0000}"/>
    <cellStyle name="Денежный 2 3 2 7" xfId="28493" xr:uid="{00000000-0005-0000-0000-00004C6F0000}"/>
    <cellStyle name="Денежный 2 3 2 7 2" xfId="28494" xr:uid="{00000000-0005-0000-0000-00004D6F0000}"/>
    <cellStyle name="Денежный 2 3 2 8" xfId="28495" xr:uid="{00000000-0005-0000-0000-00004E6F0000}"/>
    <cellStyle name="Денежный 2 3 2 8 2" xfId="28496" xr:uid="{00000000-0005-0000-0000-00004F6F0000}"/>
    <cellStyle name="Денежный 2 3 2 9" xfId="28497" xr:uid="{00000000-0005-0000-0000-0000506F0000}"/>
    <cellStyle name="Денежный 2 3 3" xfId="28498" xr:uid="{00000000-0005-0000-0000-0000516F0000}"/>
    <cellStyle name="Денежный 2 3 3 10" xfId="28499" xr:uid="{00000000-0005-0000-0000-0000526F0000}"/>
    <cellStyle name="Денежный 2 3 3 2" xfId="28500" xr:uid="{00000000-0005-0000-0000-0000536F0000}"/>
    <cellStyle name="Денежный 2 3 3 2 2" xfId="28501" xr:uid="{00000000-0005-0000-0000-0000546F0000}"/>
    <cellStyle name="Денежный 2 3 3 2 2 2" xfId="28502" xr:uid="{00000000-0005-0000-0000-0000556F0000}"/>
    <cellStyle name="Денежный 2 3 3 2 2 2 2" xfId="28503" xr:uid="{00000000-0005-0000-0000-0000566F0000}"/>
    <cellStyle name="Денежный 2 3 3 2 2 3" xfId="28504" xr:uid="{00000000-0005-0000-0000-0000576F0000}"/>
    <cellStyle name="Денежный 2 3 3 2 3" xfId="28505" xr:uid="{00000000-0005-0000-0000-0000586F0000}"/>
    <cellStyle name="Денежный 2 3 3 2 3 2" xfId="28506" xr:uid="{00000000-0005-0000-0000-0000596F0000}"/>
    <cellStyle name="Денежный 2 3 3 2 4" xfId="28507" xr:uid="{00000000-0005-0000-0000-00005A6F0000}"/>
    <cellStyle name="Денежный 2 3 3 2 4 2" xfId="28508" xr:uid="{00000000-0005-0000-0000-00005B6F0000}"/>
    <cellStyle name="Денежный 2 3 3 2 5" xfId="28509" xr:uid="{00000000-0005-0000-0000-00005C6F0000}"/>
    <cellStyle name="Денежный 2 3 3 3" xfId="28510" xr:uid="{00000000-0005-0000-0000-00005D6F0000}"/>
    <cellStyle name="Денежный 2 3 3 3 2" xfId="28511" xr:uid="{00000000-0005-0000-0000-00005E6F0000}"/>
    <cellStyle name="Денежный 2 3 3 3 2 2" xfId="28512" xr:uid="{00000000-0005-0000-0000-00005F6F0000}"/>
    <cellStyle name="Денежный 2 3 3 3 2 2 2" xfId="28513" xr:uid="{00000000-0005-0000-0000-0000606F0000}"/>
    <cellStyle name="Денежный 2 3 3 3 2 3" xfId="28514" xr:uid="{00000000-0005-0000-0000-0000616F0000}"/>
    <cellStyle name="Денежный 2 3 3 3 3" xfId="28515" xr:uid="{00000000-0005-0000-0000-0000626F0000}"/>
    <cellStyle name="Денежный 2 3 3 3 3 2" xfId="28516" xr:uid="{00000000-0005-0000-0000-0000636F0000}"/>
    <cellStyle name="Денежный 2 3 3 3 4" xfId="28517" xr:uid="{00000000-0005-0000-0000-0000646F0000}"/>
    <cellStyle name="Денежный 2 3 3 3 4 2" xfId="28518" xr:uid="{00000000-0005-0000-0000-0000656F0000}"/>
    <cellStyle name="Денежный 2 3 3 3 5" xfId="28519" xr:uid="{00000000-0005-0000-0000-0000666F0000}"/>
    <cellStyle name="Денежный 2 3 3 4" xfId="28520" xr:uid="{00000000-0005-0000-0000-0000676F0000}"/>
    <cellStyle name="Денежный 2 3 3 4 2" xfId="28521" xr:uid="{00000000-0005-0000-0000-0000686F0000}"/>
    <cellStyle name="Денежный 2 3 3 4 2 2" xfId="28522" xr:uid="{00000000-0005-0000-0000-0000696F0000}"/>
    <cellStyle name="Денежный 2 3 3 4 2 2 2" xfId="28523" xr:uid="{00000000-0005-0000-0000-00006A6F0000}"/>
    <cellStyle name="Денежный 2 3 3 4 2 3" xfId="28524" xr:uid="{00000000-0005-0000-0000-00006B6F0000}"/>
    <cellStyle name="Денежный 2 3 3 4 3" xfId="28525" xr:uid="{00000000-0005-0000-0000-00006C6F0000}"/>
    <cellStyle name="Денежный 2 3 3 4 3 2" xfId="28526" xr:uid="{00000000-0005-0000-0000-00006D6F0000}"/>
    <cellStyle name="Денежный 2 3 3 4 4" xfId="28527" xr:uid="{00000000-0005-0000-0000-00006E6F0000}"/>
    <cellStyle name="Денежный 2 3 3 4 4 2" xfId="28528" xr:uid="{00000000-0005-0000-0000-00006F6F0000}"/>
    <cellStyle name="Денежный 2 3 3 4 5" xfId="28529" xr:uid="{00000000-0005-0000-0000-0000706F0000}"/>
    <cellStyle name="Денежный 2 3 3 5" xfId="28530" xr:uid="{00000000-0005-0000-0000-0000716F0000}"/>
    <cellStyle name="Денежный 2 3 3 5 2" xfId="28531" xr:uid="{00000000-0005-0000-0000-0000726F0000}"/>
    <cellStyle name="Денежный 2 3 3 5 2 2" xfId="28532" xr:uid="{00000000-0005-0000-0000-0000736F0000}"/>
    <cellStyle name="Денежный 2 3 3 5 2 2 2" xfId="28533" xr:uid="{00000000-0005-0000-0000-0000746F0000}"/>
    <cellStyle name="Денежный 2 3 3 5 2 3" xfId="28534" xr:uid="{00000000-0005-0000-0000-0000756F0000}"/>
    <cellStyle name="Денежный 2 3 3 5 3" xfId="28535" xr:uid="{00000000-0005-0000-0000-0000766F0000}"/>
    <cellStyle name="Денежный 2 3 3 5 3 2" xfId="28536" xr:uid="{00000000-0005-0000-0000-0000776F0000}"/>
    <cellStyle name="Денежный 2 3 3 5 4" xfId="28537" xr:uid="{00000000-0005-0000-0000-0000786F0000}"/>
    <cellStyle name="Денежный 2 3 3 5 4 2" xfId="28538" xr:uid="{00000000-0005-0000-0000-0000796F0000}"/>
    <cellStyle name="Денежный 2 3 3 5 5" xfId="28539" xr:uid="{00000000-0005-0000-0000-00007A6F0000}"/>
    <cellStyle name="Денежный 2 3 3 6" xfId="28540" xr:uid="{00000000-0005-0000-0000-00007B6F0000}"/>
    <cellStyle name="Денежный 2 3 3 6 2" xfId="28541" xr:uid="{00000000-0005-0000-0000-00007C6F0000}"/>
    <cellStyle name="Денежный 2 3 3 6 2 2" xfId="28542" xr:uid="{00000000-0005-0000-0000-00007D6F0000}"/>
    <cellStyle name="Денежный 2 3 3 6 3" xfId="28543" xr:uid="{00000000-0005-0000-0000-00007E6F0000}"/>
    <cellStyle name="Денежный 2 3 3 7" xfId="28544" xr:uid="{00000000-0005-0000-0000-00007F6F0000}"/>
    <cellStyle name="Денежный 2 3 3 7 2" xfId="28545" xr:uid="{00000000-0005-0000-0000-0000806F0000}"/>
    <cellStyle name="Денежный 2 3 3 8" xfId="28546" xr:uid="{00000000-0005-0000-0000-0000816F0000}"/>
    <cellStyle name="Денежный 2 3 3 8 2" xfId="28547" xr:uid="{00000000-0005-0000-0000-0000826F0000}"/>
    <cellStyle name="Денежный 2 3 3 9" xfId="28548" xr:uid="{00000000-0005-0000-0000-0000836F0000}"/>
    <cellStyle name="Денежный 2 3 4" xfId="28549" xr:uid="{00000000-0005-0000-0000-0000846F0000}"/>
    <cellStyle name="Денежный 2 3 4 10" xfId="28550" xr:uid="{00000000-0005-0000-0000-0000856F0000}"/>
    <cellStyle name="Денежный 2 3 4 2" xfId="28551" xr:uid="{00000000-0005-0000-0000-0000866F0000}"/>
    <cellStyle name="Денежный 2 3 4 2 2" xfId="28552" xr:uid="{00000000-0005-0000-0000-0000876F0000}"/>
    <cellStyle name="Денежный 2 3 4 2 2 2" xfId="28553" xr:uid="{00000000-0005-0000-0000-0000886F0000}"/>
    <cellStyle name="Денежный 2 3 4 2 2 2 2" xfId="28554" xr:uid="{00000000-0005-0000-0000-0000896F0000}"/>
    <cellStyle name="Денежный 2 3 4 2 2 3" xfId="28555" xr:uid="{00000000-0005-0000-0000-00008A6F0000}"/>
    <cellStyle name="Денежный 2 3 4 2 3" xfId="28556" xr:uid="{00000000-0005-0000-0000-00008B6F0000}"/>
    <cellStyle name="Денежный 2 3 4 2 3 2" xfId="28557" xr:uid="{00000000-0005-0000-0000-00008C6F0000}"/>
    <cellStyle name="Денежный 2 3 4 2 4" xfId="28558" xr:uid="{00000000-0005-0000-0000-00008D6F0000}"/>
    <cellStyle name="Денежный 2 3 4 2 4 2" xfId="28559" xr:uid="{00000000-0005-0000-0000-00008E6F0000}"/>
    <cellStyle name="Денежный 2 3 4 2 5" xfId="28560" xr:uid="{00000000-0005-0000-0000-00008F6F0000}"/>
    <cellStyle name="Денежный 2 3 4 3" xfId="28561" xr:uid="{00000000-0005-0000-0000-0000906F0000}"/>
    <cellStyle name="Денежный 2 3 4 3 2" xfId="28562" xr:uid="{00000000-0005-0000-0000-0000916F0000}"/>
    <cellStyle name="Денежный 2 3 4 3 2 2" xfId="28563" xr:uid="{00000000-0005-0000-0000-0000926F0000}"/>
    <cellStyle name="Денежный 2 3 4 3 2 2 2" xfId="28564" xr:uid="{00000000-0005-0000-0000-0000936F0000}"/>
    <cellStyle name="Денежный 2 3 4 3 2 3" xfId="28565" xr:uid="{00000000-0005-0000-0000-0000946F0000}"/>
    <cellStyle name="Денежный 2 3 4 3 3" xfId="28566" xr:uid="{00000000-0005-0000-0000-0000956F0000}"/>
    <cellStyle name="Денежный 2 3 4 3 3 2" xfId="28567" xr:uid="{00000000-0005-0000-0000-0000966F0000}"/>
    <cellStyle name="Денежный 2 3 4 3 4" xfId="28568" xr:uid="{00000000-0005-0000-0000-0000976F0000}"/>
    <cellStyle name="Денежный 2 3 4 3 4 2" xfId="28569" xr:uid="{00000000-0005-0000-0000-0000986F0000}"/>
    <cellStyle name="Денежный 2 3 4 3 5" xfId="28570" xr:uid="{00000000-0005-0000-0000-0000996F0000}"/>
    <cellStyle name="Денежный 2 3 4 4" xfId="28571" xr:uid="{00000000-0005-0000-0000-00009A6F0000}"/>
    <cellStyle name="Денежный 2 3 4 4 2" xfId="28572" xr:uid="{00000000-0005-0000-0000-00009B6F0000}"/>
    <cellStyle name="Денежный 2 3 4 4 2 2" xfId="28573" xr:uid="{00000000-0005-0000-0000-00009C6F0000}"/>
    <cellStyle name="Денежный 2 3 4 4 2 2 2" xfId="28574" xr:uid="{00000000-0005-0000-0000-00009D6F0000}"/>
    <cellStyle name="Денежный 2 3 4 4 2 3" xfId="28575" xr:uid="{00000000-0005-0000-0000-00009E6F0000}"/>
    <cellStyle name="Денежный 2 3 4 4 3" xfId="28576" xr:uid="{00000000-0005-0000-0000-00009F6F0000}"/>
    <cellStyle name="Денежный 2 3 4 4 3 2" xfId="28577" xr:uid="{00000000-0005-0000-0000-0000A06F0000}"/>
    <cellStyle name="Денежный 2 3 4 4 4" xfId="28578" xr:uid="{00000000-0005-0000-0000-0000A16F0000}"/>
    <cellStyle name="Денежный 2 3 4 4 4 2" xfId="28579" xr:uid="{00000000-0005-0000-0000-0000A26F0000}"/>
    <cellStyle name="Денежный 2 3 4 4 5" xfId="28580" xr:uid="{00000000-0005-0000-0000-0000A36F0000}"/>
    <cellStyle name="Денежный 2 3 4 5" xfId="28581" xr:uid="{00000000-0005-0000-0000-0000A46F0000}"/>
    <cellStyle name="Денежный 2 3 4 5 2" xfId="28582" xr:uid="{00000000-0005-0000-0000-0000A56F0000}"/>
    <cellStyle name="Денежный 2 3 4 5 2 2" xfId="28583" xr:uid="{00000000-0005-0000-0000-0000A66F0000}"/>
    <cellStyle name="Денежный 2 3 4 5 2 2 2" xfId="28584" xr:uid="{00000000-0005-0000-0000-0000A76F0000}"/>
    <cellStyle name="Денежный 2 3 4 5 2 3" xfId="28585" xr:uid="{00000000-0005-0000-0000-0000A86F0000}"/>
    <cellStyle name="Денежный 2 3 4 5 3" xfId="28586" xr:uid="{00000000-0005-0000-0000-0000A96F0000}"/>
    <cellStyle name="Денежный 2 3 4 5 3 2" xfId="28587" xr:uid="{00000000-0005-0000-0000-0000AA6F0000}"/>
    <cellStyle name="Денежный 2 3 4 5 4" xfId="28588" xr:uid="{00000000-0005-0000-0000-0000AB6F0000}"/>
    <cellStyle name="Денежный 2 3 4 5 4 2" xfId="28589" xr:uid="{00000000-0005-0000-0000-0000AC6F0000}"/>
    <cellStyle name="Денежный 2 3 4 5 5" xfId="28590" xr:uid="{00000000-0005-0000-0000-0000AD6F0000}"/>
    <cellStyle name="Денежный 2 3 4 6" xfId="28591" xr:uid="{00000000-0005-0000-0000-0000AE6F0000}"/>
    <cellStyle name="Денежный 2 3 4 6 2" xfId="28592" xr:uid="{00000000-0005-0000-0000-0000AF6F0000}"/>
    <cellStyle name="Денежный 2 3 4 6 2 2" xfId="28593" xr:uid="{00000000-0005-0000-0000-0000B06F0000}"/>
    <cellStyle name="Денежный 2 3 4 6 3" xfId="28594" xr:uid="{00000000-0005-0000-0000-0000B16F0000}"/>
    <cellStyle name="Денежный 2 3 4 7" xfId="28595" xr:uid="{00000000-0005-0000-0000-0000B26F0000}"/>
    <cellStyle name="Денежный 2 3 4 7 2" xfId="28596" xr:uid="{00000000-0005-0000-0000-0000B36F0000}"/>
    <cellStyle name="Денежный 2 3 4 8" xfId="28597" xr:uid="{00000000-0005-0000-0000-0000B46F0000}"/>
    <cellStyle name="Денежный 2 3 4 8 2" xfId="28598" xr:uid="{00000000-0005-0000-0000-0000B56F0000}"/>
    <cellStyle name="Денежный 2 3 4 9" xfId="28599" xr:uid="{00000000-0005-0000-0000-0000B66F0000}"/>
    <cellStyle name="Денежный 2 3 5" xfId="28600" xr:uid="{00000000-0005-0000-0000-0000B76F0000}"/>
    <cellStyle name="Денежный 2 3 5 10" xfId="28601" xr:uid="{00000000-0005-0000-0000-0000B86F0000}"/>
    <cellStyle name="Денежный 2 3 5 2" xfId="28602" xr:uid="{00000000-0005-0000-0000-0000B96F0000}"/>
    <cellStyle name="Денежный 2 3 5 2 2" xfId="28603" xr:uid="{00000000-0005-0000-0000-0000BA6F0000}"/>
    <cellStyle name="Денежный 2 3 5 2 2 2" xfId="28604" xr:uid="{00000000-0005-0000-0000-0000BB6F0000}"/>
    <cellStyle name="Денежный 2 3 5 2 2 2 2" xfId="28605" xr:uid="{00000000-0005-0000-0000-0000BC6F0000}"/>
    <cellStyle name="Денежный 2 3 5 2 2 3" xfId="28606" xr:uid="{00000000-0005-0000-0000-0000BD6F0000}"/>
    <cellStyle name="Денежный 2 3 5 2 3" xfId="28607" xr:uid="{00000000-0005-0000-0000-0000BE6F0000}"/>
    <cellStyle name="Денежный 2 3 5 2 3 2" xfId="28608" xr:uid="{00000000-0005-0000-0000-0000BF6F0000}"/>
    <cellStyle name="Денежный 2 3 5 2 4" xfId="28609" xr:uid="{00000000-0005-0000-0000-0000C06F0000}"/>
    <cellStyle name="Денежный 2 3 5 2 4 2" xfId="28610" xr:uid="{00000000-0005-0000-0000-0000C16F0000}"/>
    <cellStyle name="Денежный 2 3 5 2 5" xfId="28611" xr:uid="{00000000-0005-0000-0000-0000C26F0000}"/>
    <cellStyle name="Денежный 2 3 5 3" xfId="28612" xr:uid="{00000000-0005-0000-0000-0000C36F0000}"/>
    <cellStyle name="Денежный 2 3 5 3 2" xfId="28613" xr:uid="{00000000-0005-0000-0000-0000C46F0000}"/>
    <cellStyle name="Денежный 2 3 5 3 2 2" xfId="28614" xr:uid="{00000000-0005-0000-0000-0000C56F0000}"/>
    <cellStyle name="Денежный 2 3 5 3 2 2 2" xfId="28615" xr:uid="{00000000-0005-0000-0000-0000C66F0000}"/>
    <cellStyle name="Денежный 2 3 5 3 2 3" xfId="28616" xr:uid="{00000000-0005-0000-0000-0000C76F0000}"/>
    <cellStyle name="Денежный 2 3 5 3 3" xfId="28617" xr:uid="{00000000-0005-0000-0000-0000C86F0000}"/>
    <cellStyle name="Денежный 2 3 5 3 3 2" xfId="28618" xr:uid="{00000000-0005-0000-0000-0000C96F0000}"/>
    <cellStyle name="Денежный 2 3 5 3 4" xfId="28619" xr:uid="{00000000-0005-0000-0000-0000CA6F0000}"/>
    <cellStyle name="Денежный 2 3 5 3 4 2" xfId="28620" xr:uid="{00000000-0005-0000-0000-0000CB6F0000}"/>
    <cellStyle name="Денежный 2 3 5 3 5" xfId="28621" xr:uid="{00000000-0005-0000-0000-0000CC6F0000}"/>
    <cellStyle name="Денежный 2 3 5 4" xfId="28622" xr:uid="{00000000-0005-0000-0000-0000CD6F0000}"/>
    <cellStyle name="Денежный 2 3 5 4 2" xfId="28623" xr:uid="{00000000-0005-0000-0000-0000CE6F0000}"/>
    <cellStyle name="Денежный 2 3 5 4 2 2" xfId="28624" xr:uid="{00000000-0005-0000-0000-0000CF6F0000}"/>
    <cellStyle name="Денежный 2 3 5 4 2 2 2" xfId="28625" xr:uid="{00000000-0005-0000-0000-0000D06F0000}"/>
    <cellStyle name="Денежный 2 3 5 4 2 3" xfId="28626" xr:uid="{00000000-0005-0000-0000-0000D16F0000}"/>
    <cellStyle name="Денежный 2 3 5 4 3" xfId="28627" xr:uid="{00000000-0005-0000-0000-0000D26F0000}"/>
    <cellStyle name="Денежный 2 3 5 4 3 2" xfId="28628" xr:uid="{00000000-0005-0000-0000-0000D36F0000}"/>
    <cellStyle name="Денежный 2 3 5 4 4" xfId="28629" xr:uid="{00000000-0005-0000-0000-0000D46F0000}"/>
    <cellStyle name="Денежный 2 3 5 4 4 2" xfId="28630" xr:uid="{00000000-0005-0000-0000-0000D56F0000}"/>
    <cellStyle name="Денежный 2 3 5 4 5" xfId="28631" xr:uid="{00000000-0005-0000-0000-0000D66F0000}"/>
    <cellStyle name="Денежный 2 3 5 5" xfId="28632" xr:uid="{00000000-0005-0000-0000-0000D76F0000}"/>
    <cellStyle name="Денежный 2 3 5 5 2" xfId="28633" xr:uid="{00000000-0005-0000-0000-0000D86F0000}"/>
    <cellStyle name="Денежный 2 3 5 5 2 2" xfId="28634" xr:uid="{00000000-0005-0000-0000-0000D96F0000}"/>
    <cellStyle name="Денежный 2 3 5 5 2 2 2" xfId="28635" xr:uid="{00000000-0005-0000-0000-0000DA6F0000}"/>
    <cellStyle name="Денежный 2 3 5 5 2 3" xfId="28636" xr:uid="{00000000-0005-0000-0000-0000DB6F0000}"/>
    <cellStyle name="Денежный 2 3 5 5 3" xfId="28637" xr:uid="{00000000-0005-0000-0000-0000DC6F0000}"/>
    <cellStyle name="Денежный 2 3 5 5 3 2" xfId="28638" xr:uid="{00000000-0005-0000-0000-0000DD6F0000}"/>
    <cellStyle name="Денежный 2 3 5 5 4" xfId="28639" xr:uid="{00000000-0005-0000-0000-0000DE6F0000}"/>
    <cellStyle name="Денежный 2 3 5 5 4 2" xfId="28640" xr:uid="{00000000-0005-0000-0000-0000DF6F0000}"/>
    <cellStyle name="Денежный 2 3 5 5 5" xfId="28641" xr:uid="{00000000-0005-0000-0000-0000E06F0000}"/>
    <cellStyle name="Денежный 2 3 5 6" xfId="28642" xr:uid="{00000000-0005-0000-0000-0000E16F0000}"/>
    <cellStyle name="Денежный 2 3 5 6 2" xfId="28643" xr:uid="{00000000-0005-0000-0000-0000E26F0000}"/>
    <cellStyle name="Денежный 2 3 5 6 2 2" xfId="28644" xr:uid="{00000000-0005-0000-0000-0000E36F0000}"/>
    <cellStyle name="Денежный 2 3 5 6 3" xfId="28645" xr:uid="{00000000-0005-0000-0000-0000E46F0000}"/>
    <cellStyle name="Денежный 2 3 5 7" xfId="28646" xr:uid="{00000000-0005-0000-0000-0000E56F0000}"/>
    <cellStyle name="Денежный 2 3 5 7 2" xfId="28647" xr:uid="{00000000-0005-0000-0000-0000E66F0000}"/>
    <cellStyle name="Денежный 2 3 5 8" xfId="28648" xr:uid="{00000000-0005-0000-0000-0000E76F0000}"/>
    <cellStyle name="Денежный 2 3 5 8 2" xfId="28649" xr:uid="{00000000-0005-0000-0000-0000E86F0000}"/>
    <cellStyle name="Денежный 2 3 5 9" xfId="28650" xr:uid="{00000000-0005-0000-0000-0000E96F0000}"/>
    <cellStyle name="Денежный 2 3 6" xfId="28651" xr:uid="{00000000-0005-0000-0000-0000EA6F0000}"/>
    <cellStyle name="Денежный 2 3 6 10" xfId="28652" xr:uid="{00000000-0005-0000-0000-0000EB6F0000}"/>
    <cellStyle name="Денежный 2 3 6 2" xfId="28653" xr:uid="{00000000-0005-0000-0000-0000EC6F0000}"/>
    <cellStyle name="Денежный 2 3 6 2 2" xfId="28654" xr:uid="{00000000-0005-0000-0000-0000ED6F0000}"/>
    <cellStyle name="Денежный 2 3 6 2 2 2" xfId="28655" xr:uid="{00000000-0005-0000-0000-0000EE6F0000}"/>
    <cellStyle name="Денежный 2 3 6 2 2 2 2" xfId="28656" xr:uid="{00000000-0005-0000-0000-0000EF6F0000}"/>
    <cellStyle name="Денежный 2 3 6 2 2 3" xfId="28657" xr:uid="{00000000-0005-0000-0000-0000F06F0000}"/>
    <cellStyle name="Денежный 2 3 6 2 3" xfId="28658" xr:uid="{00000000-0005-0000-0000-0000F16F0000}"/>
    <cellStyle name="Денежный 2 3 6 2 3 2" xfId="28659" xr:uid="{00000000-0005-0000-0000-0000F26F0000}"/>
    <cellStyle name="Денежный 2 3 6 2 4" xfId="28660" xr:uid="{00000000-0005-0000-0000-0000F36F0000}"/>
    <cellStyle name="Денежный 2 3 6 2 4 2" xfId="28661" xr:uid="{00000000-0005-0000-0000-0000F46F0000}"/>
    <cellStyle name="Денежный 2 3 6 2 5" xfId="28662" xr:uid="{00000000-0005-0000-0000-0000F56F0000}"/>
    <cellStyle name="Денежный 2 3 6 3" xfId="28663" xr:uid="{00000000-0005-0000-0000-0000F66F0000}"/>
    <cellStyle name="Денежный 2 3 6 3 2" xfId="28664" xr:uid="{00000000-0005-0000-0000-0000F76F0000}"/>
    <cellStyle name="Денежный 2 3 6 3 2 2" xfId="28665" xr:uid="{00000000-0005-0000-0000-0000F86F0000}"/>
    <cellStyle name="Денежный 2 3 6 3 2 2 2" xfId="28666" xr:uid="{00000000-0005-0000-0000-0000F96F0000}"/>
    <cellStyle name="Денежный 2 3 6 3 2 3" xfId="28667" xr:uid="{00000000-0005-0000-0000-0000FA6F0000}"/>
    <cellStyle name="Денежный 2 3 6 3 3" xfId="28668" xr:uid="{00000000-0005-0000-0000-0000FB6F0000}"/>
    <cellStyle name="Денежный 2 3 6 3 3 2" xfId="28669" xr:uid="{00000000-0005-0000-0000-0000FC6F0000}"/>
    <cellStyle name="Денежный 2 3 6 3 4" xfId="28670" xr:uid="{00000000-0005-0000-0000-0000FD6F0000}"/>
    <cellStyle name="Денежный 2 3 6 3 4 2" xfId="28671" xr:uid="{00000000-0005-0000-0000-0000FE6F0000}"/>
    <cellStyle name="Денежный 2 3 6 3 5" xfId="28672" xr:uid="{00000000-0005-0000-0000-0000FF6F0000}"/>
    <cellStyle name="Денежный 2 3 6 4" xfId="28673" xr:uid="{00000000-0005-0000-0000-000000700000}"/>
    <cellStyle name="Денежный 2 3 6 4 2" xfId="28674" xr:uid="{00000000-0005-0000-0000-000001700000}"/>
    <cellStyle name="Денежный 2 3 6 4 2 2" xfId="28675" xr:uid="{00000000-0005-0000-0000-000002700000}"/>
    <cellStyle name="Денежный 2 3 6 4 2 2 2" xfId="28676" xr:uid="{00000000-0005-0000-0000-000003700000}"/>
    <cellStyle name="Денежный 2 3 6 4 2 3" xfId="28677" xr:uid="{00000000-0005-0000-0000-000004700000}"/>
    <cellStyle name="Денежный 2 3 6 4 3" xfId="28678" xr:uid="{00000000-0005-0000-0000-000005700000}"/>
    <cellStyle name="Денежный 2 3 6 4 3 2" xfId="28679" xr:uid="{00000000-0005-0000-0000-000006700000}"/>
    <cellStyle name="Денежный 2 3 6 4 4" xfId="28680" xr:uid="{00000000-0005-0000-0000-000007700000}"/>
    <cellStyle name="Денежный 2 3 6 4 4 2" xfId="28681" xr:uid="{00000000-0005-0000-0000-000008700000}"/>
    <cellStyle name="Денежный 2 3 6 4 5" xfId="28682" xr:uid="{00000000-0005-0000-0000-000009700000}"/>
    <cellStyle name="Денежный 2 3 6 5" xfId="28683" xr:uid="{00000000-0005-0000-0000-00000A700000}"/>
    <cellStyle name="Денежный 2 3 6 5 2" xfId="28684" xr:uid="{00000000-0005-0000-0000-00000B700000}"/>
    <cellStyle name="Денежный 2 3 6 5 2 2" xfId="28685" xr:uid="{00000000-0005-0000-0000-00000C700000}"/>
    <cellStyle name="Денежный 2 3 6 5 2 2 2" xfId="28686" xr:uid="{00000000-0005-0000-0000-00000D700000}"/>
    <cellStyle name="Денежный 2 3 6 5 2 3" xfId="28687" xr:uid="{00000000-0005-0000-0000-00000E700000}"/>
    <cellStyle name="Денежный 2 3 6 5 3" xfId="28688" xr:uid="{00000000-0005-0000-0000-00000F700000}"/>
    <cellStyle name="Денежный 2 3 6 5 3 2" xfId="28689" xr:uid="{00000000-0005-0000-0000-000010700000}"/>
    <cellStyle name="Денежный 2 3 6 5 4" xfId="28690" xr:uid="{00000000-0005-0000-0000-000011700000}"/>
    <cellStyle name="Денежный 2 3 6 5 4 2" xfId="28691" xr:uid="{00000000-0005-0000-0000-000012700000}"/>
    <cellStyle name="Денежный 2 3 6 5 5" xfId="28692" xr:uid="{00000000-0005-0000-0000-000013700000}"/>
    <cellStyle name="Денежный 2 3 6 6" xfId="28693" xr:uid="{00000000-0005-0000-0000-000014700000}"/>
    <cellStyle name="Денежный 2 3 6 6 2" xfId="28694" xr:uid="{00000000-0005-0000-0000-000015700000}"/>
    <cellStyle name="Денежный 2 3 6 6 2 2" xfId="28695" xr:uid="{00000000-0005-0000-0000-000016700000}"/>
    <cellStyle name="Денежный 2 3 6 6 3" xfId="28696" xr:uid="{00000000-0005-0000-0000-000017700000}"/>
    <cellStyle name="Денежный 2 3 6 7" xfId="28697" xr:uid="{00000000-0005-0000-0000-000018700000}"/>
    <cellStyle name="Денежный 2 3 6 7 2" xfId="28698" xr:uid="{00000000-0005-0000-0000-000019700000}"/>
    <cellStyle name="Денежный 2 3 6 8" xfId="28699" xr:uid="{00000000-0005-0000-0000-00001A700000}"/>
    <cellStyle name="Денежный 2 3 6 8 2" xfId="28700" xr:uid="{00000000-0005-0000-0000-00001B700000}"/>
    <cellStyle name="Денежный 2 3 6 9" xfId="28701" xr:uid="{00000000-0005-0000-0000-00001C700000}"/>
    <cellStyle name="Денежный 2 3 7" xfId="28702" xr:uid="{00000000-0005-0000-0000-00001D700000}"/>
    <cellStyle name="Денежный 2 3 7 2" xfId="28703" xr:uid="{00000000-0005-0000-0000-00001E700000}"/>
    <cellStyle name="Денежный 2 3 7 2 2" xfId="28704" xr:uid="{00000000-0005-0000-0000-00001F700000}"/>
    <cellStyle name="Денежный 2 3 7 2 2 2" xfId="28705" xr:uid="{00000000-0005-0000-0000-000020700000}"/>
    <cellStyle name="Денежный 2 3 7 2 3" xfId="28706" xr:uid="{00000000-0005-0000-0000-000021700000}"/>
    <cellStyle name="Денежный 2 3 7 3" xfId="28707" xr:uid="{00000000-0005-0000-0000-000022700000}"/>
    <cellStyle name="Денежный 2 3 7 3 2" xfId="28708" xr:uid="{00000000-0005-0000-0000-000023700000}"/>
    <cellStyle name="Денежный 2 3 7 4" xfId="28709" xr:uid="{00000000-0005-0000-0000-000024700000}"/>
    <cellStyle name="Денежный 2 3 7 4 2" xfId="28710" xr:uid="{00000000-0005-0000-0000-000025700000}"/>
    <cellStyle name="Денежный 2 3 7 5" xfId="28711" xr:uid="{00000000-0005-0000-0000-000026700000}"/>
    <cellStyle name="Денежный 2 3 8" xfId="28712" xr:uid="{00000000-0005-0000-0000-000027700000}"/>
    <cellStyle name="Денежный 2 3 8 2" xfId="28713" xr:uid="{00000000-0005-0000-0000-000028700000}"/>
    <cellStyle name="Денежный 2 3 8 2 2" xfId="28714" xr:uid="{00000000-0005-0000-0000-000029700000}"/>
    <cellStyle name="Денежный 2 3 8 2 2 2" xfId="28715" xr:uid="{00000000-0005-0000-0000-00002A700000}"/>
    <cellStyle name="Денежный 2 3 8 2 3" xfId="28716" xr:uid="{00000000-0005-0000-0000-00002B700000}"/>
    <cellStyle name="Денежный 2 3 8 3" xfId="28717" xr:uid="{00000000-0005-0000-0000-00002C700000}"/>
    <cellStyle name="Денежный 2 3 8 3 2" xfId="28718" xr:uid="{00000000-0005-0000-0000-00002D700000}"/>
    <cellStyle name="Денежный 2 3 8 4" xfId="28719" xr:uid="{00000000-0005-0000-0000-00002E700000}"/>
    <cellStyle name="Денежный 2 3 8 4 2" xfId="28720" xr:uid="{00000000-0005-0000-0000-00002F700000}"/>
    <cellStyle name="Денежный 2 3 8 5" xfId="28721" xr:uid="{00000000-0005-0000-0000-000030700000}"/>
    <cellStyle name="Денежный 2 3 9" xfId="28722" xr:uid="{00000000-0005-0000-0000-000031700000}"/>
    <cellStyle name="Денежный 2 3 9 2" xfId="28723" xr:uid="{00000000-0005-0000-0000-000032700000}"/>
    <cellStyle name="Денежный 2 3 9 2 2" xfId="28724" xr:uid="{00000000-0005-0000-0000-000033700000}"/>
    <cellStyle name="Денежный 2 3 9 2 2 2" xfId="28725" xr:uid="{00000000-0005-0000-0000-000034700000}"/>
    <cellStyle name="Денежный 2 3 9 2 3" xfId="28726" xr:uid="{00000000-0005-0000-0000-000035700000}"/>
    <cellStyle name="Денежный 2 3 9 3" xfId="28727" xr:uid="{00000000-0005-0000-0000-000036700000}"/>
    <cellStyle name="Денежный 2 3 9 3 2" xfId="28728" xr:uid="{00000000-0005-0000-0000-000037700000}"/>
    <cellStyle name="Денежный 2 3 9 4" xfId="28729" xr:uid="{00000000-0005-0000-0000-000038700000}"/>
    <cellStyle name="Денежный 2 3 9 4 2" xfId="28730" xr:uid="{00000000-0005-0000-0000-000039700000}"/>
    <cellStyle name="Денежный 2 3 9 5" xfId="28731" xr:uid="{00000000-0005-0000-0000-00003A700000}"/>
    <cellStyle name="Денежный 2 4" xfId="28732" xr:uid="{00000000-0005-0000-0000-00003B700000}"/>
    <cellStyle name="Денежный 2 4 10" xfId="28733" xr:uid="{00000000-0005-0000-0000-00003C700000}"/>
    <cellStyle name="Денежный 2 4 2" xfId="28734" xr:uid="{00000000-0005-0000-0000-00003D700000}"/>
    <cellStyle name="Денежный 2 4 2 2" xfId="28735" xr:uid="{00000000-0005-0000-0000-00003E700000}"/>
    <cellStyle name="Денежный 2 4 2 2 2" xfId="28736" xr:uid="{00000000-0005-0000-0000-00003F700000}"/>
    <cellStyle name="Денежный 2 4 2 2 2 2" xfId="28737" xr:uid="{00000000-0005-0000-0000-000040700000}"/>
    <cellStyle name="Денежный 2 4 2 2 3" xfId="28738" xr:uid="{00000000-0005-0000-0000-000041700000}"/>
    <cellStyle name="Денежный 2 4 2 3" xfId="28739" xr:uid="{00000000-0005-0000-0000-000042700000}"/>
    <cellStyle name="Денежный 2 4 2 3 2" xfId="28740" xr:uid="{00000000-0005-0000-0000-000043700000}"/>
    <cellStyle name="Денежный 2 4 2 4" xfId="28741" xr:uid="{00000000-0005-0000-0000-000044700000}"/>
    <cellStyle name="Денежный 2 4 2 4 2" xfId="28742" xr:uid="{00000000-0005-0000-0000-000045700000}"/>
    <cellStyle name="Денежный 2 4 2 5" xfId="28743" xr:uid="{00000000-0005-0000-0000-000046700000}"/>
    <cellStyle name="Денежный 2 4 3" xfId="28744" xr:uid="{00000000-0005-0000-0000-000047700000}"/>
    <cellStyle name="Денежный 2 4 3 2" xfId="28745" xr:uid="{00000000-0005-0000-0000-000048700000}"/>
    <cellStyle name="Денежный 2 4 3 2 2" xfId="28746" xr:uid="{00000000-0005-0000-0000-000049700000}"/>
    <cellStyle name="Денежный 2 4 3 2 2 2" xfId="28747" xr:uid="{00000000-0005-0000-0000-00004A700000}"/>
    <cellStyle name="Денежный 2 4 3 2 3" xfId="28748" xr:uid="{00000000-0005-0000-0000-00004B700000}"/>
    <cellStyle name="Денежный 2 4 3 3" xfId="28749" xr:uid="{00000000-0005-0000-0000-00004C700000}"/>
    <cellStyle name="Денежный 2 4 3 3 2" xfId="28750" xr:uid="{00000000-0005-0000-0000-00004D700000}"/>
    <cellStyle name="Денежный 2 4 3 4" xfId="28751" xr:uid="{00000000-0005-0000-0000-00004E700000}"/>
    <cellStyle name="Денежный 2 4 3 4 2" xfId="28752" xr:uid="{00000000-0005-0000-0000-00004F700000}"/>
    <cellStyle name="Денежный 2 4 3 5" xfId="28753" xr:uid="{00000000-0005-0000-0000-000050700000}"/>
    <cellStyle name="Денежный 2 4 4" xfId="28754" xr:uid="{00000000-0005-0000-0000-000051700000}"/>
    <cellStyle name="Денежный 2 4 4 2" xfId="28755" xr:uid="{00000000-0005-0000-0000-000052700000}"/>
    <cellStyle name="Денежный 2 4 4 2 2" xfId="28756" xr:uid="{00000000-0005-0000-0000-000053700000}"/>
    <cellStyle name="Денежный 2 4 4 2 2 2" xfId="28757" xr:uid="{00000000-0005-0000-0000-000054700000}"/>
    <cellStyle name="Денежный 2 4 4 2 3" xfId="28758" xr:uid="{00000000-0005-0000-0000-000055700000}"/>
    <cellStyle name="Денежный 2 4 4 3" xfId="28759" xr:uid="{00000000-0005-0000-0000-000056700000}"/>
    <cellStyle name="Денежный 2 4 4 3 2" xfId="28760" xr:uid="{00000000-0005-0000-0000-000057700000}"/>
    <cellStyle name="Денежный 2 4 4 4" xfId="28761" xr:uid="{00000000-0005-0000-0000-000058700000}"/>
    <cellStyle name="Денежный 2 4 4 4 2" xfId="28762" xr:uid="{00000000-0005-0000-0000-000059700000}"/>
    <cellStyle name="Денежный 2 4 4 5" xfId="28763" xr:uid="{00000000-0005-0000-0000-00005A700000}"/>
    <cellStyle name="Денежный 2 4 5" xfId="28764" xr:uid="{00000000-0005-0000-0000-00005B700000}"/>
    <cellStyle name="Денежный 2 4 5 2" xfId="28765" xr:uid="{00000000-0005-0000-0000-00005C700000}"/>
    <cellStyle name="Денежный 2 4 5 2 2" xfId="28766" xr:uid="{00000000-0005-0000-0000-00005D700000}"/>
    <cellStyle name="Денежный 2 4 5 2 2 2" xfId="28767" xr:uid="{00000000-0005-0000-0000-00005E700000}"/>
    <cellStyle name="Денежный 2 4 5 2 3" xfId="28768" xr:uid="{00000000-0005-0000-0000-00005F700000}"/>
    <cellStyle name="Денежный 2 4 5 3" xfId="28769" xr:uid="{00000000-0005-0000-0000-000060700000}"/>
    <cellStyle name="Денежный 2 4 5 3 2" xfId="28770" xr:uid="{00000000-0005-0000-0000-000061700000}"/>
    <cellStyle name="Денежный 2 4 5 4" xfId="28771" xr:uid="{00000000-0005-0000-0000-000062700000}"/>
    <cellStyle name="Денежный 2 4 5 4 2" xfId="28772" xr:uid="{00000000-0005-0000-0000-000063700000}"/>
    <cellStyle name="Денежный 2 4 5 5" xfId="28773" xr:uid="{00000000-0005-0000-0000-000064700000}"/>
    <cellStyle name="Денежный 2 4 6" xfId="28774" xr:uid="{00000000-0005-0000-0000-000065700000}"/>
    <cellStyle name="Денежный 2 4 6 2" xfId="28775" xr:uid="{00000000-0005-0000-0000-000066700000}"/>
    <cellStyle name="Денежный 2 4 6 2 2" xfId="28776" xr:uid="{00000000-0005-0000-0000-000067700000}"/>
    <cellStyle name="Денежный 2 4 6 3" xfId="28777" xr:uid="{00000000-0005-0000-0000-000068700000}"/>
    <cellStyle name="Денежный 2 4 7" xfId="28778" xr:uid="{00000000-0005-0000-0000-000069700000}"/>
    <cellStyle name="Денежный 2 4 7 2" xfId="28779" xr:uid="{00000000-0005-0000-0000-00006A700000}"/>
    <cellStyle name="Денежный 2 4 8" xfId="28780" xr:uid="{00000000-0005-0000-0000-00006B700000}"/>
    <cellStyle name="Денежный 2 4 8 2" xfId="28781" xr:uid="{00000000-0005-0000-0000-00006C700000}"/>
    <cellStyle name="Денежный 2 4 9" xfId="28782" xr:uid="{00000000-0005-0000-0000-00006D700000}"/>
    <cellStyle name="Денежный 2 5" xfId="28783" xr:uid="{00000000-0005-0000-0000-00006E700000}"/>
    <cellStyle name="Денежный 2 5 10" xfId="28784" xr:uid="{00000000-0005-0000-0000-00006F700000}"/>
    <cellStyle name="Денежный 2 5 2" xfId="28785" xr:uid="{00000000-0005-0000-0000-000070700000}"/>
    <cellStyle name="Денежный 2 5 2 2" xfId="28786" xr:uid="{00000000-0005-0000-0000-000071700000}"/>
    <cellStyle name="Денежный 2 5 2 2 2" xfId="28787" xr:uid="{00000000-0005-0000-0000-000072700000}"/>
    <cellStyle name="Денежный 2 5 2 2 2 2" xfId="28788" xr:uid="{00000000-0005-0000-0000-000073700000}"/>
    <cellStyle name="Денежный 2 5 2 2 3" xfId="28789" xr:uid="{00000000-0005-0000-0000-000074700000}"/>
    <cellStyle name="Денежный 2 5 2 3" xfId="28790" xr:uid="{00000000-0005-0000-0000-000075700000}"/>
    <cellStyle name="Денежный 2 5 2 3 2" xfId="28791" xr:uid="{00000000-0005-0000-0000-000076700000}"/>
    <cellStyle name="Денежный 2 5 2 4" xfId="28792" xr:uid="{00000000-0005-0000-0000-000077700000}"/>
    <cellStyle name="Денежный 2 5 2 4 2" xfId="28793" xr:uid="{00000000-0005-0000-0000-000078700000}"/>
    <cellStyle name="Денежный 2 5 2 5" xfId="28794" xr:uid="{00000000-0005-0000-0000-000079700000}"/>
    <cellStyle name="Денежный 2 5 3" xfId="28795" xr:uid="{00000000-0005-0000-0000-00007A700000}"/>
    <cellStyle name="Денежный 2 5 3 2" xfId="28796" xr:uid="{00000000-0005-0000-0000-00007B700000}"/>
    <cellStyle name="Денежный 2 5 3 2 2" xfId="28797" xr:uid="{00000000-0005-0000-0000-00007C700000}"/>
    <cellStyle name="Денежный 2 5 3 2 2 2" xfId="28798" xr:uid="{00000000-0005-0000-0000-00007D700000}"/>
    <cellStyle name="Денежный 2 5 3 2 3" xfId="28799" xr:uid="{00000000-0005-0000-0000-00007E700000}"/>
    <cellStyle name="Денежный 2 5 3 3" xfId="28800" xr:uid="{00000000-0005-0000-0000-00007F700000}"/>
    <cellStyle name="Денежный 2 5 3 3 2" xfId="28801" xr:uid="{00000000-0005-0000-0000-000080700000}"/>
    <cellStyle name="Денежный 2 5 3 4" xfId="28802" xr:uid="{00000000-0005-0000-0000-000081700000}"/>
    <cellStyle name="Денежный 2 5 3 4 2" xfId="28803" xr:uid="{00000000-0005-0000-0000-000082700000}"/>
    <cellStyle name="Денежный 2 5 3 5" xfId="28804" xr:uid="{00000000-0005-0000-0000-000083700000}"/>
    <cellStyle name="Денежный 2 5 4" xfId="28805" xr:uid="{00000000-0005-0000-0000-000084700000}"/>
    <cellStyle name="Денежный 2 5 4 2" xfId="28806" xr:uid="{00000000-0005-0000-0000-000085700000}"/>
    <cellStyle name="Денежный 2 5 4 2 2" xfId="28807" xr:uid="{00000000-0005-0000-0000-000086700000}"/>
    <cellStyle name="Денежный 2 5 4 2 2 2" xfId="28808" xr:uid="{00000000-0005-0000-0000-000087700000}"/>
    <cellStyle name="Денежный 2 5 4 2 3" xfId="28809" xr:uid="{00000000-0005-0000-0000-000088700000}"/>
    <cellStyle name="Денежный 2 5 4 3" xfId="28810" xr:uid="{00000000-0005-0000-0000-000089700000}"/>
    <cellStyle name="Денежный 2 5 4 3 2" xfId="28811" xr:uid="{00000000-0005-0000-0000-00008A700000}"/>
    <cellStyle name="Денежный 2 5 4 4" xfId="28812" xr:uid="{00000000-0005-0000-0000-00008B700000}"/>
    <cellStyle name="Денежный 2 5 4 4 2" xfId="28813" xr:uid="{00000000-0005-0000-0000-00008C700000}"/>
    <cellStyle name="Денежный 2 5 4 5" xfId="28814" xr:uid="{00000000-0005-0000-0000-00008D700000}"/>
    <cellStyle name="Денежный 2 5 5" xfId="28815" xr:uid="{00000000-0005-0000-0000-00008E700000}"/>
    <cellStyle name="Денежный 2 5 5 2" xfId="28816" xr:uid="{00000000-0005-0000-0000-00008F700000}"/>
    <cellStyle name="Денежный 2 5 5 2 2" xfId="28817" xr:uid="{00000000-0005-0000-0000-000090700000}"/>
    <cellStyle name="Денежный 2 5 5 2 2 2" xfId="28818" xr:uid="{00000000-0005-0000-0000-000091700000}"/>
    <cellStyle name="Денежный 2 5 5 2 3" xfId="28819" xr:uid="{00000000-0005-0000-0000-000092700000}"/>
    <cellStyle name="Денежный 2 5 5 3" xfId="28820" xr:uid="{00000000-0005-0000-0000-000093700000}"/>
    <cellStyle name="Денежный 2 5 5 3 2" xfId="28821" xr:uid="{00000000-0005-0000-0000-000094700000}"/>
    <cellStyle name="Денежный 2 5 5 4" xfId="28822" xr:uid="{00000000-0005-0000-0000-000095700000}"/>
    <cellStyle name="Денежный 2 5 5 4 2" xfId="28823" xr:uid="{00000000-0005-0000-0000-000096700000}"/>
    <cellStyle name="Денежный 2 5 5 5" xfId="28824" xr:uid="{00000000-0005-0000-0000-000097700000}"/>
    <cellStyle name="Денежный 2 5 6" xfId="28825" xr:uid="{00000000-0005-0000-0000-000098700000}"/>
    <cellStyle name="Денежный 2 5 6 2" xfId="28826" xr:uid="{00000000-0005-0000-0000-000099700000}"/>
    <cellStyle name="Денежный 2 5 6 2 2" xfId="28827" xr:uid="{00000000-0005-0000-0000-00009A700000}"/>
    <cellStyle name="Денежный 2 5 6 3" xfId="28828" xr:uid="{00000000-0005-0000-0000-00009B700000}"/>
    <cellStyle name="Денежный 2 5 7" xfId="28829" xr:uid="{00000000-0005-0000-0000-00009C700000}"/>
    <cellStyle name="Денежный 2 5 7 2" xfId="28830" xr:uid="{00000000-0005-0000-0000-00009D700000}"/>
    <cellStyle name="Денежный 2 5 8" xfId="28831" xr:uid="{00000000-0005-0000-0000-00009E700000}"/>
    <cellStyle name="Денежный 2 5 8 2" xfId="28832" xr:uid="{00000000-0005-0000-0000-00009F700000}"/>
    <cellStyle name="Денежный 2 5 9" xfId="28833" xr:uid="{00000000-0005-0000-0000-0000A0700000}"/>
    <cellStyle name="Денежный 2 6" xfId="28834" xr:uid="{00000000-0005-0000-0000-0000A1700000}"/>
    <cellStyle name="Денежный 2 6 10" xfId="28835" xr:uid="{00000000-0005-0000-0000-0000A2700000}"/>
    <cellStyle name="Денежный 2 6 2" xfId="28836" xr:uid="{00000000-0005-0000-0000-0000A3700000}"/>
    <cellStyle name="Денежный 2 6 2 2" xfId="28837" xr:uid="{00000000-0005-0000-0000-0000A4700000}"/>
    <cellStyle name="Денежный 2 6 2 2 2" xfId="28838" xr:uid="{00000000-0005-0000-0000-0000A5700000}"/>
    <cellStyle name="Денежный 2 6 2 2 2 2" xfId="28839" xr:uid="{00000000-0005-0000-0000-0000A6700000}"/>
    <cellStyle name="Денежный 2 6 2 2 3" xfId="28840" xr:uid="{00000000-0005-0000-0000-0000A7700000}"/>
    <cellStyle name="Денежный 2 6 2 3" xfId="28841" xr:uid="{00000000-0005-0000-0000-0000A8700000}"/>
    <cellStyle name="Денежный 2 6 2 3 2" xfId="28842" xr:uid="{00000000-0005-0000-0000-0000A9700000}"/>
    <cellStyle name="Денежный 2 6 2 4" xfId="28843" xr:uid="{00000000-0005-0000-0000-0000AA700000}"/>
    <cellStyle name="Денежный 2 6 2 4 2" xfId="28844" xr:uid="{00000000-0005-0000-0000-0000AB700000}"/>
    <cellStyle name="Денежный 2 6 2 5" xfId="28845" xr:uid="{00000000-0005-0000-0000-0000AC700000}"/>
    <cellStyle name="Денежный 2 6 3" xfId="28846" xr:uid="{00000000-0005-0000-0000-0000AD700000}"/>
    <cellStyle name="Денежный 2 6 3 2" xfId="28847" xr:uid="{00000000-0005-0000-0000-0000AE700000}"/>
    <cellStyle name="Денежный 2 6 3 2 2" xfId="28848" xr:uid="{00000000-0005-0000-0000-0000AF700000}"/>
    <cellStyle name="Денежный 2 6 3 2 2 2" xfId="28849" xr:uid="{00000000-0005-0000-0000-0000B0700000}"/>
    <cellStyle name="Денежный 2 6 3 2 3" xfId="28850" xr:uid="{00000000-0005-0000-0000-0000B1700000}"/>
    <cellStyle name="Денежный 2 6 3 3" xfId="28851" xr:uid="{00000000-0005-0000-0000-0000B2700000}"/>
    <cellStyle name="Денежный 2 6 3 3 2" xfId="28852" xr:uid="{00000000-0005-0000-0000-0000B3700000}"/>
    <cellStyle name="Денежный 2 6 3 4" xfId="28853" xr:uid="{00000000-0005-0000-0000-0000B4700000}"/>
    <cellStyle name="Денежный 2 6 3 4 2" xfId="28854" xr:uid="{00000000-0005-0000-0000-0000B5700000}"/>
    <cellStyle name="Денежный 2 6 3 5" xfId="28855" xr:uid="{00000000-0005-0000-0000-0000B6700000}"/>
    <cellStyle name="Денежный 2 6 4" xfId="28856" xr:uid="{00000000-0005-0000-0000-0000B7700000}"/>
    <cellStyle name="Денежный 2 6 4 2" xfId="28857" xr:uid="{00000000-0005-0000-0000-0000B8700000}"/>
    <cellStyle name="Денежный 2 6 4 2 2" xfId="28858" xr:uid="{00000000-0005-0000-0000-0000B9700000}"/>
    <cellStyle name="Денежный 2 6 4 2 2 2" xfId="28859" xr:uid="{00000000-0005-0000-0000-0000BA700000}"/>
    <cellStyle name="Денежный 2 6 4 2 3" xfId="28860" xr:uid="{00000000-0005-0000-0000-0000BB700000}"/>
    <cellStyle name="Денежный 2 6 4 3" xfId="28861" xr:uid="{00000000-0005-0000-0000-0000BC700000}"/>
    <cellStyle name="Денежный 2 6 4 3 2" xfId="28862" xr:uid="{00000000-0005-0000-0000-0000BD700000}"/>
    <cellStyle name="Денежный 2 6 4 4" xfId="28863" xr:uid="{00000000-0005-0000-0000-0000BE700000}"/>
    <cellStyle name="Денежный 2 6 4 4 2" xfId="28864" xr:uid="{00000000-0005-0000-0000-0000BF700000}"/>
    <cellStyle name="Денежный 2 6 4 5" xfId="28865" xr:uid="{00000000-0005-0000-0000-0000C0700000}"/>
    <cellStyle name="Денежный 2 6 5" xfId="28866" xr:uid="{00000000-0005-0000-0000-0000C1700000}"/>
    <cellStyle name="Денежный 2 6 5 2" xfId="28867" xr:uid="{00000000-0005-0000-0000-0000C2700000}"/>
    <cellStyle name="Денежный 2 6 5 2 2" xfId="28868" xr:uid="{00000000-0005-0000-0000-0000C3700000}"/>
    <cellStyle name="Денежный 2 6 5 2 2 2" xfId="28869" xr:uid="{00000000-0005-0000-0000-0000C4700000}"/>
    <cellStyle name="Денежный 2 6 5 2 3" xfId="28870" xr:uid="{00000000-0005-0000-0000-0000C5700000}"/>
    <cellStyle name="Денежный 2 6 5 3" xfId="28871" xr:uid="{00000000-0005-0000-0000-0000C6700000}"/>
    <cellStyle name="Денежный 2 6 5 3 2" xfId="28872" xr:uid="{00000000-0005-0000-0000-0000C7700000}"/>
    <cellStyle name="Денежный 2 6 5 4" xfId="28873" xr:uid="{00000000-0005-0000-0000-0000C8700000}"/>
    <cellStyle name="Денежный 2 6 5 4 2" xfId="28874" xr:uid="{00000000-0005-0000-0000-0000C9700000}"/>
    <cellStyle name="Денежный 2 6 5 5" xfId="28875" xr:uid="{00000000-0005-0000-0000-0000CA700000}"/>
    <cellStyle name="Денежный 2 6 6" xfId="28876" xr:uid="{00000000-0005-0000-0000-0000CB700000}"/>
    <cellStyle name="Денежный 2 6 6 2" xfId="28877" xr:uid="{00000000-0005-0000-0000-0000CC700000}"/>
    <cellStyle name="Денежный 2 6 6 2 2" xfId="28878" xr:uid="{00000000-0005-0000-0000-0000CD700000}"/>
    <cellStyle name="Денежный 2 6 6 3" xfId="28879" xr:uid="{00000000-0005-0000-0000-0000CE700000}"/>
    <cellStyle name="Денежный 2 6 7" xfId="28880" xr:uid="{00000000-0005-0000-0000-0000CF700000}"/>
    <cellStyle name="Денежный 2 6 7 2" xfId="28881" xr:uid="{00000000-0005-0000-0000-0000D0700000}"/>
    <cellStyle name="Денежный 2 6 8" xfId="28882" xr:uid="{00000000-0005-0000-0000-0000D1700000}"/>
    <cellStyle name="Денежный 2 6 8 2" xfId="28883" xr:uid="{00000000-0005-0000-0000-0000D2700000}"/>
    <cellStyle name="Денежный 2 6 9" xfId="28884" xr:uid="{00000000-0005-0000-0000-0000D3700000}"/>
    <cellStyle name="Денежный 2 7" xfId="28885" xr:uid="{00000000-0005-0000-0000-0000D4700000}"/>
    <cellStyle name="Денежный 2 7 10" xfId="28886" xr:uid="{00000000-0005-0000-0000-0000D5700000}"/>
    <cellStyle name="Денежный 2 7 2" xfId="28887" xr:uid="{00000000-0005-0000-0000-0000D6700000}"/>
    <cellStyle name="Денежный 2 7 2 2" xfId="28888" xr:uid="{00000000-0005-0000-0000-0000D7700000}"/>
    <cellStyle name="Денежный 2 7 2 2 2" xfId="28889" xr:uid="{00000000-0005-0000-0000-0000D8700000}"/>
    <cellStyle name="Денежный 2 7 2 2 2 2" xfId="28890" xr:uid="{00000000-0005-0000-0000-0000D9700000}"/>
    <cellStyle name="Денежный 2 7 2 2 3" xfId="28891" xr:uid="{00000000-0005-0000-0000-0000DA700000}"/>
    <cellStyle name="Денежный 2 7 2 3" xfId="28892" xr:uid="{00000000-0005-0000-0000-0000DB700000}"/>
    <cellStyle name="Денежный 2 7 2 3 2" xfId="28893" xr:uid="{00000000-0005-0000-0000-0000DC700000}"/>
    <cellStyle name="Денежный 2 7 2 4" xfId="28894" xr:uid="{00000000-0005-0000-0000-0000DD700000}"/>
    <cellStyle name="Денежный 2 7 2 4 2" xfId="28895" xr:uid="{00000000-0005-0000-0000-0000DE700000}"/>
    <cellStyle name="Денежный 2 7 2 5" xfId="28896" xr:uid="{00000000-0005-0000-0000-0000DF700000}"/>
    <cellStyle name="Денежный 2 7 3" xfId="28897" xr:uid="{00000000-0005-0000-0000-0000E0700000}"/>
    <cellStyle name="Денежный 2 7 3 2" xfId="28898" xr:uid="{00000000-0005-0000-0000-0000E1700000}"/>
    <cellStyle name="Денежный 2 7 3 2 2" xfId="28899" xr:uid="{00000000-0005-0000-0000-0000E2700000}"/>
    <cellStyle name="Денежный 2 7 3 2 2 2" xfId="28900" xr:uid="{00000000-0005-0000-0000-0000E3700000}"/>
    <cellStyle name="Денежный 2 7 3 2 3" xfId="28901" xr:uid="{00000000-0005-0000-0000-0000E4700000}"/>
    <cellStyle name="Денежный 2 7 3 3" xfId="28902" xr:uid="{00000000-0005-0000-0000-0000E5700000}"/>
    <cellStyle name="Денежный 2 7 3 3 2" xfId="28903" xr:uid="{00000000-0005-0000-0000-0000E6700000}"/>
    <cellStyle name="Денежный 2 7 3 4" xfId="28904" xr:uid="{00000000-0005-0000-0000-0000E7700000}"/>
    <cellStyle name="Денежный 2 7 3 4 2" xfId="28905" xr:uid="{00000000-0005-0000-0000-0000E8700000}"/>
    <cellStyle name="Денежный 2 7 3 5" xfId="28906" xr:uid="{00000000-0005-0000-0000-0000E9700000}"/>
    <cellStyle name="Денежный 2 7 4" xfId="28907" xr:uid="{00000000-0005-0000-0000-0000EA700000}"/>
    <cellStyle name="Денежный 2 7 4 2" xfId="28908" xr:uid="{00000000-0005-0000-0000-0000EB700000}"/>
    <cellStyle name="Денежный 2 7 4 2 2" xfId="28909" xr:uid="{00000000-0005-0000-0000-0000EC700000}"/>
    <cellStyle name="Денежный 2 7 4 2 2 2" xfId="28910" xr:uid="{00000000-0005-0000-0000-0000ED700000}"/>
    <cellStyle name="Денежный 2 7 4 2 3" xfId="28911" xr:uid="{00000000-0005-0000-0000-0000EE700000}"/>
    <cellStyle name="Денежный 2 7 4 3" xfId="28912" xr:uid="{00000000-0005-0000-0000-0000EF700000}"/>
    <cellStyle name="Денежный 2 7 4 3 2" xfId="28913" xr:uid="{00000000-0005-0000-0000-0000F0700000}"/>
    <cellStyle name="Денежный 2 7 4 4" xfId="28914" xr:uid="{00000000-0005-0000-0000-0000F1700000}"/>
    <cellStyle name="Денежный 2 7 4 4 2" xfId="28915" xr:uid="{00000000-0005-0000-0000-0000F2700000}"/>
    <cellStyle name="Денежный 2 7 4 5" xfId="28916" xr:uid="{00000000-0005-0000-0000-0000F3700000}"/>
    <cellStyle name="Денежный 2 7 5" xfId="28917" xr:uid="{00000000-0005-0000-0000-0000F4700000}"/>
    <cellStyle name="Денежный 2 7 5 2" xfId="28918" xr:uid="{00000000-0005-0000-0000-0000F5700000}"/>
    <cellStyle name="Денежный 2 7 5 2 2" xfId="28919" xr:uid="{00000000-0005-0000-0000-0000F6700000}"/>
    <cellStyle name="Денежный 2 7 5 2 2 2" xfId="28920" xr:uid="{00000000-0005-0000-0000-0000F7700000}"/>
    <cellStyle name="Денежный 2 7 5 2 3" xfId="28921" xr:uid="{00000000-0005-0000-0000-0000F8700000}"/>
    <cellStyle name="Денежный 2 7 5 3" xfId="28922" xr:uid="{00000000-0005-0000-0000-0000F9700000}"/>
    <cellStyle name="Денежный 2 7 5 3 2" xfId="28923" xr:uid="{00000000-0005-0000-0000-0000FA700000}"/>
    <cellStyle name="Денежный 2 7 5 4" xfId="28924" xr:uid="{00000000-0005-0000-0000-0000FB700000}"/>
    <cellStyle name="Денежный 2 7 5 4 2" xfId="28925" xr:uid="{00000000-0005-0000-0000-0000FC700000}"/>
    <cellStyle name="Денежный 2 7 5 5" xfId="28926" xr:uid="{00000000-0005-0000-0000-0000FD700000}"/>
    <cellStyle name="Денежный 2 7 6" xfId="28927" xr:uid="{00000000-0005-0000-0000-0000FE700000}"/>
    <cellStyle name="Денежный 2 7 6 2" xfId="28928" xr:uid="{00000000-0005-0000-0000-0000FF700000}"/>
    <cellStyle name="Денежный 2 7 6 2 2" xfId="28929" xr:uid="{00000000-0005-0000-0000-000000710000}"/>
    <cellStyle name="Денежный 2 7 6 3" xfId="28930" xr:uid="{00000000-0005-0000-0000-000001710000}"/>
    <cellStyle name="Денежный 2 7 7" xfId="28931" xr:uid="{00000000-0005-0000-0000-000002710000}"/>
    <cellStyle name="Денежный 2 7 7 2" xfId="28932" xr:uid="{00000000-0005-0000-0000-000003710000}"/>
    <cellStyle name="Денежный 2 7 8" xfId="28933" xr:uid="{00000000-0005-0000-0000-000004710000}"/>
    <cellStyle name="Денежный 2 7 8 2" xfId="28934" xr:uid="{00000000-0005-0000-0000-000005710000}"/>
    <cellStyle name="Денежный 2 7 9" xfId="28935" xr:uid="{00000000-0005-0000-0000-000006710000}"/>
    <cellStyle name="Денежный 2 8" xfId="28936" xr:uid="{00000000-0005-0000-0000-000007710000}"/>
    <cellStyle name="Денежный 2 8 10" xfId="28937" xr:uid="{00000000-0005-0000-0000-000008710000}"/>
    <cellStyle name="Денежный 2 8 2" xfId="28938" xr:uid="{00000000-0005-0000-0000-000009710000}"/>
    <cellStyle name="Денежный 2 8 2 2" xfId="28939" xr:uid="{00000000-0005-0000-0000-00000A710000}"/>
    <cellStyle name="Денежный 2 8 2 2 2" xfId="28940" xr:uid="{00000000-0005-0000-0000-00000B710000}"/>
    <cellStyle name="Денежный 2 8 2 2 2 2" xfId="28941" xr:uid="{00000000-0005-0000-0000-00000C710000}"/>
    <cellStyle name="Денежный 2 8 2 2 3" xfId="28942" xr:uid="{00000000-0005-0000-0000-00000D710000}"/>
    <cellStyle name="Денежный 2 8 2 3" xfId="28943" xr:uid="{00000000-0005-0000-0000-00000E710000}"/>
    <cellStyle name="Денежный 2 8 2 3 2" xfId="28944" xr:uid="{00000000-0005-0000-0000-00000F710000}"/>
    <cellStyle name="Денежный 2 8 2 4" xfId="28945" xr:uid="{00000000-0005-0000-0000-000010710000}"/>
    <cellStyle name="Денежный 2 8 2 4 2" xfId="28946" xr:uid="{00000000-0005-0000-0000-000011710000}"/>
    <cellStyle name="Денежный 2 8 2 5" xfId="28947" xr:uid="{00000000-0005-0000-0000-000012710000}"/>
    <cellStyle name="Денежный 2 8 3" xfId="28948" xr:uid="{00000000-0005-0000-0000-000013710000}"/>
    <cellStyle name="Денежный 2 8 3 2" xfId="28949" xr:uid="{00000000-0005-0000-0000-000014710000}"/>
    <cellStyle name="Денежный 2 8 3 2 2" xfId="28950" xr:uid="{00000000-0005-0000-0000-000015710000}"/>
    <cellStyle name="Денежный 2 8 3 2 2 2" xfId="28951" xr:uid="{00000000-0005-0000-0000-000016710000}"/>
    <cellStyle name="Денежный 2 8 3 2 3" xfId="28952" xr:uid="{00000000-0005-0000-0000-000017710000}"/>
    <cellStyle name="Денежный 2 8 3 3" xfId="28953" xr:uid="{00000000-0005-0000-0000-000018710000}"/>
    <cellStyle name="Денежный 2 8 3 3 2" xfId="28954" xr:uid="{00000000-0005-0000-0000-000019710000}"/>
    <cellStyle name="Денежный 2 8 3 4" xfId="28955" xr:uid="{00000000-0005-0000-0000-00001A710000}"/>
    <cellStyle name="Денежный 2 8 3 4 2" xfId="28956" xr:uid="{00000000-0005-0000-0000-00001B710000}"/>
    <cellStyle name="Денежный 2 8 3 5" xfId="28957" xr:uid="{00000000-0005-0000-0000-00001C710000}"/>
    <cellStyle name="Денежный 2 8 4" xfId="28958" xr:uid="{00000000-0005-0000-0000-00001D710000}"/>
    <cellStyle name="Денежный 2 8 4 2" xfId="28959" xr:uid="{00000000-0005-0000-0000-00001E710000}"/>
    <cellStyle name="Денежный 2 8 4 2 2" xfId="28960" xr:uid="{00000000-0005-0000-0000-00001F710000}"/>
    <cellStyle name="Денежный 2 8 4 2 2 2" xfId="28961" xr:uid="{00000000-0005-0000-0000-000020710000}"/>
    <cellStyle name="Денежный 2 8 4 2 3" xfId="28962" xr:uid="{00000000-0005-0000-0000-000021710000}"/>
    <cellStyle name="Денежный 2 8 4 3" xfId="28963" xr:uid="{00000000-0005-0000-0000-000022710000}"/>
    <cellStyle name="Денежный 2 8 4 3 2" xfId="28964" xr:uid="{00000000-0005-0000-0000-000023710000}"/>
    <cellStyle name="Денежный 2 8 4 4" xfId="28965" xr:uid="{00000000-0005-0000-0000-000024710000}"/>
    <cellStyle name="Денежный 2 8 4 4 2" xfId="28966" xr:uid="{00000000-0005-0000-0000-000025710000}"/>
    <cellStyle name="Денежный 2 8 4 5" xfId="28967" xr:uid="{00000000-0005-0000-0000-000026710000}"/>
    <cellStyle name="Денежный 2 8 5" xfId="28968" xr:uid="{00000000-0005-0000-0000-000027710000}"/>
    <cellStyle name="Денежный 2 8 5 2" xfId="28969" xr:uid="{00000000-0005-0000-0000-000028710000}"/>
    <cellStyle name="Денежный 2 8 5 2 2" xfId="28970" xr:uid="{00000000-0005-0000-0000-000029710000}"/>
    <cellStyle name="Денежный 2 8 5 2 2 2" xfId="28971" xr:uid="{00000000-0005-0000-0000-00002A710000}"/>
    <cellStyle name="Денежный 2 8 5 2 3" xfId="28972" xr:uid="{00000000-0005-0000-0000-00002B710000}"/>
    <cellStyle name="Денежный 2 8 5 3" xfId="28973" xr:uid="{00000000-0005-0000-0000-00002C710000}"/>
    <cellStyle name="Денежный 2 8 5 3 2" xfId="28974" xr:uid="{00000000-0005-0000-0000-00002D710000}"/>
    <cellStyle name="Денежный 2 8 5 4" xfId="28975" xr:uid="{00000000-0005-0000-0000-00002E710000}"/>
    <cellStyle name="Денежный 2 8 5 4 2" xfId="28976" xr:uid="{00000000-0005-0000-0000-00002F710000}"/>
    <cellStyle name="Денежный 2 8 5 5" xfId="28977" xr:uid="{00000000-0005-0000-0000-000030710000}"/>
    <cellStyle name="Денежный 2 8 6" xfId="28978" xr:uid="{00000000-0005-0000-0000-000031710000}"/>
    <cellStyle name="Денежный 2 8 6 2" xfId="28979" xr:uid="{00000000-0005-0000-0000-000032710000}"/>
    <cellStyle name="Денежный 2 8 6 2 2" xfId="28980" xr:uid="{00000000-0005-0000-0000-000033710000}"/>
    <cellStyle name="Денежный 2 8 6 3" xfId="28981" xr:uid="{00000000-0005-0000-0000-000034710000}"/>
    <cellStyle name="Денежный 2 8 7" xfId="28982" xr:uid="{00000000-0005-0000-0000-000035710000}"/>
    <cellStyle name="Денежный 2 8 7 2" xfId="28983" xr:uid="{00000000-0005-0000-0000-000036710000}"/>
    <cellStyle name="Денежный 2 8 8" xfId="28984" xr:uid="{00000000-0005-0000-0000-000037710000}"/>
    <cellStyle name="Денежный 2 8 8 2" xfId="28985" xr:uid="{00000000-0005-0000-0000-000038710000}"/>
    <cellStyle name="Денежный 2 8 9" xfId="28986" xr:uid="{00000000-0005-0000-0000-000039710000}"/>
    <cellStyle name="Денежный 2 9" xfId="28987" xr:uid="{00000000-0005-0000-0000-00003A710000}"/>
    <cellStyle name="Денежный 2 9 2" xfId="28988" xr:uid="{00000000-0005-0000-0000-00003B710000}"/>
    <cellStyle name="Денежный 2 9 2 2" xfId="28989" xr:uid="{00000000-0005-0000-0000-00003C710000}"/>
    <cellStyle name="Денежный 2 9 2 2 2" xfId="28990" xr:uid="{00000000-0005-0000-0000-00003D710000}"/>
    <cellStyle name="Денежный 2 9 2 2 2 2" xfId="28991" xr:uid="{00000000-0005-0000-0000-00003E710000}"/>
    <cellStyle name="Денежный 2 9 2 2 3" xfId="28992" xr:uid="{00000000-0005-0000-0000-00003F710000}"/>
    <cellStyle name="Денежный 2 9 2 3" xfId="28993" xr:uid="{00000000-0005-0000-0000-000040710000}"/>
    <cellStyle name="Денежный 2 9 2 3 2" xfId="28994" xr:uid="{00000000-0005-0000-0000-000041710000}"/>
    <cellStyle name="Денежный 2 9 2 4" xfId="28995" xr:uid="{00000000-0005-0000-0000-000042710000}"/>
    <cellStyle name="Денежный 2 9 2 4 2" xfId="28996" xr:uid="{00000000-0005-0000-0000-000043710000}"/>
    <cellStyle name="Денежный 2 9 2 5" xfId="28997" xr:uid="{00000000-0005-0000-0000-000044710000}"/>
    <cellStyle name="Денежный 2 9 3" xfId="28998" xr:uid="{00000000-0005-0000-0000-000045710000}"/>
    <cellStyle name="Денежный 2 9 3 2" xfId="28999" xr:uid="{00000000-0005-0000-0000-000046710000}"/>
    <cellStyle name="Денежный 2 9 3 2 2" xfId="29000" xr:uid="{00000000-0005-0000-0000-000047710000}"/>
    <cellStyle name="Денежный 2 9 3 2 2 2" xfId="29001" xr:uid="{00000000-0005-0000-0000-000048710000}"/>
    <cellStyle name="Денежный 2 9 3 2 3" xfId="29002" xr:uid="{00000000-0005-0000-0000-000049710000}"/>
    <cellStyle name="Денежный 2 9 3 3" xfId="29003" xr:uid="{00000000-0005-0000-0000-00004A710000}"/>
    <cellStyle name="Денежный 2 9 3 3 2" xfId="29004" xr:uid="{00000000-0005-0000-0000-00004B710000}"/>
    <cellStyle name="Денежный 2 9 3 4" xfId="29005" xr:uid="{00000000-0005-0000-0000-00004C710000}"/>
    <cellStyle name="Денежный 2 9 3 4 2" xfId="29006" xr:uid="{00000000-0005-0000-0000-00004D710000}"/>
    <cellStyle name="Денежный 2 9 3 5" xfId="29007" xr:uid="{00000000-0005-0000-0000-00004E710000}"/>
    <cellStyle name="Денежный 2 9 4" xfId="29008" xr:uid="{00000000-0005-0000-0000-00004F710000}"/>
    <cellStyle name="Денежный 2 9 4 2" xfId="29009" xr:uid="{00000000-0005-0000-0000-000050710000}"/>
    <cellStyle name="Денежный 2 9 4 2 2" xfId="29010" xr:uid="{00000000-0005-0000-0000-000051710000}"/>
    <cellStyle name="Денежный 2 9 4 3" xfId="29011" xr:uid="{00000000-0005-0000-0000-000052710000}"/>
    <cellStyle name="Денежный 2 9 5" xfId="29012" xr:uid="{00000000-0005-0000-0000-000053710000}"/>
    <cellStyle name="Денежный 2 9 5 2" xfId="29013" xr:uid="{00000000-0005-0000-0000-000054710000}"/>
    <cellStyle name="Денежный 2 9 6" xfId="29014" xr:uid="{00000000-0005-0000-0000-000055710000}"/>
    <cellStyle name="Денежный 2 9 6 2" xfId="29015" xr:uid="{00000000-0005-0000-0000-000056710000}"/>
    <cellStyle name="Денежный 2 9 7" xfId="29016" xr:uid="{00000000-0005-0000-0000-000057710000}"/>
    <cellStyle name="Денежный 3" xfId="29017" xr:uid="{00000000-0005-0000-0000-000058710000}"/>
    <cellStyle name="Денежный 3 10" xfId="29018" xr:uid="{00000000-0005-0000-0000-000059710000}"/>
    <cellStyle name="Денежный 3 10 2" xfId="29019" xr:uid="{00000000-0005-0000-0000-00005A710000}"/>
    <cellStyle name="Денежный 3 10 2 2" xfId="29020" xr:uid="{00000000-0005-0000-0000-00005B710000}"/>
    <cellStyle name="Денежный 3 10 2 2 2" xfId="29021" xr:uid="{00000000-0005-0000-0000-00005C710000}"/>
    <cellStyle name="Денежный 3 10 2 3" xfId="29022" xr:uid="{00000000-0005-0000-0000-00005D710000}"/>
    <cellStyle name="Денежный 3 10 3" xfId="29023" xr:uid="{00000000-0005-0000-0000-00005E710000}"/>
    <cellStyle name="Денежный 3 10 3 2" xfId="29024" xr:uid="{00000000-0005-0000-0000-00005F710000}"/>
    <cellStyle name="Денежный 3 10 4" xfId="29025" xr:uid="{00000000-0005-0000-0000-000060710000}"/>
    <cellStyle name="Денежный 3 10 4 2" xfId="29026" xr:uid="{00000000-0005-0000-0000-000061710000}"/>
    <cellStyle name="Денежный 3 10 5" xfId="29027" xr:uid="{00000000-0005-0000-0000-000062710000}"/>
    <cellStyle name="Денежный 3 11" xfId="29028" xr:uid="{00000000-0005-0000-0000-000063710000}"/>
    <cellStyle name="Денежный 3 11 2" xfId="29029" xr:uid="{00000000-0005-0000-0000-000064710000}"/>
    <cellStyle name="Денежный 3 11 2 2" xfId="29030" xr:uid="{00000000-0005-0000-0000-000065710000}"/>
    <cellStyle name="Денежный 3 11 2 2 2" xfId="29031" xr:uid="{00000000-0005-0000-0000-000066710000}"/>
    <cellStyle name="Денежный 3 11 2 3" xfId="29032" xr:uid="{00000000-0005-0000-0000-000067710000}"/>
    <cellStyle name="Денежный 3 11 3" xfId="29033" xr:uid="{00000000-0005-0000-0000-000068710000}"/>
    <cellStyle name="Денежный 3 11 3 2" xfId="29034" xr:uid="{00000000-0005-0000-0000-000069710000}"/>
    <cellStyle name="Денежный 3 11 4" xfId="29035" xr:uid="{00000000-0005-0000-0000-00006A710000}"/>
    <cellStyle name="Денежный 3 11 4 2" xfId="29036" xr:uid="{00000000-0005-0000-0000-00006B710000}"/>
    <cellStyle name="Денежный 3 11 5" xfId="29037" xr:uid="{00000000-0005-0000-0000-00006C710000}"/>
    <cellStyle name="Денежный 3 12" xfId="29038" xr:uid="{00000000-0005-0000-0000-00006D710000}"/>
    <cellStyle name="Денежный 3 12 2" xfId="29039" xr:uid="{00000000-0005-0000-0000-00006E710000}"/>
    <cellStyle name="Денежный 3 12 2 2" xfId="29040" xr:uid="{00000000-0005-0000-0000-00006F710000}"/>
    <cellStyle name="Денежный 3 12 2 2 2" xfId="29041" xr:uid="{00000000-0005-0000-0000-000070710000}"/>
    <cellStyle name="Денежный 3 12 2 3" xfId="29042" xr:uid="{00000000-0005-0000-0000-000071710000}"/>
    <cellStyle name="Денежный 3 12 3" xfId="29043" xr:uid="{00000000-0005-0000-0000-000072710000}"/>
    <cellStyle name="Денежный 3 12 3 2" xfId="29044" xr:uid="{00000000-0005-0000-0000-000073710000}"/>
    <cellStyle name="Денежный 3 12 4" xfId="29045" xr:uid="{00000000-0005-0000-0000-000074710000}"/>
    <cellStyle name="Денежный 3 12 4 2" xfId="29046" xr:uid="{00000000-0005-0000-0000-000075710000}"/>
    <cellStyle name="Денежный 3 12 5" xfId="29047" xr:uid="{00000000-0005-0000-0000-000076710000}"/>
    <cellStyle name="Денежный 3 13" xfId="29048" xr:uid="{00000000-0005-0000-0000-000077710000}"/>
    <cellStyle name="Денежный 3 13 2" xfId="29049" xr:uid="{00000000-0005-0000-0000-000078710000}"/>
    <cellStyle name="Денежный 3 13 2 2" xfId="29050" xr:uid="{00000000-0005-0000-0000-000079710000}"/>
    <cellStyle name="Денежный 3 13 3" xfId="29051" xr:uid="{00000000-0005-0000-0000-00007A710000}"/>
    <cellStyle name="Денежный 3 14" xfId="29052" xr:uid="{00000000-0005-0000-0000-00007B710000}"/>
    <cellStyle name="Денежный 3 14 2" xfId="29053" xr:uid="{00000000-0005-0000-0000-00007C710000}"/>
    <cellStyle name="Денежный 3 15" xfId="29054" xr:uid="{00000000-0005-0000-0000-00007D710000}"/>
    <cellStyle name="Денежный 3 15 2" xfId="29055" xr:uid="{00000000-0005-0000-0000-00007E710000}"/>
    <cellStyle name="Денежный 3 16" xfId="29056" xr:uid="{00000000-0005-0000-0000-00007F710000}"/>
    <cellStyle name="Денежный 3 17" xfId="29057" xr:uid="{00000000-0005-0000-0000-000080710000}"/>
    <cellStyle name="Денежный 3 2" xfId="29058" xr:uid="{00000000-0005-0000-0000-000081710000}"/>
    <cellStyle name="Денежный 3 2 10" xfId="29059" xr:uid="{00000000-0005-0000-0000-000082710000}"/>
    <cellStyle name="Денежный 3 2 10 2" xfId="29060" xr:uid="{00000000-0005-0000-0000-000083710000}"/>
    <cellStyle name="Денежный 3 2 10 2 2" xfId="29061" xr:uid="{00000000-0005-0000-0000-000084710000}"/>
    <cellStyle name="Денежный 3 2 10 2 2 2" xfId="29062" xr:uid="{00000000-0005-0000-0000-000085710000}"/>
    <cellStyle name="Денежный 3 2 10 2 3" xfId="29063" xr:uid="{00000000-0005-0000-0000-000086710000}"/>
    <cellStyle name="Денежный 3 2 10 3" xfId="29064" xr:uid="{00000000-0005-0000-0000-000087710000}"/>
    <cellStyle name="Денежный 3 2 10 3 2" xfId="29065" xr:uid="{00000000-0005-0000-0000-000088710000}"/>
    <cellStyle name="Денежный 3 2 10 4" xfId="29066" xr:uid="{00000000-0005-0000-0000-000089710000}"/>
    <cellStyle name="Денежный 3 2 10 4 2" xfId="29067" xr:uid="{00000000-0005-0000-0000-00008A710000}"/>
    <cellStyle name="Денежный 3 2 10 5" xfId="29068" xr:uid="{00000000-0005-0000-0000-00008B710000}"/>
    <cellStyle name="Денежный 3 2 11" xfId="29069" xr:uid="{00000000-0005-0000-0000-00008C710000}"/>
    <cellStyle name="Денежный 3 2 11 2" xfId="29070" xr:uid="{00000000-0005-0000-0000-00008D710000}"/>
    <cellStyle name="Денежный 3 2 11 2 2" xfId="29071" xr:uid="{00000000-0005-0000-0000-00008E710000}"/>
    <cellStyle name="Денежный 3 2 11 3" xfId="29072" xr:uid="{00000000-0005-0000-0000-00008F710000}"/>
    <cellStyle name="Денежный 3 2 12" xfId="29073" xr:uid="{00000000-0005-0000-0000-000090710000}"/>
    <cellStyle name="Денежный 3 2 12 2" xfId="29074" xr:uid="{00000000-0005-0000-0000-000091710000}"/>
    <cellStyle name="Денежный 3 2 13" xfId="29075" xr:uid="{00000000-0005-0000-0000-000092710000}"/>
    <cellStyle name="Денежный 3 2 13 2" xfId="29076" xr:uid="{00000000-0005-0000-0000-000093710000}"/>
    <cellStyle name="Денежный 3 2 14" xfId="29077" xr:uid="{00000000-0005-0000-0000-000094710000}"/>
    <cellStyle name="Денежный 3 2 15" xfId="29078" xr:uid="{00000000-0005-0000-0000-000095710000}"/>
    <cellStyle name="Денежный 3 2 2" xfId="29079" xr:uid="{00000000-0005-0000-0000-000096710000}"/>
    <cellStyle name="Денежный 3 2 2 10" xfId="29080" xr:uid="{00000000-0005-0000-0000-000097710000}"/>
    <cellStyle name="Денежный 3 2 2 2" xfId="29081" xr:uid="{00000000-0005-0000-0000-000098710000}"/>
    <cellStyle name="Денежный 3 2 2 2 2" xfId="29082" xr:uid="{00000000-0005-0000-0000-000099710000}"/>
    <cellStyle name="Денежный 3 2 2 2 2 2" xfId="29083" xr:uid="{00000000-0005-0000-0000-00009A710000}"/>
    <cellStyle name="Денежный 3 2 2 2 2 2 2" xfId="29084" xr:uid="{00000000-0005-0000-0000-00009B710000}"/>
    <cellStyle name="Денежный 3 2 2 2 2 3" xfId="29085" xr:uid="{00000000-0005-0000-0000-00009C710000}"/>
    <cellStyle name="Денежный 3 2 2 2 3" xfId="29086" xr:uid="{00000000-0005-0000-0000-00009D710000}"/>
    <cellStyle name="Денежный 3 2 2 2 3 2" xfId="29087" xr:uid="{00000000-0005-0000-0000-00009E710000}"/>
    <cellStyle name="Денежный 3 2 2 2 4" xfId="29088" xr:uid="{00000000-0005-0000-0000-00009F710000}"/>
    <cellStyle name="Денежный 3 2 2 2 4 2" xfId="29089" xr:uid="{00000000-0005-0000-0000-0000A0710000}"/>
    <cellStyle name="Денежный 3 2 2 2 5" xfId="29090" xr:uid="{00000000-0005-0000-0000-0000A1710000}"/>
    <cellStyle name="Денежный 3 2 2 3" xfId="29091" xr:uid="{00000000-0005-0000-0000-0000A2710000}"/>
    <cellStyle name="Денежный 3 2 2 3 2" xfId="29092" xr:uid="{00000000-0005-0000-0000-0000A3710000}"/>
    <cellStyle name="Денежный 3 2 2 3 2 2" xfId="29093" xr:uid="{00000000-0005-0000-0000-0000A4710000}"/>
    <cellStyle name="Денежный 3 2 2 3 2 2 2" xfId="29094" xr:uid="{00000000-0005-0000-0000-0000A5710000}"/>
    <cellStyle name="Денежный 3 2 2 3 2 3" xfId="29095" xr:uid="{00000000-0005-0000-0000-0000A6710000}"/>
    <cellStyle name="Денежный 3 2 2 3 3" xfId="29096" xr:uid="{00000000-0005-0000-0000-0000A7710000}"/>
    <cellStyle name="Денежный 3 2 2 3 3 2" xfId="29097" xr:uid="{00000000-0005-0000-0000-0000A8710000}"/>
    <cellStyle name="Денежный 3 2 2 3 4" xfId="29098" xr:uid="{00000000-0005-0000-0000-0000A9710000}"/>
    <cellStyle name="Денежный 3 2 2 3 4 2" xfId="29099" xr:uid="{00000000-0005-0000-0000-0000AA710000}"/>
    <cellStyle name="Денежный 3 2 2 3 5" xfId="29100" xr:uid="{00000000-0005-0000-0000-0000AB710000}"/>
    <cellStyle name="Денежный 3 2 2 4" xfId="29101" xr:uid="{00000000-0005-0000-0000-0000AC710000}"/>
    <cellStyle name="Денежный 3 2 2 4 2" xfId="29102" xr:uid="{00000000-0005-0000-0000-0000AD710000}"/>
    <cellStyle name="Денежный 3 2 2 4 2 2" xfId="29103" xr:uid="{00000000-0005-0000-0000-0000AE710000}"/>
    <cellStyle name="Денежный 3 2 2 4 2 2 2" xfId="29104" xr:uid="{00000000-0005-0000-0000-0000AF710000}"/>
    <cellStyle name="Денежный 3 2 2 4 2 3" xfId="29105" xr:uid="{00000000-0005-0000-0000-0000B0710000}"/>
    <cellStyle name="Денежный 3 2 2 4 3" xfId="29106" xr:uid="{00000000-0005-0000-0000-0000B1710000}"/>
    <cellStyle name="Денежный 3 2 2 4 3 2" xfId="29107" xr:uid="{00000000-0005-0000-0000-0000B2710000}"/>
    <cellStyle name="Денежный 3 2 2 4 4" xfId="29108" xr:uid="{00000000-0005-0000-0000-0000B3710000}"/>
    <cellStyle name="Денежный 3 2 2 4 4 2" xfId="29109" xr:uid="{00000000-0005-0000-0000-0000B4710000}"/>
    <cellStyle name="Денежный 3 2 2 4 5" xfId="29110" xr:uid="{00000000-0005-0000-0000-0000B5710000}"/>
    <cellStyle name="Денежный 3 2 2 5" xfId="29111" xr:uid="{00000000-0005-0000-0000-0000B6710000}"/>
    <cellStyle name="Денежный 3 2 2 5 2" xfId="29112" xr:uid="{00000000-0005-0000-0000-0000B7710000}"/>
    <cellStyle name="Денежный 3 2 2 5 2 2" xfId="29113" xr:uid="{00000000-0005-0000-0000-0000B8710000}"/>
    <cellStyle name="Денежный 3 2 2 5 2 2 2" xfId="29114" xr:uid="{00000000-0005-0000-0000-0000B9710000}"/>
    <cellStyle name="Денежный 3 2 2 5 2 3" xfId="29115" xr:uid="{00000000-0005-0000-0000-0000BA710000}"/>
    <cellStyle name="Денежный 3 2 2 5 3" xfId="29116" xr:uid="{00000000-0005-0000-0000-0000BB710000}"/>
    <cellStyle name="Денежный 3 2 2 5 3 2" xfId="29117" xr:uid="{00000000-0005-0000-0000-0000BC710000}"/>
    <cellStyle name="Денежный 3 2 2 5 4" xfId="29118" xr:uid="{00000000-0005-0000-0000-0000BD710000}"/>
    <cellStyle name="Денежный 3 2 2 5 4 2" xfId="29119" xr:uid="{00000000-0005-0000-0000-0000BE710000}"/>
    <cellStyle name="Денежный 3 2 2 5 5" xfId="29120" xr:uid="{00000000-0005-0000-0000-0000BF710000}"/>
    <cellStyle name="Денежный 3 2 2 6" xfId="29121" xr:uid="{00000000-0005-0000-0000-0000C0710000}"/>
    <cellStyle name="Денежный 3 2 2 6 2" xfId="29122" xr:uid="{00000000-0005-0000-0000-0000C1710000}"/>
    <cellStyle name="Денежный 3 2 2 6 2 2" xfId="29123" xr:uid="{00000000-0005-0000-0000-0000C2710000}"/>
    <cellStyle name="Денежный 3 2 2 6 3" xfId="29124" xr:uid="{00000000-0005-0000-0000-0000C3710000}"/>
    <cellStyle name="Денежный 3 2 2 7" xfId="29125" xr:uid="{00000000-0005-0000-0000-0000C4710000}"/>
    <cellStyle name="Денежный 3 2 2 7 2" xfId="29126" xr:uid="{00000000-0005-0000-0000-0000C5710000}"/>
    <cellStyle name="Денежный 3 2 2 8" xfId="29127" xr:uid="{00000000-0005-0000-0000-0000C6710000}"/>
    <cellStyle name="Денежный 3 2 2 8 2" xfId="29128" xr:uid="{00000000-0005-0000-0000-0000C7710000}"/>
    <cellStyle name="Денежный 3 2 2 9" xfId="29129" xr:uid="{00000000-0005-0000-0000-0000C8710000}"/>
    <cellStyle name="Денежный 3 2 3" xfId="29130" xr:uid="{00000000-0005-0000-0000-0000C9710000}"/>
    <cellStyle name="Денежный 3 2 3 10" xfId="29131" xr:uid="{00000000-0005-0000-0000-0000CA710000}"/>
    <cellStyle name="Денежный 3 2 3 2" xfId="29132" xr:uid="{00000000-0005-0000-0000-0000CB710000}"/>
    <cellStyle name="Денежный 3 2 3 2 2" xfId="29133" xr:uid="{00000000-0005-0000-0000-0000CC710000}"/>
    <cellStyle name="Денежный 3 2 3 2 2 2" xfId="29134" xr:uid="{00000000-0005-0000-0000-0000CD710000}"/>
    <cellStyle name="Денежный 3 2 3 2 2 2 2" xfId="29135" xr:uid="{00000000-0005-0000-0000-0000CE710000}"/>
    <cellStyle name="Денежный 3 2 3 2 2 3" xfId="29136" xr:uid="{00000000-0005-0000-0000-0000CF710000}"/>
    <cellStyle name="Денежный 3 2 3 2 3" xfId="29137" xr:uid="{00000000-0005-0000-0000-0000D0710000}"/>
    <cellStyle name="Денежный 3 2 3 2 3 2" xfId="29138" xr:uid="{00000000-0005-0000-0000-0000D1710000}"/>
    <cellStyle name="Денежный 3 2 3 2 4" xfId="29139" xr:uid="{00000000-0005-0000-0000-0000D2710000}"/>
    <cellStyle name="Денежный 3 2 3 2 4 2" xfId="29140" xr:uid="{00000000-0005-0000-0000-0000D3710000}"/>
    <cellStyle name="Денежный 3 2 3 2 5" xfId="29141" xr:uid="{00000000-0005-0000-0000-0000D4710000}"/>
    <cellStyle name="Денежный 3 2 3 3" xfId="29142" xr:uid="{00000000-0005-0000-0000-0000D5710000}"/>
    <cellStyle name="Денежный 3 2 3 3 2" xfId="29143" xr:uid="{00000000-0005-0000-0000-0000D6710000}"/>
    <cellStyle name="Денежный 3 2 3 3 2 2" xfId="29144" xr:uid="{00000000-0005-0000-0000-0000D7710000}"/>
    <cellStyle name="Денежный 3 2 3 3 2 2 2" xfId="29145" xr:uid="{00000000-0005-0000-0000-0000D8710000}"/>
    <cellStyle name="Денежный 3 2 3 3 2 3" xfId="29146" xr:uid="{00000000-0005-0000-0000-0000D9710000}"/>
    <cellStyle name="Денежный 3 2 3 3 3" xfId="29147" xr:uid="{00000000-0005-0000-0000-0000DA710000}"/>
    <cellStyle name="Денежный 3 2 3 3 3 2" xfId="29148" xr:uid="{00000000-0005-0000-0000-0000DB710000}"/>
    <cellStyle name="Денежный 3 2 3 3 4" xfId="29149" xr:uid="{00000000-0005-0000-0000-0000DC710000}"/>
    <cellStyle name="Денежный 3 2 3 3 4 2" xfId="29150" xr:uid="{00000000-0005-0000-0000-0000DD710000}"/>
    <cellStyle name="Денежный 3 2 3 3 5" xfId="29151" xr:uid="{00000000-0005-0000-0000-0000DE710000}"/>
    <cellStyle name="Денежный 3 2 3 4" xfId="29152" xr:uid="{00000000-0005-0000-0000-0000DF710000}"/>
    <cellStyle name="Денежный 3 2 3 4 2" xfId="29153" xr:uid="{00000000-0005-0000-0000-0000E0710000}"/>
    <cellStyle name="Денежный 3 2 3 4 2 2" xfId="29154" xr:uid="{00000000-0005-0000-0000-0000E1710000}"/>
    <cellStyle name="Денежный 3 2 3 4 2 2 2" xfId="29155" xr:uid="{00000000-0005-0000-0000-0000E2710000}"/>
    <cellStyle name="Денежный 3 2 3 4 2 3" xfId="29156" xr:uid="{00000000-0005-0000-0000-0000E3710000}"/>
    <cellStyle name="Денежный 3 2 3 4 3" xfId="29157" xr:uid="{00000000-0005-0000-0000-0000E4710000}"/>
    <cellStyle name="Денежный 3 2 3 4 3 2" xfId="29158" xr:uid="{00000000-0005-0000-0000-0000E5710000}"/>
    <cellStyle name="Денежный 3 2 3 4 4" xfId="29159" xr:uid="{00000000-0005-0000-0000-0000E6710000}"/>
    <cellStyle name="Денежный 3 2 3 4 4 2" xfId="29160" xr:uid="{00000000-0005-0000-0000-0000E7710000}"/>
    <cellStyle name="Денежный 3 2 3 4 5" xfId="29161" xr:uid="{00000000-0005-0000-0000-0000E8710000}"/>
    <cellStyle name="Денежный 3 2 3 5" xfId="29162" xr:uid="{00000000-0005-0000-0000-0000E9710000}"/>
    <cellStyle name="Денежный 3 2 3 5 2" xfId="29163" xr:uid="{00000000-0005-0000-0000-0000EA710000}"/>
    <cellStyle name="Денежный 3 2 3 5 2 2" xfId="29164" xr:uid="{00000000-0005-0000-0000-0000EB710000}"/>
    <cellStyle name="Денежный 3 2 3 5 2 2 2" xfId="29165" xr:uid="{00000000-0005-0000-0000-0000EC710000}"/>
    <cellStyle name="Денежный 3 2 3 5 2 3" xfId="29166" xr:uid="{00000000-0005-0000-0000-0000ED710000}"/>
    <cellStyle name="Денежный 3 2 3 5 3" xfId="29167" xr:uid="{00000000-0005-0000-0000-0000EE710000}"/>
    <cellStyle name="Денежный 3 2 3 5 3 2" xfId="29168" xr:uid="{00000000-0005-0000-0000-0000EF710000}"/>
    <cellStyle name="Денежный 3 2 3 5 4" xfId="29169" xr:uid="{00000000-0005-0000-0000-0000F0710000}"/>
    <cellStyle name="Денежный 3 2 3 5 4 2" xfId="29170" xr:uid="{00000000-0005-0000-0000-0000F1710000}"/>
    <cellStyle name="Денежный 3 2 3 5 5" xfId="29171" xr:uid="{00000000-0005-0000-0000-0000F2710000}"/>
    <cellStyle name="Денежный 3 2 3 6" xfId="29172" xr:uid="{00000000-0005-0000-0000-0000F3710000}"/>
    <cellStyle name="Денежный 3 2 3 6 2" xfId="29173" xr:uid="{00000000-0005-0000-0000-0000F4710000}"/>
    <cellStyle name="Денежный 3 2 3 6 2 2" xfId="29174" xr:uid="{00000000-0005-0000-0000-0000F5710000}"/>
    <cellStyle name="Денежный 3 2 3 6 3" xfId="29175" xr:uid="{00000000-0005-0000-0000-0000F6710000}"/>
    <cellStyle name="Денежный 3 2 3 7" xfId="29176" xr:uid="{00000000-0005-0000-0000-0000F7710000}"/>
    <cellStyle name="Денежный 3 2 3 7 2" xfId="29177" xr:uid="{00000000-0005-0000-0000-0000F8710000}"/>
    <cellStyle name="Денежный 3 2 3 8" xfId="29178" xr:uid="{00000000-0005-0000-0000-0000F9710000}"/>
    <cellStyle name="Денежный 3 2 3 8 2" xfId="29179" xr:uid="{00000000-0005-0000-0000-0000FA710000}"/>
    <cellStyle name="Денежный 3 2 3 9" xfId="29180" xr:uid="{00000000-0005-0000-0000-0000FB710000}"/>
    <cellStyle name="Денежный 3 2 4" xfId="29181" xr:uid="{00000000-0005-0000-0000-0000FC710000}"/>
    <cellStyle name="Денежный 3 2 4 10" xfId="29182" xr:uid="{00000000-0005-0000-0000-0000FD710000}"/>
    <cellStyle name="Денежный 3 2 4 2" xfId="29183" xr:uid="{00000000-0005-0000-0000-0000FE710000}"/>
    <cellStyle name="Денежный 3 2 4 2 2" xfId="29184" xr:uid="{00000000-0005-0000-0000-0000FF710000}"/>
    <cellStyle name="Денежный 3 2 4 2 2 2" xfId="29185" xr:uid="{00000000-0005-0000-0000-000000720000}"/>
    <cellStyle name="Денежный 3 2 4 2 2 2 2" xfId="29186" xr:uid="{00000000-0005-0000-0000-000001720000}"/>
    <cellStyle name="Денежный 3 2 4 2 2 3" xfId="29187" xr:uid="{00000000-0005-0000-0000-000002720000}"/>
    <cellStyle name="Денежный 3 2 4 2 3" xfId="29188" xr:uid="{00000000-0005-0000-0000-000003720000}"/>
    <cellStyle name="Денежный 3 2 4 2 3 2" xfId="29189" xr:uid="{00000000-0005-0000-0000-000004720000}"/>
    <cellStyle name="Денежный 3 2 4 2 4" xfId="29190" xr:uid="{00000000-0005-0000-0000-000005720000}"/>
    <cellStyle name="Денежный 3 2 4 2 4 2" xfId="29191" xr:uid="{00000000-0005-0000-0000-000006720000}"/>
    <cellStyle name="Денежный 3 2 4 2 5" xfId="29192" xr:uid="{00000000-0005-0000-0000-000007720000}"/>
    <cellStyle name="Денежный 3 2 4 3" xfId="29193" xr:uid="{00000000-0005-0000-0000-000008720000}"/>
    <cellStyle name="Денежный 3 2 4 3 2" xfId="29194" xr:uid="{00000000-0005-0000-0000-000009720000}"/>
    <cellStyle name="Денежный 3 2 4 3 2 2" xfId="29195" xr:uid="{00000000-0005-0000-0000-00000A720000}"/>
    <cellStyle name="Денежный 3 2 4 3 2 2 2" xfId="29196" xr:uid="{00000000-0005-0000-0000-00000B720000}"/>
    <cellStyle name="Денежный 3 2 4 3 2 3" xfId="29197" xr:uid="{00000000-0005-0000-0000-00000C720000}"/>
    <cellStyle name="Денежный 3 2 4 3 3" xfId="29198" xr:uid="{00000000-0005-0000-0000-00000D720000}"/>
    <cellStyle name="Денежный 3 2 4 3 3 2" xfId="29199" xr:uid="{00000000-0005-0000-0000-00000E720000}"/>
    <cellStyle name="Денежный 3 2 4 3 4" xfId="29200" xr:uid="{00000000-0005-0000-0000-00000F720000}"/>
    <cellStyle name="Денежный 3 2 4 3 4 2" xfId="29201" xr:uid="{00000000-0005-0000-0000-000010720000}"/>
    <cellStyle name="Денежный 3 2 4 3 5" xfId="29202" xr:uid="{00000000-0005-0000-0000-000011720000}"/>
    <cellStyle name="Денежный 3 2 4 4" xfId="29203" xr:uid="{00000000-0005-0000-0000-000012720000}"/>
    <cellStyle name="Денежный 3 2 4 4 2" xfId="29204" xr:uid="{00000000-0005-0000-0000-000013720000}"/>
    <cellStyle name="Денежный 3 2 4 4 2 2" xfId="29205" xr:uid="{00000000-0005-0000-0000-000014720000}"/>
    <cellStyle name="Денежный 3 2 4 4 2 2 2" xfId="29206" xr:uid="{00000000-0005-0000-0000-000015720000}"/>
    <cellStyle name="Денежный 3 2 4 4 2 3" xfId="29207" xr:uid="{00000000-0005-0000-0000-000016720000}"/>
    <cellStyle name="Денежный 3 2 4 4 3" xfId="29208" xr:uid="{00000000-0005-0000-0000-000017720000}"/>
    <cellStyle name="Денежный 3 2 4 4 3 2" xfId="29209" xr:uid="{00000000-0005-0000-0000-000018720000}"/>
    <cellStyle name="Денежный 3 2 4 4 4" xfId="29210" xr:uid="{00000000-0005-0000-0000-000019720000}"/>
    <cellStyle name="Денежный 3 2 4 4 4 2" xfId="29211" xr:uid="{00000000-0005-0000-0000-00001A720000}"/>
    <cellStyle name="Денежный 3 2 4 4 5" xfId="29212" xr:uid="{00000000-0005-0000-0000-00001B720000}"/>
    <cellStyle name="Денежный 3 2 4 5" xfId="29213" xr:uid="{00000000-0005-0000-0000-00001C720000}"/>
    <cellStyle name="Денежный 3 2 4 5 2" xfId="29214" xr:uid="{00000000-0005-0000-0000-00001D720000}"/>
    <cellStyle name="Денежный 3 2 4 5 2 2" xfId="29215" xr:uid="{00000000-0005-0000-0000-00001E720000}"/>
    <cellStyle name="Денежный 3 2 4 5 2 2 2" xfId="29216" xr:uid="{00000000-0005-0000-0000-00001F720000}"/>
    <cellStyle name="Денежный 3 2 4 5 2 3" xfId="29217" xr:uid="{00000000-0005-0000-0000-000020720000}"/>
    <cellStyle name="Денежный 3 2 4 5 3" xfId="29218" xr:uid="{00000000-0005-0000-0000-000021720000}"/>
    <cellStyle name="Денежный 3 2 4 5 3 2" xfId="29219" xr:uid="{00000000-0005-0000-0000-000022720000}"/>
    <cellStyle name="Денежный 3 2 4 5 4" xfId="29220" xr:uid="{00000000-0005-0000-0000-000023720000}"/>
    <cellStyle name="Денежный 3 2 4 5 4 2" xfId="29221" xr:uid="{00000000-0005-0000-0000-000024720000}"/>
    <cellStyle name="Денежный 3 2 4 5 5" xfId="29222" xr:uid="{00000000-0005-0000-0000-000025720000}"/>
    <cellStyle name="Денежный 3 2 4 6" xfId="29223" xr:uid="{00000000-0005-0000-0000-000026720000}"/>
    <cellStyle name="Денежный 3 2 4 6 2" xfId="29224" xr:uid="{00000000-0005-0000-0000-000027720000}"/>
    <cellStyle name="Денежный 3 2 4 6 2 2" xfId="29225" xr:uid="{00000000-0005-0000-0000-000028720000}"/>
    <cellStyle name="Денежный 3 2 4 6 3" xfId="29226" xr:uid="{00000000-0005-0000-0000-000029720000}"/>
    <cellStyle name="Денежный 3 2 4 7" xfId="29227" xr:uid="{00000000-0005-0000-0000-00002A720000}"/>
    <cellStyle name="Денежный 3 2 4 7 2" xfId="29228" xr:uid="{00000000-0005-0000-0000-00002B720000}"/>
    <cellStyle name="Денежный 3 2 4 8" xfId="29229" xr:uid="{00000000-0005-0000-0000-00002C720000}"/>
    <cellStyle name="Денежный 3 2 4 8 2" xfId="29230" xr:uid="{00000000-0005-0000-0000-00002D720000}"/>
    <cellStyle name="Денежный 3 2 4 9" xfId="29231" xr:uid="{00000000-0005-0000-0000-00002E720000}"/>
    <cellStyle name="Денежный 3 2 5" xfId="29232" xr:uid="{00000000-0005-0000-0000-00002F720000}"/>
    <cellStyle name="Денежный 3 2 5 10" xfId="29233" xr:uid="{00000000-0005-0000-0000-000030720000}"/>
    <cellStyle name="Денежный 3 2 5 2" xfId="29234" xr:uid="{00000000-0005-0000-0000-000031720000}"/>
    <cellStyle name="Денежный 3 2 5 2 2" xfId="29235" xr:uid="{00000000-0005-0000-0000-000032720000}"/>
    <cellStyle name="Денежный 3 2 5 2 2 2" xfId="29236" xr:uid="{00000000-0005-0000-0000-000033720000}"/>
    <cellStyle name="Денежный 3 2 5 2 2 2 2" xfId="29237" xr:uid="{00000000-0005-0000-0000-000034720000}"/>
    <cellStyle name="Денежный 3 2 5 2 2 3" xfId="29238" xr:uid="{00000000-0005-0000-0000-000035720000}"/>
    <cellStyle name="Денежный 3 2 5 2 3" xfId="29239" xr:uid="{00000000-0005-0000-0000-000036720000}"/>
    <cellStyle name="Денежный 3 2 5 2 3 2" xfId="29240" xr:uid="{00000000-0005-0000-0000-000037720000}"/>
    <cellStyle name="Денежный 3 2 5 2 4" xfId="29241" xr:uid="{00000000-0005-0000-0000-000038720000}"/>
    <cellStyle name="Денежный 3 2 5 2 4 2" xfId="29242" xr:uid="{00000000-0005-0000-0000-000039720000}"/>
    <cellStyle name="Денежный 3 2 5 2 5" xfId="29243" xr:uid="{00000000-0005-0000-0000-00003A720000}"/>
    <cellStyle name="Денежный 3 2 5 3" xfId="29244" xr:uid="{00000000-0005-0000-0000-00003B720000}"/>
    <cellStyle name="Денежный 3 2 5 3 2" xfId="29245" xr:uid="{00000000-0005-0000-0000-00003C720000}"/>
    <cellStyle name="Денежный 3 2 5 3 2 2" xfId="29246" xr:uid="{00000000-0005-0000-0000-00003D720000}"/>
    <cellStyle name="Денежный 3 2 5 3 2 2 2" xfId="29247" xr:uid="{00000000-0005-0000-0000-00003E720000}"/>
    <cellStyle name="Денежный 3 2 5 3 2 3" xfId="29248" xr:uid="{00000000-0005-0000-0000-00003F720000}"/>
    <cellStyle name="Денежный 3 2 5 3 3" xfId="29249" xr:uid="{00000000-0005-0000-0000-000040720000}"/>
    <cellStyle name="Денежный 3 2 5 3 3 2" xfId="29250" xr:uid="{00000000-0005-0000-0000-000041720000}"/>
    <cellStyle name="Денежный 3 2 5 3 4" xfId="29251" xr:uid="{00000000-0005-0000-0000-000042720000}"/>
    <cellStyle name="Денежный 3 2 5 3 4 2" xfId="29252" xr:uid="{00000000-0005-0000-0000-000043720000}"/>
    <cellStyle name="Денежный 3 2 5 3 5" xfId="29253" xr:uid="{00000000-0005-0000-0000-000044720000}"/>
    <cellStyle name="Денежный 3 2 5 4" xfId="29254" xr:uid="{00000000-0005-0000-0000-000045720000}"/>
    <cellStyle name="Денежный 3 2 5 4 2" xfId="29255" xr:uid="{00000000-0005-0000-0000-000046720000}"/>
    <cellStyle name="Денежный 3 2 5 4 2 2" xfId="29256" xr:uid="{00000000-0005-0000-0000-000047720000}"/>
    <cellStyle name="Денежный 3 2 5 4 2 2 2" xfId="29257" xr:uid="{00000000-0005-0000-0000-000048720000}"/>
    <cellStyle name="Денежный 3 2 5 4 2 3" xfId="29258" xr:uid="{00000000-0005-0000-0000-000049720000}"/>
    <cellStyle name="Денежный 3 2 5 4 3" xfId="29259" xr:uid="{00000000-0005-0000-0000-00004A720000}"/>
    <cellStyle name="Денежный 3 2 5 4 3 2" xfId="29260" xr:uid="{00000000-0005-0000-0000-00004B720000}"/>
    <cellStyle name="Денежный 3 2 5 4 4" xfId="29261" xr:uid="{00000000-0005-0000-0000-00004C720000}"/>
    <cellStyle name="Денежный 3 2 5 4 4 2" xfId="29262" xr:uid="{00000000-0005-0000-0000-00004D720000}"/>
    <cellStyle name="Денежный 3 2 5 4 5" xfId="29263" xr:uid="{00000000-0005-0000-0000-00004E720000}"/>
    <cellStyle name="Денежный 3 2 5 5" xfId="29264" xr:uid="{00000000-0005-0000-0000-00004F720000}"/>
    <cellStyle name="Денежный 3 2 5 5 2" xfId="29265" xr:uid="{00000000-0005-0000-0000-000050720000}"/>
    <cellStyle name="Денежный 3 2 5 5 2 2" xfId="29266" xr:uid="{00000000-0005-0000-0000-000051720000}"/>
    <cellStyle name="Денежный 3 2 5 5 2 2 2" xfId="29267" xr:uid="{00000000-0005-0000-0000-000052720000}"/>
    <cellStyle name="Денежный 3 2 5 5 2 3" xfId="29268" xr:uid="{00000000-0005-0000-0000-000053720000}"/>
    <cellStyle name="Денежный 3 2 5 5 3" xfId="29269" xr:uid="{00000000-0005-0000-0000-000054720000}"/>
    <cellStyle name="Денежный 3 2 5 5 3 2" xfId="29270" xr:uid="{00000000-0005-0000-0000-000055720000}"/>
    <cellStyle name="Денежный 3 2 5 5 4" xfId="29271" xr:uid="{00000000-0005-0000-0000-000056720000}"/>
    <cellStyle name="Денежный 3 2 5 5 4 2" xfId="29272" xr:uid="{00000000-0005-0000-0000-000057720000}"/>
    <cellStyle name="Денежный 3 2 5 5 5" xfId="29273" xr:uid="{00000000-0005-0000-0000-000058720000}"/>
    <cellStyle name="Денежный 3 2 5 6" xfId="29274" xr:uid="{00000000-0005-0000-0000-000059720000}"/>
    <cellStyle name="Денежный 3 2 5 6 2" xfId="29275" xr:uid="{00000000-0005-0000-0000-00005A720000}"/>
    <cellStyle name="Денежный 3 2 5 6 2 2" xfId="29276" xr:uid="{00000000-0005-0000-0000-00005B720000}"/>
    <cellStyle name="Денежный 3 2 5 6 3" xfId="29277" xr:uid="{00000000-0005-0000-0000-00005C720000}"/>
    <cellStyle name="Денежный 3 2 5 7" xfId="29278" xr:uid="{00000000-0005-0000-0000-00005D720000}"/>
    <cellStyle name="Денежный 3 2 5 7 2" xfId="29279" xr:uid="{00000000-0005-0000-0000-00005E720000}"/>
    <cellStyle name="Денежный 3 2 5 8" xfId="29280" xr:uid="{00000000-0005-0000-0000-00005F720000}"/>
    <cellStyle name="Денежный 3 2 5 8 2" xfId="29281" xr:uid="{00000000-0005-0000-0000-000060720000}"/>
    <cellStyle name="Денежный 3 2 5 9" xfId="29282" xr:uid="{00000000-0005-0000-0000-000061720000}"/>
    <cellStyle name="Денежный 3 2 6" xfId="29283" xr:uid="{00000000-0005-0000-0000-000062720000}"/>
    <cellStyle name="Денежный 3 2 6 10" xfId="29284" xr:uid="{00000000-0005-0000-0000-000063720000}"/>
    <cellStyle name="Денежный 3 2 6 2" xfId="29285" xr:uid="{00000000-0005-0000-0000-000064720000}"/>
    <cellStyle name="Денежный 3 2 6 2 2" xfId="29286" xr:uid="{00000000-0005-0000-0000-000065720000}"/>
    <cellStyle name="Денежный 3 2 6 2 2 2" xfId="29287" xr:uid="{00000000-0005-0000-0000-000066720000}"/>
    <cellStyle name="Денежный 3 2 6 2 2 2 2" xfId="29288" xr:uid="{00000000-0005-0000-0000-000067720000}"/>
    <cellStyle name="Денежный 3 2 6 2 2 3" xfId="29289" xr:uid="{00000000-0005-0000-0000-000068720000}"/>
    <cellStyle name="Денежный 3 2 6 2 3" xfId="29290" xr:uid="{00000000-0005-0000-0000-000069720000}"/>
    <cellStyle name="Денежный 3 2 6 2 3 2" xfId="29291" xr:uid="{00000000-0005-0000-0000-00006A720000}"/>
    <cellStyle name="Денежный 3 2 6 2 4" xfId="29292" xr:uid="{00000000-0005-0000-0000-00006B720000}"/>
    <cellStyle name="Денежный 3 2 6 2 4 2" xfId="29293" xr:uid="{00000000-0005-0000-0000-00006C720000}"/>
    <cellStyle name="Денежный 3 2 6 2 5" xfId="29294" xr:uid="{00000000-0005-0000-0000-00006D720000}"/>
    <cellStyle name="Денежный 3 2 6 3" xfId="29295" xr:uid="{00000000-0005-0000-0000-00006E720000}"/>
    <cellStyle name="Денежный 3 2 6 3 2" xfId="29296" xr:uid="{00000000-0005-0000-0000-00006F720000}"/>
    <cellStyle name="Денежный 3 2 6 3 2 2" xfId="29297" xr:uid="{00000000-0005-0000-0000-000070720000}"/>
    <cellStyle name="Денежный 3 2 6 3 2 2 2" xfId="29298" xr:uid="{00000000-0005-0000-0000-000071720000}"/>
    <cellStyle name="Денежный 3 2 6 3 2 3" xfId="29299" xr:uid="{00000000-0005-0000-0000-000072720000}"/>
    <cellStyle name="Денежный 3 2 6 3 3" xfId="29300" xr:uid="{00000000-0005-0000-0000-000073720000}"/>
    <cellStyle name="Денежный 3 2 6 3 3 2" xfId="29301" xr:uid="{00000000-0005-0000-0000-000074720000}"/>
    <cellStyle name="Денежный 3 2 6 3 4" xfId="29302" xr:uid="{00000000-0005-0000-0000-000075720000}"/>
    <cellStyle name="Денежный 3 2 6 3 4 2" xfId="29303" xr:uid="{00000000-0005-0000-0000-000076720000}"/>
    <cellStyle name="Денежный 3 2 6 3 5" xfId="29304" xr:uid="{00000000-0005-0000-0000-000077720000}"/>
    <cellStyle name="Денежный 3 2 6 4" xfId="29305" xr:uid="{00000000-0005-0000-0000-000078720000}"/>
    <cellStyle name="Денежный 3 2 6 4 2" xfId="29306" xr:uid="{00000000-0005-0000-0000-000079720000}"/>
    <cellStyle name="Денежный 3 2 6 4 2 2" xfId="29307" xr:uid="{00000000-0005-0000-0000-00007A720000}"/>
    <cellStyle name="Денежный 3 2 6 4 2 2 2" xfId="29308" xr:uid="{00000000-0005-0000-0000-00007B720000}"/>
    <cellStyle name="Денежный 3 2 6 4 2 3" xfId="29309" xr:uid="{00000000-0005-0000-0000-00007C720000}"/>
    <cellStyle name="Денежный 3 2 6 4 3" xfId="29310" xr:uid="{00000000-0005-0000-0000-00007D720000}"/>
    <cellStyle name="Денежный 3 2 6 4 3 2" xfId="29311" xr:uid="{00000000-0005-0000-0000-00007E720000}"/>
    <cellStyle name="Денежный 3 2 6 4 4" xfId="29312" xr:uid="{00000000-0005-0000-0000-00007F720000}"/>
    <cellStyle name="Денежный 3 2 6 4 4 2" xfId="29313" xr:uid="{00000000-0005-0000-0000-000080720000}"/>
    <cellStyle name="Денежный 3 2 6 4 5" xfId="29314" xr:uid="{00000000-0005-0000-0000-000081720000}"/>
    <cellStyle name="Денежный 3 2 6 5" xfId="29315" xr:uid="{00000000-0005-0000-0000-000082720000}"/>
    <cellStyle name="Денежный 3 2 6 5 2" xfId="29316" xr:uid="{00000000-0005-0000-0000-000083720000}"/>
    <cellStyle name="Денежный 3 2 6 5 2 2" xfId="29317" xr:uid="{00000000-0005-0000-0000-000084720000}"/>
    <cellStyle name="Денежный 3 2 6 5 2 2 2" xfId="29318" xr:uid="{00000000-0005-0000-0000-000085720000}"/>
    <cellStyle name="Денежный 3 2 6 5 2 3" xfId="29319" xr:uid="{00000000-0005-0000-0000-000086720000}"/>
    <cellStyle name="Денежный 3 2 6 5 3" xfId="29320" xr:uid="{00000000-0005-0000-0000-000087720000}"/>
    <cellStyle name="Денежный 3 2 6 5 3 2" xfId="29321" xr:uid="{00000000-0005-0000-0000-000088720000}"/>
    <cellStyle name="Денежный 3 2 6 5 4" xfId="29322" xr:uid="{00000000-0005-0000-0000-000089720000}"/>
    <cellStyle name="Денежный 3 2 6 5 4 2" xfId="29323" xr:uid="{00000000-0005-0000-0000-00008A720000}"/>
    <cellStyle name="Денежный 3 2 6 5 5" xfId="29324" xr:uid="{00000000-0005-0000-0000-00008B720000}"/>
    <cellStyle name="Денежный 3 2 6 6" xfId="29325" xr:uid="{00000000-0005-0000-0000-00008C720000}"/>
    <cellStyle name="Денежный 3 2 6 6 2" xfId="29326" xr:uid="{00000000-0005-0000-0000-00008D720000}"/>
    <cellStyle name="Денежный 3 2 6 6 2 2" xfId="29327" xr:uid="{00000000-0005-0000-0000-00008E720000}"/>
    <cellStyle name="Денежный 3 2 6 6 3" xfId="29328" xr:uid="{00000000-0005-0000-0000-00008F720000}"/>
    <cellStyle name="Денежный 3 2 6 7" xfId="29329" xr:uid="{00000000-0005-0000-0000-000090720000}"/>
    <cellStyle name="Денежный 3 2 6 7 2" xfId="29330" xr:uid="{00000000-0005-0000-0000-000091720000}"/>
    <cellStyle name="Денежный 3 2 6 8" xfId="29331" xr:uid="{00000000-0005-0000-0000-000092720000}"/>
    <cellStyle name="Денежный 3 2 6 8 2" xfId="29332" xr:uid="{00000000-0005-0000-0000-000093720000}"/>
    <cellStyle name="Денежный 3 2 6 9" xfId="29333" xr:uid="{00000000-0005-0000-0000-000094720000}"/>
    <cellStyle name="Денежный 3 2 7" xfId="29334" xr:uid="{00000000-0005-0000-0000-000095720000}"/>
    <cellStyle name="Денежный 3 2 7 2" xfId="29335" xr:uid="{00000000-0005-0000-0000-000096720000}"/>
    <cellStyle name="Денежный 3 2 7 2 2" xfId="29336" xr:uid="{00000000-0005-0000-0000-000097720000}"/>
    <cellStyle name="Денежный 3 2 7 2 2 2" xfId="29337" xr:uid="{00000000-0005-0000-0000-000098720000}"/>
    <cellStyle name="Денежный 3 2 7 2 3" xfId="29338" xr:uid="{00000000-0005-0000-0000-000099720000}"/>
    <cellStyle name="Денежный 3 2 7 3" xfId="29339" xr:uid="{00000000-0005-0000-0000-00009A720000}"/>
    <cellStyle name="Денежный 3 2 7 3 2" xfId="29340" xr:uid="{00000000-0005-0000-0000-00009B720000}"/>
    <cellStyle name="Денежный 3 2 7 4" xfId="29341" xr:uid="{00000000-0005-0000-0000-00009C720000}"/>
    <cellStyle name="Денежный 3 2 7 4 2" xfId="29342" xr:uid="{00000000-0005-0000-0000-00009D720000}"/>
    <cellStyle name="Денежный 3 2 7 5" xfId="29343" xr:uid="{00000000-0005-0000-0000-00009E720000}"/>
    <cellStyle name="Денежный 3 2 8" xfId="29344" xr:uid="{00000000-0005-0000-0000-00009F720000}"/>
    <cellStyle name="Денежный 3 2 8 2" xfId="29345" xr:uid="{00000000-0005-0000-0000-0000A0720000}"/>
    <cellStyle name="Денежный 3 2 8 2 2" xfId="29346" xr:uid="{00000000-0005-0000-0000-0000A1720000}"/>
    <cellStyle name="Денежный 3 2 8 2 2 2" xfId="29347" xr:uid="{00000000-0005-0000-0000-0000A2720000}"/>
    <cellStyle name="Денежный 3 2 8 2 3" xfId="29348" xr:uid="{00000000-0005-0000-0000-0000A3720000}"/>
    <cellStyle name="Денежный 3 2 8 3" xfId="29349" xr:uid="{00000000-0005-0000-0000-0000A4720000}"/>
    <cellStyle name="Денежный 3 2 8 3 2" xfId="29350" xr:uid="{00000000-0005-0000-0000-0000A5720000}"/>
    <cellStyle name="Денежный 3 2 8 4" xfId="29351" xr:uid="{00000000-0005-0000-0000-0000A6720000}"/>
    <cellStyle name="Денежный 3 2 8 4 2" xfId="29352" xr:uid="{00000000-0005-0000-0000-0000A7720000}"/>
    <cellStyle name="Денежный 3 2 8 5" xfId="29353" xr:uid="{00000000-0005-0000-0000-0000A8720000}"/>
    <cellStyle name="Денежный 3 2 9" xfId="29354" xr:uid="{00000000-0005-0000-0000-0000A9720000}"/>
    <cellStyle name="Денежный 3 2 9 2" xfId="29355" xr:uid="{00000000-0005-0000-0000-0000AA720000}"/>
    <cellStyle name="Денежный 3 2 9 2 2" xfId="29356" xr:uid="{00000000-0005-0000-0000-0000AB720000}"/>
    <cellStyle name="Денежный 3 2 9 2 2 2" xfId="29357" xr:uid="{00000000-0005-0000-0000-0000AC720000}"/>
    <cellStyle name="Денежный 3 2 9 2 3" xfId="29358" xr:uid="{00000000-0005-0000-0000-0000AD720000}"/>
    <cellStyle name="Денежный 3 2 9 3" xfId="29359" xr:uid="{00000000-0005-0000-0000-0000AE720000}"/>
    <cellStyle name="Денежный 3 2 9 3 2" xfId="29360" xr:uid="{00000000-0005-0000-0000-0000AF720000}"/>
    <cellStyle name="Денежный 3 2 9 4" xfId="29361" xr:uid="{00000000-0005-0000-0000-0000B0720000}"/>
    <cellStyle name="Денежный 3 2 9 4 2" xfId="29362" xr:uid="{00000000-0005-0000-0000-0000B1720000}"/>
    <cellStyle name="Денежный 3 2 9 5" xfId="29363" xr:uid="{00000000-0005-0000-0000-0000B2720000}"/>
    <cellStyle name="Денежный 3 3" xfId="29364" xr:uid="{00000000-0005-0000-0000-0000B3720000}"/>
    <cellStyle name="Денежный 3 3 10" xfId="29365" xr:uid="{00000000-0005-0000-0000-0000B4720000}"/>
    <cellStyle name="Денежный 3 3 2" xfId="29366" xr:uid="{00000000-0005-0000-0000-0000B5720000}"/>
    <cellStyle name="Денежный 3 3 2 2" xfId="29367" xr:uid="{00000000-0005-0000-0000-0000B6720000}"/>
    <cellStyle name="Денежный 3 3 2 2 2" xfId="29368" xr:uid="{00000000-0005-0000-0000-0000B7720000}"/>
    <cellStyle name="Денежный 3 3 2 2 2 2" xfId="29369" xr:uid="{00000000-0005-0000-0000-0000B8720000}"/>
    <cellStyle name="Денежный 3 3 2 2 3" xfId="29370" xr:uid="{00000000-0005-0000-0000-0000B9720000}"/>
    <cellStyle name="Денежный 3 3 2 3" xfId="29371" xr:uid="{00000000-0005-0000-0000-0000BA720000}"/>
    <cellStyle name="Денежный 3 3 2 3 2" xfId="29372" xr:uid="{00000000-0005-0000-0000-0000BB720000}"/>
    <cellStyle name="Денежный 3 3 2 4" xfId="29373" xr:uid="{00000000-0005-0000-0000-0000BC720000}"/>
    <cellStyle name="Денежный 3 3 2 4 2" xfId="29374" xr:uid="{00000000-0005-0000-0000-0000BD720000}"/>
    <cellStyle name="Денежный 3 3 2 5" xfId="29375" xr:uid="{00000000-0005-0000-0000-0000BE720000}"/>
    <cellStyle name="Денежный 3 3 3" xfId="29376" xr:uid="{00000000-0005-0000-0000-0000BF720000}"/>
    <cellStyle name="Денежный 3 3 3 2" xfId="29377" xr:uid="{00000000-0005-0000-0000-0000C0720000}"/>
    <cellStyle name="Денежный 3 3 3 2 2" xfId="29378" xr:uid="{00000000-0005-0000-0000-0000C1720000}"/>
    <cellStyle name="Денежный 3 3 3 2 2 2" xfId="29379" xr:uid="{00000000-0005-0000-0000-0000C2720000}"/>
    <cellStyle name="Денежный 3 3 3 2 3" xfId="29380" xr:uid="{00000000-0005-0000-0000-0000C3720000}"/>
    <cellStyle name="Денежный 3 3 3 3" xfId="29381" xr:uid="{00000000-0005-0000-0000-0000C4720000}"/>
    <cellStyle name="Денежный 3 3 3 3 2" xfId="29382" xr:uid="{00000000-0005-0000-0000-0000C5720000}"/>
    <cellStyle name="Денежный 3 3 3 4" xfId="29383" xr:uid="{00000000-0005-0000-0000-0000C6720000}"/>
    <cellStyle name="Денежный 3 3 3 4 2" xfId="29384" xr:uid="{00000000-0005-0000-0000-0000C7720000}"/>
    <cellStyle name="Денежный 3 3 3 5" xfId="29385" xr:uid="{00000000-0005-0000-0000-0000C8720000}"/>
    <cellStyle name="Денежный 3 3 4" xfId="29386" xr:uid="{00000000-0005-0000-0000-0000C9720000}"/>
    <cellStyle name="Денежный 3 3 4 2" xfId="29387" xr:uid="{00000000-0005-0000-0000-0000CA720000}"/>
    <cellStyle name="Денежный 3 3 4 2 2" xfId="29388" xr:uid="{00000000-0005-0000-0000-0000CB720000}"/>
    <cellStyle name="Денежный 3 3 4 2 2 2" xfId="29389" xr:uid="{00000000-0005-0000-0000-0000CC720000}"/>
    <cellStyle name="Денежный 3 3 4 2 3" xfId="29390" xr:uid="{00000000-0005-0000-0000-0000CD720000}"/>
    <cellStyle name="Денежный 3 3 4 3" xfId="29391" xr:uid="{00000000-0005-0000-0000-0000CE720000}"/>
    <cellStyle name="Денежный 3 3 4 3 2" xfId="29392" xr:uid="{00000000-0005-0000-0000-0000CF720000}"/>
    <cellStyle name="Денежный 3 3 4 4" xfId="29393" xr:uid="{00000000-0005-0000-0000-0000D0720000}"/>
    <cellStyle name="Денежный 3 3 4 4 2" xfId="29394" xr:uid="{00000000-0005-0000-0000-0000D1720000}"/>
    <cellStyle name="Денежный 3 3 4 5" xfId="29395" xr:uid="{00000000-0005-0000-0000-0000D2720000}"/>
    <cellStyle name="Денежный 3 3 5" xfId="29396" xr:uid="{00000000-0005-0000-0000-0000D3720000}"/>
    <cellStyle name="Денежный 3 3 5 2" xfId="29397" xr:uid="{00000000-0005-0000-0000-0000D4720000}"/>
    <cellStyle name="Денежный 3 3 5 2 2" xfId="29398" xr:uid="{00000000-0005-0000-0000-0000D5720000}"/>
    <cellStyle name="Денежный 3 3 5 2 2 2" xfId="29399" xr:uid="{00000000-0005-0000-0000-0000D6720000}"/>
    <cellStyle name="Денежный 3 3 5 2 3" xfId="29400" xr:uid="{00000000-0005-0000-0000-0000D7720000}"/>
    <cellStyle name="Денежный 3 3 5 3" xfId="29401" xr:uid="{00000000-0005-0000-0000-0000D8720000}"/>
    <cellStyle name="Денежный 3 3 5 3 2" xfId="29402" xr:uid="{00000000-0005-0000-0000-0000D9720000}"/>
    <cellStyle name="Денежный 3 3 5 4" xfId="29403" xr:uid="{00000000-0005-0000-0000-0000DA720000}"/>
    <cellStyle name="Денежный 3 3 5 4 2" xfId="29404" xr:uid="{00000000-0005-0000-0000-0000DB720000}"/>
    <cellStyle name="Денежный 3 3 5 5" xfId="29405" xr:uid="{00000000-0005-0000-0000-0000DC720000}"/>
    <cellStyle name="Денежный 3 3 6" xfId="29406" xr:uid="{00000000-0005-0000-0000-0000DD720000}"/>
    <cellStyle name="Денежный 3 3 6 2" xfId="29407" xr:uid="{00000000-0005-0000-0000-0000DE720000}"/>
    <cellStyle name="Денежный 3 3 6 2 2" xfId="29408" xr:uid="{00000000-0005-0000-0000-0000DF720000}"/>
    <cellStyle name="Денежный 3 3 6 3" xfId="29409" xr:uid="{00000000-0005-0000-0000-0000E0720000}"/>
    <cellStyle name="Денежный 3 3 7" xfId="29410" xr:uid="{00000000-0005-0000-0000-0000E1720000}"/>
    <cellStyle name="Денежный 3 3 7 2" xfId="29411" xr:uid="{00000000-0005-0000-0000-0000E2720000}"/>
    <cellStyle name="Денежный 3 3 8" xfId="29412" xr:uid="{00000000-0005-0000-0000-0000E3720000}"/>
    <cellStyle name="Денежный 3 3 8 2" xfId="29413" xr:uid="{00000000-0005-0000-0000-0000E4720000}"/>
    <cellStyle name="Денежный 3 3 9" xfId="29414" xr:uid="{00000000-0005-0000-0000-0000E5720000}"/>
    <cellStyle name="Денежный 3 4" xfId="29415" xr:uid="{00000000-0005-0000-0000-0000E6720000}"/>
    <cellStyle name="Денежный 3 4 10" xfId="29416" xr:uid="{00000000-0005-0000-0000-0000E7720000}"/>
    <cellStyle name="Денежный 3 4 2" xfId="29417" xr:uid="{00000000-0005-0000-0000-0000E8720000}"/>
    <cellStyle name="Денежный 3 4 2 2" xfId="29418" xr:uid="{00000000-0005-0000-0000-0000E9720000}"/>
    <cellStyle name="Денежный 3 4 2 2 2" xfId="29419" xr:uid="{00000000-0005-0000-0000-0000EA720000}"/>
    <cellStyle name="Денежный 3 4 2 2 2 2" xfId="29420" xr:uid="{00000000-0005-0000-0000-0000EB720000}"/>
    <cellStyle name="Денежный 3 4 2 2 3" xfId="29421" xr:uid="{00000000-0005-0000-0000-0000EC720000}"/>
    <cellStyle name="Денежный 3 4 2 3" xfId="29422" xr:uid="{00000000-0005-0000-0000-0000ED720000}"/>
    <cellStyle name="Денежный 3 4 2 3 2" xfId="29423" xr:uid="{00000000-0005-0000-0000-0000EE720000}"/>
    <cellStyle name="Денежный 3 4 2 4" xfId="29424" xr:uid="{00000000-0005-0000-0000-0000EF720000}"/>
    <cellStyle name="Денежный 3 4 2 4 2" xfId="29425" xr:uid="{00000000-0005-0000-0000-0000F0720000}"/>
    <cellStyle name="Денежный 3 4 2 5" xfId="29426" xr:uid="{00000000-0005-0000-0000-0000F1720000}"/>
    <cellStyle name="Денежный 3 4 3" xfId="29427" xr:uid="{00000000-0005-0000-0000-0000F2720000}"/>
    <cellStyle name="Денежный 3 4 3 2" xfId="29428" xr:uid="{00000000-0005-0000-0000-0000F3720000}"/>
    <cellStyle name="Денежный 3 4 3 2 2" xfId="29429" xr:uid="{00000000-0005-0000-0000-0000F4720000}"/>
    <cellStyle name="Денежный 3 4 3 2 2 2" xfId="29430" xr:uid="{00000000-0005-0000-0000-0000F5720000}"/>
    <cellStyle name="Денежный 3 4 3 2 3" xfId="29431" xr:uid="{00000000-0005-0000-0000-0000F6720000}"/>
    <cellStyle name="Денежный 3 4 3 3" xfId="29432" xr:uid="{00000000-0005-0000-0000-0000F7720000}"/>
    <cellStyle name="Денежный 3 4 3 3 2" xfId="29433" xr:uid="{00000000-0005-0000-0000-0000F8720000}"/>
    <cellStyle name="Денежный 3 4 3 4" xfId="29434" xr:uid="{00000000-0005-0000-0000-0000F9720000}"/>
    <cellStyle name="Денежный 3 4 3 4 2" xfId="29435" xr:uid="{00000000-0005-0000-0000-0000FA720000}"/>
    <cellStyle name="Денежный 3 4 3 5" xfId="29436" xr:uid="{00000000-0005-0000-0000-0000FB720000}"/>
    <cellStyle name="Денежный 3 4 4" xfId="29437" xr:uid="{00000000-0005-0000-0000-0000FC720000}"/>
    <cellStyle name="Денежный 3 4 4 2" xfId="29438" xr:uid="{00000000-0005-0000-0000-0000FD720000}"/>
    <cellStyle name="Денежный 3 4 4 2 2" xfId="29439" xr:uid="{00000000-0005-0000-0000-0000FE720000}"/>
    <cellStyle name="Денежный 3 4 4 2 2 2" xfId="29440" xr:uid="{00000000-0005-0000-0000-0000FF720000}"/>
    <cellStyle name="Денежный 3 4 4 2 3" xfId="29441" xr:uid="{00000000-0005-0000-0000-000000730000}"/>
    <cellStyle name="Денежный 3 4 4 3" xfId="29442" xr:uid="{00000000-0005-0000-0000-000001730000}"/>
    <cellStyle name="Денежный 3 4 4 3 2" xfId="29443" xr:uid="{00000000-0005-0000-0000-000002730000}"/>
    <cellStyle name="Денежный 3 4 4 4" xfId="29444" xr:uid="{00000000-0005-0000-0000-000003730000}"/>
    <cellStyle name="Денежный 3 4 4 4 2" xfId="29445" xr:uid="{00000000-0005-0000-0000-000004730000}"/>
    <cellStyle name="Денежный 3 4 4 5" xfId="29446" xr:uid="{00000000-0005-0000-0000-000005730000}"/>
    <cellStyle name="Денежный 3 4 5" xfId="29447" xr:uid="{00000000-0005-0000-0000-000006730000}"/>
    <cellStyle name="Денежный 3 4 5 2" xfId="29448" xr:uid="{00000000-0005-0000-0000-000007730000}"/>
    <cellStyle name="Денежный 3 4 5 2 2" xfId="29449" xr:uid="{00000000-0005-0000-0000-000008730000}"/>
    <cellStyle name="Денежный 3 4 5 2 2 2" xfId="29450" xr:uid="{00000000-0005-0000-0000-000009730000}"/>
    <cellStyle name="Денежный 3 4 5 2 3" xfId="29451" xr:uid="{00000000-0005-0000-0000-00000A730000}"/>
    <cellStyle name="Денежный 3 4 5 3" xfId="29452" xr:uid="{00000000-0005-0000-0000-00000B730000}"/>
    <cellStyle name="Денежный 3 4 5 3 2" xfId="29453" xr:uid="{00000000-0005-0000-0000-00000C730000}"/>
    <cellStyle name="Денежный 3 4 5 4" xfId="29454" xr:uid="{00000000-0005-0000-0000-00000D730000}"/>
    <cellStyle name="Денежный 3 4 5 4 2" xfId="29455" xr:uid="{00000000-0005-0000-0000-00000E730000}"/>
    <cellStyle name="Денежный 3 4 5 5" xfId="29456" xr:uid="{00000000-0005-0000-0000-00000F730000}"/>
    <cellStyle name="Денежный 3 4 6" xfId="29457" xr:uid="{00000000-0005-0000-0000-000010730000}"/>
    <cellStyle name="Денежный 3 4 6 2" xfId="29458" xr:uid="{00000000-0005-0000-0000-000011730000}"/>
    <cellStyle name="Денежный 3 4 6 2 2" xfId="29459" xr:uid="{00000000-0005-0000-0000-000012730000}"/>
    <cellStyle name="Денежный 3 4 6 3" xfId="29460" xr:uid="{00000000-0005-0000-0000-000013730000}"/>
    <cellStyle name="Денежный 3 4 7" xfId="29461" xr:uid="{00000000-0005-0000-0000-000014730000}"/>
    <cellStyle name="Денежный 3 4 7 2" xfId="29462" xr:uid="{00000000-0005-0000-0000-000015730000}"/>
    <cellStyle name="Денежный 3 4 8" xfId="29463" xr:uid="{00000000-0005-0000-0000-000016730000}"/>
    <cellStyle name="Денежный 3 4 8 2" xfId="29464" xr:uid="{00000000-0005-0000-0000-000017730000}"/>
    <cellStyle name="Денежный 3 4 9" xfId="29465" xr:uid="{00000000-0005-0000-0000-000018730000}"/>
    <cellStyle name="Денежный 3 5" xfId="29466" xr:uid="{00000000-0005-0000-0000-000019730000}"/>
    <cellStyle name="Денежный 3 5 10" xfId="29467" xr:uid="{00000000-0005-0000-0000-00001A730000}"/>
    <cellStyle name="Денежный 3 5 2" xfId="29468" xr:uid="{00000000-0005-0000-0000-00001B730000}"/>
    <cellStyle name="Денежный 3 5 2 2" xfId="29469" xr:uid="{00000000-0005-0000-0000-00001C730000}"/>
    <cellStyle name="Денежный 3 5 2 2 2" xfId="29470" xr:uid="{00000000-0005-0000-0000-00001D730000}"/>
    <cellStyle name="Денежный 3 5 2 2 2 2" xfId="29471" xr:uid="{00000000-0005-0000-0000-00001E730000}"/>
    <cellStyle name="Денежный 3 5 2 2 3" xfId="29472" xr:uid="{00000000-0005-0000-0000-00001F730000}"/>
    <cellStyle name="Денежный 3 5 2 3" xfId="29473" xr:uid="{00000000-0005-0000-0000-000020730000}"/>
    <cellStyle name="Денежный 3 5 2 3 2" xfId="29474" xr:uid="{00000000-0005-0000-0000-000021730000}"/>
    <cellStyle name="Денежный 3 5 2 4" xfId="29475" xr:uid="{00000000-0005-0000-0000-000022730000}"/>
    <cellStyle name="Денежный 3 5 2 4 2" xfId="29476" xr:uid="{00000000-0005-0000-0000-000023730000}"/>
    <cellStyle name="Денежный 3 5 2 5" xfId="29477" xr:uid="{00000000-0005-0000-0000-000024730000}"/>
    <cellStyle name="Денежный 3 5 3" xfId="29478" xr:uid="{00000000-0005-0000-0000-000025730000}"/>
    <cellStyle name="Денежный 3 5 3 2" xfId="29479" xr:uid="{00000000-0005-0000-0000-000026730000}"/>
    <cellStyle name="Денежный 3 5 3 2 2" xfId="29480" xr:uid="{00000000-0005-0000-0000-000027730000}"/>
    <cellStyle name="Денежный 3 5 3 2 2 2" xfId="29481" xr:uid="{00000000-0005-0000-0000-000028730000}"/>
    <cellStyle name="Денежный 3 5 3 2 3" xfId="29482" xr:uid="{00000000-0005-0000-0000-000029730000}"/>
    <cellStyle name="Денежный 3 5 3 3" xfId="29483" xr:uid="{00000000-0005-0000-0000-00002A730000}"/>
    <cellStyle name="Денежный 3 5 3 3 2" xfId="29484" xr:uid="{00000000-0005-0000-0000-00002B730000}"/>
    <cellStyle name="Денежный 3 5 3 4" xfId="29485" xr:uid="{00000000-0005-0000-0000-00002C730000}"/>
    <cellStyle name="Денежный 3 5 3 4 2" xfId="29486" xr:uid="{00000000-0005-0000-0000-00002D730000}"/>
    <cellStyle name="Денежный 3 5 3 5" xfId="29487" xr:uid="{00000000-0005-0000-0000-00002E730000}"/>
    <cellStyle name="Денежный 3 5 4" xfId="29488" xr:uid="{00000000-0005-0000-0000-00002F730000}"/>
    <cellStyle name="Денежный 3 5 4 2" xfId="29489" xr:uid="{00000000-0005-0000-0000-000030730000}"/>
    <cellStyle name="Денежный 3 5 4 2 2" xfId="29490" xr:uid="{00000000-0005-0000-0000-000031730000}"/>
    <cellStyle name="Денежный 3 5 4 2 2 2" xfId="29491" xr:uid="{00000000-0005-0000-0000-000032730000}"/>
    <cellStyle name="Денежный 3 5 4 2 3" xfId="29492" xr:uid="{00000000-0005-0000-0000-000033730000}"/>
    <cellStyle name="Денежный 3 5 4 3" xfId="29493" xr:uid="{00000000-0005-0000-0000-000034730000}"/>
    <cellStyle name="Денежный 3 5 4 3 2" xfId="29494" xr:uid="{00000000-0005-0000-0000-000035730000}"/>
    <cellStyle name="Денежный 3 5 4 4" xfId="29495" xr:uid="{00000000-0005-0000-0000-000036730000}"/>
    <cellStyle name="Денежный 3 5 4 4 2" xfId="29496" xr:uid="{00000000-0005-0000-0000-000037730000}"/>
    <cellStyle name="Денежный 3 5 4 5" xfId="29497" xr:uid="{00000000-0005-0000-0000-000038730000}"/>
    <cellStyle name="Денежный 3 5 5" xfId="29498" xr:uid="{00000000-0005-0000-0000-000039730000}"/>
    <cellStyle name="Денежный 3 5 5 2" xfId="29499" xr:uid="{00000000-0005-0000-0000-00003A730000}"/>
    <cellStyle name="Денежный 3 5 5 2 2" xfId="29500" xr:uid="{00000000-0005-0000-0000-00003B730000}"/>
    <cellStyle name="Денежный 3 5 5 2 2 2" xfId="29501" xr:uid="{00000000-0005-0000-0000-00003C730000}"/>
    <cellStyle name="Денежный 3 5 5 2 3" xfId="29502" xr:uid="{00000000-0005-0000-0000-00003D730000}"/>
    <cellStyle name="Денежный 3 5 5 3" xfId="29503" xr:uid="{00000000-0005-0000-0000-00003E730000}"/>
    <cellStyle name="Денежный 3 5 5 3 2" xfId="29504" xr:uid="{00000000-0005-0000-0000-00003F730000}"/>
    <cellStyle name="Денежный 3 5 5 4" xfId="29505" xr:uid="{00000000-0005-0000-0000-000040730000}"/>
    <cellStyle name="Денежный 3 5 5 4 2" xfId="29506" xr:uid="{00000000-0005-0000-0000-000041730000}"/>
    <cellStyle name="Денежный 3 5 5 5" xfId="29507" xr:uid="{00000000-0005-0000-0000-000042730000}"/>
    <cellStyle name="Денежный 3 5 6" xfId="29508" xr:uid="{00000000-0005-0000-0000-000043730000}"/>
    <cellStyle name="Денежный 3 5 6 2" xfId="29509" xr:uid="{00000000-0005-0000-0000-000044730000}"/>
    <cellStyle name="Денежный 3 5 6 2 2" xfId="29510" xr:uid="{00000000-0005-0000-0000-000045730000}"/>
    <cellStyle name="Денежный 3 5 6 3" xfId="29511" xr:uid="{00000000-0005-0000-0000-000046730000}"/>
    <cellStyle name="Денежный 3 5 7" xfId="29512" xr:uid="{00000000-0005-0000-0000-000047730000}"/>
    <cellStyle name="Денежный 3 5 7 2" xfId="29513" xr:uid="{00000000-0005-0000-0000-000048730000}"/>
    <cellStyle name="Денежный 3 5 8" xfId="29514" xr:uid="{00000000-0005-0000-0000-000049730000}"/>
    <cellStyle name="Денежный 3 5 8 2" xfId="29515" xr:uid="{00000000-0005-0000-0000-00004A730000}"/>
    <cellStyle name="Денежный 3 5 9" xfId="29516" xr:uid="{00000000-0005-0000-0000-00004B730000}"/>
    <cellStyle name="Денежный 3 6" xfId="29517" xr:uid="{00000000-0005-0000-0000-00004C730000}"/>
    <cellStyle name="Денежный 3 6 10" xfId="29518" xr:uid="{00000000-0005-0000-0000-00004D730000}"/>
    <cellStyle name="Денежный 3 6 2" xfId="29519" xr:uid="{00000000-0005-0000-0000-00004E730000}"/>
    <cellStyle name="Денежный 3 6 2 2" xfId="29520" xr:uid="{00000000-0005-0000-0000-00004F730000}"/>
    <cellStyle name="Денежный 3 6 2 2 2" xfId="29521" xr:uid="{00000000-0005-0000-0000-000050730000}"/>
    <cellStyle name="Денежный 3 6 2 2 2 2" xfId="29522" xr:uid="{00000000-0005-0000-0000-000051730000}"/>
    <cellStyle name="Денежный 3 6 2 2 3" xfId="29523" xr:uid="{00000000-0005-0000-0000-000052730000}"/>
    <cellStyle name="Денежный 3 6 2 3" xfId="29524" xr:uid="{00000000-0005-0000-0000-000053730000}"/>
    <cellStyle name="Денежный 3 6 2 3 2" xfId="29525" xr:uid="{00000000-0005-0000-0000-000054730000}"/>
    <cellStyle name="Денежный 3 6 2 4" xfId="29526" xr:uid="{00000000-0005-0000-0000-000055730000}"/>
    <cellStyle name="Денежный 3 6 2 4 2" xfId="29527" xr:uid="{00000000-0005-0000-0000-000056730000}"/>
    <cellStyle name="Денежный 3 6 2 5" xfId="29528" xr:uid="{00000000-0005-0000-0000-000057730000}"/>
    <cellStyle name="Денежный 3 6 3" xfId="29529" xr:uid="{00000000-0005-0000-0000-000058730000}"/>
    <cellStyle name="Денежный 3 6 3 2" xfId="29530" xr:uid="{00000000-0005-0000-0000-000059730000}"/>
    <cellStyle name="Денежный 3 6 3 2 2" xfId="29531" xr:uid="{00000000-0005-0000-0000-00005A730000}"/>
    <cellStyle name="Денежный 3 6 3 2 2 2" xfId="29532" xr:uid="{00000000-0005-0000-0000-00005B730000}"/>
    <cellStyle name="Денежный 3 6 3 2 3" xfId="29533" xr:uid="{00000000-0005-0000-0000-00005C730000}"/>
    <cellStyle name="Денежный 3 6 3 3" xfId="29534" xr:uid="{00000000-0005-0000-0000-00005D730000}"/>
    <cellStyle name="Денежный 3 6 3 3 2" xfId="29535" xr:uid="{00000000-0005-0000-0000-00005E730000}"/>
    <cellStyle name="Денежный 3 6 3 4" xfId="29536" xr:uid="{00000000-0005-0000-0000-00005F730000}"/>
    <cellStyle name="Денежный 3 6 3 4 2" xfId="29537" xr:uid="{00000000-0005-0000-0000-000060730000}"/>
    <cellStyle name="Денежный 3 6 3 5" xfId="29538" xr:uid="{00000000-0005-0000-0000-000061730000}"/>
    <cellStyle name="Денежный 3 6 4" xfId="29539" xr:uid="{00000000-0005-0000-0000-000062730000}"/>
    <cellStyle name="Денежный 3 6 4 2" xfId="29540" xr:uid="{00000000-0005-0000-0000-000063730000}"/>
    <cellStyle name="Денежный 3 6 4 2 2" xfId="29541" xr:uid="{00000000-0005-0000-0000-000064730000}"/>
    <cellStyle name="Денежный 3 6 4 2 2 2" xfId="29542" xr:uid="{00000000-0005-0000-0000-000065730000}"/>
    <cellStyle name="Денежный 3 6 4 2 3" xfId="29543" xr:uid="{00000000-0005-0000-0000-000066730000}"/>
    <cellStyle name="Денежный 3 6 4 3" xfId="29544" xr:uid="{00000000-0005-0000-0000-000067730000}"/>
    <cellStyle name="Денежный 3 6 4 3 2" xfId="29545" xr:uid="{00000000-0005-0000-0000-000068730000}"/>
    <cellStyle name="Денежный 3 6 4 4" xfId="29546" xr:uid="{00000000-0005-0000-0000-000069730000}"/>
    <cellStyle name="Денежный 3 6 4 4 2" xfId="29547" xr:uid="{00000000-0005-0000-0000-00006A730000}"/>
    <cellStyle name="Денежный 3 6 4 5" xfId="29548" xr:uid="{00000000-0005-0000-0000-00006B730000}"/>
    <cellStyle name="Денежный 3 6 5" xfId="29549" xr:uid="{00000000-0005-0000-0000-00006C730000}"/>
    <cellStyle name="Денежный 3 6 5 2" xfId="29550" xr:uid="{00000000-0005-0000-0000-00006D730000}"/>
    <cellStyle name="Денежный 3 6 5 2 2" xfId="29551" xr:uid="{00000000-0005-0000-0000-00006E730000}"/>
    <cellStyle name="Денежный 3 6 5 2 2 2" xfId="29552" xr:uid="{00000000-0005-0000-0000-00006F730000}"/>
    <cellStyle name="Денежный 3 6 5 2 3" xfId="29553" xr:uid="{00000000-0005-0000-0000-000070730000}"/>
    <cellStyle name="Денежный 3 6 5 3" xfId="29554" xr:uid="{00000000-0005-0000-0000-000071730000}"/>
    <cellStyle name="Денежный 3 6 5 3 2" xfId="29555" xr:uid="{00000000-0005-0000-0000-000072730000}"/>
    <cellStyle name="Денежный 3 6 5 4" xfId="29556" xr:uid="{00000000-0005-0000-0000-000073730000}"/>
    <cellStyle name="Денежный 3 6 5 4 2" xfId="29557" xr:uid="{00000000-0005-0000-0000-000074730000}"/>
    <cellStyle name="Денежный 3 6 5 5" xfId="29558" xr:uid="{00000000-0005-0000-0000-000075730000}"/>
    <cellStyle name="Денежный 3 6 6" xfId="29559" xr:uid="{00000000-0005-0000-0000-000076730000}"/>
    <cellStyle name="Денежный 3 6 6 2" xfId="29560" xr:uid="{00000000-0005-0000-0000-000077730000}"/>
    <cellStyle name="Денежный 3 6 6 2 2" xfId="29561" xr:uid="{00000000-0005-0000-0000-000078730000}"/>
    <cellStyle name="Денежный 3 6 6 3" xfId="29562" xr:uid="{00000000-0005-0000-0000-000079730000}"/>
    <cellStyle name="Денежный 3 6 7" xfId="29563" xr:uid="{00000000-0005-0000-0000-00007A730000}"/>
    <cellStyle name="Денежный 3 6 7 2" xfId="29564" xr:uid="{00000000-0005-0000-0000-00007B730000}"/>
    <cellStyle name="Денежный 3 6 8" xfId="29565" xr:uid="{00000000-0005-0000-0000-00007C730000}"/>
    <cellStyle name="Денежный 3 6 8 2" xfId="29566" xr:uid="{00000000-0005-0000-0000-00007D730000}"/>
    <cellStyle name="Денежный 3 6 9" xfId="29567" xr:uid="{00000000-0005-0000-0000-00007E730000}"/>
    <cellStyle name="Денежный 3 7" xfId="29568" xr:uid="{00000000-0005-0000-0000-00007F730000}"/>
    <cellStyle name="Денежный 3 7 10" xfId="29569" xr:uid="{00000000-0005-0000-0000-000080730000}"/>
    <cellStyle name="Денежный 3 7 2" xfId="29570" xr:uid="{00000000-0005-0000-0000-000081730000}"/>
    <cellStyle name="Денежный 3 7 2 2" xfId="29571" xr:uid="{00000000-0005-0000-0000-000082730000}"/>
    <cellStyle name="Денежный 3 7 2 2 2" xfId="29572" xr:uid="{00000000-0005-0000-0000-000083730000}"/>
    <cellStyle name="Денежный 3 7 2 2 2 2" xfId="29573" xr:uid="{00000000-0005-0000-0000-000084730000}"/>
    <cellStyle name="Денежный 3 7 2 2 3" xfId="29574" xr:uid="{00000000-0005-0000-0000-000085730000}"/>
    <cellStyle name="Денежный 3 7 2 3" xfId="29575" xr:uid="{00000000-0005-0000-0000-000086730000}"/>
    <cellStyle name="Денежный 3 7 2 3 2" xfId="29576" xr:uid="{00000000-0005-0000-0000-000087730000}"/>
    <cellStyle name="Денежный 3 7 2 4" xfId="29577" xr:uid="{00000000-0005-0000-0000-000088730000}"/>
    <cellStyle name="Денежный 3 7 2 4 2" xfId="29578" xr:uid="{00000000-0005-0000-0000-000089730000}"/>
    <cellStyle name="Денежный 3 7 2 5" xfId="29579" xr:uid="{00000000-0005-0000-0000-00008A730000}"/>
    <cellStyle name="Денежный 3 7 3" xfId="29580" xr:uid="{00000000-0005-0000-0000-00008B730000}"/>
    <cellStyle name="Денежный 3 7 3 2" xfId="29581" xr:uid="{00000000-0005-0000-0000-00008C730000}"/>
    <cellStyle name="Денежный 3 7 3 2 2" xfId="29582" xr:uid="{00000000-0005-0000-0000-00008D730000}"/>
    <cellStyle name="Денежный 3 7 3 2 2 2" xfId="29583" xr:uid="{00000000-0005-0000-0000-00008E730000}"/>
    <cellStyle name="Денежный 3 7 3 2 3" xfId="29584" xr:uid="{00000000-0005-0000-0000-00008F730000}"/>
    <cellStyle name="Денежный 3 7 3 3" xfId="29585" xr:uid="{00000000-0005-0000-0000-000090730000}"/>
    <cellStyle name="Денежный 3 7 3 3 2" xfId="29586" xr:uid="{00000000-0005-0000-0000-000091730000}"/>
    <cellStyle name="Денежный 3 7 3 4" xfId="29587" xr:uid="{00000000-0005-0000-0000-000092730000}"/>
    <cellStyle name="Денежный 3 7 3 4 2" xfId="29588" xr:uid="{00000000-0005-0000-0000-000093730000}"/>
    <cellStyle name="Денежный 3 7 3 5" xfId="29589" xr:uid="{00000000-0005-0000-0000-000094730000}"/>
    <cellStyle name="Денежный 3 7 4" xfId="29590" xr:uid="{00000000-0005-0000-0000-000095730000}"/>
    <cellStyle name="Денежный 3 7 4 2" xfId="29591" xr:uid="{00000000-0005-0000-0000-000096730000}"/>
    <cellStyle name="Денежный 3 7 4 2 2" xfId="29592" xr:uid="{00000000-0005-0000-0000-000097730000}"/>
    <cellStyle name="Денежный 3 7 4 2 2 2" xfId="29593" xr:uid="{00000000-0005-0000-0000-000098730000}"/>
    <cellStyle name="Денежный 3 7 4 2 3" xfId="29594" xr:uid="{00000000-0005-0000-0000-000099730000}"/>
    <cellStyle name="Денежный 3 7 4 3" xfId="29595" xr:uid="{00000000-0005-0000-0000-00009A730000}"/>
    <cellStyle name="Денежный 3 7 4 3 2" xfId="29596" xr:uid="{00000000-0005-0000-0000-00009B730000}"/>
    <cellStyle name="Денежный 3 7 4 4" xfId="29597" xr:uid="{00000000-0005-0000-0000-00009C730000}"/>
    <cellStyle name="Денежный 3 7 4 4 2" xfId="29598" xr:uid="{00000000-0005-0000-0000-00009D730000}"/>
    <cellStyle name="Денежный 3 7 4 5" xfId="29599" xr:uid="{00000000-0005-0000-0000-00009E730000}"/>
    <cellStyle name="Денежный 3 7 5" xfId="29600" xr:uid="{00000000-0005-0000-0000-00009F730000}"/>
    <cellStyle name="Денежный 3 7 5 2" xfId="29601" xr:uid="{00000000-0005-0000-0000-0000A0730000}"/>
    <cellStyle name="Денежный 3 7 5 2 2" xfId="29602" xr:uid="{00000000-0005-0000-0000-0000A1730000}"/>
    <cellStyle name="Денежный 3 7 5 2 2 2" xfId="29603" xr:uid="{00000000-0005-0000-0000-0000A2730000}"/>
    <cellStyle name="Денежный 3 7 5 2 3" xfId="29604" xr:uid="{00000000-0005-0000-0000-0000A3730000}"/>
    <cellStyle name="Денежный 3 7 5 3" xfId="29605" xr:uid="{00000000-0005-0000-0000-0000A4730000}"/>
    <cellStyle name="Денежный 3 7 5 3 2" xfId="29606" xr:uid="{00000000-0005-0000-0000-0000A5730000}"/>
    <cellStyle name="Денежный 3 7 5 4" xfId="29607" xr:uid="{00000000-0005-0000-0000-0000A6730000}"/>
    <cellStyle name="Денежный 3 7 5 4 2" xfId="29608" xr:uid="{00000000-0005-0000-0000-0000A7730000}"/>
    <cellStyle name="Денежный 3 7 5 5" xfId="29609" xr:uid="{00000000-0005-0000-0000-0000A8730000}"/>
    <cellStyle name="Денежный 3 7 6" xfId="29610" xr:uid="{00000000-0005-0000-0000-0000A9730000}"/>
    <cellStyle name="Денежный 3 7 6 2" xfId="29611" xr:uid="{00000000-0005-0000-0000-0000AA730000}"/>
    <cellStyle name="Денежный 3 7 6 2 2" xfId="29612" xr:uid="{00000000-0005-0000-0000-0000AB730000}"/>
    <cellStyle name="Денежный 3 7 6 3" xfId="29613" xr:uid="{00000000-0005-0000-0000-0000AC730000}"/>
    <cellStyle name="Денежный 3 7 7" xfId="29614" xr:uid="{00000000-0005-0000-0000-0000AD730000}"/>
    <cellStyle name="Денежный 3 7 7 2" xfId="29615" xr:uid="{00000000-0005-0000-0000-0000AE730000}"/>
    <cellStyle name="Денежный 3 7 8" xfId="29616" xr:uid="{00000000-0005-0000-0000-0000AF730000}"/>
    <cellStyle name="Денежный 3 7 8 2" xfId="29617" xr:uid="{00000000-0005-0000-0000-0000B0730000}"/>
    <cellStyle name="Денежный 3 7 9" xfId="29618" xr:uid="{00000000-0005-0000-0000-0000B1730000}"/>
    <cellStyle name="Денежный 3 8" xfId="29619" xr:uid="{00000000-0005-0000-0000-0000B2730000}"/>
    <cellStyle name="Денежный 3 8 2" xfId="29620" xr:uid="{00000000-0005-0000-0000-0000B3730000}"/>
    <cellStyle name="Денежный 3 8 2 2" xfId="29621" xr:uid="{00000000-0005-0000-0000-0000B4730000}"/>
    <cellStyle name="Денежный 3 8 2 2 2" xfId="29622" xr:uid="{00000000-0005-0000-0000-0000B5730000}"/>
    <cellStyle name="Денежный 3 8 2 2 2 2" xfId="29623" xr:uid="{00000000-0005-0000-0000-0000B6730000}"/>
    <cellStyle name="Денежный 3 8 2 2 3" xfId="29624" xr:uid="{00000000-0005-0000-0000-0000B7730000}"/>
    <cellStyle name="Денежный 3 8 2 3" xfId="29625" xr:uid="{00000000-0005-0000-0000-0000B8730000}"/>
    <cellStyle name="Денежный 3 8 2 3 2" xfId="29626" xr:uid="{00000000-0005-0000-0000-0000B9730000}"/>
    <cellStyle name="Денежный 3 8 2 4" xfId="29627" xr:uid="{00000000-0005-0000-0000-0000BA730000}"/>
    <cellStyle name="Денежный 3 8 2 4 2" xfId="29628" xr:uid="{00000000-0005-0000-0000-0000BB730000}"/>
    <cellStyle name="Денежный 3 8 2 5" xfId="29629" xr:uid="{00000000-0005-0000-0000-0000BC730000}"/>
    <cellStyle name="Денежный 3 8 3" xfId="29630" xr:uid="{00000000-0005-0000-0000-0000BD730000}"/>
    <cellStyle name="Денежный 3 8 3 2" xfId="29631" xr:uid="{00000000-0005-0000-0000-0000BE730000}"/>
    <cellStyle name="Денежный 3 8 3 2 2" xfId="29632" xr:uid="{00000000-0005-0000-0000-0000BF730000}"/>
    <cellStyle name="Денежный 3 8 3 2 2 2" xfId="29633" xr:uid="{00000000-0005-0000-0000-0000C0730000}"/>
    <cellStyle name="Денежный 3 8 3 2 3" xfId="29634" xr:uid="{00000000-0005-0000-0000-0000C1730000}"/>
    <cellStyle name="Денежный 3 8 3 3" xfId="29635" xr:uid="{00000000-0005-0000-0000-0000C2730000}"/>
    <cellStyle name="Денежный 3 8 3 3 2" xfId="29636" xr:uid="{00000000-0005-0000-0000-0000C3730000}"/>
    <cellStyle name="Денежный 3 8 3 4" xfId="29637" xr:uid="{00000000-0005-0000-0000-0000C4730000}"/>
    <cellStyle name="Денежный 3 8 3 4 2" xfId="29638" xr:uid="{00000000-0005-0000-0000-0000C5730000}"/>
    <cellStyle name="Денежный 3 8 3 5" xfId="29639" xr:uid="{00000000-0005-0000-0000-0000C6730000}"/>
    <cellStyle name="Денежный 3 8 4" xfId="29640" xr:uid="{00000000-0005-0000-0000-0000C7730000}"/>
    <cellStyle name="Денежный 3 8 4 2" xfId="29641" xr:uid="{00000000-0005-0000-0000-0000C8730000}"/>
    <cellStyle name="Денежный 3 8 4 2 2" xfId="29642" xr:uid="{00000000-0005-0000-0000-0000C9730000}"/>
    <cellStyle name="Денежный 3 8 4 3" xfId="29643" xr:uid="{00000000-0005-0000-0000-0000CA730000}"/>
    <cellStyle name="Денежный 3 8 5" xfId="29644" xr:uid="{00000000-0005-0000-0000-0000CB730000}"/>
    <cellStyle name="Денежный 3 8 5 2" xfId="29645" xr:uid="{00000000-0005-0000-0000-0000CC730000}"/>
    <cellStyle name="Денежный 3 8 6" xfId="29646" xr:uid="{00000000-0005-0000-0000-0000CD730000}"/>
    <cellStyle name="Денежный 3 8 6 2" xfId="29647" xr:uid="{00000000-0005-0000-0000-0000CE730000}"/>
    <cellStyle name="Денежный 3 8 7" xfId="29648" xr:uid="{00000000-0005-0000-0000-0000CF730000}"/>
    <cellStyle name="Денежный 3 9" xfId="29649" xr:uid="{00000000-0005-0000-0000-0000D0730000}"/>
    <cellStyle name="Денежный 3 9 2" xfId="29650" xr:uid="{00000000-0005-0000-0000-0000D1730000}"/>
    <cellStyle name="Денежный 3 9 2 2" xfId="29651" xr:uid="{00000000-0005-0000-0000-0000D2730000}"/>
    <cellStyle name="Денежный 3 9 2 2 2" xfId="29652" xr:uid="{00000000-0005-0000-0000-0000D3730000}"/>
    <cellStyle name="Денежный 3 9 2 3" xfId="29653" xr:uid="{00000000-0005-0000-0000-0000D4730000}"/>
    <cellStyle name="Денежный 3 9 3" xfId="29654" xr:uid="{00000000-0005-0000-0000-0000D5730000}"/>
    <cellStyle name="Денежный 3 9 3 2" xfId="29655" xr:uid="{00000000-0005-0000-0000-0000D6730000}"/>
    <cellStyle name="Денежный 3 9 4" xfId="29656" xr:uid="{00000000-0005-0000-0000-0000D7730000}"/>
    <cellStyle name="Денежный 3 9 4 2" xfId="29657" xr:uid="{00000000-0005-0000-0000-0000D8730000}"/>
    <cellStyle name="Денежный 3 9 5" xfId="29658" xr:uid="{00000000-0005-0000-0000-0000D9730000}"/>
    <cellStyle name="Денежный 4" xfId="29659" xr:uid="{00000000-0005-0000-0000-0000DA730000}"/>
    <cellStyle name="Денежный 4 10" xfId="29660" xr:uid="{00000000-0005-0000-0000-0000DB730000}"/>
    <cellStyle name="Денежный 4 10 2" xfId="29661" xr:uid="{00000000-0005-0000-0000-0000DC730000}"/>
    <cellStyle name="Денежный 4 10 2 2" xfId="29662" xr:uid="{00000000-0005-0000-0000-0000DD730000}"/>
    <cellStyle name="Денежный 4 10 2 2 2" xfId="29663" xr:uid="{00000000-0005-0000-0000-0000DE730000}"/>
    <cellStyle name="Денежный 4 10 2 3" xfId="29664" xr:uid="{00000000-0005-0000-0000-0000DF730000}"/>
    <cellStyle name="Денежный 4 10 3" xfId="29665" xr:uid="{00000000-0005-0000-0000-0000E0730000}"/>
    <cellStyle name="Денежный 4 10 3 2" xfId="29666" xr:uid="{00000000-0005-0000-0000-0000E1730000}"/>
    <cellStyle name="Денежный 4 10 4" xfId="29667" xr:uid="{00000000-0005-0000-0000-0000E2730000}"/>
    <cellStyle name="Денежный 4 10 4 2" xfId="29668" xr:uid="{00000000-0005-0000-0000-0000E3730000}"/>
    <cellStyle name="Денежный 4 10 5" xfId="29669" xr:uid="{00000000-0005-0000-0000-0000E4730000}"/>
    <cellStyle name="Денежный 4 11" xfId="29670" xr:uid="{00000000-0005-0000-0000-0000E5730000}"/>
    <cellStyle name="Денежный 4 11 2" xfId="29671" xr:uid="{00000000-0005-0000-0000-0000E6730000}"/>
    <cellStyle name="Денежный 4 11 2 2" xfId="29672" xr:uid="{00000000-0005-0000-0000-0000E7730000}"/>
    <cellStyle name="Денежный 4 11 3" xfId="29673" xr:uid="{00000000-0005-0000-0000-0000E8730000}"/>
    <cellStyle name="Денежный 4 12" xfId="29674" xr:uid="{00000000-0005-0000-0000-0000E9730000}"/>
    <cellStyle name="Денежный 4 12 2" xfId="29675" xr:uid="{00000000-0005-0000-0000-0000EA730000}"/>
    <cellStyle name="Денежный 4 13" xfId="29676" xr:uid="{00000000-0005-0000-0000-0000EB730000}"/>
    <cellStyle name="Денежный 4 13 2" xfId="29677" xr:uid="{00000000-0005-0000-0000-0000EC730000}"/>
    <cellStyle name="Денежный 4 14" xfId="29678" xr:uid="{00000000-0005-0000-0000-0000ED730000}"/>
    <cellStyle name="Денежный 4 15" xfId="29679" xr:uid="{00000000-0005-0000-0000-0000EE730000}"/>
    <cellStyle name="Денежный 4 2" xfId="29680" xr:uid="{00000000-0005-0000-0000-0000EF730000}"/>
    <cellStyle name="Денежный 4 2 10" xfId="29681" xr:uid="{00000000-0005-0000-0000-0000F0730000}"/>
    <cellStyle name="Денежный 4 2 2" xfId="29682" xr:uid="{00000000-0005-0000-0000-0000F1730000}"/>
    <cellStyle name="Денежный 4 2 2 2" xfId="29683" xr:uid="{00000000-0005-0000-0000-0000F2730000}"/>
    <cellStyle name="Денежный 4 2 2 2 2" xfId="29684" xr:uid="{00000000-0005-0000-0000-0000F3730000}"/>
    <cellStyle name="Денежный 4 2 2 2 2 2" xfId="29685" xr:uid="{00000000-0005-0000-0000-0000F4730000}"/>
    <cellStyle name="Денежный 4 2 2 2 3" xfId="29686" xr:uid="{00000000-0005-0000-0000-0000F5730000}"/>
    <cellStyle name="Денежный 4 2 2 3" xfId="29687" xr:uid="{00000000-0005-0000-0000-0000F6730000}"/>
    <cellStyle name="Денежный 4 2 2 3 2" xfId="29688" xr:uid="{00000000-0005-0000-0000-0000F7730000}"/>
    <cellStyle name="Денежный 4 2 2 4" xfId="29689" xr:uid="{00000000-0005-0000-0000-0000F8730000}"/>
    <cellStyle name="Денежный 4 2 2 4 2" xfId="29690" xr:uid="{00000000-0005-0000-0000-0000F9730000}"/>
    <cellStyle name="Денежный 4 2 2 5" xfId="29691" xr:uid="{00000000-0005-0000-0000-0000FA730000}"/>
    <cellStyle name="Денежный 4 2 3" xfId="29692" xr:uid="{00000000-0005-0000-0000-0000FB730000}"/>
    <cellStyle name="Денежный 4 2 3 2" xfId="29693" xr:uid="{00000000-0005-0000-0000-0000FC730000}"/>
    <cellStyle name="Денежный 4 2 3 2 2" xfId="29694" xr:uid="{00000000-0005-0000-0000-0000FD730000}"/>
    <cellStyle name="Денежный 4 2 3 2 2 2" xfId="29695" xr:uid="{00000000-0005-0000-0000-0000FE730000}"/>
    <cellStyle name="Денежный 4 2 3 2 3" xfId="29696" xr:uid="{00000000-0005-0000-0000-0000FF730000}"/>
    <cellStyle name="Денежный 4 2 3 3" xfId="29697" xr:uid="{00000000-0005-0000-0000-000000740000}"/>
    <cellStyle name="Денежный 4 2 3 3 2" xfId="29698" xr:uid="{00000000-0005-0000-0000-000001740000}"/>
    <cellStyle name="Денежный 4 2 3 4" xfId="29699" xr:uid="{00000000-0005-0000-0000-000002740000}"/>
    <cellStyle name="Денежный 4 2 3 4 2" xfId="29700" xr:uid="{00000000-0005-0000-0000-000003740000}"/>
    <cellStyle name="Денежный 4 2 3 5" xfId="29701" xr:uid="{00000000-0005-0000-0000-000004740000}"/>
    <cellStyle name="Денежный 4 2 4" xfId="29702" xr:uid="{00000000-0005-0000-0000-000005740000}"/>
    <cellStyle name="Денежный 4 2 4 2" xfId="29703" xr:uid="{00000000-0005-0000-0000-000006740000}"/>
    <cellStyle name="Денежный 4 2 4 2 2" xfId="29704" xr:uid="{00000000-0005-0000-0000-000007740000}"/>
    <cellStyle name="Денежный 4 2 4 2 2 2" xfId="29705" xr:uid="{00000000-0005-0000-0000-000008740000}"/>
    <cellStyle name="Денежный 4 2 4 2 3" xfId="29706" xr:uid="{00000000-0005-0000-0000-000009740000}"/>
    <cellStyle name="Денежный 4 2 4 3" xfId="29707" xr:uid="{00000000-0005-0000-0000-00000A740000}"/>
    <cellStyle name="Денежный 4 2 4 3 2" xfId="29708" xr:uid="{00000000-0005-0000-0000-00000B740000}"/>
    <cellStyle name="Денежный 4 2 4 4" xfId="29709" xr:uid="{00000000-0005-0000-0000-00000C740000}"/>
    <cellStyle name="Денежный 4 2 4 4 2" xfId="29710" xr:uid="{00000000-0005-0000-0000-00000D740000}"/>
    <cellStyle name="Денежный 4 2 4 5" xfId="29711" xr:uid="{00000000-0005-0000-0000-00000E740000}"/>
    <cellStyle name="Денежный 4 2 5" xfId="29712" xr:uid="{00000000-0005-0000-0000-00000F740000}"/>
    <cellStyle name="Денежный 4 2 5 2" xfId="29713" xr:uid="{00000000-0005-0000-0000-000010740000}"/>
    <cellStyle name="Денежный 4 2 5 2 2" xfId="29714" xr:uid="{00000000-0005-0000-0000-000011740000}"/>
    <cellStyle name="Денежный 4 2 5 2 2 2" xfId="29715" xr:uid="{00000000-0005-0000-0000-000012740000}"/>
    <cellStyle name="Денежный 4 2 5 2 3" xfId="29716" xr:uid="{00000000-0005-0000-0000-000013740000}"/>
    <cellStyle name="Денежный 4 2 5 3" xfId="29717" xr:uid="{00000000-0005-0000-0000-000014740000}"/>
    <cellStyle name="Денежный 4 2 5 3 2" xfId="29718" xr:uid="{00000000-0005-0000-0000-000015740000}"/>
    <cellStyle name="Денежный 4 2 5 4" xfId="29719" xr:uid="{00000000-0005-0000-0000-000016740000}"/>
    <cellStyle name="Денежный 4 2 5 4 2" xfId="29720" xr:uid="{00000000-0005-0000-0000-000017740000}"/>
    <cellStyle name="Денежный 4 2 5 5" xfId="29721" xr:uid="{00000000-0005-0000-0000-000018740000}"/>
    <cellStyle name="Денежный 4 2 6" xfId="29722" xr:uid="{00000000-0005-0000-0000-000019740000}"/>
    <cellStyle name="Денежный 4 2 6 2" xfId="29723" xr:uid="{00000000-0005-0000-0000-00001A740000}"/>
    <cellStyle name="Денежный 4 2 6 2 2" xfId="29724" xr:uid="{00000000-0005-0000-0000-00001B740000}"/>
    <cellStyle name="Денежный 4 2 6 3" xfId="29725" xr:uid="{00000000-0005-0000-0000-00001C740000}"/>
    <cellStyle name="Денежный 4 2 7" xfId="29726" xr:uid="{00000000-0005-0000-0000-00001D740000}"/>
    <cellStyle name="Денежный 4 2 7 2" xfId="29727" xr:uid="{00000000-0005-0000-0000-00001E740000}"/>
    <cellStyle name="Денежный 4 2 8" xfId="29728" xr:uid="{00000000-0005-0000-0000-00001F740000}"/>
    <cellStyle name="Денежный 4 2 8 2" xfId="29729" xr:uid="{00000000-0005-0000-0000-000020740000}"/>
    <cellStyle name="Денежный 4 2 9" xfId="29730" xr:uid="{00000000-0005-0000-0000-000021740000}"/>
    <cellStyle name="Денежный 4 3" xfId="29731" xr:uid="{00000000-0005-0000-0000-000022740000}"/>
    <cellStyle name="Денежный 4 3 10" xfId="29732" xr:uid="{00000000-0005-0000-0000-000023740000}"/>
    <cellStyle name="Денежный 4 3 2" xfId="29733" xr:uid="{00000000-0005-0000-0000-000024740000}"/>
    <cellStyle name="Денежный 4 3 2 2" xfId="29734" xr:uid="{00000000-0005-0000-0000-000025740000}"/>
    <cellStyle name="Денежный 4 3 2 2 2" xfId="29735" xr:uid="{00000000-0005-0000-0000-000026740000}"/>
    <cellStyle name="Денежный 4 3 2 2 2 2" xfId="29736" xr:uid="{00000000-0005-0000-0000-000027740000}"/>
    <cellStyle name="Денежный 4 3 2 2 3" xfId="29737" xr:uid="{00000000-0005-0000-0000-000028740000}"/>
    <cellStyle name="Денежный 4 3 2 3" xfId="29738" xr:uid="{00000000-0005-0000-0000-000029740000}"/>
    <cellStyle name="Денежный 4 3 2 3 2" xfId="29739" xr:uid="{00000000-0005-0000-0000-00002A740000}"/>
    <cellStyle name="Денежный 4 3 2 4" xfId="29740" xr:uid="{00000000-0005-0000-0000-00002B740000}"/>
    <cellStyle name="Денежный 4 3 2 4 2" xfId="29741" xr:uid="{00000000-0005-0000-0000-00002C740000}"/>
    <cellStyle name="Денежный 4 3 2 5" xfId="29742" xr:uid="{00000000-0005-0000-0000-00002D740000}"/>
    <cellStyle name="Денежный 4 3 3" xfId="29743" xr:uid="{00000000-0005-0000-0000-00002E740000}"/>
    <cellStyle name="Денежный 4 3 3 2" xfId="29744" xr:uid="{00000000-0005-0000-0000-00002F740000}"/>
    <cellStyle name="Денежный 4 3 3 2 2" xfId="29745" xr:uid="{00000000-0005-0000-0000-000030740000}"/>
    <cellStyle name="Денежный 4 3 3 2 2 2" xfId="29746" xr:uid="{00000000-0005-0000-0000-000031740000}"/>
    <cellStyle name="Денежный 4 3 3 2 3" xfId="29747" xr:uid="{00000000-0005-0000-0000-000032740000}"/>
    <cellStyle name="Денежный 4 3 3 3" xfId="29748" xr:uid="{00000000-0005-0000-0000-000033740000}"/>
    <cellStyle name="Денежный 4 3 3 3 2" xfId="29749" xr:uid="{00000000-0005-0000-0000-000034740000}"/>
    <cellStyle name="Денежный 4 3 3 4" xfId="29750" xr:uid="{00000000-0005-0000-0000-000035740000}"/>
    <cellStyle name="Денежный 4 3 3 4 2" xfId="29751" xr:uid="{00000000-0005-0000-0000-000036740000}"/>
    <cellStyle name="Денежный 4 3 3 5" xfId="29752" xr:uid="{00000000-0005-0000-0000-000037740000}"/>
    <cellStyle name="Денежный 4 3 4" xfId="29753" xr:uid="{00000000-0005-0000-0000-000038740000}"/>
    <cellStyle name="Денежный 4 3 4 2" xfId="29754" xr:uid="{00000000-0005-0000-0000-000039740000}"/>
    <cellStyle name="Денежный 4 3 4 2 2" xfId="29755" xr:uid="{00000000-0005-0000-0000-00003A740000}"/>
    <cellStyle name="Денежный 4 3 4 2 2 2" xfId="29756" xr:uid="{00000000-0005-0000-0000-00003B740000}"/>
    <cellStyle name="Денежный 4 3 4 2 3" xfId="29757" xr:uid="{00000000-0005-0000-0000-00003C740000}"/>
    <cellStyle name="Денежный 4 3 4 3" xfId="29758" xr:uid="{00000000-0005-0000-0000-00003D740000}"/>
    <cellStyle name="Денежный 4 3 4 3 2" xfId="29759" xr:uid="{00000000-0005-0000-0000-00003E740000}"/>
    <cellStyle name="Денежный 4 3 4 4" xfId="29760" xr:uid="{00000000-0005-0000-0000-00003F740000}"/>
    <cellStyle name="Денежный 4 3 4 4 2" xfId="29761" xr:uid="{00000000-0005-0000-0000-000040740000}"/>
    <cellStyle name="Денежный 4 3 4 5" xfId="29762" xr:uid="{00000000-0005-0000-0000-000041740000}"/>
    <cellStyle name="Денежный 4 3 5" xfId="29763" xr:uid="{00000000-0005-0000-0000-000042740000}"/>
    <cellStyle name="Денежный 4 3 5 2" xfId="29764" xr:uid="{00000000-0005-0000-0000-000043740000}"/>
    <cellStyle name="Денежный 4 3 5 2 2" xfId="29765" xr:uid="{00000000-0005-0000-0000-000044740000}"/>
    <cellStyle name="Денежный 4 3 5 2 2 2" xfId="29766" xr:uid="{00000000-0005-0000-0000-000045740000}"/>
    <cellStyle name="Денежный 4 3 5 2 3" xfId="29767" xr:uid="{00000000-0005-0000-0000-000046740000}"/>
    <cellStyle name="Денежный 4 3 5 3" xfId="29768" xr:uid="{00000000-0005-0000-0000-000047740000}"/>
    <cellStyle name="Денежный 4 3 5 3 2" xfId="29769" xr:uid="{00000000-0005-0000-0000-000048740000}"/>
    <cellStyle name="Денежный 4 3 5 4" xfId="29770" xr:uid="{00000000-0005-0000-0000-000049740000}"/>
    <cellStyle name="Денежный 4 3 5 4 2" xfId="29771" xr:uid="{00000000-0005-0000-0000-00004A740000}"/>
    <cellStyle name="Денежный 4 3 5 5" xfId="29772" xr:uid="{00000000-0005-0000-0000-00004B740000}"/>
    <cellStyle name="Денежный 4 3 6" xfId="29773" xr:uid="{00000000-0005-0000-0000-00004C740000}"/>
    <cellStyle name="Денежный 4 3 6 2" xfId="29774" xr:uid="{00000000-0005-0000-0000-00004D740000}"/>
    <cellStyle name="Денежный 4 3 6 2 2" xfId="29775" xr:uid="{00000000-0005-0000-0000-00004E740000}"/>
    <cellStyle name="Денежный 4 3 6 3" xfId="29776" xr:uid="{00000000-0005-0000-0000-00004F740000}"/>
    <cellStyle name="Денежный 4 3 7" xfId="29777" xr:uid="{00000000-0005-0000-0000-000050740000}"/>
    <cellStyle name="Денежный 4 3 7 2" xfId="29778" xr:uid="{00000000-0005-0000-0000-000051740000}"/>
    <cellStyle name="Денежный 4 3 8" xfId="29779" xr:uid="{00000000-0005-0000-0000-000052740000}"/>
    <cellStyle name="Денежный 4 3 8 2" xfId="29780" xr:uid="{00000000-0005-0000-0000-000053740000}"/>
    <cellStyle name="Денежный 4 3 9" xfId="29781" xr:uid="{00000000-0005-0000-0000-000054740000}"/>
    <cellStyle name="Денежный 4 4" xfId="29782" xr:uid="{00000000-0005-0000-0000-000055740000}"/>
    <cellStyle name="Денежный 4 4 10" xfId="29783" xr:uid="{00000000-0005-0000-0000-000056740000}"/>
    <cellStyle name="Денежный 4 4 2" xfId="29784" xr:uid="{00000000-0005-0000-0000-000057740000}"/>
    <cellStyle name="Денежный 4 4 2 2" xfId="29785" xr:uid="{00000000-0005-0000-0000-000058740000}"/>
    <cellStyle name="Денежный 4 4 2 2 2" xfId="29786" xr:uid="{00000000-0005-0000-0000-000059740000}"/>
    <cellStyle name="Денежный 4 4 2 2 2 2" xfId="29787" xr:uid="{00000000-0005-0000-0000-00005A740000}"/>
    <cellStyle name="Денежный 4 4 2 2 3" xfId="29788" xr:uid="{00000000-0005-0000-0000-00005B740000}"/>
    <cellStyle name="Денежный 4 4 2 3" xfId="29789" xr:uid="{00000000-0005-0000-0000-00005C740000}"/>
    <cellStyle name="Денежный 4 4 2 3 2" xfId="29790" xr:uid="{00000000-0005-0000-0000-00005D740000}"/>
    <cellStyle name="Денежный 4 4 2 4" xfId="29791" xr:uid="{00000000-0005-0000-0000-00005E740000}"/>
    <cellStyle name="Денежный 4 4 2 4 2" xfId="29792" xr:uid="{00000000-0005-0000-0000-00005F740000}"/>
    <cellStyle name="Денежный 4 4 2 5" xfId="29793" xr:uid="{00000000-0005-0000-0000-000060740000}"/>
    <cellStyle name="Денежный 4 4 3" xfId="29794" xr:uid="{00000000-0005-0000-0000-000061740000}"/>
    <cellStyle name="Денежный 4 4 3 2" xfId="29795" xr:uid="{00000000-0005-0000-0000-000062740000}"/>
    <cellStyle name="Денежный 4 4 3 2 2" xfId="29796" xr:uid="{00000000-0005-0000-0000-000063740000}"/>
    <cellStyle name="Денежный 4 4 3 2 2 2" xfId="29797" xr:uid="{00000000-0005-0000-0000-000064740000}"/>
    <cellStyle name="Денежный 4 4 3 2 3" xfId="29798" xr:uid="{00000000-0005-0000-0000-000065740000}"/>
    <cellStyle name="Денежный 4 4 3 3" xfId="29799" xr:uid="{00000000-0005-0000-0000-000066740000}"/>
    <cellStyle name="Денежный 4 4 3 3 2" xfId="29800" xr:uid="{00000000-0005-0000-0000-000067740000}"/>
    <cellStyle name="Денежный 4 4 3 4" xfId="29801" xr:uid="{00000000-0005-0000-0000-000068740000}"/>
    <cellStyle name="Денежный 4 4 3 4 2" xfId="29802" xr:uid="{00000000-0005-0000-0000-000069740000}"/>
    <cellStyle name="Денежный 4 4 3 5" xfId="29803" xr:uid="{00000000-0005-0000-0000-00006A740000}"/>
    <cellStyle name="Денежный 4 4 4" xfId="29804" xr:uid="{00000000-0005-0000-0000-00006B740000}"/>
    <cellStyle name="Денежный 4 4 4 2" xfId="29805" xr:uid="{00000000-0005-0000-0000-00006C740000}"/>
    <cellStyle name="Денежный 4 4 4 2 2" xfId="29806" xr:uid="{00000000-0005-0000-0000-00006D740000}"/>
    <cellStyle name="Денежный 4 4 4 2 2 2" xfId="29807" xr:uid="{00000000-0005-0000-0000-00006E740000}"/>
    <cellStyle name="Денежный 4 4 4 2 3" xfId="29808" xr:uid="{00000000-0005-0000-0000-00006F740000}"/>
    <cellStyle name="Денежный 4 4 4 3" xfId="29809" xr:uid="{00000000-0005-0000-0000-000070740000}"/>
    <cellStyle name="Денежный 4 4 4 3 2" xfId="29810" xr:uid="{00000000-0005-0000-0000-000071740000}"/>
    <cellStyle name="Денежный 4 4 4 4" xfId="29811" xr:uid="{00000000-0005-0000-0000-000072740000}"/>
    <cellStyle name="Денежный 4 4 4 4 2" xfId="29812" xr:uid="{00000000-0005-0000-0000-000073740000}"/>
    <cellStyle name="Денежный 4 4 4 5" xfId="29813" xr:uid="{00000000-0005-0000-0000-000074740000}"/>
    <cellStyle name="Денежный 4 4 5" xfId="29814" xr:uid="{00000000-0005-0000-0000-000075740000}"/>
    <cellStyle name="Денежный 4 4 5 2" xfId="29815" xr:uid="{00000000-0005-0000-0000-000076740000}"/>
    <cellStyle name="Денежный 4 4 5 2 2" xfId="29816" xr:uid="{00000000-0005-0000-0000-000077740000}"/>
    <cellStyle name="Денежный 4 4 5 2 2 2" xfId="29817" xr:uid="{00000000-0005-0000-0000-000078740000}"/>
    <cellStyle name="Денежный 4 4 5 2 3" xfId="29818" xr:uid="{00000000-0005-0000-0000-000079740000}"/>
    <cellStyle name="Денежный 4 4 5 3" xfId="29819" xr:uid="{00000000-0005-0000-0000-00007A740000}"/>
    <cellStyle name="Денежный 4 4 5 3 2" xfId="29820" xr:uid="{00000000-0005-0000-0000-00007B740000}"/>
    <cellStyle name="Денежный 4 4 5 4" xfId="29821" xr:uid="{00000000-0005-0000-0000-00007C740000}"/>
    <cellStyle name="Денежный 4 4 5 4 2" xfId="29822" xr:uid="{00000000-0005-0000-0000-00007D740000}"/>
    <cellStyle name="Денежный 4 4 5 5" xfId="29823" xr:uid="{00000000-0005-0000-0000-00007E740000}"/>
    <cellStyle name="Денежный 4 4 6" xfId="29824" xr:uid="{00000000-0005-0000-0000-00007F740000}"/>
    <cellStyle name="Денежный 4 4 6 2" xfId="29825" xr:uid="{00000000-0005-0000-0000-000080740000}"/>
    <cellStyle name="Денежный 4 4 6 2 2" xfId="29826" xr:uid="{00000000-0005-0000-0000-000081740000}"/>
    <cellStyle name="Денежный 4 4 6 3" xfId="29827" xr:uid="{00000000-0005-0000-0000-000082740000}"/>
    <cellStyle name="Денежный 4 4 7" xfId="29828" xr:uid="{00000000-0005-0000-0000-000083740000}"/>
    <cellStyle name="Денежный 4 4 7 2" xfId="29829" xr:uid="{00000000-0005-0000-0000-000084740000}"/>
    <cellStyle name="Денежный 4 4 8" xfId="29830" xr:uid="{00000000-0005-0000-0000-000085740000}"/>
    <cellStyle name="Денежный 4 4 8 2" xfId="29831" xr:uid="{00000000-0005-0000-0000-000086740000}"/>
    <cellStyle name="Денежный 4 4 9" xfId="29832" xr:uid="{00000000-0005-0000-0000-000087740000}"/>
    <cellStyle name="Денежный 4 5" xfId="29833" xr:uid="{00000000-0005-0000-0000-000088740000}"/>
    <cellStyle name="Денежный 4 5 10" xfId="29834" xr:uid="{00000000-0005-0000-0000-000089740000}"/>
    <cellStyle name="Денежный 4 5 2" xfId="29835" xr:uid="{00000000-0005-0000-0000-00008A740000}"/>
    <cellStyle name="Денежный 4 5 2 2" xfId="29836" xr:uid="{00000000-0005-0000-0000-00008B740000}"/>
    <cellStyle name="Денежный 4 5 2 2 2" xfId="29837" xr:uid="{00000000-0005-0000-0000-00008C740000}"/>
    <cellStyle name="Денежный 4 5 2 2 2 2" xfId="29838" xr:uid="{00000000-0005-0000-0000-00008D740000}"/>
    <cellStyle name="Денежный 4 5 2 2 3" xfId="29839" xr:uid="{00000000-0005-0000-0000-00008E740000}"/>
    <cellStyle name="Денежный 4 5 2 3" xfId="29840" xr:uid="{00000000-0005-0000-0000-00008F740000}"/>
    <cellStyle name="Денежный 4 5 2 3 2" xfId="29841" xr:uid="{00000000-0005-0000-0000-000090740000}"/>
    <cellStyle name="Денежный 4 5 2 4" xfId="29842" xr:uid="{00000000-0005-0000-0000-000091740000}"/>
    <cellStyle name="Денежный 4 5 2 4 2" xfId="29843" xr:uid="{00000000-0005-0000-0000-000092740000}"/>
    <cellStyle name="Денежный 4 5 2 5" xfId="29844" xr:uid="{00000000-0005-0000-0000-000093740000}"/>
    <cellStyle name="Денежный 4 5 3" xfId="29845" xr:uid="{00000000-0005-0000-0000-000094740000}"/>
    <cellStyle name="Денежный 4 5 3 2" xfId="29846" xr:uid="{00000000-0005-0000-0000-000095740000}"/>
    <cellStyle name="Денежный 4 5 3 2 2" xfId="29847" xr:uid="{00000000-0005-0000-0000-000096740000}"/>
    <cellStyle name="Денежный 4 5 3 2 2 2" xfId="29848" xr:uid="{00000000-0005-0000-0000-000097740000}"/>
    <cellStyle name="Денежный 4 5 3 2 3" xfId="29849" xr:uid="{00000000-0005-0000-0000-000098740000}"/>
    <cellStyle name="Денежный 4 5 3 3" xfId="29850" xr:uid="{00000000-0005-0000-0000-000099740000}"/>
    <cellStyle name="Денежный 4 5 3 3 2" xfId="29851" xr:uid="{00000000-0005-0000-0000-00009A740000}"/>
    <cellStyle name="Денежный 4 5 3 4" xfId="29852" xr:uid="{00000000-0005-0000-0000-00009B740000}"/>
    <cellStyle name="Денежный 4 5 3 4 2" xfId="29853" xr:uid="{00000000-0005-0000-0000-00009C740000}"/>
    <cellStyle name="Денежный 4 5 3 5" xfId="29854" xr:uid="{00000000-0005-0000-0000-00009D740000}"/>
    <cellStyle name="Денежный 4 5 4" xfId="29855" xr:uid="{00000000-0005-0000-0000-00009E740000}"/>
    <cellStyle name="Денежный 4 5 4 2" xfId="29856" xr:uid="{00000000-0005-0000-0000-00009F740000}"/>
    <cellStyle name="Денежный 4 5 4 2 2" xfId="29857" xr:uid="{00000000-0005-0000-0000-0000A0740000}"/>
    <cellStyle name="Денежный 4 5 4 2 2 2" xfId="29858" xr:uid="{00000000-0005-0000-0000-0000A1740000}"/>
    <cellStyle name="Денежный 4 5 4 2 3" xfId="29859" xr:uid="{00000000-0005-0000-0000-0000A2740000}"/>
    <cellStyle name="Денежный 4 5 4 3" xfId="29860" xr:uid="{00000000-0005-0000-0000-0000A3740000}"/>
    <cellStyle name="Денежный 4 5 4 3 2" xfId="29861" xr:uid="{00000000-0005-0000-0000-0000A4740000}"/>
    <cellStyle name="Денежный 4 5 4 4" xfId="29862" xr:uid="{00000000-0005-0000-0000-0000A5740000}"/>
    <cellStyle name="Денежный 4 5 4 4 2" xfId="29863" xr:uid="{00000000-0005-0000-0000-0000A6740000}"/>
    <cellStyle name="Денежный 4 5 4 5" xfId="29864" xr:uid="{00000000-0005-0000-0000-0000A7740000}"/>
    <cellStyle name="Денежный 4 5 5" xfId="29865" xr:uid="{00000000-0005-0000-0000-0000A8740000}"/>
    <cellStyle name="Денежный 4 5 5 2" xfId="29866" xr:uid="{00000000-0005-0000-0000-0000A9740000}"/>
    <cellStyle name="Денежный 4 5 5 2 2" xfId="29867" xr:uid="{00000000-0005-0000-0000-0000AA740000}"/>
    <cellStyle name="Денежный 4 5 5 2 2 2" xfId="29868" xr:uid="{00000000-0005-0000-0000-0000AB740000}"/>
    <cellStyle name="Денежный 4 5 5 2 3" xfId="29869" xr:uid="{00000000-0005-0000-0000-0000AC740000}"/>
    <cellStyle name="Денежный 4 5 5 3" xfId="29870" xr:uid="{00000000-0005-0000-0000-0000AD740000}"/>
    <cellStyle name="Денежный 4 5 5 3 2" xfId="29871" xr:uid="{00000000-0005-0000-0000-0000AE740000}"/>
    <cellStyle name="Денежный 4 5 5 4" xfId="29872" xr:uid="{00000000-0005-0000-0000-0000AF740000}"/>
    <cellStyle name="Денежный 4 5 5 4 2" xfId="29873" xr:uid="{00000000-0005-0000-0000-0000B0740000}"/>
    <cellStyle name="Денежный 4 5 5 5" xfId="29874" xr:uid="{00000000-0005-0000-0000-0000B1740000}"/>
    <cellStyle name="Денежный 4 5 6" xfId="29875" xr:uid="{00000000-0005-0000-0000-0000B2740000}"/>
    <cellStyle name="Денежный 4 5 6 2" xfId="29876" xr:uid="{00000000-0005-0000-0000-0000B3740000}"/>
    <cellStyle name="Денежный 4 5 6 2 2" xfId="29877" xr:uid="{00000000-0005-0000-0000-0000B4740000}"/>
    <cellStyle name="Денежный 4 5 6 3" xfId="29878" xr:uid="{00000000-0005-0000-0000-0000B5740000}"/>
    <cellStyle name="Денежный 4 5 7" xfId="29879" xr:uid="{00000000-0005-0000-0000-0000B6740000}"/>
    <cellStyle name="Денежный 4 5 7 2" xfId="29880" xr:uid="{00000000-0005-0000-0000-0000B7740000}"/>
    <cellStyle name="Денежный 4 5 8" xfId="29881" xr:uid="{00000000-0005-0000-0000-0000B8740000}"/>
    <cellStyle name="Денежный 4 5 8 2" xfId="29882" xr:uid="{00000000-0005-0000-0000-0000B9740000}"/>
    <cellStyle name="Денежный 4 5 9" xfId="29883" xr:uid="{00000000-0005-0000-0000-0000BA740000}"/>
    <cellStyle name="Денежный 4 6" xfId="29884" xr:uid="{00000000-0005-0000-0000-0000BB740000}"/>
    <cellStyle name="Денежный 4 6 10" xfId="29885" xr:uid="{00000000-0005-0000-0000-0000BC740000}"/>
    <cellStyle name="Денежный 4 6 2" xfId="29886" xr:uid="{00000000-0005-0000-0000-0000BD740000}"/>
    <cellStyle name="Денежный 4 6 2 2" xfId="29887" xr:uid="{00000000-0005-0000-0000-0000BE740000}"/>
    <cellStyle name="Денежный 4 6 2 2 2" xfId="29888" xr:uid="{00000000-0005-0000-0000-0000BF740000}"/>
    <cellStyle name="Денежный 4 6 2 2 2 2" xfId="29889" xr:uid="{00000000-0005-0000-0000-0000C0740000}"/>
    <cellStyle name="Денежный 4 6 2 2 3" xfId="29890" xr:uid="{00000000-0005-0000-0000-0000C1740000}"/>
    <cellStyle name="Денежный 4 6 2 3" xfId="29891" xr:uid="{00000000-0005-0000-0000-0000C2740000}"/>
    <cellStyle name="Денежный 4 6 2 3 2" xfId="29892" xr:uid="{00000000-0005-0000-0000-0000C3740000}"/>
    <cellStyle name="Денежный 4 6 2 4" xfId="29893" xr:uid="{00000000-0005-0000-0000-0000C4740000}"/>
    <cellStyle name="Денежный 4 6 2 4 2" xfId="29894" xr:uid="{00000000-0005-0000-0000-0000C5740000}"/>
    <cellStyle name="Денежный 4 6 2 5" xfId="29895" xr:uid="{00000000-0005-0000-0000-0000C6740000}"/>
    <cellStyle name="Денежный 4 6 3" xfId="29896" xr:uid="{00000000-0005-0000-0000-0000C7740000}"/>
    <cellStyle name="Денежный 4 6 3 2" xfId="29897" xr:uid="{00000000-0005-0000-0000-0000C8740000}"/>
    <cellStyle name="Денежный 4 6 3 2 2" xfId="29898" xr:uid="{00000000-0005-0000-0000-0000C9740000}"/>
    <cellStyle name="Денежный 4 6 3 2 2 2" xfId="29899" xr:uid="{00000000-0005-0000-0000-0000CA740000}"/>
    <cellStyle name="Денежный 4 6 3 2 3" xfId="29900" xr:uid="{00000000-0005-0000-0000-0000CB740000}"/>
    <cellStyle name="Денежный 4 6 3 3" xfId="29901" xr:uid="{00000000-0005-0000-0000-0000CC740000}"/>
    <cellStyle name="Денежный 4 6 3 3 2" xfId="29902" xr:uid="{00000000-0005-0000-0000-0000CD740000}"/>
    <cellStyle name="Денежный 4 6 3 4" xfId="29903" xr:uid="{00000000-0005-0000-0000-0000CE740000}"/>
    <cellStyle name="Денежный 4 6 3 4 2" xfId="29904" xr:uid="{00000000-0005-0000-0000-0000CF740000}"/>
    <cellStyle name="Денежный 4 6 3 5" xfId="29905" xr:uid="{00000000-0005-0000-0000-0000D0740000}"/>
    <cellStyle name="Денежный 4 6 4" xfId="29906" xr:uid="{00000000-0005-0000-0000-0000D1740000}"/>
    <cellStyle name="Денежный 4 6 4 2" xfId="29907" xr:uid="{00000000-0005-0000-0000-0000D2740000}"/>
    <cellStyle name="Денежный 4 6 4 2 2" xfId="29908" xr:uid="{00000000-0005-0000-0000-0000D3740000}"/>
    <cellStyle name="Денежный 4 6 4 2 2 2" xfId="29909" xr:uid="{00000000-0005-0000-0000-0000D4740000}"/>
    <cellStyle name="Денежный 4 6 4 2 3" xfId="29910" xr:uid="{00000000-0005-0000-0000-0000D5740000}"/>
    <cellStyle name="Денежный 4 6 4 3" xfId="29911" xr:uid="{00000000-0005-0000-0000-0000D6740000}"/>
    <cellStyle name="Денежный 4 6 4 3 2" xfId="29912" xr:uid="{00000000-0005-0000-0000-0000D7740000}"/>
    <cellStyle name="Денежный 4 6 4 4" xfId="29913" xr:uid="{00000000-0005-0000-0000-0000D8740000}"/>
    <cellStyle name="Денежный 4 6 4 4 2" xfId="29914" xr:uid="{00000000-0005-0000-0000-0000D9740000}"/>
    <cellStyle name="Денежный 4 6 4 5" xfId="29915" xr:uid="{00000000-0005-0000-0000-0000DA740000}"/>
    <cellStyle name="Денежный 4 6 5" xfId="29916" xr:uid="{00000000-0005-0000-0000-0000DB740000}"/>
    <cellStyle name="Денежный 4 6 5 2" xfId="29917" xr:uid="{00000000-0005-0000-0000-0000DC740000}"/>
    <cellStyle name="Денежный 4 6 5 2 2" xfId="29918" xr:uid="{00000000-0005-0000-0000-0000DD740000}"/>
    <cellStyle name="Денежный 4 6 5 2 2 2" xfId="29919" xr:uid="{00000000-0005-0000-0000-0000DE740000}"/>
    <cellStyle name="Денежный 4 6 5 2 3" xfId="29920" xr:uid="{00000000-0005-0000-0000-0000DF740000}"/>
    <cellStyle name="Денежный 4 6 5 3" xfId="29921" xr:uid="{00000000-0005-0000-0000-0000E0740000}"/>
    <cellStyle name="Денежный 4 6 5 3 2" xfId="29922" xr:uid="{00000000-0005-0000-0000-0000E1740000}"/>
    <cellStyle name="Денежный 4 6 5 4" xfId="29923" xr:uid="{00000000-0005-0000-0000-0000E2740000}"/>
    <cellStyle name="Денежный 4 6 5 4 2" xfId="29924" xr:uid="{00000000-0005-0000-0000-0000E3740000}"/>
    <cellStyle name="Денежный 4 6 5 5" xfId="29925" xr:uid="{00000000-0005-0000-0000-0000E4740000}"/>
    <cellStyle name="Денежный 4 6 6" xfId="29926" xr:uid="{00000000-0005-0000-0000-0000E5740000}"/>
    <cellStyle name="Денежный 4 6 6 2" xfId="29927" xr:uid="{00000000-0005-0000-0000-0000E6740000}"/>
    <cellStyle name="Денежный 4 6 6 2 2" xfId="29928" xr:uid="{00000000-0005-0000-0000-0000E7740000}"/>
    <cellStyle name="Денежный 4 6 6 3" xfId="29929" xr:uid="{00000000-0005-0000-0000-0000E8740000}"/>
    <cellStyle name="Денежный 4 6 7" xfId="29930" xr:uid="{00000000-0005-0000-0000-0000E9740000}"/>
    <cellStyle name="Денежный 4 6 7 2" xfId="29931" xr:uid="{00000000-0005-0000-0000-0000EA740000}"/>
    <cellStyle name="Денежный 4 6 8" xfId="29932" xr:uid="{00000000-0005-0000-0000-0000EB740000}"/>
    <cellStyle name="Денежный 4 6 8 2" xfId="29933" xr:uid="{00000000-0005-0000-0000-0000EC740000}"/>
    <cellStyle name="Денежный 4 6 9" xfId="29934" xr:uid="{00000000-0005-0000-0000-0000ED740000}"/>
    <cellStyle name="Денежный 4 7" xfId="29935" xr:uid="{00000000-0005-0000-0000-0000EE740000}"/>
    <cellStyle name="Денежный 4 7 2" xfId="29936" xr:uid="{00000000-0005-0000-0000-0000EF740000}"/>
    <cellStyle name="Денежный 4 7 2 2" xfId="29937" xr:uid="{00000000-0005-0000-0000-0000F0740000}"/>
    <cellStyle name="Денежный 4 7 2 2 2" xfId="29938" xr:uid="{00000000-0005-0000-0000-0000F1740000}"/>
    <cellStyle name="Денежный 4 7 2 3" xfId="29939" xr:uid="{00000000-0005-0000-0000-0000F2740000}"/>
    <cellStyle name="Денежный 4 7 3" xfId="29940" xr:uid="{00000000-0005-0000-0000-0000F3740000}"/>
    <cellStyle name="Денежный 4 7 3 2" xfId="29941" xr:uid="{00000000-0005-0000-0000-0000F4740000}"/>
    <cellStyle name="Денежный 4 7 4" xfId="29942" xr:uid="{00000000-0005-0000-0000-0000F5740000}"/>
    <cellStyle name="Денежный 4 7 4 2" xfId="29943" xr:uid="{00000000-0005-0000-0000-0000F6740000}"/>
    <cellStyle name="Денежный 4 7 5" xfId="29944" xr:uid="{00000000-0005-0000-0000-0000F7740000}"/>
    <cellStyle name="Денежный 4 8" xfId="29945" xr:uid="{00000000-0005-0000-0000-0000F8740000}"/>
    <cellStyle name="Денежный 4 8 2" xfId="29946" xr:uid="{00000000-0005-0000-0000-0000F9740000}"/>
    <cellStyle name="Денежный 4 8 2 2" xfId="29947" xr:uid="{00000000-0005-0000-0000-0000FA740000}"/>
    <cellStyle name="Денежный 4 8 2 2 2" xfId="29948" xr:uid="{00000000-0005-0000-0000-0000FB740000}"/>
    <cellStyle name="Денежный 4 8 2 3" xfId="29949" xr:uid="{00000000-0005-0000-0000-0000FC740000}"/>
    <cellStyle name="Денежный 4 8 3" xfId="29950" xr:uid="{00000000-0005-0000-0000-0000FD740000}"/>
    <cellStyle name="Денежный 4 8 3 2" xfId="29951" xr:uid="{00000000-0005-0000-0000-0000FE740000}"/>
    <cellStyle name="Денежный 4 8 4" xfId="29952" xr:uid="{00000000-0005-0000-0000-0000FF740000}"/>
    <cellStyle name="Денежный 4 8 4 2" xfId="29953" xr:uid="{00000000-0005-0000-0000-000000750000}"/>
    <cellStyle name="Денежный 4 8 5" xfId="29954" xr:uid="{00000000-0005-0000-0000-000001750000}"/>
    <cellStyle name="Денежный 4 9" xfId="29955" xr:uid="{00000000-0005-0000-0000-000002750000}"/>
    <cellStyle name="Денежный 4 9 2" xfId="29956" xr:uid="{00000000-0005-0000-0000-000003750000}"/>
    <cellStyle name="Денежный 4 9 2 2" xfId="29957" xr:uid="{00000000-0005-0000-0000-000004750000}"/>
    <cellStyle name="Денежный 4 9 2 2 2" xfId="29958" xr:uid="{00000000-0005-0000-0000-000005750000}"/>
    <cellStyle name="Денежный 4 9 2 3" xfId="29959" xr:uid="{00000000-0005-0000-0000-000006750000}"/>
    <cellStyle name="Денежный 4 9 3" xfId="29960" xr:uid="{00000000-0005-0000-0000-000007750000}"/>
    <cellStyle name="Денежный 4 9 3 2" xfId="29961" xr:uid="{00000000-0005-0000-0000-000008750000}"/>
    <cellStyle name="Денежный 4 9 4" xfId="29962" xr:uid="{00000000-0005-0000-0000-000009750000}"/>
    <cellStyle name="Денежный 4 9 4 2" xfId="29963" xr:uid="{00000000-0005-0000-0000-00000A750000}"/>
    <cellStyle name="Денежный 4 9 5" xfId="29964" xr:uid="{00000000-0005-0000-0000-00000B750000}"/>
    <cellStyle name="Денежный 5" xfId="29965" xr:uid="{00000000-0005-0000-0000-00000C750000}"/>
    <cellStyle name="Денежный 5 10" xfId="29966" xr:uid="{00000000-0005-0000-0000-00000D750000}"/>
    <cellStyle name="Денежный 5 2" xfId="29967" xr:uid="{00000000-0005-0000-0000-00000E750000}"/>
    <cellStyle name="Денежный 5 2 2" xfId="29968" xr:uid="{00000000-0005-0000-0000-00000F750000}"/>
    <cellStyle name="Денежный 5 2 2 2" xfId="29969" xr:uid="{00000000-0005-0000-0000-000010750000}"/>
    <cellStyle name="Денежный 5 2 2 2 2" xfId="29970" xr:uid="{00000000-0005-0000-0000-000011750000}"/>
    <cellStyle name="Денежный 5 2 2 3" xfId="29971" xr:uid="{00000000-0005-0000-0000-000012750000}"/>
    <cellStyle name="Денежный 5 2 3" xfId="29972" xr:uid="{00000000-0005-0000-0000-000013750000}"/>
    <cellStyle name="Денежный 5 2 3 2" xfId="29973" xr:uid="{00000000-0005-0000-0000-000014750000}"/>
    <cellStyle name="Денежный 5 2 4" xfId="29974" xr:uid="{00000000-0005-0000-0000-000015750000}"/>
    <cellStyle name="Денежный 5 2 4 2" xfId="29975" xr:uid="{00000000-0005-0000-0000-000016750000}"/>
    <cellStyle name="Денежный 5 2 5" xfId="29976" xr:uid="{00000000-0005-0000-0000-000017750000}"/>
    <cellStyle name="Денежный 5 3" xfId="29977" xr:uid="{00000000-0005-0000-0000-000018750000}"/>
    <cellStyle name="Денежный 5 3 2" xfId="29978" xr:uid="{00000000-0005-0000-0000-000019750000}"/>
    <cellStyle name="Денежный 5 3 2 2" xfId="29979" xr:uid="{00000000-0005-0000-0000-00001A750000}"/>
    <cellStyle name="Денежный 5 3 2 2 2" xfId="29980" xr:uid="{00000000-0005-0000-0000-00001B750000}"/>
    <cellStyle name="Денежный 5 3 2 3" xfId="29981" xr:uid="{00000000-0005-0000-0000-00001C750000}"/>
    <cellStyle name="Денежный 5 3 3" xfId="29982" xr:uid="{00000000-0005-0000-0000-00001D750000}"/>
    <cellStyle name="Денежный 5 3 3 2" xfId="29983" xr:uid="{00000000-0005-0000-0000-00001E750000}"/>
    <cellStyle name="Денежный 5 3 4" xfId="29984" xr:uid="{00000000-0005-0000-0000-00001F750000}"/>
    <cellStyle name="Денежный 5 3 4 2" xfId="29985" xr:uid="{00000000-0005-0000-0000-000020750000}"/>
    <cellStyle name="Денежный 5 3 5" xfId="29986" xr:uid="{00000000-0005-0000-0000-000021750000}"/>
    <cellStyle name="Денежный 5 4" xfId="29987" xr:uid="{00000000-0005-0000-0000-000022750000}"/>
    <cellStyle name="Денежный 5 4 2" xfId="29988" xr:uid="{00000000-0005-0000-0000-000023750000}"/>
    <cellStyle name="Денежный 5 4 2 2" xfId="29989" xr:uid="{00000000-0005-0000-0000-000024750000}"/>
    <cellStyle name="Денежный 5 4 2 2 2" xfId="29990" xr:uid="{00000000-0005-0000-0000-000025750000}"/>
    <cellStyle name="Денежный 5 4 2 3" xfId="29991" xr:uid="{00000000-0005-0000-0000-000026750000}"/>
    <cellStyle name="Денежный 5 4 3" xfId="29992" xr:uid="{00000000-0005-0000-0000-000027750000}"/>
    <cellStyle name="Денежный 5 4 3 2" xfId="29993" xr:uid="{00000000-0005-0000-0000-000028750000}"/>
    <cellStyle name="Денежный 5 4 4" xfId="29994" xr:uid="{00000000-0005-0000-0000-000029750000}"/>
    <cellStyle name="Денежный 5 4 4 2" xfId="29995" xr:uid="{00000000-0005-0000-0000-00002A750000}"/>
    <cellStyle name="Денежный 5 4 5" xfId="29996" xr:uid="{00000000-0005-0000-0000-00002B750000}"/>
    <cellStyle name="Денежный 5 5" xfId="29997" xr:uid="{00000000-0005-0000-0000-00002C750000}"/>
    <cellStyle name="Денежный 5 5 2" xfId="29998" xr:uid="{00000000-0005-0000-0000-00002D750000}"/>
    <cellStyle name="Денежный 5 5 2 2" xfId="29999" xr:uid="{00000000-0005-0000-0000-00002E750000}"/>
    <cellStyle name="Денежный 5 5 2 2 2" xfId="30000" xr:uid="{00000000-0005-0000-0000-00002F750000}"/>
    <cellStyle name="Денежный 5 5 2 3" xfId="30001" xr:uid="{00000000-0005-0000-0000-000030750000}"/>
    <cellStyle name="Денежный 5 5 3" xfId="30002" xr:uid="{00000000-0005-0000-0000-000031750000}"/>
    <cellStyle name="Денежный 5 5 3 2" xfId="30003" xr:uid="{00000000-0005-0000-0000-000032750000}"/>
    <cellStyle name="Денежный 5 5 4" xfId="30004" xr:uid="{00000000-0005-0000-0000-000033750000}"/>
    <cellStyle name="Денежный 5 5 4 2" xfId="30005" xr:uid="{00000000-0005-0000-0000-000034750000}"/>
    <cellStyle name="Денежный 5 5 5" xfId="30006" xr:uid="{00000000-0005-0000-0000-000035750000}"/>
    <cellStyle name="Денежный 5 6" xfId="30007" xr:uid="{00000000-0005-0000-0000-000036750000}"/>
    <cellStyle name="Денежный 5 6 2" xfId="30008" xr:uid="{00000000-0005-0000-0000-000037750000}"/>
    <cellStyle name="Денежный 5 6 2 2" xfId="30009" xr:uid="{00000000-0005-0000-0000-000038750000}"/>
    <cellStyle name="Денежный 5 6 3" xfId="30010" xr:uid="{00000000-0005-0000-0000-000039750000}"/>
    <cellStyle name="Денежный 5 7" xfId="30011" xr:uid="{00000000-0005-0000-0000-00003A750000}"/>
    <cellStyle name="Денежный 5 7 2" xfId="30012" xr:uid="{00000000-0005-0000-0000-00003B750000}"/>
    <cellStyle name="Денежный 5 8" xfId="30013" xr:uid="{00000000-0005-0000-0000-00003C750000}"/>
    <cellStyle name="Денежный 5 8 2" xfId="30014" xr:uid="{00000000-0005-0000-0000-00003D750000}"/>
    <cellStyle name="Денежный 5 9" xfId="30015" xr:uid="{00000000-0005-0000-0000-00003E750000}"/>
    <cellStyle name="Денежный 6" xfId="30016" xr:uid="{00000000-0005-0000-0000-00003F750000}"/>
    <cellStyle name="Денежный 6 10" xfId="30017" xr:uid="{00000000-0005-0000-0000-000040750000}"/>
    <cellStyle name="Денежный 6 2" xfId="30018" xr:uid="{00000000-0005-0000-0000-000041750000}"/>
    <cellStyle name="Денежный 6 2 2" xfId="30019" xr:uid="{00000000-0005-0000-0000-000042750000}"/>
    <cellStyle name="Денежный 6 2 2 2" xfId="30020" xr:uid="{00000000-0005-0000-0000-000043750000}"/>
    <cellStyle name="Денежный 6 2 2 2 2" xfId="30021" xr:uid="{00000000-0005-0000-0000-000044750000}"/>
    <cellStyle name="Денежный 6 2 2 3" xfId="30022" xr:uid="{00000000-0005-0000-0000-000045750000}"/>
    <cellStyle name="Денежный 6 2 3" xfId="30023" xr:uid="{00000000-0005-0000-0000-000046750000}"/>
    <cellStyle name="Денежный 6 2 3 2" xfId="30024" xr:uid="{00000000-0005-0000-0000-000047750000}"/>
    <cellStyle name="Денежный 6 2 4" xfId="30025" xr:uid="{00000000-0005-0000-0000-000048750000}"/>
    <cellStyle name="Денежный 6 2 4 2" xfId="30026" xr:uid="{00000000-0005-0000-0000-000049750000}"/>
    <cellStyle name="Денежный 6 2 5" xfId="30027" xr:uid="{00000000-0005-0000-0000-00004A750000}"/>
    <cellStyle name="Денежный 6 3" xfId="30028" xr:uid="{00000000-0005-0000-0000-00004B750000}"/>
    <cellStyle name="Денежный 6 3 2" xfId="30029" xr:uid="{00000000-0005-0000-0000-00004C750000}"/>
    <cellStyle name="Денежный 6 3 2 2" xfId="30030" xr:uid="{00000000-0005-0000-0000-00004D750000}"/>
    <cellStyle name="Денежный 6 3 2 2 2" xfId="30031" xr:uid="{00000000-0005-0000-0000-00004E750000}"/>
    <cellStyle name="Денежный 6 3 2 3" xfId="30032" xr:uid="{00000000-0005-0000-0000-00004F750000}"/>
    <cellStyle name="Денежный 6 3 3" xfId="30033" xr:uid="{00000000-0005-0000-0000-000050750000}"/>
    <cellStyle name="Денежный 6 3 3 2" xfId="30034" xr:uid="{00000000-0005-0000-0000-000051750000}"/>
    <cellStyle name="Денежный 6 3 4" xfId="30035" xr:uid="{00000000-0005-0000-0000-000052750000}"/>
    <cellStyle name="Денежный 6 3 4 2" xfId="30036" xr:uid="{00000000-0005-0000-0000-000053750000}"/>
    <cellStyle name="Денежный 6 3 5" xfId="30037" xr:uid="{00000000-0005-0000-0000-000054750000}"/>
    <cellStyle name="Денежный 6 4" xfId="30038" xr:uid="{00000000-0005-0000-0000-000055750000}"/>
    <cellStyle name="Денежный 6 4 2" xfId="30039" xr:uid="{00000000-0005-0000-0000-000056750000}"/>
    <cellStyle name="Денежный 6 4 2 2" xfId="30040" xr:uid="{00000000-0005-0000-0000-000057750000}"/>
    <cellStyle name="Денежный 6 4 2 2 2" xfId="30041" xr:uid="{00000000-0005-0000-0000-000058750000}"/>
    <cellStyle name="Денежный 6 4 2 3" xfId="30042" xr:uid="{00000000-0005-0000-0000-000059750000}"/>
    <cellStyle name="Денежный 6 4 3" xfId="30043" xr:uid="{00000000-0005-0000-0000-00005A750000}"/>
    <cellStyle name="Денежный 6 4 3 2" xfId="30044" xr:uid="{00000000-0005-0000-0000-00005B750000}"/>
    <cellStyle name="Денежный 6 4 4" xfId="30045" xr:uid="{00000000-0005-0000-0000-00005C750000}"/>
    <cellStyle name="Денежный 6 4 4 2" xfId="30046" xr:uid="{00000000-0005-0000-0000-00005D750000}"/>
    <cellStyle name="Денежный 6 4 5" xfId="30047" xr:uid="{00000000-0005-0000-0000-00005E750000}"/>
    <cellStyle name="Денежный 6 5" xfId="30048" xr:uid="{00000000-0005-0000-0000-00005F750000}"/>
    <cellStyle name="Денежный 6 5 2" xfId="30049" xr:uid="{00000000-0005-0000-0000-000060750000}"/>
    <cellStyle name="Денежный 6 5 2 2" xfId="30050" xr:uid="{00000000-0005-0000-0000-000061750000}"/>
    <cellStyle name="Денежный 6 5 2 2 2" xfId="30051" xr:uid="{00000000-0005-0000-0000-000062750000}"/>
    <cellStyle name="Денежный 6 5 2 3" xfId="30052" xr:uid="{00000000-0005-0000-0000-000063750000}"/>
    <cellStyle name="Денежный 6 5 3" xfId="30053" xr:uid="{00000000-0005-0000-0000-000064750000}"/>
    <cellStyle name="Денежный 6 5 3 2" xfId="30054" xr:uid="{00000000-0005-0000-0000-000065750000}"/>
    <cellStyle name="Денежный 6 5 4" xfId="30055" xr:uid="{00000000-0005-0000-0000-000066750000}"/>
    <cellStyle name="Денежный 6 5 4 2" xfId="30056" xr:uid="{00000000-0005-0000-0000-000067750000}"/>
    <cellStyle name="Денежный 6 5 5" xfId="30057" xr:uid="{00000000-0005-0000-0000-000068750000}"/>
    <cellStyle name="Денежный 6 6" xfId="30058" xr:uid="{00000000-0005-0000-0000-000069750000}"/>
    <cellStyle name="Денежный 6 6 2" xfId="30059" xr:uid="{00000000-0005-0000-0000-00006A750000}"/>
    <cellStyle name="Денежный 6 6 2 2" xfId="30060" xr:uid="{00000000-0005-0000-0000-00006B750000}"/>
    <cellStyle name="Денежный 6 6 3" xfId="30061" xr:uid="{00000000-0005-0000-0000-00006C750000}"/>
    <cellStyle name="Денежный 6 7" xfId="30062" xr:uid="{00000000-0005-0000-0000-00006D750000}"/>
    <cellStyle name="Денежный 6 7 2" xfId="30063" xr:uid="{00000000-0005-0000-0000-00006E750000}"/>
    <cellStyle name="Денежный 6 8" xfId="30064" xr:uid="{00000000-0005-0000-0000-00006F750000}"/>
    <cellStyle name="Денежный 6 8 2" xfId="30065" xr:uid="{00000000-0005-0000-0000-000070750000}"/>
    <cellStyle name="Денежный 6 9" xfId="30066" xr:uid="{00000000-0005-0000-0000-000071750000}"/>
    <cellStyle name="Денежный 7" xfId="30067" xr:uid="{00000000-0005-0000-0000-000072750000}"/>
    <cellStyle name="Денежный 7 2" xfId="30068" xr:uid="{00000000-0005-0000-0000-000073750000}"/>
    <cellStyle name="Денежный 7 2 2" xfId="30069" xr:uid="{00000000-0005-0000-0000-000074750000}"/>
    <cellStyle name="Денежный 7 2 2 2" xfId="30070" xr:uid="{00000000-0005-0000-0000-000075750000}"/>
    <cellStyle name="Денежный 7 2 3" xfId="30071" xr:uid="{00000000-0005-0000-0000-000076750000}"/>
    <cellStyle name="Денежный 7 3" xfId="30072" xr:uid="{00000000-0005-0000-0000-000077750000}"/>
    <cellStyle name="Денежный 7 3 2" xfId="30073" xr:uid="{00000000-0005-0000-0000-000078750000}"/>
    <cellStyle name="Денежный 7 4" xfId="30074" xr:uid="{00000000-0005-0000-0000-000079750000}"/>
    <cellStyle name="Денежный 7 4 2" xfId="30075" xr:uid="{00000000-0005-0000-0000-00007A750000}"/>
    <cellStyle name="Денежный 7 5" xfId="30076" xr:uid="{00000000-0005-0000-0000-00007B750000}"/>
    <cellStyle name="Денежный 8" xfId="30077" xr:uid="{00000000-0005-0000-0000-00007C750000}"/>
    <cellStyle name="Денежный 8 2" xfId="30078" xr:uid="{00000000-0005-0000-0000-00007D750000}"/>
    <cellStyle name="Денежный 8 2 2" xfId="30079" xr:uid="{00000000-0005-0000-0000-00007E750000}"/>
    <cellStyle name="Денежный 8 3" xfId="30080" xr:uid="{00000000-0005-0000-0000-00007F750000}"/>
    <cellStyle name="Денежный 9" xfId="30081" xr:uid="{00000000-0005-0000-0000-000080750000}"/>
    <cellStyle name="Денежный 9 2" xfId="30082" xr:uid="{00000000-0005-0000-0000-000081750000}"/>
    <cellStyle name="Заголовок 1 2" xfId="30083" xr:uid="{00000000-0005-0000-0000-000082750000}"/>
    <cellStyle name="Заголовок 2 2" xfId="30084" xr:uid="{00000000-0005-0000-0000-000083750000}"/>
    <cellStyle name="Заголовок 2 2 2" xfId="30085" xr:uid="{00000000-0005-0000-0000-000084750000}"/>
    <cellStyle name="Заголовок 3 2" xfId="30086" xr:uid="{00000000-0005-0000-0000-000085750000}"/>
    <cellStyle name="Заголовок 4 2" xfId="30087" xr:uid="{00000000-0005-0000-0000-000086750000}"/>
    <cellStyle name="Итог 2" xfId="30088" xr:uid="{00000000-0005-0000-0000-000087750000}"/>
    <cellStyle name="Контрольная ячейка 2" xfId="30089" xr:uid="{00000000-0005-0000-0000-000088750000}"/>
    <cellStyle name="Название 2" xfId="30090" xr:uid="{00000000-0005-0000-0000-000089750000}"/>
    <cellStyle name="Название 3" xfId="30091" xr:uid="{00000000-0005-0000-0000-00008A750000}"/>
    <cellStyle name="Нейтральный 2" xfId="30092" xr:uid="{00000000-0005-0000-0000-00008B750000}"/>
    <cellStyle name="Нейтральный 3" xfId="30093" xr:uid="{00000000-0005-0000-0000-00008C750000}"/>
    <cellStyle name="Обычный" xfId="0" builtinId="0"/>
    <cellStyle name="Обычный 10" xfId="30094" xr:uid="{00000000-0005-0000-0000-00008E750000}"/>
    <cellStyle name="Обычный 10 2" xfId="30095" xr:uid="{00000000-0005-0000-0000-00008F750000}"/>
    <cellStyle name="Обычный 10 2 2" xfId="30096" xr:uid="{00000000-0005-0000-0000-000090750000}"/>
    <cellStyle name="Обычный 10 2 2 2" xfId="30097" xr:uid="{00000000-0005-0000-0000-000091750000}"/>
    <cellStyle name="Обычный 10 2 3" xfId="30098" xr:uid="{00000000-0005-0000-0000-000092750000}"/>
    <cellStyle name="Обычный 10 2 3 2" xfId="30099" xr:uid="{00000000-0005-0000-0000-000093750000}"/>
    <cellStyle name="Обычный 10 2 4" xfId="30100" xr:uid="{00000000-0005-0000-0000-000094750000}"/>
    <cellStyle name="Обычный 10 2 4 2" xfId="30101" xr:uid="{00000000-0005-0000-0000-000095750000}"/>
    <cellStyle name="Обычный 10 3" xfId="30102" xr:uid="{00000000-0005-0000-0000-000096750000}"/>
    <cellStyle name="Обычный 10 3 2" xfId="30103" xr:uid="{00000000-0005-0000-0000-000097750000}"/>
    <cellStyle name="Обычный 10 3 2 2" xfId="30104" xr:uid="{00000000-0005-0000-0000-000098750000}"/>
    <cellStyle name="Обычный 10 3 3" xfId="30105" xr:uid="{00000000-0005-0000-0000-000099750000}"/>
    <cellStyle name="Обычный 10 4" xfId="30106" xr:uid="{00000000-0005-0000-0000-00009A750000}"/>
    <cellStyle name="Обычный 10 4 2" xfId="30107" xr:uid="{00000000-0005-0000-0000-00009B750000}"/>
    <cellStyle name="Обычный 10 5" xfId="30108" xr:uid="{00000000-0005-0000-0000-00009C750000}"/>
    <cellStyle name="Обычный 10 5 2" xfId="30109" xr:uid="{00000000-0005-0000-0000-00009D750000}"/>
    <cellStyle name="Обычный 10 6" xfId="30110" xr:uid="{00000000-0005-0000-0000-00009E750000}"/>
    <cellStyle name="Обычный 10 6 2" xfId="30111" xr:uid="{00000000-0005-0000-0000-00009F750000}"/>
    <cellStyle name="Обычный 11" xfId="30112" xr:uid="{00000000-0005-0000-0000-0000A0750000}"/>
    <cellStyle name="Обычный 11 2" xfId="30113" xr:uid="{00000000-0005-0000-0000-0000A1750000}"/>
    <cellStyle name="Обычный 11 2 2" xfId="30114" xr:uid="{00000000-0005-0000-0000-0000A2750000}"/>
    <cellStyle name="Обычный 11 2 2 2" xfId="30115" xr:uid="{00000000-0005-0000-0000-0000A3750000}"/>
    <cellStyle name="Обычный 11 2 3" xfId="30116" xr:uid="{00000000-0005-0000-0000-0000A4750000}"/>
    <cellStyle name="Обычный 11 2 3 2" xfId="30117" xr:uid="{00000000-0005-0000-0000-0000A5750000}"/>
    <cellStyle name="Обычный 11 2 4" xfId="30118" xr:uid="{00000000-0005-0000-0000-0000A6750000}"/>
    <cellStyle name="Обычный 11 2 4 2" xfId="30119" xr:uid="{00000000-0005-0000-0000-0000A7750000}"/>
    <cellStyle name="Обычный 11 3" xfId="30120" xr:uid="{00000000-0005-0000-0000-0000A8750000}"/>
    <cellStyle name="Обычный 11 3 2" xfId="30121" xr:uid="{00000000-0005-0000-0000-0000A9750000}"/>
    <cellStyle name="Обычный 11 3 2 2" xfId="30122" xr:uid="{00000000-0005-0000-0000-0000AA750000}"/>
    <cellStyle name="Обычный 11 3 3" xfId="30123" xr:uid="{00000000-0005-0000-0000-0000AB750000}"/>
    <cellStyle name="Обычный 11 4" xfId="30124" xr:uid="{00000000-0005-0000-0000-0000AC750000}"/>
    <cellStyle name="Обычный 11 4 2" xfId="30125" xr:uid="{00000000-0005-0000-0000-0000AD750000}"/>
    <cellStyle name="Обычный 11 5" xfId="30126" xr:uid="{00000000-0005-0000-0000-0000AE750000}"/>
    <cellStyle name="Обычный 11 5 2" xfId="30127" xr:uid="{00000000-0005-0000-0000-0000AF750000}"/>
    <cellStyle name="Обычный 11 6" xfId="30128" xr:uid="{00000000-0005-0000-0000-0000B0750000}"/>
    <cellStyle name="Обычный 11 6 2" xfId="30129" xr:uid="{00000000-0005-0000-0000-0000B1750000}"/>
    <cellStyle name="Обычный 12" xfId="30130" xr:uid="{00000000-0005-0000-0000-0000B2750000}"/>
    <cellStyle name="Обычный 12 2" xfId="30131" xr:uid="{00000000-0005-0000-0000-0000B3750000}"/>
    <cellStyle name="Обычный 12 2 2" xfId="30132" xr:uid="{00000000-0005-0000-0000-0000B4750000}"/>
    <cellStyle name="Обычный 12 2 2 2" xfId="30133" xr:uid="{00000000-0005-0000-0000-0000B5750000}"/>
    <cellStyle name="Обычный 12 2 3" xfId="30134" xr:uid="{00000000-0005-0000-0000-0000B6750000}"/>
    <cellStyle name="Обычный 12 2 3 2" xfId="30135" xr:uid="{00000000-0005-0000-0000-0000B7750000}"/>
    <cellStyle name="Обычный 12 2 4" xfId="30136" xr:uid="{00000000-0005-0000-0000-0000B8750000}"/>
    <cellStyle name="Обычный 12 2 4 2" xfId="30137" xr:uid="{00000000-0005-0000-0000-0000B9750000}"/>
    <cellStyle name="Обычный 12 3" xfId="30138" xr:uid="{00000000-0005-0000-0000-0000BA750000}"/>
    <cellStyle name="Обычный 12 3 2" xfId="30139" xr:uid="{00000000-0005-0000-0000-0000BB750000}"/>
    <cellStyle name="Обычный 12 3 2 2" xfId="30140" xr:uid="{00000000-0005-0000-0000-0000BC750000}"/>
    <cellStyle name="Обычный 12 3 3" xfId="30141" xr:uid="{00000000-0005-0000-0000-0000BD750000}"/>
    <cellStyle name="Обычный 12 4" xfId="30142" xr:uid="{00000000-0005-0000-0000-0000BE750000}"/>
    <cellStyle name="Обычный 12 4 2" xfId="30143" xr:uid="{00000000-0005-0000-0000-0000BF750000}"/>
    <cellStyle name="Обычный 12 5" xfId="30144" xr:uid="{00000000-0005-0000-0000-0000C0750000}"/>
    <cellStyle name="Обычный 12 5 2" xfId="30145" xr:uid="{00000000-0005-0000-0000-0000C1750000}"/>
    <cellStyle name="Обычный 12 6" xfId="30146" xr:uid="{00000000-0005-0000-0000-0000C2750000}"/>
    <cellStyle name="Обычный 12 6 2" xfId="30147" xr:uid="{00000000-0005-0000-0000-0000C3750000}"/>
    <cellStyle name="Обычный 13" xfId="30148" xr:uid="{00000000-0005-0000-0000-0000C4750000}"/>
    <cellStyle name="Обычный 13 2" xfId="30149" xr:uid="{00000000-0005-0000-0000-0000C5750000}"/>
    <cellStyle name="Обычный 13 2 2" xfId="30150" xr:uid="{00000000-0005-0000-0000-0000C6750000}"/>
    <cellStyle name="Обычный 13 2 2 2" xfId="30151" xr:uid="{00000000-0005-0000-0000-0000C7750000}"/>
    <cellStyle name="Обычный 13 2 3" xfId="30152" xr:uid="{00000000-0005-0000-0000-0000C8750000}"/>
    <cellStyle name="Обычный 13 2 3 2" xfId="30153" xr:uid="{00000000-0005-0000-0000-0000C9750000}"/>
    <cellStyle name="Обычный 13 2 4" xfId="30154" xr:uid="{00000000-0005-0000-0000-0000CA750000}"/>
    <cellStyle name="Обычный 13 2 4 2" xfId="30155" xr:uid="{00000000-0005-0000-0000-0000CB750000}"/>
    <cellStyle name="Обычный 13 3" xfId="30156" xr:uid="{00000000-0005-0000-0000-0000CC750000}"/>
    <cellStyle name="Обычный 13 3 2" xfId="30157" xr:uid="{00000000-0005-0000-0000-0000CD750000}"/>
    <cellStyle name="Обычный 13 3 2 2" xfId="30158" xr:uid="{00000000-0005-0000-0000-0000CE750000}"/>
    <cellStyle name="Обычный 13 3 3" xfId="30159" xr:uid="{00000000-0005-0000-0000-0000CF750000}"/>
    <cellStyle name="Обычный 13 4" xfId="30160" xr:uid="{00000000-0005-0000-0000-0000D0750000}"/>
    <cellStyle name="Обычный 13 4 2" xfId="30161" xr:uid="{00000000-0005-0000-0000-0000D1750000}"/>
    <cellStyle name="Обычный 13 5" xfId="30162" xr:uid="{00000000-0005-0000-0000-0000D2750000}"/>
    <cellStyle name="Обычный 13 5 2" xfId="30163" xr:uid="{00000000-0005-0000-0000-0000D3750000}"/>
    <cellStyle name="Обычный 13 6" xfId="30164" xr:uid="{00000000-0005-0000-0000-0000D4750000}"/>
    <cellStyle name="Обычный 13 6 2" xfId="30165" xr:uid="{00000000-0005-0000-0000-0000D5750000}"/>
    <cellStyle name="Обычный 14" xfId="30166" xr:uid="{00000000-0005-0000-0000-0000D6750000}"/>
    <cellStyle name="Обычный 14 2" xfId="30167" xr:uid="{00000000-0005-0000-0000-0000D7750000}"/>
    <cellStyle name="Обычный 14 2 2" xfId="30168" xr:uid="{00000000-0005-0000-0000-0000D8750000}"/>
    <cellStyle name="Обычный 14 2 2 2" xfId="30169" xr:uid="{00000000-0005-0000-0000-0000D9750000}"/>
    <cellStyle name="Обычный 14 2 3" xfId="30170" xr:uid="{00000000-0005-0000-0000-0000DA750000}"/>
    <cellStyle name="Обычный 14 2 3 2" xfId="30171" xr:uid="{00000000-0005-0000-0000-0000DB750000}"/>
    <cellStyle name="Обычный 14 2 4" xfId="30172" xr:uid="{00000000-0005-0000-0000-0000DC750000}"/>
    <cellStyle name="Обычный 14 2 4 2" xfId="30173" xr:uid="{00000000-0005-0000-0000-0000DD750000}"/>
    <cellStyle name="Обычный 14 3" xfId="30174" xr:uid="{00000000-0005-0000-0000-0000DE750000}"/>
    <cellStyle name="Обычный 14 3 2" xfId="30175" xr:uid="{00000000-0005-0000-0000-0000DF750000}"/>
    <cellStyle name="Обычный 14 3 2 2" xfId="30176" xr:uid="{00000000-0005-0000-0000-0000E0750000}"/>
    <cellStyle name="Обычный 14 3 3" xfId="30177" xr:uid="{00000000-0005-0000-0000-0000E1750000}"/>
    <cellStyle name="Обычный 14 4" xfId="30178" xr:uid="{00000000-0005-0000-0000-0000E2750000}"/>
    <cellStyle name="Обычный 14 4 2" xfId="30179" xr:uid="{00000000-0005-0000-0000-0000E3750000}"/>
    <cellStyle name="Обычный 14 5" xfId="30180" xr:uid="{00000000-0005-0000-0000-0000E4750000}"/>
    <cellStyle name="Обычный 14 5 2" xfId="30181" xr:uid="{00000000-0005-0000-0000-0000E5750000}"/>
    <cellStyle name="Обычный 14 6" xfId="30182" xr:uid="{00000000-0005-0000-0000-0000E6750000}"/>
    <cellStyle name="Обычный 14 6 2" xfId="30183" xr:uid="{00000000-0005-0000-0000-0000E7750000}"/>
    <cellStyle name="Обычный 15" xfId="30184" xr:uid="{00000000-0005-0000-0000-0000E8750000}"/>
    <cellStyle name="Обычный 15 2" xfId="30185" xr:uid="{00000000-0005-0000-0000-0000E9750000}"/>
    <cellStyle name="Обычный 15 2 2" xfId="30186" xr:uid="{00000000-0005-0000-0000-0000EA750000}"/>
    <cellStyle name="Обычный 15 2 2 2" xfId="30187" xr:uid="{00000000-0005-0000-0000-0000EB750000}"/>
    <cellStyle name="Обычный 15 2 3" xfId="30188" xr:uid="{00000000-0005-0000-0000-0000EC750000}"/>
    <cellStyle name="Обычный 15 2 3 2" xfId="30189" xr:uid="{00000000-0005-0000-0000-0000ED750000}"/>
    <cellStyle name="Обычный 15 2 4" xfId="30190" xr:uid="{00000000-0005-0000-0000-0000EE750000}"/>
    <cellStyle name="Обычный 15 2 4 2" xfId="30191" xr:uid="{00000000-0005-0000-0000-0000EF750000}"/>
    <cellStyle name="Обычный 15 3" xfId="30192" xr:uid="{00000000-0005-0000-0000-0000F0750000}"/>
    <cellStyle name="Обычный 15 3 2" xfId="30193" xr:uid="{00000000-0005-0000-0000-0000F1750000}"/>
    <cellStyle name="Обычный 15 3 2 2" xfId="30194" xr:uid="{00000000-0005-0000-0000-0000F2750000}"/>
    <cellStyle name="Обычный 15 3 3" xfId="30195" xr:uid="{00000000-0005-0000-0000-0000F3750000}"/>
    <cellStyle name="Обычный 15 4" xfId="30196" xr:uid="{00000000-0005-0000-0000-0000F4750000}"/>
    <cellStyle name="Обычный 15 4 2" xfId="30197" xr:uid="{00000000-0005-0000-0000-0000F5750000}"/>
    <cellStyle name="Обычный 15 5" xfId="30198" xr:uid="{00000000-0005-0000-0000-0000F6750000}"/>
    <cellStyle name="Обычный 15 5 2" xfId="30199" xr:uid="{00000000-0005-0000-0000-0000F7750000}"/>
    <cellStyle name="Обычный 15 6" xfId="30200" xr:uid="{00000000-0005-0000-0000-0000F8750000}"/>
    <cellStyle name="Обычный 15 6 2" xfId="30201" xr:uid="{00000000-0005-0000-0000-0000F9750000}"/>
    <cellStyle name="Обычный 16" xfId="30202" xr:uid="{00000000-0005-0000-0000-0000FA750000}"/>
    <cellStyle name="Обычный 16 2" xfId="30203" xr:uid="{00000000-0005-0000-0000-0000FB750000}"/>
    <cellStyle name="Обычный 16 2 2" xfId="30204" xr:uid="{00000000-0005-0000-0000-0000FC750000}"/>
    <cellStyle name="Обычный 16 2 2 2" xfId="30205" xr:uid="{00000000-0005-0000-0000-0000FD750000}"/>
    <cellStyle name="Обычный 16 2 3" xfId="30206" xr:uid="{00000000-0005-0000-0000-0000FE750000}"/>
    <cellStyle name="Обычный 16 2 3 2" xfId="30207" xr:uid="{00000000-0005-0000-0000-0000FF750000}"/>
    <cellStyle name="Обычный 16 2 4" xfId="30208" xr:uid="{00000000-0005-0000-0000-000000760000}"/>
    <cellStyle name="Обычный 16 2 4 2" xfId="30209" xr:uid="{00000000-0005-0000-0000-000001760000}"/>
    <cellStyle name="Обычный 16 3" xfId="30210" xr:uid="{00000000-0005-0000-0000-000002760000}"/>
    <cellStyle name="Обычный 16 3 2" xfId="30211" xr:uid="{00000000-0005-0000-0000-000003760000}"/>
    <cellStyle name="Обычный 16 3 2 2" xfId="30212" xr:uid="{00000000-0005-0000-0000-000004760000}"/>
    <cellStyle name="Обычный 16 3 3" xfId="30213" xr:uid="{00000000-0005-0000-0000-000005760000}"/>
    <cellStyle name="Обычный 16 4" xfId="30214" xr:uid="{00000000-0005-0000-0000-000006760000}"/>
    <cellStyle name="Обычный 16 4 2" xfId="30215" xr:uid="{00000000-0005-0000-0000-000007760000}"/>
    <cellStyle name="Обычный 16 5" xfId="30216" xr:uid="{00000000-0005-0000-0000-000008760000}"/>
    <cellStyle name="Обычный 16 5 2" xfId="30217" xr:uid="{00000000-0005-0000-0000-000009760000}"/>
    <cellStyle name="Обычный 16 6" xfId="30218" xr:uid="{00000000-0005-0000-0000-00000A760000}"/>
    <cellStyle name="Обычный 16 6 2" xfId="30219" xr:uid="{00000000-0005-0000-0000-00000B760000}"/>
    <cellStyle name="Обычный 17" xfId="30220" xr:uid="{00000000-0005-0000-0000-00000C760000}"/>
    <cellStyle name="Обычный 17 2" xfId="30221" xr:uid="{00000000-0005-0000-0000-00000D760000}"/>
    <cellStyle name="Обычный 17 2 2" xfId="30222" xr:uid="{00000000-0005-0000-0000-00000E760000}"/>
    <cellStyle name="Обычный 17 2 2 2" xfId="30223" xr:uid="{00000000-0005-0000-0000-00000F760000}"/>
    <cellStyle name="Обычный 17 2 3" xfId="30224" xr:uid="{00000000-0005-0000-0000-000010760000}"/>
    <cellStyle name="Обычный 17 2 3 2" xfId="30225" xr:uid="{00000000-0005-0000-0000-000011760000}"/>
    <cellStyle name="Обычный 17 2 4" xfId="30226" xr:uid="{00000000-0005-0000-0000-000012760000}"/>
    <cellStyle name="Обычный 17 2 4 2" xfId="30227" xr:uid="{00000000-0005-0000-0000-000013760000}"/>
    <cellStyle name="Обычный 17 3" xfId="30228" xr:uid="{00000000-0005-0000-0000-000014760000}"/>
    <cellStyle name="Обычный 17 3 2" xfId="30229" xr:uid="{00000000-0005-0000-0000-000015760000}"/>
    <cellStyle name="Обычный 17 3 2 2" xfId="30230" xr:uid="{00000000-0005-0000-0000-000016760000}"/>
    <cellStyle name="Обычный 17 3 3" xfId="30231" xr:uid="{00000000-0005-0000-0000-000017760000}"/>
    <cellStyle name="Обычный 17 4" xfId="30232" xr:uid="{00000000-0005-0000-0000-000018760000}"/>
    <cellStyle name="Обычный 17 4 2" xfId="30233" xr:uid="{00000000-0005-0000-0000-000019760000}"/>
    <cellStyle name="Обычный 17 5" xfId="30234" xr:uid="{00000000-0005-0000-0000-00001A760000}"/>
    <cellStyle name="Обычный 17 5 2" xfId="30235" xr:uid="{00000000-0005-0000-0000-00001B760000}"/>
    <cellStyle name="Обычный 17 6" xfId="30236" xr:uid="{00000000-0005-0000-0000-00001C760000}"/>
    <cellStyle name="Обычный 17 6 2" xfId="30237" xr:uid="{00000000-0005-0000-0000-00001D760000}"/>
    <cellStyle name="Обычный 18" xfId="30238" xr:uid="{00000000-0005-0000-0000-00001E760000}"/>
    <cellStyle name="Обычный 18 2" xfId="30239" xr:uid="{00000000-0005-0000-0000-00001F760000}"/>
    <cellStyle name="Обычный 18 2 2" xfId="30240" xr:uid="{00000000-0005-0000-0000-000020760000}"/>
    <cellStyle name="Обычный 18 2 2 2" xfId="30241" xr:uid="{00000000-0005-0000-0000-000021760000}"/>
    <cellStyle name="Обычный 18 2 3" xfId="30242" xr:uid="{00000000-0005-0000-0000-000022760000}"/>
    <cellStyle name="Обычный 18 2 3 2" xfId="30243" xr:uid="{00000000-0005-0000-0000-000023760000}"/>
    <cellStyle name="Обычный 18 2 4" xfId="30244" xr:uid="{00000000-0005-0000-0000-000024760000}"/>
    <cellStyle name="Обычный 18 2 4 2" xfId="30245" xr:uid="{00000000-0005-0000-0000-000025760000}"/>
    <cellStyle name="Обычный 18 3" xfId="30246" xr:uid="{00000000-0005-0000-0000-000026760000}"/>
    <cellStyle name="Обычный 18 3 2" xfId="30247" xr:uid="{00000000-0005-0000-0000-000027760000}"/>
    <cellStyle name="Обычный 18 3 2 2" xfId="30248" xr:uid="{00000000-0005-0000-0000-000028760000}"/>
    <cellStyle name="Обычный 18 3 3" xfId="30249" xr:uid="{00000000-0005-0000-0000-000029760000}"/>
    <cellStyle name="Обычный 18 4" xfId="30250" xr:uid="{00000000-0005-0000-0000-00002A760000}"/>
    <cellStyle name="Обычный 18 4 2" xfId="30251" xr:uid="{00000000-0005-0000-0000-00002B760000}"/>
    <cellStyle name="Обычный 18 5" xfId="30252" xr:uid="{00000000-0005-0000-0000-00002C760000}"/>
    <cellStyle name="Обычный 18 5 2" xfId="30253" xr:uid="{00000000-0005-0000-0000-00002D760000}"/>
    <cellStyle name="Обычный 18 6" xfId="30254" xr:uid="{00000000-0005-0000-0000-00002E760000}"/>
    <cellStyle name="Обычный 18 6 2" xfId="30255" xr:uid="{00000000-0005-0000-0000-00002F760000}"/>
    <cellStyle name="Обычный 19" xfId="30256" xr:uid="{00000000-0005-0000-0000-000030760000}"/>
    <cellStyle name="Обычный 19 2" xfId="30257" xr:uid="{00000000-0005-0000-0000-000031760000}"/>
    <cellStyle name="Обычный 19 2 2" xfId="30258" xr:uid="{00000000-0005-0000-0000-000032760000}"/>
    <cellStyle name="Обычный 19 2 2 2" xfId="30259" xr:uid="{00000000-0005-0000-0000-000033760000}"/>
    <cellStyle name="Обычный 19 2 3" xfId="30260" xr:uid="{00000000-0005-0000-0000-000034760000}"/>
    <cellStyle name="Обычный 19 2 3 2" xfId="30261" xr:uid="{00000000-0005-0000-0000-000035760000}"/>
    <cellStyle name="Обычный 19 2 4" xfId="30262" xr:uid="{00000000-0005-0000-0000-000036760000}"/>
    <cellStyle name="Обычный 19 2 4 2" xfId="30263" xr:uid="{00000000-0005-0000-0000-000037760000}"/>
    <cellStyle name="Обычный 19 3" xfId="30264" xr:uid="{00000000-0005-0000-0000-000038760000}"/>
    <cellStyle name="Обычный 19 3 2" xfId="30265" xr:uid="{00000000-0005-0000-0000-000039760000}"/>
    <cellStyle name="Обычный 19 3 2 2" xfId="30266" xr:uid="{00000000-0005-0000-0000-00003A760000}"/>
    <cellStyle name="Обычный 19 3 3" xfId="30267" xr:uid="{00000000-0005-0000-0000-00003B760000}"/>
    <cellStyle name="Обычный 19 4" xfId="30268" xr:uid="{00000000-0005-0000-0000-00003C760000}"/>
    <cellStyle name="Обычный 19 4 2" xfId="30269" xr:uid="{00000000-0005-0000-0000-00003D760000}"/>
    <cellStyle name="Обычный 19 5" xfId="30270" xr:uid="{00000000-0005-0000-0000-00003E760000}"/>
    <cellStyle name="Обычный 19 5 2" xfId="30271" xr:uid="{00000000-0005-0000-0000-00003F760000}"/>
    <cellStyle name="Обычный 19 6" xfId="30272" xr:uid="{00000000-0005-0000-0000-000040760000}"/>
    <cellStyle name="Обычный 19 6 2" xfId="30273" xr:uid="{00000000-0005-0000-0000-000041760000}"/>
    <cellStyle name="Обычный 2" xfId="30274" xr:uid="{00000000-0005-0000-0000-000042760000}"/>
    <cellStyle name="Обычный 2 2" xfId="30275" xr:uid="{00000000-0005-0000-0000-000043760000}"/>
    <cellStyle name="Обычный 2 2 2" xfId="30276" xr:uid="{00000000-0005-0000-0000-000044760000}"/>
    <cellStyle name="Обычный 2 2 2 2" xfId="30277" xr:uid="{00000000-0005-0000-0000-000045760000}"/>
    <cellStyle name="Обычный 2 2 2 3" xfId="30278" xr:uid="{00000000-0005-0000-0000-000046760000}"/>
    <cellStyle name="Обычный 2 2 3" xfId="30279" xr:uid="{00000000-0005-0000-0000-000047760000}"/>
    <cellStyle name="Обычный 2 2 3 2" xfId="30280" xr:uid="{00000000-0005-0000-0000-000048760000}"/>
    <cellStyle name="Обычный 2 2 4" xfId="30281" xr:uid="{00000000-0005-0000-0000-000049760000}"/>
    <cellStyle name="Обычный 2 2 4 2" xfId="30282" xr:uid="{00000000-0005-0000-0000-00004A760000}"/>
    <cellStyle name="Обычный 2 2 5" xfId="30283" xr:uid="{00000000-0005-0000-0000-00004B760000}"/>
    <cellStyle name="Обычный 2 3" xfId="30284" xr:uid="{00000000-0005-0000-0000-00004C760000}"/>
    <cellStyle name="Обычный 2 3 2" xfId="30285" xr:uid="{00000000-0005-0000-0000-00004D760000}"/>
    <cellStyle name="Обычный 2 3 2 2" xfId="30286" xr:uid="{00000000-0005-0000-0000-00004E760000}"/>
    <cellStyle name="Обычный 2 3 3" xfId="30287" xr:uid="{00000000-0005-0000-0000-00004F760000}"/>
    <cellStyle name="Обычный 2 3 4" xfId="30288" xr:uid="{00000000-0005-0000-0000-000050760000}"/>
    <cellStyle name="Обычный 2 4" xfId="30289" xr:uid="{00000000-0005-0000-0000-000051760000}"/>
    <cellStyle name="Обычный 2 4 2" xfId="30290" xr:uid="{00000000-0005-0000-0000-000052760000}"/>
    <cellStyle name="Обычный 2 4 3" xfId="30291" xr:uid="{00000000-0005-0000-0000-000053760000}"/>
    <cellStyle name="Обычный 2 5" xfId="30292" xr:uid="{00000000-0005-0000-0000-000054760000}"/>
    <cellStyle name="Обычный 2 5 2" xfId="30293" xr:uid="{00000000-0005-0000-0000-000055760000}"/>
    <cellStyle name="Обычный 2 6" xfId="30294" xr:uid="{00000000-0005-0000-0000-000056760000}"/>
    <cellStyle name="Обычный 2 6 2" xfId="30295" xr:uid="{00000000-0005-0000-0000-000057760000}"/>
    <cellStyle name="Обычный 2 7" xfId="30296" xr:uid="{00000000-0005-0000-0000-000058760000}"/>
    <cellStyle name="Обычный 20" xfId="30297" xr:uid="{00000000-0005-0000-0000-000059760000}"/>
    <cellStyle name="Обычный 20 2" xfId="30298" xr:uid="{00000000-0005-0000-0000-00005A760000}"/>
    <cellStyle name="Обычный 20 2 2" xfId="30299" xr:uid="{00000000-0005-0000-0000-00005B760000}"/>
    <cellStyle name="Обычный 20 2 2 2" xfId="30300" xr:uid="{00000000-0005-0000-0000-00005C760000}"/>
    <cellStyle name="Обычный 20 2 3" xfId="30301" xr:uid="{00000000-0005-0000-0000-00005D760000}"/>
    <cellStyle name="Обычный 20 2 3 2" xfId="30302" xr:uid="{00000000-0005-0000-0000-00005E760000}"/>
    <cellStyle name="Обычный 20 2 4" xfId="30303" xr:uid="{00000000-0005-0000-0000-00005F760000}"/>
    <cellStyle name="Обычный 20 2 4 2" xfId="30304" xr:uid="{00000000-0005-0000-0000-000060760000}"/>
    <cellStyle name="Обычный 20 3" xfId="30305" xr:uid="{00000000-0005-0000-0000-000061760000}"/>
    <cellStyle name="Обычный 20 3 2" xfId="30306" xr:uid="{00000000-0005-0000-0000-000062760000}"/>
    <cellStyle name="Обычный 20 3 2 2" xfId="30307" xr:uid="{00000000-0005-0000-0000-000063760000}"/>
    <cellStyle name="Обычный 20 3 3" xfId="30308" xr:uid="{00000000-0005-0000-0000-000064760000}"/>
    <cellStyle name="Обычный 20 4" xfId="30309" xr:uid="{00000000-0005-0000-0000-000065760000}"/>
    <cellStyle name="Обычный 20 4 2" xfId="30310" xr:uid="{00000000-0005-0000-0000-000066760000}"/>
    <cellStyle name="Обычный 20 5" xfId="30311" xr:uid="{00000000-0005-0000-0000-000067760000}"/>
    <cellStyle name="Обычный 20 5 2" xfId="30312" xr:uid="{00000000-0005-0000-0000-000068760000}"/>
    <cellStyle name="Обычный 20 6" xfId="30313" xr:uid="{00000000-0005-0000-0000-000069760000}"/>
    <cellStyle name="Обычный 20 6 2" xfId="30314" xr:uid="{00000000-0005-0000-0000-00006A760000}"/>
    <cellStyle name="Обычный 21" xfId="30315" xr:uid="{00000000-0005-0000-0000-00006B760000}"/>
    <cellStyle name="Обычный 21 2" xfId="30316" xr:uid="{00000000-0005-0000-0000-00006C760000}"/>
    <cellStyle name="Обычный 21 2 2" xfId="30317" xr:uid="{00000000-0005-0000-0000-00006D760000}"/>
    <cellStyle name="Обычный 21 2 2 2" xfId="30318" xr:uid="{00000000-0005-0000-0000-00006E760000}"/>
    <cellStyle name="Обычный 21 2 2 3" xfId="30319" xr:uid="{00000000-0005-0000-0000-00006F760000}"/>
    <cellStyle name="Обычный 21 2 3" xfId="30320" xr:uid="{00000000-0005-0000-0000-000070760000}"/>
    <cellStyle name="Обычный 21 2 3 2" xfId="30321" xr:uid="{00000000-0005-0000-0000-000071760000}"/>
    <cellStyle name="Обычный 21 2 3 3" xfId="30322" xr:uid="{00000000-0005-0000-0000-000072760000}"/>
    <cellStyle name="Обычный 21 2 4" xfId="30323" xr:uid="{00000000-0005-0000-0000-000073760000}"/>
    <cellStyle name="Обычный 21 2 4 2" xfId="30324" xr:uid="{00000000-0005-0000-0000-000074760000}"/>
    <cellStyle name="Обычный 21 2 5" xfId="30325" xr:uid="{00000000-0005-0000-0000-000075760000}"/>
    <cellStyle name="Обычный 21 2 5 2" xfId="30326" xr:uid="{00000000-0005-0000-0000-000076760000}"/>
    <cellStyle name="Обычный 21 2 6" xfId="30327" xr:uid="{00000000-0005-0000-0000-000077760000}"/>
    <cellStyle name="Обычный 21 2 7" xfId="30328" xr:uid="{00000000-0005-0000-0000-000078760000}"/>
    <cellStyle name="Обычный 21 3" xfId="30329" xr:uid="{00000000-0005-0000-0000-000079760000}"/>
    <cellStyle name="Обычный 21 3 2" xfId="30330" xr:uid="{00000000-0005-0000-0000-00007A760000}"/>
    <cellStyle name="Обычный 21 3 2 2" xfId="30331" xr:uid="{00000000-0005-0000-0000-00007B760000}"/>
    <cellStyle name="Обычный 21 3 2 3" xfId="30332" xr:uid="{00000000-0005-0000-0000-00007C760000}"/>
    <cellStyle name="Обычный 21 3 3" xfId="30333" xr:uid="{00000000-0005-0000-0000-00007D760000}"/>
    <cellStyle name="Обычный 21 3 4" xfId="30334" xr:uid="{00000000-0005-0000-0000-00007E760000}"/>
    <cellStyle name="Обычный 21 4" xfId="30335" xr:uid="{00000000-0005-0000-0000-00007F760000}"/>
    <cellStyle name="Обычный 21 4 2" xfId="30336" xr:uid="{00000000-0005-0000-0000-000080760000}"/>
    <cellStyle name="Обычный 21 4 3" xfId="30337" xr:uid="{00000000-0005-0000-0000-000081760000}"/>
    <cellStyle name="Обычный 21 5" xfId="30338" xr:uid="{00000000-0005-0000-0000-000082760000}"/>
    <cellStyle name="Обычный 21 5 2" xfId="30339" xr:uid="{00000000-0005-0000-0000-000083760000}"/>
    <cellStyle name="Обычный 21 5 3" xfId="30340" xr:uid="{00000000-0005-0000-0000-000084760000}"/>
    <cellStyle name="Обычный 21 6" xfId="30341" xr:uid="{00000000-0005-0000-0000-000085760000}"/>
    <cellStyle name="Обычный 21 6 2" xfId="30342" xr:uid="{00000000-0005-0000-0000-000086760000}"/>
    <cellStyle name="Обычный 21 7" xfId="30343" xr:uid="{00000000-0005-0000-0000-000087760000}"/>
    <cellStyle name="Обычный 21 7 2" xfId="30344" xr:uid="{00000000-0005-0000-0000-000088760000}"/>
    <cellStyle name="Обычный 21 8" xfId="30345" xr:uid="{00000000-0005-0000-0000-000089760000}"/>
    <cellStyle name="Обычный 21 9" xfId="30346" xr:uid="{00000000-0005-0000-0000-00008A760000}"/>
    <cellStyle name="Обычный 22" xfId="30347" xr:uid="{00000000-0005-0000-0000-00008B760000}"/>
    <cellStyle name="Обычный 22 2" xfId="30348" xr:uid="{00000000-0005-0000-0000-00008C760000}"/>
    <cellStyle name="Обычный 22 2 2" xfId="30349" xr:uid="{00000000-0005-0000-0000-00008D760000}"/>
    <cellStyle name="Обычный 22 3" xfId="30350" xr:uid="{00000000-0005-0000-0000-00008E760000}"/>
    <cellStyle name="Обычный 22 4" xfId="30351" xr:uid="{00000000-0005-0000-0000-00008F760000}"/>
    <cellStyle name="Обычный 23" xfId="30352" xr:uid="{00000000-0005-0000-0000-000090760000}"/>
    <cellStyle name="Обычный 23 2" xfId="30353" xr:uid="{00000000-0005-0000-0000-000091760000}"/>
    <cellStyle name="Обычный 23 2 2" xfId="30354" xr:uid="{00000000-0005-0000-0000-000092760000}"/>
    <cellStyle name="Обычный 23 2 2 2" xfId="30355" xr:uid="{00000000-0005-0000-0000-000093760000}"/>
    <cellStyle name="Обычный 23 2 2 3" xfId="30356" xr:uid="{00000000-0005-0000-0000-000094760000}"/>
    <cellStyle name="Обычный 23 2 3" xfId="30357" xr:uid="{00000000-0005-0000-0000-000095760000}"/>
    <cellStyle name="Обычный 23 3" xfId="30358" xr:uid="{00000000-0005-0000-0000-000096760000}"/>
    <cellStyle name="Обычный 23 3 2" xfId="30359" xr:uid="{00000000-0005-0000-0000-000097760000}"/>
    <cellStyle name="Обычный 23 4" xfId="30360" xr:uid="{00000000-0005-0000-0000-000098760000}"/>
    <cellStyle name="Обычный 24" xfId="30361" xr:uid="{00000000-0005-0000-0000-000099760000}"/>
    <cellStyle name="Обычный 24 2" xfId="30362" xr:uid="{00000000-0005-0000-0000-00009A760000}"/>
    <cellStyle name="Обычный 25" xfId="30363" xr:uid="{00000000-0005-0000-0000-00009B760000}"/>
    <cellStyle name="Обычный 25 2" xfId="30364" xr:uid="{00000000-0005-0000-0000-00009C760000}"/>
    <cellStyle name="Обычный 25 3" xfId="30365" xr:uid="{00000000-0005-0000-0000-00009D760000}"/>
    <cellStyle name="Обычный 26" xfId="30366" xr:uid="{00000000-0005-0000-0000-00009E760000}"/>
    <cellStyle name="Обычный 26 2" xfId="30367" xr:uid="{00000000-0005-0000-0000-00009F760000}"/>
    <cellStyle name="Обычный 26 3" xfId="30368" xr:uid="{00000000-0005-0000-0000-0000A0760000}"/>
    <cellStyle name="Обычный 27" xfId="30369" xr:uid="{00000000-0005-0000-0000-0000A1760000}"/>
    <cellStyle name="Обычный 27 2" xfId="30370" xr:uid="{00000000-0005-0000-0000-0000A2760000}"/>
    <cellStyle name="Обычный 27 3" xfId="30371" xr:uid="{00000000-0005-0000-0000-0000A3760000}"/>
    <cellStyle name="Обычный 28" xfId="30372" xr:uid="{00000000-0005-0000-0000-0000A4760000}"/>
    <cellStyle name="Обычный 28 2" xfId="30373" xr:uid="{00000000-0005-0000-0000-0000A5760000}"/>
    <cellStyle name="Обычный 29" xfId="30374" xr:uid="{00000000-0005-0000-0000-0000A6760000}"/>
    <cellStyle name="Обычный 3" xfId="30375" xr:uid="{00000000-0005-0000-0000-0000A7760000}"/>
    <cellStyle name="Обычный 3 2" xfId="30376" xr:uid="{00000000-0005-0000-0000-0000A8760000}"/>
    <cellStyle name="Обычный 3 2 2" xfId="30377" xr:uid="{00000000-0005-0000-0000-0000A9760000}"/>
    <cellStyle name="Обычный 3 2 3" xfId="30378" xr:uid="{00000000-0005-0000-0000-0000AA760000}"/>
    <cellStyle name="Обычный 3 2 4" xfId="30379" xr:uid="{00000000-0005-0000-0000-0000AB760000}"/>
    <cellStyle name="Обычный 3 3" xfId="30380" xr:uid="{00000000-0005-0000-0000-0000AC760000}"/>
    <cellStyle name="Обычный 3 3 2" xfId="30381" xr:uid="{00000000-0005-0000-0000-0000AD760000}"/>
    <cellStyle name="Обычный 3 3 3" xfId="30382" xr:uid="{00000000-0005-0000-0000-0000AE760000}"/>
    <cellStyle name="Обычный 3 3 4" xfId="30383" xr:uid="{00000000-0005-0000-0000-0000AF760000}"/>
    <cellStyle name="Обычный 3 4" xfId="30384" xr:uid="{00000000-0005-0000-0000-0000B0760000}"/>
    <cellStyle name="Обычный 3 4 2" xfId="30385" xr:uid="{00000000-0005-0000-0000-0000B1760000}"/>
    <cellStyle name="Обычный 3 4 3" xfId="30386" xr:uid="{00000000-0005-0000-0000-0000B2760000}"/>
    <cellStyle name="Обычный 3 4 4" xfId="30387" xr:uid="{00000000-0005-0000-0000-0000B3760000}"/>
    <cellStyle name="Обычный 3 5" xfId="30388" xr:uid="{00000000-0005-0000-0000-0000B4760000}"/>
    <cellStyle name="Обычный 3 5 2" xfId="30389" xr:uid="{00000000-0005-0000-0000-0000B5760000}"/>
    <cellStyle name="Обычный 3 6" xfId="30390" xr:uid="{00000000-0005-0000-0000-0000B6760000}"/>
    <cellStyle name="Обычный 3 7" xfId="30391" xr:uid="{00000000-0005-0000-0000-0000B7760000}"/>
    <cellStyle name="Обычный 30" xfId="30392" xr:uid="{00000000-0005-0000-0000-0000B8760000}"/>
    <cellStyle name="Обычный 31" xfId="30393" xr:uid="{00000000-0005-0000-0000-0000B9760000}"/>
    <cellStyle name="Обычный 32" xfId="30394" xr:uid="{00000000-0005-0000-0000-0000BA760000}"/>
    <cellStyle name="Обычный 33" xfId="30395" xr:uid="{00000000-0005-0000-0000-0000BB760000}"/>
    <cellStyle name="Обычный 4" xfId="30396" xr:uid="{00000000-0005-0000-0000-0000BC760000}"/>
    <cellStyle name="Обычный 4 2" xfId="30397" xr:uid="{00000000-0005-0000-0000-0000BD760000}"/>
    <cellStyle name="Обычный 4 2 2" xfId="30398" xr:uid="{00000000-0005-0000-0000-0000BE760000}"/>
    <cellStyle name="Обычный 4 2 3" xfId="30399" xr:uid="{00000000-0005-0000-0000-0000BF760000}"/>
    <cellStyle name="Обычный 4 3" xfId="30400" xr:uid="{00000000-0005-0000-0000-0000C0760000}"/>
    <cellStyle name="Обычный 4 3 2" xfId="30401" xr:uid="{00000000-0005-0000-0000-0000C1760000}"/>
    <cellStyle name="Обычный 4 4" xfId="30402" xr:uid="{00000000-0005-0000-0000-0000C2760000}"/>
    <cellStyle name="Обычный 4 4 2" xfId="30403" xr:uid="{00000000-0005-0000-0000-0000C3760000}"/>
    <cellStyle name="Обычный 5" xfId="30404" xr:uid="{00000000-0005-0000-0000-0000C4760000}"/>
    <cellStyle name="Обычный 5 2" xfId="30405" xr:uid="{00000000-0005-0000-0000-0000C5760000}"/>
    <cellStyle name="Обычный 5 2 2" xfId="30406" xr:uid="{00000000-0005-0000-0000-0000C6760000}"/>
    <cellStyle name="Обычный 5 2 2 2" xfId="30407" xr:uid="{00000000-0005-0000-0000-0000C7760000}"/>
    <cellStyle name="Обычный 5 2 3" xfId="30408" xr:uid="{00000000-0005-0000-0000-0000C8760000}"/>
    <cellStyle name="Обычный 5 2 3 2" xfId="30409" xr:uid="{00000000-0005-0000-0000-0000C9760000}"/>
    <cellStyle name="Обычный 5 2 4" xfId="30410" xr:uid="{00000000-0005-0000-0000-0000CA760000}"/>
    <cellStyle name="Обычный 5 2 4 2" xfId="30411" xr:uid="{00000000-0005-0000-0000-0000CB760000}"/>
    <cellStyle name="Обычный 5 3" xfId="30412" xr:uid="{00000000-0005-0000-0000-0000CC760000}"/>
    <cellStyle name="Обычный 5 3 2" xfId="30413" xr:uid="{00000000-0005-0000-0000-0000CD760000}"/>
    <cellStyle name="Обычный 5 3 2 2" xfId="30414" xr:uid="{00000000-0005-0000-0000-0000CE760000}"/>
    <cellStyle name="Обычный 5 3 3" xfId="30415" xr:uid="{00000000-0005-0000-0000-0000CF760000}"/>
    <cellStyle name="Обычный 5 4" xfId="30416" xr:uid="{00000000-0005-0000-0000-0000D0760000}"/>
    <cellStyle name="Обычный 5 4 2" xfId="30417" xr:uid="{00000000-0005-0000-0000-0000D1760000}"/>
    <cellStyle name="Обычный 5 5" xfId="30418" xr:uid="{00000000-0005-0000-0000-0000D2760000}"/>
    <cellStyle name="Обычный 5 5 2" xfId="30419" xr:uid="{00000000-0005-0000-0000-0000D3760000}"/>
    <cellStyle name="Обычный 5 6" xfId="30420" xr:uid="{00000000-0005-0000-0000-0000D4760000}"/>
    <cellStyle name="Обычный 5 6 2" xfId="30421" xr:uid="{00000000-0005-0000-0000-0000D5760000}"/>
    <cellStyle name="Обычный 6" xfId="30422" xr:uid="{00000000-0005-0000-0000-0000D6760000}"/>
    <cellStyle name="Обычный 6 2" xfId="30423" xr:uid="{00000000-0005-0000-0000-0000D7760000}"/>
    <cellStyle name="Обычный 6 2 2" xfId="30424" xr:uid="{00000000-0005-0000-0000-0000D8760000}"/>
    <cellStyle name="Обычный 6 2 2 2" xfId="30425" xr:uid="{00000000-0005-0000-0000-0000D9760000}"/>
    <cellStyle name="Обычный 6 2 3" xfId="30426" xr:uid="{00000000-0005-0000-0000-0000DA760000}"/>
    <cellStyle name="Обычный 6 2 3 2" xfId="30427" xr:uid="{00000000-0005-0000-0000-0000DB760000}"/>
    <cellStyle name="Обычный 6 2 4" xfId="30428" xr:uid="{00000000-0005-0000-0000-0000DC760000}"/>
    <cellStyle name="Обычный 6 2 4 2" xfId="30429" xr:uid="{00000000-0005-0000-0000-0000DD760000}"/>
    <cellStyle name="Обычный 6 3" xfId="30430" xr:uid="{00000000-0005-0000-0000-0000DE760000}"/>
    <cellStyle name="Обычный 6 3 2" xfId="30431" xr:uid="{00000000-0005-0000-0000-0000DF760000}"/>
    <cellStyle name="Обычный 6 3 2 2" xfId="30432" xr:uid="{00000000-0005-0000-0000-0000E0760000}"/>
    <cellStyle name="Обычный 6 3 3" xfId="30433" xr:uid="{00000000-0005-0000-0000-0000E1760000}"/>
    <cellStyle name="Обычный 6 4" xfId="30434" xr:uid="{00000000-0005-0000-0000-0000E2760000}"/>
    <cellStyle name="Обычный 6 4 2" xfId="30435" xr:uid="{00000000-0005-0000-0000-0000E3760000}"/>
    <cellStyle name="Обычный 6 5" xfId="30436" xr:uid="{00000000-0005-0000-0000-0000E4760000}"/>
    <cellStyle name="Обычный 6 5 2" xfId="30437" xr:uid="{00000000-0005-0000-0000-0000E5760000}"/>
    <cellStyle name="Обычный 6 6" xfId="30438" xr:uid="{00000000-0005-0000-0000-0000E6760000}"/>
    <cellStyle name="Обычный 6 6 2" xfId="30439" xr:uid="{00000000-0005-0000-0000-0000E7760000}"/>
    <cellStyle name="Обычный 7" xfId="30440" xr:uid="{00000000-0005-0000-0000-0000E8760000}"/>
    <cellStyle name="Обычный 7 2" xfId="30441" xr:uid="{00000000-0005-0000-0000-0000E9760000}"/>
    <cellStyle name="Обычный 7 2 2" xfId="30442" xr:uid="{00000000-0005-0000-0000-0000EA760000}"/>
    <cellStyle name="Обычный 7 2 2 2" xfId="30443" xr:uid="{00000000-0005-0000-0000-0000EB760000}"/>
    <cellStyle name="Обычный 7 2 3" xfId="30444" xr:uid="{00000000-0005-0000-0000-0000EC760000}"/>
    <cellStyle name="Обычный 7 2 3 2" xfId="30445" xr:uid="{00000000-0005-0000-0000-0000ED760000}"/>
    <cellStyle name="Обычный 7 2 4" xfId="30446" xr:uid="{00000000-0005-0000-0000-0000EE760000}"/>
    <cellStyle name="Обычный 7 2 4 2" xfId="30447" xr:uid="{00000000-0005-0000-0000-0000EF760000}"/>
    <cellStyle name="Обычный 7 3" xfId="30448" xr:uid="{00000000-0005-0000-0000-0000F0760000}"/>
    <cellStyle name="Обычный 7 3 2" xfId="30449" xr:uid="{00000000-0005-0000-0000-0000F1760000}"/>
    <cellStyle name="Обычный 7 3 2 2" xfId="30450" xr:uid="{00000000-0005-0000-0000-0000F2760000}"/>
    <cellStyle name="Обычный 7 3 3" xfId="30451" xr:uid="{00000000-0005-0000-0000-0000F3760000}"/>
    <cellStyle name="Обычный 7 4" xfId="30452" xr:uid="{00000000-0005-0000-0000-0000F4760000}"/>
    <cellStyle name="Обычный 7 4 2" xfId="30453" xr:uid="{00000000-0005-0000-0000-0000F5760000}"/>
    <cellStyle name="Обычный 7 5" xfId="30454" xr:uid="{00000000-0005-0000-0000-0000F6760000}"/>
    <cellStyle name="Обычный 7 5 2" xfId="30455" xr:uid="{00000000-0005-0000-0000-0000F7760000}"/>
    <cellStyle name="Обычный 7 6" xfId="30456" xr:uid="{00000000-0005-0000-0000-0000F8760000}"/>
    <cellStyle name="Обычный 7 6 2" xfId="30457" xr:uid="{00000000-0005-0000-0000-0000F9760000}"/>
    <cellStyle name="Обычный 8" xfId="30458" xr:uid="{00000000-0005-0000-0000-0000FA760000}"/>
    <cellStyle name="Обычный 8 2" xfId="30459" xr:uid="{00000000-0005-0000-0000-0000FB760000}"/>
    <cellStyle name="Обычный 8 2 2" xfId="30460" xr:uid="{00000000-0005-0000-0000-0000FC760000}"/>
    <cellStyle name="Обычный 8 2 2 2" xfId="30461" xr:uid="{00000000-0005-0000-0000-0000FD760000}"/>
    <cellStyle name="Обычный 8 2 3" xfId="30462" xr:uid="{00000000-0005-0000-0000-0000FE760000}"/>
    <cellStyle name="Обычный 8 2 3 2" xfId="30463" xr:uid="{00000000-0005-0000-0000-0000FF760000}"/>
    <cellStyle name="Обычный 8 2 4" xfId="30464" xr:uid="{00000000-0005-0000-0000-000000770000}"/>
    <cellStyle name="Обычный 8 2 4 2" xfId="30465" xr:uid="{00000000-0005-0000-0000-000001770000}"/>
    <cellStyle name="Обычный 8 3" xfId="30466" xr:uid="{00000000-0005-0000-0000-000002770000}"/>
    <cellStyle name="Обычный 8 3 2" xfId="30467" xr:uid="{00000000-0005-0000-0000-000003770000}"/>
    <cellStyle name="Обычный 8 3 2 2" xfId="30468" xr:uid="{00000000-0005-0000-0000-000004770000}"/>
    <cellStyle name="Обычный 8 3 3" xfId="30469" xr:uid="{00000000-0005-0000-0000-000005770000}"/>
    <cellStyle name="Обычный 8 4" xfId="30470" xr:uid="{00000000-0005-0000-0000-000006770000}"/>
    <cellStyle name="Обычный 8 4 2" xfId="30471" xr:uid="{00000000-0005-0000-0000-000007770000}"/>
    <cellStyle name="Обычный 8 5" xfId="30472" xr:uid="{00000000-0005-0000-0000-000008770000}"/>
    <cellStyle name="Обычный 8 5 2" xfId="30473" xr:uid="{00000000-0005-0000-0000-000009770000}"/>
    <cellStyle name="Обычный 8 6" xfId="30474" xr:uid="{00000000-0005-0000-0000-00000A770000}"/>
    <cellStyle name="Обычный 8 6 2" xfId="30475" xr:uid="{00000000-0005-0000-0000-00000B770000}"/>
    <cellStyle name="Обычный 9" xfId="30476" xr:uid="{00000000-0005-0000-0000-00000C770000}"/>
    <cellStyle name="Обычный 9 2" xfId="30477" xr:uid="{00000000-0005-0000-0000-00000D770000}"/>
    <cellStyle name="Обычный 9 2 2" xfId="30478" xr:uid="{00000000-0005-0000-0000-00000E770000}"/>
    <cellStyle name="Обычный 9 2 2 2" xfId="30479" xr:uid="{00000000-0005-0000-0000-00000F770000}"/>
    <cellStyle name="Обычный 9 2 3" xfId="30480" xr:uid="{00000000-0005-0000-0000-000010770000}"/>
    <cellStyle name="Обычный 9 2 3 2" xfId="30481" xr:uid="{00000000-0005-0000-0000-000011770000}"/>
    <cellStyle name="Обычный 9 2 4" xfId="30482" xr:uid="{00000000-0005-0000-0000-000012770000}"/>
    <cellStyle name="Обычный 9 2 4 2" xfId="30483" xr:uid="{00000000-0005-0000-0000-000013770000}"/>
    <cellStyle name="Обычный 9 3" xfId="30484" xr:uid="{00000000-0005-0000-0000-000014770000}"/>
    <cellStyle name="Обычный 9 3 2" xfId="30485" xr:uid="{00000000-0005-0000-0000-000015770000}"/>
    <cellStyle name="Обычный 9 3 2 2" xfId="30486" xr:uid="{00000000-0005-0000-0000-000016770000}"/>
    <cellStyle name="Обычный 9 3 3" xfId="30487" xr:uid="{00000000-0005-0000-0000-000017770000}"/>
    <cellStyle name="Обычный 9 4" xfId="30488" xr:uid="{00000000-0005-0000-0000-000018770000}"/>
    <cellStyle name="Обычный 9 4 2" xfId="30489" xr:uid="{00000000-0005-0000-0000-000019770000}"/>
    <cellStyle name="Обычный 9 5" xfId="30490" xr:uid="{00000000-0005-0000-0000-00001A770000}"/>
    <cellStyle name="Обычный 9 5 2" xfId="30491" xr:uid="{00000000-0005-0000-0000-00001B770000}"/>
    <cellStyle name="Обычный 9 6" xfId="30492" xr:uid="{00000000-0005-0000-0000-00001C770000}"/>
    <cellStyle name="Обычный 9 6 2" xfId="30493" xr:uid="{00000000-0005-0000-0000-00001D770000}"/>
    <cellStyle name="Обычный_КАМАЗ" xfId="30494" xr:uid="{00000000-0005-0000-0000-00001E770000}"/>
    <cellStyle name="Плохой 2" xfId="30495" xr:uid="{00000000-0005-0000-0000-00001F770000}"/>
    <cellStyle name="Пояснение 2" xfId="30496" xr:uid="{00000000-0005-0000-0000-000020770000}"/>
    <cellStyle name="Примечание 2" xfId="30497" xr:uid="{00000000-0005-0000-0000-000021770000}"/>
    <cellStyle name="Примечание 2 2" xfId="30498" xr:uid="{00000000-0005-0000-0000-000022770000}"/>
    <cellStyle name="Примечание 2 2 2" xfId="30499" xr:uid="{00000000-0005-0000-0000-000023770000}"/>
    <cellStyle name="Примечание 2 2 2 2" xfId="30500" xr:uid="{00000000-0005-0000-0000-000024770000}"/>
    <cellStyle name="Примечание 2 2 2 3" xfId="30501" xr:uid="{00000000-0005-0000-0000-000025770000}"/>
    <cellStyle name="Примечание 2 2 2 4" xfId="30502" xr:uid="{00000000-0005-0000-0000-000026770000}"/>
    <cellStyle name="Примечание 2 2 2 5" xfId="30503" xr:uid="{00000000-0005-0000-0000-000027770000}"/>
    <cellStyle name="Примечание 2 2 2 6" xfId="30504" xr:uid="{00000000-0005-0000-0000-000028770000}"/>
    <cellStyle name="Примечание 2 2 3" xfId="30505" xr:uid="{00000000-0005-0000-0000-000029770000}"/>
    <cellStyle name="Примечание 2 2 4" xfId="30506" xr:uid="{00000000-0005-0000-0000-00002A770000}"/>
    <cellStyle name="Примечание 2 2 5" xfId="30507" xr:uid="{00000000-0005-0000-0000-00002B770000}"/>
    <cellStyle name="Примечание 2 2 6" xfId="30508" xr:uid="{00000000-0005-0000-0000-00002C770000}"/>
    <cellStyle name="Примечание 2 2 7" xfId="30509" xr:uid="{00000000-0005-0000-0000-00002D770000}"/>
    <cellStyle name="Примечание 2 2 8" xfId="30510" xr:uid="{00000000-0005-0000-0000-00002E770000}"/>
    <cellStyle name="Примечание 2 3" xfId="30511" xr:uid="{00000000-0005-0000-0000-00002F770000}"/>
    <cellStyle name="Примечание 2 3 2" xfId="30512" xr:uid="{00000000-0005-0000-0000-000030770000}"/>
    <cellStyle name="Примечание 2 3 3" xfId="30513" xr:uid="{00000000-0005-0000-0000-000031770000}"/>
    <cellStyle name="Примечание 2 3 4" xfId="30514" xr:uid="{00000000-0005-0000-0000-000032770000}"/>
    <cellStyle name="Примечание 2 3 5" xfId="30515" xr:uid="{00000000-0005-0000-0000-000033770000}"/>
    <cellStyle name="Примечание 2 3 6" xfId="30516" xr:uid="{00000000-0005-0000-0000-000034770000}"/>
    <cellStyle name="Примечание 2 4" xfId="30517" xr:uid="{00000000-0005-0000-0000-000035770000}"/>
    <cellStyle name="Примечание 2 5" xfId="30518" xr:uid="{00000000-0005-0000-0000-000036770000}"/>
    <cellStyle name="Примечание 2 6" xfId="30519" xr:uid="{00000000-0005-0000-0000-000037770000}"/>
    <cellStyle name="Примечание 2 7" xfId="30520" xr:uid="{00000000-0005-0000-0000-000038770000}"/>
    <cellStyle name="Примечание 2 8" xfId="30521" xr:uid="{00000000-0005-0000-0000-000039770000}"/>
    <cellStyle name="Примечание 2 9" xfId="30522" xr:uid="{00000000-0005-0000-0000-00003A770000}"/>
    <cellStyle name="Примечание 3" xfId="30523" xr:uid="{00000000-0005-0000-0000-00003B770000}"/>
    <cellStyle name="Процентный 2" xfId="30524" xr:uid="{00000000-0005-0000-0000-00003C770000}"/>
    <cellStyle name="Процентный 2 2" xfId="30525" xr:uid="{00000000-0005-0000-0000-00003D770000}"/>
    <cellStyle name="Процентный 3" xfId="30526" xr:uid="{00000000-0005-0000-0000-00003E770000}"/>
    <cellStyle name="Процентный 3 2" xfId="30527" xr:uid="{00000000-0005-0000-0000-00003F770000}"/>
    <cellStyle name="Процентный 4" xfId="30528" xr:uid="{00000000-0005-0000-0000-000040770000}"/>
    <cellStyle name="Процентный 5" xfId="30529" xr:uid="{00000000-0005-0000-0000-000041770000}"/>
    <cellStyle name="Процентный 6" xfId="30530" xr:uid="{00000000-0005-0000-0000-000042770000}"/>
    <cellStyle name="Связанная ячейка 2" xfId="30531" xr:uid="{00000000-0005-0000-0000-000043770000}"/>
    <cellStyle name="Стиль 1" xfId="30532" xr:uid="{00000000-0005-0000-0000-000044770000}"/>
    <cellStyle name="Стиль 1 2" xfId="30533" xr:uid="{00000000-0005-0000-0000-000045770000}"/>
    <cellStyle name="Стиль 1 3" xfId="30534" xr:uid="{00000000-0005-0000-0000-000046770000}"/>
    <cellStyle name="Стиль 1 4" xfId="30535" xr:uid="{00000000-0005-0000-0000-000047770000}"/>
    <cellStyle name="Текст предупреждения 2" xfId="30536" xr:uid="{00000000-0005-0000-0000-000048770000}"/>
    <cellStyle name="Тысячи [0]_ UPL-98 Cherk" xfId="30537" xr:uid="{00000000-0005-0000-0000-000049770000}"/>
    <cellStyle name="Тысячи_ UPL-98 Cherk" xfId="30538" xr:uid="{00000000-0005-0000-0000-00004A770000}"/>
    <cellStyle name="Финансовый 10" xfId="30539" xr:uid="{00000000-0005-0000-0000-00004B770000}"/>
    <cellStyle name="Финансовый 10 2" xfId="30540" xr:uid="{00000000-0005-0000-0000-00004C770000}"/>
    <cellStyle name="Финансовый 11" xfId="30541" xr:uid="{00000000-0005-0000-0000-00004D770000}"/>
    <cellStyle name="Финансовый 11 2" xfId="30542" xr:uid="{00000000-0005-0000-0000-00004E770000}"/>
    <cellStyle name="Финансовый 12" xfId="30543" xr:uid="{00000000-0005-0000-0000-00004F770000}"/>
    <cellStyle name="Финансовый 12 2" xfId="30544" xr:uid="{00000000-0005-0000-0000-000050770000}"/>
    <cellStyle name="Финансовый 13" xfId="30545" xr:uid="{00000000-0005-0000-0000-000051770000}"/>
    <cellStyle name="Финансовый 2" xfId="30546" xr:uid="{00000000-0005-0000-0000-000052770000}"/>
    <cellStyle name="Финансовый 2 2" xfId="30547" xr:uid="{00000000-0005-0000-0000-000053770000}"/>
    <cellStyle name="Финансовый 2 2 2" xfId="30548" xr:uid="{00000000-0005-0000-0000-000054770000}"/>
    <cellStyle name="Финансовый 2 2 3" xfId="30549" xr:uid="{00000000-0005-0000-0000-000055770000}"/>
    <cellStyle name="Финансовый 2 3" xfId="30550" xr:uid="{00000000-0005-0000-0000-000056770000}"/>
    <cellStyle name="Финансовый 2 3 2" xfId="30551" xr:uid="{00000000-0005-0000-0000-000057770000}"/>
    <cellStyle name="Финансовый 2 4" xfId="30552" xr:uid="{00000000-0005-0000-0000-000058770000}"/>
    <cellStyle name="Финансовый 2 4 2" xfId="30553" xr:uid="{00000000-0005-0000-0000-000059770000}"/>
    <cellStyle name="Финансовый 3" xfId="30554" xr:uid="{00000000-0005-0000-0000-00005A770000}"/>
    <cellStyle name="Финансовый 3 2" xfId="30555" xr:uid="{00000000-0005-0000-0000-00005B770000}"/>
    <cellStyle name="Финансовый 3 2 2" xfId="30556" xr:uid="{00000000-0005-0000-0000-00005C770000}"/>
    <cellStyle name="Финансовый 3 2 2 2" xfId="30557" xr:uid="{00000000-0005-0000-0000-00005D770000}"/>
    <cellStyle name="Финансовый 3 2 3" xfId="30558" xr:uid="{00000000-0005-0000-0000-00005E770000}"/>
    <cellStyle name="Финансовый 3 2 3 2" xfId="30559" xr:uid="{00000000-0005-0000-0000-00005F770000}"/>
    <cellStyle name="Финансовый 3 2 4" xfId="30560" xr:uid="{00000000-0005-0000-0000-000060770000}"/>
    <cellStyle name="Финансовый 3 2 4 2" xfId="30561" xr:uid="{00000000-0005-0000-0000-000061770000}"/>
    <cellStyle name="Финансовый 3 3" xfId="30562" xr:uid="{00000000-0005-0000-0000-000062770000}"/>
    <cellStyle name="Финансовый 3 3 2" xfId="30563" xr:uid="{00000000-0005-0000-0000-000063770000}"/>
    <cellStyle name="Финансовый 3 3 2 2" xfId="30564" xr:uid="{00000000-0005-0000-0000-000064770000}"/>
    <cellStyle name="Финансовый 3 3 3" xfId="30565" xr:uid="{00000000-0005-0000-0000-000065770000}"/>
    <cellStyle name="Финансовый 3 4" xfId="30566" xr:uid="{00000000-0005-0000-0000-000066770000}"/>
    <cellStyle name="Финансовый 3 4 2" xfId="30567" xr:uid="{00000000-0005-0000-0000-000067770000}"/>
    <cellStyle name="Финансовый 3 5" xfId="30568" xr:uid="{00000000-0005-0000-0000-000068770000}"/>
    <cellStyle name="Финансовый 3 5 2" xfId="30569" xr:uid="{00000000-0005-0000-0000-000069770000}"/>
    <cellStyle name="Финансовый 3 6" xfId="30570" xr:uid="{00000000-0005-0000-0000-00006A770000}"/>
    <cellStyle name="Финансовый 3 6 2" xfId="30571" xr:uid="{00000000-0005-0000-0000-00006B770000}"/>
    <cellStyle name="Финансовый 4" xfId="30572" xr:uid="{00000000-0005-0000-0000-00006C770000}"/>
    <cellStyle name="Финансовый 4 2" xfId="30573" xr:uid="{00000000-0005-0000-0000-00006D770000}"/>
    <cellStyle name="Финансовый 4 2 2" xfId="30574" xr:uid="{00000000-0005-0000-0000-00006E770000}"/>
    <cellStyle name="Финансовый 4 2 2 2" xfId="30575" xr:uid="{00000000-0005-0000-0000-00006F770000}"/>
    <cellStyle name="Финансовый 4 2 2 2 2" xfId="30576" xr:uid="{00000000-0005-0000-0000-000070770000}"/>
    <cellStyle name="Финансовый 4 2 2 3" xfId="30577" xr:uid="{00000000-0005-0000-0000-000071770000}"/>
    <cellStyle name="Финансовый 4 2 2 4" xfId="30578" xr:uid="{00000000-0005-0000-0000-000072770000}"/>
    <cellStyle name="Финансовый 4 2 2 5" xfId="30579" xr:uid="{00000000-0005-0000-0000-000073770000}"/>
    <cellStyle name="Финансовый 4 2 2 6" xfId="30580" xr:uid="{00000000-0005-0000-0000-000074770000}"/>
    <cellStyle name="Финансовый 4 2 3" xfId="30581" xr:uid="{00000000-0005-0000-0000-000075770000}"/>
    <cellStyle name="Финансовый 4 2 3 2" xfId="30582" xr:uid="{00000000-0005-0000-0000-000076770000}"/>
    <cellStyle name="Финансовый 4 2 4" xfId="30583" xr:uid="{00000000-0005-0000-0000-000077770000}"/>
    <cellStyle name="Финансовый 4 2 5" xfId="30584" xr:uid="{00000000-0005-0000-0000-000078770000}"/>
    <cellStyle name="Финансовый 4 2 6" xfId="30585" xr:uid="{00000000-0005-0000-0000-000079770000}"/>
    <cellStyle name="Финансовый 4 2 7" xfId="30586" xr:uid="{00000000-0005-0000-0000-00007A770000}"/>
    <cellStyle name="Финансовый 4 3" xfId="30587" xr:uid="{00000000-0005-0000-0000-00007B770000}"/>
    <cellStyle name="Финансовый 4 3 2" xfId="30588" xr:uid="{00000000-0005-0000-0000-00007C770000}"/>
    <cellStyle name="Финансовый 4 3 2 2" xfId="30589" xr:uid="{00000000-0005-0000-0000-00007D770000}"/>
    <cellStyle name="Финансовый 4 3 3" xfId="30590" xr:uid="{00000000-0005-0000-0000-00007E770000}"/>
    <cellStyle name="Финансовый 4 3 4" xfId="30591" xr:uid="{00000000-0005-0000-0000-00007F770000}"/>
    <cellStyle name="Финансовый 4 3 5" xfId="30592" xr:uid="{00000000-0005-0000-0000-000080770000}"/>
    <cellStyle name="Финансовый 4 3 6" xfId="30593" xr:uid="{00000000-0005-0000-0000-000081770000}"/>
    <cellStyle name="Финансовый 4 4" xfId="30594" xr:uid="{00000000-0005-0000-0000-000082770000}"/>
    <cellStyle name="Финансовый 4 4 2" xfId="30595" xr:uid="{00000000-0005-0000-0000-000083770000}"/>
    <cellStyle name="Финансовый 4 4 3" xfId="30596" xr:uid="{00000000-0005-0000-0000-000084770000}"/>
    <cellStyle name="Финансовый 4 4 4" xfId="30597" xr:uid="{00000000-0005-0000-0000-000085770000}"/>
    <cellStyle name="Финансовый 4 4 5" xfId="30598" xr:uid="{00000000-0005-0000-0000-000086770000}"/>
    <cellStyle name="Финансовый 4 5" xfId="30599" xr:uid="{00000000-0005-0000-0000-000087770000}"/>
    <cellStyle name="Финансовый 4 5 2" xfId="30600" xr:uid="{00000000-0005-0000-0000-000088770000}"/>
    <cellStyle name="Финансовый 4 5 3" xfId="30601" xr:uid="{00000000-0005-0000-0000-000089770000}"/>
    <cellStyle name="Финансовый 4 6" xfId="30602" xr:uid="{00000000-0005-0000-0000-00008A770000}"/>
    <cellStyle name="Финансовый 4 6 2" xfId="30603" xr:uid="{00000000-0005-0000-0000-00008B770000}"/>
    <cellStyle name="Финансовый 4 6 3" xfId="30604" xr:uid="{00000000-0005-0000-0000-00008C770000}"/>
    <cellStyle name="Финансовый 4 7" xfId="30605" xr:uid="{00000000-0005-0000-0000-00008D770000}"/>
    <cellStyle name="Финансовый 4 7 2" xfId="30606" xr:uid="{00000000-0005-0000-0000-00008E770000}"/>
    <cellStyle name="Финансовый 4 8" xfId="30607" xr:uid="{00000000-0005-0000-0000-00008F770000}"/>
    <cellStyle name="Финансовый 4 9" xfId="30608" xr:uid="{00000000-0005-0000-0000-000090770000}"/>
    <cellStyle name="Финансовый 5" xfId="30609" xr:uid="{00000000-0005-0000-0000-000091770000}"/>
    <cellStyle name="Финансовый 5 2" xfId="30610" xr:uid="{00000000-0005-0000-0000-000092770000}"/>
    <cellStyle name="Финансовый 5 2 2" xfId="30611" xr:uid="{00000000-0005-0000-0000-000093770000}"/>
    <cellStyle name="Финансовый 5 2 2 2" xfId="30612" xr:uid="{00000000-0005-0000-0000-000094770000}"/>
    <cellStyle name="Финансовый 5 2 2 2 2" xfId="30613" xr:uid="{00000000-0005-0000-0000-000095770000}"/>
    <cellStyle name="Финансовый 5 2 2 3" xfId="30614" xr:uid="{00000000-0005-0000-0000-000096770000}"/>
    <cellStyle name="Финансовый 5 2 3" xfId="30615" xr:uid="{00000000-0005-0000-0000-000097770000}"/>
    <cellStyle name="Финансовый 5 2 3 2" xfId="30616" xr:uid="{00000000-0005-0000-0000-000098770000}"/>
    <cellStyle name="Финансовый 5 2 4" xfId="30617" xr:uid="{00000000-0005-0000-0000-000099770000}"/>
    <cellStyle name="Финансовый 5 2 5" xfId="30618" xr:uid="{00000000-0005-0000-0000-00009A770000}"/>
    <cellStyle name="Финансовый 5 2 6" xfId="30619" xr:uid="{00000000-0005-0000-0000-00009B770000}"/>
    <cellStyle name="Финансовый 5 2 7" xfId="30620" xr:uid="{00000000-0005-0000-0000-00009C770000}"/>
    <cellStyle name="Финансовый 5 3" xfId="30621" xr:uid="{00000000-0005-0000-0000-00009D770000}"/>
    <cellStyle name="Финансовый 5 3 2" xfId="30622" xr:uid="{00000000-0005-0000-0000-00009E770000}"/>
    <cellStyle name="Финансовый 5 3 2 2" xfId="30623" xr:uid="{00000000-0005-0000-0000-00009F770000}"/>
    <cellStyle name="Финансовый 5 3 3" xfId="30624" xr:uid="{00000000-0005-0000-0000-0000A0770000}"/>
    <cellStyle name="Финансовый 5 3 4" xfId="30625" xr:uid="{00000000-0005-0000-0000-0000A1770000}"/>
    <cellStyle name="Финансовый 5 3 5" xfId="30626" xr:uid="{00000000-0005-0000-0000-0000A2770000}"/>
    <cellStyle name="Финансовый 5 3 6" xfId="30627" xr:uid="{00000000-0005-0000-0000-0000A3770000}"/>
    <cellStyle name="Финансовый 5 4" xfId="30628" xr:uid="{00000000-0005-0000-0000-0000A4770000}"/>
    <cellStyle name="Финансовый 5 4 2" xfId="30629" xr:uid="{00000000-0005-0000-0000-0000A5770000}"/>
    <cellStyle name="Финансовый 5 5" xfId="30630" xr:uid="{00000000-0005-0000-0000-0000A6770000}"/>
    <cellStyle name="Финансовый 5 6" xfId="30631" xr:uid="{00000000-0005-0000-0000-0000A7770000}"/>
    <cellStyle name="Финансовый 5 7" xfId="30632" xr:uid="{00000000-0005-0000-0000-0000A8770000}"/>
    <cellStyle name="Финансовый 5 8" xfId="30633" xr:uid="{00000000-0005-0000-0000-0000A9770000}"/>
    <cellStyle name="Финансовый 6" xfId="30634" xr:uid="{00000000-0005-0000-0000-0000AA770000}"/>
    <cellStyle name="Финансовый 6 2" xfId="30635" xr:uid="{00000000-0005-0000-0000-0000AB770000}"/>
    <cellStyle name="Финансовый 6 2 2" xfId="30636" xr:uid="{00000000-0005-0000-0000-0000AC770000}"/>
    <cellStyle name="Финансовый 6 2 2 2" xfId="30637" xr:uid="{00000000-0005-0000-0000-0000AD770000}"/>
    <cellStyle name="Финансовый 6 2 3" xfId="30638" xr:uid="{00000000-0005-0000-0000-0000AE770000}"/>
    <cellStyle name="Финансовый 6 2 4" xfId="30639" xr:uid="{00000000-0005-0000-0000-0000AF770000}"/>
    <cellStyle name="Финансовый 6 2 5" xfId="30640" xr:uid="{00000000-0005-0000-0000-0000B0770000}"/>
    <cellStyle name="Финансовый 6 3" xfId="30641" xr:uid="{00000000-0005-0000-0000-0000B1770000}"/>
    <cellStyle name="Финансовый 6 3 2" xfId="30642" xr:uid="{00000000-0005-0000-0000-0000B2770000}"/>
    <cellStyle name="Финансовый 6 4" xfId="30643" xr:uid="{00000000-0005-0000-0000-0000B3770000}"/>
    <cellStyle name="Финансовый 6 5" xfId="30644" xr:uid="{00000000-0005-0000-0000-0000B4770000}"/>
    <cellStyle name="Финансовый 6 6" xfId="30645" xr:uid="{00000000-0005-0000-0000-0000B5770000}"/>
    <cellStyle name="Финансовый 6 7" xfId="30646" xr:uid="{00000000-0005-0000-0000-0000B6770000}"/>
    <cellStyle name="Финансовый 7" xfId="30647" xr:uid="{00000000-0005-0000-0000-0000B7770000}"/>
    <cellStyle name="Финансовый 7 2" xfId="30648" xr:uid="{00000000-0005-0000-0000-0000B8770000}"/>
    <cellStyle name="Финансовый 7 2 2" xfId="30649" xr:uid="{00000000-0005-0000-0000-0000B9770000}"/>
    <cellStyle name="Финансовый 7 2 2 2" xfId="30650" xr:uid="{00000000-0005-0000-0000-0000BA770000}"/>
    <cellStyle name="Финансовый 7 2 3" xfId="30651" xr:uid="{00000000-0005-0000-0000-0000BB770000}"/>
    <cellStyle name="Финансовый 7 3" xfId="30652" xr:uid="{00000000-0005-0000-0000-0000BC770000}"/>
    <cellStyle name="Финансовый 7 3 2" xfId="30653" xr:uid="{00000000-0005-0000-0000-0000BD770000}"/>
    <cellStyle name="Финансовый 7 4" xfId="30654" xr:uid="{00000000-0005-0000-0000-0000BE770000}"/>
    <cellStyle name="Финансовый 7 5" xfId="30655" xr:uid="{00000000-0005-0000-0000-0000BF770000}"/>
    <cellStyle name="Финансовый 7 6" xfId="30656" xr:uid="{00000000-0005-0000-0000-0000C0770000}"/>
    <cellStyle name="Финансовый 7 7" xfId="30657" xr:uid="{00000000-0005-0000-0000-0000C1770000}"/>
    <cellStyle name="Финансовый 8" xfId="30658" xr:uid="{00000000-0005-0000-0000-0000C2770000}"/>
    <cellStyle name="Финансовый 8 2" xfId="30659" xr:uid="{00000000-0005-0000-0000-0000C3770000}"/>
    <cellStyle name="Финансовый 8 3" xfId="30660" xr:uid="{00000000-0005-0000-0000-0000C4770000}"/>
    <cellStyle name="Финансовый 8 4" xfId="30661" xr:uid="{00000000-0005-0000-0000-0000C5770000}"/>
    <cellStyle name="Финансовый 9" xfId="30662" xr:uid="{00000000-0005-0000-0000-0000C6770000}"/>
    <cellStyle name="Финансовый 9 2" xfId="30663" xr:uid="{00000000-0005-0000-0000-0000C7770000}"/>
    <cellStyle name="Хороший 2" xfId="30664" xr:uid="{00000000-0005-0000-0000-0000C8770000}"/>
    <cellStyle name=" [0.00]_ Att. 1- Cover" xfId="30665" xr:uid="{00000000-0005-0000-0000-0000C9770000}"/>
    <cellStyle name="_ Att. 1- Cover" xfId="30666" xr:uid="{00000000-0005-0000-0000-0000CA770000}"/>
    <cellStyle name="?_ Att. 1- Cover" xfId="30667" xr:uid="{00000000-0005-0000-0000-0000CB770000}"/>
    <cellStyle name="똿뗦먛귟 [0.00]_PRODUCT DETAIL Q1" xfId="30668" xr:uid="{00000000-0005-0000-0000-0000CC770000}"/>
    <cellStyle name="똿뗦먛귟_PRODUCT DETAIL Q1" xfId="30669" xr:uid="{00000000-0005-0000-0000-0000CD770000}"/>
    <cellStyle name="믅됞 [0.00]_PRODUCT DETAIL Q1" xfId="30670" xr:uid="{00000000-0005-0000-0000-0000CE770000}"/>
    <cellStyle name="믅됞_PRODUCT DETAIL Q1" xfId="30671" xr:uid="{00000000-0005-0000-0000-0000CF770000}"/>
    <cellStyle name="백분율_95" xfId="30672" xr:uid="{00000000-0005-0000-0000-0000D0770000}"/>
    <cellStyle name="뷭?_BOOKSHIP" xfId="30673" xr:uid="{00000000-0005-0000-0000-0000D1770000}"/>
    <cellStyle name="쉼표 [0]_Apr AcFc_WKI" xfId="30674" xr:uid="{00000000-0005-0000-0000-0000D2770000}"/>
    <cellStyle name="콤마 [0]_1202" xfId="30675" xr:uid="{00000000-0005-0000-0000-0000D3770000}"/>
    <cellStyle name="콤마_1202" xfId="30676" xr:uid="{00000000-0005-0000-0000-0000D4770000}"/>
    <cellStyle name="통화 [0]_1202" xfId="30677" xr:uid="{00000000-0005-0000-0000-0000D5770000}"/>
    <cellStyle name="통화_1202" xfId="30678" xr:uid="{00000000-0005-0000-0000-0000D6770000}"/>
    <cellStyle name="표준_(정보부문)월별인원계획" xfId="30679" xr:uid="{00000000-0005-0000-0000-0000D7770000}"/>
    <cellStyle name="一般_060421-1(MONON)" xfId="30680" xr:uid="{00000000-0005-0000-0000-0000D8770000}"/>
    <cellStyle name="作业量为吨" xfId="30681" xr:uid="{00000000-0005-0000-0000-0000D9770000}"/>
    <cellStyle name="千位分隔 2" xfId="30682" xr:uid="{00000000-0005-0000-0000-0000DA770000}"/>
    <cellStyle name="千位分隔 2 10" xfId="30683" xr:uid="{00000000-0005-0000-0000-0000DB770000}"/>
    <cellStyle name="千位分隔 2 10 2" xfId="30684" xr:uid="{00000000-0005-0000-0000-0000DC770000}"/>
    <cellStyle name="千位分隔 2 11" xfId="30685" xr:uid="{00000000-0005-0000-0000-0000DD770000}"/>
    <cellStyle name="千位分隔 2 12" xfId="30686" xr:uid="{00000000-0005-0000-0000-0000DE770000}"/>
    <cellStyle name="千位分隔 2 2" xfId="30687" xr:uid="{00000000-0005-0000-0000-0000DF770000}"/>
    <cellStyle name="千位分隔 2 2 10" xfId="30688" xr:uid="{00000000-0005-0000-0000-0000E0770000}"/>
    <cellStyle name="千位分隔 2 2 2" xfId="30689" xr:uid="{00000000-0005-0000-0000-0000E1770000}"/>
    <cellStyle name="千位分隔 2 2 2 2" xfId="30690" xr:uid="{00000000-0005-0000-0000-0000E2770000}"/>
    <cellStyle name="千位分隔 2 2 2 2 2" xfId="30691" xr:uid="{00000000-0005-0000-0000-0000E3770000}"/>
    <cellStyle name="千位分隔 2 2 2 2 3" xfId="30692" xr:uid="{00000000-0005-0000-0000-0000E4770000}"/>
    <cellStyle name="千位分隔 2 2 2 2 4" xfId="30693" xr:uid="{00000000-0005-0000-0000-0000E5770000}"/>
    <cellStyle name="千位分隔 2 2 2 2 4 2" xfId="30694" xr:uid="{00000000-0005-0000-0000-0000E6770000}"/>
    <cellStyle name="千位分隔 2 2 2 3" xfId="30695" xr:uid="{00000000-0005-0000-0000-0000E7770000}"/>
    <cellStyle name="千位分隔 2 2 2 3 2" xfId="30696" xr:uid="{00000000-0005-0000-0000-0000E8770000}"/>
    <cellStyle name="千位分隔 2 2 2 3 2 2" xfId="30697" xr:uid="{00000000-0005-0000-0000-0000E9770000}"/>
    <cellStyle name="千位分隔 2 2 2 4" xfId="30698" xr:uid="{00000000-0005-0000-0000-0000EA770000}"/>
    <cellStyle name="千位分隔 2 2 2 5" xfId="30699" xr:uid="{00000000-0005-0000-0000-0000EB770000}"/>
    <cellStyle name="千位分隔 2 2 2 6" xfId="30700" xr:uid="{00000000-0005-0000-0000-0000EC770000}"/>
    <cellStyle name="千位分隔 2 2 2 7" xfId="30701" xr:uid="{00000000-0005-0000-0000-0000ED770000}"/>
    <cellStyle name="千位分隔 2 2 2 7 2" xfId="30702" xr:uid="{00000000-0005-0000-0000-0000EE770000}"/>
    <cellStyle name="千位分隔 2 2 3" xfId="30703" xr:uid="{00000000-0005-0000-0000-0000EF770000}"/>
    <cellStyle name="千位分隔 2 2 3 2" xfId="30704" xr:uid="{00000000-0005-0000-0000-0000F0770000}"/>
    <cellStyle name="千位分隔 2 2 3 3" xfId="30705" xr:uid="{00000000-0005-0000-0000-0000F1770000}"/>
    <cellStyle name="千位分隔 2 2 3 4" xfId="30706" xr:uid="{00000000-0005-0000-0000-0000F2770000}"/>
    <cellStyle name="千位分隔 2 2 3 4 2" xfId="30707" xr:uid="{00000000-0005-0000-0000-0000F3770000}"/>
    <cellStyle name="千位分隔 2 2 4" xfId="30708" xr:uid="{00000000-0005-0000-0000-0000F4770000}"/>
    <cellStyle name="千位分隔 2 2 4 2" xfId="30709" xr:uid="{00000000-0005-0000-0000-0000F5770000}"/>
    <cellStyle name="千位分隔 2 2 4 2 2" xfId="30710" xr:uid="{00000000-0005-0000-0000-0000F6770000}"/>
    <cellStyle name="千位分隔 2 2 5" xfId="30711" xr:uid="{00000000-0005-0000-0000-0000F7770000}"/>
    <cellStyle name="千位分隔 2 2 5 2" xfId="30712" xr:uid="{00000000-0005-0000-0000-0000F8770000}"/>
    <cellStyle name="千位分隔 2 2 5 2 2" xfId="30713" xr:uid="{00000000-0005-0000-0000-0000F9770000}"/>
    <cellStyle name="千位分隔 2 2 6" xfId="30714" xr:uid="{00000000-0005-0000-0000-0000FA770000}"/>
    <cellStyle name="千位分隔 2 2 6 2" xfId="30715" xr:uid="{00000000-0005-0000-0000-0000FB770000}"/>
    <cellStyle name="千位分隔 2 2 6 2 2" xfId="30716" xr:uid="{00000000-0005-0000-0000-0000FC770000}"/>
    <cellStyle name="千位分隔 2 2 7" xfId="30717" xr:uid="{00000000-0005-0000-0000-0000FD770000}"/>
    <cellStyle name="千位分隔 2 2 7 2" xfId="30718" xr:uid="{00000000-0005-0000-0000-0000FE770000}"/>
    <cellStyle name="千位分隔 2 2 7 3" xfId="30719" xr:uid="{00000000-0005-0000-0000-0000FF770000}"/>
    <cellStyle name="千位分隔 2 2 8" xfId="30720" xr:uid="{00000000-0005-0000-0000-000000780000}"/>
    <cellStyle name="千位分隔 2 2 8 2" xfId="30721" xr:uid="{00000000-0005-0000-0000-000001780000}"/>
    <cellStyle name="千位分隔 2 2 8 3" xfId="30722" xr:uid="{00000000-0005-0000-0000-000002780000}"/>
    <cellStyle name="千位分隔 2 2 9" xfId="30723" xr:uid="{00000000-0005-0000-0000-000003780000}"/>
    <cellStyle name="千位分隔 2 3" xfId="30724" xr:uid="{00000000-0005-0000-0000-000004780000}"/>
    <cellStyle name="千位分隔 2 3 2" xfId="30725" xr:uid="{00000000-0005-0000-0000-000005780000}"/>
    <cellStyle name="千位分隔 2 3 2 2" xfId="30726" xr:uid="{00000000-0005-0000-0000-000006780000}"/>
    <cellStyle name="千位分隔 2 3 2 2 2" xfId="30727" xr:uid="{00000000-0005-0000-0000-000007780000}"/>
    <cellStyle name="千位分隔 2 3 2 2 3" xfId="30728" xr:uid="{00000000-0005-0000-0000-000008780000}"/>
    <cellStyle name="千位分隔 2 3 2 3" xfId="30729" xr:uid="{00000000-0005-0000-0000-000009780000}"/>
    <cellStyle name="千位分隔 2 3 2 4" xfId="30730" xr:uid="{00000000-0005-0000-0000-00000A780000}"/>
    <cellStyle name="千位分隔 2 3 2 5" xfId="30731" xr:uid="{00000000-0005-0000-0000-00000B780000}"/>
    <cellStyle name="千位分隔 2 3 2 6" xfId="30732" xr:uid="{00000000-0005-0000-0000-00000C780000}"/>
    <cellStyle name="千位分隔 2 3 2 7" xfId="30733" xr:uid="{00000000-0005-0000-0000-00000D780000}"/>
    <cellStyle name="千位分隔 2 3 2 7 2" xfId="30734" xr:uid="{00000000-0005-0000-0000-00000E780000}"/>
    <cellStyle name="千位分隔 2 3 3" xfId="30735" xr:uid="{00000000-0005-0000-0000-00000F780000}"/>
    <cellStyle name="千位分隔 2 3 3 2" xfId="30736" xr:uid="{00000000-0005-0000-0000-000010780000}"/>
    <cellStyle name="千位分隔 2 3 3 3" xfId="30737" xr:uid="{00000000-0005-0000-0000-000011780000}"/>
    <cellStyle name="千位分隔 2 3 3 4" xfId="30738" xr:uid="{00000000-0005-0000-0000-000012780000}"/>
    <cellStyle name="千位分隔 2 3 3 4 2" xfId="30739" xr:uid="{00000000-0005-0000-0000-000013780000}"/>
    <cellStyle name="千位分隔 2 3 4" xfId="30740" xr:uid="{00000000-0005-0000-0000-000014780000}"/>
    <cellStyle name="千位分隔 2 3 4 2" xfId="30741" xr:uid="{00000000-0005-0000-0000-000015780000}"/>
    <cellStyle name="千位分隔 2 3 4 2 2" xfId="30742" xr:uid="{00000000-0005-0000-0000-000016780000}"/>
    <cellStyle name="千位分隔 2 3 5" xfId="30743" xr:uid="{00000000-0005-0000-0000-000017780000}"/>
    <cellStyle name="千位分隔 2 3 5 2" xfId="30744" xr:uid="{00000000-0005-0000-0000-000018780000}"/>
    <cellStyle name="千位分隔 2 3 5 2 2" xfId="30745" xr:uid="{00000000-0005-0000-0000-000019780000}"/>
    <cellStyle name="千位分隔 2 3 5 2 3" xfId="30746" xr:uid="{00000000-0005-0000-0000-00001A780000}"/>
    <cellStyle name="千位分隔 2 3 5 3" xfId="30747" xr:uid="{00000000-0005-0000-0000-00001B780000}"/>
    <cellStyle name="千位分隔 2 3 5 3 2" xfId="30748" xr:uid="{00000000-0005-0000-0000-00001C780000}"/>
    <cellStyle name="千位分隔 2 3 6" xfId="30749" xr:uid="{00000000-0005-0000-0000-00001D780000}"/>
    <cellStyle name="千位分隔 2 3 6 2" xfId="30750" xr:uid="{00000000-0005-0000-0000-00001E780000}"/>
    <cellStyle name="千位分隔 2 3 6 2 2" xfId="30751" xr:uid="{00000000-0005-0000-0000-00001F780000}"/>
    <cellStyle name="千位分隔 2 3 7" xfId="30752" xr:uid="{00000000-0005-0000-0000-000020780000}"/>
    <cellStyle name="千位分隔 2 3 7 2" xfId="30753" xr:uid="{00000000-0005-0000-0000-000021780000}"/>
    <cellStyle name="千位分隔 2 3 7 3" xfId="30754" xr:uid="{00000000-0005-0000-0000-000022780000}"/>
    <cellStyle name="千位分隔 2 3 8" xfId="30755" xr:uid="{00000000-0005-0000-0000-000023780000}"/>
    <cellStyle name="千位分隔 2 3 8 2" xfId="30756" xr:uid="{00000000-0005-0000-0000-000024780000}"/>
    <cellStyle name="千位分隔 2 3 8 3" xfId="30757" xr:uid="{00000000-0005-0000-0000-000025780000}"/>
    <cellStyle name="千位分隔 2 3 9" xfId="30758" xr:uid="{00000000-0005-0000-0000-000026780000}"/>
    <cellStyle name="千位分隔 2 4" xfId="30759" xr:uid="{00000000-0005-0000-0000-000027780000}"/>
    <cellStyle name="千位分隔 2 4 2" xfId="30760" xr:uid="{00000000-0005-0000-0000-000028780000}"/>
    <cellStyle name="千位分隔 2 4 2 2" xfId="30761" xr:uid="{00000000-0005-0000-0000-000029780000}"/>
    <cellStyle name="千位分隔 2 4 2 3" xfId="30762" xr:uid="{00000000-0005-0000-0000-00002A780000}"/>
    <cellStyle name="千位分隔 2 4 3" xfId="30763" xr:uid="{00000000-0005-0000-0000-00002B780000}"/>
    <cellStyle name="千位分隔 2 4 4" xfId="30764" xr:uid="{00000000-0005-0000-0000-00002C780000}"/>
    <cellStyle name="千位分隔 2 4 5" xfId="30765" xr:uid="{00000000-0005-0000-0000-00002D780000}"/>
    <cellStyle name="千位分隔 2 4 6" xfId="30766" xr:uid="{00000000-0005-0000-0000-00002E780000}"/>
    <cellStyle name="千位分隔 2 4 7" xfId="30767" xr:uid="{00000000-0005-0000-0000-00002F780000}"/>
    <cellStyle name="千位分隔 2 4 7 2" xfId="30768" xr:uid="{00000000-0005-0000-0000-000030780000}"/>
    <cellStyle name="千位分隔 2 5" xfId="30769" xr:uid="{00000000-0005-0000-0000-000031780000}"/>
    <cellStyle name="千位分隔 2 5 2" xfId="30770" xr:uid="{00000000-0005-0000-0000-000032780000}"/>
    <cellStyle name="千位分隔 2 5 3" xfId="30771" xr:uid="{00000000-0005-0000-0000-000033780000}"/>
    <cellStyle name="千位分隔 2 5 4" xfId="30772" xr:uid="{00000000-0005-0000-0000-000034780000}"/>
    <cellStyle name="千位分隔 2 5 4 2" xfId="30773" xr:uid="{00000000-0005-0000-0000-000035780000}"/>
    <cellStyle name="千位分隔 2 6" xfId="30774" xr:uid="{00000000-0005-0000-0000-000036780000}"/>
    <cellStyle name="千位分隔 2 6 2" xfId="30775" xr:uid="{00000000-0005-0000-0000-000037780000}"/>
    <cellStyle name="千位分隔 2 6 2 2" xfId="30776" xr:uid="{00000000-0005-0000-0000-000038780000}"/>
    <cellStyle name="千位分隔 2 7" xfId="30777" xr:uid="{00000000-0005-0000-0000-000039780000}"/>
    <cellStyle name="千位分隔 2 7 2" xfId="30778" xr:uid="{00000000-0005-0000-0000-00003A780000}"/>
    <cellStyle name="千位分隔 2 7 2 2" xfId="30779" xr:uid="{00000000-0005-0000-0000-00003B780000}"/>
    <cellStyle name="千位分隔 2 8" xfId="30780" xr:uid="{00000000-0005-0000-0000-00003C780000}"/>
    <cellStyle name="千位分隔 2 8 2" xfId="30781" xr:uid="{00000000-0005-0000-0000-00003D780000}"/>
    <cellStyle name="千位分隔 2 8 3" xfId="30782" xr:uid="{00000000-0005-0000-0000-00003E780000}"/>
    <cellStyle name="千位分隔 2 9" xfId="30783" xr:uid="{00000000-0005-0000-0000-00003F780000}"/>
    <cellStyle name="千位分隔 2 9 2" xfId="30784" xr:uid="{00000000-0005-0000-0000-000040780000}"/>
    <cellStyle name="千位分隔 3" xfId="30785" xr:uid="{00000000-0005-0000-0000-000041780000}"/>
    <cellStyle name="千位分隔 3 2" xfId="30786" xr:uid="{00000000-0005-0000-0000-000042780000}"/>
    <cellStyle name="千位分隔 3 2 2" xfId="30787" xr:uid="{00000000-0005-0000-0000-000043780000}"/>
    <cellStyle name="千位分隔 3 2 2 2" xfId="30788" xr:uid="{00000000-0005-0000-0000-000044780000}"/>
    <cellStyle name="千位分隔 3 2 2 3" xfId="30789" xr:uid="{00000000-0005-0000-0000-000045780000}"/>
    <cellStyle name="千位分隔 3 2 3" xfId="30790" xr:uid="{00000000-0005-0000-0000-000046780000}"/>
    <cellStyle name="千位分隔 3 2 4" xfId="30791" xr:uid="{00000000-0005-0000-0000-000047780000}"/>
    <cellStyle name="千位分隔 3 2 5" xfId="30792" xr:uid="{00000000-0005-0000-0000-000048780000}"/>
    <cellStyle name="千位分隔 3 2 6" xfId="30793" xr:uid="{00000000-0005-0000-0000-000049780000}"/>
    <cellStyle name="千位分隔 3 3" xfId="30794" xr:uid="{00000000-0005-0000-0000-00004A780000}"/>
    <cellStyle name="千位分隔 3 3 2" xfId="30795" xr:uid="{00000000-0005-0000-0000-00004B780000}"/>
    <cellStyle name="千位分隔 3 3 3" xfId="30796" xr:uid="{00000000-0005-0000-0000-00004C780000}"/>
    <cellStyle name="千位分隔 3 4" xfId="30797" xr:uid="{00000000-0005-0000-0000-00004D780000}"/>
    <cellStyle name="千位分隔 3 5" xfId="30798" xr:uid="{00000000-0005-0000-0000-00004E780000}"/>
    <cellStyle name="千位分隔 3 6" xfId="30799" xr:uid="{00000000-0005-0000-0000-00004F780000}"/>
    <cellStyle name="千位分隔 3 7" xfId="30800" xr:uid="{00000000-0005-0000-0000-000050780000}"/>
    <cellStyle name="千位分隔[0]_061 explanation" xfId="30801" xr:uid="{00000000-0005-0000-0000-000051780000}"/>
    <cellStyle name="千位分隔_061 explanation" xfId="30802" xr:uid="{00000000-0005-0000-0000-000052780000}"/>
    <cellStyle name="千分位[0]_DrayageRevenueWorking" xfId="30803" xr:uid="{00000000-0005-0000-0000-000053780000}"/>
    <cellStyle name="千分位_6sigma" xfId="30804" xr:uid="{00000000-0005-0000-0000-000054780000}"/>
    <cellStyle name="后继超级链接_Ji Fa - SOICT Pd 023 Mgmt Report" xfId="30805" xr:uid="{00000000-0005-0000-0000-000055780000}"/>
    <cellStyle name="好 2" xfId="30806" xr:uid="{00000000-0005-0000-0000-000056780000}"/>
    <cellStyle name="好 2 10" xfId="30807" xr:uid="{00000000-0005-0000-0000-000057780000}"/>
    <cellStyle name="好 2 11" xfId="30808" xr:uid="{00000000-0005-0000-0000-000058780000}"/>
    <cellStyle name="好 2 2" xfId="30809" xr:uid="{00000000-0005-0000-0000-000059780000}"/>
    <cellStyle name="好 2 2 10" xfId="30810" xr:uid="{00000000-0005-0000-0000-00005A780000}"/>
    <cellStyle name="好 2 2 11" xfId="30811" xr:uid="{00000000-0005-0000-0000-00005B780000}"/>
    <cellStyle name="好 2 2 2" xfId="30812" xr:uid="{00000000-0005-0000-0000-00005C780000}"/>
    <cellStyle name="好 2 2 2 2" xfId="30813" xr:uid="{00000000-0005-0000-0000-00005D780000}"/>
    <cellStyle name="好 2 2 2 2 2" xfId="30814" xr:uid="{00000000-0005-0000-0000-00005E780000}"/>
    <cellStyle name="好 2 2 2 2 2 2" xfId="30815" xr:uid="{00000000-0005-0000-0000-00005F780000}"/>
    <cellStyle name="好 2 2 2 2 2 3" xfId="30816" xr:uid="{00000000-0005-0000-0000-000060780000}"/>
    <cellStyle name="好 2 2 2 2 2 3 2" xfId="30817" xr:uid="{00000000-0005-0000-0000-000061780000}"/>
    <cellStyle name="好 2 2 2 2 2 3 2 2" xfId="30818" xr:uid="{00000000-0005-0000-0000-000062780000}"/>
    <cellStyle name="好 2 2 2 2 2 4" xfId="30819" xr:uid="{00000000-0005-0000-0000-000063780000}"/>
    <cellStyle name="好 2 2 2 2 2 4 2" xfId="30820" xr:uid="{00000000-0005-0000-0000-000064780000}"/>
    <cellStyle name="好 2 2 2 2 3" xfId="30821" xr:uid="{00000000-0005-0000-0000-000065780000}"/>
    <cellStyle name="好 2 2 2 2 3 2" xfId="30822" xr:uid="{00000000-0005-0000-0000-000066780000}"/>
    <cellStyle name="好 2 2 2 2 3 2 2" xfId="30823" xr:uid="{00000000-0005-0000-0000-000067780000}"/>
    <cellStyle name="好 2 2 2 2 3 2 2 2" xfId="30824" xr:uid="{00000000-0005-0000-0000-000068780000}"/>
    <cellStyle name="好 2 2 2 2 3 3" xfId="30825" xr:uid="{00000000-0005-0000-0000-000069780000}"/>
    <cellStyle name="好 2 2 2 2 3 3 2" xfId="30826" xr:uid="{00000000-0005-0000-0000-00006A780000}"/>
    <cellStyle name="好 2 2 2 2 4" xfId="30827" xr:uid="{00000000-0005-0000-0000-00006B780000}"/>
    <cellStyle name="好 2 2 2 2 5" xfId="30828" xr:uid="{00000000-0005-0000-0000-00006C780000}"/>
    <cellStyle name="好 2 2 2 2 6" xfId="30829" xr:uid="{00000000-0005-0000-0000-00006D780000}"/>
    <cellStyle name="好 2 2 2 3" xfId="30830" xr:uid="{00000000-0005-0000-0000-00006E780000}"/>
    <cellStyle name="好 2 2 2 3 2" xfId="30831" xr:uid="{00000000-0005-0000-0000-00006F780000}"/>
    <cellStyle name="好 2 2 2 3 3" xfId="30832" xr:uid="{00000000-0005-0000-0000-000070780000}"/>
    <cellStyle name="好 2 2 2 3 3 2" xfId="30833" xr:uid="{00000000-0005-0000-0000-000071780000}"/>
    <cellStyle name="好 2 2 2 3 3 2 2" xfId="30834" xr:uid="{00000000-0005-0000-0000-000072780000}"/>
    <cellStyle name="好 2 2 2 3 4" xfId="30835" xr:uid="{00000000-0005-0000-0000-000073780000}"/>
    <cellStyle name="好 2 2 2 3 4 2" xfId="30836" xr:uid="{00000000-0005-0000-0000-000074780000}"/>
    <cellStyle name="好 2 2 2 4" xfId="30837" xr:uid="{00000000-0005-0000-0000-000075780000}"/>
    <cellStyle name="好 2 2 2 4 2" xfId="30838" xr:uid="{00000000-0005-0000-0000-000076780000}"/>
    <cellStyle name="好 2 2 2 4 2 2" xfId="30839" xr:uid="{00000000-0005-0000-0000-000077780000}"/>
    <cellStyle name="好 2 2 2 4 2 2 2" xfId="30840" xr:uid="{00000000-0005-0000-0000-000078780000}"/>
    <cellStyle name="好 2 2 2 4 3" xfId="30841" xr:uid="{00000000-0005-0000-0000-000079780000}"/>
    <cellStyle name="好 2 2 2 4 3 2" xfId="30842" xr:uid="{00000000-0005-0000-0000-00007A780000}"/>
    <cellStyle name="好 2 2 2 5" xfId="30843" xr:uid="{00000000-0005-0000-0000-00007B780000}"/>
    <cellStyle name="好 2 2 2 6" xfId="30844" xr:uid="{00000000-0005-0000-0000-00007C780000}"/>
    <cellStyle name="好 2 2 2 7" xfId="30845" xr:uid="{00000000-0005-0000-0000-00007D780000}"/>
    <cellStyle name="好 2 2 3" xfId="30846" xr:uid="{00000000-0005-0000-0000-00007E780000}"/>
    <cellStyle name="好 2 2 3 2" xfId="30847" xr:uid="{00000000-0005-0000-0000-00007F780000}"/>
    <cellStyle name="好 2 2 3 2 2" xfId="30848" xr:uid="{00000000-0005-0000-0000-000080780000}"/>
    <cellStyle name="好 2 2 3 2 3" xfId="30849" xr:uid="{00000000-0005-0000-0000-000081780000}"/>
    <cellStyle name="好 2 2 3 2 3 2" xfId="30850" xr:uid="{00000000-0005-0000-0000-000082780000}"/>
    <cellStyle name="好 2 2 3 2 3 2 2" xfId="30851" xr:uid="{00000000-0005-0000-0000-000083780000}"/>
    <cellStyle name="好 2 2 3 2 4" xfId="30852" xr:uid="{00000000-0005-0000-0000-000084780000}"/>
    <cellStyle name="好 2 2 3 2 4 2" xfId="30853" xr:uid="{00000000-0005-0000-0000-000085780000}"/>
    <cellStyle name="好 2 2 3 3" xfId="30854" xr:uid="{00000000-0005-0000-0000-000086780000}"/>
    <cellStyle name="好 2 2 3 3 2" xfId="30855" xr:uid="{00000000-0005-0000-0000-000087780000}"/>
    <cellStyle name="好 2 2 3 3 2 2" xfId="30856" xr:uid="{00000000-0005-0000-0000-000088780000}"/>
    <cellStyle name="好 2 2 3 3 2 2 2" xfId="30857" xr:uid="{00000000-0005-0000-0000-000089780000}"/>
    <cellStyle name="好 2 2 3 3 3" xfId="30858" xr:uid="{00000000-0005-0000-0000-00008A780000}"/>
    <cellStyle name="好 2 2 3 3 3 2" xfId="30859" xr:uid="{00000000-0005-0000-0000-00008B780000}"/>
    <cellStyle name="好 2 2 3 4" xfId="30860" xr:uid="{00000000-0005-0000-0000-00008C780000}"/>
    <cellStyle name="好 2 2 3 5" xfId="30861" xr:uid="{00000000-0005-0000-0000-00008D780000}"/>
    <cellStyle name="好 2 2 3 6" xfId="30862" xr:uid="{00000000-0005-0000-0000-00008E780000}"/>
    <cellStyle name="好 2 2 4" xfId="30863" xr:uid="{00000000-0005-0000-0000-00008F780000}"/>
    <cellStyle name="好 2 2 4 2" xfId="30864" xr:uid="{00000000-0005-0000-0000-000090780000}"/>
    <cellStyle name="好 2 2 4 2 2" xfId="30865" xr:uid="{00000000-0005-0000-0000-000091780000}"/>
    <cellStyle name="好 2 2 4 2 3" xfId="30866" xr:uid="{00000000-0005-0000-0000-000092780000}"/>
    <cellStyle name="好 2 2 4 2 3 2" xfId="30867" xr:uid="{00000000-0005-0000-0000-000093780000}"/>
    <cellStyle name="好 2 2 4 2 3 2 2" xfId="30868" xr:uid="{00000000-0005-0000-0000-000094780000}"/>
    <cellStyle name="好 2 2 4 2 4" xfId="30869" xr:uid="{00000000-0005-0000-0000-000095780000}"/>
    <cellStyle name="好 2 2 4 2 4 2" xfId="30870" xr:uid="{00000000-0005-0000-0000-000096780000}"/>
    <cellStyle name="好 2 2 4 3" xfId="30871" xr:uid="{00000000-0005-0000-0000-000097780000}"/>
    <cellStyle name="好 2 2 4 4" xfId="30872" xr:uid="{00000000-0005-0000-0000-000098780000}"/>
    <cellStyle name="好 2 2 4 5" xfId="30873" xr:uid="{00000000-0005-0000-0000-000099780000}"/>
    <cellStyle name="好 2 2 4 6" xfId="30874" xr:uid="{00000000-0005-0000-0000-00009A780000}"/>
    <cellStyle name="好 2 2 5" xfId="30875" xr:uid="{00000000-0005-0000-0000-00009B780000}"/>
    <cellStyle name="好 2 2 5 2" xfId="30876" xr:uid="{00000000-0005-0000-0000-00009C780000}"/>
    <cellStyle name="好 2 2 5 2 2" xfId="30877" xr:uid="{00000000-0005-0000-0000-00009D780000}"/>
    <cellStyle name="好 2 2 5 2 2 2" xfId="30878" xr:uid="{00000000-0005-0000-0000-00009E780000}"/>
    <cellStyle name="好 2 2 5 2 2 2 2" xfId="30879" xr:uid="{00000000-0005-0000-0000-00009F780000}"/>
    <cellStyle name="好 2 2 5 2 3" xfId="30880" xr:uid="{00000000-0005-0000-0000-0000A0780000}"/>
    <cellStyle name="好 2 2 5 2 3 2" xfId="30881" xr:uid="{00000000-0005-0000-0000-0000A1780000}"/>
    <cellStyle name="好 2 2 5 3" xfId="30882" xr:uid="{00000000-0005-0000-0000-0000A2780000}"/>
    <cellStyle name="好 2 2 5 3 2" xfId="30883" xr:uid="{00000000-0005-0000-0000-0000A3780000}"/>
    <cellStyle name="好 2 2 5 3 2 2" xfId="30884" xr:uid="{00000000-0005-0000-0000-0000A4780000}"/>
    <cellStyle name="好 2 2 5 4" xfId="30885" xr:uid="{00000000-0005-0000-0000-0000A5780000}"/>
    <cellStyle name="好 2 2 5 4 2" xfId="30886" xr:uid="{00000000-0005-0000-0000-0000A6780000}"/>
    <cellStyle name="好 2 2 6" xfId="30887" xr:uid="{00000000-0005-0000-0000-0000A7780000}"/>
    <cellStyle name="好 2 2 6 2" xfId="30888" xr:uid="{00000000-0005-0000-0000-0000A8780000}"/>
    <cellStyle name="好 2 2 6 2 2" xfId="30889" xr:uid="{00000000-0005-0000-0000-0000A9780000}"/>
    <cellStyle name="好 2 2 6 2 2 2" xfId="30890" xr:uid="{00000000-0005-0000-0000-0000AA780000}"/>
    <cellStyle name="好 2 2 6 2 2 2 2" xfId="30891" xr:uid="{00000000-0005-0000-0000-0000AB780000}"/>
    <cellStyle name="好 2 2 6 2 3" xfId="30892" xr:uid="{00000000-0005-0000-0000-0000AC780000}"/>
    <cellStyle name="好 2 2 6 2 3 2" xfId="30893" xr:uid="{00000000-0005-0000-0000-0000AD780000}"/>
    <cellStyle name="好 2 2 6 3" xfId="30894" xr:uid="{00000000-0005-0000-0000-0000AE780000}"/>
    <cellStyle name="好 2 2 6 3 2" xfId="30895" xr:uid="{00000000-0005-0000-0000-0000AF780000}"/>
    <cellStyle name="好 2 2 6 3 2 2" xfId="30896" xr:uid="{00000000-0005-0000-0000-0000B0780000}"/>
    <cellStyle name="好 2 2 6 4" xfId="30897" xr:uid="{00000000-0005-0000-0000-0000B1780000}"/>
    <cellStyle name="好 2 2 6 4 2" xfId="30898" xr:uid="{00000000-0005-0000-0000-0000B2780000}"/>
    <cellStyle name="好 2 2 7" xfId="30899" xr:uid="{00000000-0005-0000-0000-0000B3780000}"/>
    <cellStyle name="好 2 2 7 2" xfId="30900" xr:uid="{00000000-0005-0000-0000-0000B4780000}"/>
    <cellStyle name="好 2 2 7 2 2" xfId="30901" xr:uid="{00000000-0005-0000-0000-0000B5780000}"/>
    <cellStyle name="好 2 2 7 2 2 2" xfId="30902" xr:uid="{00000000-0005-0000-0000-0000B6780000}"/>
    <cellStyle name="好 2 2 7 2 2 2 2" xfId="30903" xr:uid="{00000000-0005-0000-0000-0000B7780000}"/>
    <cellStyle name="好 2 2 7 2 3" xfId="30904" xr:uid="{00000000-0005-0000-0000-0000B8780000}"/>
    <cellStyle name="好 2 2 7 2 3 2" xfId="30905" xr:uid="{00000000-0005-0000-0000-0000B9780000}"/>
    <cellStyle name="好 2 2 7 3" xfId="30906" xr:uid="{00000000-0005-0000-0000-0000BA780000}"/>
    <cellStyle name="好 2 2 7 3 2" xfId="30907" xr:uid="{00000000-0005-0000-0000-0000BB780000}"/>
    <cellStyle name="好 2 2 7 3 2 2" xfId="30908" xr:uid="{00000000-0005-0000-0000-0000BC780000}"/>
    <cellStyle name="好 2 2 7 4" xfId="30909" xr:uid="{00000000-0005-0000-0000-0000BD780000}"/>
    <cellStyle name="好 2 2 7 4 2" xfId="30910" xr:uid="{00000000-0005-0000-0000-0000BE780000}"/>
    <cellStyle name="好 2 2 8" xfId="30911" xr:uid="{00000000-0005-0000-0000-0000BF780000}"/>
    <cellStyle name="好 2 2 8 2" xfId="30912" xr:uid="{00000000-0005-0000-0000-0000C0780000}"/>
    <cellStyle name="好 2 2 8 2 2" xfId="30913" xr:uid="{00000000-0005-0000-0000-0000C1780000}"/>
    <cellStyle name="好 2 2 8 2 2 2" xfId="30914" xr:uid="{00000000-0005-0000-0000-0000C2780000}"/>
    <cellStyle name="好 2 2 8 3" xfId="30915" xr:uid="{00000000-0005-0000-0000-0000C3780000}"/>
    <cellStyle name="好 2 2 8 3 2" xfId="30916" xr:uid="{00000000-0005-0000-0000-0000C4780000}"/>
    <cellStyle name="好 2 2 9" xfId="30917" xr:uid="{00000000-0005-0000-0000-0000C5780000}"/>
    <cellStyle name="好 2 2 9 2" xfId="30918" xr:uid="{00000000-0005-0000-0000-0000C6780000}"/>
    <cellStyle name="好 2 2 9 2 2" xfId="30919" xr:uid="{00000000-0005-0000-0000-0000C7780000}"/>
    <cellStyle name="好 2 2 9 2 2 2" xfId="30920" xr:uid="{00000000-0005-0000-0000-0000C8780000}"/>
    <cellStyle name="好 2 2 9 3" xfId="30921" xr:uid="{00000000-0005-0000-0000-0000C9780000}"/>
    <cellStyle name="好 2 2 9 3 2" xfId="30922" xr:uid="{00000000-0005-0000-0000-0000CA780000}"/>
    <cellStyle name="好 2 3" xfId="30923" xr:uid="{00000000-0005-0000-0000-0000CB780000}"/>
    <cellStyle name="好 2 3 2" xfId="30924" xr:uid="{00000000-0005-0000-0000-0000CC780000}"/>
    <cellStyle name="好 2 3 2 2" xfId="30925" xr:uid="{00000000-0005-0000-0000-0000CD780000}"/>
    <cellStyle name="好 2 3 2 2 2" xfId="30926" xr:uid="{00000000-0005-0000-0000-0000CE780000}"/>
    <cellStyle name="好 2 3 2 2 2 2" xfId="30927" xr:uid="{00000000-0005-0000-0000-0000CF780000}"/>
    <cellStyle name="好 2 3 2 2 2 3" xfId="30928" xr:uid="{00000000-0005-0000-0000-0000D0780000}"/>
    <cellStyle name="好 2 3 2 2 2 3 2" xfId="30929" xr:uid="{00000000-0005-0000-0000-0000D1780000}"/>
    <cellStyle name="好 2 3 2 2 2 3 2 2" xfId="30930" xr:uid="{00000000-0005-0000-0000-0000D2780000}"/>
    <cellStyle name="好 2 3 2 2 2 4" xfId="30931" xr:uid="{00000000-0005-0000-0000-0000D3780000}"/>
    <cellStyle name="好 2 3 2 2 2 4 2" xfId="30932" xr:uid="{00000000-0005-0000-0000-0000D4780000}"/>
    <cellStyle name="好 2 3 2 2 3" xfId="30933" xr:uid="{00000000-0005-0000-0000-0000D5780000}"/>
    <cellStyle name="好 2 3 2 2 3 2" xfId="30934" xr:uid="{00000000-0005-0000-0000-0000D6780000}"/>
    <cellStyle name="好 2 3 2 2 3 2 2" xfId="30935" xr:uid="{00000000-0005-0000-0000-0000D7780000}"/>
    <cellStyle name="好 2 3 2 2 3 2 2 2" xfId="30936" xr:uid="{00000000-0005-0000-0000-0000D8780000}"/>
    <cellStyle name="好 2 3 2 2 3 3" xfId="30937" xr:uid="{00000000-0005-0000-0000-0000D9780000}"/>
    <cellStyle name="好 2 3 2 2 3 3 2" xfId="30938" xr:uid="{00000000-0005-0000-0000-0000DA780000}"/>
    <cellStyle name="好 2 3 2 2 4" xfId="30939" xr:uid="{00000000-0005-0000-0000-0000DB780000}"/>
    <cellStyle name="好 2 3 2 2 5" xfId="30940" xr:uid="{00000000-0005-0000-0000-0000DC780000}"/>
    <cellStyle name="好 2 3 2 2 6" xfId="30941" xr:uid="{00000000-0005-0000-0000-0000DD780000}"/>
    <cellStyle name="好 2 3 2 3" xfId="30942" xr:uid="{00000000-0005-0000-0000-0000DE780000}"/>
    <cellStyle name="好 2 3 2 3 2" xfId="30943" xr:uid="{00000000-0005-0000-0000-0000DF780000}"/>
    <cellStyle name="好 2 3 2 3 3" xfId="30944" xr:uid="{00000000-0005-0000-0000-0000E0780000}"/>
    <cellStyle name="好 2 3 2 3 3 2" xfId="30945" xr:uid="{00000000-0005-0000-0000-0000E1780000}"/>
    <cellStyle name="好 2 3 2 3 3 2 2" xfId="30946" xr:uid="{00000000-0005-0000-0000-0000E2780000}"/>
    <cellStyle name="好 2 3 2 3 4" xfId="30947" xr:uid="{00000000-0005-0000-0000-0000E3780000}"/>
    <cellStyle name="好 2 3 2 3 4 2" xfId="30948" xr:uid="{00000000-0005-0000-0000-0000E4780000}"/>
    <cellStyle name="好 2 3 2 4" xfId="30949" xr:uid="{00000000-0005-0000-0000-0000E5780000}"/>
    <cellStyle name="好 2 3 2 4 2" xfId="30950" xr:uid="{00000000-0005-0000-0000-0000E6780000}"/>
    <cellStyle name="好 2 3 2 4 2 2" xfId="30951" xr:uid="{00000000-0005-0000-0000-0000E7780000}"/>
    <cellStyle name="好 2 3 2 4 2 2 2" xfId="30952" xr:uid="{00000000-0005-0000-0000-0000E8780000}"/>
    <cellStyle name="好 2 3 2 4 3" xfId="30953" xr:uid="{00000000-0005-0000-0000-0000E9780000}"/>
    <cellStyle name="好 2 3 2 4 3 2" xfId="30954" xr:uid="{00000000-0005-0000-0000-0000EA780000}"/>
    <cellStyle name="好 2 3 2 5" xfId="30955" xr:uid="{00000000-0005-0000-0000-0000EB780000}"/>
    <cellStyle name="好 2 3 2 6" xfId="30956" xr:uid="{00000000-0005-0000-0000-0000EC780000}"/>
    <cellStyle name="好 2 3 2 7" xfId="30957" xr:uid="{00000000-0005-0000-0000-0000ED780000}"/>
    <cellStyle name="好 2 3 3" xfId="30958" xr:uid="{00000000-0005-0000-0000-0000EE780000}"/>
    <cellStyle name="好 2 3 3 2" xfId="30959" xr:uid="{00000000-0005-0000-0000-0000EF780000}"/>
    <cellStyle name="好 2 3 3 2 2" xfId="30960" xr:uid="{00000000-0005-0000-0000-0000F0780000}"/>
    <cellStyle name="好 2 3 3 2 3" xfId="30961" xr:uid="{00000000-0005-0000-0000-0000F1780000}"/>
    <cellStyle name="好 2 3 3 2 3 2" xfId="30962" xr:uid="{00000000-0005-0000-0000-0000F2780000}"/>
    <cellStyle name="好 2 3 3 2 3 2 2" xfId="30963" xr:uid="{00000000-0005-0000-0000-0000F3780000}"/>
    <cellStyle name="好 2 3 3 2 4" xfId="30964" xr:uid="{00000000-0005-0000-0000-0000F4780000}"/>
    <cellStyle name="好 2 3 3 2 4 2" xfId="30965" xr:uid="{00000000-0005-0000-0000-0000F5780000}"/>
    <cellStyle name="好 2 3 3 3" xfId="30966" xr:uid="{00000000-0005-0000-0000-0000F6780000}"/>
    <cellStyle name="好 2 3 3 3 2" xfId="30967" xr:uid="{00000000-0005-0000-0000-0000F7780000}"/>
    <cellStyle name="好 2 3 3 3 2 2" xfId="30968" xr:uid="{00000000-0005-0000-0000-0000F8780000}"/>
    <cellStyle name="好 2 3 3 3 2 2 2" xfId="30969" xr:uid="{00000000-0005-0000-0000-0000F9780000}"/>
    <cellStyle name="好 2 3 3 3 3" xfId="30970" xr:uid="{00000000-0005-0000-0000-0000FA780000}"/>
    <cellStyle name="好 2 3 3 3 3 2" xfId="30971" xr:uid="{00000000-0005-0000-0000-0000FB780000}"/>
    <cellStyle name="好 2 3 3 4" xfId="30972" xr:uid="{00000000-0005-0000-0000-0000FC780000}"/>
    <cellStyle name="好 2 3 3 5" xfId="30973" xr:uid="{00000000-0005-0000-0000-0000FD780000}"/>
    <cellStyle name="好 2 3 3 6" xfId="30974" xr:uid="{00000000-0005-0000-0000-0000FE780000}"/>
    <cellStyle name="好 2 3 4" xfId="30975" xr:uid="{00000000-0005-0000-0000-0000FF780000}"/>
    <cellStyle name="好 2 3 4 2" xfId="30976" xr:uid="{00000000-0005-0000-0000-000000790000}"/>
    <cellStyle name="好 2 3 4 2 2" xfId="30977" xr:uid="{00000000-0005-0000-0000-000001790000}"/>
    <cellStyle name="好 2 3 4 2 3" xfId="30978" xr:uid="{00000000-0005-0000-0000-000002790000}"/>
    <cellStyle name="好 2 3 4 2 3 2" xfId="30979" xr:uid="{00000000-0005-0000-0000-000003790000}"/>
    <cellStyle name="好 2 3 4 2 3 2 2" xfId="30980" xr:uid="{00000000-0005-0000-0000-000004790000}"/>
    <cellStyle name="好 2 3 4 2 4" xfId="30981" xr:uid="{00000000-0005-0000-0000-000005790000}"/>
    <cellStyle name="好 2 3 4 2 4 2" xfId="30982" xr:uid="{00000000-0005-0000-0000-000006790000}"/>
    <cellStyle name="好 2 3 4 3" xfId="30983" xr:uid="{00000000-0005-0000-0000-000007790000}"/>
    <cellStyle name="好 2 3 4 4" xfId="30984" xr:uid="{00000000-0005-0000-0000-000008790000}"/>
    <cellStyle name="好 2 3 4 5" xfId="30985" xr:uid="{00000000-0005-0000-0000-000009790000}"/>
    <cellStyle name="好 2 3 4 6" xfId="30986" xr:uid="{00000000-0005-0000-0000-00000A790000}"/>
    <cellStyle name="好 2 3 5" xfId="30987" xr:uid="{00000000-0005-0000-0000-00000B790000}"/>
    <cellStyle name="好 2 3 5 2" xfId="30988" xr:uid="{00000000-0005-0000-0000-00000C790000}"/>
    <cellStyle name="好 2 3 5 2 2" xfId="30989" xr:uid="{00000000-0005-0000-0000-00000D790000}"/>
    <cellStyle name="好 2 3 5 2 2 2" xfId="30990" xr:uid="{00000000-0005-0000-0000-00000E790000}"/>
    <cellStyle name="好 2 3 5 2 2 2 2" xfId="30991" xr:uid="{00000000-0005-0000-0000-00000F790000}"/>
    <cellStyle name="好 2 3 5 2 3" xfId="30992" xr:uid="{00000000-0005-0000-0000-000010790000}"/>
    <cellStyle name="好 2 3 5 2 3 2" xfId="30993" xr:uid="{00000000-0005-0000-0000-000011790000}"/>
    <cellStyle name="好 2 3 5 3" xfId="30994" xr:uid="{00000000-0005-0000-0000-000012790000}"/>
    <cellStyle name="好 2 3 5 3 2" xfId="30995" xr:uid="{00000000-0005-0000-0000-000013790000}"/>
    <cellStyle name="好 2 3 5 3 2 2" xfId="30996" xr:uid="{00000000-0005-0000-0000-000014790000}"/>
    <cellStyle name="好 2 3 5 4" xfId="30997" xr:uid="{00000000-0005-0000-0000-000015790000}"/>
    <cellStyle name="好 2 3 5 4 2" xfId="30998" xr:uid="{00000000-0005-0000-0000-000016790000}"/>
    <cellStyle name="好 2 3 6" xfId="30999" xr:uid="{00000000-0005-0000-0000-000017790000}"/>
    <cellStyle name="好 2 3 6 2" xfId="31000" xr:uid="{00000000-0005-0000-0000-000018790000}"/>
    <cellStyle name="好 2 3 6 2 2" xfId="31001" xr:uid="{00000000-0005-0000-0000-000019790000}"/>
    <cellStyle name="好 2 3 6 2 2 2" xfId="31002" xr:uid="{00000000-0005-0000-0000-00001A790000}"/>
    <cellStyle name="好 2 3 6 3" xfId="31003" xr:uid="{00000000-0005-0000-0000-00001B790000}"/>
    <cellStyle name="好 2 3 6 3 2" xfId="31004" xr:uid="{00000000-0005-0000-0000-00001C790000}"/>
    <cellStyle name="好 2 3 7" xfId="31005" xr:uid="{00000000-0005-0000-0000-00001D790000}"/>
    <cellStyle name="好 2 3 7 2" xfId="31006" xr:uid="{00000000-0005-0000-0000-00001E790000}"/>
    <cellStyle name="好 2 3 7 2 2" xfId="31007" xr:uid="{00000000-0005-0000-0000-00001F790000}"/>
    <cellStyle name="好 2 3 7 2 2 2" xfId="31008" xr:uid="{00000000-0005-0000-0000-000020790000}"/>
    <cellStyle name="好 2 3 7 3" xfId="31009" xr:uid="{00000000-0005-0000-0000-000021790000}"/>
    <cellStyle name="好 2 3 7 3 2" xfId="31010" xr:uid="{00000000-0005-0000-0000-000022790000}"/>
    <cellStyle name="好 2 3 8" xfId="31011" xr:uid="{00000000-0005-0000-0000-000023790000}"/>
    <cellStyle name="好 2 3 9" xfId="31012" xr:uid="{00000000-0005-0000-0000-000024790000}"/>
    <cellStyle name="好 2 4" xfId="31013" xr:uid="{00000000-0005-0000-0000-000025790000}"/>
    <cellStyle name="好 2 4 2" xfId="31014" xr:uid="{00000000-0005-0000-0000-000026790000}"/>
    <cellStyle name="好 2 4 2 2" xfId="31015" xr:uid="{00000000-0005-0000-0000-000027790000}"/>
    <cellStyle name="好 2 4 2 3" xfId="31016" xr:uid="{00000000-0005-0000-0000-000028790000}"/>
    <cellStyle name="好 2 4 2 3 2" xfId="31017" xr:uid="{00000000-0005-0000-0000-000029790000}"/>
    <cellStyle name="好 2 4 2 3 2 2" xfId="31018" xr:uid="{00000000-0005-0000-0000-00002A790000}"/>
    <cellStyle name="好 2 4 2 4" xfId="31019" xr:uid="{00000000-0005-0000-0000-00002B790000}"/>
    <cellStyle name="好 2 4 2 4 2" xfId="31020" xr:uid="{00000000-0005-0000-0000-00002C790000}"/>
    <cellStyle name="好 2 4 3" xfId="31021" xr:uid="{00000000-0005-0000-0000-00002D790000}"/>
    <cellStyle name="好 2 4 3 2" xfId="31022" xr:uid="{00000000-0005-0000-0000-00002E790000}"/>
    <cellStyle name="好 2 4 3 2 2" xfId="31023" xr:uid="{00000000-0005-0000-0000-00002F790000}"/>
    <cellStyle name="好 2 4 3 2 2 2" xfId="31024" xr:uid="{00000000-0005-0000-0000-000030790000}"/>
    <cellStyle name="好 2 4 3 3" xfId="31025" xr:uid="{00000000-0005-0000-0000-000031790000}"/>
    <cellStyle name="好 2 4 3 3 2" xfId="31026" xr:uid="{00000000-0005-0000-0000-000032790000}"/>
    <cellStyle name="好 2 4 4" xfId="31027" xr:uid="{00000000-0005-0000-0000-000033790000}"/>
    <cellStyle name="好 2 4 5" xfId="31028" xr:uid="{00000000-0005-0000-0000-000034790000}"/>
    <cellStyle name="好 2 4 6" xfId="31029" xr:uid="{00000000-0005-0000-0000-000035790000}"/>
    <cellStyle name="好 2 5" xfId="31030" xr:uid="{00000000-0005-0000-0000-000036790000}"/>
    <cellStyle name="好 2 5 2" xfId="31031" xr:uid="{00000000-0005-0000-0000-000037790000}"/>
    <cellStyle name="好 2 5 2 2" xfId="31032" xr:uid="{00000000-0005-0000-0000-000038790000}"/>
    <cellStyle name="好 2 5 2 3" xfId="31033" xr:uid="{00000000-0005-0000-0000-000039790000}"/>
    <cellStyle name="好 2 5 2 3 2" xfId="31034" xr:uid="{00000000-0005-0000-0000-00003A790000}"/>
    <cellStyle name="好 2 5 2 3 2 2" xfId="31035" xr:uid="{00000000-0005-0000-0000-00003B790000}"/>
    <cellStyle name="好 2 5 2 4" xfId="31036" xr:uid="{00000000-0005-0000-0000-00003C790000}"/>
    <cellStyle name="好 2 5 2 4 2" xfId="31037" xr:uid="{00000000-0005-0000-0000-00003D790000}"/>
    <cellStyle name="好 2 5 3" xfId="31038" xr:uid="{00000000-0005-0000-0000-00003E790000}"/>
    <cellStyle name="好 2 5 4" xfId="31039" xr:uid="{00000000-0005-0000-0000-00003F790000}"/>
    <cellStyle name="好 2 5 5" xfId="31040" xr:uid="{00000000-0005-0000-0000-000040790000}"/>
    <cellStyle name="好 2 5 6" xfId="31041" xr:uid="{00000000-0005-0000-0000-000041790000}"/>
    <cellStyle name="好 2 6" xfId="31042" xr:uid="{00000000-0005-0000-0000-000042790000}"/>
    <cellStyle name="好 2 6 2" xfId="31043" xr:uid="{00000000-0005-0000-0000-000043790000}"/>
    <cellStyle name="好 2 6 2 2" xfId="31044" xr:uid="{00000000-0005-0000-0000-000044790000}"/>
    <cellStyle name="好 2 6 2 2 2" xfId="31045" xr:uid="{00000000-0005-0000-0000-000045790000}"/>
    <cellStyle name="好 2 6 2 2 2 2" xfId="31046" xr:uid="{00000000-0005-0000-0000-000046790000}"/>
    <cellStyle name="好 2 6 2 3" xfId="31047" xr:uid="{00000000-0005-0000-0000-000047790000}"/>
    <cellStyle name="好 2 6 2 3 2" xfId="31048" xr:uid="{00000000-0005-0000-0000-000048790000}"/>
    <cellStyle name="好 2 6 3" xfId="31049" xr:uid="{00000000-0005-0000-0000-000049790000}"/>
    <cellStyle name="好 2 6 3 2" xfId="31050" xr:uid="{00000000-0005-0000-0000-00004A790000}"/>
    <cellStyle name="好 2 6 3 2 2" xfId="31051" xr:uid="{00000000-0005-0000-0000-00004B790000}"/>
    <cellStyle name="好 2 6 4" xfId="31052" xr:uid="{00000000-0005-0000-0000-00004C790000}"/>
    <cellStyle name="好 2 6 4 2" xfId="31053" xr:uid="{00000000-0005-0000-0000-00004D790000}"/>
    <cellStyle name="好 2 7" xfId="31054" xr:uid="{00000000-0005-0000-0000-00004E790000}"/>
    <cellStyle name="好 2 7 2" xfId="31055" xr:uid="{00000000-0005-0000-0000-00004F790000}"/>
    <cellStyle name="好 2 7 2 2" xfId="31056" xr:uid="{00000000-0005-0000-0000-000050790000}"/>
    <cellStyle name="好 2 7 2 2 2" xfId="31057" xr:uid="{00000000-0005-0000-0000-000051790000}"/>
    <cellStyle name="好 2 7 2 2 2 2" xfId="31058" xr:uid="{00000000-0005-0000-0000-000052790000}"/>
    <cellStyle name="好 2 7 2 3" xfId="31059" xr:uid="{00000000-0005-0000-0000-000053790000}"/>
    <cellStyle name="好 2 7 2 3 2" xfId="31060" xr:uid="{00000000-0005-0000-0000-000054790000}"/>
    <cellStyle name="好 2 7 3" xfId="31061" xr:uid="{00000000-0005-0000-0000-000055790000}"/>
    <cellStyle name="好 2 7 3 2" xfId="31062" xr:uid="{00000000-0005-0000-0000-000056790000}"/>
    <cellStyle name="好 2 7 3 2 2" xfId="31063" xr:uid="{00000000-0005-0000-0000-000057790000}"/>
    <cellStyle name="好 2 7 4" xfId="31064" xr:uid="{00000000-0005-0000-0000-000058790000}"/>
    <cellStyle name="好 2 7 4 2" xfId="31065" xr:uid="{00000000-0005-0000-0000-000059790000}"/>
    <cellStyle name="好 2 8" xfId="31066" xr:uid="{00000000-0005-0000-0000-00005A790000}"/>
    <cellStyle name="好 2 8 2" xfId="31067" xr:uid="{00000000-0005-0000-0000-00005B790000}"/>
    <cellStyle name="好 2 8 2 2" xfId="31068" xr:uid="{00000000-0005-0000-0000-00005C790000}"/>
    <cellStyle name="好 2 8 2 2 2" xfId="31069" xr:uid="{00000000-0005-0000-0000-00005D790000}"/>
    <cellStyle name="好 2 8 2 2 2 2" xfId="31070" xr:uid="{00000000-0005-0000-0000-00005E790000}"/>
    <cellStyle name="好 2 8 2 3" xfId="31071" xr:uid="{00000000-0005-0000-0000-00005F790000}"/>
    <cellStyle name="好 2 8 2 3 2" xfId="31072" xr:uid="{00000000-0005-0000-0000-000060790000}"/>
    <cellStyle name="好 2 8 3" xfId="31073" xr:uid="{00000000-0005-0000-0000-000061790000}"/>
    <cellStyle name="好 2 8 3 2" xfId="31074" xr:uid="{00000000-0005-0000-0000-000062790000}"/>
    <cellStyle name="好 2 8 3 2 2" xfId="31075" xr:uid="{00000000-0005-0000-0000-000063790000}"/>
    <cellStyle name="好 2 8 4" xfId="31076" xr:uid="{00000000-0005-0000-0000-000064790000}"/>
    <cellStyle name="好 2 8 4 2" xfId="31077" xr:uid="{00000000-0005-0000-0000-000065790000}"/>
    <cellStyle name="好 2 9" xfId="31078" xr:uid="{00000000-0005-0000-0000-000066790000}"/>
    <cellStyle name="好 2 9 2" xfId="31079" xr:uid="{00000000-0005-0000-0000-000067790000}"/>
    <cellStyle name="好 2 9 2 2" xfId="31080" xr:uid="{00000000-0005-0000-0000-000068790000}"/>
    <cellStyle name="好 2 9 2 2 2" xfId="31081" xr:uid="{00000000-0005-0000-0000-000069790000}"/>
    <cellStyle name="好 2 9 3" xfId="31082" xr:uid="{00000000-0005-0000-0000-00006A790000}"/>
    <cellStyle name="好 2 9 3 2" xfId="31083" xr:uid="{00000000-0005-0000-0000-00006B790000}"/>
    <cellStyle name="好 3" xfId="31084" xr:uid="{00000000-0005-0000-0000-00006C790000}"/>
    <cellStyle name="好 3 2" xfId="31085" xr:uid="{00000000-0005-0000-0000-00006D790000}"/>
    <cellStyle name="好 3 2 2" xfId="31086" xr:uid="{00000000-0005-0000-0000-00006E790000}"/>
    <cellStyle name="好 3 2 2 2" xfId="31087" xr:uid="{00000000-0005-0000-0000-00006F790000}"/>
    <cellStyle name="好 3 2 2 2 2" xfId="31088" xr:uid="{00000000-0005-0000-0000-000070790000}"/>
    <cellStyle name="好 3 2 2 2 3" xfId="31089" xr:uid="{00000000-0005-0000-0000-000071790000}"/>
    <cellStyle name="好 3 2 2 2 3 2" xfId="31090" xr:uid="{00000000-0005-0000-0000-000072790000}"/>
    <cellStyle name="好 3 2 2 2 3 2 2" xfId="31091" xr:uid="{00000000-0005-0000-0000-000073790000}"/>
    <cellStyle name="好 3 2 2 2 4" xfId="31092" xr:uid="{00000000-0005-0000-0000-000074790000}"/>
    <cellStyle name="好 3 2 2 2 4 2" xfId="31093" xr:uid="{00000000-0005-0000-0000-000075790000}"/>
    <cellStyle name="好 3 2 2 3" xfId="31094" xr:uid="{00000000-0005-0000-0000-000076790000}"/>
    <cellStyle name="好 3 2 2 3 2" xfId="31095" xr:uid="{00000000-0005-0000-0000-000077790000}"/>
    <cellStyle name="好 3 2 2 3 2 2" xfId="31096" xr:uid="{00000000-0005-0000-0000-000078790000}"/>
    <cellStyle name="好 3 2 2 3 2 2 2" xfId="31097" xr:uid="{00000000-0005-0000-0000-000079790000}"/>
    <cellStyle name="好 3 2 2 3 3" xfId="31098" xr:uid="{00000000-0005-0000-0000-00007A790000}"/>
    <cellStyle name="好 3 2 2 3 3 2" xfId="31099" xr:uid="{00000000-0005-0000-0000-00007B790000}"/>
    <cellStyle name="好 3 2 2 4" xfId="31100" xr:uid="{00000000-0005-0000-0000-00007C790000}"/>
    <cellStyle name="好 3 2 2 5" xfId="31101" xr:uid="{00000000-0005-0000-0000-00007D790000}"/>
    <cellStyle name="好 3 2 2 6" xfId="31102" xr:uid="{00000000-0005-0000-0000-00007E790000}"/>
    <cellStyle name="好 3 2 3" xfId="31103" xr:uid="{00000000-0005-0000-0000-00007F790000}"/>
    <cellStyle name="好 3 2 3 2" xfId="31104" xr:uid="{00000000-0005-0000-0000-000080790000}"/>
    <cellStyle name="好 3 2 3 3" xfId="31105" xr:uid="{00000000-0005-0000-0000-000081790000}"/>
    <cellStyle name="好 3 2 3 3 2" xfId="31106" xr:uid="{00000000-0005-0000-0000-000082790000}"/>
    <cellStyle name="好 3 2 3 3 2 2" xfId="31107" xr:uid="{00000000-0005-0000-0000-000083790000}"/>
    <cellStyle name="好 3 2 3 4" xfId="31108" xr:uid="{00000000-0005-0000-0000-000084790000}"/>
    <cellStyle name="好 3 2 3 4 2" xfId="31109" xr:uid="{00000000-0005-0000-0000-000085790000}"/>
    <cellStyle name="好 3 2 4" xfId="31110" xr:uid="{00000000-0005-0000-0000-000086790000}"/>
    <cellStyle name="好 3 2 4 2" xfId="31111" xr:uid="{00000000-0005-0000-0000-000087790000}"/>
    <cellStyle name="好 3 2 4 2 2" xfId="31112" xr:uid="{00000000-0005-0000-0000-000088790000}"/>
    <cellStyle name="好 3 2 4 2 2 2" xfId="31113" xr:uid="{00000000-0005-0000-0000-000089790000}"/>
    <cellStyle name="好 3 2 4 3" xfId="31114" xr:uid="{00000000-0005-0000-0000-00008A790000}"/>
    <cellStyle name="好 3 2 4 3 2" xfId="31115" xr:uid="{00000000-0005-0000-0000-00008B790000}"/>
    <cellStyle name="好 3 2 5" xfId="31116" xr:uid="{00000000-0005-0000-0000-00008C790000}"/>
    <cellStyle name="好 3 2 6" xfId="31117" xr:uid="{00000000-0005-0000-0000-00008D790000}"/>
    <cellStyle name="好 3 2 7" xfId="31118" xr:uid="{00000000-0005-0000-0000-00008E790000}"/>
    <cellStyle name="好 3 3" xfId="31119" xr:uid="{00000000-0005-0000-0000-00008F790000}"/>
    <cellStyle name="好 3 3 2" xfId="31120" xr:uid="{00000000-0005-0000-0000-000090790000}"/>
    <cellStyle name="好 3 3 2 2" xfId="31121" xr:uid="{00000000-0005-0000-0000-000091790000}"/>
    <cellStyle name="好 3 3 2 3" xfId="31122" xr:uid="{00000000-0005-0000-0000-000092790000}"/>
    <cellStyle name="好 3 3 2 3 2" xfId="31123" xr:uid="{00000000-0005-0000-0000-000093790000}"/>
    <cellStyle name="好 3 3 2 3 2 2" xfId="31124" xr:uid="{00000000-0005-0000-0000-000094790000}"/>
    <cellStyle name="好 3 3 2 4" xfId="31125" xr:uid="{00000000-0005-0000-0000-000095790000}"/>
    <cellStyle name="好 3 3 2 4 2" xfId="31126" xr:uid="{00000000-0005-0000-0000-000096790000}"/>
    <cellStyle name="好 3 3 3" xfId="31127" xr:uid="{00000000-0005-0000-0000-000097790000}"/>
    <cellStyle name="好 3 3 3 2" xfId="31128" xr:uid="{00000000-0005-0000-0000-000098790000}"/>
    <cellStyle name="好 3 3 3 2 2" xfId="31129" xr:uid="{00000000-0005-0000-0000-000099790000}"/>
    <cellStyle name="好 3 3 3 2 2 2" xfId="31130" xr:uid="{00000000-0005-0000-0000-00009A790000}"/>
    <cellStyle name="好 3 3 3 3" xfId="31131" xr:uid="{00000000-0005-0000-0000-00009B790000}"/>
    <cellStyle name="好 3 3 3 3 2" xfId="31132" xr:uid="{00000000-0005-0000-0000-00009C790000}"/>
    <cellStyle name="好 3 3 4" xfId="31133" xr:uid="{00000000-0005-0000-0000-00009D790000}"/>
    <cellStyle name="好 3 3 5" xfId="31134" xr:uid="{00000000-0005-0000-0000-00009E790000}"/>
    <cellStyle name="好 3 3 6" xfId="31135" xr:uid="{00000000-0005-0000-0000-00009F790000}"/>
    <cellStyle name="好 3 4" xfId="31136" xr:uid="{00000000-0005-0000-0000-0000A0790000}"/>
    <cellStyle name="好 3 4 2" xfId="31137" xr:uid="{00000000-0005-0000-0000-0000A1790000}"/>
    <cellStyle name="好 3 4 2 2" xfId="31138" xr:uid="{00000000-0005-0000-0000-0000A2790000}"/>
    <cellStyle name="好 3 4 2 3" xfId="31139" xr:uid="{00000000-0005-0000-0000-0000A3790000}"/>
    <cellStyle name="好 3 4 2 3 2" xfId="31140" xr:uid="{00000000-0005-0000-0000-0000A4790000}"/>
    <cellStyle name="好 3 4 2 3 2 2" xfId="31141" xr:uid="{00000000-0005-0000-0000-0000A5790000}"/>
    <cellStyle name="好 3 4 2 4" xfId="31142" xr:uid="{00000000-0005-0000-0000-0000A6790000}"/>
    <cellStyle name="好 3 4 2 4 2" xfId="31143" xr:uid="{00000000-0005-0000-0000-0000A7790000}"/>
    <cellStyle name="好 3 4 3" xfId="31144" xr:uid="{00000000-0005-0000-0000-0000A8790000}"/>
    <cellStyle name="好 3 4 4" xfId="31145" xr:uid="{00000000-0005-0000-0000-0000A9790000}"/>
    <cellStyle name="好 3 4 5" xfId="31146" xr:uid="{00000000-0005-0000-0000-0000AA790000}"/>
    <cellStyle name="好 3 4 6" xfId="31147" xr:uid="{00000000-0005-0000-0000-0000AB790000}"/>
    <cellStyle name="好 3 5" xfId="31148" xr:uid="{00000000-0005-0000-0000-0000AC790000}"/>
    <cellStyle name="好 3 5 2" xfId="31149" xr:uid="{00000000-0005-0000-0000-0000AD790000}"/>
    <cellStyle name="好 3 5 2 2" xfId="31150" xr:uid="{00000000-0005-0000-0000-0000AE790000}"/>
    <cellStyle name="好 3 5 2 2 2" xfId="31151" xr:uid="{00000000-0005-0000-0000-0000AF790000}"/>
    <cellStyle name="好 3 5 2 2 2 2" xfId="31152" xr:uid="{00000000-0005-0000-0000-0000B0790000}"/>
    <cellStyle name="好 3 5 2 3" xfId="31153" xr:uid="{00000000-0005-0000-0000-0000B1790000}"/>
    <cellStyle name="好 3 5 2 3 2" xfId="31154" xr:uid="{00000000-0005-0000-0000-0000B2790000}"/>
    <cellStyle name="好 3 5 3" xfId="31155" xr:uid="{00000000-0005-0000-0000-0000B3790000}"/>
    <cellStyle name="好 3 5 3 2" xfId="31156" xr:uid="{00000000-0005-0000-0000-0000B4790000}"/>
    <cellStyle name="好 3 5 3 2 2" xfId="31157" xr:uid="{00000000-0005-0000-0000-0000B5790000}"/>
    <cellStyle name="好 3 5 4" xfId="31158" xr:uid="{00000000-0005-0000-0000-0000B6790000}"/>
    <cellStyle name="好 3 5 4 2" xfId="31159" xr:uid="{00000000-0005-0000-0000-0000B7790000}"/>
    <cellStyle name="好 3 6" xfId="31160" xr:uid="{00000000-0005-0000-0000-0000B8790000}"/>
    <cellStyle name="好 3 6 2" xfId="31161" xr:uid="{00000000-0005-0000-0000-0000B9790000}"/>
    <cellStyle name="好 3 6 2 2" xfId="31162" xr:uid="{00000000-0005-0000-0000-0000BA790000}"/>
    <cellStyle name="好 3 6 2 2 2" xfId="31163" xr:uid="{00000000-0005-0000-0000-0000BB790000}"/>
    <cellStyle name="好 3 6 3" xfId="31164" xr:uid="{00000000-0005-0000-0000-0000BC790000}"/>
    <cellStyle name="好 3 6 3 2" xfId="31165" xr:uid="{00000000-0005-0000-0000-0000BD790000}"/>
    <cellStyle name="好 3 7" xfId="31166" xr:uid="{00000000-0005-0000-0000-0000BE790000}"/>
    <cellStyle name="好 3 8" xfId="31167" xr:uid="{00000000-0005-0000-0000-0000BF790000}"/>
    <cellStyle name="好_报关单" xfId="31168" xr:uid="{00000000-0005-0000-0000-0000C0790000}"/>
    <cellStyle name="好_报关单 2" xfId="31169" xr:uid="{00000000-0005-0000-0000-0000C1790000}"/>
    <cellStyle name="好_报关单 3" xfId="31170" xr:uid="{00000000-0005-0000-0000-0000C2790000}"/>
    <cellStyle name="差 2" xfId="31171" xr:uid="{00000000-0005-0000-0000-0000C3790000}"/>
    <cellStyle name="差 2 10" xfId="31172" xr:uid="{00000000-0005-0000-0000-0000C4790000}"/>
    <cellStyle name="差 2 11" xfId="31173" xr:uid="{00000000-0005-0000-0000-0000C5790000}"/>
    <cellStyle name="差 2 2" xfId="31174" xr:uid="{00000000-0005-0000-0000-0000C6790000}"/>
    <cellStyle name="差 2 2 10" xfId="31175" xr:uid="{00000000-0005-0000-0000-0000C7790000}"/>
    <cellStyle name="差 2 2 11" xfId="31176" xr:uid="{00000000-0005-0000-0000-0000C8790000}"/>
    <cellStyle name="差 2 2 2" xfId="31177" xr:uid="{00000000-0005-0000-0000-0000C9790000}"/>
    <cellStyle name="差 2 2 2 2" xfId="31178" xr:uid="{00000000-0005-0000-0000-0000CA790000}"/>
    <cellStyle name="差 2 2 2 2 2" xfId="31179" xr:uid="{00000000-0005-0000-0000-0000CB790000}"/>
    <cellStyle name="差 2 2 2 2 2 2" xfId="31180" xr:uid="{00000000-0005-0000-0000-0000CC790000}"/>
    <cellStyle name="差 2 2 2 2 2 3" xfId="31181" xr:uid="{00000000-0005-0000-0000-0000CD790000}"/>
    <cellStyle name="差 2 2 2 2 2 3 2" xfId="31182" xr:uid="{00000000-0005-0000-0000-0000CE790000}"/>
    <cellStyle name="差 2 2 2 2 2 3 2 2" xfId="31183" xr:uid="{00000000-0005-0000-0000-0000CF790000}"/>
    <cellStyle name="差 2 2 2 2 2 4" xfId="31184" xr:uid="{00000000-0005-0000-0000-0000D0790000}"/>
    <cellStyle name="差 2 2 2 2 2 4 2" xfId="31185" xr:uid="{00000000-0005-0000-0000-0000D1790000}"/>
    <cellStyle name="差 2 2 2 2 3" xfId="31186" xr:uid="{00000000-0005-0000-0000-0000D2790000}"/>
    <cellStyle name="差 2 2 2 2 3 2" xfId="31187" xr:uid="{00000000-0005-0000-0000-0000D3790000}"/>
    <cellStyle name="差 2 2 2 2 3 2 2" xfId="31188" xr:uid="{00000000-0005-0000-0000-0000D4790000}"/>
    <cellStyle name="差 2 2 2 2 3 2 2 2" xfId="31189" xr:uid="{00000000-0005-0000-0000-0000D5790000}"/>
    <cellStyle name="差 2 2 2 2 3 3" xfId="31190" xr:uid="{00000000-0005-0000-0000-0000D6790000}"/>
    <cellStyle name="差 2 2 2 2 3 3 2" xfId="31191" xr:uid="{00000000-0005-0000-0000-0000D7790000}"/>
    <cellStyle name="差 2 2 2 2 4" xfId="31192" xr:uid="{00000000-0005-0000-0000-0000D8790000}"/>
    <cellStyle name="差 2 2 2 2 5" xfId="31193" xr:uid="{00000000-0005-0000-0000-0000D9790000}"/>
    <cellStyle name="差 2 2 2 2 6" xfId="31194" xr:uid="{00000000-0005-0000-0000-0000DA790000}"/>
    <cellStyle name="差 2 2 2 3" xfId="31195" xr:uid="{00000000-0005-0000-0000-0000DB790000}"/>
    <cellStyle name="差 2 2 2 3 2" xfId="31196" xr:uid="{00000000-0005-0000-0000-0000DC790000}"/>
    <cellStyle name="差 2 2 2 3 3" xfId="31197" xr:uid="{00000000-0005-0000-0000-0000DD790000}"/>
    <cellStyle name="差 2 2 2 3 3 2" xfId="31198" xr:uid="{00000000-0005-0000-0000-0000DE790000}"/>
    <cellStyle name="差 2 2 2 3 3 2 2" xfId="31199" xr:uid="{00000000-0005-0000-0000-0000DF790000}"/>
    <cellStyle name="差 2 2 2 3 4" xfId="31200" xr:uid="{00000000-0005-0000-0000-0000E0790000}"/>
    <cellStyle name="差 2 2 2 3 4 2" xfId="31201" xr:uid="{00000000-0005-0000-0000-0000E1790000}"/>
    <cellStyle name="差 2 2 2 4" xfId="31202" xr:uid="{00000000-0005-0000-0000-0000E2790000}"/>
    <cellStyle name="差 2 2 2 4 2" xfId="31203" xr:uid="{00000000-0005-0000-0000-0000E3790000}"/>
    <cellStyle name="差 2 2 2 4 2 2" xfId="31204" xr:uid="{00000000-0005-0000-0000-0000E4790000}"/>
    <cellStyle name="差 2 2 2 4 2 2 2" xfId="31205" xr:uid="{00000000-0005-0000-0000-0000E5790000}"/>
    <cellStyle name="差 2 2 2 4 3" xfId="31206" xr:uid="{00000000-0005-0000-0000-0000E6790000}"/>
    <cellStyle name="差 2 2 2 4 3 2" xfId="31207" xr:uid="{00000000-0005-0000-0000-0000E7790000}"/>
    <cellStyle name="差 2 2 2 5" xfId="31208" xr:uid="{00000000-0005-0000-0000-0000E8790000}"/>
    <cellStyle name="差 2 2 2 6" xfId="31209" xr:uid="{00000000-0005-0000-0000-0000E9790000}"/>
    <cellStyle name="差 2 2 2 7" xfId="31210" xr:uid="{00000000-0005-0000-0000-0000EA790000}"/>
    <cellStyle name="差 2 2 3" xfId="31211" xr:uid="{00000000-0005-0000-0000-0000EB790000}"/>
    <cellStyle name="差 2 2 3 2" xfId="31212" xr:uid="{00000000-0005-0000-0000-0000EC790000}"/>
    <cellStyle name="差 2 2 3 2 2" xfId="31213" xr:uid="{00000000-0005-0000-0000-0000ED790000}"/>
    <cellStyle name="差 2 2 3 2 3" xfId="31214" xr:uid="{00000000-0005-0000-0000-0000EE790000}"/>
    <cellStyle name="差 2 2 3 2 3 2" xfId="31215" xr:uid="{00000000-0005-0000-0000-0000EF790000}"/>
    <cellStyle name="差 2 2 3 2 3 2 2" xfId="31216" xr:uid="{00000000-0005-0000-0000-0000F0790000}"/>
    <cellStyle name="差 2 2 3 2 4" xfId="31217" xr:uid="{00000000-0005-0000-0000-0000F1790000}"/>
    <cellStyle name="差 2 2 3 2 4 2" xfId="31218" xr:uid="{00000000-0005-0000-0000-0000F2790000}"/>
    <cellStyle name="差 2 2 3 3" xfId="31219" xr:uid="{00000000-0005-0000-0000-0000F3790000}"/>
    <cellStyle name="差 2 2 3 3 2" xfId="31220" xr:uid="{00000000-0005-0000-0000-0000F4790000}"/>
    <cellStyle name="差 2 2 3 3 2 2" xfId="31221" xr:uid="{00000000-0005-0000-0000-0000F5790000}"/>
    <cellStyle name="差 2 2 3 3 2 2 2" xfId="31222" xr:uid="{00000000-0005-0000-0000-0000F6790000}"/>
    <cellStyle name="差 2 2 3 3 3" xfId="31223" xr:uid="{00000000-0005-0000-0000-0000F7790000}"/>
    <cellStyle name="差 2 2 3 3 3 2" xfId="31224" xr:uid="{00000000-0005-0000-0000-0000F8790000}"/>
    <cellStyle name="差 2 2 3 4" xfId="31225" xr:uid="{00000000-0005-0000-0000-0000F9790000}"/>
    <cellStyle name="差 2 2 3 5" xfId="31226" xr:uid="{00000000-0005-0000-0000-0000FA790000}"/>
    <cellStyle name="差 2 2 3 6" xfId="31227" xr:uid="{00000000-0005-0000-0000-0000FB790000}"/>
    <cellStyle name="差 2 2 4" xfId="31228" xr:uid="{00000000-0005-0000-0000-0000FC790000}"/>
    <cellStyle name="差 2 2 4 2" xfId="31229" xr:uid="{00000000-0005-0000-0000-0000FD790000}"/>
    <cellStyle name="差 2 2 4 2 2" xfId="31230" xr:uid="{00000000-0005-0000-0000-0000FE790000}"/>
    <cellStyle name="差 2 2 4 2 3" xfId="31231" xr:uid="{00000000-0005-0000-0000-0000FF790000}"/>
    <cellStyle name="差 2 2 4 2 3 2" xfId="31232" xr:uid="{00000000-0005-0000-0000-0000007A0000}"/>
    <cellStyle name="差 2 2 4 2 3 2 2" xfId="31233" xr:uid="{00000000-0005-0000-0000-0000017A0000}"/>
    <cellStyle name="差 2 2 4 2 4" xfId="31234" xr:uid="{00000000-0005-0000-0000-0000027A0000}"/>
    <cellStyle name="差 2 2 4 2 4 2" xfId="31235" xr:uid="{00000000-0005-0000-0000-0000037A0000}"/>
    <cellStyle name="差 2 2 4 3" xfId="31236" xr:uid="{00000000-0005-0000-0000-0000047A0000}"/>
    <cellStyle name="差 2 2 4 4" xfId="31237" xr:uid="{00000000-0005-0000-0000-0000057A0000}"/>
    <cellStyle name="差 2 2 4 5" xfId="31238" xr:uid="{00000000-0005-0000-0000-0000067A0000}"/>
    <cellStyle name="差 2 2 4 6" xfId="31239" xr:uid="{00000000-0005-0000-0000-0000077A0000}"/>
    <cellStyle name="差 2 2 5" xfId="31240" xr:uid="{00000000-0005-0000-0000-0000087A0000}"/>
    <cellStyle name="差 2 2 5 2" xfId="31241" xr:uid="{00000000-0005-0000-0000-0000097A0000}"/>
    <cellStyle name="差 2 2 5 2 2" xfId="31242" xr:uid="{00000000-0005-0000-0000-00000A7A0000}"/>
    <cellStyle name="差 2 2 5 2 2 2" xfId="31243" xr:uid="{00000000-0005-0000-0000-00000B7A0000}"/>
    <cellStyle name="差 2 2 5 2 2 2 2" xfId="31244" xr:uid="{00000000-0005-0000-0000-00000C7A0000}"/>
    <cellStyle name="差 2 2 5 2 3" xfId="31245" xr:uid="{00000000-0005-0000-0000-00000D7A0000}"/>
    <cellStyle name="差 2 2 5 2 3 2" xfId="31246" xr:uid="{00000000-0005-0000-0000-00000E7A0000}"/>
    <cellStyle name="差 2 2 5 3" xfId="31247" xr:uid="{00000000-0005-0000-0000-00000F7A0000}"/>
    <cellStyle name="差 2 2 5 3 2" xfId="31248" xr:uid="{00000000-0005-0000-0000-0000107A0000}"/>
    <cellStyle name="差 2 2 5 3 2 2" xfId="31249" xr:uid="{00000000-0005-0000-0000-0000117A0000}"/>
    <cellStyle name="差 2 2 5 4" xfId="31250" xr:uid="{00000000-0005-0000-0000-0000127A0000}"/>
    <cellStyle name="差 2 2 5 4 2" xfId="31251" xr:uid="{00000000-0005-0000-0000-0000137A0000}"/>
    <cellStyle name="差 2 2 6" xfId="31252" xr:uid="{00000000-0005-0000-0000-0000147A0000}"/>
    <cellStyle name="差 2 2 6 2" xfId="31253" xr:uid="{00000000-0005-0000-0000-0000157A0000}"/>
    <cellStyle name="差 2 2 6 2 2" xfId="31254" xr:uid="{00000000-0005-0000-0000-0000167A0000}"/>
    <cellStyle name="差 2 2 6 2 2 2" xfId="31255" xr:uid="{00000000-0005-0000-0000-0000177A0000}"/>
    <cellStyle name="差 2 2 6 2 2 2 2" xfId="31256" xr:uid="{00000000-0005-0000-0000-0000187A0000}"/>
    <cellStyle name="差 2 2 6 2 3" xfId="31257" xr:uid="{00000000-0005-0000-0000-0000197A0000}"/>
    <cellStyle name="差 2 2 6 2 3 2" xfId="31258" xr:uid="{00000000-0005-0000-0000-00001A7A0000}"/>
    <cellStyle name="差 2 2 6 3" xfId="31259" xr:uid="{00000000-0005-0000-0000-00001B7A0000}"/>
    <cellStyle name="差 2 2 6 3 2" xfId="31260" xr:uid="{00000000-0005-0000-0000-00001C7A0000}"/>
    <cellStyle name="差 2 2 6 3 2 2" xfId="31261" xr:uid="{00000000-0005-0000-0000-00001D7A0000}"/>
    <cellStyle name="差 2 2 6 4" xfId="31262" xr:uid="{00000000-0005-0000-0000-00001E7A0000}"/>
    <cellStyle name="差 2 2 6 4 2" xfId="31263" xr:uid="{00000000-0005-0000-0000-00001F7A0000}"/>
    <cellStyle name="差 2 2 7" xfId="31264" xr:uid="{00000000-0005-0000-0000-0000207A0000}"/>
    <cellStyle name="差 2 2 7 2" xfId="31265" xr:uid="{00000000-0005-0000-0000-0000217A0000}"/>
    <cellStyle name="差 2 2 7 2 2" xfId="31266" xr:uid="{00000000-0005-0000-0000-0000227A0000}"/>
    <cellStyle name="差 2 2 7 2 2 2" xfId="31267" xr:uid="{00000000-0005-0000-0000-0000237A0000}"/>
    <cellStyle name="差 2 2 7 2 2 2 2" xfId="31268" xr:uid="{00000000-0005-0000-0000-0000247A0000}"/>
    <cellStyle name="差 2 2 7 2 3" xfId="31269" xr:uid="{00000000-0005-0000-0000-0000257A0000}"/>
    <cellStyle name="差 2 2 7 2 3 2" xfId="31270" xr:uid="{00000000-0005-0000-0000-0000267A0000}"/>
    <cellStyle name="差 2 2 7 3" xfId="31271" xr:uid="{00000000-0005-0000-0000-0000277A0000}"/>
    <cellStyle name="差 2 2 7 3 2" xfId="31272" xr:uid="{00000000-0005-0000-0000-0000287A0000}"/>
    <cellStyle name="差 2 2 7 3 2 2" xfId="31273" xr:uid="{00000000-0005-0000-0000-0000297A0000}"/>
    <cellStyle name="差 2 2 7 4" xfId="31274" xr:uid="{00000000-0005-0000-0000-00002A7A0000}"/>
    <cellStyle name="差 2 2 7 4 2" xfId="31275" xr:uid="{00000000-0005-0000-0000-00002B7A0000}"/>
    <cellStyle name="差 2 2 8" xfId="31276" xr:uid="{00000000-0005-0000-0000-00002C7A0000}"/>
    <cellStyle name="差 2 2 8 2" xfId="31277" xr:uid="{00000000-0005-0000-0000-00002D7A0000}"/>
    <cellStyle name="差 2 2 8 2 2" xfId="31278" xr:uid="{00000000-0005-0000-0000-00002E7A0000}"/>
    <cellStyle name="差 2 2 8 2 2 2" xfId="31279" xr:uid="{00000000-0005-0000-0000-00002F7A0000}"/>
    <cellStyle name="差 2 2 8 3" xfId="31280" xr:uid="{00000000-0005-0000-0000-0000307A0000}"/>
    <cellStyle name="差 2 2 8 3 2" xfId="31281" xr:uid="{00000000-0005-0000-0000-0000317A0000}"/>
    <cellStyle name="差 2 2 9" xfId="31282" xr:uid="{00000000-0005-0000-0000-0000327A0000}"/>
    <cellStyle name="差 2 2 9 2" xfId="31283" xr:uid="{00000000-0005-0000-0000-0000337A0000}"/>
    <cellStyle name="差 2 2 9 2 2" xfId="31284" xr:uid="{00000000-0005-0000-0000-0000347A0000}"/>
    <cellStyle name="差 2 2 9 2 2 2" xfId="31285" xr:uid="{00000000-0005-0000-0000-0000357A0000}"/>
    <cellStyle name="差 2 2 9 3" xfId="31286" xr:uid="{00000000-0005-0000-0000-0000367A0000}"/>
    <cellStyle name="差 2 2 9 3 2" xfId="31287" xr:uid="{00000000-0005-0000-0000-0000377A0000}"/>
    <cellStyle name="差 2 3" xfId="31288" xr:uid="{00000000-0005-0000-0000-0000387A0000}"/>
    <cellStyle name="差 2 3 2" xfId="31289" xr:uid="{00000000-0005-0000-0000-0000397A0000}"/>
    <cellStyle name="差 2 3 2 2" xfId="31290" xr:uid="{00000000-0005-0000-0000-00003A7A0000}"/>
    <cellStyle name="差 2 3 2 2 2" xfId="31291" xr:uid="{00000000-0005-0000-0000-00003B7A0000}"/>
    <cellStyle name="差 2 3 2 2 2 2" xfId="31292" xr:uid="{00000000-0005-0000-0000-00003C7A0000}"/>
    <cellStyle name="差 2 3 2 2 2 3" xfId="31293" xr:uid="{00000000-0005-0000-0000-00003D7A0000}"/>
    <cellStyle name="差 2 3 2 2 2 3 2" xfId="31294" xr:uid="{00000000-0005-0000-0000-00003E7A0000}"/>
    <cellStyle name="差 2 3 2 2 2 3 2 2" xfId="31295" xr:uid="{00000000-0005-0000-0000-00003F7A0000}"/>
    <cellStyle name="差 2 3 2 2 2 4" xfId="31296" xr:uid="{00000000-0005-0000-0000-0000407A0000}"/>
    <cellStyle name="差 2 3 2 2 2 4 2" xfId="31297" xr:uid="{00000000-0005-0000-0000-0000417A0000}"/>
    <cellStyle name="差 2 3 2 2 3" xfId="31298" xr:uid="{00000000-0005-0000-0000-0000427A0000}"/>
    <cellStyle name="差 2 3 2 2 3 2" xfId="31299" xr:uid="{00000000-0005-0000-0000-0000437A0000}"/>
    <cellStyle name="差 2 3 2 2 3 2 2" xfId="31300" xr:uid="{00000000-0005-0000-0000-0000447A0000}"/>
    <cellStyle name="差 2 3 2 2 3 2 2 2" xfId="31301" xr:uid="{00000000-0005-0000-0000-0000457A0000}"/>
    <cellStyle name="差 2 3 2 2 3 3" xfId="31302" xr:uid="{00000000-0005-0000-0000-0000467A0000}"/>
    <cellStyle name="差 2 3 2 2 3 3 2" xfId="31303" xr:uid="{00000000-0005-0000-0000-0000477A0000}"/>
    <cellStyle name="差 2 3 2 2 4" xfId="31304" xr:uid="{00000000-0005-0000-0000-0000487A0000}"/>
    <cellStyle name="差 2 3 2 2 5" xfId="31305" xr:uid="{00000000-0005-0000-0000-0000497A0000}"/>
    <cellStyle name="差 2 3 2 2 6" xfId="31306" xr:uid="{00000000-0005-0000-0000-00004A7A0000}"/>
    <cellStyle name="差 2 3 2 3" xfId="31307" xr:uid="{00000000-0005-0000-0000-00004B7A0000}"/>
    <cellStyle name="差 2 3 2 3 2" xfId="31308" xr:uid="{00000000-0005-0000-0000-00004C7A0000}"/>
    <cellStyle name="差 2 3 2 3 3" xfId="31309" xr:uid="{00000000-0005-0000-0000-00004D7A0000}"/>
    <cellStyle name="差 2 3 2 3 3 2" xfId="31310" xr:uid="{00000000-0005-0000-0000-00004E7A0000}"/>
    <cellStyle name="差 2 3 2 3 3 2 2" xfId="31311" xr:uid="{00000000-0005-0000-0000-00004F7A0000}"/>
    <cellStyle name="差 2 3 2 3 4" xfId="31312" xr:uid="{00000000-0005-0000-0000-0000507A0000}"/>
    <cellStyle name="差 2 3 2 3 4 2" xfId="31313" xr:uid="{00000000-0005-0000-0000-0000517A0000}"/>
    <cellStyle name="差 2 3 2 4" xfId="31314" xr:uid="{00000000-0005-0000-0000-0000527A0000}"/>
    <cellStyle name="差 2 3 2 4 2" xfId="31315" xr:uid="{00000000-0005-0000-0000-0000537A0000}"/>
    <cellStyle name="差 2 3 2 4 2 2" xfId="31316" xr:uid="{00000000-0005-0000-0000-0000547A0000}"/>
    <cellStyle name="差 2 3 2 4 2 2 2" xfId="31317" xr:uid="{00000000-0005-0000-0000-0000557A0000}"/>
    <cellStyle name="差 2 3 2 4 3" xfId="31318" xr:uid="{00000000-0005-0000-0000-0000567A0000}"/>
    <cellStyle name="差 2 3 2 4 3 2" xfId="31319" xr:uid="{00000000-0005-0000-0000-0000577A0000}"/>
    <cellStyle name="差 2 3 2 5" xfId="31320" xr:uid="{00000000-0005-0000-0000-0000587A0000}"/>
    <cellStyle name="差 2 3 2 6" xfId="31321" xr:uid="{00000000-0005-0000-0000-0000597A0000}"/>
    <cellStyle name="差 2 3 2 7" xfId="31322" xr:uid="{00000000-0005-0000-0000-00005A7A0000}"/>
    <cellStyle name="差 2 3 3" xfId="31323" xr:uid="{00000000-0005-0000-0000-00005B7A0000}"/>
    <cellStyle name="差 2 3 3 2" xfId="31324" xr:uid="{00000000-0005-0000-0000-00005C7A0000}"/>
    <cellStyle name="差 2 3 3 2 2" xfId="31325" xr:uid="{00000000-0005-0000-0000-00005D7A0000}"/>
    <cellStyle name="差 2 3 3 2 3" xfId="31326" xr:uid="{00000000-0005-0000-0000-00005E7A0000}"/>
    <cellStyle name="差 2 3 3 2 3 2" xfId="31327" xr:uid="{00000000-0005-0000-0000-00005F7A0000}"/>
    <cellStyle name="差 2 3 3 2 3 2 2" xfId="31328" xr:uid="{00000000-0005-0000-0000-0000607A0000}"/>
    <cellStyle name="差 2 3 3 2 4" xfId="31329" xr:uid="{00000000-0005-0000-0000-0000617A0000}"/>
    <cellStyle name="差 2 3 3 2 4 2" xfId="31330" xr:uid="{00000000-0005-0000-0000-0000627A0000}"/>
    <cellStyle name="差 2 3 3 3" xfId="31331" xr:uid="{00000000-0005-0000-0000-0000637A0000}"/>
    <cellStyle name="差 2 3 3 3 2" xfId="31332" xr:uid="{00000000-0005-0000-0000-0000647A0000}"/>
    <cellStyle name="差 2 3 3 3 2 2" xfId="31333" xr:uid="{00000000-0005-0000-0000-0000657A0000}"/>
    <cellStyle name="差 2 3 3 3 2 2 2" xfId="31334" xr:uid="{00000000-0005-0000-0000-0000667A0000}"/>
    <cellStyle name="差 2 3 3 3 3" xfId="31335" xr:uid="{00000000-0005-0000-0000-0000677A0000}"/>
    <cellStyle name="差 2 3 3 3 3 2" xfId="31336" xr:uid="{00000000-0005-0000-0000-0000687A0000}"/>
    <cellStyle name="差 2 3 3 4" xfId="31337" xr:uid="{00000000-0005-0000-0000-0000697A0000}"/>
    <cellStyle name="差 2 3 3 5" xfId="31338" xr:uid="{00000000-0005-0000-0000-00006A7A0000}"/>
    <cellStyle name="差 2 3 3 6" xfId="31339" xr:uid="{00000000-0005-0000-0000-00006B7A0000}"/>
    <cellStyle name="差 2 3 4" xfId="31340" xr:uid="{00000000-0005-0000-0000-00006C7A0000}"/>
    <cellStyle name="差 2 3 4 2" xfId="31341" xr:uid="{00000000-0005-0000-0000-00006D7A0000}"/>
    <cellStyle name="差 2 3 4 2 2" xfId="31342" xr:uid="{00000000-0005-0000-0000-00006E7A0000}"/>
    <cellStyle name="差 2 3 4 2 3" xfId="31343" xr:uid="{00000000-0005-0000-0000-00006F7A0000}"/>
    <cellStyle name="差 2 3 4 2 3 2" xfId="31344" xr:uid="{00000000-0005-0000-0000-0000707A0000}"/>
    <cellStyle name="差 2 3 4 2 3 2 2" xfId="31345" xr:uid="{00000000-0005-0000-0000-0000717A0000}"/>
    <cellStyle name="差 2 3 4 2 4" xfId="31346" xr:uid="{00000000-0005-0000-0000-0000727A0000}"/>
    <cellStyle name="差 2 3 4 2 4 2" xfId="31347" xr:uid="{00000000-0005-0000-0000-0000737A0000}"/>
    <cellStyle name="差 2 3 4 3" xfId="31348" xr:uid="{00000000-0005-0000-0000-0000747A0000}"/>
    <cellStyle name="差 2 3 4 4" xfId="31349" xr:uid="{00000000-0005-0000-0000-0000757A0000}"/>
    <cellStyle name="差 2 3 4 5" xfId="31350" xr:uid="{00000000-0005-0000-0000-0000767A0000}"/>
    <cellStyle name="差 2 3 4 6" xfId="31351" xr:uid="{00000000-0005-0000-0000-0000777A0000}"/>
    <cellStyle name="差 2 3 5" xfId="31352" xr:uid="{00000000-0005-0000-0000-0000787A0000}"/>
    <cellStyle name="差 2 3 5 2" xfId="31353" xr:uid="{00000000-0005-0000-0000-0000797A0000}"/>
    <cellStyle name="差 2 3 5 2 2" xfId="31354" xr:uid="{00000000-0005-0000-0000-00007A7A0000}"/>
    <cellStyle name="差 2 3 5 2 2 2" xfId="31355" xr:uid="{00000000-0005-0000-0000-00007B7A0000}"/>
    <cellStyle name="差 2 3 5 2 2 2 2" xfId="31356" xr:uid="{00000000-0005-0000-0000-00007C7A0000}"/>
    <cellStyle name="差 2 3 5 2 3" xfId="31357" xr:uid="{00000000-0005-0000-0000-00007D7A0000}"/>
    <cellStyle name="差 2 3 5 2 3 2" xfId="31358" xr:uid="{00000000-0005-0000-0000-00007E7A0000}"/>
    <cellStyle name="差 2 3 5 3" xfId="31359" xr:uid="{00000000-0005-0000-0000-00007F7A0000}"/>
    <cellStyle name="差 2 3 5 3 2" xfId="31360" xr:uid="{00000000-0005-0000-0000-0000807A0000}"/>
    <cellStyle name="差 2 3 5 3 2 2" xfId="31361" xr:uid="{00000000-0005-0000-0000-0000817A0000}"/>
    <cellStyle name="差 2 3 5 4" xfId="31362" xr:uid="{00000000-0005-0000-0000-0000827A0000}"/>
    <cellStyle name="差 2 3 5 4 2" xfId="31363" xr:uid="{00000000-0005-0000-0000-0000837A0000}"/>
    <cellStyle name="差 2 3 6" xfId="31364" xr:uid="{00000000-0005-0000-0000-0000847A0000}"/>
    <cellStyle name="差 2 3 6 2" xfId="31365" xr:uid="{00000000-0005-0000-0000-0000857A0000}"/>
    <cellStyle name="差 2 3 6 2 2" xfId="31366" xr:uid="{00000000-0005-0000-0000-0000867A0000}"/>
    <cellStyle name="差 2 3 6 2 2 2" xfId="31367" xr:uid="{00000000-0005-0000-0000-0000877A0000}"/>
    <cellStyle name="差 2 3 6 3" xfId="31368" xr:uid="{00000000-0005-0000-0000-0000887A0000}"/>
    <cellStyle name="差 2 3 6 3 2" xfId="31369" xr:uid="{00000000-0005-0000-0000-0000897A0000}"/>
    <cellStyle name="差 2 3 7" xfId="31370" xr:uid="{00000000-0005-0000-0000-00008A7A0000}"/>
    <cellStyle name="差 2 3 7 2" xfId="31371" xr:uid="{00000000-0005-0000-0000-00008B7A0000}"/>
    <cellStyle name="差 2 3 7 2 2" xfId="31372" xr:uid="{00000000-0005-0000-0000-00008C7A0000}"/>
    <cellStyle name="差 2 3 7 2 2 2" xfId="31373" xr:uid="{00000000-0005-0000-0000-00008D7A0000}"/>
    <cellStyle name="差 2 3 7 3" xfId="31374" xr:uid="{00000000-0005-0000-0000-00008E7A0000}"/>
    <cellStyle name="差 2 3 7 3 2" xfId="31375" xr:uid="{00000000-0005-0000-0000-00008F7A0000}"/>
    <cellStyle name="差 2 3 8" xfId="31376" xr:uid="{00000000-0005-0000-0000-0000907A0000}"/>
    <cellStyle name="差 2 3 9" xfId="31377" xr:uid="{00000000-0005-0000-0000-0000917A0000}"/>
    <cellStyle name="差 2 4" xfId="31378" xr:uid="{00000000-0005-0000-0000-0000927A0000}"/>
    <cellStyle name="差 2 4 2" xfId="31379" xr:uid="{00000000-0005-0000-0000-0000937A0000}"/>
    <cellStyle name="差 2 4 2 2" xfId="31380" xr:uid="{00000000-0005-0000-0000-0000947A0000}"/>
    <cellStyle name="差 2 4 2 3" xfId="31381" xr:uid="{00000000-0005-0000-0000-0000957A0000}"/>
    <cellStyle name="差 2 4 2 3 2" xfId="31382" xr:uid="{00000000-0005-0000-0000-0000967A0000}"/>
    <cellStyle name="差 2 4 2 3 2 2" xfId="31383" xr:uid="{00000000-0005-0000-0000-0000977A0000}"/>
    <cellStyle name="差 2 4 2 4" xfId="31384" xr:uid="{00000000-0005-0000-0000-0000987A0000}"/>
    <cellStyle name="差 2 4 2 4 2" xfId="31385" xr:uid="{00000000-0005-0000-0000-0000997A0000}"/>
    <cellStyle name="差 2 4 3" xfId="31386" xr:uid="{00000000-0005-0000-0000-00009A7A0000}"/>
    <cellStyle name="差 2 4 3 2" xfId="31387" xr:uid="{00000000-0005-0000-0000-00009B7A0000}"/>
    <cellStyle name="差 2 4 3 2 2" xfId="31388" xr:uid="{00000000-0005-0000-0000-00009C7A0000}"/>
    <cellStyle name="差 2 4 3 2 2 2" xfId="31389" xr:uid="{00000000-0005-0000-0000-00009D7A0000}"/>
    <cellStyle name="差 2 4 3 3" xfId="31390" xr:uid="{00000000-0005-0000-0000-00009E7A0000}"/>
    <cellStyle name="差 2 4 3 3 2" xfId="31391" xr:uid="{00000000-0005-0000-0000-00009F7A0000}"/>
    <cellStyle name="差 2 4 4" xfId="31392" xr:uid="{00000000-0005-0000-0000-0000A07A0000}"/>
    <cellStyle name="差 2 4 5" xfId="31393" xr:uid="{00000000-0005-0000-0000-0000A17A0000}"/>
    <cellStyle name="差 2 4 6" xfId="31394" xr:uid="{00000000-0005-0000-0000-0000A27A0000}"/>
    <cellStyle name="差 2 5" xfId="31395" xr:uid="{00000000-0005-0000-0000-0000A37A0000}"/>
    <cellStyle name="差 2 5 2" xfId="31396" xr:uid="{00000000-0005-0000-0000-0000A47A0000}"/>
    <cellStyle name="差 2 5 2 2" xfId="31397" xr:uid="{00000000-0005-0000-0000-0000A57A0000}"/>
    <cellStyle name="差 2 5 2 3" xfId="31398" xr:uid="{00000000-0005-0000-0000-0000A67A0000}"/>
    <cellStyle name="差 2 5 2 3 2" xfId="31399" xr:uid="{00000000-0005-0000-0000-0000A77A0000}"/>
    <cellStyle name="差 2 5 2 3 2 2" xfId="31400" xr:uid="{00000000-0005-0000-0000-0000A87A0000}"/>
    <cellStyle name="差 2 5 2 4" xfId="31401" xr:uid="{00000000-0005-0000-0000-0000A97A0000}"/>
    <cellStyle name="差 2 5 2 4 2" xfId="31402" xr:uid="{00000000-0005-0000-0000-0000AA7A0000}"/>
    <cellStyle name="差 2 5 3" xfId="31403" xr:uid="{00000000-0005-0000-0000-0000AB7A0000}"/>
    <cellStyle name="差 2 5 4" xfId="31404" xr:uid="{00000000-0005-0000-0000-0000AC7A0000}"/>
    <cellStyle name="差 2 5 5" xfId="31405" xr:uid="{00000000-0005-0000-0000-0000AD7A0000}"/>
    <cellStyle name="差 2 5 6" xfId="31406" xr:uid="{00000000-0005-0000-0000-0000AE7A0000}"/>
    <cellStyle name="差 2 6" xfId="31407" xr:uid="{00000000-0005-0000-0000-0000AF7A0000}"/>
    <cellStyle name="差 2 6 2" xfId="31408" xr:uid="{00000000-0005-0000-0000-0000B07A0000}"/>
    <cellStyle name="差 2 6 2 2" xfId="31409" xr:uid="{00000000-0005-0000-0000-0000B17A0000}"/>
    <cellStyle name="差 2 6 2 2 2" xfId="31410" xr:uid="{00000000-0005-0000-0000-0000B27A0000}"/>
    <cellStyle name="差 2 6 2 2 2 2" xfId="31411" xr:uid="{00000000-0005-0000-0000-0000B37A0000}"/>
    <cellStyle name="差 2 6 2 3" xfId="31412" xr:uid="{00000000-0005-0000-0000-0000B47A0000}"/>
    <cellStyle name="差 2 6 2 3 2" xfId="31413" xr:uid="{00000000-0005-0000-0000-0000B57A0000}"/>
    <cellStyle name="差 2 6 3" xfId="31414" xr:uid="{00000000-0005-0000-0000-0000B67A0000}"/>
    <cellStyle name="差 2 6 3 2" xfId="31415" xr:uid="{00000000-0005-0000-0000-0000B77A0000}"/>
    <cellStyle name="差 2 6 3 2 2" xfId="31416" xr:uid="{00000000-0005-0000-0000-0000B87A0000}"/>
    <cellStyle name="差 2 6 4" xfId="31417" xr:uid="{00000000-0005-0000-0000-0000B97A0000}"/>
    <cellStyle name="差 2 6 4 2" xfId="31418" xr:uid="{00000000-0005-0000-0000-0000BA7A0000}"/>
    <cellStyle name="差 2 7" xfId="31419" xr:uid="{00000000-0005-0000-0000-0000BB7A0000}"/>
    <cellStyle name="差 2 7 2" xfId="31420" xr:uid="{00000000-0005-0000-0000-0000BC7A0000}"/>
    <cellStyle name="差 2 7 2 2" xfId="31421" xr:uid="{00000000-0005-0000-0000-0000BD7A0000}"/>
    <cellStyle name="差 2 7 2 2 2" xfId="31422" xr:uid="{00000000-0005-0000-0000-0000BE7A0000}"/>
    <cellStyle name="差 2 7 2 2 2 2" xfId="31423" xr:uid="{00000000-0005-0000-0000-0000BF7A0000}"/>
    <cellStyle name="差 2 7 2 3" xfId="31424" xr:uid="{00000000-0005-0000-0000-0000C07A0000}"/>
    <cellStyle name="差 2 7 2 3 2" xfId="31425" xr:uid="{00000000-0005-0000-0000-0000C17A0000}"/>
    <cellStyle name="差 2 7 3" xfId="31426" xr:uid="{00000000-0005-0000-0000-0000C27A0000}"/>
    <cellStyle name="差 2 7 3 2" xfId="31427" xr:uid="{00000000-0005-0000-0000-0000C37A0000}"/>
    <cellStyle name="差 2 7 3 2 2" xfId="31428" xr:uid="{00000000-0005-0000-0000-0000C47A0000}"/>
    <cellStyle name="差 2 7 4" xfId="31429" xr:uid="{00000000-0005-0000-0000-0000C57A0000}"/>
    <cellStyle name="差 2 7 4 2" xfId="31430" xr:uid="{00000000-0005-0000-0000-0000C67A0000}"/>
    <cellStyle name="差 2 8" xfId="31431" xr:uid="{00000000-0005-0000-0000-0000C77A0000}"/>
    <cellStyle name="差 2 8 2" xfId="31432" xr:uid="{00000000-0005-0000-0000-0000C87A0000}"/>
    <cellStyle name="差 2 8 2 2" xfId="31433" xr:uid="{00000000-0005-0000-0000-0000C97A0000}"/>
    <cellStyle name="差 2 8 2 2 2" xfId="31434" xr:uid="{00000000-0005-0000-0000-0000CA7A0000}"/>
    <cellStyle name="差 2 8 2 2 2 2" xfId="31435" xr:uid="{00000000-0005-0000-0000-0000CB7A0000}"/>
    <cellStyle name="差 2 8 2 3" xfId="31436" xr:uid="{00000000-0005-0000-0000-0000CC7A0000}"/>
    <cellStyle name="差 2 8 2 3 2" xfId="31437" xr:uid="{00000000-0005-0000-0000-0000CD7A0000}"/>
    <cellStyle name="差 2 8 3" xfId="31438" xr:uid="{00000000-0005-0000-0000-0000CE7A0000}"/>
    <cellStyle name="差 2 8 3 2" xfId="31439" xr:uid="{00000000-0005-0000-0000-0000CF7A0000}"/>
    <cellStyle name="差 2 8 3 2 2" xfId="31440" xr:uid="{00000000-0005-0000-0000-0000D07A0000}"/>
    <cellStyle name="差 2 8 4" xfId="31441" xr:uid="{00000000-0005-0000-0000-0000D17A0000}"/>
    <cellStyle name="差 2 8 4 2" xfId="31442" xr:uid="{00000000-0005-0000-0000-0000D27A0000}"/>
    <cellStyle name="差 2 9" xfId="31443" xr:uid="{00000000-0005-0000-0000-0000D37A0000}"/>
    <cellStyle name="差 2 9 2" xfId="31444" xr:uid="{00000000-0005-0000-0000-0000D47A0000}"/>
    <cellStyle name="差 2 9 2 2" xfId="31445" xr:uid="{00000000-0005-0000-0000-0000D57A0000}"/>
    <cellStyle name="差 2 9 2 2 2" xfId="31446" xr:uid="{00000000-0005-0000-0000-0000D67A0000}"/>
    <cellStyle name="差 2 9 3" xfId="31447" xr:uid="{00000000-0005-0000-0000-0000D77A0000}"/>
    <cellStyle name="差 2 9 3 2" xfId="31448" xr:uid="{00000000-0005-0000-0000-0000D87A0000}"/>
    <cellStyle name="差 3" xfId="31449" xr:uid="{00000000-0005-0000-0000-0000D97A0000}"/>
    <cellStyle name="差 3 2" xfId="31450" xr:uid="{00000000-0005-0000-0000-0000DA7A0000}"/>
    <cellStyle name="差 3 2 2" xfId="31451" xr:uid="{00000000-0005-0000-0000-0000DB7A0000}"/>
    <cellStyle name="差 3 2 2 2" xfId="31452" xr:uid="{00000000-0005-0000-0000-0000DC7A0000}"/>
    <cellStyle name="差 3 2 2 2 2" xfId="31453" xr:uid="{00000000-0005-0000-0000-0000DD7A0000}"/>
    <cellStyle name="差 3 2 2 2 3" xfId="31454" xr:uid="{00000000-0005-0000-0000-0000DE7A0000}"/>
    <cellStyle name="差 3 2 2 2 3 2" xfId="31455" xr:uid="{00000000-0005-0000-0000-0000DF7A0000}"/>
    <cellStyle name="差 3 2 2 2 3 2 2" xfId="31456" xr:uid="{00000000-0005-0000-0000-0000E07A0000}"/>
    <cellStyle name="差 3 2 2 2 4" xfId="31457" xr:uid="{00000000-0005-0000-0000-0000E17A0000}"/>
    <cellStyle name="差 3 2 2 2 4 2" xfId="31458" xr:uid="{00000000-0005-0000-0000-0000E27A0000}"/>
    <cellStyle name="差 3 2 2 3" xfId="31459" xr:uid="{00000000-0005-0000-0000-0000E37A0000}"/>
    <cellStyle name="差 3 2 2 3 2" xfId="31460" xr:uid="{00000000-0005-0000-0000-0000E47A0000}"/>
    <cellStyle name="差 3 2 2 3 2 2" xfId="31461" xr:uid="{00000000-0005-0000-0000-0000E57A0000}"/>
    <cellStyle name="差 3 2 2 3 2 2 2" xfId="31462" xr:uid="{00000000-0005-0000-0000-0000E67A0000}"/>
    <cellStyle name="差 3 2 2 3 3" xfId="31463" xr:uid="{00000000-0005-0000-0000-0000E77A0000}"/>
    <cellStyle name="差 3 2 2 3 3 2" xfId="31464" xr:uid="{00000000-0005-0000-0000-0000E87A0000}"/>
    <cellStyle name="差 3 2 2 4" xfId="31465" xr:uid="{00000000-0005-0000-0000-0000E97A0000}"/>
    <cellStyle name="差 3 2 2 5" xfId="31466" xr:uid="{00000000-0005-0000-0000-0000EA7A0000}"/>
    <cellStyle name="差 3 2 2 6" xfId="31467" xr:uid="{00000000-0005-0000-0000-0000EB7A0000}"/>
    <cellStyle name="差 3 2 3" xfId="31468" xr:uid="{00000000-0005-0000-0000-0000EC7A0000}"/>
    <cellStyle name="差 3 2 3 2" xfId="31469" xr:uid="{00000000-0005-0000-0000-0000ED7A0000}"/>
    <cellStyle name="差 3 2 3 3" xfId="31470" xr:uid="{00000000-0005-0000-0000-0000EE7A0000}"/>
    <cellStyle name="差 3 2 3 3 2" xfId="31471" xr:uid="{00000000-0005-0000-0000-0000EF7A0000}"/>
    <cellStyle name="差 3 2 3 3 2 2" xfId="31472" xr:uid="{00000000-0005-0000-0000-0000F07A0000}"/>
    <cellStyle name="差 3 2 3 4" xfId="31473" xr:uid="{00000000-0005-0000-0000-0000F17A0000}"/>
    <cellStyle name="差 3 2 3 4 2" xfId="31474" xr:uid="{00000000-0005-0000-0000-0000F27A0000}"/>
    <cellStyle name="差 3 2 4" xfId="31475" xr:uid="{00000000-0005-0000-0000-0000F37A0000}"/>
    <cellStyle name="差 3 2 4 2" xfId="31476" xr:uid="{00000000-0005-0000-0000-0000F47A0000}"/>
    <cellStyle name="差 3 2 4 2 2" xfId="31477" xr:uid="{00000000-0005-0000-0000-0000F57A0000}"/>
    <cellStyle name="差 3 2 4 2 2 2" xfId="31478" xr:uid="{00000000-0005-0000-0000-0000F67A0000}"/>
    <cellStyle name="差 3 2 4 3" xfId="31479" xr:uid="{00000000-0005-0000-0000-0000F77A0000}"/>
    <cellStyle name="差 3 2 4 3 2" xfId="31480" xr:uid="{00000000-0005-0000-0000-0000F87A0000}"/>
    <cellStyle name="差 3 2 5" xfId="31481" xr:uid="{00000000-0005-0000-0000-0000F97A0000}"/>
    <cellStyle name="差 3 2 6" xfId="31482" xr:uid="{00000000-0005-0000-0000-0000FA7A0000}"/>
    <cellStyle name="差 3 2 7" xfId="31483" xr:uid="{00000000-0005-0000-0000-0000FB7A0000}"/>
    <cellStyle name="差 3 3" xfId="31484" xr:uid="{00000000-0005-0000-0000-0000FC7A0000}"/>
    <cellStyle name="差 3 3 2" xfId="31485" xr:uid="{00000000-0005-0000-0000-0000FD7A0000}"/>
    <cellStyle name="差 3 3 2 2" xfId="31486" xr:uid="{00000000-0005-0000-0000-0000FE7A0000}"/>
    <cellStyle name="差 3 3 2 3" xfId="31487" xr:uid="{00000000-0005-0000-0000-0000FF7A0000}"/>
    <cellStyle name="差 3 3 2 3 2" xfId="31488" xr:uid="{00000000-0005-0000-0000-0000007B0000}"/>
    <cellStyle name="差 3 3 2 3 2 2" xfId="31489" xr:uid="{00000000-0005-0000-0000-0000017B0000}"/>
    <cellStyle name="差 3 3 2 4" xfId="31490" xr:uid="{00000000-0005-0000-0000-0000027B0000}"/>
    <cellStyle name="差 3 3 2 4 2" xfId="31491" xr:uid="{00000000-0005-0000-0000-0000037B0000}"/>
    <cellStyle name="差 3 3 3" xfId="31492" xr:uid="{00000000-0005-0000-0000-0000047B0000}"/>
    <cellStyle name="差 3 3 3 2" xfId="31493" xr:uid="{00000000-0005-0000-0000-0000057B0000}"/>
    <cellStyle name="差 3 3 3 2 2" xfId="31494" xr:uid="{00000000-0005-0000-0000-0000067B0000}"/>
    <cellStyle name="差 3 3 3 2 2 2" xfId="31495" xr:uid="{00000000-0005-0000-0000-0000077B0000}"/>
    <cellStyle name="差 3 3 3 3" xfId="31496" xr:uid="{00000000-0005-0000-0000-0000087B0000}"/>
    <cellStyle name="差 3 3 3 3 2" xfId="31497" xr:uid="{00000000-0005-0000-0000-0000097B0000}"/>
    <cellStyle name="差 3 3 4" xfId="31498" xr:uid="{00000000-0005-0000-0000-00000A7B0000}"/>
    <cellStyle name="差 3 3 5" xfId="31499" xr:uid="{00000000-0005-0000-0000-00000B7B0000}"/>
    <cellStyle name="差 3 3 6" xfId="31500" xr:uid="{00000000-0005-0000-0000-00000C7B0000}"/>
    <cellStyle name="差 3 4" xfId="31501" xr:uid="{00000000-0005-0000-0000-00000D7B0000}"/>
    <cellStyle name="差 3 4 2" xfId="31502" xr:uid="{00000000-0005-0000-0000-00000E7B0000}"/>
    <cellStyle name="差 3 4 2 2" xfId="31503" xr:uid="{00000000-0005-0000-0000-00000F7B0000}"/>
    <cellStyle name="差 3 4 2 3" xfId="31504" xr:uid="{00000000-0005-0000-0000-0000107B0000}"/>
    <cellStyle name="差 3 4 2 3 2" xfId="31505" xr:uid="{00000000-0005-0000-0000-0000117B0000}"/>
    <cellStyle name="差 3 4 2 3 2 2" xfId="31506" xr:uid="{00000000-0005-0000-0000-0000127B0000}"/>
    <cellStyle name="差 3 4 2 4" xfId="31507" xr:uid="{00000000-0005-0000-0000-0000137B0000}"/>
    <cellStyle name="差 3 4 2 4 2" xfId="31508" xr:uid="{00000000-0005-0000-0000-0000147B0000}"/>
    <cellStyle name="差 3 4 3" xfId="31509" xr:uid="{00000000-0005-0000-0000-0000157B0000}"/>
    <cellStyle name="差 3 4 4" xfId="31510" xr:uid="{00000000-0005-0000-0000-0000167B0000}"/>
    <cellStyle name="差 3 4 5" xfId="31511" xr:uid="{00000000-0005-0000-0000-0000177B0000}"/>
    <cellStyle name="差 3 4 6" xfId="31512" xr:uid="{00000000-0005-0000-0000-0000187B0000}"/>
    <cellStyle name="差 3 5" xfId="31513" xr:uid="{00000000-0005-0000-0000-0000197B0000}"/>
    <cellStyle name="差 3 5 2" xfId="31514" xr:uid="{00000000-0005-0000-0000-00001A7B0000}"/>
    <cellStyle name="差 3 5 2 2" xfId="31515" xr:uid="{00000000-0005-0000-0000-00001B7B0000}"/>
    <cellStyle name="差 3 5 2 2 2" xfId="31516" xr:uid="{00000000-0005-0000-0000-00001C7B0000}"/>
    <cellStyle name="差 3 5 2 2 2 2" xfId="31517" xr:uid="{00000000-0005-0000-0000-00001D7B0000}"/>
    <cellStyle name="差 3 5 2 3" xfId="31518" xr:uid="{00000000-0005-0000-0000-00001E7B0000}"/>
    <cellStyle name="差 3 5 2 3 2" xfId="31519" xr:uid="{00000000-0005-0000-0000-00001F7B0000}"/>
    <cellStyle name="差 3 5 3" xfId="31520" xr:uid="{00000000-0005-0000-0000-0000207B0000}"/>
    <cellStyle name="差 3 5 3 2" xfId="31521" xr:uid="{00000000-0005-0000-0000-0000217B0000}"/>
    <cellStyle name="差 3 5 3 2 2" xfId="31522" xr:uid="{00000000-0005-0000-0000-0000227B0000}"/>
    <cellStyle name="差 3 5 4" xfId="31523" xr:uid="{00000000-0005-0000-0000-0000237B0000}"/>
    <cellStyle name="差 3 5 4 2" xfId="31524" xr:uid="{00000000-0005-0000-0000-0000247B0000}"/>
    <cellStyle name="差 3 6" xfId="31525" xr:uid="{00000000-0005-0000-0000-0000257B0000}"/>
    <cellStyle name="差 3 6 2" xfId="31526" xr:uid="{00000000-0005-0000-0000-0000267B0000}"/>
    <cellStyle name="差 3 6 2 2" xfId="31527" xr:uid="{00000000-0005-0000-0000-0000277B0000}"/>
    <cellStyle name="差 3 6 2 2 2" xfId="31528" xr:uid="{00000000-0005-0000-0000-0000287B0000}"/>
    <cellStyle name="差 3 6 3" xfId="31529" xr:uid="{00000000-0005-0000-0000-0000297B0000}"/>
    <cellStyle name="差 3 6 3 2" xfId="31530" xr:uid="{00000000-0005-0000-0000-00002A7B0000}"/>
    <cellStyle name="差 3 7" xfId="31531" xr:uid="{00000000-0005-0000-0000-00002B7B0000}"/>
    <cellStyle name="差 3 8" xfId="31532" xr:uid="{00000000-0005-0000-0000-00002C7B0000}"/>
    <cellStyle name="差_报关单" xfId="31533" xr:uid="{00000000-0005-0000-0000-00002D7B0000}"/>
    <cellStyle name="常规 10" xfId="31534" xr:uid="{00000000-0005-0000-0000-00002E7B0000}"/>
    <cellStyle name="常规 10 10" xfId="31535" xr:uid="{00000000-0005-0000-0000-00002F7B0000}"/>
    <cellStyle name="常规 10 10 2" xfId="31536" xr:uid="{00000000-0005-0000-0000-0000307B0000}"/>
    <cellStyle name="常规 10 10 3" xfId="31537" xr:uid="{00000000-0005-0000-0000-0000317B0000}"/>
    <cellStyle name="常规 10 13" xfId="31538" xr:uid="{00000000-0005-0000-0000-0000327B0000}"/>
    <cellStyle name="常规 10 2" xfId="31539" xr:uid="{00000000-0005-0000-0000-0000337B0000}"/>
    <cellStyle name="常规 10 2 2" xfId="31540" xr:uid="{00000000-0005-0000-0000-0000347B0000}"/>
    <cellStyle name="常规 10 2 2 2" xfId="31541" xr:uid="{00000000-0005-0000-0000-0000357B0000}"/>
    <cellStyle name="常规 10 2 2 2 2" xfId="31542" xr:uid="{00000000-0005-0000-0000-0000367B0000}"/>
    <cellStyle name="常规 10 2 2 2 3" xfId="31543" xr:uid="{00000000-0005-0000-0000-0000377B0000}"/>
    <cellStyle name="常规 10 2 2 2 4" xfId="31544" xr:uid="{00000000-0005-0000-0000-0000387B0000}"/>
    <cellStyle name="常规 10 2 2 2 5" xfId="31545" xr:uid="{00000000-0005-0000-0000-0000397B0000}"/>
    <cellStyle name="常规 10 2 2 2 5 2" xfId="31546" xr:uid="{00000000-0005-0000-0000-00003A7B0000}"/>
    <cellStyle name="常规 10 2 2 3" xfId="31547" xr:uid="{00000000-0005-0000-0000-00003B7B0000}"/>
    <cellStyle name="常规 10 2 2 3 2" xfId="31548" xr:uid="{00000000-0005-0000-0000-00003C7B0000}"/>
    <cellStyle name="常规 10 2 2 3 2 2" xfId="31549" xr:uid="{00000000-0005-0000-0000-00003D7B0000}"/>
    <cellStyle name="常规 10 2 2 4" xfId="31550" xr:uid="{00000000-0005-0000-0000-00003E7B0000}"/>
    <cellStyle name="常规 10 2 2 4 2" xfId="31551" xr:uid="{00000000-0005-0000-0000-00003F7B0000}"/>
    <cellStyle name="常规 10 2 2 4 2 2" xfId="31552" xr:uid="{00000000-0005-0000-0000-0000407B0000}"/>
    <cellStyle name="常规 10 2 2 5" xfId="31553" xr:uid="{00000000-0005-0000-0000-0000417B0000}"/>
    <cellStyle name="常规 10 2 2 5 2" xfId="31554" xr:uid="{00000000-0005-0000-0000-0000427B0000}"/>
    <cellStyle name="常规 10 2 2 5 3" xfId="31555" xr:uid="{00000000-0005-0000-0000-0000437B0000}"/>
    <cellStyle name="常规 10 2 2 6" xfId="31556" xr:uid="{00000000-0005-0000-0000-0000447B0000}"/>
    <cellStyle name="常规 10 2 2 6 2" xfId="31557" xr:uid="{00000000-0005-0000-0000-0000457B0000}"/>
    <cellStyle name="常规 10 2 2 7" xfId="31558" xr:uid="{00000000-0005-0000-0000-0000467B0000}"/>
    <cellStyle name="常规 10 2 3" xfId="31559" xr:uid="{00000000-0005-0000-0000-0000477B0000}"/>
    <cellStyle name="常规 10 2 3 2" xfId="31560" xr:uid="{00000000-0005-0000-0000-0000487B0000}"/>
    <cellStyle name="常规 10 2 3 2 2" xfId="31561" xr:uid="{00000000-0005-0000-0000-0000497B0000}"/>
    <cellStyle name="常规 10 2 3 2 3" xfId="31562" xr:uid="{00000000-0005-0000-0000-00004A7B0000}"/>
    <cellStyle name="常规 10 2 3 2 4" xfId="31563" xr:uid="{00000000-0005-0000-0000-00004B7B0000}"/>
    <cellStyle name="常规 10 2 3 3" xfId="31564" xr:uid="{00000000-0005-0000-0000-00004C7B0000}"/>
    <cellStyle name="常规 10 2 3 4" xfId="31565" xr:uid="{00000000-0005-0000-0000-00004D7B0000}"/>
    <cellStyle name="常规 10 2 3 5" xfId="31566" xr:uid="{00000000-0005-0000-0000-00004E7B0000}"/>
    <cellStyle name="常规 10 2 3 6" xfId="31567" xr:uid="{00000000-0005-0000-0000-00004F7B0000}"/>
    <cellStyle name="常规 10 2 3 6 2" xfId="31568" xr:uid="{00000000-0005-0000-0000-0000507B0000}"/>
    <cellStyle name="常规 10 2 4" xfId="31569" xr:uid="{00000000-0005-0000-0000-0000517B0000}"/>
    <cellStyle name="常规 10 2 4 2" xfId="31570" xr:uid="{00000000-0005-0000-0000-0000527B0000}"/>
    <cellStyle name="常规 10 2 4 3" xfId="31571" xr:uid="{00000000-0005-0000-0000-0000537B0000}"/>
    <cellStyle name="常规 10 2 4 4" xfId="31572" xr:uid="{00000000-0005-0000-0000-0000547B0000}"/>
    <cellStyle name="常规 10 2 4 5" xfId="31573" xr:uid="{00000000-0005-0000-0000-0000557B0000}"/>
    <cellStyle name="常规 10 2 4 5 2" xfId="31574" xr:uid="{00000000-0005-0000-0000-0000567B0000}"/>
    <cellStyle name="常规 10 2 5" xfId="31575" xr:uid="{00000000-0005-0000-0000-0000577B0000}"/>
    <cellStyle name="常规 10 2 5 2" xfId="31576" xr:uid="{00000000-0005-0000-0000-0000587B0000}"/>
    <cellStyle name="常规 10 2 5 2 2" xfId="31577" xr:uid="{00000000-0005-0000-0000-0000597B0000}"/>
    <cellStyle name="常规 10 2 6" xfId="31578" xr:uid="{00000000-0005-0000-0000-00005A7B0000}"/>
    <cellStyle name="常规 10 2 6 2" xfId="31579" xr:uid="{00000000-0005-0000-0000-00005B7B0000}"/>
    <cellStyle name="常规 10 2 6 2 2" xfId="31580" xr:uid="{00000000-0005-0000-0000-00005C7B0000}"/>
    <cellStyle name="常规 10 2 7" xfId="31581" xr:uid="{00000000-0005-0000-0000-00005D7B0000}"/>
    <cellStyle name="常规 10 2 7 2" xfId="31582" xr:uid="{00000000-0005-0000-0000-00005E7B0000}"/>
    <cellStyle name="常规 10 2 7 2 2" xfId="31583" xr:uid="{00000000-0005-0000-0000-00005F7B0000}"/>
    <cellStyle name="常规 10 2 8" xfId="31584" xr:uid="{00000000-0005-0000-0000-0000607B0000}"/>
    <cellStyle name="常规 10 2 8 2" xfId="31585" xr:uid="{00000000-0005-0000-0000-0000617B0000}"/>
    <cellStyle name="常规 10 2 8 3" xfId="31586" xr:uid="{00000000-0005-0000-0000-0000627B0000}"/>
    <cellStyle name="常规 10 2 9" xfId="31587" xr:uid="{00000000-0005-0000-0000-0000637B0000}"/>
    <cellStyle name="常规 10 3" xfId="31588" xr:uid="{00000000-0005-0000-0000-0000647B0000}"/>
    <cellStyle name="常规 10 3 2" xfId="31589" xr:uid="{00000000-0005-0000-0000-0000657B0000}"/>
    <cellStyle name="常规 10 3 2 2" xfId="31590" xr:uid="{00000000-0005-0000-0000-0000667B0000}"/>
    <cellStyle name="常规 10 3 2 2 2" xfId="31591" xr:uid="{00000000-0005-0000-0000-0000677B0000}"/>
    <cellStyle name="常规 10 3 2 2 2 2" xfId="31592" xr:uid="{00000000-0005-0000-0000-0000687B0000}"/>
    <cellStyle name="常规 10 3 2 3" xfId="31593" xr:uid="{00000000-0005-0000-0000-0000697B0000}"/>
    <cellStyle name="常规 10 3 2 3 2" xfId="31594" xr:uid="{00000000-0005-0000-0000-00006A7B0000}"/>
    <cellStyle name="常规 10 3 2 3 2 2" xfId="31595" xr:uid="{00000000-0005-0000-0000-00006B7B0000}"/>
    <cellStyle name="常规 10 3 2 4" xfId="31596" xr:uid="{00000000-0005-0000-0000-00006C7B0000}"/>
    <cellStyle name="常规 10 3 2 4 2" xfId="31597" xr:uid="{00000000-0005-0000-0000-00006D7B0000}"/>
    <cellStyle name="常规 10 3 2 4 2 2" xfId="31598" xr:uid="{00000000-0005-0000-0000-00006E7B0000}"/>
    <cellStyle name="常规 10 3 2 5" xfId="31599" xr:uid="{00000000-0005-0000-0000-00006F7B0000}"/>
    <cellStyle name="常规 10 3 2 5 2" xfId="31600" xr:uid="{00000000-0005-0000-0000-0000707B0000}"/>
    <cellStyle name="常规 10 3 2 5 3" xfId="31601" xr:uid="{00000000-0005-0000-0000-0000717B0000}"/>
    <cellStyle name="常规 10 3 2 6" xfId="31602" xr:uid="{00000000-0005-0000-0000-0000727B0000}"/>
    <cellStyle name="常规 10 3 3" xfId="31603" xr:uid="{00000000-0005-0000-0000-0000737B0000}"/>
    <cellStyle name="常规 10 3 3 2" xfId="31604" xr:uid="{00000000-0005-0000-0000-0000747B0000}"/>
    <cellStyle name="常规 10 3 3 2 2" xfId="31605" xr:uid="{00000000-0005-0000-0000-0000757B0000}"/>
    <cellStyle name="常规 10 3 3 2 2 2" xfId="31606" xr:uid="{00000000-0005-0000-0000-0000767B0000}"/>
    <cellStyle name="常规 10 3 3 3" xfId="31607" xr:uid="{00000000-0005-0000-0000-0000777B0000}"/>
    <cellStyle name="常规 10 3 3 3 2" xfId="31608" xr:uid="{00000000-0005-0000-0000-0000787B0000}"/>
    <cellStyle name="常规 10 3 3 3 2 2" xfId="31609" xr:uid="{00000000-0005-0000-0000-0000797B0000}"/>
    <cellStyle name="常规 10 3 3 4" xfId="31610" xr:uid="{00000000-0005-0000-0000-00007A7B0000}"/>
    <cellStyle name="常规 10 3 3 4 2" xfId="31611" xr:uid="{00000000-0005-0000-0000-00007B7B0000}"/>
    <cellStyle name="常规 10 3 3 5" xfId="31612" xr:uid="{00000000-0005-0000-0000-00007C7B0000}"/>
    <cellStyle name="常规 10 3 4" xfId="31613" xr:uid="{00000000-0005-0000-0000-00007D7B0000}"/>
    <cellStyle name="常规 10 3 4 2" xfId="31614" xr:uid="{00000000-0005-0000-0000-00007E7B0000}"/>
    <cellStyle name="常规 10 3 4 2 2" xfId="31615" xr:uid="{00000000-0005-0000-0000-00007F7B0000}"/>
    <cellStyle name="常规 10 3 5" xfId="31616" xr:uid="{00000000-0005-0000-0000-0000807B0000}"/>
    <cellStyle name="常规 10 3 5 2" xfId="31617" xr:uid="{00000000-0005-0000-0000-0000817B0000}"/>
    <cellStyle name="常规 10 3 5 2 2" xfId="31618" xr:uid="{00000000-0005-0000-0000-0000827B0000}"/>
    <cellStyle name="常规 10 3 6" xfId="31619" xr:uid="{00000000-0005-0000-0000-0000837B0000}"/>
    <cellStyle name="常规 10 3 7" xfId="31620" xr:uid="{00000000-0005-0000-0000-0000847B0000}"/>
    <cellStyle name="常规 10 3 7 2" xfId="31621" xr:uid="{00000000-0005-0000-0000-0000857B0000}"/>
    <cellStyle name="常规 10 3 7 3" xfId="31622" xr:uid="{00000000-0005-0000-0000-0000867B0000}"/>
    <cellStyle name="常规 10 3 8" xfId="31623" xr:uid="{00000000-0005-0000-0000-0000877B0000}"/>
    <cellStyle name="常规 10 3 8 2" xfId="31624" xr:uid="{00000000-0005-0000-0000-0000887B0000}"/>
    <cellStyle name="常规 10 4" xfId="31625" xr:uid="{00000000-0005-0000-0000-0000897B0000}"/>
    <cellStyle name="常规 10 4 2" xfId="31626" xr:uid="{00000000-0005-0000-0000-00008A7B0000}"/>
    <cellStyle name="常规 10 4 2 2" xfId="31627" xr:uid="{00000000-0005-0000-0000-00008B7B0000}"/>
    <cellStyle name="常规 10 4 2 3" xfId="31628" xr:uid="{00000000-0005-0000-0000-00008C7B0000}"/>
    <cellStyle name="常规 10 4 2 4" xfId="31629" xr:uid="{00000000-0005-0000-0000-00008D7B0000}"/>
    <cellStyle name="常规 10 4 2 5" xfId="31630" xr:uid="{00000000-0005-0000-0000-00008E7B0000}"/>
    <cellStyle name="常规 10 4 2 5 2" xfId="31631" xr:uid="{00000000-0005-0000-0000-00008F7B0000}"/>
    <cellStyle name="常规 10 4 3" xfId="31632" xr:uid="{00000000-0005-0000-0000-0000907B0000}"/>
    <cellStyle name="常规 10 4 3 2" xfId="31633" xr:uid="{00000000-0005-0000-0000-0000917B0000}"/>
    <cellStyle name="常规 10 4 3 2 2" xfId="31634" xr:uid="{00000000-0005-0000-0000-0000927B0000}"/>
    <cellStyle name="常规 10 4 4" xfId="31635" xr:uid="{00000000-0005-0000-0000-0000937B0000}"/>
    <cellStyle name="常规 10 4 4 2" xfId="31636" xr:uid="{00000000-0005-0000-0000-0000947B0000}"/>
    <cellStyle name="常规 10 4 4 2 2" xfId="31637" xr:uid="{00000000-0005-0000-0000-0000957B0000}"/>
    <cellStyle name="常规 10 4 5" xfId="31638" xr:uid="{00000000-0005-0000-0000-0000967B0000}"/>
    <cellStyle name="常规 10 4 5 2" xfId="31639" xr:uid="{00000000-0005-0000-0000-0000977B0000}"/>
    <cellStyle name="常规 10 4 5 3" xfId="31640" xr:uid="{00000000-0005-0000-0000-0000987B0000}"/>
    <cellStyle name="常规 10 4 6" xfId="31641" xr:uid="{00000000-0005-0000-0000-0000997B0000}"/>
    <cellStyle name="常规 10 4 6 2" xfId="31642" xr:uid="{00000000-0005-0000-0000-00009A7B0000}"/>
    <cellStyle name="常规 10 4 7" xfId="31643" xr:uid="{00000000-0005-0000-0000-00009B7B0000}"/>
    <cellStyle name="常规 10 5" xfId="31644" xr:uid="{00000000-0005-0000-0000-00009C7B0000}"/>
    <cellStyle name="常规 10 5 2" xfId="31645" xr:uid="{00000000-0005-0000-0000-00009D7B0000}"/>
    <cellStyle name="常规 10 5 3" xfId="31646" xr:uid="{00000000-0005-0000-0000-00009E7B0000}"/>
    <cellStyle name="常规 10 5 4" xfId="31647" xr:uid="{00000000-0005-0000-0000-00009F7B0000}"/>
    <cellStyle name="常规 10 5 5" xfId="31648" xr:uid="{00000000-0005-0000-0000-0000A07B0000}"/>
    <cellStyle name="常规 10 5 5 2" xfId="31649" xr:uid="{00000000-0005-0000-0000-0000A17B0000}"/>
    <cellStyle name="常规 10 6" xfId="31650" xr:uid="{00000000-0005-0000-0000-0000A27B0000}"/>
    <cellStyle name="常规 10 6 2" xfId="31651" xr:uid="{00000000-0005-0000-0000-0000A37B0000}"/>
    <cellStyle name="常规 10 6 2 2" xfId="31652" xr:uid="{00000000-0005-0000-0000-0000A47B0000}"/>
    <cellStyle name="常规 10 7" xfId="31653" xr:uid="{00000000-0005-0000-0000-0000A57B0000}"/>
    <cellStyle name="常规 10 7 2" xfId="31654" xr:uid="{00000000-0005-0000-0000-0000A67B0000}"/>
    <cellStyle name="常规 10 7 2 2" xfId="31655" xr:uid="{00000000-0005-0000-0000-0000A77B0000}"/>
    <cellStyle name="常规 10 8" xfId="31656" xr:uid="{00000000-0005-0000-0000-0000A87B0000}"/>
    <cellStyle name="常规 10 8 2" xfId="31657" xr:uid="{00000000-0005-0000-0000-0000A97B0000}"/>
    <cellStyle name="常规 10 8 2 2" xfId="31658" xr:uid="{00000000-0005-0000-0000-0000AA7B0000}"/>
    <cellStyle name="常规 10 9" xfId="31659" xr:uid="{00000000-0005-0000-0000-0000AB7B0000}"/>
    <cellStyle name="常规 10 9 2" xfId="31660" xr:uid="{00000000-0005-0000-0000-0000AC7B0000}"/>
    <cellStyle name="常规 10 9 3" xfId="31661" xr:uid="{00000000-0005-0000-0000-0000AD7B0000}"/>
    <cellStyle name="常规 11" xfId="31662" xr:uid="{00000000-0005-0000-0000-0000AE7B0000}"/>
    <cellStyle name="常规 11 10" xfId="31663" xr:uid="{00000000-0005-0000-0000-0000AF7B0000}"/>
    <cellStyle name="常规 11 2" xfId="31664" xr:uid="{00000000-0005-0000-0000-0000B07B0000}"/>
    <cellStyle name="常规 11 2 2" xfId="31665" xr:uid="{00000000-0005-0000-0000-0000B17B0000}"/>
    <cellStyle name="常规 11 2 2 2" xfId="31666" xr:uid="{00000000-0005-0000-0000-0000B27B0000}"/>
    <cellStyle name="常规 11 2 2 2 2" xfId="31667" xr:uid="{00000000-0005-0000-0000-0000B37B0000}"/>
    <cellStyle name="常规 11 2 2 2 3" xfId="31668" xr:uid="{00000000-0005-0000-0000-0000B47B0000}"/>
    <cellStyle name="常规 11 2 2 2 4" xfId="31669" xr:uid="{00000000-0005-0000-0000-0000B57B0000}"/>
    <cellStyle name="常规 11 2 2 2 5" xfId="31670" xr:uid="{00000000-0005-0000-0000-0000B67B0000}"/>
    <cellStyle name="常规 11 2 2 2 5 2" xfId="31671" xr:uid="{00000000-0005-0000-0000-0000B77B0000}"/>
    <cellStyle name="常规 11 2 2 3" xfId="31672" xr:uid="{00000000-0005-0000-0000-0000B87B0000}"/>
    <cellStyle name="常规 11 2 2 3 2" xfId="31673" xr:uid="{00000000-0005-0000-0000-0000B97B0000}"/>
    <cellStyle name="常规 11 2 2 3 2 2" xfId="31674" xr:uid="{00000000-0005-0000-0000-0000BA7B0000}"/>
    <cellStyle name="常规 11 2 2 4" xfId="31675" xr:uid="{00000000-0005-0000-0000-0000BB7B0000}"/>
    <cellStyle name="常规 11 2 2 4 2" xfId="31676" xr:uid="{00000000-0005-0000-0000-0000BC7B0000}"/>
    <cellStyle name="常规 11 2 2 4 2 2" xfId="31677" xr:uid="{00000000-0005-0000-0000-0000BD7B0000}"/>
    <cellStyle name="常规 11 2 2 5" xfId="31678" xr:uid="{00000000-0005-0000-0000-0000BE7B0000}"/>
    <cellStyle name="常规 11 2 2 5 2" xfId="31679" xr:uid="{00000000-0005-0000-0000-0000BF7B0000}"/>
    <cellStyle name="常规 11 2 2 5 3" xfId="31680" xr:uid="{00000000-0005-0000-0000-0000C07B0000}"/>
    <cellStyle name="常规 11 2 2 6" xfId="31681" xr:uid="{00000000-0005-0000-0000-0000C17B0000}"/>
    <cellStyle name="常规 11 2 2 6 2" xfId="31682" xr:uid="{00000000-0005-0000-0000-0000C27B0000}"/>
    <cellStyle name="常规 11 2 2 7" xfId="31683" xr:uid="{00000000-0005-0000-0000-0000C37B0000}"/>
    <cellStyle name="常规 11 2 3" xfId="31684" xr:uid="{00000000-0005-0000-0000-0000C47B0000}"/>
    <cellStyle name="常规 11 2 3 2" xfId="31685" xr:uid="{00000000-0005-0000-0000-0000C57B0000}"/>
    <cellStyle name="常规 11 2 3 2 2" xfId="31686" xr:uid="{00000000-0005-0000-0000-0000C67B0000}"/>
    <cellStyle name="常规 11 2 3 2 3" xfId="31687" xr:uid="{00000000-0005-0000-0000-0000C77B0000}"/>
    <cellStyle name="常规 11 2 3 2 4" xfId="31688" xr:uid="{00000000-0005-0000-0000-0000C87B0000}"/>
    <cellStyle name="常规 11 2 3 3" xfId="31689" xr:uid="{00000000-0005-0000-0000-0000C97B0000}"/>
    <cellStyle name="常规 11 2 3 4" xfId="31690" xr:uid="{00000000-0005-0000-0000-0000CA7B0000}"/>
    <cellStyle name="常规 11 2 3 5" xfId="31691" xr:uid="{00000000-0005-0000-0000-0000CB7B0000}"/>
    <cellStyle name="常规 11 2 3 6" xfId="31692" xr:uid="{00000000-0005-0000-0000-0000CC7B0000}"/>
    <cellStyle name="常规 11 2 3 6 2" xfId="31693" xr:uid="{00000000-0005-0000-0000-0000CD7B0000}"/>
    <cellStyle name="常规 11 2 4" xfId="31694" xr:uid="{00000000-0005-0000-0000-0000CE7B0000}"/>
    <cellStyle name="常规 11 2 4 2" xfId="31695" xr:uid="{00000000-0005-0000-0000-0000CF7B0000}"/>
    <cellStyle name="常规 11 2 4 3" xfId="31696" xr:uid="{00000000-0005-0000-0000-0000D07B0000}"/>
    <cellStyle name="常规 11 2 4 4" xfId="31697" xr:uid="{00000000-0005-0000-0000-0000D17B0000}"/>
    <cellStyle name="常规 11 2 4 5" xfId="31698" xr:uid="{00000000-0005-0000-0000-0000D27B0000}"/>
    <cellStyle name="常规 11 2 4 5 2" xfId="31699" xr:uid="{00000000-0005-0000-0000-0000D37B0000}"/>
    <cellStyle name="常规 11 2 5" xfId="31700" xr:uid="{00000000-0005-0000-0000-0000D47B0000}"/>
    <cellStyle name="常规 11 2 5 2" xfId="31701" xr:uid="{00000000-0005-0000-0000-0000D57B0000}"/>
    <cellStyle name="常规 11 2 5 2 2" xfId="31702" xr:uid="{00000000-0005-0000-0000-0000D67B0000}"/>
    <cellStyle name="常规 11 2 6" xfId="31703" xr:uid="{00000000-0005-0000-0000-0000D77B0000}"/>
    <cellStyle name="常规 11 2 6 2" xfId="31704" xr:uid="{00000000-0005-0000-0000-0000D87B0000}"/>
    <cellStyle name="常规 11 2 6 2 2" xfId="31705" xr:uid="{00000000-0005-0000-0000-0000D97B0000}"/>
    <cellStyle name="常规 11 2 7" xfId="31706" xr:uid="{00000000-0005-0000-0000-0000DA7B0000}"/>
    <cellStyle name="常规 11 2 7 2" xfId="31707" xr:uid="{00000000-0005-0000-0000-0000DB7B0000}"/>
    <cellStyle name="常规 11 2 7 2 2" xfId="31708" xr:uid="{00000000-0005-0000-0000-0000DC7B0000}"/>
    <cellStyle name="常规 11 2 8" xfId="31709" xr:uid="{00000000-0005-0000-0000-0000DD7B0000}"/>
    <cellStyle name="常规 11 2 8 2" xfId="31710" xr:uid="{00000000-0005-0000-0000-0000DE7B0000}"/>
    <cellStyle name="常规 11 2 8 3" xfId="31711" xr:uid="{00000000-0005-0000-0000-0000DF7B0000}"/>
    <cellStyle name="常规 11 2 9" xfId="31712" xr:uid="{00000000-0005-0000-0000-0000E07B0000}"/>
    <cellStyle name="常规 11 3" xfId="31713" xr:uid="{00000000-0005-0000-0000-0000E17B0000}"/>
    <cellStyle name="常规 11 3 2" xfId="31714" xr:uid="{00000000-0005-0000-0000-0000E27B0000}"/>
    <cellStyle name="常规 11 3 2 2" xfId="31715" xr:uid="{00000000-0005-0000-0000-0000E37B0000}"/>
    <cellStyle name="常规 11 3 2 2 2" xfId="31716" xr:uid="{00000000-0005-0000-0000-0000E47B0000}"/>
    <cellStyle name="常规 11 3 2 2 2 2" xfId="31717" xr:uid="{00000000-0005-0000-0000-0000E57B0000}"/>
    <cellStyle name="常规 11 3 2 3" xfId="31718" xr:uid="{00000000-0005-0000-0000-0000E67B0000}"/>
    <cellStyle name="常规 11 3 2 3 2" xfId="31719" xr:uid="{00000000-0005-0000-0000-0000E77B0000}"/>
    <cellStyle name="常规 11 3 2 3 2 2" xfId="31720" xr:uid="{00000000-0005-0000-0000-0000E87B0000}"/>
    <cellStyle name="常规 11 3 2 4" xfId="31721" xr:uid="{00000000-0005-0000-0000-0000E97B0000}"/>
    <cellStyle name="常规 11 3 2 4 2" xfId="31722" xr:uid="{00000000-0005-0000-0000-0000EA7B0000}"/>
    <cellStyle name="常规 11 3 2 4 2 2" xfId="31723" xr:uid="{00000000-0005-0000-0000-0000EB7B0000}"/>
    <cellStyle name="常规 11 3 2 5" xfId="31724" xr:uid="{00000000-0005-0000-0000-0000EC7B0000}"/>
    <cellStyle name="常规 11 3 2 5 2" xfId="31725" xr:uid="{00000000-0005-0000-0000-0000ED7B0000}"/>
    <cellStyle name="常规 11 3 2 5 3" xfId="31726" xr:uid="{00000000-0005-0000-0000-0000EE7B0000}"/>
    <cellStyle name="常规 11 3 2 6" xfId="31727" xr:uid="{00000000-0005-0000-0000-0000EF7B0000}"/>
    <cellStyle name="常规 11 3 3" xfId="31728" xr:uid="{00000000-0005-0000-0000-0000F07B0000}"/>
    <cellStyle name="常规 11 3 3 2" xfId="31729" xr:uid="{00000000-0005-0000-0000-0000F17B0000}"/>
    <cellStyle name="常规 11 3 3 2 2" xfId="31730" xr:uid="{00000000-0005-0000-0000-0000F27B0000}"/>
    <cellStyle name="常规 11 3 3 2 2 2" xfId="31731" xr:uid="{00000000-0005-0000-0000-0000F37B0000}"/>
    <cellStyle name="常规 11 3 3 3" xfId="31732" xr:uid="{00000000-0005-0000-0000-0000F47B0000}"/>
    <cellStyle name="常规 11 3 3 3 2" xfId="31733" xr:uid="{00000000-0005-0000-0000-0000F57B0000}"/>
    <cellStyle name="常规 11 3 3 3 2 2" xfId="31734" xr:uid="{00000000-0005-0000-0000-0000F67B0000}"/>
    <cellStyle name="常规 11 3 3 4" xfId="31735" xr:uid="{00000000-0005-0000-0000-0000F77B0000}"/>
    <cellStyle name="常规 11 3 3 4 2" xfId="31736" xr:uid="{00000000-0005-0000-0000-0000F87B0000}"/>
    <cellStyle name="常规 11 3 3 5" xfId="31737" xr:uid="{00000000-0005-0000-0000-0000F97B0000}"/>
    <cellStyle name="常规 11 3 4" xfId="31738" xr:uid="{00000000-0005-0000-0000-0000FA7B0000}"/>
    <cellStyle name="常规 11 3 4 2" xfId="31739" xr:uid="{00000000-0005-0000-0000-0000FB7B0000}"/>
    <cellStyle name="常规 11 3 4 2 2" xfId="31740" xr:uid="{00000000-0005-0000-0000-0000FC7B0000}"/>
    <cellStyle name="常规 11 3 5" xfId="31741" xr:uid="{00000000-0005-0000-0000-0000FD7B0000}"/>
    <cellStyle name="常规 11 3 5 2" xfId="31742" xr:uid="{00000000-0005-0000-0000-0000FE7B0000}"/>
    <cellStyle name="常规 11 3 5 2 2" xfId="31743" xr:uid="{00000000-0005-0000-0000-0000FF7B0000}"/>
    <cellStyle name="常规 11 3 6" xfId="31744" xr:uid="{00000000-0005-0000-0000-0000007C0000}"/>
    <cellStyle name="常规 11 3 7" xfId="31745" xr:uid="{00000000-0005-0000-0000-0000017C0000}"/>
    <cellStyle name="常规 11 3 7 2" xfId="31746" xr:uid="{00000000-0005-0000-0000-0000027C0000}"/>
    <cellStyle name="常规 11 3 7 3" xfId="31747" xr:uid="{00000000-0005-0000-0000-0000037C0000}"/>
    <cellStyle name="常规 11 3 8" xfId="31748" xr:uid="{00000000-0005-0000-0000-0000047C0000}"/>
    <cellStyle name="常规 11 3 8 2" xfId="31749" xr:uid="{00000000-0005-0000-0000-0000057C0000}"/>
    <cellStyle name="常规 11 4" xfId="31750" xr:uid="{00000000-0005-0000-0000-0000067C0000}"/>
    <cellStyle name="常规 11 4 2" xfId="31751" xr:uid="{00000000-0005-0000-0000-0000077C0000}"/>
    <cellStyle name="常规 11 4 2 2" xfId="31752" xr:uid="{00000000-0005-0000-0000-0000087C0000}"/>
    <cellStyle name="常规 11 4 2 2 2" xfId="31753" xr:uid="{00000000-0005-0000-0000-0000097C0000}"/>
    <cellStyle name="常规 11 4 2 2 2 2" xfId="31754" xr:uid="{00000000-0005-0000-0000-00000A7C0000}"/>
    <cellStyle name="常规 11 4 2 2 3" xfId="31755" xr:uid="{00000000-0005-0000-0000-00000B7C0000}"/>
    <cellStyle name="常规 11 4 2 3" xfId="31756" xr:uid="{00000000-0005-0000-0000-00000C7C0000}"/>
    <cellStyle name="常规 11 4 2 3 2" xfId="31757" xr:uid="{00000000-0005-0000-0000-00000D7C0000}"/>
    <cellStyle name="常规 11 4 2 3 2 2" xfId="31758" xr:uid="{00000000-0005-0000-0000-00000E7C0000}"/>
    <cellStyle name="常规 11 4 2 4" xfId="31759" xr:uid="{00000000-0005-0000-0000-00000F7C0000}"/>
    <cellStyle name="常规 11 4 2 4 2" xfId="31760" xr:uid="{00000000-0005-0000-0000-0000107C0000}"/>
    <cellStyle name="常规 11 4 2 4 3" xfId="31761" xr:uid="{00000000-0005-0000-0000-0000117C0000}"/>
    <cellStyle name="常规 11 4 2 5" xfId="31762" xr:uid="{00000000-0005-0000-0000-0000127C0000}"/>
    <cellStyle name="常规 11 4 2 5 2" xfId="31763" xr:uid="{00000000-0005-0000-0000-0000137C0000}"/>
    <cellStyle name="常规 11 4 2 6" xfId="31764" xr:uid="{00000000-0005-0000-0000-0000147C0000}"/>
    <cellStyle name="常规 11 4 3" xfId="31765" xr:uid="{00000000-0005-0000-0000-0000157C0000}"/>
    <cellStyle name="常规 11 4 3 2" xfId="31766" xr:uid="{00000000-0005-0000-0000-0000167C0000}"/>
    <cellStyle name="常规 11 4 3 2 2" xfId="31767" xr:uid="{00000000-0005-0000-0000-0000177C0000}"/>
    <cellStyle name="常规 11 4 4" xfId="31768" xr:uid="{00000000-0005-0000-0000-0000187C0000}"/>
    <cellStyle name="常规 11 4 4 2" xfId="31769" xr:uid="{00000000-0005-0000-0000-0000197C0000}"/>
    <cellStyle name="常规 11 4 4 2 2" xfId="31770" xr:uid="{00000000-0005-0000-0000-00001A7C0000}"/>
    <cellStyle name="常规 11 4 5" xfId="31771" xr:uid="{00000000-0005-0000-0000-00001B7C0000}"/>
    <cellStyle name="常规 11 4 5 2" xfId="31772" xr:uid="{00000000-0005-0000-0000-00001C7C0000}"/>
    <cellStyle name="常规 11 4 5 2 2" xfId="31773" xr:uid="{00000000-0005-0000-0000-00001D7C0000}"/>
    <cellStyle name="常规 11 4 6" xfId="31774" xr:uid="{00000000-0005-0000-0000-00001E7C0000}"/>
    <cellStyle name="常规 11 4 6 2" xfId="31775" xr:uid="{00000000-0005-0000-0000-00001F7C0000}"/>
    <cellStyle name="常规 11 4 6 3" xfId="31776" xr:uid="{00000000-0005-0000-0000-0000207C0000}"/>
    <cellStyle name="常规 11 4 7" xfId="31777" xr:uid="{00000000-0005-0000-0000-0000217C0000}"/>
    <cellStyle name="常规 11 5" xfId="31778" xr:uid="{00000000-0005-0000-0000-0000227C0000}"/>
    <cellStyle name="常规 11 5 2" xfId="31779" xr:uid="{00000000-0005-0000-0000-0000237C0000}"/>
    <cellStyle name="常规 11 5 2 2" xfId="31780" xr:uid="{00000000-0005-0000-0000-0000247C0000}"/>
    <cellStyle name="常规 11 5 2 2 2" xfId="31781" xr:uid="{00000000-0005-0000-0000-0000257C0000}"/>
    <cellStyle name="常规 11 5 2 3" xfId="31782" xr:uid="{00000000-0005-0000-0000-0000267C0000}"/>
    <cellStyle name="常规 11 5 3" xfId="31783" xr:uid="{00000000-0005-0000-0000-0000277C0000}"/>
    <cellStyle name="常规 11 5 3 2" xfId="31784" xr:uid="{00000000-0005-0000-0000-0000287C0000}"/>
    <cellStyle name="常规 11 5 3 2 2" xfId="31785" xr:uid="{00000000-0005-0000-0000-0000297C0000}"/>
    <cellStyle name="常规 11 5 4" xfId="31786" xr:uid="{00000000-0005-0000-0000-00002A7C0000}"/>
    <cellStyle name="常规 11 5 4 2" xfId="31787" xr:uid="{00000000-0005-0000-0000-00002B7C0000}"/>
    <cellStyle name="常规 11 5 4 3" xfId="31788" xr:uid="{00000000-0005-0000-0000-00002C7C0000}"/>
    <cellStyle name="常规 11 5 5" xfId="31789" xr:uid="{00000000-0005-0000-0000-00002D7C0000}"/>
    <cellStyle name="常规 11 5 5 2" xfId="31790" xr:uid="{00000000-0005-0000-0000-00002E7C0000}"/>
    <cellStyle name="常规 11 5 6" xfId="31791" xr:uid="{00000000-0005-0000-0000-00002F7C0000}"/>
    <cellStyle name="常规 11 6" xfId="31792" xr:uid="{00000000-0005-0000-0000-0000307C0000}"/>
    <cellStyle name="常规 11 6 2" xfId="31793" xr:uid="{00000000-0005-0000-0000-0000317C0000}"/>
    <cellStyle name="常规 11 6 2 2" xfId="31794" xr:uid="{00000000-0005-0000-0000-0000327C0000}"/>
    <cellStyle name="常规 11 7" xfId="31795" xr:uid="{00000000-0005-0000-0000-0000337C0000}"/>
    <cellStyle name="常规 11 7 2" xfId="31796" xr:uid="{00000000-0005-0000-0000-0000347C0000}"/>
    <cellStyle name="常规 11 7 2 2" xfId="31797" xr:uid="{00000000-0005-0000-0000-0000357C0000}"/>
    <cellStyle name="常规 11 8" xfId="31798" xr:uid="{00000000-0005-0000-0000-0000367C0000}"/>
    <cellStyle name="常规 11 8 2" xfId="31799" xr:uid="{00000000-0005-0000-0000-0000377C0000}"/>
    <cellStyle name="常规 11 8 2 2" xfId="31800" xr:uid="{00000000-0005-0000-0000-0000387C0000}"/>
    <cellStyle name="常规 11 9" xfId="31801" xr:uid="{00000000-0005-0000-0000-0000397C0000}"/>
    <cellStyle name="常规 11 9 2" xfId="31802" xr:uid="{00000000-0005-0000-0000-00003A7C0000}"/>
    <cellStyle name="常规 11 9 3" xfId="31803" xr:uid="{00000000-0005-0000-0000-00003B7C0000}"/>
    <cellStyle name="常规 12" xfId="31804" xr:uid="{00000000-0005-0000-0000-00003C7C0000}"/>
    <cellStyle name="常规 12 10" xfId="31805" xr:uid="{00000000-0005-0000-0000-00003D7C0000}"/>
    <cellStyle name="常规 12 10 2" xfId="31806" xr:uid="{00000000-0005-0000-0000-00003E7C0000}"/>
    <cellStyle name="常规 12 11" xfId="31807" xr:uid="{00000000-0005-0000-0000-00003F7C0000}"/>
    <cellStyle name="常规 12 2" xfId="31808" xr:uid="{00000000-0005-0000-0000-0000407C0000}"/>
    <cellStyle name="常规 12 2 10" xfId="31809" xr:uid="{00000000-0005-0000-0000-0000417C0000}"/>
    <cellStyle name="常规 12 2 2" xfId="31810" xr:uid="{00000000-0005-0000-0000-0000427C0000}"/>
    <cellStyle name="常规 12 2 2 2" xfId="31811" xr:uid="{00000000-0005-0000-0000-0000437C0000}"/>
    <cellStyle name="常规 12 2 2 2 2" xfId="31812" xr:uid="{00000000-0005-0000-0000-0000447C0000}"/>
    <cellStyle name="常规 12 2 2 2 2 2" xfId="31813" xr:uid="{00000000-0005-0000-0000-0000457C0000}"/>
    <cellStyle name="常规 12 2 2 2 2 3" xfId="31814" xr:uid="{00000000-0005-0000-0000-0000467C0000}"/>
    <cellStyle name="常规 12 2 2 2 2 4" xfId="31815" xr:uid="{00000000-0005-0000-0000-0000477C0000}"/>
    <cellStyle name="常规 12 2 2 2 3" xfId="31816" xr:uid="{00000000-0005-0000-0000-0000487C0000}"/>
    <cellStyle name="常规 12 2 2 2 4" xfId="31817" xr:uid="{00000000-0005-0000-0000-0000497C0000}"/>
    <cellStyle name="常规 12 2 2 2 5" xfId="31818" xr:uid="{00000000-0005-0000-0000-00004A7C0000}"/>
    <cellStyle name="常规 12 2 2 3" xfId="31819" xr:uid="{00000000-0005-0000-0000-00004B7C0000}"/>
    <cellStyle name="常规 12 2 2 3 2" xfId="31820" xr:uid="{00000000-0005-0000-0000-00004C7C0000}"/>
    <cellStyle name="常规 12 2 2 3 2 2" xfId="31821" xr:uid="{00000000-0005-0000-0000-00004D7C0000}"/>
    <cellStyle name="常规 12 2 2 3 2 3" xfId="31822" xr:uid="{00000000-0005-0000-0000-00004E7C0000}"/>
    <cellStyle name="常规 12 2 2 3 2 4" xfId="31823" xr:uid="{00000000-0005-0000-0000-00004F7C0000}"/>
    <cellStyle name="常规 12 2 2 3 3" xfId="31824" xr:uid="{00000000-0005-0000-0000-0000507C0000}"/>
    <cellStyle name="常规 12 2 2 3 4" xfId="31825" xr:uid="{00000000-0005-0000-0000-0000517C0000}"/>
    <cellStyle name="常规 12 2 2 3 5" xfId="31826" xr:uid="{00000000-0005-0000-0000-0000527C0000}"/>
    <cellStyle name="常规 12 2 2 4" xfId="31827" xr:uid="{00000000-0005-0000-0000-0000537C0000}"/>
    <cellStyle name="常规 12 2 2 4 2" xfId="31828" xr:uid="{00000000-0005-0000-0000-0000547C0000}"/>
    <cellStyle name="常规 12 2 2 4 3" xfId="31829" xr:uid="{00000000-0005-0000-0000-0000557C0000}"/>
    <cellStyle name="常规 12 2 2 4 4" xfId="31830" xr:uid="{00000000-0005-0000-0000-0000567C0000}"/>
    <cellStyle name="常规 12 2 2 5" xfId="31831" xr:uid="{00000000-0005-0000-0000-0000577C0000}"/>
    <cellStyle name="常规 12 2 2 6" xfId="31832" xr:uid="{00000000-0005-0000-0000-0000587C0000}"/>
    <cellStyle name="常规 12 2 2 7" xfId="31833" xr:uid="{00000000-0005-0000-0000-0000597C0000}"/>
    <cellStyle name="常规 12 2 2 8" xfId="31834" xr:uid="{00000000-0005-0000-0000-00005A7C0000}"/>
    <cellStyle name="常规 12 2 2 8 2" xfId="31835" xr:uid="{00000000-0005-0000-0000-00005B7C0000}"/>
    <cellStyle name="常规 12 2 3" xfId="31836" xr:uid="{00000000-0005-0000-0000-00005C7C0000}"/>
    <cellStyle name="常规 12 2 3 2" xfId="31837" xr:uid="{00000000-0005-0000-0000-00005D7C0000}"/>
    <cellStyle name="常规 12 2 3 2 2" xfId="31838" xr:uid="{00000000-0005-0000-0000-00005E7C0000}"/>
    <cellStyle name="常规 12 2 3 2 3" xfId="31839" xr:uid="{00000000-0005-0000-0000-00005F7C0000}"/>
    <cellStyle name="常规 12 2 3 2 4" xfId="31840" xr:uid="{00000000-0005-0000-0000-0000607C0000}"/>
    <cellStyle name="常规 12 2 3 3" xfId="31841" xr:uid="{00000000-0005-0000-0000-0000617C0000}"/>
    <cellStyle name="常规 12 2 3 4" xfId="31842" xr:uid="{00000000-0005-0000-0000-0000627C0000}"/>
    <cellStyle name="常规 12 2 3 5" xfId="31843" xr:uid="{00000000-0005-0000-0000-0000637C0000}"/>
    <cellStyle name="常规 12 2 3 6" xfId="31844" xr:uid="{00000000-0005-0000-0000-0000647C0000}"/>
    <cellStyle name="常规 12 2 3 6 2" xfId="31845" xr:uid="{00000000-0005-0000-0000-0000657C0000}"/>
    <cellStyle name="常规 12 2 4" xfId="31846" xr:uid="{00000000-0005-0000-0000-0000667C0000}"/>
    <cellStyle name="常规 12 2 4 2" xfId="31847" xr:uid="{00000000-0005-0000-0000-0000677C0000}"/>
    <cellStyle name="常规 12 2 4 2 2" xfId="31848" xr:uid="{00000000-0005-0000-0000-0000687C0000}"/>
    <cellStyle name="常规 12 2 4 2 3" xfId="31849" xr:uid="{00000000-0005-0000-0000-0000697C0000}"/>
    <cellStyle name="常规 12 2 4 2 4" xfId="31850" xr:uid="{00000000-0005-0000-0000-00006A7C0000}"/>
    <cellStyle name="常规 12 2 4 2 5" xfId="31851" xr:uid="{00000000-0005-0000-0000-00006B7C0000}"/>
    <cellStyle name="常规 12 2 4 3" xfId="31852" xr:uid="{00000000-0005-0000-0000-00006C7C0000}"/>
    <cellStyle name="常规 12 2 4 4" xfId="31853" xr:uid="{00000000-0005-0000-0000-00006D7C0000}"/>
    <cellStyle name="常规 12 2 4 5" xfId="31854" xr:uid="{00000000-0005-0000-0000-00006E7C0000}"/>
    <cellStyle name="常规 12 2 4 6" xfId="31855" xr:uid="{00000000-0005-0000-0000-00006F7C0000}"/>
    <cellStyle name="常规 12 2 5" xfId="31856" xr:uid="{00000000-0005-0000-0000-0000707C0000}"/>
    <cellStyle name="常规 12 2 5 2" xfId="31857" xr:uid="{00000000-0005-0000-0000-0000717C0000}"/>
    <cellStyle name="常规 12 2 5 2 2" xfId="31858" xr:uid="{00000000-0005-0000-0000-0000727C0000}"/>
    <cellStyle name="常规 12 2 5 3" xfId="31859" xr:uid="{00000000-0005-0000-0000-0000737C0000}"/>
    <cellStyle name="常规 12 2 5 4" xfId="31860" xr:uid="{00000000-0005-0000-0000-0000747C0000}"/>
    <cellStyle name="常规 12 2 5 5" xfId="31861" xr:uid="{00000000-0005-0000-0000-0000757C0000}"/>
    <cellStyle name="常规 12 2 6" xfId="31862" xr:uid="{00000000-0005-0000-0000-0000767C0000}"/>
    <cellStyle name="常规 12 2 7" xfId="31863" xr:uid="{00000000-0005-0000-0000-0000777C0000}"/>
    <cellStyle name="常规 12 2 8" xfId="31864" xr:uid="{00000000-0005-0000-0000-0000787C0000}"/>
    <cellStyle name="常规 12 2 9" xfId="31865" xr:uid="{00000000-0005-0000-0000-0000797C0000}"/>
    <cellStyle name="常规 12 2 9 2" xfId="31866" xr:uid="{00000000-0005-0000-0000-00007A7C0000}"/>
    <cellStyle name="常规 12 3" xfId="31867" xr:uid="{00000000-0005-0000-0000-00007B7C0000}"/>
    <cellStyle name="常规 12 3 2" xfId="31868" xr:uid="{00000000-0005-0000-0000-00007C7C0000}"/>
    <cellStyle name="常规 12 3 2 2" xfId="31869" xr:uid="{00000000-0005-0000-0000-00007D7C0000}"/>
    <cellStyle name="常规 12 3 2 2 2" xfId="31870" xr:uid="{00000000-0005-0000-0000-00007E7C0000}"/>
    <cellStyle name="常规 12 3 2 2 3" xfId="31871" xr:uid="{00000000-0005-0000-0000-00007F7C0000}"/>
    <cellStyle name="常规 12 3 2 2 4" xfId="31872" xr:uid="{00000000-0005-0000-0000-0000807C0000}"/>
    <cellStyle name="常规 12 3 2 2 5" xfId="31873" xr:uid="{00000000-0005-0000-0000-0000817C0000}"/>
    <cellStyle name="常规 12 3 2 3" xfId="31874" xr:uid="{00000000-0005-0000-0000-0000827C0000}"/>
    <cellStyle name="常规 12 3 2 4" xfId="31875" xr:uid="{00000000-0005-0000-0000-0000837C0000}"/>
    <cellStyle name="常规 12 3 2 5" xfId="31876" xr:uid="{00000000-0005-0000-0000-0000847C0000}"/>
    <cellStyle name="常规 12 3 2 6" xfId="31877" xr:uid="{00000000-0005-0000-0000-0000857C0000}"/>
    <cellStyle name="常规 12 3 2 6 2" xfId="31878" xr:uid="{00000000-0005-0000-0000-0000867C0000}"/>
    <cellStyle name="常规 12 3 2 7" xfId="31879" xr:uid="{00000000-0005-0000-0000-0000877C0000}"/>
    <cellStyle name="常规 12 3 3" xfId="31880" xr:uid="{00000000-0005-0000-0000-0000887C0000}"/>
    <cellStyle name="常规 12 3 3 2" xfId="31881" xr:uid="{00000000-0005-0000-0000-0000897C0000}"/>
    <cellStyle name="常规 12 3 3 2 2" xfId="31882" xr:uid="{00000000-0005-0000-0000-00008A7C0000}"/>
    <cellStyle name="常规 12 3 3 2 3" xfId="31883" xr:uid="{00000000-0005-0000-0000-00008B7C0000}"/>
    <cellStyle name="常规 12 3 3 2 4" xfId="31884" xr:uid="{00000000-0005-0000-0000-00008C7C0000}"/>
    <cellStyle name="常规 12 3 3 2 5" xfId="31885" xr:uid="{00000000-0005-0000-0000-00008D7C0000}"/>
    <cellStyle name="常规 12 3 3 3" xfId="31886" xr:uid="{00000000-0005-0000-0000-00008E7C0000}"/>
    <cellStyle name="常规 12 3 3 4" xfId="31887" xr:uid="{00000000-0005-0000-0000-00008F7C0000}"/>
    <cellStyle name="常规 12 3 3 5" xfId="31888" xr:uid="{00000000-0005-0000-0000-0000907C0000}"/>
    <cellStyle name="常规 12 3 3 6" xfId="31889" xr:uid="{00000000-0005-0000-0000-0000917C0000}"/>
    <cellStyle name="常规 12 3 4" xfId="31890" xr:uid="{00000000-0005-0000-0000-0000927C0000}"/>
    <cellStyle name="常规 12 3 4 2" xfId="31891" xr:uid="{00000000-0005-0000-0000-0000937C0000}"/>
    <cellStyle name="常规 12 3 4 2 2" xfId="31892" xr:uid="{00000000-0005-0000-0000-0000947C0000}"/>
    <cellStyle name="常规 12 3 4 3" xfId="31893" xr:uid="{00000000-0005-0000-0000-0000957C0000}"/>
    <cellStyle name="常规 12 3 4 4" xfId="31894" xr:uid="{00000000-0005-0000-0000-0000967C0000}"/>
    <cellStyle name="常规 12 3 4 5" xfId="31895" xr:uid="{00000000-0005-0000-0000-0000977C0000}"/>
    <cellStyle name="常规 12 3 5" xfId="31896" xr:uid="{00000000-0005-0000-0000-0000987C0000}"/>
    <cellStyle name="常规 12 3 5 2" xfId="31897" xr:uid="{00000000-0005-0000-0000-0000997C0000}"/>
    <cellStyle name="常规 12 3 6" xfId="31898" xr:uid="{00000000-0005-0000-0000-00009A7C0000}"/>
    <cellStyle name="常规 12 3 7" xfId="31899" xr:uid="{00000000-0005-0000-0000-00009B7C0000}"/>
    <cellStyle name="常规 12 3 8" xfId="31900" xr:uid="{00000000-0005-0000-0000-00009C7C0000}"/>
    <cellStyle name="常规 12 3 8 2" xfId="31901" xr:uid="{00000000-0005-0000-0000-00009D7C0000}"/>
    <cellStyle name="常规 12 3 9" xfId="31902" xr:uid="{00000000-0005-0000-0000-00009E7C0000}"/>
    <cellStyle name="常规 12 4" xfId="31903" xr:uid="{00000000-0005-0000-0000-00009F7C0000}"/>
    <cellStyle name="常规 12 4 2" xfId="31904" xr:uid="{00000000-0005-0000-0000-0000A07C0000}"/>
    <cellStyle name="常规 12 4 2 2" xfId="31905" xr:uid="{00000000-0005-0000-0000-0000A17C0000}"/>
    <cellStyle name="常规 12 4 2 3" xfId="31906" xr:uid="{00000000-0005-0000-0000-0000A27C0000}"/>
    <cellStyle name="常规 12 4 2 4" xfId="31907" xr:uid="{00000000-0005-0000-0000-0000A37C0000}"/>
    <cellStyle name="常规 12 4 3" xfId="31908" xr:uid="{00000000-0005-0000-0000-0000A47C0000}"/>
    <cellStyle name="常规 12 4 4" xfId="31909" xr:uid="{00000000-0005-0000-0000-0000A57C0000}"/>
    <cellStyle name="常规 12 4 5" xfId="31910" xr:uid="{00000000-0005-0000-0000-0000A67C0000}"/>
    <cellStyle name="常规 12 4 6" xfId="31911" xr:uid="{00000000-0005-0000-0000-0000A77C0000}"/>
    <cellStyle name="常规 12 4 6 2" xfId="31912" xr:uid="{00000000-0005-0000-0000-0000A87C0000}"/>
    <cellStyle name="常规 12 5" xfId="31913" xr:uid="{00000000-0005-0000-0000-0000A97C0000}"/>
    <cellStyle name="常规 12 5 2" xfId="31914" xr:uid="{00000000-0005-0000-0000-0000AA7C0000}"/>
    <cellStyle name="常规 12 5 2 2" xfId="31915" xr:uid="{00000000-0005-0000-0000-0000AB7C0000}"/>
    <cellStyle name="常规 12 5 2 3" xfId="31916" xr:uid="{00000000-0005-0000-0000-0000AC7C0000}"/>
    <cellStyle name="常规 12 5 2 4" xfId="31917" xr:uid="{00000000-0005-0000-0000-0000AD7C0000}"/>
    <cellStyle name="常规 12 5 3" xfId="31918" xr:uid="{00000000-0005-0000-0000-0000AE7C0000}"/>
    <cellStyle name="常规 12 5 4" xfId="31919" xr:uid="{00000000-0005-0000-0000-0000AF7C0000}"/>
    <cellStyle name="常规 12 5 5" xfId="31920" xr:uid="{00000000-0005-0000-0000-0000B07C0000}"/>
    <cellStyle name="常规 12 5 6" xfId="31921" xr:uid="{00000000-0005-0000-0000-0000B17C0000}"/>
    <cellStyle name="常规 12 5 6 2" xfId="31922" xr:uid="{00000000-0005-0000-0000-0000B27C0000}"/>
    <cellStyle name="常规 12 6" xfId="31923" xr:uid="{00000000-0005-0000-0000-0000B37C0000}"/>
    <cellStyle name="常规 12 6 2" xfId="31924" xr:uid="{00000000-0005-0000-0000-0000B47C0000}"/>
    <cellStyle name="常规 12 6 3" xfId="31925" xr:uid="{00000000-0005-0000-0000-0000B57C0000}"/>
    <cellStyle name="常规 12 6 4" xfId="31926" xr:uid="{00000000-0005-0000-0000-0000B67C0000}"/>
    <cellStyle name="常规 12 6 5" xfId="31927" xr:uid="{00000000-0005-0000-0000-0000B77C0000}"/>
    <cellStyle name="常规 12 6 5 2" xfId="31928" xr:uid="{00000000-0005-0000-0000-0000B87C0000}"/>
    <cellStyle name="常规 12 7" xfId="31929" xr:uid="{00000000-0005-0000-0000-0000B97C0000}"/>
    <cellStyle name="常规 12 7 2" xfId="31930" xr:uid="{00000000-0005-0000-0000-0000BA7C0000}"/>
    <cellStyle name="常规 12 7 2 2" xfId="31931" xr:uid="{00000000-0005-0000-0000-0000BB7C0000}"/>
    <cellStyle name="常规 12 8" xfId="31932" xr:uid="{00000000-0005-0000-0000-0000BC7C0000}"/>
    <cellStyle name="常规 12 8 2" xfId="31933" xr:uid="{00000000-0005-0000-0000-0000BD7C0000}"/>
    <cellStyle name="常规 12 8 3" xfId="31934" xr:uid="{00000000-0005-0000-0000-0000BE7C0000}"/>
    <cellStyle name="常规 12 9" xfId="31935" xr:uid="{00000000-0005-0000-0000-0000BF7C0000}"/>
    <cellStyle name="常规 13" xfId="31936" xr:uid="{00000000-0005-0000-0000-0000C07C0000}"/>
    <cellStyle name="常规 13 2" xfId="31937" xr:uid="{00000000-0005-0000-0000-0000C17C0000}"/>
    <cellStyle name="常规 13 2 2" xfId="31938" xr:uid="{00000000-0005-0000-0000-0000C27C0000}"/>
    <cellStyle name="常规 13 2 2 2" xfId="31939" xr:uid="{00000000-0005-0000-0000-0000C37C0000}"/>
    <cellStyle name="常规 13 2 2 3" xfId="31940" xr:uid="{00000000-0005-0000-0000-0000C47C0000}"/>
    <cellStyle name="常规 13 2 2 4" xfId="31941" xr:uid="{00000000-0005-0000-0000-0000C57C0000}"/>
    <cellStyle name="常规 13 2 2 5" xfId="31942" xr:uid="{00000000-0005-0000-0000-0000C67C0000}"/>
    <cellStyle name="常规 13 2 2 5 2" xfId="31943" xr:uid="{00000000-0005-0000-0000-0000C77C0000}"/>
    <cellStyle name="常规 13 2 3" xfId="31944" xr:uid="{00000000-0005-0000-0000-0000C87C0000}"/>
    <cellStyle name="常规 13 2 3 2" xfId="31945" xr:uid="{00000000-0005-0000-0000-0000C97C0000}"/>
    <cellStyle name="常规 13 2 3 2 2" xfId="31946" xr:uid="{00000000-0005-0000-0000-0000CA7C0000}"/>
    <cellStyle name="常规 13 2 4" xfId="31947" xr:uid="{00000000-0005-0000-0000-0000CB7C0000}"/>
    <cellStyle name="常规 13 2 4 2" xfId="31948" xr:uid="{00000000-0005-0000-0000-0000CC7C0000}"/>
    <cellStyle name="常规 13 2 4 2 2" xfId="31949" xr:uid="{00000000-0005-0000-0000-0000CD7C0000}"/>
    <cellStyle name="常规 13 2 5" xfId="31950" xr:uid="{00000000-0005-0000-0000-0000CE7C0000}"/>
    <cellStyle name="常规 13 2 5 2" xfId="31951" xr:uid="{00000000-0005-0000-0000-0000CF7C0000}"/>
    <cellStyle name="常规 13 2 5 3" xfId="31952" xr:uid="{00000000-0005-0000-0000-0000D07C0000}"/>
    <cellStyle name="常规 13 2 6" xfId="31953" xr:uid="{00000000-0005-0000-0000-0000D17C0000}"/>
    <cellStyle name="常规 13 2 6 2" xfId="31954" xr:uid="{00000000-0005-0000-0000-0000D27C0000}"/>
    <cellStyle name="常规 13 2 7" xfId="31955" xr:uid="{00000000-0005-0000-0000-0000D37C0000}"/>
    <cellStyle name="常规 13 3" xfId="31956" xr:uid="{00000000-0005-0000-0000-0000D47C0000}"/>
    <cellStyle name="常规 13 3 2" xfId="31957" xr:uid="{00000000-0005-0000-0000-0000D57C0000}"/>
    <cellStyle name="常规 13 3 2 2" xfId="31958" xr:uid="{00000000-0005-0000-0000-0000D67C0000}"/>
    <cellStyle name="常规 13 3 2 3" xfId="31959" xr:uid="{00000000-0005-0000-0000-0000D77C0000}"/>
    <cellStyle name="常规 13 3 2 4" xfId="31960" xr:uid="{00000000-0005-0000-0000-0000D87C0000}"/>
    <cellStyle name="常规 13 3 3" xfId="31961" xr:uid="{00000000-0005-0000-0000-0000D97C0000}"/>
    <cellStyle name="常规 13 3 4" xfId="31962" xr:uid="{00000000-0005-0000-0000-0000DA7C0000}"/>
    <cellStyle name="常规 13 3 5" xfId="31963" xr:uid="{00000000-0005-0000-0000-0000DB7C0000}"/>
    <cellStyle name="常规 13 3 6" xfId="31964" xr:uid="{00000000-0005-0000-0000-0000DC7C0000}"/>
    <cellStyle name="常规 13 3 6 2" xfId="31965" xr:uid="{00000000-0005-0000-0000-0000DD7C0000}"/>
    <cellStyle name="常规 13 4" xfId="31966" xr:uid="{00000000-0005-0000-0000-0000DE7C0000}"/>
    <cellStyle name="常规 13 4 2" xfId="31967" xr:uid="{00000000-0005-0000-0000-0000DF7C0000}"/>
    <cellStyle name="常规 13 4 3" xfId="31968" xr:uid="{00000000-0005-0000-0000-0000E07C0000}"/>
    <cellStyle name="常规 13 4 4" xfId="31969" xr:uid="{00000000-0005-0000-0000-0000E17C0000}"/>
    <cellStyle name="常规 13 4 5" xfId="31970" xr:uid="{00000000-0005-0000-0000-0000E27C0000}"/>
    <cellStyle name="常规 13 4 5 2" xfId="31971" xr:uid="{00000000-0005-0000-0000-0000E37C0000}"/>
    <cellStyle name="常规 13 5" xfId="31972" xr:uid="{00000000-0005-0000-0000-0000E47C0000}"/>
    <cellStyle name="常规 13 5 2" xfId="31973" xr:uid="{00000000-0005-0000-0000-0000E57C0000}"/>
    <cellStyle name="常规 13 5 2 2" xfId="31974" xr:uid="{00000000-0005-0000-0000-0000E67C0000}"/>
    <cellStyle name="常规 13 6" xfId="31975" xr:uid="{00000000-0005-0000-0000-0000E77C0000}"/>
    <cellStyle name="常规 13 6 2" xfId="31976" xr:uid="{00000000-0005-0000-0000-0000E87C0000}"/>
    <cellStyle name="常规 13 6 2 2" xfId="31977" xr:uid="{00000000-0005-0000-0000-0000E97C0000}"/>
    <cellStyle name="常规 13 7" xfId="31978" xr:uid="{00000000-0005-0000-0000-0000EA7C0000}"/>
    <cellStyle name="常规 13 7 2" xfId="31979" xr:uid="{00000000-0005-0000-0000-0000EB7C0000}"/>
    <cellStyle name="常规 13 7 2 2" xfId="31980" xr:uid="{00000000-0005-0000-0000-0000EC7C0000}"/>
    <cellStyle name="常规 13 8" xfId="31981" xr:uid="{00000000-0005-0000-0000-0000ED7C0000}"/>
    <cellStyle name="常规 13 8 2" xfId="31982" xr:uid="{00000000-0005-0000-0000-0000EE7C0000}"/>
    <cellStyle name="常规 13 8 3" xfId="31983" xr:uid="{00000000-0005-0000-0000-0000EF7C0000}"/>
    <cellStyle name="常规 13 9" xfId="31984" xr:uid="{00000000-0005-0000-0000-0000F07C0000}"/>
    <cellStyle name="常规 14" xfId="31985" xr:uid="{00000000-0005-0000-0000-0000F17C0000}"/>
    <cellStyle name="常规 14 2" xfId="31986" xr:uid="{00000000-0005-0000-0000-0000F27C0000}"/>
    <cellStyle name="常规 14 2 2" xfId="31987" xr:uid="{00000000-0005-0000-0000-0000F37C0000}"/>
    <cellStyle name="常规 14 2 2 2" xfId="31988" xr:uid="{00000000-0005-0000-0000-0000F47C0000}"/>
    <cellStyle name="常规 14 2 2 3" xfId="31989" xr:uid="{00000000-0005-0000-0000-0000F57C0000}"/>
    <cellStyle name="常规 14 2 2 4" xfId="31990" xr:uid="{00000000-0005-0000-0000-0000F67C0000}"/>
    <cellStyle name="常规 14 2 2 5" xfId="31991" xr:uid="{00000000-0005-0000-0000-0000F77C0000}"/>
    <cellStyle name="常规 14 2 2 5 2" xfId="31992" xr:uid="{00000000-0005-0000-0000-0000F87C0000}"/>
    <cellStyle name="常规 14 2 3" xfId="31993" xr:uid="{00000000-0005-0000-0000-0000F97C0000}"/>
    <cellStyle name="常规 14 2 3 2" xfId="31994" xr:uid="{00000000-0005-0000-0000-0000FA7C0000}"/>
    <cellStyle name="常规 14 2 3 2 2" xfId="31995" xr:uid="{00000000-0005-0000-0000-0000FB7C0000}"/>
    <cellStyle name="常规 14 2 4" xfId="31996" xr:uid="{00000000-0005-0000-0000-0000FC7C0000}"/>
    <cellStyle name="常规 14 2 4 2" xfId="31997" xr:uid="{00000000-0005-0000-0000-0000FD7C0000}"/>
    <cellStyle name="常规 14 2 4 2 2" xfId="31998" xr:uid="{00000000-0005-0000-0000-0000FE7C0000}"/>
    <cellStyle name="常规 14 2 5" xfId="31999" xr:uid="{00000000-0005-0000-0000-0000FF7C0000}"/>
    <cellStyle name="常规 14 2 5 2" xfId="32000" xr:uid="{00000000-0005-0000-0000-0000007D0000}"/>
    <cellStyle name="常规 14 2 5 3" xfId="32001" xr:uid="{00000000-0005-0000-0000-0000017D0000}"/>
    <cellStyle name="常规 14 2 6" xfId="32002" xr:uid="{00000000-0005-0000-0000-0000027D0000}"/>
    <cellStyle name="常规 14 2 6 2" xfId="32003" xr:uid="{00000000-0005-0000-0000-0000037D0000}"/>
    <cellStyle name="常规 14 2 7" xfId="32004" xr:uid="{00000000-0005-0000-0000-0000047D0000}"/>
    <cellStyle name="常规 14 3" xfId="32005" xr:uid="{00000000-0005-0000-0000-0000057D0000}"/>
    <cellStyle name="常规 14 3 2" xfId="32006" xr:uid="{00000000-0005-0000-0000-0000067D0000}"/>
    <cellStyle name="常规 14 3 2 2" xfId="32007" xr:uid="{00000000-0005-0000-0000-0000077D0000}"/>
    <cellStyle name="常规 14 3 2 3" xfId="32008" xr:uid="{00000000-0005-0000-0000-0000087D0000}"/>
    <cellStyle name="常规 14 3 2 4" xfId="32009" xr:uid="{00000000-0005-0000-0000-0000097D0000}"/>
    <cellStyle name="常规 14 3 3" xfId="32010" xr:uid="{00000000-0005-0000-0000-00000A7D0000}"/>
    <cellStyle name="常规 14 3 4" xfId="32011" xr:uid="{00000000-0005-0000-0000-00000B7D0000}"/>
    <cellStyle name="常规 14 3 5" xfId="32012" xr:uid="{00000000-0005-0000-0000-00000C7D0000}"/>
    <cellStyle name="常规 14 3 6" xfId="32013" xr:uid="{00000000-0005-0000-0000-00000D7D0000}"/>
    <cellStyle name="常规 14 3 6 2" xfId="32014" xr:uid="{00000000-0005-0000-0000-00000E7D0000}"/>
    <cellStyle name="常规 14 4" xfId="32015" xr:uid="{00000000-0005-0000-0000-00000F7D0000}"/>
    <cellStyle name="常规 14 4 2" xfId="32016" xr:uid="{00000000-0005-0000-0000-0000107D0000}"/>
    <cellStyle name="常规 14 4 3" xfId="32017" xr:uid="{00000000-0005-0000-0000-0000117D0000}"/>
    <cellStyle name="常规 14 4 4" xfId="32018" xr:uid="{00000000-0005-0000-0000-0000127D0000}"/>
    <cellStyle name="常规 14 4 5" xfId="32019" xr:uid="{00000000-0005-0000-0000-0000137D0000}"/>
    <cellStyle name="常规 14 4 5 2" xfId="32020" xr:uid="{00000000-0005-0000-0000-0000147D0000}"/>
    <cellStyle name="常规 14 5" xfId="32021" xr:uid="{00000000-0005-0000-0000-0000157D0000}"/>
    <cellStyle name="常规 14 5 2" xfId="32022" xr:uid="{00000000-0005-0000-0000-0000167D0000}"/>
    <cellStyle name="常规 14 5 2 2" xfId="32023" xr:uid="{00000000-0005-0000-0000-0000177D0000}"/>
    <cellStyle name="常规 14 6" xfId="32024" xr:uid="{00000000-0005-0000-0000-0000187D0000}"/>
    <cellStyle name="常规 14 6 2" xfId="32025" xr:uid="{00000000-0005-0000-0000-0000197D0000}"/>
    <cellStyle name="常规 14 6 2 2" xfId="32026" xr:uid="{00000000-0005-0000-0000-00001A7D0000}"/>
    <cellStyle name="常规 14 7" xfId="32027" xr:uid="{00000000-0005-0000-0000-00001B7D0000}"/>
    <cellStyle name="常规 14 7 2" xfId="32028" xr:uid="{00000000-0005-0000-0000-00001C7D0000}"/>
    <cellStyle name="常规 14 7 2 2" xfId="32029" xr:uid="{00000000-0005-0000-0000-00001D7D0000}"/>
    <cellStyle name="常规 14 8" xfId="32030" xr:uid="{00000000-0005-0000-0000-00001E7D0000}"/>
    <cellStyle name="常规 14 8 2" xfId="32031" xr:uid="{00000000-0005-0000-0000-00001F7D0000}"/>
    <cellStyle name="常规 14 8 3" xfId="32032" xr:uid="{00000000-0005-0000-0000-0000207D0000}"/>
    <cellStyle name="常规 14 9" xfId="32033" xr:uid="{00000000-0005-0000-0000-0000217D0000}"/>
    <cellStyle name="常规 15" xfId="32034" xr:uid="{00000000-0005-0000-0000-0000227D0000}"/>
    <cellStyle name="常规 15 2" xfId="32035" xr:uid="{00000000-0005-0000-0000-0000237D0000}"/>
    <cellStyle name="常规 15 2 2" xfId="32036" xr:uid="{00000000-0005-0000-0000-0000247D0000}"/>
    <cellStyle name="常规 15 2 2 2" xfId="32037" xr:uid="{00000000-0005-0000-0000-0000257D0000}"/>
    <cellStyle name="常规 15 2 2 3" xfId="32038" xr:uid="{00000000-0005-0000-0000-0000267D0000}"/>
    <cellStyle name="常规 15 2 2 4" xfId="32039" xr:uid="{00000000-0005-0000-0000-0000277D0000}"/>
    <cellStyle name="常规 15 2 2 5" xfId="32040" xr:uid="{00000000-0005-0000-0000-0000287D0000}"/>
    <cellStyle name="常规 15 2 2 5 2" xfId="32041" xr:uid="{00000000-0005-0000-0000-0000297D0000}"/>
    <cellStyle name="常规 15 2 3" xfId="32042" xr:uid="{00000000-0005-0000-0000-00002A7D0000}"/>
    <cellStyle name="常规 15 2 3 2" xfId="32043" xr:uid="{00000000-0005-0000-0000-00002B7D0000}"/>
    <cellStyle name="常规 15 2 3 2 2" xfId="32044" xr:uid="{00000000-0005-0000-0000-00002C7D0000}"/>
    <cellStyle name="常规 15 2 4" xfId="32045" xr:uid="{00000000-0005-0000-0000-00002D7D0000}"/>
    <cellStyle name="常规 15 2 4 2" xfId="32046" xr:uid="{00000000-0005-0000-0000-00002E7D0000}"/>
    <cellStyle name="常规 15 2 4 2 2" xfId="32047" xr:uid="{00000000-0005-0000-0000-00002F7D0000}"/>
    <cellStyle name="常规 15 2 5" xfId="32048" xr:uid="{00000000-0005-0000-0000-0000307D0000}"/>
    <cellStyle name="常规 15 2 5 2" xfId="32049" xr:uid="{00000000-0005-0000-0000-0000317D0000}"/>
    <cellStyle name="常规 15 2 5 3" xfId="32050" xr:uid="{00000000-0005-0000-0000-0000327D0000}"/>
    <cellStyle name="常规 15 2 6" xfId="32051" xr:uid="{00000000-0005-0000-0000-0000337D0000}"/>
    <cellStyle name="常规 15 2 6 2" xfId="32052" xr:uid="{00000000-0005-0000-0000-0000347D0000}"/>
    <cellStyle name="常规 15 2 7" xfId="32053" xr:uid="{00000000-0005-0000-0000-0000357D0000}"/>
    <cellStyle name="常规 15 3" xfId="32054" xr:uid="{00000000-0005-0000-0000-0000367D0000}"/>
    <cellStyle name="常规 15 3 2" xfId="32055" xr:uid="{00000000-0005-0000-0000-0000377D0000}"/>
    <cellStyle name="常规 15 3 2 2" xfId="32056" xr:uid="{00000000-0005-0000-0000-0000387D0000}"/>
    <cellStyle name="常规 15 3 2 3" xfId="32057" xr:uid="{00000000-0005-0000-0000-0000397D0000}"/>
    <cellStyle name="常规 15 3 2 4" xfId="32058" xr:uid="{00000000-0005-0000-0000-00003A7D0000}"/>
    <cellStyle name="常规 15 3 3" xfId="32059" xr:uid="{00000000-0005-0000-0000-00003B7D0000}"/>
    <cellStyle name="常规 15 3 4" xfId="32060" xr:uid="{00000000-0005-0000-0000-00003C7D0000}"/>
    <cellStyle name="常规 15 3 5" xfId="32061" xr:uid="{00000000-0005-0000-0000-00003D7D0000}"/>
    <cellStyle name="常规 15 3 6" xfId="32062" xr:uid="{00000000-0005-0000-0000-00003E7D0000}"/>
    <cellStyle name="常规 15 3 6 2" xfId="32063" xr:uid="{00000000-0005-0000-0000-00003F7D0000}"/>
    <cellStyle name="常规 15 4" xfId="32064" xr:uid="{00000000-0005-0000-0000-0000407D0000}"/>
    <cellStyle name="常规 15 4 2" xfId="32065" xr:uid="{00000000-0005-0000-0000-0000417D0000}"/>
    <cellStyle name="常规 15 4 3" xfId="32066" xr:uid="{00000000-0005-0000-0000-0000427D0000}"/>
    <cellStyle name="常规 15 4 4" xfId="32067" xr:uid="{00000000-0005-0000-0000-0000437D0000}"/>
    <cellStyle name="常规 15 4 5" xfId="32068" xr:uid="{00000000-0005-0000-0000-0000447D0000}"/>
    <cellStyle name="常规 15 4 5 2" xfId="32069" xr:uid="{00000000-0005-0000-0000-0000457D0000}"/>
    <cellStyle name="常规 15 5" xfId="32070" xr:uid="{00000000-0005-0000-0000-0000467D0000}"/>
    <cellStyle name="常规 15 5 2" xfId="32071" xr:uid="{00000000-0005-0000-0000-0000477D0000}"/>
    <cellStyle name="常规 15 5 2 2" xfId="32072" xr:uid="{00000000-0005-0000-0000-0000487D0000}"/>
    <cellStyle name="常规 15 6" xfId="32073" xr:uid="{00000000-0005-0000-0000-0000497D0000}"/>
    <cellStyle name="常规 15 6 2" xfId="32074" xr:uid="{00000000-0005-0000-0000-00004A7D0000}"/>
    <cellStyle name="常规 15 6 2 2" xfId="32075" xr:uid="{00000000-0005-0000-0000-00004B7D0000}"/>
    <cellStyle name="常规 15 7" xfId="32076" xr:uid="{00000000-0005-0000-0000-00004C7D0000}"/>
    <cellStyle name="常规 15 7 2" xfId="32077" xr:uid="{00000000-0005-0000-0000-00004D7D0000}"/>
    <cellStyle name="常规 15 7 2 2" xfId="32078" xr:uid="{00000000-0005-0000-0000-00004E7D0000}"/>
    <cellStyle name="常规 15 8" xfId="32079" xr:uid="{00000000-0005-0000-0000-00004F7D0000}"/>
    <cellStyle name="常规 15 8 2" xfId="32080" xr:uid="{00000000-0005-0000-0000-0000507D0000}"/>
    <cellStyle name="常规 15 8 3" xfId="32081" xr:uid="{00000000-0005-0000-0000-0000517D0000}"/>
    <cellStyle name="常规 15 9" xfId="32082" xr:uid="{00000000-0005-0000-0000-0000527D0000}"/>
    <cellStyle name="常规 16" xfId="32083" xr:uid="{00000000-0005-0000-0000-0000537D0000}"/>
    <cellStyle name="常规 16 2" xfId="32084" xr:uid="{00000000-0005-0000-0000-0000547D0000}"/>
    <cellStyle name="常规 16 2 2" xfId="32085" xr:uid="{00000000-0005-0000-0000-0000557D0000}"/>
    <cellStyle name="常规 16 2 2 2" xfId="32086" xr:uid="{00000000-0005-0000-0000-0000567D0000}"/>
    <cellStyle name="常规 16 2 2 2 2" xfId="32087" xr:uid="{00000000-0005-0000-0000-0000577D0000}"/>
    <cellStyle name="常规 16 2 3" xfId="32088" xr:uid="{00000000-0005-0000-0000-0000587D0000}"/>
    <cellStyle name="常规 16 2 3 2" xfId="32089" xr:uid="{00000000-0005-0000-0000-0000597D0000}"/>
    <cellStyle name="常规 16 2 3 2 2" xfId="32090" xr:uid="{00000000-0005-0000-0000-00005A7D0000}"/>
    <cellStyle name="常规 16 2 4" xfId="32091" xr:uid="{00000000-0005-0000-0000-00005B7D0000}"/>
    <cellStyle name="常规 16 2 4 2" xfId="32092" xr:uid="{00000000-0005-0000-0000-00005C7D0000}"/>
    <cellStyle name="常规 16 2 4 2 2" xfId="32093" xr:uid="{00000000-0005-0000-0000-00005D7D0000}"/>
    <cellStyle name="常规 16 2 5" xfId="32094" xr:uid="{00000000-0005-0000-0000-00005E7D0000}"/>
    <cellStyle name="常规 16 2 5 2" xfId="32095" xr:uid="{00000000-0005-0000-0000-00005F7D0000}"/>
    <cellStyle name="常规 16 2 5 3" xfId="32096" xr:uid="{00000000-0005-0000-0000-0000607D0000}"/>
    <cellStyle name="常规 16 2 6" xfId="32097" xr:uid="{00000000-0005-0000-0000-0000617D0000}"/>
    <cellStyle name="常规 16 3" xfId="32098" xr:uid="{00000000-0005-0000-0000-0000627D0000}"/>
    <cellStyle name="常规 16 3 2" xfId="32099" xr:uid="{00000000-0005-0000-0000-0000637D0000}"/>
    <cellStyle name="常规 16 3 2 2" xfId="32100" xr:uid="{00000000-0005-0000-0000-0000647D0000}"/>
    <cellStyle name="常规 16 4" xfId="32101" xr:uid="{00000000-0005-0000-0000-0000657D0000}"/>
    <cellStyle name="常规 16 4 2" xfId="32102" xr:uid="{00000000-0005-0000-0000-0000667D0000}"/>
    <cellStyle name="常规 16 4 2 2" xfId="32103" xr:uid="{00000000-0005-0000-0000-0000677D0000}"/>
    <cellStyle name="常规 16 5" xfId="32104" xr:uid="{00000000-0005-0000-0000-0000687D0000}"/>
    <cellStyle name="常规 16 5 2" xfId="32105" xr:uid="{00000000-0005-0000-0000-0000697D0000}"/>
    <cellStyle name="常规 16 5 2 2" xfId="32106" xr:uid="{00000000-0005-0000-0000-00006A7D0000}"/>
    <cellStyle name="常规 16 6" xfId="32107" xr:uid="{00000000-0005-0000-0000-00006B7D0000}"/>
    <cellStyle name="常规 16 6 2" xfId="32108" xr:uid="{00000000-0005-0000-0000-00006C7D0000}"/>
    <cellStyle name="常规 16 6 3" xfId="32109" xr:uid="{00000000-0005-0000-0000-00006D7D0000}"/>
    <cellStyle name="常规 16 7" xfId="32110" xr:uid="{00000000-0005-0000-0000-00006E7D0000}"/>
    <cellStyle name="常规 16 7 2" xfId="32111" xr:uid="{00000000-0005-0000-0000-00006F7D0000}"/>
    <cellStyle name="常规 17" xfId="32112" xr:uid="{00000000-0005-0000-0000-0000707D0000}"/>
    <cellStyle name="常规 17 2" xfId="32113" xr:uid="{00000000-0005-0000-0000-0000717D0000}"/>
    <cellStyle name="常规 17 2 2" xfId="32114" xr:uid="{00000000-0005-0000-0000-0000727D0000}"/>
    <cellStyle name="常规 17 2 3" xfId="32115" xr:uid="{00000000-0005-0000-0000-0000737D0000}"/>
    <cellStyle name="常规 17 2 3 2" xfId="32116" xr:uid="{00000000-0005-0000-0000-0000747D0000}"/>
    <cellStyle name="常规 17 2 3 2 2" xfId="32117" xr:uid="{00000000-0005-0000-0000-0000757D0000}"/>
    <cellStyle name="常规 17 2 3 3" xfId="32118" xr:uid="{00000000-0005-0000-0000-0000767D0000}"/>
    <cellStyle name="常规 17 2 4" xfId="32119" xr:uid="{00000000-0005-0000-0000-0000777D0000}"/>
    <cellStyle name="常规 17 2 4 2" xfId="32120" xr:uid="{00000000-0005-0000-0000-0000787D0000}"/>
    <cellStyle name="常规 17 2 4 2 2" xfId="32121" xr:uid="{00000000-0005-0000-0000-0000797D0000}"/>
    <cellStyle name="常规 17 2 5" xfId="32122" xr:uid="{00000000-0005-0000-0000-00007A7D0000}"/>
    <cellStyle name="常规 17 2 5 2" xfId="32123" xr:uid="{00000000-0005-0000-0000-00007B7D0000}"/>
    <cellStyle name="常规 17 2 6" xfId="32124" xr:uid="{00000000-0005-0000-0000-00007C7D0000}"/>
    <cellStyle name="常规 17 3" xfId="32125" xr:uid="{00000000-0005-0000-0000-00007D7D0000}"/>
    <cellStyle name="常规 17 3 2" xfId="32126" xr:uid="{00000000-0005-0000-0000-00007E7D0000}"/>
    <cellStyle name="常规 17 3 2 2" xfId="32127" xr:uid="{00000000-0005-0000-0000-00007F7D0000}"/>
    <cellStyle name="常规 17 4" xfId="32128" xr:uid="{00000000-0005-0000-0000-0000807D0000}"/>
    <cellStyle name="常规 17 4 2" xfId="32129" xr:uid="{00000000-0005-0000-0000-0000817D0000}"/>
    <cellStyle name="常规 17 4 2 2" xfId="32130" xr:uid="{00000000-0005-0000-0000-0000827D0000}"/>
    <cellStyle name="常规 17 5" xfId="32131" xr:uid="{00000000-0005-0000-0000-0000837D0000}"/>
    <cellStyle name="常规 17 5 2" xfId="32132" xr:uid="{00000000-0005-0000-0000-0000847D0000}"/>
    <cellStyle name="常规 17 5 2 2" xfId="32133" xr:uid="{00000000-0005-0000-0000-0000857D0000}"/>
    <cellStyle name="常规 17 6" xfId="32134" xr:uid="{00000000-0005-0000-0000-0000867D0000}"/>
    <cellStyle name="常规 17 6 2" xfId="32135" xr:uid="{00000000-0005-0000-0000-0000877D0000}"/>
    <cellStyle name="常规 17 6 2 2" xfId="32136" xr:uid="{00000000-0005-0000-0000-0000887D0000}"/>
    <cellStyle name="常规 17 6 3" xfId="32137" xr:uid="{00000000-0005-0000-0000-0000897D0000}"/>
    <cellStyle name="常规 17 7" xfId="32138" xr:uid="{00000000-0005-0000-0000-00008A7D0000}"/>
    <cellStyle name="常规 17 7 2" xfId="32139" xr:uid="{00000000-0005-0000-0000-00008B7D0000}"/>
    <cellStyle name="常规 17 8" xfId="32140" xr:uid="{00000000-0005-0000-0000-00008C7D0000}"/>
    <cellStyle name="常规 18" xfId="32141" xr:uid="{00000000-0005-0000-0000-00008D7D0000}"/>
    <cellStyle name="常规 18 2" xfId="32142" xr:uid="{00000000-0005-0000-0000-00008E7D0000}"/>
    <cellStyle name="常规 18 2 2" xfId="32143" xr:uid="{00000000-0005-0000-0000-00008F7D0000}"/>
    <cellStyle name="常规 18 2 2 2" xfId="32144" xr:uid="{00000000-0005-0000-0000-0000907D0000}"/>
    <cellStyle name="常规 18 3" xfId="32145" xr:uid="{00000000-0005-0000-0000-0000917D0000}"/>
    <cellStyle name="常规 18 3 2" xfId="32146" xr:uid="{00000000-0005-0000-0000-0000927D0000}"/>
    <cellStyle name="常规 18 3 2 2" xfId="32147" xr:uid="{00000000-0005-0000-0000-0000937D0000}"/>
    <cellStyle name="常规 18 4" xfId="32148" xr:uid="{00000000-0005-0000-0000-0000947D0000}"/>
    <cellStyle name="常规 18 5" xfId="32149" xr:uid="{00000000-0005-0000-0000-0000957D0000}"/>
    <cellStyle name="常规 18 5 2" xfId="32150" xr:uid="{00000000-0005-0000-0000-0000967D0000}"/>
    <cellStyle name="常规 18 5 2 2" xfId="32151" xr:uid="{00000000-0005-0000-0000-0000977D0000}"/>
    <cellStyle name="常规 18 5 3" xfId="32152" xr:uid="{00000000-0005-0000-0000-0000987D0000}"/>
    <cellStyle name="常规 18 6" xfId="32153" xr:uid="{00000000-0005-0000-0000-0000997D0000}"/>
    <cellStyle name="常规 18 6 2" xfId="32154" xr:uid="{00000000-0005-0000-0000-00009A7D0000}"/>
    <cellStyle name="常规 18 7" xfId="32155" xr:uid="{00000000-0005-0000-0000-00009B7D0000}"/>
    <cellStyle name="常规 18 7 2" xfId="32156" xr:uid="{00000000-0005-0000-0000-00009C7D0000}"/>
    <cellStyle name="常规 19" xfId="32157" xr:uid="{00000000-0005-0000-0000-00009D7D0000}"/>
    <cellStyle name="常规 19 2" xfId="32158" xr:uid="{00000000-0005-0000-0000-00009E7D0000}"/>
    <cellStyle name="常规 19 2 2" xfId="32159" xr:uid="{00000000-0005-0000-0000-00009F7D0000}"/>
    <cellStyle name="常规 19 2 2 2" xfId="32160" xr:uid="{00000000-0005-0000-0000-0000A07D0000}"/>
    <cellStyle name="常规 19 2 2 3" xfId="32161" xr:uid="{00000000-0005-0000-0000-0000A17D0000}"/>
    <cellStyle name="常规 19 2 3" xfId="32162" xr:uid="{00000000-0005-0000-0000-0000A27D0000}"/>
    <cellStyle name="常规 19 2 3 2" xfId="32163" xr:uid="{00000000-0005-0000-0000-0000A37D0000}"/>
    <cellStyle name="常规 19 2 4" xfId="32164" xr:uid="{00000000-0005-0000-0000-0000A47D0000}"/>
    <cellStyle name="常规 19 2 5" xfId="32165" xr:uid="{00000000-0005-0000-0000-0000A57D0000}"/>
    <cellStyle name="常规 19 3" xfId="32166" xr:uid="{00000000-0005-0000-0000-0000A67D0000}"/>
    <cellStyle name="常规 19 3 2" xfId="32167" xr:uid="{00000000-0005-0000-0000-0000A77D0000}"/>
    <cellStyle name="常规 19 3 2 2" xfId="32168" xr:uid="{00000000-0005-0000-0000-0000A87D0000}"/>
    <cellStyle name="常规 19 4" xfId="32169" xr:uid="{00000000-0005-0000-0000-0000A97D0000}"/>
    <cellStyle name="常规 19 4 2" xfId="32170" xr:uid="{00000000-0005-0000-0000-0000AA7D0000}"/>
    <cellStyle name="常规 19 4 2 2" xfId="32171" xr:uid="{00000000-0005-0000-0000-0000AB7D0000}"/>
    <cellStyle name="常规 19 4 3" xfId="32172" xr:uid="{00000000-0005-0000-0000-0000AC7D0000}"/>
    <cellStyle name="常规 19 5" xfId="32173" xr:uid="{00000000-0005-0000-0000-0000AD7D0000}"/>
    <cellStyle name="常规 19 5 2" xfId="32174" xr:uid="{00000000-0005-0000-0000-0000AE7D0000}"/>
    <cellStyle name="常规 19 5 3" xfId="32175" xr:uid="{00000000-0005-0000-0000-0000AF7D0000}"/>
    <cellStyle name="常规 19 6" xfId="32176" xr:uid="{00000000-0005-0000-0000-0000B07D0000}"/>
    <cellStyle name="常规 19 7" xfId="32177" xr:uid="{00000000-0005-0000-0000-0000B17D0000}"/>
    <cellStyle name="常规 2" xfId="32178" xr:uid="{00000000-0005-0000-0000-0000B27D0000}"/>
    <cellStyle name="常规 2 10" xfId="32179" xr:uid="{00000000-0005-0000-0000-0000B37D0000}"/>
    <cellStyle name="常规 2 10 10" xfId="32180" xr:uid="{00000000-0005-0000-0000-0000B47D0000}"/>
    <cellStyle name="常规 2 10 2" xfId="32181" xr:uid="{00000000-0005-0000-0000-0000B57D0000}"/>
    <cellStyle name="常规 2 10 2 2" xfId="32182" xr:uid="{00000000-0005-0000-0000-0000B67D0000}"/>
    <cellStyle name="常规 2 10 2 2 2" xfId="32183" xr:uid="{00000000-0005-0000-0000-0000B77D0000}"/>
    <cellStyle name="常规 2 10 2 2 2 2" xfId="32184" xr:uid="{00000000-0005-0000-0000-0000B87D0000}"/>
    <cellStyle name="常规 2 10 2 2 2 3" xfId="32185" xr:uid="{00000000-0005-0000-0000-0000B97D0000}"/>
    <cellStyle name="常规 2 10 2 2 2 4" xfId="32186" xr:uid="{00000000-0005-0000-0000-0000BA7D0000}"/>
    <cellStyle name="常规 2 10 2 2 2 5" xfId="32187" xr:uid="{00000000-0005-0000-0000-0000BB7D0000}"/>
    <cellStyle name="常规 2 10 2 2 2 5 2" xfId="32188" xr:uid="{00000000-0005-0000-0000-0000BC7D0000}"/>
    <cellStyle name="常规 2 10 2 2 3" xfId="32189" xr:uid="{00000000-0005-0000-0000-0000BD7D0000}"/>
    <cellStyle name="常规 2 10 2 2 3 2" xfId="32190" xr:uid="{00000000-0005-0000-0000-0000BE7D0000}"/>
    <cellStyle name="常规 2 10 2 2 3 2 2" xfId="32191" xr:uid="{00000000-0005-0000-0000-0000BF7D0000}"/>
    <cellStyle name="常规 2 10 2 2 4" xfId="32192" xr:uid="{00000000-0005-0000-0000-0000C07D0000}"/>
    <cellStyle name="常规 2 10 2 2 4 2" xfId="32193" xr:uid="{00000000-0005-0000-0000-0000C17D0000}"/>
    <cellStyle name="常规 2 10 2 2 4 2 2" xfId="32194" xr:uid="{00000000-0005-0000-0000-0000C27D0000}"/>
    <cellStyle name="常规 2 10 2 2 5" xfId="32195" xr:uid="{00000000-0005-0000-0000-0000C37D0000}"/>
    <cellStyle name="常规 2 10 2 2 5 2" xfId="32196" xr:uid="{00000000-0005-0000-0000-0000C47D0000}"/>
    <cellStyle name="常规 2 10 2 2 5 3" xfId="32197" xr:uid="{00000000-0005-0000-0000-0000C57D0000}"/>
    <cellStyle name="常规 2 10 2 2 6" xfId="32198" xr:uid="{00000000-0005-0000-0000-0000C67D0000}"/>
    <cellStyle name="常规 2 10 2 2 6 2" xfId="32199" xr:uid="{00000000-0005-0000-0000-0000C77D0000}"/>
    <cellStyle name="常规 2 10 2 2 7" xfId="32200" xr:uid="{00000000-0005-0000-0000-0000C87D0000}"/>
    <cellStyle name="常规 2 10 2 3" xfId="32201" xr:uid="{00000000-0005-0000-0000-0000C97D0000}"/>
    <cellStyle name="常规 2 10 2 3 2" xfId="32202" xr:uid="{00000000-0005-0000-0000-0000CA7D0000}"/>
    <cellStyle name="常规 2 10 2 3 2 2" xfId="32203" xr:uid="{00000000-0005-0000-0000-0000CB7D0000}"/>
    <cellStyle name="常规 2 10 2 3 2 2 2" xfId="32204" xr:uid="{00000000-0005-0000-0000-0000CC7D0000}"/>
    <cellStyle name="常规 2 10 2 3 2 3" xfId="32205" xr:uid="{00000000-0005-0000-0000-0000CD7D0000}"/>
    <cellStyle name="常规 2 10 2 3 2 4" xfId="32206" xr:uid="{00000000-0005-0000-0000-0000CE7D0000}"/>
    <cellStyle name="常规 2 10 2 3 2 5" xfId="32207" xr:uid="{00000000-0005-0000-0000-0000CF7D0000}"/>
    <cellStyle name="常规 2 10 2 3 2 5 2" xfId="32208" xr:uid="{00000000-0005-0000-0000-0000D07D0000}"/>
    <cellStyle name="常规 2 10 2 3 2 6" xfId="32209" xr:uid="{00000000-0005-0000-0000-0000D17D0000}"/>
    <cellStyle name="常规 2 10 2 3 3" xfId="32210" xr:uid="{00000000-0005-0000-0000-0000D27D0000}"/>
    <cellStyle name="常规 2 10 2 3 3 2" xfId="32211" xr:uid="{00000000-0005-0000-0000-0000D37D0000}"/>
    <cellStyle name="常规 2 10 2 3 3 2 2" xfId="32212" xr:uid="{00000000-0005-0000-0000-0000D47D0000}"/>
    <cellStyle name="常规 2 10 2 3 4" xfId="32213" xr:uid="{00000000-0005-0000-0000-0000D57D0000}"/>
    <cellStyle name="常规 2 10 2 3 4 2" xfId="32214" xr:uid="{00000000-0005-0000-0000-0000D67D0000}"/>
    <cellStyle name="常规 2 10 2 3 4 3" xfId="32215" xr:uid="{00000000-0005-0000-0000-0000D77D0000}"/>
    <cellStyle name="常规 2 10 2 3 5" xfId="32216" xr:uid="{00000000-0005-0000-0000-0000D87D0000}"/>
    <cellStyle name="常规 2 10 2 3 5 2" xfId="32217" xr:uid="{00000000-0005-0000-0000-0000D97D0000}"/>
    <cellStyle name="常规 2 10 2 3 6" xfId="32218" xr:uid="{00000000-0005-0000-0000-0000DA7D0000}"/>
    <cellStyle name="常规 2 10 2 3 6 2" xfId="32219" xr:uid="{00000000-0005-0000-0000-0000DB7D0000}"/>
    <cellStyle name="常规 2 10 2 3 7" xfId="32220" xr:uid="{00000000-0005-0000-0000-0000DC7D0000}"/>
    <cellStyle name="常规 2 10 2 4" xfId="32221" xr:uid="{00000000-0005-0000-0000-0000DD7D0000}"/>
    <cellStyle name="常规 2 10 2 4 2" xfId="32222" xr:uid="{00000000-0005-0000-0000-0000DE7D0000}"/>
    <cellStyle name="常规 2 10 2 4 3" xfId="32223" xr:uid="{00000000-0005-0000-0000-0000DF7D0000}"/>
    <cellStyle name="常规 2 10 2 4 4" xfId="32224" xr:uid="{00000000-0005-0000-0000-0000E07D0000}"/>
    <cellStyle name="常规 2 10 2 4 5" xfId="32225" xr:uid="{00000000-0005-0000-0000-0000E17D0000}"/>
    <cellStyle name="常规 2 10 2 4 5 2" xfId="32226" xr:uid="{00000000-0005-0000-0000-0000E27D0000}"/>
    <cellStyle name="常规 2 10 2 5" xfId="32227" xr:uid="{00000000-0005-0000-0000-0000E37D0000}"/>
    <cellStyle name="常规 2 10 2 5 2" xfId="32228" xr:uid="{00000000-0005-0000-0000-0000E47D0000}"/>
    <cellStyle name="常规 2 10 2 5 2 2" xfId="32229" xr:uid="{00000000-0005-0000-0000-0000E57D0000}"/>
    <cellStyle name="常规 2 10 2 6" xfId="32230" xr:uid="{00000000-0005-0000-0000-0000E67D0000}"/>
    <cellStyle name="常规 2 10 2 6 2" xfId="32231" xr:uid="{00000000-0005-0000-0000-0000E77D0000}"/>
    <cellStyle name="常规 2 10 2 6 2 2" xfId="32232" xr:uid="{00000000-0005-0000-0000-0000E87D0000}"/>
    <cellStyle name="常规 2 10 2 7" xfId="32233" xr:uid="{00000000-0005-0000-0000-0000E97D0000}"/>
    <cellStyle name="常规 2 10 2 7 2" xfId="32234" xr:uid="{00000000-0005-0000-0000-0000EA7D0000}"/>
    <cellStyle name="常规 2 10 2 7 2 2" xfId="32235" xr:uid="{00000000-0005-0000-0000-0000EB7D0000}"/>
    <cellStyle name="常规 2 10 2 8" xfId="32236" xr:uid="{00000000-0005-0000-0000-0000EC7D0000}"/>
    <cellStyle name="常规 2 10 2 8 2" xfId="32237" xr:uid="{00000000-0005-0000-0000-0000ED7D0000}"/>
    <cellStyle name="常规 2 10 2 8 3" xfId="32238" xr:uid="{00000000-0005-0000-0000-0000EE7D0000}"/>
    <cellStyle name="常规 2 10 2 9" xfId="32239" xr:uid="{00000000-0005-0000-0000-0000EF7D0000}"/>
    <cellStyle name="常规 2 10 3" xfId="32240" xr:uid="{00000000-0005-0000-0000-0000F07D0000}"/>
    <cellStyle name="常规 2 10 3 2" xfId="32241" xr:uid="{00000000-0005-0000-0000-0000F17D0000}"/>
    <cellStyle name="常规 2 10 3 2 2" xfId="32242" xr:uid="{00000000-0005-0000-0000-0000F27D0000}"/>
    <cellStyle name="常规 2 10 3 2 3" xfId="32243" xr:uid="{00000000-0005-0000-0000-0000F37D0000}"/>
    <cellStyle name="常规 2 10 3 2 4" xfId="32244" xr:uid="{00000000-0005-0000-0000-0000F47D0000}"/>
    <cellStyle name="常规 2 10 3 2 5" xfId="32245" xr:uid="{00000000-0005-0000-0000-0000F57D0000}"/>
    <cellStyle name="常规 2 10 3 2 5 2" xfId="32246" xr:uid="{00000000-0005-0000-0000-0000F67D0000}"/>
    <cellStyle name="常规 2 10 3 3" xfId="32247" xr:uid="{00000000-0005-0000-0000-0000F77D0000}"/>
    <cellStyle name="常规 2 10 3 3 2" xfId="32248" xr:uid="{00000000-0005-0000-0000-0000F87D0000}"/>
    <cellStyle name="常规 2 10 3 3 2 2" xfId="32249" xr:uid="{00000000-0005-0000-0000-0000F97D0000}"/>
    <cellStyle name="常规 2 10 3 4" xfId="32250" xr:uid="{00000000-0005-0000-0000-0000FA7D0000}"/>
    <cellStyle name="常规 2 10 3 4 2" xfId="32251" xr:uid="{00000000-0005-0000-0000-0000FB7D0000}"/>
    <cellStyle name="常规 2 10 3 4 2 2" xfId="32252" xr:uid="{00000000-0005-0000-0000-0000FC7D0000}"/>
    <cellStyle name="常规 2 10 3 5" xfId="32253" xr:uid="{00000000-0005-0000-0000-0000FD7D0000}"/>
    <cellStyle name="常规 2 10 3 5 2" xfId="32254" xr:uid="{00000000-0005-0000-0000-0000FE7D0000}"/>
    <cellStyle name="常规 2 10 3 5 3" xfId="32255" xr:uid="{00000000-0005-0000-0000-0000FF7D0000}"/>
    <cellStyle name="常规 2 10 3 6" xfId="32256" xr:uid="{00000000-0005-0000-0000-0000007E0000}"/>
    <cellStyle name="常规 2 10 3 6 2" xfId="32257" xr:uid="{00000000-0005-0000-0000-0000017E0000}"/>
    <cellStyle name="常规 2 10 3 7" xfId="32258" xr:uid="{00000000-0005-0000-0000-0000027E0000}"/>
    <cellStyle name="常规 2 10 4" xfId="32259" xr:uid="{00000000-0005-0000-0000-0000037E0000}"/>
    <cellStyle name="常规 2 10 4 2" xfId="32260" xr:uid="{00000000-0005-0000-0000-0000047E0000}"/>
    <cellStyle name="常规 2 10 4 2 2" xfId="32261" xr:uid="{00000000-0005-0000-0000-0000057E0000}"/>
    <cellStyle name="常规 2 10 4 2 3" xfId="32262" xr:uid="{00000000-0005-0000-0000-0000067E0000}"/>
    <cellStyle name="常规 2 10 4 2 4" xfId="32263" xr:uid="{00000000-0005-0000-0000-0000077E0000}"/>
    <cellStyle name="常规 2 10 4 3" xfId="32264" xr:uid="{00000000-0005-0000-0000-0000087E0000}"/>
    <cellStyle name="常规 2 10 4 4" xfId="32265" xr:uid="{00000000-0005-0000-0000-0000097E0000}"/>
    <cellStyle name="常规 2 10 4 5" xfId="32266" xr:uid="{00000000-0005-0000-0000-00000A7E0000}"/>
    <cellStyle name="常规 2 10 4 6" xfId="32267" xr:uid="{00000000-0005-0000-0000-00000B7E0000}"/>
    <cellStyle name="常规 2 10 4 6 2" xfId="32268" xr:uid="{00000000-0005-0000-0000-00000C7E0000}"/>
    <cellStyle name="常规 2 10 5" xfId="32269" xr:uid="{00000000-0005-0000-0000-00000D7E0000}"/>
    <cellStyle name="常规 2 10 5 2" xfId="32270" xr:uid="{00000000-0005-0000-0000-00000E7E0000}"/>
    <cellStyle name="常规 2 10 5 3" xfId="32271" xr:uid="{00000000-0005-0000-0000-00000F7E0000}"/>
    <cellStyle name="常规 2 10 5 4" xfId="32272" xr:uid="{00000000-0005-0000-0000-0000107E0000}"/>
    <cellStyle name="常规 2 10 5 5" xfId="32273" xr:uid="{00000000-0005-0000-0000-0000117E0000}"/>
    <cellStyle name="常规 2 10 5 5 2" xfId="32274" xr:uid="{00000000-0005-0000-0000-0000127E0000}"/>
    <cellStyle name="常规 2 10 6" xfId="32275" xr:uid="{00000000-0005-0000-0000-0000137E0000}"/>
    <cellStyle name="常规 2 10 6 2" xfId="32276" xr:uid="{00000000-0005-0000-0000-0000147E0000}"/>
    <cellStyle name="常规 2 10 6 2 2" xfId="32277" xr:uid="{00000000-0005-0000-0000-0000157E0000}"/>
    <cellStyle name="常规 2 10 7" xfId="32278" xr:uid="{00000000-0005-0000-0000-0000167E0000}"/>
    <cellStyle name="常规 2 10 7 2" xfId="32279" xr:uid="{00000000-0005-0000-0000-0000177E0000}"/>
    <cellStyle name="常规 2 10 7 2 2" xfId="32280" xr:uid="{00000000-0005-0000-0000-0000187E0000}"/>
    <cellStyle name="常规 2 10 8" xfId="32281" xr:uid="{00000000-0005-0000-0000-0000197E0000}"/>
    <cellStyle name="常规 2 10 8 2" xfId="32282" xr:uid="{00000000-0005-0000-0000-00001A7E0000}"/>
    <cellStyle name="常规 2 10 8 2 2" xfId="32283" xr:uid="{00000000-0005-0000-0000-00001B7E0000}"/>
    <cellStyle name="常规 2 10 9" xfId="32284" xr:uid="{00000000-0005-0000-0000-00001C7E0000}"/>
    <cellStyle name="常规 2 10 9 2" xfId="32285" xr:uid="{00000000-0005-0000-0000-00001D7E0000}"/>
    <cellStyle name="常规 2 10 9 3" xfId="32286" xr:uid="{00000000-0005-0000-0000-00001E7E0000}"/>
    <cellStyle name="常规 2 11" xfId="32287" xr:uid="{00000000-0005-0000-0000-00001F7E0000}"/>
    <cellStyle name="常规 2 11 10" xfId="32288" xr:uid="{00000000-0005-0000-0000-0000207E0000}"/>
    <cellStyle name="常规 2 11 2" xfId="32289" xr:uid="{00000000-0005-0000-0000-0000217E0000}"/>
    <cellStyle name="常规 2 11 2 2" xfId="32290" xr:uid="{00000000-0005-0000-0000-0000227E0000}"/>
    <cellStyle name="常规 2 11 2 2 2" xfId="32291" xr:uid="{00000000-0005-0000-0000-0000237E0000}"/>
    <cellStyle name="常规 2 11 2 2 2 2" xfId="32292" xr:uid="{00000000-0005-0000-0000-0000247E0000}"/>
    <cellStyle name="常规 2 11 2 2 2 3" xfId="32293" xr:uid="{00000000-0005-0000-0000-0000257E0000}"/>
    <cellStyle name="常规 2 11 2 2 2 4" xfId="32294" xr:uid="{00000000-0005-0000-0000-0000267E0000}"/>
    <cellStyle name="常规 2 11 2 2 3" xfId="32295" xr:uid="{00000000-0005-0000-0000-0000277E0000}"/>
    <cellStyle name="常规 2 11 2 2 4" xfId="32296" xr:uid="{00000000-0005-0000-0000-0000287E0000}"/>
    <cellStyle name="常规 2 11 2 2 5" xfId="32297" xr:uid="{00000000-0005-0000-0000-0000297E0000}"/>
    <cellStyle name="常规 2 11 2 2 6" xfId="32298" xr:uid="{00000000-0005-0000-0000-00002A7E0000}"/>
    <cellStyle name="常规 2 11 2 2 6 2" xfId="32299" xr:uid="{00000000-0005-0000-0000-00002B7E0000}"/>
    <cellStyle name="常规 2 11 2 3" xfId="32300" xr:uid="{00000000-0005-0000-0000-00002C7E0000}"/>
    <cellStyle name="常规 2 11 2 3 2" xfId="32301" xr:uid="{00000000-0005-0000-0000-00002D7E0000}"/>
    <cellStyle name="常规 2 11 2 3 2 2" xfId="32302" xr:uid="{00000000-0005-0000-0000-00002E7E0000}"/>
    <cellStyle name="常规 2 11 2 3 2 3" xfId="32303" xr:uid="{00000000-0005-0000-0000-00002F7E0000}"/>
    <cellStyle name="常规 2 11 2 3 2 4" xfId="32304" xr:uid="{00000000-0005-0000-0000-0000307E0000}"/>
    <cellStyle name="常规 2 11 2 3 3" xfId="32305" xr:uid="{00000000-0005-0000-0000-0000317E0000}"/>
    <cellStyle name="常规 2 11 2 3 4" xfId="32306" xr:uid="{00000000-0005-0000-0000-0000327E0000}"/>
    <cellStyle name="常规 2 11 2 3 5" xfId="32307" xr:uid="{00000000-0005-0000-0000-0000337E0000}"/>
    <cellStyle name="常规 2 11 2 3 6" xfId="32308" xr:uid="{00000000-0005-0000-0000-0000347E0000}"/>
    <cellStyle name="常规 2 11 2 3 6 2" xfId="32309" xr:uid="{00000000-0005-0000-0000-0000357E0000}"/>
    <cellStyle name="常规 2 11 2 4" xfId="32310" xr:uid="{00000000-0005-0000-0000-0000367E0000}"/>
    <cellStyle name="常规 2 11 2 4 2" xfId="32311" xr:uid="{00000000-0005-0000-0000-0000377E0000}"/>
    <cellStyle name="常规 2 11 2 4 2 2" xfId="32312" xr:uid="{00000000-0005-0000-0000-0000387E0000}"/>
    <cellStyle name="常规 2 11 2 4 3" xfId="32313" xr:uid="{00000000-0005-0000-0000-0000397E0000}"/>
    <cellStyle name="常规 2 11 2 4 4" xfId="32314" xr:uid="{00000000-0005-0000-0000-00003A7E0000}"/>
    <cellStyle name="常规 2 11 2 4 5" xfId="32315" xr:uid="{00000000-0005-0000-0000-00003B7E0000}"/>
    <cellStyle name="常规 2 11 2 5" xfId="32316" xr:uid="{00000000-0005-0000-0000-00003C7E0000}"/>
    <cellStyle name="常规 2 11 2 5 2" xfId="32317" xr:uid="{00000000-0005-0000-0000-00003D7E0000}"/>
    <cellStyle name="常规 2 11 2 5 3" xfId="32318" xr:uid="{00000000-0005-0000-0000-00003E7E0000}"/>
    <cellStyle name="常规 2 11 2 6" xfId="32319" xr:uid="{00000000-0005-0000-0000-00003F7E0000}"/>
    <cellStyle name="常规 2 11 2 7" xfId="32320" xr:uid="{00000000-0005-0000-0000-0000407E0000}"/>
    <cellStyle name="常规 2 11 2 8" xfId="32321" xr:uid="{00000000-0005-0000-0000-0000417E0000}"/>
    <cellStyle name="常规 2 11 2 8 2" xfId="32322" xr:uid="{00000000-0005-0000-0000-0000427E0000}"/>
    <cellStyle name="常规 2 11 2 9" xfId="32323" xr:uid="{00000000-0005-0000-0000-0000437E0000}"/>
    <cellStyle name="常规 2 11 3" xfId="32324" xr:uid="{00000000-0005-0000-0000-0000447E0000}"/>
    <cellStyle name="常规 2 11 3 2" xfId="32325" xr:uid="{00000000-0005-0000-0000-0000457E0000}"/>
    <cellStyle name="常规 2 11 3 2 2" xfId="32326" xr:uid="{00000000-0005-0000-0000-0000467E0000}"/>
    <cellStyle name="常规 2 11 3 2 2 2" xfId="32327" xr:uid="{00000000-0005-0000-0000-0000477E0000}"/>
    <cellStyle name="常规 2 11 3 2 3" xfId="32328" xr:uid="{00000000-0005-0000-0000-0000487E0000}"/>
    <cellStyle name="常规 2 11 3 2 4" xfId="32329" xr:uid="{00000000-0005-0000-0000-0000497E0000}"/>
    <cellStyle name="常规 2 11 3 2 5" xfId="32330" xr:uid="{00000000-0005-0000-0000-00004A7E0000}"/>
    <cellStyle name="常规 2 11 3 2 5 2" xfId="32331" xr:uid="{00000000-0005-0000-0000-00004B7E0000}"/>
    <cellStyle name="常规 2 11 3 2 6" xfId="32332" xr:uid="{00000000-0005-0000-0000-00004C7E0000}"/>
    <cellStyle name="常规 2 11 3 3" xfId="32333" xr:uid="{00000000-0005-0000-0000-00004D7E0000}"/>
    <cellStyle name="常规 2 11 3 3 2" xfId="32334" xr:uid="{00000000-0005-0000-0000-00004E7E0000}"/>
    <cellStyle name="常规 2 11 3 3 2 2" xfId="32335" xr:uid="{00000000-0005-0000-0000-00004F7E0000}"/>
    <cellStyle name="常规 2 11 3 4" xfId="32336" xr:uid="{00000000-0005-0000-0000-0000507E0000}"/>
    <cellStyle name="常规 2 11 3 4 2" xfId="32337" xr:uid="{00000000-0005-0000-0000-0000517E0000}"/>
    <cellStyle name="常规 2 11 3 4 3" xfId="32338" xr:uid="{00000000-0005-0000-0000-0000527E0000}"/>
    <cellStyle name="常规 2 11 3 5" xfId="32339" xr:uid="{00000000-0005-0000-0000-0000537E0000}"/>
    <cellStyle name="常规 2 11 3 5 2" xfId="32340" xr:uid="{00000000-0005-0000-0000-0000547E0000}"/>
    <cellStyle name="常规 2 11 3 6" xfId="32341" xr:uid="{00000000-0005-0000-0000-0000557E0000}"/>
    <cellStyle name="常规 2 11 3 6 2" xfId="32342" xr:uid="{00000000-0005-0000-0000-0000567E0000}"/>
    <cellStyle name="常规 2 11 3 7" xfId="32343" xr:uid="{00000000-0005-0000-0000-0000577E0000}"/>
    <cellStyle name="常规 2 11 4" xfId="32344" xr:uid="{00000000-0005-0000-0000-0000587E0000}"/>
    <cellStyle name="常规 2 11 4 2" xfId="32345" xr:uid="{00000000-0005-0000-0000-0000597E0000}"/>
    <cellStyle name="常规 2 11 4 2 2" xfId="32346" xr:uid="{00000000-0005-0000-0000-00005A7E0000}"/>
    <cellStyle name="常规 2 11 4 2 3" xfId="32347" xr:uid="{00000000-0005-0000-0000-00005B7E0000}"/>
    <cellStyle name="常规 2 11 4 2 4" xfId="32348" xr:uid="{00000000-0005-0000-0000-00005C7E0000}"/>
    <cellStyle name="常规 2 11 4 3" xfId="32349" xr:uid="{00000000-0005-0000-0000-00005D7E0000}"/>
    <cellStyle name="常规 2 11 4 4" xfId="32350" xr:uid="{00000000-0005-0000-0000-00005E7E0000}"/>
    <cellStyle name="常规 2 11 4 5" xfId="32351" xr:uid="{00000000-0005-0000-0000-00005F7E0000}"/>
    <cellStyle name="常规 2 11 4 6" xfId="32352" xr:uid="{00000000-0005-0000-0000-0000607E0000}"/>
    <cellStyle name="常规 2 11 4 6 2" xfId="32353" xr:uid="{00000000-0005-0000-0000-0000617E0000}"/>
    <cellStyle name="常规 2 11 5" xfId="32354" xr:uid="{00000000-0005-0000-0000-0000627E0000}"/>
    <cellStyle name="常规 2 11 5 2" xfId="32355" xr:uid="{00000000-0005-0000-0000-0000637E0000}"/>
    <cellStyle name="常规 2 11 5 3" xfId="32356" xr:uid="{00000000-0005-0000-0000-0000647E0000}"/>
    <cellStyle name="常规 2 11 5 4" xfId="32357" xr:uid="{00000000-0005-0000-0000-0000657E0000}"/>
    <cellStyle name="常规 2 11 5 5" xfId="32358" xr:uid="{00000000-0005-0000-0000-0000667E0000}"/>
    <cellStyle name="常规 2 11 5 5 2" xfId="32359" xr:uid="{00000000-0005-0000-0000-0000677E0000}"/>
    <cellStyle name="常规 2 11 6" xfId="32360" xr:uid="{00000000-0005-0000-0000-0000687E0000}"/>
    <cellStyle name="常规 2 11 6 2" xfId="32361" xr:uid="{00000000-0005-0000-0000-0000697E0000}"/>
    <cellStyle name="常规 2 11 6 2 2" xfId="32362" xr:uid="{00000000-0005-0000-0000-00006A7E0000}"/>
    <cellStyle name="常规 2 11 7" xfId="32363" xr:uid="{00000000-0005-0000-0000-00006B7E0000}"/>
    <cellStyle name="常规 2 11 7 2" xfId="32364" xr:uid="{00000000-0005-0000-0000-00006C7E0000}"/>
    <cellStyle name="常规 2 11 7 2 2" xfId="32365" xr:uid="{00000000-0005-0000-0000-00006D7E0000}"/>
    <cellStyle name="常规 2 11 8" xfId="32366" xr:uid="{00000000-0005-0000-0000-00006E7E0000}"/>
    <cellStyle name="常规 2 11 8 2" xfId="32367" xr:uid="{00000000-0005-0000-0000-00006F7E0000}"/>
    <cellStyle name="常规 2 11 8 3" xfId="32368" xr:uid="{00000000-0005-0000-0000-0000707E0000}"/>
    <cellStyle name="常规 2 11 9" xfId="32369" xr:uid="{00000000-0005-0000-0000-0000717E0000}"/>
    <cellStyle name="常规 2 11 9 2" xfId="32370" xr:uid="{00000000-0005-0000-0000-0000727E0000}"/>
    <cellStyle name="常规 2 12" xfId="32371" xr:uid="{00000000-0005-0000-0000-0000737E0000}"/>
    <cellStyle name="常规 2 12 2" xfId="32372" xr:uid="{00000000-0005-0000-0000-0000747E0000}"/>
    <cellStyle name="常规 2 12 2 2" xfId="32373" xr:uid="{00000000-0005-0000-0000-0000757E0000}"/>
    <cellStyle name="常规 2 12 2 2 2" xfId="32374" xr:uid="{00000000-0005-0000-0000-0000767E0000}"/>
    <cellStyle name="常规 2 12 2 2 3" xfId="32375" xr:uid="{00000000-0005-0000-0000-0000777E0000}"/>
    <cellStyle name="常规 2 12 2 2 4" xfId="32376" xr:uid="{00000000-0005-0000-0000-0000787E0000}"/>
    <cellStyle name="常规 2 12 2 2 5" xfId="32377" xr:uid="{00000000-0005-0000-0000-0000797E0000}"/>
    <cellStyle name="常规 2 12 2 2 5 2" xfId="32378" xr:uid="{00000000-0005-0000-0000-00007A7E0000}"/>
    <cellStyle name="常规 2 12 2 3" xfId="32379" xr:uid="{00000000-0005-0000-0000-00007B7E0000}"/>
    <cellStyle name="常规 2 12 2 3 2" xfId="32380" xr:uid="{00000000-0005-0000-0000-00007C7E0000}"/>
    <cellStyle name="常规 2 12 2 3 2 2" xfId="32381" xr:uid="{00000000-0005-0000-0000-00007D7E0000}"/>
    <cellStyle name="常规 2 12 2 4" xfId="32382" xr:uid="{00000000-0005-0000-0000-00007E7E0000}"/>
    <cellStyle name="常规 2 12 2 4 2" xfId="32383" xr:uid="{00000000-0005-0000-0000-00007F7E0000}"/>
    <cellStyle name="常规 2 12 2 4 2 2" xfId="32384" xr:uid="{00000000-0005-0000-0000-0000807E0000}"/>
    <cellStyle name="常规 2 12 2 5" xfId="32385" xr:uid="{00000000-0005-0000-0000-0000817E0000}"/>
    <cellStyle name="常规 2 12 2 5 2" xfId="32386" xr:uid="{00000000-0005-0000-0000-0000827E0000}"/>
    <cellStyle name="常规 2 12 2 5 3" xfId="32387" xr:uid="{00000000-0005-0000-0000-0000837E0000}"/>
    <cellStyle name="常规 2 12 2 6" xfId="32388" xr:uid="{00000000-0005-0000-0000-0000847E0000}"/>
    <cellStyle name="常规 2 12 2 6 2" xfId="32389" xr:uid="{00000000-0005-0000-0000-0000857E0000}"/>
    <cellStyle name="常规 2 12 2 7" xfId="32390" xr:uid="{00000000-0005-0000-0000-0000867E0000}"/>
    <cellStyle name="常规 2 12 3" xfId="32391" xr:uid="{00000000-0005-0000-0000-0000877E0000}"/>
    <cellStyle name="常规 2 12 3 2" xfId="32392" xr:uid="{00000000-0005-0000-0000-0000887E0000}"/>
    <cellStyle name="常规 2 12 3 2 2" xfId="32393" xr:uid="{00000000-0005-0000-0000-0000897E0000}"/>
    <cellStyle name="常规 2 12 3 2 3" xfId="32394" xr:uid="{00000000-0005-0000-0000-00008A7E0000}"/>
    <cellStyle name="常规 2 12 3 2 4" xfId="32395" xr:uid="{00000000-0005-0000-0000-00008B7E0000}"/>
    <cellStyle name="常规 2 12 3 3" xfId="32396" xr:uid="{00000000-0005-0000-0000-00008C7E0000}"/>
    <cellStyle name="常规 2 12 3 4" xfId="32397" xr:uid="{00000000-0005-0000-0000-00008D7E0000}"/>
    <cellStyle name="常规 2 12 3 5" xfId="32398" xr:uid="{00000000-0005-0000-0000-00008E7E0000}"/>
    <cellStyle name="常规 2 12 3 6" xfId="32399" xr:uid="{00000000-0005-0000-0000-00008F7E0000}"/>
    <cellStyle name="常规 2 12 3 6 2" xfId="32400" xr:uid="{00000000-0005-0000-0000-0000907E0000}"/>
    <cellStyle name="常规 2 12 4" xfId="32401" xr:uid="{00000000-0005-0000-0000-0000917E0000}"/>
    <cellStyle name="常规 2 12 4 2" xfId="32402" xr:uid="{00000000-0005-0000-0000-0000927E0000}"/>
    <cellStyle name="常规 2 12 4 3" xfId="32403" xr:uid="{00000000-0005-0000-0000-0000937E0000}"/>
    <cellStyle name="常规 2 12 4 4" xfId="32404" xr:uid="{00000000-0005-0000-0000-0000947E0000}"/>
    <cellStyle name="常规 2 12 4 5" xfId="32405" xr:uid="{00000000-0005-0000-0000-0000957E0000}"/>
    <cellStyle name="常规 2 12 4 5 2" xfId="32406" xr:uid="{00000000-0005-0000-0000-0000967E0000}"/>
    <cellStyle name="常规 2 12 5" xfId="32407" xr:uid="{00000000-0005-0000-0000-0000977E0000}"/>
    <cellStyle name="常规 2 12 5 2" xfId="32408" xr:uid="{00000000-0005-0000-0000-0000987E0000}"/>
    <cellStyle name="常规 2 12 5 2 2" xfId="32409" xr:uid="{00000000-0005-0000-0000-0000997E0000}"/>
    <cellStyle name="常规 2 12 6" xfId="32410" xr:uid="{00000000-0005-0000-0000-00009A7E0000}"/>
    <cellStyle name="常规 2 12 6 2" xfId="32411" xr:uid="{00000000-0005-0000-0000-00009B7E0000}"/>
    <cellStyle name="常规 2 12 6 2 2" xfId="32412" xr:uid="{00000000-0005-0000-0000-00009C7E0000}"/>
    <cellStyle name="常规 2 12 7" xfId="32413" xr:uid="{00000000-0005-0000-0000-00009D7E0000}"/>
    <cellStyle name="常规 2 12 7 2" xfId="32414" xr:uid="{00000000-0005-0000-0000-00009E7E0000}"/>
    <cellStyle name="常规 2 12 7 2 2" xfId="32415" xr:uid="{00000000-0005-0000-0000-00009F7E0000}"/>
    <cellStyle name="常规 2 12 8" xfId="32416" xr:uid="{00000000-0005-0000-0000-0000A07E0000}"/>
    <cellStyle name="常规 2 12 8 2" xfId="32417" xr:uid="{00000000-0005-0000-0000-0000A17E0000}"/>
    <cellStyle name="常规 2 12 8 3" xfId="32418" xr:uid="{00000000-0005-0000-0000-0000A27E0000}"/>
    <cellStyle name="常规 2 12 9" xfId="32419" xr:uid="{00000000-0005-0000-0000-0000A37E0000}"/>
    <cellStyle name="常规 2 13" xfId="32420" xr:uid="{00000000-0005-0000-0000-0000A47E0000}"/>
    <cellStyle name="常规 2 13 2" xfId="32421" xr:uid="{00000000-0005-0000-0000-0000A57E0000}"/>
    <cellStyle name="常规 2 13 2 2" xfId="32422" xr:uid="{00000000-0005-0000-0000-0000A67E0000}"/>
    <cellStyle name="常规 2 13 2 2 2" xfId="32423" xr:uid="{00000000-0005-0000-0000-0000A77E0000}"/>
    <cellStyle name="常规 2 13 2 2 2 2" xfId="32424" xr:uid="{00000000-0005-0000-0000-0000A87E0000}"/>
    <cellStyle name="常规 2 13 2 3" xfId="32425" xr:uid="{00000000-0005-0000-0000-0000A97E0000}"/>
    <cellStyle name="常规 2 13 2 3 2" xfId="32426" xr:uid="{00000000-0005-0000-0000-0000AA7E0000}"/>
    <cellStyle name="常规 2 13 2 3 2 2" xfId="32427" xr:uid="{00000000-0005-0000-0000-0000AB7E0000}"/>
    <cellStyle name="常规 2 13 2 4" xfId="32428" xr:uid="{00000000-0005-0000-0000-0000AC7E0000}"/>
    <cellStyle name="常规 2 13 2 4 2" xfId="32429" xr:uid="{00000000-0005-0000-0000-0000AD7E0000}"/>
    <cellStyle name="常规 2 13 2 4 2 2" xfId="32430" xr:uid="{00000000-0005-0000-0000-0000AE7E0000}"/>
    <cellStyle name="常规 2 13 2 5" xfId="32431" xr:uid="{00000000-0005-0000-0000-0000AF7E0000}"/>
    <cellStyle name="常规 2 13 2 5 2" xfId="32432" xr:uid="{00000000-0005-0000-0000-0000B07E0000}"/>
    <cellStyle name="常规 2 13 2 5 3" xfId="32433" xr:uid="{00000000-0005-0000-0000-0000B17E0000}"/>
    <cellStyle name="常规 2 13 2 6" xfId="32434" xr:uid="{00000000-0005-0000-0000-0000B27E0000}"/>
    <cellStyle name="常规 2 13 3" xfId="32435" xr:uid="{00000000-0005-0000-0000-0000B37E0000}"/>
    <cellStyle name="常规 2 13 3 2" xfId="32436" xr:uid="{00000000-0005-0000-0000-0000B47E0000}"/>
    <cellStyle name="常规 2 13 3 2 2" xfId="32437" xr:uid="{00000000-0005-0000-0000-0000B57E0000}"/>
    <cellStyle name="常规 2 13 4" xfId="32438" xr:uid="{00000000-0005-0000-0000-0000B67E0000}"/>
    <cellStyle name="常规 2 13 4 2" xfId="32439" xr:uid="{00000000-0005-0000-0000-0000B77E0000}"/>
    <cellStyle name="常规 2 13 4 2 2" xfId="32440" xr:uid="{00000000-0005-0000-0000-0000B87E0000}"/>
    <cellStyle name="常规 2 13 5" xfId="32441" xr:uid="{00000000-0005-0000-0000-0000B97E0000}"/>
    <cellStyle name="常规 2 13 5 2" xfId="32442" xr:uid="{00000000-0005-0000-0000-0000BA7E0000}"/>
    <cellStyle name="常规 2 13 5 2 2" xfId="32443" xr:uid="{00000000-0005-0000-0000-0000BB7E0000}"/>
    <cellStyle name="常规 2 13 6" xfId="32444" xr:uid="{00000000-0005-0000-0000-0000BC7E0000}"/>
    <cellStyle name="常规 2 13 7" xfId="32445" xr:uid="{00000000-0005-0000-0000-0000BD7E0000}"/>
    <cellStyle name="常规 2 13 7 2" xfId="32446" xr:uid="{00000000-0005-0000-0000-0000BE7E0000}"/>
    <cellStyle name="常规 2 13 7 3" xfId="32447" xr:uid="{00000000-0005-0000-0000-0000BF7E0000}"/>
    <cellStyle name="常规 2 13 8" xfId="32448" xr:uid="{00000000-0005-0000-0000-0000C07E0000}"/>
    <cellStyle name="常规 2 13 8 2" xfId="32449" xr:uid="{00000000-0005-0000-0000-0000C17E0000}"/>
    <cellStyle name="常规 2 14" xfId="32450" xr:uid="{00000000-0005-0000-0000-0000C27E0000}"/>
    <cellStyle name="常规 2 14 2" xfId="32451" xr:uid="{00000000-0005-0000-0000-0000C37E0000}"/>
    <cellStyle name="常规 2 14 2 2" xfId="32452" xr:uid="{00000000-0005-0000-0000-0000C47E0000}"/>
    <cellStyle name="常规 2 14 2 2 2" xfId="32453" xr:uid="{00000000-0005-0000-0000-0000C57E0000}"/>
    <cellStyle name="常规 2 14 2 2 2 2" xfId="32454" xr:uid="{00000000-0005-0000-0000-0000C67E0000}"/>
    <cellStyle name="常规 2 14 2 3" xfId="32455" xr:uid="{00000000-0005-0000-0000-0000C77E0000}"/>
    <cellStyle name="常规 2 14 2 4" xfId="32456" xr:uid="{00000000-0005-0000-0000-0000C87E0000}"/>
    <cellStyle name="常规 2 14 2 5" xfId="32457" xr:uid="{00000000-0005-0000-0000-0000C97E0000}"/>
    <cellStyle name="常规 2 14 2 5 2" xfId="32458" xr:uid="{00000000-0005-0000-0000-0000CA7E0000}"/>
    <cellStyle name="常规 2 14 3" xfId="32459" xr:uid="{00000000-0005-0000-0000-0000CB7E0000}"/>
    <cellStyle name="常规 2 14 3 2" xfId="32460" xr:uid="{00000000-0005-0000-0000-0000CC7E0000}"/>
    <cellStyle name="常规 2 14 3 2 2" xfId="32461" xr:uid="{00000000-0005-0000-0000-0000CD7E0000}"/>
    <cellStyle name="常规 2 14 4" xfId="32462" xr:uid="{00000000-0005-0000-0000-0000CE7E0000}"/>
    <cellStyle name="常规 2 14 4 2" xfId="32463" xr:uid="{00000000-0005-0000-0000-0000CF7E0000}"/>
    <cellStyle name="常规 2 14 4 2 2" xfId="32464" xr:uid="{00000000-0005-0000-0000-0000D07E0000}"/>
    <cellStyle name="常规 2 14 5" xfId="32465" xr:uid="{00000000-0005-0000-0000-0000D17E0000}"/>
    <cellStyle name="常规 2 14 6" xfId="32466" xr:uid="{00000000-0005-0000-0000-0000D27E0000}"/>
    <cellStyle name="常规 2 14 6 2" xfId="32467" xr:uid="{00000000-0005-0000-0000-0000D37E0000}"/>
    <cellStyle name="常规 2 14 7" xfId="32468" xr:uid="{00000000-0005-0000-0000-0000D47E0000}"/>
    <cellStyle name="常规 2 15" xfId="32469" xr:uid="{00000000-0005-0000-0000-0000D57E0000}"/>
    <cellStyle name="常规 2 15 2" xfId="32470" xr:uid="{00000000-0005-0000-0000-0000D67E0000}"/>
    <cellStyle name="常规 2 15 2 2" xfId="32471" xr:uid="{00000000-0005-0000-0000-0000D77E0000}"/>
    <cellStyle name="常规 2 15 2 2 2" xfId="32472" xr:uid="{00000000-0005-0000-0000-0000D87E0000}"/>
    <cellStyle name="常规 2 15 2 2 2 2" xfId="32473" xr:uid="{00000000-0005-0000-0000-0000D97E0000}"/>
    <cellStyle name="常规 2 15 2 3" xfId="32474" xr:uid="{00000000-0005-0000-0000-0000DA7E0000}"/>
    <cellStyle name="常规 2 15 2 3 2" xfId="32475" xr:uid="{00000000-0005-0000-0000-0000DB7E0000}"/>
    <cellStyle name="常规 2 15 2 3 2 2" xfId="32476" xr:uid="{00000000-0005-0000-0000-0000DC7E0000}"/>
    <cellStyle name="常规 2 15 2 4" xfId="32477" xr:uid="{00000000-0005-0000-0000-0000DD7E0000}"/>
    <cellStyle name="常规 2 15 2 4 2" xfId="32478" xr:uid="{00000000-0005-0000-0000-0000DE7E0000}"/>
    <cellStyle name="常规 2 15 2 4 2 2" xfId="32479" xr:uid="{00000000-0005-0000-0000-0000DF7E0000}"/>
    <cellStyle name="常规 2 15 2 5" xfId="32480" xr:uid="{00000000-0005-0000-0000-0000E07E0000}"/>
    <cellStyle name="常规 2 15 2 5 2" xfId="32481" xr:uid="{00000000-0005-0000-0000-0000E17E0000}"/>
    <cellStyle name="常规 2 15 2 5 3" xfId="32482" xr:uid="{00000000-0005-0000-0000-0000E27E0000}"/>
    <cellStyle name="常规 2 15 2 6" xfId="32483" xr:uid="{00000000-0005-0000-0000-0000E37E0000}"/>
    <cellStyle name="常规 2 15 3" xfId="32484" xr:uid="{00000000-0005-0000-0000-0000E47E0000}"/>
    <cellStyle name="常规 2 15 3 2" xfId="32485" xr:uid="{00000000-0005-0000-0000-0000E57E0000}"/>
    <cellStyle name="常规 2 15 3 2 2" xfId="32486" xr:uid="{00000000-0005-0000-0000-0000E67E0000}"/>
    <cellStyle name="常规 2 15 4" xfId="32487" xr:uid="{00000000-0005-0000-0000-0000E77E0000}"/>
    <cellStyle name="常规 2 15 4 2" xfId="32488" xr:uid="{00000000-0005-0000-0000-0000E87E0000}"/>
    <cellStyle name="常规 2 15 4 2 2" xfId="32489" xr:uid="{00000000-0005-0000-0000-0000E97E0000}"/>
    <cellStyle name="常规 2 15 5" xfId="32490" xr:uid="{00000000-0005-0000-0000-0000EA7E0000}"/>
    <cellStyle name="常规 2 15 5 2" xfId="32491" xr:uid="{00000000-0005-0000-0000-0000EB7E0000}"/>
    <cellStyle name="常规 2 15 5 2 2" xfId="32492" xr:uid="{00000000-0005-0000-0000-0000EC7E0000}"/>
    <cellStyle name="常规 2 15 6" xfId="32493" xr:uid="{00000000-0005-0000-0000-0000ED7E0000}"/>
    <cellStyle name="常规 2 15 6 2" xfId="32494" xr:uid="{00000000-0005-0000-0000-0000EE7E0000}"/>
    <cellStyle name="常规 2 15 6 3" xfId="32495" xr:uid="{00000000-0005-0000-0000-0000EF7E0000}"/>
    <cellStyle name="常规 2 15 7" xfId="32496" xr:uid="{00000000-0005-0000-0000-0000F07E0000}"/>
    <cellStyle name="常规 2 15 7 2" xfId="32497" xr:uid="{00000000-0005-0000-0000-0000F17E0000}"/>
    <cellStyle name="常规 2 16" xfId="32498" xr:uid="{00000000-0005-0000-0000-0000F27E0000}"/>
    <cellStyle name="常规 2 16 2" xfId="32499" xr:uid="{00000000-0005-0000-0000-0000F37E0000}"/>
    <cellStyle name="常规 2 16 2 2" xfId="32500" xr:uid="{00000000-0005-0000-0000-0000F47E0000}"/>
    <cellStyle name="常规 2 16 2 2 2" xfId="32501" xr:uid="{00000000-0005-0000-0000-0000F57E0000}"/>
    <cellStyle name="常规 2 16 2 2 2 2" xfId="32502" xr:uid="{00000000-0005-0000-0000-0000F67E0000}"/>
    <cellStyle name="常规 2 16 2 2 3" xfId="32503" xr:uid="{00000000-0005-0000-0000-0000F77E0000}"/>
    <cellStyle name="常规 2 16 2 3" xfId="32504" xr:uid="{00000000-0005-0000-0000-0000F87E0000}"/>
    <cellStyle name="常规 2 16 2 3 2" xfId="32505" xr:uid="{00000000-0005-0000-0000-0000F97E0000}"/>
    <cellStyle name="常规 2 16 2 3 2 2" xfId="32506" xr:uid="{00000000-0005-0000-0000-0000FA7E0000}"/>
    <cellStyle name="常规 2 16 2 4" xfId="32507" xr:uid="{00000000-0005-0000-0000-0000FB7E0000}"/>
    <cellStyle name="常规 2 16 2 4 2" xfId="32508" xr:uid="{00000000-0005-0000-0000-0000FC7E0000}"/>
    <cellStyle name="常规 2 16 2 4 3" xfId="32509" xr:uid="{00000000-0005-0000-0000-0000FD7E0000}"/>
    <cellStyle name="常规 2 16 2 5" xfId="32510" xr:uid="{00000000-0005-0000-0000-0000FE7E0000}"/>
    <cellStyle name="常规 2 16 2 5 2" xfId="32511" xr:uid="{00000000-0005-0000-0000-0000FF7E0000}"/>
    <cellStyle name="常规 2 16 2 6" xfId="32512" xr:uid="{00000000-0005-0000-0000-0000007F0000}"/>
    <cellStyle name="常规 2 16 3" xfId="32513" xr:uid="{00000000-0005-0000-0000-0000017F0000}"/>
    <cellStyle name="常规 2 16 3 2" xfId="32514" xr:uid="{00000000-0005-0000-0000-0000027F0000}"/>
    <cellStyle name="常规 2 16 3 2 2" xfId="32515" xr:uid="{00000000-0005-0000-0000-0000037F0000}"/>
    <cellStyle name="常规 2 16 4" xfId="32516" xr:uid="{00000000-0005-0000-0000-0000047F0000}"/>
    <cellStyle name="常规 2 16 4 2" xfId="32517" xr:uid="{00000000-0005-0000-0000-0000057F0000}"/>
    <cellStyle name="常规 2 16 4 2 2" xfId="32518" xr:uid="{00000000-0005-0000-0000-0000067F0000}"/>
    <cellStyle name="常规 2 16 5" xfId="32519" xr:uid="{00000000-0005-0000-0000-0000077F0000}"/>
    <cellStyle name="常规 2 16 5 2" xfId="32520" xr:uid="{00000000-0005-0000-0000-0000087F0000}"/>
    <cellStyle name="常规 2 16 5 3" xfId="32521" xr:uid="{00000000-0005-0000-0000-0000097F0000}"/>
    <cellStyle name="常规 2 16 6" xfId="32522" xr:uid="{00000000-0005-0000-0000-00000A7F0000}"/>
    <cellStyle name="常规 2 16 6 2" xfId="32523" xr:uid="{00000000-0005-0000-0000-00000B7F0000}"/>
    <cellStyle name="常规 2 16 7" xfId="32524" xr:uid="{00000000-0005-0000-0000-00000C7F0000}"/>
    <cellStyle name="常规 2 17" xfId="32525" xr:uid="{00000000-0005-0000-0000-00000D7F0000}"/>
    <cellStyle name="常规 2 17 2" xfId="32526" xr:uid="{00000000-0005-0000-0000-00000E7F0000}"/>
    <cellStyle name="常规 2 17 2 2" xfId="32527" xr:uid="{00000000-0005-0000-0000-00000F7F0000}"/>
    <cellStyle name="常规 2 17 2 2 2" xfId="32528" xr:uid="{00000000-0005-0000-0000-0000107F0000}"/>
    <cellStyle name="常规 2 17 2 2 2 2" xfId="32529" xr:uid="{00000000-0005-0000-0000-0000117F0000}"/>
    <cellStyle name="常规 2 17 2 3" xfId="32530" xr:uid="{00000000-0005-0000-0000-0000127F0000}"/>
    <cellStyle name="常规 2 17 2 3 2" xfId="32531" xr:uid="{00000000-0005-0000-0000-0000137F0000}"/>
    <cellStyle name="常规 2 17 2 3 2 2" xfId="32532" xr:uid="{00000000-0005-0000-0000-0000147F0000}"/>
    <cellStyle name="常规 2 17 2 4" xfId="32533" xr:uid="{00000000-0005-0000-0000-0000157F0000}"/>
    <cellStyle name="常规 2 17 2 4 2" xfId="32534" xr:uid="{00000000-0005-0000-0000-0000167F0000}"/>
    <cellStyle name="常规 2 17 2 4 3" xfId="32535" xr:uid="{00000000-0005-0000-0000-0000177F0000}"/>
    <cellStyle name="常规 2 17 2 5" xfId="32536" xr:uid="{00000000-0005-0000-0000-0000187F0000}"/>
    <cellStyle name="常规 2 17 2 5 2" xfId="32537" xr:uid="{00000000-0005-0000-0000-0000197F0000}"/>
    <cellStyle name="常规 2 17 2 6" xfId="32538" xr:uid="{00000000-0005-0000-0000-00001A7F0000}"/>
    <cellStyle name="常规 2 17 3" xfId="32539" xr:uid="{00000000-0005-0000-0000-00001B7F0000}"/>
    <cellStyle name="常规 2 17 3 2" xfId="32540" xr:uid="{00000000-0005-0000-0000-00001C7F0000}"/>
    <cellStyle name="常规 2 17 3 2 2" xfId="32541" xr:uid="{00000000-0005-0000-0000-00001D7F0000}"/>
    <cellStyle name="常规 2 17 4" xfId="32542" xr:uid="{00000000-0005-0000-0000-00001E7F0000}"/>
    <cellStyle name="常规 2 17 4 2" xfId="32543" xr:uid="{00000000-0005-0000-0000-00001F7F0000}"/>
    <cellStyle name="常规 2 17 4 2 2" xfId="32544" xr:uid="{00000000-0005-0000-0000-0000207F0000}"/>
    <cellStyle name="常规 2 17 5" xfId="32545" xr:uid="{00000000-0005-0000-0000-0000217F0000}"/>
    <cellStyle name="常规 2 17 5 2" xfId="32546" xr:uid="{00000000-0005-0000-0000-0000227F0000}"/>
    <cellStyle name="常规 2 17 5 3" xfId="32547" xr:uid="{00000000-0005-0000-0000-0000237F0000}"/>
    <cellStyle name="常规 2 17 6" xfId="32548" xr:uid="{00000000-0005-0000-0000-0000247F0000}"/>
    <cellStyle name="常规 2 17 6 2" xfId="32549" xr:uid="{00000000-0005-0000-0000-0000257F0000}"/>
    <cellStyle name="常规 2 17 7" xfId="32550" xr:uid="{00000000-0005-0000-0000-0000267F0000}"/>
    <cellStyle name="常规 2 18" xfId="32551" xr:uid="{00000000-0005-0000-0000-0000277F0000}"/>
    <cellStyle name="常规 2 18 2" xfId="32552" xr:uid="{00000000-0005-0000-0000-0000287F0000}"/>
    <cellStyle name="常规 2 18 2 2" xfId="32553" xr:uid="{00000000-0005-0000-0000-0000297F0000}"/>
    <cellStyle name="常规 2 18 2 2 2" xfId="32554" xr:uid="{00000000-0005-0000-0000-00002A7F0000}"/>
    <cellStyle name="常规 2 18 2 3" xfId="32555" xr:uid="{00000000-0005-0000-0000-00002B7F0000}"/>
    <cellStyle name="常规 2 18 3" xfId="32556" xr:uid="{00000000-0005-0000-0000-00002C7F0000}"/>
    <cellStyle name="常规 2 18 3 2" xfId="32557" xr:uid="{00000000-0005-0000-0000-00002D7F0000}"/>
    <cellStyle name="常规 2 18 3 2 2" xfId="32558" xr:uid="{00000000-0005-0000-0000-00002E7F0000}"/>
    <cellStyle name="常规 2 18 4" xfId="32559" xr:uid="{00000000-0005-0000-0000-00002F7F0000}"/>
    <cellStyle name="常规 2 18 4 2" xfId="32560" xr:uid="{00000000-0005-0000-0000-0000307F0000}"/>
    <cellStyle name="常规 2 18 4 3" xfId="32561" xr:uid="{00000000-0005-0000-0000-0000317F0000}"/>
    <cellStyle name="常规 2 18 5" xfId="32562" xr:uid="{00000000-0005-0000-0000-0000327F0000}"/>
    <cellStyle name="常规 2 18 5 2" xfId="32563" xr:uid="{00000000-0005-0000-0000-0000337F0000}"/>
    <cellStyle name="常规 2 18 6" xfId="32564" xr:uid="{00000000-0005-0000-0000-0000347F0000}"/>
    <cellStyle name="常规 2 19" xfId="32565" xr:uid="{00000000-0005-0000-0000-0000357F0000}"/>
    <cellStyle name="常规 2 19 2" xfId="32566" xr:uid="{00000000-0005-0000-0000-0000367F0000}"/>
    <cellStyle name="常规 2 19 2 2" xfId="32567" xr:uid="{00000000-0005-0000-0000-0000377F0000}"/>
    <cellStyle name="常规 2 19 2 2 2" xfId="32568" xr:uid="{00000000-0005-0000-0000-0000387F0000}"/>
    <cellStyle name="常规 2 19 3" xfId="32569" xr:uid="{00000000-0005-0000-0000-0000397F0000}"/>
    <cellStyle name="常规 2 19 3 2" xfId="32570" xr:uid="{00000000-0005-0000-0000-00003A7F0000}"/>
    <cellStyle name="常规 2 19 3 2 2" xfId="32571" xr:uid="{00000000-0005-0000-0000-00003B7F0000}"/>
    <cellStyle name="常规 2 19 4" xfId="32572" xr:uid="{00000000-0005-0000-0000-00003C7F0000}"/>
    <cellStyle name="常规 2 19 4 2" xfId="32573" xr:uid="{00000000-0005-0000-0000-00003D7F0000}"/>
    <cellStyle name="常规 2 19 5" xfId="32574" xr:uid="{00000000-0005-0000-0000-00003E7F0000}"/>
    <cellStyle name="常规 2 2" xfId="32575" xr:uid="{00000000-0005-0000-0000-00003F7F0000}"/>
    <cellStyle name="常规 2 2 10" xfId="32576" xr:uid="{00000000-0005-0000-0000-0000407F0000}"/>
    <cellStyle name="常规 2 2 10 2" xfId="32577" xr:uid="{00000000-0005-0000-0000-0000417F0000}"/>
    <cellStyle name="常规 2 2 10 2 2" xfId="32578" xr:uid="{00000000-0005-0000-0000-0000427F0000}"/>
    <cellStyle name="常规 2 2 10 2 3" xfId="32579" xr:uid="{00000000-0005-0000-0000-0000437F0000}"/>
    <cellStyle name="常规 2 2 10 2 4" xfId="32580" xr:uid="{00000000-0005-0000-0000-0000447F0000}"/>
    <cellStyle name="常规 2 2 10 2 4 2" xfId="32581" xr:uid="{00000000-0005-0000-0000-0000457F0000}"/>
    <cellStyle name="常规 2 2 10 2 4 3" xfId="32582" xr:uid="{00000000-0005-0000-0000-0000467F0000}"/>
    <cellStyle name="常规 2 2 10 2 5" xfId="32583" xr:uid="{00000000-0005-0000-0000-0000477F0000}"/>
    <cellStyle name="常规 2 2 10 2 5 2" xfId="32584" xr:uid="{00000000-0005-0000-0000-0000487F0000}"/>
    <cellStyle name="常规 2 2 10 3" xfId="32585" xr:uid="{00000000-0005-0000-0000-0000497F0000}"/>
    <cellStyle name="常规 2 2 10 3 2" xfId="32586" xr:uid="{00000000-0005-0000-0000-00004A7F0000}"/>
    <cellStyle name="常规 2 2 10 3 2 2" xfId="32587" xr:uid="{00000000-0005-0000-0000-00004B7F0000}"/>
    <cellStyle name="常规 2 2 10 4" xfId="32588" xr:uid="{00000000-0005-0000-0000-00004C7F0000}"/>
    <cellStyle name="常规 2 2 10 4 2" xfId="32589" xr:uid="{00000000-0005-0000-0000-00004D7F0000}"/>
    <cellStyle name="常规 2 2 10 4 2 2" xfId="32590" xr:uid="{00000000-0005-0000-0000-00004E7F0000}"/>
    <cellStyle name="常规 2 2 10 5" xfId="32591" xr:uid="{00000000-0005-0000-0000-00004F7F0000}"/>
    <cellStyle name="常规 2 2 10 6" xfId="32592" xr:uid="{00000000-0005-0000-0000-0000507F0000}"/>
    <cellStyle name="常规 2 2 10 7" xfId="32593" xr:uid="{00000000-0005-0000-0000-0000517F0000}"/>
    <cellStyle name="常规 2 2 10 7 2" xfId="32594" xr:uid="{00000000-0005-0000-0000-0000527F0000}"/>
    <cellStyle name="常规 2 2 10 7 3" xfId="32595" xr:uid="{00000000-0005-0000-0000-0000537F0000}"/>
    <cellStyle name="常规 2 2 10 8" xfId="32596" xr:uid="{00000000-0005-0000-0000-0000547F0000}"/>
    <cellStyle name="常规 2 2 10 8 2" xfId="32597" xr:uid="{00000000-0005-0000-0000-0000557F0000}"/>
    <cellStyle name="常规 2 2 11" xfId="32598" xr:uid="{00000000-0005-0000-0000-0000567F0000}"/>
    <cellStyle name="常规 2 2 11 2" xfId="32599" xr:uid="{00000000-0005-0000-0000-0000577F0000}"/>
    <cellStyle name="常规 2 2 11 2 2" xfId="32600" xr:uid="{00000000-0005-0000-0000-0000587F0000}"/>
    <cellStyle name="常规 2 2 11 3" xfId="32601" xr:uid="{00000000-0005-0000-0000-0000597F0000}"/>
    <cellStyle name="常规 2 2 11 4" xfId="32602" xr:uid="{00000000-0005-0000-0000-00005A7F0000}"/>
    <cellStyle name="常规 2 2 11 5" xfId="32603" xr:uid="{00000000-0005-0000-0000-00005B7F0000}"/>
    <cellStyle name="常规 2 2 11 5 2" xfId="32604" xr:uid="{00000000-0005-0000-0000-00005C7F0000}"/>
    <cellStyle name="常规 2 2 11 6" xfId="32605" xr:uid="{00000000-0005-0000-0000-00005D7F0000}"/>
    <cellStyle name="常规 2 2 12" xfId="32606" xr:uid="{00000000-0005-0000-0000-00005E7F0000}"/>
    <cellStyle name="常规 2 2 12 2" xfId="32607" xr:uid="{00000000-0005-0000-0000-00005F7F0000}"/>
    <cellStyle name="常规 2 2 12 3" xfId="32608" xr:uid="{00000000-0005-0000-0000-0000607F0000}"/>
    <cellStyle name="常规 2 2 12 3 2" xfId="32609" xr:uid="{00000000-0005-0000-0000-0000617F0000}"/>
    <cellStyle name="常规 2 2 12 3 2 2" xfId="32610" xr:uid="{00000000-0005-0000-0000-0000627F0000}"/>
    <cellStyle name="常规 2 2 12 4" xfId="32611" xr:uid="{00000000-0005-0000-0000-0000637F0000}"/>
    <cellStyle name="常规 2 2 12 4 2" xfId="32612" xr:uid="{00000000-0005-0000-0000-0000647F0000}"/>
    <cellStyle name="常规 2 2 12 4 3" xfId="32613" xr:uid="{00000000-0005-0000-0000-0000657F0000}"/>
    <cellStyle name="常规 2 2 13" xfId="32614" xr:uid="{00000000-0005-0000-0000-0000667F0000}"/>
    <cellStyle name="常规 2 2 13 2" xfId="32615" xr:uid="{00000000-0005-0000-0000-0000677F0000}"/>
    <cellStyle name="常规 2 2 13 2 2" xfId="32616" xr:uid="{00000000-0005-0000-0000-0000687F0000}"/>
    <cellStyle name="常规 2 2 13 2 2 2" xfId="32617" xr:uid="{00000000-0005-0000-0000-0000697F0000}"/>
    <cellStyle name="常规 2 2 13 2 2 2 2" xfId="32618" xr:uid="{00000000-0005-0000-0000-00006A7F0000}"/>
    <cellStyle name="常规 2 2 13 2 3" xfId="32619" xr:uid="{00000000-0005-0000-0000-00006B7F0000}"/>
    <cellStyle name="常规 2 2 13 2 3 2" xfId="32620" xr:uid="{00000000-0005-0000-0000-00006C7F0000}"/>
    <cellStyle name="常规 2 2 13 2 4" xfId="32621" xr:uid="{00000000-0005-0000-0000-00006D7F0000}"/>
    <cellStyle name="常规 2 2 13 2 4 2" xfId="32622" xr:uid="{00000000-0005-0000-0000-00006E7F0000}"/>
    <cellStyle name="常规 2 2 13 2 5" xfId="32623" xr:uid="{00000000-0005-0000-0000-00006F7F0000}"/>
    <cellStyle name="常规 2 2 13 3" xfId="32624" xr:uid="{00000000-0005-0000-0000-0000707F0000}"/>
    <cellStyle name="常规 2 2 13 4" xfId="32625" xr:uid="{00000000-0005-0000-0000-0000717F0000}"/>
    <cellStyle name="常规 2 2 13 4 2" xfId="32626" xr:uid="{00000000-0005-0000-0000-0000727F0000}"/>
    <cellStyle name="常规 2 2 13 4 2 2" xfId="32627" xr:uid="{00000000-0005-0000-0000-0000737F0000}"/>
    <cellStyle name="常规 2 2 13 4 3" xfId="32628" xr:uid="{00000000-0005-0000-0000-0000747F0000}"/>
    <cellStyle name="常规 2 2 13 5" xfId="32629" xr:uid="{00000000-0005-0000-0000-0000757F0000}"/>
    <cellStyle name="常规 2 2 13 5 2" xfId="32630" xr:uid="{00000000-0005-0000-0000-0000767F0000}"/>
    <cellStyle name="常规 2 2 13 5 2 2" xfId="32631" xr:uid="{00000000-0005-0000-0000-0000777F0000}"/>
    <cellStyle name="常规 2 2 13 6" xfId="32632" xr:uid="{00000000-0005-0000-0000-0000787F0000}"/>
    <cellStyle name="常规 2 2 13 6 2" xfId="32633" xr:uid="{00000000-0005-0000-0000-0000797F0000}"/>
    <cellStyle name="常规 2 2 13 7" xfId="32634" xr:uid="{00000000-0005-0000-0000-00007A7F0000}"/>
    <cellStyle name="常规 2 2 14" xfId="32635" xr:uid="{00000000-0005-0000-0000-00007B7F0000}"/>
    <cellStyle name="常规 2 2 14 2" xfId="32636" xr:uid="{00000000-0005-0000-0000-00007C7F0000}"/>
    <cellStyle name="常规 2 2 14 2 2" xfId="32637" xr:uid="{00000000-0005-0000-0000-00007D7F0000}"/>
    <cellStyle name="常规 2 2 14 2 2 2" xfId="32638" xr:uid="{00000000-0005-0000-0000-00007E7F0000}"/>
    <cellStyle name="常规 2 2 14 2 2 2 2" xfId="32639" xr:uid="{00000000-0005-0000-0000-00007F7F0000}"/>
    <cellStyle name="常规 2 2 14 2 3" xfId="32640" xr:uid="{00000000-0005-0000-0000-0000807F0000}"/>
    <cellStyle name="常规 2 2 14 2 3 2" xfId="32641" xr:uid="{00000000-0005-0000-0000-0000817F0000}"/>
    <cellStyle name="常规 2 2 14 2 4" xfId="32642" xr:uid="{00000000-0005-0000-0000-0000827F0000}"/>
    <cellStyle name="常规 2 2 14 2 4 2" xfId="32643" xr:uid="{00000000-0005-0000-0000-0000837F0000}"/>
    <cellStyle name="常规 2 2 14 2 5" xfId="32644" xr:uid="{00000000-0005-0000-0000-0000847F0000}"/>
    <cellStyle name="常规 2 2 14 3" xfId="32645" xr:uid="{00000000-0005-0000-0000-0000857F0000}"/>
    <cellStyle name="常规 2 2 14 3 2" xfId="32646" xr:uid="{00000000-0005-0000-0000-0000867F0000}"/>
    <cellStyle name="常规 2 2 14 3 2 2" xfId="32647" xr:uid="{00000000-0005-0000-0000-0000877F0000}"/>
    <cellStyle name="常规 2 2 14 4" xfId="32648" xr:uid="{00000000-0005-0000-0000-0000887F0000}"/>
    <cellStyle name="常规 2 2 14 4 2" xfId="32649" xr:uid="{00000000-0005-0000-0000-0000897F0000}"/>
    <cellStyle name="常规 2 2 14 5" xfId="32650" xr:uid="{00000000-0005-0000-0000-00008A7F0000}"/>
    <cellStyle name="常规 2 2 14 5 2" xfId="32651" xr:uid="{00000000-0005-0000-0000-00008B7F0000}"/>
    <cellStyle name="常规 2 2 14 6" xfId="32652" xr:uid="{00000000-0005-0000-0000-00008C7F0000}"/>
    <cellStyle name="常规 2 2 15" xfId="32653" xr:uid="{00000000-0005-0000-0000-00008D7F0000}"/>
    <cellStyle name="常规 2 2 15 2" xfId="32654" xr:uid="{00000000-0005-0000-0000-00008E7F0000}"/>
    <cellStyle name="常规 2 2 15 2 2" xfId="32655" xr:uid="{00000000-0005-0000-0000-00008F7F0000}"/>
    <cellStyle name="常规 2 2 15 2 2 2" xfId="32656" xr:uid="{00000000-0005-0000-0000-0000907F0000}"/>
    <cellStyle name="常规 2 2 15 2 2 2 2" xfId="32657" xr:uid="{00000000-0005-0000-0000-0000917F0000}"/>
    <cellStyle name="常规 2 2 15 2 3" xfId="32658" xr:uid="{00000000-0005-0000-0000-0000927F0000}"/>
    <cellStyle name="常规 2 2 15 2 3 2" xfId="32659" xr:uid="{00000000-0005-0000-0000-0000937F0000}"/>
    <cellStyle name="常规 2 2 15 2 4" xfId="32660" xr:uid="{00000000-0005-0000-0000-0000947F0000}"/>
    <cellStyle name="常规 2 2 15 2 4 2" xfId="32661" xr:uid="{00000000-0005-0000-0000-0000957F0000}"/>
    <cellStyle name="常规 2 2 15 2 5" xfId="32662" xr:uid="{00000000-0005-0000-0000-0000967F0000}"/>
    <cellStyle name="常规 2 2 15 3" xfId="32663" xr:uid="{00000000-0005-0000-0000-0000977F0000}"/>
    <cellStyle name="常规 2 2 15 3 2" xfId="32664" xr:uid="{00000000-0005-0000-0000-0000987F0000}"/>
    <cellStyle name="常规 2 2 15 3 2 2" xfId="32665" xr:uid="{00000000-0005-0000-0000-0000997F0000}"/>
    <cellStyle name="常规 2 2 15 4" xfId="32666" xr:uid="{00000000-0005-0000-0000-00009A7F0000}"/>
    <cellStyle name="常规 2 2 15 4 2" xfId="32667" xr:uid="{00000000-0005-0000-0000-00009B7F0000}"/>
    <cellStyle name="常规 2 2 15 4 2 2" xfId="32668" xr:uid="{00000000-0005-0000-0000-00009C7F0000}"/>
    <cellStyle name="常规 2 2 15 5" xfId="32669" xr:uid="{00000000-0005-0000-0000-00009D7F0000}"/>
    <cellStyle name="常规 2 2 15 5 2" xfId="32670" xr:uid="{00000000-0005-0000-0000-00009E7F0000}"/>
    <cellStyle name="常规 2 2 15 6" xfId="32671" xr:uid="{00000000-0005-0000-0000-00009F7F0000}"/>
    <cellStyle name="常规 2 2 16" xfId="32672" xr:uid="{00000000-0005-0000-0000-0000A07F0000}"/>
    <cellStyle name="常规 2 2 16 2" xfId="32673" xr:uid="{00000000-0005-0000-0000-0000A17F0000}"/>
    <cellStyle name="常规 2 2 16 2 2" xfId="32674" xr:uid="{00000000-0005-0000-0000-0000A27F0000}"/>
    <cellStyle name="常规 2 2 16 2 2 2" xfId="32675" xr:uid="{00000000-0005-0000-0000-0000A37F0000}"/>
    <cellStyle name="常规 2 2 16 3" xfId="32676" xr:uid="{00000000-0005-0000-0000-0000A47F0000}"/>
    <cellStyle name="常规 2 2 16 3 2" xfId="32677" xr:uid="{00000000-0005-0000-0000-0000A57F0000}"/>
    <cellStyle name="常规 2 2 17" xfId="32678" xr:uid="{00000000-0005-0000-0000-0000A67F0000}"/>
    <cellStyle name="常规 2 2 17 2" xfId="32679" xr:uid="{00000000-0005-0000-0000-0000A77F0000}"/>
    <cellStyle name="常规 2 2 17 2 2" xfId="32680" xr:uid="{00000000-0005-0000-0000-0000A87F0000}"/>
    <cellStyle name="常规 2 2 17 3" xfId="32681" xr:uid="{00000000-0005-0000-0000-0000A97F0000}"/>
    <cellStyle name="常规 2 2 17 3 2" xfId="32682" xr:uid="{00000000-0005-0000-0000-0000AA7F0000}"/>
    <cellStyle name="常规 2 2 17 3 3" xfId="32683" xr:uid="{00000000-0005-0000-0000-0000AB7F0000}"/>
    <cellStyle name="常规 2 2 17 4" xfId="32684" xr:uid="{00000000-0005-0000-0000-0000AC7F0000}"/>
    <cellStyle name="常规 2 2 17 4 2" xfId="32685" xr:uid="{00000000-0005-0000-0000-0000AD7F0000}"/>
    <cellStyle name="常规 2 2 17 5" xfId="32686" xr:uid="{00000000-0005-0000-0000-0000AE7F0000}"/>
    <cellStyle name="常规 2 2 18" xfId="32687" xr:uid="{00000000-0005-0000-0000-0000AF7F0000}"/>
    <cellStyle name="常规 2 2 18 2" xfId="32688" xr:uid="{00000000-0005-0000-0000-0000B07F0000}"/>
    <cellStyle name="常规 2 2 18 3" xfId="32689" xr:uid="{00000000-0005-0000-0000-0000B17F0000}"/>
    <cellStyle name="常规 2 2 19" xfId="32690" xr:uid="{00000000-0005-0000-0000-0000B27F0000}"/>
    <cellStyle name="常规 2 2 19 2" xfId="32691" xr:uid="{00000000-0005-0000-0000-0000B37F0000}"/>
    <cellStyle name="常规 2 2 19 3" xfId="32692" xr:uid="{00000000-0005-0000-0000-0000B47F0000}"/>
    <cellStyle name="常规 2 2 2" xfId="32693" xr:uid="{00000000-0005-0000-0000-0000B57F0000}"/>
    <cellStyle name="常规 2 2 2 10" xfId="32694" xr:uid="{00000000-0005-0000-0000-0000B67F0000}"/>
    <cellStyle name="常规 2 2 2 10 2" xfId="32695" xr:uid="{00000000-0005-0000-0000-0000B77F0000}"/>
    <cellStyle name="常规 2 2 2 10 3" xfId="32696" xr:uid="{00000000-0005-0000-0000-0000B87F0000}"/>
    <cellStyle name="常规 2 2 2 10 4" xfId="32697" xr:uid="{00000000-0005-0000-0000-0000B97F0000}"/>
    <cellStyle name="常规 2 2 2 11" xfId="32698" xr:uid="{00000000-0005-0000-0000-0000BA7F0000}"/>
    <cellStyle name="常规 2 2 2 12" xfId="32699" xr:uid="{00000000-0005-0000-0000-0000BB7F0000}"/>
    <cellStyle name="常规 2 2 2 12 2" xfId="32700" xr:uid="{00000000-0005-0000-0000-0000BC7F0000}"/>
    <cellStyle name="常规 2 2 2 2" xfId="32701" xr:uid="{00000000-0005-0000-0000-0000BD7F0000}"/>
    <cellStyle name="常规 2 2 2 2 10" xfId="32702" xr:uid="{00000000-0005-0000-0000-0000BE7F0000}"/>
    <cellStyle name="常规 2 2 2 2 2" xfId="32703" xr:uid="{00000000-0005-0000-0000-0000BF7F0000}"/>
    <cellStyle name="常规 2 2 2 2 2 2" xfId="32704" xr:uid="{00000000-0005-0000-0000-0000C07F0000}"/>
    <cellStyle name="常规 2 2 2 2 2 2 2" xfId="32705" xr:uid="{00000000-0005-0000-0000-0000C17F0000}"/>
    <cellStyle name="常规 2 2 2 2 2 2 2 2" xfId="32706" xr:uid="{00000000-0005-0000-0000-0000C27F0000}"/>
    <cellStyle name="常规 2 2 2 2 2 2 2 2 2" xfId="32707" xr:uid="{00000000-0005-0000-0000-0000C37F0000}"/>
    <cellStyle name="常规 2 2 2 2 2 2 2 2 3" xfId="32708" xr:uid="{00000000-0005-0000-0000-0000C47F0000}"/>
    <cellStyle name="常规 2 2 2 2 2 2 2 2 4" xfId="32709" xr:uid="{00000000-0005-0000-0000-0000C57F0000}"/>
    <cellStyle name="常规 2 2 2 2 2 2 2 3" xfId="32710" xr:uid="{00000000-0005-0000-0000-0000C67F0000}"/>
    <cellStyle name="常规 2 2 2 2 2 2 2 4" xfId="32711" xr:uid="{00000000-0005-0000-0000-0000C77F0000}"/>
    <cellStyle name="常规 2 2 2 2 2 2 2 5" xfId="32712" xr:uid="{00000000-0005-0000-0000-0000C87F0000}"/>
    <cellStyle name="常规 2 2 2 2 2 2 2 6" xfId="32713" xr:uid="{00000000-0005-0000-0000-0000C97F0000}"/>
    <cellStyle name="常规 2 2 2 2 2 2 3" xfId="32714" xr:uid="{00000000-0005-0000-0000-0000CA7F0000}"/>
    <cellStyle name="常规 2 2 2 2 2 2 3 2" xfId="32715" xr:uid="{00000000-0005-0000-0000-0000CB7F0000}"/>
    <cellStyle name="常规 2 2 2 2 2 2 3 2 2" xfId="32716" xr:uid="{00000000-0005-0000-0000-0000CC7F0000}"/>
    <cellStyle name="常规 2 2 2 2 2 2 3 2 3" xfId="32717" xr:uid="{00000000-0005-0000-0000-0000CD7F0000}"/>
    <cellStyle name="常规 2 2 2 2 2 2 3 2 4" xfId="32718" xr:uid="{00000000-0005-0000-0000-0000CE7F0000}"/>
    <cellStyle name="常规 2 2 2 2 2 2 3 3" xfId="32719" xr:uid="{00000000-0005-0000-0000-0000CF7F0000}"/>
    <cellStyle name="常规 2 2 2 2 2 2 3 4" xfId="32720" xr:uid="{00000000-0005-0000-0000-0000D07F0000}"/>
    <cellStyle name="常规 2 2 2 2 2 2 3 5" xfId="32721" xr:uid="{00000000-0005-0000-0000-0000D17F0000}"/>
    <cellStyle name="常规 2 2 2 2 2 2 4" xfId="32722" xr:uid="{00000000-0005-0000-0000-0000D27F0000}"/>
    <cellStyle name="常规 2 2 2 2 2 2 4 2" xfId="32723" xr:uid="{00000000-0005-0000-0000-0000D37F0000}"/>
    <cellStyle name="常规 2 2 2 2 2 2 4 3" xfId="32724" xr:uid="{00000000-0005-0000-0000-0000D47F0000}"/>
    <cellStyle name="常规 2 2 2 2 2 2 4 4" xfId="32725" xr:uid="{00000000-0005-0000-0000-0000D57F0000}"/>
    <cellStyle name="常规 2 2 2 2 2 2 5" xfId="32726" xr:uid="{00000000-0005-0000-0000-0000D67F0000}"/>
    <cellStyle name="常规 2 2 2 2 2 2 6" xfId="32727" xr:uid="{00000000-0005-0000-0000-0000D77F0000}"/>
    <cellStyle name="常规 2 2 2 2 2 2 7" xfId="32728" xr:uid="{00000000-0005-0000-0000-0000D87F0000}"/>
    <cellStyle name="常规 2 2 2 2 2 2 8" xfId="32729" xr:uid="{00000000-0005-0000-0000-0000D97F0000}"/>
    <cellStyle name="常规 2 2 2 2 2 2 8 2" xfId="32730" xr:uid="{00000000-0005-0000-0000-0000DA7F0000}"/>
    <cellStyle name="常规 2 2 2 2 2 3" xfId="32731" xr:uid="{00000000-0005-0000-0000-0000DB7F0000}"/>
    <cellStyle name="常规 2 2 2 2 2 3 2" xfId="32732" xr:uid="{00000000-0005-0000-0000-0000DC7F0000}"/>
    <cellStyle name="常规 2 2 2 2 2 3 2 2" xfId="32733" xr:uid="{00000000-0005-0000-0000-0000DD7F0000}"/>
    <cellStyle name="常规 2 2 2 2 2 3 2 3" xfId="32734" xr:uid="{00000000-0005-0000-0000-0000DE7F0000}"/>
    <cellStyle name="常规 2 2 2 2 2 3 2 4" xfId="32735" xr:uid="{00000000-0005-0000-0000-0000DF7F0000}"/>
    <cellStyle name="常规 2 2 2 2 2 3 2 5" xfId="32736" xr:uid="{00000000-0005-0000-0000-0000E07F0000}"/>
    <cellStyle name="常规 2 2 2 2 2 3 3" xfId="32737" xr:uid="{00000000-0005-0000-0000-0000E17F0000}"/>
    <cellStyle name="常规 2 2 2 2 2 3 4" xfId="32738" xr:uid="{00000000-0005-0000-0000-0000E27F0000}"/>
    <cellStyle name="常规 2 2 2 2 2 3 5" xfId="32739" xr:uid="{00000000-0005-0000-0000-0000E37F0000}"/>
    <cellStyle name="常规 2 2 2 2 2 3 6" xfId="32740" xr:uid="{00000000-0005-0000-0000-0000E47F0000}"/>
    <cellStyle name="常规 2 2 2 2 2 4" xfId="32741" xr:uid="{00000000-0005-0000-0000-0000E57F0000}"/>
    <cellStyle name="常规 2 2 2 2 2 4 2" xfId="32742" xr:uid="{00000000-0005-0000-0000-0000E67F0000}"/>
    <cellStyle name="常规 2 2 2 2 2 4 2 2" xfId="32743" xr:uid="{00000000-0005-0000-0000-0000E77F0000}"/>
    <cellStyle name="常规 2 2 2 2 2 4 2 3" xfId="32744" xr:uid="{00000000-0005-0000-0000-0000E87F0000}"/>
    <cellStyle name="常规 2 2 2 2 2 4 2 4" xfId="32745" xr:uid="{00000000-0005-0000-0000-0000E97F0000}"/>
    <cellStyle name="常规 2 2 2 2 2 4 3" xfId="32746" xr:uid="{00000000-0005-0000-0000-0000EA7F0000}"/>
    <cellStyle name="常规 2 2 2 2 2 4 4" xfId="32747" xr:uid="{00000000-0005-0000-0000-0000EB7F0000}"/>
    <cellStyle name="常规 2 2 2 2 2 4 5" xfId="32748" xr:uid="{00000000-0005-0000-0000-0000EC7F0000}"/>
    <cellStyle name="常规 2 2 2 2 2 5" xfId="32749" xr:uid="{00000000-0005-0000-0000-0000ED7F0000}"/>
    <cellStyle name="常规 2 2 2 2 2 5 2" xfId="32750" xr:uid="{00000000-0005-0000-0000-0000EE7F0000}"/>
    <cellStyle name="常规 2 2 2 2 2 5 3" xfId="32751" xr:uid="{00000000-0005-0000-0000-0000EF7F0000}"/>
    <cellStyle name="常规 2 2 2 2 2 5 4" xfId="32752" xr:uid="{00000000-0005-0000-0000-0000F07F0000}"/>
    <cellStyle name="常规 2 2 2 2 2 6" xfId="32753" xr:uid="{00000000-0005-0000-0000-0000F17F0000}"/>
    <cellStyle name="常规 2 2 2 2 2 7" xfId="32754" xr:uid="{00000000-0005-0000-0000-0000F27F0000}"/>
    <cellStyle name="常规 2 2 2 2 2 8" xfId="32755" xr:uid="{00000000-0005-0000-0000-0000F37F0000}"/>
    <cellStyle name="常规 2 2 2 2 2 9" xfId="32756" xr:uid="{00000000-0005-0000-0000-0000F47F0000}"/>
    <cellStyle name="常规 2 2 2 2 2 9 2" xfId="32757" xr:uid="{00000000-0005-0000-0000-0000F57F0000}"/>
    <cellStyle name="常规 2 2 2 2 3" xfId="32758" xr:uid="{00000000-0005-0000-0000-0000F67F0000}"/>
    <cellStyle name="常规 2 2 2 2 3 2" xfId="32759" xr:uid="{00000000-0005-0000-0000-0000F77F0000}"/>
    <cellStyle name="常规 2 2 2 2 3 2 2" xfId="32760" xr:uid="{00000000-0005-0000-0000-0000F87F0000}"/>
    <cellStyle name="常规 2 2 2 2 3 2 3" xfId="32761" xr:uid="{00000000-0005-0000-0000-0000F97F0000}"/>
    <cellStyle name="常规 2 2 2 2 3 2 4" xfId="32762" xr:uid="{00000000-0005-0000-0000-0000FA7F0000}"/>
    <cellStyle name="常规 2 2 2 2 3 2 5" xfId="32763" xr:uid="{00000000-0005-0000-0000-0000FB7F0000}"/>
    <cellStyle name="常规 2 2 2 2 3 3" xfId="32764" xr:uid="{00000000-0005-0000-0000-0000FC7F0000}"/>
    <cellStyle name="常规 2 2 2 2 3 4" xfId="32765" xr:uid="{00000000-0005-0000-0000-0000FD7F0000}"/>
    <cellStyle name="常规 2 2 2 2 3 5" xfId="32766" xr:uid="{00000000-0005-0000-0000-0000FE7F0000}"/>
    <cellStyle name="常规 2 2 2 2 3 6" xfId="32767" xr:uid="{00000000-0005-0000-0000-0000FF7F0000}"/>
    <cellStyle name="常规 2 2 2 2 3 6 2" xfId="32768" xr:uid="{00000000-0005-0000-0000-000000800000}"/>
    <cellStyle name="常规 2 2 2 2 4" xfId="32769" xr:uid="{00000000-0005-0000-0000-000001800000}"/>
    <cellStyle name="常规 2 2 2 2 4 2" xfId="32770" xr:uid="{00000000-0005-0000-0000-000002800000}"/>
    <cellStyle name="常规 2 2 2 2 4 2 2" xfId="32771" xr:uid="{00000000-0005-0000-0000-000003800000}"/>
    <cellStyle name="常规 2 2 2 2 4 2 3" xfId="32772" xr:uid="{00000000-0005-0000-0000-000004800000}"/>
    <cellStyle name="常规 2 2 2 2 4 2 4" xfId="32773" xr:uid="{00000000-0005-0000-0000-000005800000}"/>
    <cellStyle name="常规 2 2 2 2 4 3" xfId="32774" xr:uid="{00000000-0005-0000-0000-000006800000}"/>
    <cellStyle name="常规 2 2 2 2 4 4" xfId="32775" xr:uid="{00000000-0005-0000-0000-000007800000}"/>
    <cellStyle name="常规 2 2 2 2 4 5" xfId="32776" xr:uid="{00000000-0005-0000-0000-000008800000}"/>
    <cellStyle name="常规 2 2 2 2 4 6" xfId="32777" xr:uid="{00000000-0005-0000-0000-000009800000}"/>
    <cellStyle name="常规 2 2 2 2 4 6 2" xfId="32778" xr:uid="{00000000-0005-0000-0000-00000A800000}"/>
    <cellStyle name="常规 2 2 2 2 5" xfId="32779" xr:uid="{00000000-0005-0000-0000-00000B800000}"/>
    <cellStyle name="常规 2 2 2 2 5 2" xfId="32780" xr:uid="{00000000-0005-0000-0000-00000C800000}"/>
    <cellStyle name="常规 2 2 2 2 5 2 2" xfId="32781" xr:uid="{00000000-0005-0000-0000-00000D800000}"/>
    <cellStyle name="常规 2 2 2 2 5 3" xfId="32782" xr:uid="{00000000-0005-0000-0000-00000E800000}"/>
    <cellStyle name="常规 2 2 2 2 5 4" xfId="32783" xr:uid="{00000000-0005-0000-0000-00000F800000}"/>
    <cellStyle name="常规 2 2 2 2 5 5" xfId="32784" xr:uid="{00000000-0005-0000-0000-000010800000}"/>
    <cellStyle name="常规 2 2 2 2 5 6" xfId="32785" xr:uid="{00000000-0005-0000-0000-000011800000}"/>
    <cellStyle name="常规 2 2 2 2 6" xfId="32786" xr:uid="{00000000-0005-0000-0000-000012800000}"/>
    <cellStyle name="常规 2 2 2 2 7" xfId="32787" xr:uid="{00000000-0005-0000-0000-000013800000}"/>
    <cellStyle name="常规 2 2 2 2 8" xfId="32788" xr:uid="{00000000-0005-0000-0000-000014800000}"/>
    <cellStyle name="常规 2 2 2 2 9" xfId="32789" xr:uid="{00000000-0005-0000-0000-000015800000}"/>
    <cellStyle name="常规 2 2 2 2 9 2" xfId="32790" xr:uid="{00000000-0005-0000-0000-000016800000}"/>
    <cellStyle name="常规 2 2 2 3" xfId="32791" xr:uid="{00000000-0005-0000-0000-000017800000}"/>
    <cellStyle name="常规 2 2 2 3 2" xfId="32792" xr:uid="{00000000-0005-0000-0000-000018800000}"/>
    <cellStyle name="常规 2 2 2 3 2 2" xfId="32793" xr:uid="{00000000-0005-0000-0000-000019800000}"/>
    <cellStyle name="常规 2 2 2 3 2 2 2" xfId="32794" xr:uid="{00000000-0005-0000-0000-00001A800000}"/>
    <cellStyle name="常规 2 2 2 3 2 2 3" xfId="32795" xr:uid="{00000000-0005-0000-0000-00001B800000}"/>
    <cellStyle name="常规 2 2 2 3 2 2 4" xfId="32796" xr:uid="{00000000-0005-0000-0000-00001C800000}"/>
    <cellStyle name="常规 2 2 2 3 2 2 5" xfId="32797" xr:uid="{00000000-0005-0000-0000-00001D800000}"/>
    <cellStyle name="常规 2 2 2 3 2 2 5 2" xfId="32798" xr:uid="{00000000-0005-0000-0000-00001E800000}"/>
    <cellStyle name="常规 2 2 2 3 2 3" xfId="32799" xr:uid="{00000000-0005-0000-0000-00001F800000}"/>
    <cellStyle name="常规 2 2 2 3 2 4" xfId="32800" xr:uid="{00000000-0005-0000-0000-000020800000}"/>
    <cellStyle name="常规 2 2 2 3 2 5" xfId="32801" xr:uid="{00000000-0005-0000-0000-000021800000}"/>
    <cellStyle name="常规 2 2 2 3 2 6" xfId="32802" xr:uid="{00000000-0005-0000-0000-000022800000}"/>
    <cellStyle name="常规 2 2 2 3 2 6 2" xfId="32803" xr:uid="{00000000-0005-0000-0000-000023800000}"/>
    <cellStyle name="常规 2 2 2 3 3" xfId="32804" xr:uid="{00000000-0005-0000-0000-000024800000}"/>
    <cellStyle name="常规 2 2 2 3 3 2" xfId="32805" xr:uid="{00000000-0005-0000-0000-000025800000}"/>
    <cellStyle name="常规 2 2 2 3 3 2 2" xfId="32806" xr:uid="{00000000-0005-0000-0000-000026800000}"/>
    <cellStyle name="常规 2 2 2 3 3 2 3" xfId="32807" xr:uid="{00000000-0005-0000-0000-000027800000}"/>
    <cellStyle name="常规 2 2 2 3 3 2 4" xfId="32808" xr:uid="{00000000-0005-0000-0000-000028800000}"/>
    <cellStyle name="常规 2 2 2 3 3 3" xfId="32809" xr:uid="{00000000-0005-0000-0000-000029800000}"/>
    <cellStyle name="常规 2 2 2 3 3 4" xfId="32810" xr:uid="{00000000-0005-0000-0000-00002A800000}"/>
    <cellStyle name="常规 2 2 2 3 3 5" xfId="32811" xr:uid="{00000000-0005-0000-0000-00002B800000}"/>
    <cellStyle name="常规 2 2 2 3 3 6" xfId="32812" xr:uid="{00000000-0005-0000-0000-00002C800000}"/>
    <cellStyle name="常规 2 2 2 3 3 6 2" xfId="32813" xr:uid="{00000000-0005-0000-0000-00002D800000}"/>
    <cellStyle name="常规 2 2 2 3 4" xfId="32814" xr:uid="{00000000-0005-0000-0000-00002E800000}"/>
    <cellStyle name="常规 2 2 2 3 4 2" xfId="32815" xr:uid="{00000000-0005-0000-0000-00002F800000}"/>
    <cellStyle name="常规 2 2 2 3 4 3" xfId="32816" xr:uid="{00000000-0005-0000-0000-000030800000}"/>
    <cellStyle name="常规 2 2 2 3 4 4" xfId="32817" xr:uid="{00000000-0005-0000-0000-000031800000}"/>
    <cellStyle name="常规 2 2 2 3 4 5" xfId="32818" xr:uid="{00000000-0005-0000-0000-000032800000}"/>
    <cellStyle name="常规 2 2 2 3 4 5 2" xfId="32819" xr:uid="{00000000-0005-0000-0000-000033800000}"/>
    <cellStyle name="常规 2 2 2 3 5" xfId="32820" xr:uid="{00000000-0005-0000-0000-000034800000}"/>
    <cellStyle name="常规 2 2 2 3 5 2" xfId="32821" xr:uid="{00000000-0005-0000-0000-000035800000}"/>
    <cellStyle name="常规 2 2 2 3 6" xfId="32822" xr:uid="{00000000-0005-0000-0000-000036800000}"/>
    <cellStyle name="常规 2 2 2 3 7" xfId="32823" xr:uid="{00000000-0005-0000-0000-000037800000}"/>
    <cellStyle name="常规 2 2 2 3 8" xfId="32824" xr:uid="{00000000-0005-0000-0000-000038800000}"/>
    <cellStyle name="常规 2 2 2 3 8 2" xfId="32825" xr:uid="{00000000-0005-0000-0000-000039800000}"/>
    <cellStyle name="常规 2 2 2 3 9" xfId="32826" xr:uid="{00000000-0005-0000-0000-00003A800000}"/>
    <cellStyle name="常规 2 2 2 4" xfId="32827" xr:uid="{00000000-0005-0000-0000-00003B800000}"/>
    <cellStyle name="常规 2 2 2 4 2" xfId="32828" xr:uid="{00000000-0005-0000-0000-00003C800000}"/>
    <cellStyle name="常规 2 2 2 4 2 2" xfId="32829" xr:uid="{00000000-0005-0000-0000-00003D800000}"/>
    <cellStyle name="常规 2 2 2 4 2 2 2" xfId="32830" xr:uid="{00000000-0005-0000-0000-00003E800000}"/>
    <cellStyle name="常规 2 2 2 4 2 2 2 2" xfId="32831" xr:uid="{00000000-0005-0000-0000-00003F800000}"/>
    <cellStyle name="常规 2 2 2 4 2 3" xfId="32832" xr:uid="{00000000-0005-0000-0000-000040800000}"/>
    <cellStyle name="常规 2 2 2 4 2 4" xfId="32833" xr:uid="{00000000-0005-0000-0000-000041800000}"/>
    <cellStyle name="常规 2 2 2 4 2 5" xfId="32834" xr:uid="{00000000-0005-0000-0000-000042800000}"/>
    <cellStyle name="常规 2 2 2 4 2 5 2" xfId="32835" xr:uid="{00000000-0005-0000-0000-000043800000}"/>
    <cellStyle name="常规 2 2 2 4 3" xfId="32836" xr:uid="{00000000-0005-0000-0000-000044800000}"/>
    <cellStyle name="常规 2 2 2 4 3 2" xfId="32837" xr:uid="{00000000-0005-0000-0000-000045800000}"/>
    <cellStyle name="常规 2 2 2 4 3 2 2" xfId="32838" xr:uid="{00000000-0005-0000-0000-000046800000}"/>
    <cellStyle name="常规 2 2 2 4 4" xfId="32839" xr:uid="{00000000-0005-0000-0000-000047800000}"/>
    <cellStyle name="常规 2 2 2 4 4 2" xfId="32840" xr:uid="{00000000-0005-0000-0000-000048800000}"/>
    <cellStyle name="常规 2 2 2 4 4 2 2" xfId="32841" xr:uid="{00000000-0005-0000-0000-000049800000}"/>
    <cellStyle name="常规 2 2 2 4 5" xfId="32842" xr:uid="{00000000-0005-0000-0000-00004A800000}"/>
    <cellStyle name="常规 2 2 2 4 6" xfId="32843" xr:uid="{00000000-0005-0000-0000-00004B800000}"/>
    <cellStyle name="常规 2 2 2 4 6 2" xfId="32844" xr:uid="{00000000-0005-0000-0000-00004C800000}"/>
    <cellStyle name="常规 2 2 2 4 7" xfId="32845" xr:uid="{00000000-0005-0000-0000-00004D800000}"/>
    <cellStyle name="常规 2 2 2 5" xfId="32846" xr:uid="{00000000-0005-0000-0000-00004E800000}"/>
    <cellStyle name="常规 2 2 2 5 2" xfId="32847" xr:uid="{00000000-0005-0000-0000-00004F800000}"/>
    <cellStyle name="常规 2 2 2 5 2 2" xfId="32848" xr:uid="{00000000-0005-0000-0000-000050800000}"/>
    <cellStyle name="常规 2 2 2 5 2 3" xfId="32849" xr:uid="{00000000-0005-0000-0000-000051800000}"/>
    <cellStyle name="常规 2 2 2 5 2 4" xfId="32850" xr:uid="{00000000-0005-0000-0000-000052800000}"/>
    <cellStyle name="常规 2 2 2 5 2 5" xfId="32851" xr:uid="{00000000-0005-0000-0000-000053800000}"/>
    <cellStyle name="常规 2 2 2 5 2 5 2" xfId="32852" xr:uid="{00000000-0005-0000-0000-000054800000}"/>
    <cellStyle name="常规 2 2 2 5 3" xfId="32853" xr:uid="{00000000-0005-0000-0000-000055800000}"/>
    <cellStyle name="常规 2 2 2 5 3 2" xfId="32854" xr:uid="{00000000-0005-0000-0000-000056800000}"/>
    <cellStyle name="常规 2 2 2 5 3 2 2" xfId="32855" xr:uid="{00000000-0005-0000-0000-000057800000}"/>
    <cellStyle name="常规 2 2 2 5 3 3" xfId="32856" xr:uid="{00000000-0005-0000-0000-000058800000}"/>
    <cellStyle name="常规 2 2 2 5 4" xfId="32857" xr:uid="{00000000-0005-0000-0000-000059800000}"/>
    <cellStyle name="常规 2 2 2 5 4 2" xfId="32858" xr:uid="{00000000-0005-0000-0000-00005A800000}"/>
    <cellStyle name="常规 2 2 2 5 5" xfId="32859" xr:uid="{00000000-0005-0000-0000-00005B800000}"/>
    <cellStyle name="常规 2 2 2 5 6" xfId="32860" xr:uid="{00000000-0005-0000-0000-00005C800000}"/>
    <cellStyle name="常规 2 2 2 5 6 2" xfId="32861" xr:uid="{00000000-0005-0000-0000-00005D800000}"/>
    <cellStyle name="常规 2 2 2 5 7" xfId="32862" xr:uid="{00000000-0005-0000-0000-00005E800000}"/>
    <cellStyle name="常规 2 2 2 6" xfId="32863" xr:uid="{00000000-0005-0000-0000-00005F800000}"/>
    <cellStyle name="常规 2 2 2 6 2" xfId="32864" xr:uid="{00000000-0005-0000-0000-000060800000}"/>
    <cellStyle name="常规 2 2 2 6 2 2" xfId="32865" xr:uid="{00000000-0005-0000-0000-000061800000}"/>
    <cellStyle name="常规 2 2 2 6 2 2 2" xfId="32866" xr:uid="{00000000-0005-0000-0000-000062800000}"/>
    <cellStyle name="常规 2 2 2 6 3" xfId="32867" xr:uid="{00000000-0005-0000-0000-000063800000}"/>
    <cellStyle name="常规 2 2 2 6 3 2" xfId="32868" xr:uid="{00000000-0005-0000-0000-000064800000}"/>
    <cellStyle name="常规 2 2 2 6 3 2 2" xfId="32869" xr:uid="{00000000-0005-0000-0000-000065800000}"/>
    <cellStyle name="常规 2 2 2 6 3 2 3" xfId="32870" xr:uid="{00000000-0005-0000-0000-000066800000}"/>
    <cellStyle name="常规 2 2 2 6 3 3" xfId="32871" xr:uid="{00000000-0005-0000-0000-000067800000}"/>
    <cellStyle name="常规 2 2 2 6 3 3 2" xfId="32872" xr:uid="{00000000-0005-0000-0000-000068800000}"/>
    <cellStyle name="常规 2 2 2 6 4" xfId="32873" xr:uid="{00000000-0005-0000-0000-000069800000}"/>
    <cellStyle name="常规 2 2 2 6 4 2" xfId="32874" xr:uid="{00000000-0005-0000-0000-00006A800000}"/>
    <cellStyle name="常规 2 2 2 6 4 2 2" xfId="32875" xr:uid="{00000000-0005-0000-0000-00006B800000}"/>
    <cellStyle name="常规 2 2 2 6 5" xfId="32876" xr:uid="{00000000-0005-0000-0000-00006C800000}"/>
    <cellStyle name="常规 2 2 2 6 5 2" xfId="32877" xr:uid="{00000000-0005-0000-0000-00006D800000}"/>
    <cellStyle name="常规 2 2 2 6 5 2 2" xfId="32878" xr:uid="{00000000-0005-0000-0000-00006E800000}"/>
    <cellStyle name="常规 2 2 2 6 5 3" xfId="32879" xr:uid="{00000000-0005-0000-0000-00006F800000}"/>
    <cellStyle name="常规 2 2 2 6 6" xfId="32880" xr:uid="{00000000-0005-0000-0000-000070800000}"/>
    <cellStyle name="常规 2 2 2 6 6 2" xfId="32881" xr:uid="{00000000-0005-0000-0000-000071800000}"/>
    <cellStyle name="常规 2 2 2 7" xfId="32882" xr:uid="{00000000-0005-0000-0000-000072800000}"/>
    <cellStyle name="常规 2 2 2 7 2" xfId="32883" xr:uid="{00000000-0005-0000-0000-000073800000}"/>
    <cellStyle name="常规 2 2 2 7 2 2" xfId="32884" xr:uid="{00000000-0005-0000-0000-000074800000}"/>
    <cellStyle name="常规 2 2 2 7 2 2 2" xfId="32885" xr:uid="{00000000-0005-0000-0000-000075800000}"/>
    <cellStyle name="常规 2 2 2 7 2 3" xfId="32886" xr:uid="{00000000-0005-0000-0000-000076800000}"/>
    <cellStyle name="常规 2 2 2 7 3" xfId="32887" xr:uid="{00000000-0005-0000-0000-000077800000}"/>
    <cellStyle name="常规 2 2 2 7 3 2" xfId="32888" xr:uid="{00000000-0005-0000-0000-000078800000}"/>
    <cellStyle name="常规 2 2 2 7 3 3" xfId="32889" xr:uid="{00000000-0005-0000-0000-000079800000}"/>
    <cellStyle name="常规 2 2 2 7 4" xfId="32890" xr:uid="{00000000-0005-0000-0000-00007A800000}"/>
    <cellStyle name="常规 2 2 2 8" xfId="32891" xr:uid="{00000000-0005-0000-0000-00007B800000}"/>
    <cellStyle name="常规 2 2 2 8 2" xfId="32892" xr:uid="{00000000-0005-0000-0000-00007C800000}"/>
    <cellStyle name="常规 2 2 2 8 2 2" xfId="32893" xr:uid="{00000000-0005-0000-0000-00007D800000}"/>
    <cellStyle name="常规 2 2 2 9" xfId="32894" xr:uid="{00000000-0005-0000-0000-00007E800000}"/>
    <cellStyle name="常规 2 2 2 9 2" xfId="32895" xr:uid="{00000000-0005-0000-0000-00007F800000}"/>
    <cellStyle name="常规 2 2 2 9 2 2" xfId="32896" xr:uid="{00000000-0005-0000-0000-000080800000}"/>
    <cellStyle name="常规 2 2 20" xfId="32897" xr:uid="{00000000-0005-0000-0000-000081800000}"/>
    <cellStyle name="常规 2 2 3" xfId="32898" xr:uid="{00000000-0005-0000-0000-000082800000}"/>
    <cellStyle name="常规 2 2 3 10" xfId="32899" xr:uid="{00000000-0005-0000-0000-000083800000}"/>
    <cellStyle name="常规 2 2 3 11" xfId="32900" xr:uid="{00000000-0005-0000-0000-000084800000}"/>
    <cellStyle name="常规 2 2 3 11 2" xfId="32901" xr:uid="{00000000-0005-0000-0000-000085800000}"/>
    <cellStyle name="常规 2 2 3 12" xfId="32902" xr:uid="{00000000-0005-0000-0000-000086800000}"/>
    <cellStyle name="常规 2 2 3 2" xfId="32903" xr:uid="{00000000-0005-0000-0000-000087800000}"/>
    <cellStyle name="常规 2 2 3 2 2" xfId="32904" xr:uid="{00000000-0005-0000-0000-000088800000}"/>
    <cellStyle name="常规 2 2 3 2 2 2" xfId="32905" xr:uid="{00000000-0005-0000-0000-000089800000}"/>
    <cellStyle name="常规 2 2 3 2 2 2 2" xfId="32906" xr:uid="{00000000-0005-0000-0000-00008A800000}"/>
    <cellStyle name="常规 2 2 3 2 2 2 3" xfId="32907" xr:uid="{00000000-0005-0000-0000-00008B800000}"/>
    <cellStyle name="常规 2 2 3 2 2 2 4" xfId="32908" xr:uid="{00000000-0005-0000-0000-00008C800000}"/>
    <cellStyle name="常规 2 2 3 2 2 2 5" xfId="32909" xr:uid="{00000000-0005-0000-0000-00008D800000}"/>
    <cellStyle name="常规 2 2 3 2 2 2 5 2" xfId="32910" xr:uid="{00000000-0005-0000-0000-00008E800000}"/>
    <cellStyle name="常规 2 2 3 2 2 3" xfId="32911" xr:uid="{00000000-0005-0000-0000-00008F800000}"/>
    <cellStyle name="常规 2 2 3 2 2 4" xfId="32912" xr:uid="{00000000-0005-0000-0000-000090800000}"/>
    <cellStyle name="常规 2 2 3 2 2 5" xfId="32913" xr:uid="{00000000-0005-0000-0000-000091800000}"/>
    <cellStyle name="常规 2 2 3 2 2 6" xfId="32914" xr:uid="{00000000-0005-0000-0000-000092800000}"/>
    <cellStyle name="常规 2 2 3 2 2 6 2" xfId="32915" xr:uid="{00000000-0005-0000-0000-000093800000}"/>
    <cellStyle name="常规 2 2 3 2 3" xfId="32916" xr:uid="{00000000-0005-0000-0000-000094800000}"/>
    <cellStyle name="常规 2 2 3 2 3 2" xfId="32917" xr:uid="{00000000-0005-0000-0000-000095800000}"/>
    <cellStyle name="常规 2 2 3 2 3 2 2" xfId="32918" xr:uid="{00000000-0005-0000-0000-000096800000}"/>
    <cellStyle name="常规 2 2 3 2 3 2 3" xfId="32919" xr:uid="{00000000-0005-0000-0000-000097800000}"/>
    <cellStyle name="常规 2 2 3 2 3 2 4" xfId="32920" xr:uid="{00000000-0005-0000-0000-000098800000}"/>
    <cellStyle name="常规 2 2 3 2 3 3" xfId="32921" xr:uid="{00000000-0005-0000-0000-000099800000}"/>
    <cellStyle name="常规 2 2 3 2 3 4" xfId="32922" xr:uid="{00000000-0005-0000-0000-00009A800000}"/>
    <cellStyle name="常规 2 2 3 2 3 5" xfId="32923" xr:uid="{00000000-0005-0000-0000-00009B800000}"/>
    <cellStyle name="常规 2 2 3 2 3 6" xfId="32924" xr:uid="{00000000-0005-0000-0000-00009C800000}"/>
    <cellStyle name="常规 2 2 3 2 3 6 2" xfId="32925" xr:uid="{00000000-0005-0000-0000-00009D800000}"/>
    <cellStyle name="常规 2 2 3 2 4" xfId="32926" xr:uid="{00000000-0005-0000-0000-00009E800000}"/>
    <cellStyle name="常规 2 2 3 2 4 2" xfId="32927" xr:uid="{00000000-0005-0000-0000-00009F800000}"/>
    <cellStyle name="常规 2 2 3 2 4 3" xfId="32928" xr:uid="{00000000-0005-0000-0000-0000A0800000}"/>
    <cellStyle name="常规 2 2 3 2 4 4" xfId="32929" xr:uid="{00000000-0005-0000-0000-0000A1800000}"/>
    <cellStyle name="常规 2 2 3 2 4 5" xfId="32930" xr:uid="{00000000-0005-0000-0000-0000A2800000}"/>
    <cellStyle name="常规 2 2 3 2 4 5 2" xfId="32931" xr:uid="{00000000-0005-0000-0000-0000A3800000}"/>
    <cellStyle name="常规 2 2 3 2 5" xfId="32932" xr:uid="{00000000-0005-0000-0000-0000A4800000}"/>
    <cellStyle name="常规 2 2 3 2 5 2" xfId="32933" xr:uid="{00000000-0005-0000-0000-0000A5800000}"/>
    <cellStyle name="常规 2 2 3 2 6" xfId="32934" xr:uid="{00000000-0005-0000-0000-0000A6800000}"/>
    <cellStyle name="常规 2 2 3 2 7" xfId="32935" xr:uid="{00000000-0005-0000-0000-0000A7800000}"/>
    <cellStyle name="常规 2 2 3 2 8" xfId="32936" xr:uid="{00000000-0005-0000-0000-0000A8800000}"/>
    <cellStyle name="常规 2 2 3 2 8 2" xfId="32937" xr:uid="{00000000-0005-0000-0000-0000A9800000}"/>
    <cellStyle name="常规 2 2 3 2 9" xfId="32938" xr:uid="{00000000-0005-0000-0000-0000AA800000}"/>
    <cellStyle name="常规 2 2 3 3" xfId="32939" xr:uid="{00000000-0005-0000-0000-0000AB800000}"/>
    <cellStyle name="常规 2 2 3 3 2" xfId="32940" xr:uid="{00000000-0005-0000-0000-0000AC800000}"/>
    <cellStyle name="常规 2 2 3 3 2 2" xfId="32941" xr:uid="{00000000-0005-0000-0000-0000AD800000}"/>
    <cellStyle name="常规 2 2 3 3 2 2 2" xfId="32942" xr:uid="{00000000-0005-0000-0000-0000AE800000}"/>
    <cellStyle name="常规 2 2 3 3 2 2 3" xfId="32943" xr:uid="{00000000-0005-0000-0000-0000AF800000}"/>
    <cellStyle name="常规 2 2 3 3 2 2 4" xfId="32944" xr:uid="{00000000-0005-0000-0000-0000B0800000}"/>
    <cellStyle name="常规 2 2 3 3 2 2 5" xfId="32945" xr:uid="{00000000-0005-0000-0000-0000B1800000}"/>
    <cellStyle name="常规 2 2 3 3 2 2 5 2" xfId="32946" xr:uid="{00000000-0005-0000-0000-0000B2800000}"/>
    <cellStyle name="常规 2 2 3 3 2 3" xfId="32947" xr:uid="{00000000-0005-0000-0000-0000B3800000}"/>
    <cellStyle name="常规 2 2 3 3 2 4" xfId="32948" xr:uid="{00000000-0005-0000-0000-0000B4800000}"/>
    <cellStyle name="常规 2 2 3 3 2 5" xfId="32949" xr:uid="{00000000-0005-0000-0000-0000B5800000}"/>
    <cellStyle name="常规 2 2 3 3 2 6" xfId="32950" xr:uid="{00000000-0005-0000-0000-0000B6800000}"/>
    <cellStyle name="常规 2 2 3 3 2 6 2" xfId="32951" xr:uid="{00000000-0005-0000-0000-0000B7800000}"/>
    <cellStyle name="常规 2 2 3 3 3" xfId="32952" xr:uid="{00000000-0005-0000-0000-0000B8800000}"/>
    <cellStyle name="常规 2 2 3 3 3 2" xfId="32953" xr:uid="{00000000-0005-0000-0000-0000B9800000}"/>
    <cellStyle name="常规 2 2 3 3 3 2 2" xfId="32954" xr:uid="{00000000-0005-0000-0000-0000BA800000}"/>
    <cellStyle name="常规 2 2 3 3 3 2 3" xfId="32955" xr:uid="{00000000-0005-0000-0000-0000BB800000}"/>
    <cellStyle name="常规 2 2 3 3 3 2 4" xfId="32956" xr:uid="{00000000-0005-0000-0000-0000BC800000}"/>
    <cellStyle name="常规 2 2 3 3 3 3" xfId="32957" xr:uid="{00000000-0005-0000-0000-0000BD800000}"/>
    <cellStyle name="常规 2 2 3 3 3 4" xfId="32958" xr:uid="{00000000-0005-0000-0000-0000BE800000}"/>
    <cellStyle name="常规 2 2 3 3 3 5" xfId="32959" xr:uid="{00000000-0005-0000-0000-0000BF800000}"/>
    <cellStyle name="常规 2 2 3 3 3 6" xfId="32960" xr:uid="{00000000-0005-0000-0000-0000C0800000}"/>
    <cellStyle name="常规 2 2 3 3 3 6 2" xfId="32961" xr:uid="{00000000-0005-0000-0000-0000C1800000}"/>
    <cellStyle name="常规 2 2 3 3 4" xfId="32962" xr:uid="{00000000-0005-0000-0000-0000C2800000}"/>
    <cellStyle name="常规 2 2 3 3 4 2" xfId="32963" xr:uid="{00000000-0005-0000-0000-0000C3800000}"/>
    <cellStyle name="常规 2 2 3 3 4 3" xfId="32964" xr:uid="{00000000-0005-0000-0000-0000C4800000}"/>
    <cellStyle name="常规 2 2 3 3 4 4" xfId="32965" xr:uid="{00000000-0005-0000-0000-0000C5800000}"/>
    <cellStyle name="常规 2 2 3 3 4 5" xfId="32966" xr:uid="{00000000-0005-0000-0000-0000C6800000}"/>
    <cellStyle name="常规 2 2 3 3 4 5 2" xfId="32967" xr:uid="{00000000-0005-0000-0000-0000C7800000}"/>
    <cellStyle name="常规 2 2 3 3 5" xfId="32968" xr:uid="{00000000-0005-0000-0000-0000C8800000}"/>
    <cellStyle name="常规 2 2 3 3 6" xfId="32969" xr:uid="{00000000-0005-0000-0000-0000C9800000}"/>
    <cellStyle name="常规 2 2 3 3 7" xfId="32970" xr:uid="{00000000-0005-0000-0000-0000CA800000}"/>
    <cellStyle name="常规 2 2 3 3 8" xfId="32971" xr:uid="{00000000-0005-0000-0000-0000CB800000}"/>
    <cellStyle name="常规 2 2 3 3 8 2" xfId="32972" xr:uid="{00000000-0005-0000-0000-0000CC800000}"/>
    <cellStyle name="常规 2 2 3 3 9" xfId="32973" xr:uid="{00000000-0005-0000-0000-0000CD800000}"/>
    <cellStyle name="常规 2 2 3 4" xfId="32974" xr:uid="{00000000-0005-0000-0000-0000CE800000}"/>
    <cellStyle name="常规 2 2 3 4 2" xfId="32975" xr:uid="{00000000-0005-0000-0000-0000CF800000}"/>
    <cellStyle name="常规 2 2 3 4 2 2" xfId="32976" xr:uid="{00000000-0005-0000-0000-0000D0800000}"/>
    <cellStyle name="常规 2 2 3 4 2 2 2" xfId="32977" xr:uid="{00000000-0005-0000-0000-0000D1800000}"/>
    <cellStyle name="常规 2 2 3 4 2 2 3" xfId="32978" xr:uid="{00000000-0005-0000-0000-0000D2800000}"/>
    <cellStyle name="常规 2 2 3 4 2 2 4" xfId="32979" xr:uid="{00000000-0005-0000-0000-0000D3800000}"/>
    <cellStyle name="常规 2 2 3 4 2 3" xfId="32980" xr:uid="{00000000-0005-0000-0000-0000D4800000}"/>
    <cellStyle name="常规 2 2 3 4 2 4" xfId="32981" xr:uid="{00000000-0005-0000-0000-0000D5800000}"/>
    <cellStyle name="常规 2 2 3 4 2 5" xfId="32982" xr:uid="{00000000-0005-0000-0000-0000D6800000}"/>
    <cellStyle name="常规 2 2 3 4 2 6" xfId="32983" xr:uid="{00000000-0005-0000-0000-0000D7800000}"/>
    <cellStyle name="常规 2 2 3 4 2 6 2" xfId="32984" xr:uid="{00000000-0005-0000-0000-0000D8800000}"/>
    <cellStyle name="常规 2 2 3 4 3" xfId="32985" xr:uid="{00000000-0005-0000-0000-0000D9800000}"/>
    <cellStyle name="常规 2 2 3 4 3 2" xfId="32986" xr:uid="{00000000-0005-0000-0000-0000DA800000}"/>
    <cellStyle name="常规 2 2 3 4 3 2 2" xfId="32987" xr:uid="{00000000-0005-0000-0000-0000DB800000}"/>
    <cellStyle name="常规 2 2 3 4 3 2 3" xfId="32988" xr:uid="{00000000-0005-0000-0000-0000DC800000}"/>
    <cellStyle name="常规 2 2 3 4 3 2 4" xfId="32989" xr:uid="{00000000-0005-0000-0000-0000DD800000}"/>
    <cellStyle name="常规 2 2 3 4 3 2 5" xfId="32990" xr:uid="{00000000-0005-0000-0000-0000DE800000}"/>
    <cellStyle name="常规 2 2 3 4 3 3" xfId="32991" xr:uid="{00000000-0005-0000-0000-0000DF800000}"/>
    <cellStyle name="常规 2 2 3 4 3 4" xfId="32992" xr:uid="{00000000-0005-0000-0000-0000E0800000}"/>
    <cellStyle name="常规 2 2 3 4 3 5" xfId="32993" xr:uid="{00000000-0005-0000-0000-0000E1800000}"/>
    <cellStyle name="常规 2 2 3 4 3 6" xfId="32994" xr:uid="{00000000-0005-0000-0000-0000E2800000}"/>
    <cellStyle name="常规 2 2 3 4 3 6 2" xfId="32995" xr:uid="{00000000-0005-0000-0000-0000E3800000}"/>
    <cellStyle name="常规 2 2 3 4 3 7" xfId="32996" xr:uid="{00000000-0005-0000-0000-0000E4800000}"/>
    <cellStyle name="常规 2 2 3 4 4" xfId="32997" xr:uid="{00000000-0005-0000-0000-0000E5800000}"/>
    <cellStyle name="常规 2 2 3 4 4 2" xfId="32998" xr:uid="{00000000-0005-0000-0000-0000E6800000}"/>
    <cellStyle name="常规 2 2 3 4 4 3" xfId="32999" xr:uid="{00000000-0005-0000-0000-0000E7800000}"/>
    <cellStyle name="常规 2 2 3 4 4 4" xfId="33000" xr:uid="{00000000-0005-0000-0000-0000E8800000}"/>
    <cellStyle name="常规 2 2 3 4 4 5" xfId="33001" xr:uid="{00000000-0005-0000-0000-0000E9800000}"/>
    <cellStyle name="常规 2 2 3 4 5" xfId="33002" xr:uid="{00000000-0005-0000-0000-0000EA800000}"/>
    <cellStyle name="常规 2 2 3 4 6" xfId="33003" xr:uid="{00000000-0005-0000-0000-0000EB800000}"/>
    <cellStyle name="常规 2 2 3 4 7" xfId="33004" xr:uid="{00000000-0005-0000-0000-0000EC800000}"/>
    <cellStyle name="常规 2 2 3 4 8" xfId="33005" xr:uid="{00000000-0005-0000-0000-0000ED800000}"/>
    <cellStyle name="常规 2 2 3 4 8 2" xfId="33006" xr:uid="{00000000-0005-0000-0000-0000EE800000}"/>
    <cellStyle name="常规 2 2 3 4 9" xfId="33007" xr:uid="{00000000-0005-0000-0000-0000EF800000}"/>
    <cellStyle name="常规 2 2 3 5" xfId="33008" xr:uid="{00000000-0005-0000-0000-0000F0800000}"/>
    <cellStyle name="常规 2 2 3 5 2" xfId="33009" xr:uid="{00000000-0005-0000-0000-0000F1800000}"/>
    <cellStyle name="常规 2 2 3 5 2 2" xfId="33010" xr:uid="{00000000-0005-0000-0000-0000F2800000}"/>
    <cellStyle name="常规 2 2 3 5 2 3" xfId="33011" xr:uid="{00000000-0005-0000-0000-0000F3800000}"/>
    <cellStyle name="常规 2 2 3 5 2 4" xfId="33012" xr:uid="{00000000-0005-0000-0000-0000F4800000}"/>
    <cellStyle name="常规 2 2 3 5 3" xfId="33013" xr:uid="{00000000-0005-0000-0000-0000F5800000}"/>
    <cellStyle name="常规 2 2 3 5 4" xfId="33014" xr:uid="{00000000-0005-0000-0000-0000F6800000}"/>
    <cellStyle name="常规 2 2 3 5 5" xfId="33015" xr:uid="{00000000-0005-0000-0000-0000F7800000}"/>
    <cellStyle name="常规 2 2 3 5 6" xfId="33016" xr:uid="{00000000-0005-0000-0000-0000F8800000}"/>
    <cellStyle name="常规 2 2 3 5 6 2" xfId="33017" xr:uid="{00000000-0005-0000-0000-0000F9800000}"/>
    <cellStyle name="常规 2 2 3 6" xfId="33018" xr:uid="{00000000-0005-0000-0000-0000FA800000}"/>
    <cellStyle name="常规 2 2 3 6 2" xfId="33019" xr:uid="{00000000-0005-0000-0000-0000FB800000}"/>
    <cellStyle name="常规 2 2 3 6 2 2" xfId="33020" xr:uid="{00000000-0005-0000-0000-0000FC800000}"/>
    <cellStyle name="常规 2 2 3 6 2 3" xfId="33021" xr:uid="{00000000-0005-0000-0000-0000FD800000}"/>
    <cellStyle name="常规 2 2 3 6 2 4" xfId="33022" xr:uid="{00000000-0005-0000-0000-0000FE800000}"/>
    <cellStyle name="常规 2 2 3 6 3" xfId="33023" xr:uid="{00000000-0005-0000-0000-0000FF800000}"/>
    <cellStyle name="常规 2 2 3 6 4" xfId="33024" xr:uid="{00000000-0005-0000-0000-000000810000}"/>
    <cellStyle name="常规 2 2 3 6 5" xfId="33025" xr:uid="{00000000-0005-0000-0000-000001810000}"/>
    <cellStyle name="常规 2 2 3 6 6" xfId="33026" xr:uid="{00000000-0005-0000-0000-000002810000}"/>
    <cellStyle name="常规 2 2 3 6 6 2" xfId="33027" xr:uid="{00000000-0005-0000-0000-000003810000}"/>
    <cellStyle name="常规 2 2 3 7" xfId="33028" xr:uid="{00000000-0005-0000-0000-000004810000}"/>
    <cellStyle name="常规 2 2 3 7 2" xfId="33029" xr:uid="{00000000-0005-0000-0000-000005810000}"/>
    <cellStyle name="常规 2 2 3 7 2 2" xfId="33030" xr:uid="{00000000-0005-0000-0000-000006810000}"/>
    <cellStyle name="常规 2 2 3 7 3" xfId="33031" xr:uid="{00000000-0005-0000-0000-000007810000}"/>
    <cellStyle name="常规 2 2 3 7 4" xfId="33032" xr:uid="{00000000-0005-0000-0000-000008810000}"/>
    <cellStyle name="常规 2 2 3 7 5" xfId="33033" xr:uid="{00000000-0005-0000-0000-000009810000}"/>
    <cellStyle name="常规 2 2 3 7 6" xfId="33034" xr:uid="{00000000-0005-0000-0000-00000A810000}"/>
    <cellStyle name="常规 2 2 3 8" xfId="33035" xr:uid="{00000000-0005-0000-0000-00000B810000}"/>
    <cellStyle name="常规 2 2 3 9" xfId="33036" xr:uid="{00000000-0005-0000-0000-00000C810000}"/>
    <cellStyle name="常规 2 2 4" xfId="33037" xr:uid="{00000000-0005-0000-0000-00000D810000}"/>
    <cellStyle name="常规 2 2 4 10" xfId="33038" xr:uid="{00000000-0005-0000-0000-00000E810000}"/>
    <cellStyle name="常规 2 2 4 10 2" xfId="33039" xr:uid="{00000000-0005-0000-0000-00000F810000}"/>
    <cellStyle name="常规 2 2 4 2" xfId="33040" xr:uid="{00000000-0005-0000-0000-000010810000}"/>
    <cellStyle name="常规 2 2 4 2 2" xfId="33041" xr:uid="{00000000-0005-0000-0000-000011810000}"/>
    <cellStyle name="常规 2 2 4 2 2 2" xfId="33042" xr:uid="{00000000-0005-0000-0000-000012810000}"/>
    <cellStyle name="常规 2 2 4 2 2 2 2" xfId="33043" xr:uid="{00000000-0005-0000-0000-000013810000}"/>
    <cellStyle name="常规 2 2 4 2 2 2 2 2" xfId="33044" xr:uid="{00000000-0005-0000-0000-000014810000}"/>
    <cellStyle name="常规 2 2 4 2 2 2 2 2 2" xfId="33045" xr:uid="{00000000-0005-0000-0000-000015810000}"/>
    <cellStyle name="常规 2 2 4 2 2 2 3" xfId="33046" xr:uid="{00000000-0005-0000-0000-000016810000}"/>
    <cellStyle name="常规 2 2 4 2 2 2 3 2" xfId="33047" xr:uid="{00000000-0005-0000-0000-000017810000}"/>
    <cellStyle name="常规 2 2 4 2 2 2 3 2 2" xfId="33048" xr:uid="{00000000-0005-0000-0000-000018810000}"/>
    <cellStyle name="常规 2 2 4 2 2 2 4" xfId="33049" xr:uid="{00000000-0005-0000-0000-000019810000}"/>
    <cellStyle name="常规 2 2 4 2 2 2 4 2" xfId="33050" xr:uid="{00000000-0005-0000-0000-00001A810000}"/>
    <cellStyle name="常规 2 2 4 2 2 2 4 2 2" xfId="33051" xr:uid="{00000000-0005-0000-0000-00001B810000}"/>
    <cellStyle name="常规 2 2 4 2 2 2 5" xfId="33052" xr:uid="{00000000-0005-0000-0000-00001C810000}"/>
    <cellStyle name="常规 2 2 4 2 2 2 5 2" xfId="33053" xr:uid="{00000000-0005-0000-0000-00001D810000}"/>
    <cellStyle name="常规 2 2 4 2 2 2 5 3" xfId="33054" xr:uid="{00000000-0005-0000-0000-00001E810000}"/>
    <cellStyle name="常规 2 2 4 2 2 2 6" xfId="33055" xr:uid="{00000000-0005-0000-0000-00001F810000}"/>
    <cellStyle name="常规 2 2 4 2 2 3" xfId="33056" xr:uid="{00000000-0005-0000-0000-000020810000}"/>
    <cellStyle name="常规 2 2 4 2 2 3 2" xfId="33057" xr:uid="{00000000-0005-0000-0000-000021810000}"/>
    <cellStyle name="常规 2 2 4 2 2 3 2 2" xfId="33058" xr:uid="{00000000-0005-0000-0000-000022810000}"/>
    <cellStyle name="常规 2 2 4 2 2 3 2 2 2" xfId="33059" xr:uid="{00000000-0005-0000-0000-000023810000}"/>
    <cellStyle name="常规 2 2 4 2 2 3 3" xfId="33060" xr:uid="{00000000-0005-0000-0000-000024810000}"/>
    <cellStyle name="常规 2 2 4 2 2 3 3 2" xfId="33061" xr:uid="{00000000-0005-0000-0000-000025810000}"/>
    <cellStyle name="常规 2 2 4 2 2 3 3 2 2" xfId="33062" xr:uid="{00000000-0005-0000-0000-000026810000}"/>
    <cellStyle name="常规 2 2 4 2 2 3 4" xfId="33063" xr:uid="{00000000-0005-0000-0000-000027810000}"/>
    <cellStyle name="常规 2 2 4 2 2 3 4 2" xfId="33064" xr:uid="{00000000-0005-0000-0000-000028810000}"/>
    <cellStyle name="常规 2 2 4 2 2 3 5" xfId="33065" xr:uid="{00000000-0005-0000-0000-000029810000}"/>
    <cellStyle name="常规 2 2 4 2 2 4" xfId="33066" xr:uid="{00000000-0005-0000-0000-00002A810000}"/>
    <cellStyle name="常规 2 2 4 2 2 4 2" xfId="33067" xr:uid="{00000000-0005-0000-0000-00002B810000}"/>
    <cellStyle name="常规 2 2 4 2 2 4 2 2" xfId="33068" xr:uid="{00000000-0005-0000-0000-00002C810000}"/>
    <cellStyle name="常规 2 2 4 2 2 5" xfId="33069" xr:uid="{00000000-0005-0000-0000-00002D810000}"/>
    <cellStyle name="常规 2 2 4 2 2 5 2" xfId="33070" xr:uid="{00000000-0005-0000-0000-00002E810000}"/>
    <cellStyle name="常规 2 2 4 2 2 5 2 2" xfId="33071" xr:uid="{00000000-0005-0000-0000-00002F810000}"/>
    <cellStyle name="常规 2 2 4 2 2 6" xfId="33072" xr:uid="{00000000-0005-0000-0000-000030810000}"/>
    <cellStyle name="常规 2 2 4 2 2 7" xfId="33073" xr:uid="{00000000-0005-0000-0000-000031810000}"/>
    <cellStyle name="常规 2 2 4 2 2 7 2" xfId="33074" xr:uid="{00000000-0005-0000-0000-000032810000}"/>
    <cellStyle name="常规 2 2 4 2 2 7 3" xfId="33075" xr:uid="{00000000-0005-0000-0000-000033810000}"/>
    <cellStyle name="常规 2 2 4 2 2 8" xfId="33076" xr:uid="{00000000-0005-0000-0000-000034810000}"/>
    <cellStyle name="常规 2 2 4 2 2 8 2" xfId="33077" xr:uid="{00000000-0005-0000-0000-000035810000}"/>
    <cellStyle name="常规 2 2 4 2 3" xfId="33078" xr:uid="{00000000-0005-0000-0000-000036810000}"/>
    <cellStyle name="常规 2 2 4 2 3 2" xfId="33079" xr:uid="{00000000-0005-0000-0000-000037810000}"/>
    <cellStyle name="常规 2 2 4 2 3 2 2" xfId="33080" xr:uid="{00000000-0005-0000-0000-000038810000}"/>
    <cellStyle name="常规 2 2 4 2 3 2 3" xfId="33081" xr:uid="{00000000-0005-0000-0000-000039810000}"/>
    <cellStyle name="常规 2 2 4 2 3 2 4" xfId="33082" xr:uid="{00000000-0005-0000-0000-00003A810000}"/>
    <cellStyle name="常规 2 2 4 2 3 2 5" xfId="33083" xr:uid="{00000000-0005-0000-0000-00003B810000}"/>
    <cellStyle name="常规 2 2 4 2 3 2 5 2" xfId="33084" xr:uid="{00000000-0005-0000-0000-00003C810000}"/>
    <cellStyle name="常规 2 2 4 2 3 3" xfId="33085" xr:uid="{00000000-0005-0000-0000-00003D810000}"/>
    <cellStyle name="常规 2 2 4 2 3 3 2" xfId="33086" xr:uid="{00000000-0005-0000-0000-00003E810000}"/>
    <cellStyle name="常规 2 2 4 2 3 3 2 2" xfId="33087" xr:uid="{00000000-0005-0000-0000-00003F810000}"/>
    <cellStyle name="常规 2 2 4 2 3 4" xfId="33088" xr:uid="{00000000-0005-0000-0000-000040810000}"/>
    <cellStyle name="常规 2 2 4 2 3 4 2" xfId="33089" xr:uid="{00000000-0005-0000-0000-000041810000}"/>
    <cellStyle name="常规 2 2 4 2 3 4 2 2" xfId="33090" xr:uid="{00000000-0005-0000-0000-000042810000}"/>
    <cellStyle name="常规 2 2 4 2 3 5" xfId="33091" xr:uid="{00000000-0005-0000-0000-000043810000}"/>
    <cellStyle name="常规 2 2 4 2 3 5 2" xfId="33092" xr:uid="{00000000-0005-0000-0000-000044810000}"/>
    <cellStyle name="常规 2 2 4 2 3 5 3" xfId="33093" xr:uid="{00000000-0005-0000-0000-000045810000}"/>
    <cellStyle name="常规 2 2 4 2 3 6" xfId="33094" xr:uid="{00000000-0005-0000-0000-000046810000}"/>
    <cellStyle name="常规 2 2 4 2 3 6 2" xfId="33095" xr:uid="{00000000-0005-0000-0000-000047810000}"/>
    <cellStyle name="常规 2 2 4 2 3 7" xfId="33096" xr:uid="{00000000-0005-0000-0000-000048810000}"/>
    <cellStyle name="常规 2 2 4 2 4" xfId="33097" xr:uid="{00000000-0005-0000-0000-000049810000}"/>
    <cellStyle name="常规 2 2 4 2 4 2" xfId="33098" xr:uid="{00000000-0005-0000-0000-00004A810000}"/>
    <cellStyle name="常规 2 2 4 2 4 3" xfId="33099" xr:uid="{00000000-0005-0000-0000-00004B810000}"/>
    <cellStyle name="常规 2 2 4 2 4 4" xfId="33100" xr:uid="{00000000-0005-0000-0000-00004C810000}"/>
    <cellStyle name="常规 2 2 4 2 4 5" xfId="33101" xr:uid="{00000000-0005-0000-0000-00004D810000}"/>
    <cellStyle name="常规 2 2 4 2 4 5 2" xfId="33102" xr:uid="{00000000-0005-0000-0000-00004E810000}"/>
    <cellStyle name="常规 2 2 4 2 5" xfId="33103" xr:uid="{00000000-0005-0000-0000-00004F810000}"/>
    <cellStyle name="常规 2 2 4 2 5 2" xfId="33104" xr:uid="{00000000-0005-0000-0000-000050810000}"/>
    <cellStyle name="常规 2 2 4 2 5 2 2" xfId="33105" xr:uid="{00000000-0005-0000-0000-000051810000}"/>
    <cellStyle name="常规 2 2 4 2 6" xfId="33106" xr:uid="{00000000-0005-0000-0000-000052810000}"/>
    <cellStyle name="常规 2 2 4 2 6 2" xfId="33107" xr:uid="{00000000-0005-0000-0000-000053810000}"/>
    <cellStyle name="常规 2 2 4 2 6 2 2" xfId="33108" xr:uid="{00000000-0005-0000-0000-000054810000}"/>
    <cellStyle name="常规 2 2 4 2 7" xfId="33109" xr:uid="{00000000-0005-0000-0000-000055810000}"/>
    <cellStyle name="常规 2 2 4 2 7 2" xfId="33110" xr:uid="{00000000-0005-0000-0000-000056810000}"/>
    <cellStyle name="常规 2 2 4 2 7 2 2" xfId="33111" xr:uid="{00000000-0005-0000-0000-000057810000}"/>
    <cellStyle name="常规 2 2 4 2 8" xfId="33112" xr:uid="{00000000-0005-0000-0000-000058810000}"/>
    <cellStyle name="常规 2 2 4 2 8 2" xfId="33113" xr:uid="{00000000-0005-0000-0000-000059810000}"/>
    <cellStyle name="常规 2 2 4 2 8 3" xfId="33114" xr:uid="{00000000-0005-0000-0000-00005A810000}"/>
    <cellStyle name="常规 2 2 4 2 9" xfId="33115" xr:uid="{00000000-0005-0000-0000-00005B810000}"/>
    <cellStyle name="常规 2 2 4 2 9 2" xfId="33116" xr:uid="{00000000-0005-0000-0000-00005C810000}"/>
    <cellStyle name="常规 2 2 4 3" xfId="33117" xr:uid="{00000000-0005-0000-0000-00005D810000}"/>
    <cellStyle name="常规 2 2 4 3 2" xfId="33118" xr:uid="{00000000-0005-0000-0000-00005E810000}"/>
    <cellStyle name="常规 2 2 4 3 2 2" xfId="33119" xr:uid="{00000000-0005-0000-0000-00005F810000}"/>
    <cellStyle name="常规 2 2 4 3 2 2 2" xfId="33120" xr:uid="{00000000-0005-0000-0000-000060810000}"/>
    <cellStyle name="常规 2 2 4 3 2 2 2 2" xfId="33121" xr:uid="{00000000-0005-0000-0000-000061810000}"/>
    <cellStyle name="常规 2 2 4 3 2 3" xfId="33122" xr:uid="{00000000-0005-0000-0000-000062810000}"/>
    <cellStyle name="常规 2 2 4 3 2 3 2" xfId="33123" xr:uid="{00000000-0005-0000-0000-000063810000}"/>
    <cellStyle name="常规 2 2 4 3 2 3 2 2" xfId="33124" xr:uid="{00000000-0005-0000-0000-000064810000}"/>
    <cellStyle name="常规 2 2 4 3 2 4" xfId="33125" xr:uid="{00000000-0005-0000-0000-000065810000}"/>
    <cellStyle name="常规 2 2 4 3 2 4 2" xfId="33126" xr:uid="{00000000-0005-0000-0000-000066810000}"/>
    <cellStyle name="常规 2 2 4 3 2 4 2 2" xfId="33127" xr:uid="{00000000-0005-0000-0000-000067810000}"/>
    <cellStyle name="常规 2 2 4 3 2 5" xfId="33128" xr:uid="{00000000-0005-0000-0000-000068810000}"/>
    <cellStyle name="常规 2 2 4 3 2 5 2" xfId="33129" xr:uid="{00000000-0005-0000-0000-000069810000}"/>
    <cellStyle name="常规 2 2 4 3 2 5 3" xfId="33130" xr:uid="{00000000-0005-0000-0000-00006A810000}"/>
    <cellStyle name="常规 2 2 4 3 2 6" xfId="33131" xr:uid="{00000000-0005-0000-0000-00006B810000}"/>
    <cellStyle name="常规 2 2 4 3 3" xfId="33132" xr:uid="{00000000-0005-0000-0000-00006C810000}"/>
    <cellStyle name="常规 2 2 4 3 3 2" xfId="33133" xr:uid="{00000000-0005-0000-0000-00006D810000}"/>
    <cellStyle name="常规 2 2 4 3 3 2 2" xfId="33134" xr:uid="{00000000-0005-0000-0000-00006E810000}"/>
    <cellStyle name="常规 2 2 4 3 3 2 2 2" xfId="33135" xr:uid="{00000000-0005-0000-0000-00006F810000}"/>
    <cellStyle name="常规 2 2 4 3 3 3" xfId="33136" xr:uid="{00000000-0005-0000-0000-000070810000}"/>
    <cellStyle name="常规 2 2 4 3 3 3 2" xfId="33137" xr:uid="{00000000-0005-0000-0000-000071810000}"/>
    <cellStyle name="常规 2 2 4 3 3 3 2 2" xfId="33138" xr:uid="{00000000-0005-0000-0000-000072810000}"/>
    <cellStyle name="常规 2 2 4 3 3 4" xfId="33139" xr:uid="{00000000-0005-0000-0000-000073810000}"/>
    <cellStyle name="常规 2 2 4 3 3 4 2" xfId="33140" xr:uid="{00000000-0005-0000-0000-000074810000}"/>
    <cellStyle name="常规 2 2 4 3 3 5" xfId="33141" xr:uid="{00000000-0005-0000-0000-000075810000}"/>
    <cellStyle name="常规 2 2 4 3 4" xfId="33142" xr:uid="{00000000-0005-0000-0000-000076810000}"/>
    <cellStyle name="常规 2 2 4 3 4 2" xfId="33143" xr:uid="{00000000-0005-0000-0000-000077810000}"/>
    <cellStyle name="常规 2 2 4 3 4 2 2" xfId="33144" xr:uid="{00000000-0005-0000-0000-000078810000}"/>
    <cellStyle name="常规 2 2 4 3 5" xfId="33145" xr:uid="{00000000-0005-0000-0000-000079810000}"/>
    <cellStyle name="常规 2 2 4 3 5 2" xfId="33146" xr:uid="{00000000-0005-0000-0000-00007A810000}"/>
    <cellStyle name="常规 2 2 4 3 5 2 2" xfId="33147" xr:uid="{00000000-0005-0000-0000-00007B810000}"/>
    <cellStyle name="常规 2 2 4 3 6" xfId="33148" xr:uid="{00000000-0005-0000-0000-00007C810000}"/>
    <cellStyle name="常规 2 2 4 3 7" xfId="33149" xr:uid="{00000000-0005-0000-0000-00007D810000}"/>
    <cellStyle name="常规 2 2 4 3 7 2" xfId="33150" xr:uid="{00000000-0005-0000-0000-00007E810000}"/>
    <cellStyle name="常规 2 2 4 3 7 3" xfId="33151" xr:uid="{00000000-0005-0000-0000-00007F810000}"/>
    <cellStyle name="常规 2 2 4 3 8" xfId="33152" xr:uid="{00000000-0005-0000-0000-000080810000}"/>
    <cellStyle name="常规 2 2 4 3 8 2" xfId="33153" xr:uid="{00000000-0005-0000-0000-000081810000}"/>
    <cellStyle name="常规 2 2 4 4" xfId="33154" xr:uid="{00000000-0005-0000-0000-000082810000}"/>
    <cellStyle name="常规 2 2 4 4 2" xfId="33155" xr:uid="{00000000-0005-0000-0000-000083810000}"/>
    <cellStyle name="常规 2 2 4 4 2 2" xfId="33156" xr:uid="{00000000-0005-0000-0000-000084810000}"/>
    <cellStyle name="常规 2 2 4 4 2 3" xfId="33157" xr:uid="{00000000-0005-0000-0000-000085810000}"/>
    <cellStyle name="常规 2 2 4 4 2 4" xfId="33158" xr:uid="{00000000-0005-0000-0000-000086810000}"/>
    <cellStyle name="常规 2 2 4 4 2 5" xfId="33159" xr:uid="{00000000-0005-0000-0000-000087810000}"/>
    <cellStyle name="常规 2 2 4 4 2 5 2" xfId="33160" xr:uid="{00000000-0005-0000-0000-000088810000}"/>
    <cellStyle name="常规 2 2 4 4 3" xfId="33161" xr:uid="{00000000-0005-0000-0000-000089810000}"/>
    <cellStyle name="常规 2 2 4 4 3 2" xfId="33162" xr:uid="{00000000-0005-0000-0000-00008A810000}"/>
    <cellStyle name="常规 2 2 4 4 3 2 2" xfId="33163" xr:uid="{00000000-0005-0000-0000-00008B810000}"/>
    <cellStyle name="常规 2 2 4 4 4" xfId="33164" xr:uid="{00000000-0005-0000-0000-00008C810000}"/>
    <cellStyle name="常规 2 2 4 4 4 2" xfId="33165" xr:uid="{00000000-0005-0000-0000-00008D810000}"/>
    <cellStyle name="常规 2 2 4 4 4 2 2" xfId="33166" xr:uid="{00000000-0005-0000-0000-00008E810000}"/>
    <cellStyle name="常规 2 2 4 4 5" xfId="33167" xr:uid="{00000000-0005-0000-0000-00008F810000}"/>
    <cellStyle name="常规 2 2 4 4 5 2" xfId="33168" xr:uid="{00000000-0005-0000-0000-000090810000}"/>
    <cellStyle name="常规 2 2 4 4 5 3" xfId="33169" xr:uid="{00000000-0005-0000-0000-000091810000}"/>
    <cellStyle name="常规 2 2 4 4 6" xfId="33170" xr:uid="{00000000-0005-0000-0000-000092810000}"/>
    <cellStyle name="常规 2 2 4 4 6 2" xfId="33171" xr:uid="{00000000-0005-0000-0000-000093810000}"/>
    <cellStyle name="常规 2 2 4 4 7" xfId="33172" xr:uid="{00000000-0005-0000-0000-000094810000}"/>
    <cellStyle name="常规 2 2 4 5" xfId="33173" xr:uid="{00000000-0005-0000-0000-000095810000}"/>
    <cellStyle name="常规 2 2 4 5 2" xfId="33174" xr:uid="{00000000-0005-0000-0000-000096810000}"/>
    <cellStyle name="常规 2 2 4 5 3" xfId="33175" xr:uid="{00000000-0005-0000-0000-000097810000}"/>
    <cellStyle name="常规 2 2 4 5 4" xfId="33176" xr:uid="{00000000-0005-0000-0000-000098810000}"/>
    <cellStyle name="常规 2 2 4 5 5" xfId="33177" xr:uid="{00000000-0005-0000-0000-000099810000}"/>
    <cellStyle name="常规 2 2 4 5 5 2" xfId="33178" xr:uid="{00000000-0005-0000-0000-00009A810000}"/>
    <cellStyle name="常规 2 2 4 6" xfId="33179" xr:uid="{00000000-0005-0000-0000-00009B810000}"/>
    <cellStyle name="常规 2 2 4 6 2" xfId="33180" xr:uid="{00000000-0005-0000-0000-00009C810000}"/>
    <cellStyle name="常规 2 2 4 6 2 2" xfId="33181" xr:uid="{00000000-0005-0000-0000-00009D810000}"/>
    <cellStyle name="常规 2 2 4 7" xfId="33182" xr:uid="{00000000-0005-0000-0000-00009E810000}"/>
    <cellStyle name="常规 2 2 4 7 2" xfId="33183" xr:uid="{00000000-0005-0000-0000-00009F810000}"/>
    <cellStyle name="常规 2 2 4 7 2 2" xfId="33184" xr:uid="{00000000-0005-0000-0000-0000A0810000}"/>
    <cellStyle name="常规 2 2 4 8" xfId="33185" xr:uid="{00000000-0005-0000-0000-0000A1810000}"/>
    <cellStyle name="常规 2 2 4 8 2" xfId="33186" xr:uid="{00000000-0005-0000-0000-0000A2810000}"/>
    <cellStyle name="常规 2 2 4 8 2 2" xfId="33187" xr:uid="{00000000-0005-0000-0000-0000A3810000}"/>
    <cellStyle name="常规 2 2 4 9" xfId="33188" xr:uid="{00000000-0005-0000-0000-0000A4810000}"/>
    <cellStyle name="常规 2 2 4 9 2" xfId="33189" xr:uid="{00000000-0005-0000-0000-0000A5810000}"/>
    <cellStyle name="常规 2 2 4 9 2 2" xfId="33190" xr:uid="{00000000-0005-0000-0000-0000A6810000}"/>
    <cellStyle name="常规 2 2 4 9 3" xfId="33191" xr:uid="{00000000-0005-0000-0000-0000A7810000}"/>
    <cellStyle name="常规 2 2 4 9 3 2" xfId="33192" xr:uid="{00000000-0005-0000-0000-0000A8810000}"/>
    <cellStyle name="常规 2 2 5" xfId="33193" xr:uid="{00000000-0005-0000-0000-0000A9810000}"/>
    <cellStyle name="常规 2 2 5 10" xfId="33194" xr:uid="{00000000-0005-0000-0000-0000AA810000}"/>
    <cellStyle name="常规 2 2 5 10 2" xfId="33195" xr:uid="{00000000-0005-0000-0000-0000AB810000}"/>
    <cellStyle name="常规 2 2 5 2" xfId="33196" xr:uid="{00000000-0005-0000-0000-0000AC810000}"/>
    <cellStyle name="常规 2 2 5 2 2" xfId="33197" xr:uid="{00000000-0005-0000-0000-0000AD810000}"/>
    <cellStyle name="常规 2 2 5 2 2 2" xfId="33198" xr:uid="{00000000-0005-0000-0000-0000AE810000}"/>
    <cellStyle name="常规 2 2 5 2 2 2 2" xfId="33199" xr:uid="{00000000-0005-0000-0000-0000AF810000}"/>
    <cellStyle name="常规 2 2 5 2 2 2 3" xfId="33200" xr:uid="{00000000-0005-0000-0000-0000B0810000}"/>
    <cellStyle name="常规 2 2 5 2 2 2 4" xfId="33201" xr:uid="{00000000-0005-0000-0000-0000B1810000}"/>
    <cellStyle name="常规 2 2 5 2 2 2 5" xfId="33202" xr:uid="{00000000-0005-0000-0000-0000B2810000}"/>
    <cellStyle name="常规 2 2 5 2 2 2 5 2" xfId="33203" xr:uid="{00000000-0005-0000-0000-0000B3810000}"/>
    <cellStyle name="常规 2 2 5 2 2 3" xfId="33204" xr:uid="{00000000-0005-0000-0000-0000B4810000}"/>
    <cellStyle name="常规 2 2 5 2 2 3 2" xfId="33205" xr:uid="{00000000-0005-0000-0000-0000B5810000}"/>
    <cellStyle name="常规 2 2 5 2 2 3 2 2" xfId="33206" xr:uid="{00000000-0005-0000-0000-0000B6810000}"/>
    <cellStyle name="常规 2 2 5 2 2 4" xfId="33207" xr:uid="{00000000-0005-0000-0000-0000B7810000}"/>
    <cellStyle name="常规 2 2 5 2 2 4 2" xfId="33208" xr:uid="{00000000-0005-0000-0000-0000B8810000}"/>
    <cellStyle name="常规 2 2 5 2 2 4 2 2" xfId="33209" xr:uid="{00000000-0005-0000-0000-0000B9810000}"/>
    <cellStyle name="常规 2 2 5 2 2 5" xfId="33210" xr:uid="{00000000-0005-0000-0000-0000BA810000}"/>
    <cellStyle name="常规 2 2 5 2 2 5 2" xfId="33211" xr:uid="{00000000-0005-0000-0000-0000BB810000}"/>
    <cellStyle name="常规 2 2 5 2 2 5 3" xfId="33212" xr:uid="{00000000-0005-0000-0000-0000BC810000}"/>
    <cellStyle name="常规 2 2 5 2 2 6" xfId="33213" xr:uid="{00000000-0005-0000-0000-0000BD810000}"/>
    <cellStyle name="常规 2 2 5 2 2 6 2" xfId="33214" xr:uid="{00000000-0005-0000-0000-0000BE810000}"/>
    <cellStyle name="常规 2 2 5 2 2 7" xfId="33215" xr:uid="{00000000-0005-0000-0000-0000BF810000}"/>
    <cellStyle name="常规 2 2 5 2 3" xfId="33216" xr:uid="{00000000-0005-0000-0000-0000C0810000}"/>
    <cellStyle name="常规 2 2 5 2 3 2" xfId="33217" xr:uid="{00000000-0005-0000-0000-0000C1810000}"/>
    <cellStyle name="常规 2 2 5 2 3 2 2" xfId="33218" xr:uid="{00000000-0005-0000-0000-0000C2810000}"/>
    <cellStyle name="常规 2 2 5 2 3 2 3" xfId="33219" xr:uid="{00000000-0005-0000-0000-0000C3810000}"/>
    <cellStyle name="常规 2 2 5 2 3 2 4" xfId="33220" xr:uid="{00000000-0005-0000-0000-0000C4810000}"/>
    <cellStyle name="常规 2 2 5 2 3 3" xfId="33221" xr:uid="{00000000-0005-0000-0000-0000C5810000}"/>
    <cellStyle name="常规 2 2 5 2 3 4" xfId="33222" xr:uid="{00000000-0005-0000-0000-0000C6810000}"/>
    <cellStyle name="常规 2 2 5 2 3 5" xfId="33223" xr:uid="{00000000-0005-0000-0000-0000C7810000}"/>
    <cellStyle name="常规 2 2 5 2 3 6" xfId="33224" xr:uid="{00000000-0005-0000-0000-0000C8810000}"/>
    <cellStyle name="常规 2 2 5 2 3 6 2" xfId="33225" xr:uid="{00000000-0005-0000-0000-0000C9810000}"/>
    <cellStyle name="常规 2 2 5 2 4" xfId="33226" xr:uid="{00000000-0005-0000-0000-0000CA810000}"/>
    <cellStyle name="常规 2 2 5 2 4 2" xfId="33227" xr:uid="{00000000-0005-0000-0000-0000CB810000}"/>
    <cellStyle name="常规 2 2 5 2 4 3" xfId="33228" xr:uid="{00000000-0005-0000-0000-0000CC810000}"/>
    <cellStyle name="常规 2 2 5 2 4 4" xfId="33229" xr:uid="{00000000-0005-0000-0000-0000CD810000}"/>
    <cellStyle name="常规 2 2 5 2 4 5" xfId="33230" xr:uid="{00000000-0005-0000-0000-0000CE810000}"/>
    <cellStyle name="常规 2 2 5 2 4 5 2" xfId="33231" xr:uid="{00000000-0005-0000-0000-0000CF810000}"/>
    <cellStyle name="常规 2 2 5 2 5" xfId="33232" xr:uid="{00000000-0005-0000-0000-0000D0810000}"/>
    <cellStyle name="常规 2 2 5 2 5 2" xfId="33233" xr:uid="{00000000-0005-0000-0000-0000D1810000}"/>
    <cellStyle name="常规 2 2 5 2 5 2 2" xfId="33234" xr:uid="{00000000-0005-0000-0000-0000D2810000}"/>
    <cellStyle name="常规 2 2 5 2 6" xfId="33235" xr:uid="{00000000-0005-0000-0000-0000D3810000}"/>
    <cellStyle name="常规 2 2 5 2 6 2" xfId="33236" xr:uid="{00000000-0005-0000-0000-0000D4810000}"/>
    <cellStyle name="常规 2 2 5 2 6 2 2" xfId="33237" xr:uid="{00000000-0005-0000-0000-0000D5810000}"/>
    <cellStyle name="常规 2 2 5 2 7" xfId="33238" xr:uid="{00000000-0005-0000-0000-0000D6810000}"/>
    <cellStyle name="常规 2 2 5 2 7 2" xfId="33239" xr:uid="{00000000-0005-0000-0000-0000D7810000}"/>
    <cellStyle name="常规 2 2 5 2 7 2 2" xfId="33240" xr:uid="{00000000-0005-0000-0000-0000D8810000}"/>
    <cellStyle name="常规 2 2 5 2 8" xfId="33241" xr:uid="{00000000-0005-0000-0000-0000D9810000}"/>
    <cellStyle name="常规 2 2 5 2 8 2" xfId="33242" xr:uid="{00000000-0005-0000-0000-0000DA810000}"/>
    <cellStyle name="常规 2 2 5 2 8 3" xfId="33243" xr:uid="{00000000-0005-0000-0000-0000DB810000}"/>
    <cellStyle name="常规 2 2 5 2 9" xfId="33244" xr:uid="{00000000-0005-0000-0000-0000DC810000}"/>
    <cellStyle name="常规 2 2 5 3" xfId="33245" xr:uid="{00000000-0005-0000-0000-0000DD810000}"/>
    <cellStyle name="常规 2 2 5 3 2" xfId="33246" xr:uid="{00000000-0005-0000-0000-0000DE810000}"/>
    <cellStyle name="常规 2 2 5 3 2 2" xfId="33247" xr:uid="{00000000-0005-0000-0000-0000DF810000}"/>
    <cellStyle name="常规 2 2 5 3 2 2 2" xfId="33248" xr:uid="{00000000-0005-0000-0000-0000E0810000}"/>
    <cellStyle name="常规 2 2 5 3 2 2 2 2" xfId="33249" xr:uid="{00000000-0005-0000-0000-0000E1810000}"/>
    <cellStyle name="常规 2 2 5 3 2 3" xfId="33250" xr:uid="{00000000-0005-0000-0000-0000E2810000}"/>
    <cellStyle name="常规 2 2 5 3 2 3 2" xfId="33251" xr:uid="{00000000-0005-0000-0000-0000E3810000}"/>
    <cellStyle name="常规 2 2 5 3 2 3 2 2" xfId="33252" xr:uid="{00000000-0005-0000-0000-0000E4810000}"/>
    <cellStyle name="常规 2 2 5 3 2 4" xfId="33253" xr:uid="{00000000-0005-0000-0000-0000E5810000}"/>
    <cellStyle name="常规 2 2 5 3 2 4 2" xfId="33254" xr:uid="{00000000-0005-0000-0000-0000E6810000}"/>
    <cellStyle name="常规 2 2 5 3 2 4 2 2" xfId="33255" xr:uid="{00000000-0005-0000-0000-0000E7810000}"/>
    <cellStyle name="常规 2 2 5 3 2 5" xfId="33256" xr:uid="{00000000-0005-0000-0000-0000E8810000}"/>
    <cellStyle name="常规 2 2 5 3 2 5 2" xfId="33257" xr:uid="{00000000-0005-0000-0000-0000E9810000}"/>
    <cellStyle name="常规 2 2 5 3 2 5 3" xfId="33258" xr:uid="{00000000-0005-0000-0000-0000EA810000}"/>
    <cellStyle name="常规 2 2 5 3 2 6" xfId="33259" xr:uid="{00000000-0005-0000-0000-0000EB810000}"/>
    <cellStyle name="常规 2 2 5 3 3" xfId="33260" xr:uid="{00000000-0005-0000-0000-0000EC810000}"/>
    <cellStyle name="常规 2 2 5 3 3 2" xfId="33261" xr:uid="{00000000-0005-0000-0000-0000ED810000}"/>
    <cellStyle name="常规 2 2 5 3 3 2 2" xfId="33262" xr:uid="{00000000-0005-0000-0000-0000EE810000}"/>
    <cellStyle name="常规 2 2 5 3 3 2 2 2" xfId="33263" xr:uid="{00000000-0005-0000-0000-0000EF810000}"/>
    <cellStyle name="常规 2 2 5 3 3 3" xfId="33264" xr:uid="{00000000-0005-0000-0000-0000F0810000}"/>
    <cellStyle name="常规 2 2 5 3 3 3 2" xfId="33265" xr:uid="{00000000-0005-0000-0000-0000F1810000}"/>
    <cellStyle name="常规 2 2 5 3 3 3 2 2" xfId="33266" xr:uid="{00000000-0005-0000-0000-0000F2810000}"/>
    <cellStyle name="常规 2 2 5 3 3 4" xfId="33267" xr:uid="{00000000-0005-0000-0000-0000F3810000}"/>
    <cellStyle name="常规 2 2 5 3 3 4 2" xfId="33268" xr:uid="{00000000-0005-0000-0000-0000F4810000}"/>
    <cellStyle name="常规 2 2 5 3 3 5" xfId="33269" xr:uid="{00000000-0005-0000-0000-0000F5810000}"/>
    <cellStyle name="常规 2 2 5 3 4" xfId="33270" xr:uid="{00000000-0005-0000-0000-0000F6810000}"/>
    <cellStyle name="常规 2 2 5 3 4 2" xfId="33271" xr:uid="{00000000-0005-0000-0000-0000F7810000}"/>
    <cellStyle name="常规 2 2 5 3 4 2 2" xfId="33272" xr:uid="{00000000-0005-0000-0000-0000F8810000}"/>
    <cellStyle name="常规 2 2 5 3 5" xfId="33273" xr:uid="{00000000-0005-0000-0000-0000F9810000}"/>
    <cellStyle name="常规 2 2 5 3 5 2" xfId="33274" xr:uid="{00000000-0005-0000-0000-0000FA810000}"/>
    <cellStyle name="常规 2 2 5 3 5 2 2" xfId="33275" xr:uid="{00000000-0005-0000-0000-0000FB810000}"/>
    <cellStyle name="常规 2 2 5 3 6" xfId="33276" xr:uid="{00000000-0005-0000-0000-0000FC810000}"/>
    <cellStyle name="常规 2 2 5 3 7" xfId="33277" xr:uid="{00000000-0005-0000-0000-0000FD810000}"/>
    <cellStyle name="常规 2 2 5 3 7 2" xfId="33278" xr:uid="{00000000-0005-0000-0000-0000FE810000}"/>
    <cellStyle name="常规 2 2 5 3 7 3" xfId="33279" xr:uid="{00000000-0005-0000-0000-0000FF810000}"/>
    <cellStyle name="常规 2 2 5 3 8" xfId="33280" xr:uid="{00000000-0005-0000-0000-000000820000}"/>
    <cellStyle name="常规 2 2 5 3 8 2" xfId="33281" xr:uid="{00000000-0005-0000-0000-000001820000}"/>
    <cellStyle name="常规 2 2 5 4" xfId="33282" xr:uid="{00000000-0005-0000-0000-000002820000}"/>
    <cellStyle name="常规 2 2 5 4 2" xfId="33283" xr:uid="{00000000-0005-0000-0000-000003820000}"/>
    <cellStyle name="常规 2 2 5 4 2 2" xfId="33284" xr:uid="{00000000-0005-0000-0000-000004820000}"/>
    <cellStyle name="常规 2 2 5 4 2 3" xfId="33285" xr:uid="{00000000-0005-0000-0000-000005820000}"/>
    <cellStyle name="常规 2 2 5 4 2 4" xfId="33286" xr:uid="{00000000-0005-0000-0000-000006820000}"/>
    <cellStyle name="常规 2 2 5 4 2 5" xfId="33287" xr:uid="{00000000-0005-0000-0000-000007820000}"/>
    <cellStyle name="常规 2 2 5 4 2 5 2" xfId="33288" xr:uid="{00000000-0005-0000-0000-000008820000}"/>
    <cellStyle name="常规 2 2 5 4 3" xfId="33289" xr:uid="{00000000-0005-0000-0000-000009820000}"/>
    <cellStyle name="常规 2 2 5 4 3 2" xfId="33290" xr:uid="{00000000-0005-0000-0000-00000A820000}"/>
    <cellStyle name="常规 2 2 5 4 3 2 2" xfId="33291" xr:uid="{00000000-0005-0000-0000-00000B820000}"/>
    <cellStyle name="常规 2 2 5 4 4" xfId="33292" xr:uid="{00000000-0005-0000-0000-00000C820000}"/>
    <cellStyle name="常规 2 2 5 4 4 2" xfId="33293" xr:uid="{00000000-0005-0000-0000-00000D820000}"/>
    <cellStyle name="常规 2 2 5 4 4 2 2" xfId="33294" xr:uid="{00000000-0005-0000-0000-00000E820000}"/>
    <cellStyle name="常规 2 2 5 4 5" xfId="33295" xr:uid="{00000000-0005-0000-0000-00000F820000}"/>
    <cellStyle name="常规 2 2 5 4 5 2" xfId="33296" xr:uid="{00000000-0005-0000-0000-000010820000}"/>
    <cellStyle name="常规 2 2 5 4 5 3" xfId="33297" xr:uid="{00000000-0005-0000-0000-000011820000}"/>
    <cellStyle name="常规 2 2 5 4 6" xfId="33298" xr:uid="{00000000-0005-0000-0000-000012820000}"/>
    <cellStyle name="常规 2 2 5 4 6 2" xfId="33299" xr:uid="{00000000-0005-0000-0000-000013820000}"/>
    <cellStyle name="常规 2 2 5 4 7" xfId="33300" xr:uid="{00000000-0005-0000-0000-000014820000}"/>
    <cellStyle name="常规 2 2 5 5" xfId="33301" xr:uid="{00000000-0005-0000-0000-000015820000}"/>
    <cellStyle name="常规 2 2 5 5 2" xfId="33302" xr:uid="{00000000-0005-0000-0000-000016820000}"/>
    <cellStyle name="常规 2 2 5 5 3" xfId="33303" xr:uid="{00000000-0005-0000-0000-000017820000}"/>
    <cellStyle name="常规 2 2 5 5 4" xfId="33304" xr:uid="{00000000-0005-0000-0000-000018820000}"/>
    <cellStyle name="常规 2 2 5 5 5" xfId="33305" xr:uid="{00000000-0005-0000-0000-000019820000}"/>
    <cellStyle name="常规 2 2 5 5 5 2" xfId="33306" xr:uid="{00000000-0005-0000-0000-00001A820000}"/>
    <cellStyle name="常规 2 2 5 6" xfId="33307" xr:uid="{00000000-0005-0000-0000-00001B820000}"/>
    <cellStyle name="常规 2 2 5 6 2" xfId="33308" xr:uid="{00000000-0005-0000-0000-00001C820000}"/>
    <cellStyle name="常规 2 2 5 6 2 2" xfId="33309" xr:uid="{00000000-0005-0000-0000-00001D820000}"/>
    <cellStyle name="常规 2 2 5 7" xfId="33310" xr:uid="{00000000-0005-0000-0000-00001E820000}"/>
    <cellStyle name="常规 2 2 5 7 2" xfId="33311" xr:uid="{00000000-0005-0000-0000-00001F820000}"/>
    <cellStyle name="常规 2 2 5 7 2 2" xfId="33312" xr:uid="{00000000-0005-0000-0000-000020820000}"/>
    <cellStyle name="常规 2 2 5 8" xfId="33313" xr:uid="{00000000-0005-0000-0000-000021820000}"/>
    <cellStyle name="常规 2 2 5 8 2" xfId="33314" xr:uid="{00000000-0005-0000-0000-000022820000}"/>
    <cellStyle name="常规 2 2 5 8 2 2" xfId="33315" xr:uid="{00000000-0005-0000-0000-000023820000}"/>
    <cellStyle name="常规 2 2 5 9" xfId="33316" xr:uid="{00000000-0005-0000-0000-000024820000}"/>
    <cellStyle name="常规 2 2 5 9 2" xfId="33317" xr:uid="{00000000-0005-0000-0000-000025820000}"/>
    <cellStyle name="常规 2 2 5 9 3" xfId="33318" xr:uid="{00000000-0005-0000-0000-000026820000}"/>
    <cellStyle name="常规 2 2 6" xfId="33319" xr:uid="{00000000-0005-0000-0000-000027820000}"/>
    <cellStyle name="常规 2 2 6 10" xfId="33320" xr:uid="{00000000-0005-0000-0000-000028820000}"/>
    <cellStyle name="常规 2 2 6 2" xfId="33321" xr:uid="{00000000-0005-0000-0000-000029820000}"/>
    <cellStyle name="常规 2 2 6 2 2" xfId="33322" xr:uid="{00000000-0005-0000-0000-00002A820000}"/>
    <cellStyle name="常规 2 2 6 2 2 2" xfId="33323" xr:uid="{00000000-0005-0000-0000-00002B820000}"/>
    <cellStyle name="常规 2 2 6 2 2 2 2" xfId="33324" xr:uid="{00000000-0005-0000-0000-00002C820000}"/>
    <cellStyle name="常规 2 2 6 2 2 2 3" xfId="33325" xr:uid="{00000000-0005-0000-0000-00002D820000}"/>
    <cellStyle name="常规 2 2 6 2 2 2 4" xfId="33326" xr:uid="{00000000-0005-0000-0000-00002E820000}"/>
    <cellStyle name="常规 2 2 6 2 2 2 5" xfId="33327" xr:uid="{00000000-0005-0000-0000-00002F820000}"/>
    <cellStyle name="常规 2 2 6 2 2 2 5 2" xfId="33328" xr:uid="{00000000-0005-0000-0000-000030820000}"/>
    <cellStyle name="常规 2 2 6 2 2 3" xfId="33329" xr:uid="{00000000-0005-0000-0000-000031820000}"/>
    <cellStyle name="常规 2 2 6 2 2 4" xfId="33330" xr:uid="{00000000-0005-0000-0000-000032820000}"/>
    <cellStyle name="常规 2 2 6 2 2 5" xfId="33331" xr:uid="{00000000-0005-0000-0000-000033820000}"/>
    <cellStyle name="常规 2 2 6 2 2 6" xfId="33332" xr:uid="{00000000-0005-0000-0000-000034820000}"/>
    <cellStyle name="常规 2 2 6 2 2 6 2" xfId="33333" xr:uid="{00000000-0005-0000-0000-000035820000}"/>
    <cellStyle name="常规 2 2 6 2 3" xfId="33334" xr:uid="{00000000-0005-0000-0000-000036820000}"/>
    <cellStyle name="常规 2 2 6 2 3 2" xfId="33335" xr:uid="{00000000-0005-0000-0000-000037820000}"/>
    <cellStyle name="常规 2 2 6 2 3 2 2" xfId="33336" xr:uid="{00000000-0005-0000-0000-000038820000}"/>
    <cellStyle name="常规 2 2 6 2 3 2 3" xfId="33337" xr:uid="{00000000-0005-0000-0000-000039820000}"/>
    <cellStyle name="常规 2 2 6 2 3 2 4" xfId="33338" xr:uid="{00000000-0005-0000-0000-00003A820000}"/>
    <cellStyle name="常规 2 2 6 2 3 3" xfId="33339" xr:uid="{00000000-0005-0000-0000-00003B820000}"/>
    <cellStyle name="常规 2 2 6 2 3 4" xfId="33340" xr:uid="{00000000-0005-0000-0000-00003C820000}"/>
    <cellStyle name="常规 2 2 6 2 3 5" xfId="33341" xr:uid="{00000000-0005-0000-0000-00003D820000}"/>
    <cellStyle name="常规 2 2 6 2 3 6" xfId="33342" xr:uid="{00000000-0005-0000-0000-00003E820000}"/>
    <cellStyle name="常规 2 2 6 2 3 6 2" xfId="33343" xr:uid="{00000000-0005-0000-0000-00003F820000}"/>
    <cellStyle name="常规 2 2 6 2 4" xfId="33344" xr:uid="{00000000-0005-0000-0000-000040820000}"/>
    <cellStyle name="常规 2 2 6 2 4 2" xfId="33345" xr:uid="{00000000-0005-0000-0000-000041820000}"/>
    <cellStyle name="常规 2 2 6 2 4 3" xfId="33346" xr:uid="{00000000-0005-0000-0000-000042820000}"/>
    <cellStyle name="常规 2 2 6 2 4 4" xfId="33347" xr:uid="{00000000-0005-0000-0000-000043820000}"/>
    <cellStyle name="常规 2 2 6 2 4 5" xfId="33348" xr:uid="{00000000-0005-0000-0000-000044820000}"/>
    <cellStyle name="常规 2 2 6 2 4 5 2" xfId="33349" xr:uid="{00000000-0005-0000-0000-000045820000}"/>
    <cellStyle name="常规 2 2 6 2 5" xfId="33350" xr:uid="{00000000-0005-0000-0000-000046820000}"/>
    <cellStyle name="常规 2 2 6 2 6" xfId="33351" xr:uid="{00000000-0005-0000-0000-000047820000}"/>
    <cellStyle name="常规 2 2 6 2 7" xfId="33352" xr:uid="{00000000-0005-0000-0000-000048820000}"/>
    <cellStyle name="常规 2 2 6 2 8" xfId="33353" xr:uid="{00000000-0005-0000-0000-000049820000}"/>
    <cellStyle name="常规 2 2 6 2 8 2" xfId="33354" xr:uid="{00000000-0005-0000-0000-00004A820000}"/>
    <cellStyle name="常规 2 2 6 2 9" xfId="33355" xr:uid="{00000000-0005-0000-0000-00004B820000}"/>
    <cellStyle name="常规 2 2 6 3" xfId="33356" xr:uid="{00000000-0005-0000-0000-00004C820000}"/>
    <cellStyle name="常规 2 2 6 3 2" xfId="33357" xr:uid="{00000000-0005-0000-0000-00004D820000}"/>
    <cellStyle name="常规 2 2 6 3 2 2" xfId="33358" xr:uid="{00000000-0005-0000-0000-00004E820000}"/>
    <cellStyle name="常规 2 2 6 3 2 3" xfId="33359" xr:uid="{00000000-0005-0000-0000-00004F820000}"/>
    <cellStyle name="常规 2 2 6 3 2 4" xfId="33360" xr:uid="{00000000-0005-0000-0000-000050820000}"/>
    <cellStyle name="常规 2 2 6 3 2 5" xfId="33361" xr:uid="{00000000-0005-0000-0000-000051820000}"/>
    <cellStyle name="常规 2 2 6 3 2 5 2" xfId="33362" xr:uid="{00000000-0005-0000-0000-000052820000}"/>
    <cellStyle name="常规 2 2 6 3 3" xfId="33363" xr:uid="{00000000-0005-0000-0000-000053820000}"/>
    <cellStyle name="常规 2 2 6 3 4" xfId="33364" xr:uid="{00000000-0005-0000-0000-000054820000}"/>
    <cellStyle name="常规 2 2 6 3 5" xfId="33365" xr:uid="{00000000-0005-0000-0000-000055820000}"/>
    <cellStyle name="常规 2 2 6 3 6" xfId="33366" xr:uid="{00000000-0005-0000-0000-000056820000}"/>
    <cellStyle name="常规 2 2 6 3 6 2" xfId="33367" xr:uid="{00000000-0005-0000-0000-000057820000}"/>
    <cellStyle name="常规 2 2 6 4" xfId="33368" xr:uid="{00000000-0005-0000-0000-000058820000}"/>
    <cellStyle name="常规 2 2 6 4 2" xfId="33369" xr:uid="{00000000-0005-0000-0000-000059820000}"/>
    <cellStyle name="常规 2 2 6 4 2 2" xfId="33370" xr:uid="{00000000-0005-0000-0000-00005A820000}"/>
    <cellStyle name="常规 2 2 6 4 2 3" xfId="33371" xr:uid="{00000000-0005-0000-0000-00005B820000}"/>
    <cellStyle name="常规 2 2 6 4 2 4" xfId="33372" xr:uid="{00000000-0005-0000-0000-00005C820000}"/>
    <cellStyle name="常规 2 2 6 4 3" xfId="33373" xr:uid="{00000000-0005-0000-0000-00005D820000}"/>
    <cellStyle name="常规 2 2 6 4 4" xfId="33374" xr:uid="{00000000-0005-0000-0000-00005E820000}"/>
    <cellStyle name="常规 2 2 6 4 5" xfId="33375" xr:uid="{00000000-0005-0000-0000-00005F820000}"/>
    <cellStyle name="常规 2 2 6 4 6" xfId="33376" xr:uid="{00000000-0005-0000-0000-000060820000}"/>
    <cellStyle name="常规 2 2 6 4 6 2" xfId="33377" xr:uid="{00000000-0005-0000-0000-000061820000}"/>
    <cellStyle name="常规 2 2 6 5" xfId="33378" xr:uid="{00000000-0005-0000-0000-000062820000}"/>
    <cellStyle name="常规 2 2 6 5 2" xfId="33379" xr:uid="{00000000-0005-0000-0000-000063820000}"/>
    <cellStyle name="常规 2 2 6 5 3" xfId="33380" xr:uid="{00000000-0005-0000-0000-000064820000}"/>
    <cellStyle name="常规 2 2 6 5 4" xfId="33381" xr:uid="{00000000-0005-0000-0000-000065820000}"/>
    <cellStyle name="常规 2 2 6 5 5" xfId="33382" xr:uid="{00000000-0005-0000-0000-000066820000}"/>
    <cellStyle name="常规 2 2 6 5 5 2" xfId="33383" xr:uid="{00000000-0005-0000-0000-000067820000}"/>
    <cellStyle name="常规 2 2 6 6" xfId="33384" xr:uid="{00000000-0005-0000-0000-000068820000}"/>
    <cellStyle name="常规 2 2 6 7" xfId="33385" xr:uid="{00000000-0005-0000-0000-000069820000}"/>
    <cellStyle name="常规 2 2 6 8" xfId="33386" xr:uid="{00000000-0005-0000-0000-00006A820000}"/>
    <cellStyle name="常规 2 2 6 9" xfId="33387" xr:uid="{00000000-0005-0000-0000-00006B820000}"/>
    <cellStyle name="常规 2 2 6 9 2" xfId="33388" xr:uid="{00000000-0005-0000-0000-00006C820000}"/>
    <cellStyle name="常规 2 2 7" xfId="33389" xr:uid="{00000000-0005-0000-0000-00006D820000}"/>
    <cellStyle name="常规 2 2 7 2" xfId="33390" xr:uid="{00000000-0005-0000-0000-00006E820000}"/>
    <cellStyle name="常规 2 2 7 2 2" xfId="33391" xr:uid="{00000000-0005-0000-0000-00006F820000}"/>
    <cellStyle name="常规 2 2 7 2 2 2" xfId="33392" xr:uid="{00000000-0005-0000-0000-000070820000}"/>
    <cellStyle name="常规 2 2 7 2 2 3" xfId="33393" xr:uid="{00000000-0005-0000-0000-000071820000}"/>
    <cellStyle name="常规 2 2 7 2 2 4" xfId="33394" xr:uid="{00000000-0005-0000-0000-000072820000}"/>
    <cellStyle name="常规 2 2 7 2 2 5" xfId="33395" xr:uid="{00000000-0005-0000-0000-000073820000}"/>
    <cellStyle name="常规 2 2 7 2 2 5 2" xfId="33396" xr:uid="{00000000-0005-0000-0000-000074820000}"/>
    <cellStyle name="常规 2 2 7 2 3" xfId="33397" xr:uid="{00000000-0005-0000-0000-000075820000}"/>
    <cellStyle name="常规 2 2 7 2 4" xfId="33398" xr:uid="{00000000-0005-0000-0000-000076820000}"/>
    <cellStyle name="常规 2 2 7 2 5" xfId="33399" xr:uid="{00000000-0005-0000-0000-000077820000}"/>
    <cellStyle name="常规 2 2 7 2 6" xfId="33400" xr:uid="{00000000-0005-0000-0000-000078820000}"/>
    <cellStyle name="常规 2 2 7 2 6 2" xfId="33401" xr:uid="{00000000-0005-0000-0000-000079820000}"/>
    <cellStyle name="常规 2 2 7 3" xfId="33402" xr:uid="{00000000-0005-0000-0000-00007A820000}"/>
    <cellStyle name="常规 2 2 7 3 2" xfId="33403" xr:uid="{00000000-0005-0000-0000-00007B820000}"/>
    <cellStyle name="常规 2 2 7 3 2 2" xfId="33404" xr:uid="{00000000-0005-0000-0000-00007C820000}"/>
    <cellStyle name="常规 2 2 7 3 2 3" xfId="33405" xr:uid="{00000000-0005-0000-0000-00007D820000}"/>
    <cellStyle name="常规 2 2 7 3 2 4" xfId="33406" xr:uid="{00000000-0005-0000-0000-00007E820000}"/>
    <cellStyle name="常规 2 2 7 3 3" xfId="33407" xr:uid="{00000000-0005-0000-0000-00007F820000}"/>
    <cellStyle name="常规 2 2 7 3 4" xfId="33408" xr:uid="{00000000-0005-0000-0000-000080820000}"/>
    <cellStyle name="常规 2 2 7 3 5" xfId="33409" xr:uid="{00000000-0005-0000-0000-000081820000}"/>
    <cellStyle name="常规 2 2 7 3 6" xfId="33410" xr:uid="{00000000-0005-0000-0000-000082820000}"/>
    <cellStyle name="常规 2 2 7 3 6 2" xfId="33411" xr:uid="{00000000-0005-0000-0000-000083820000}"/>
    <cellStyle name="常规 2 2 7 4" xfId="33412" xr:uid="{00000000-0005-0000-0000-000084820000}"/>
    <cellStyle name="常规 2 2 7 4 2" xfId="33413" xr:uid="{00000000-0005-0000-0000-000085820000}"/>
    <cellStyle name="常规 2 2 7 4 3" xfId="33414" xr:uid="{00000000-0005-0000-0000-000086820000}"/>
    <cellStyle name="常规 2 2 7 4 4" xfId="33415" xr:uid="{00000000-0005-0000-0000-000087820000}"/>
    <cellStyle name="常规 2 2 7 4 5" xfId="33416" xr:uid="{00000000-0005-0000-0000-000088820000}"/>
    <cellStyle name="常规 2 2 7 4 5 2" xfId="33417" xr:uid="{00000000-0005-0000-0000-000089820000}"/>
    <cellStyle name="常规 2 2 7 5" xfId="33418" xr:uid="{00000000-0005-0000-0000-00008A820000}"/>
    <cellStyle name="常规 2 2 7 6" xfId="33419" xr:uid="{00000000-0005-0000-0000-00008B820000}"/>
    <cellStyle name="常规 2 2 7 7" xfId="33420" xr:uid="{00000000-0005-0000-0000-00008C820000}"/>
    <cellStyle name="常规 2 2 7 8" xfId="33421" xr:uid="{00000000-0005-0000-0000-00008D820000}"/>
    <cellStyle name="常规 2 2 7 8 2" xfId="33422" xr:uid="{00000000-0005-0000-0000-00008E820000}"/>
    <cellStyle name="常规 2 2 7 9" xfId="33423" xr:uid="{00000000-0005-0000-0000-00008F820000}"/>
    <cellStyle name="常规 2 2 8" xfId="33424" xr:uid="{00000000-0005-0000-0000-000090820000}"/>
    <cellStyle name="常规 2 2 8 2" xfId="33425" xr:uid="{00000000-0005-0000-0000-000091820000}"/>
    <cellStyle name="常规 2 2 8 2 2" xfId="33426" xr:uid="{00000000-0005-0000-0000-000092820000}"/>
    <cellStyle name="常规 2 2 8 2 2 2" xfId="33427" xr:uid="{00000000-0005-0000-0000-000093820000}"/>
    <cellStyle name="常规 2 2 8 2 2 2 2" xfId="33428" xr:uid="{00000000-0005-0000-0000-000094820000}"/>
    <cellStyle name="常规 2 2 8 2 3" xfId="33429" xr:uid="{00000000-0005-0000-0000-000095820000}"/>
    <cellStyle name="常规 2 2 8 2 3 2" xfId="33430" xr:uid="{00000000-0005-0000-0000-000096820000}"/>
    <cellStyle name="常规 2 2 8 2 3 2 2" xfId="33431" xr:uid="{00000000-0005-0000-0000-000097820000}"/>
    <cellStyle name="常规 2 2 8 2 4" xfId="33432" xr:uid="{00000000-0005-0000-0000-000098820000}"/>
    <cellStyle name="常规 2 2 8 2 4 2" xfId="33433" xr:uid="{00000000-0005-0000-0000-000099820000}"/>
    <cellStyle name="常规 2 2 8 2 4 2 2" xfId="33434" xr:uid="{00000000-0005-0000-0000-00009A820000}"/>
    <cellStyle name="常规 2 2 8 2 5" xfId="33435" xr:uid="{00000000-0005-0000-0000-00009B820000}"/>
    <cellStyle name="常规 2 2 8 2 5 2" xfId="33436" xr:uid="{00000000-0005-0000-0000-00009C820000}"/>
    <cellStyle name="常规 2 2 8 2 5 3" xfId="33437" xr:uid="{00000000-0005-0000-0000-00009D820000}"/>
    <cellStyle name="常规 2 2 8 2 6" xfId="33438" xr:uid="{00000000-0005-0000-0000-00009E820000}"/>
    <cellStyle name="常规 2 2 8 3" xfId="33439" xr:uid="{00000000-0005-0000-0000-00009F820000}"/>
    <cellStyle name="常规 2 2 8 3 2" xfId="33440" xr:uid="{00000000-0005-0000-0000-0000A0820000}"/>
    <cellStyle name="常规 2 2 8 3 2 2" xfId="33441" xr:uid="{00000000-0005-0000-0000-0000A1820000}"/>
    <cellStyle name="常规 2 2 8 4" xfId="33442" xr:uid="{00000000-0005-0000-0000-0000A2820000}"/>
    <cellStyle name="常规 2 2 8 4 2" xfId="33443" xr:uid="{00000000-0005-0000-0000-0000A3820000}"/>
    <cellStyle name="常规 2 2 8 4 2 2" xfId="33444" xr:uid="{00000000-0005-0000-0000-0000A4820000}"/>
    <cellStyle name="常规 2 2 8 5" xfId="33445" xr:uid="{00000000-0005-0000-0000-0000A5820000}"/>
    <cellStyle name="常规 2 2 8 5 2" xfId="33446" xr:uid="{00000000-0005-0000-0000-0000A6820000}"/>
    <cellStyle name="常规 2 2 8 5 2 2" xfId="33447" xr:uid="{00000000-0005-0000-0000-0000A7820000}"/>
    <cellStyle name="常规 2 2 8 6" xfId="33448" xr:uid="{00000000-0005-0000-0000-0000A8820000}"/>
    <cellStyle name="常规 2 2 8 7" xfId="33449" xr:uid="{00000000-0005-0000-0000-0000A9820000}"/>
    <cellStyle name="常规 2 2 8 7 2" xfId="33450" xr:uid="{00000000-0005-0000-0000-0000AA820000}"/>
    <cellStyle name="常规 2 2 8 7 3" xfId="33451" xr:uid="{00000000-0005-0000-0000-0000AB820000}"/>
    <cellStyle name="常规 2 2 8 8" xfId="33452" xr:uid="{00000000-0005-0000-0000-0000AC820000}"/>
    <cellStyle name="常规 2 2 8 8 2" xfId="33453" xr:uid="{00000000-0005-0000-0000-0000AD820000}"/>
    <cellStyle name="常规 2 2 9" xfId="33454" xr:uid="{00000000-0005-0000-0000-0000AE820000}"/>
    <cellStyle name="常规 2 2 9 2" xfId="33455" xr:uid="{00000000-0005-0000-0000-0000AF820000}"/>
    <cellStyle name="常规 2 2 9 2 2" xfId="33456" xr:uid="{00000000-0005-0000-0000-0000B0820000}"/>
    <cellStyle name="常规 2 2 9 2 2 2" xfId="33457" xr:uid="{00000000-0005-0000-0000-0000B1820000}"/>
    <cellStyle name="常规 2 2 9 2 2 2 2" xfId="33458" xr:uid="{00000000-0005-0000-0000-0000B2820000}"/>
    <cellStyle name="常规 2 2 9 2 3" xfId="33459" xr:uid="{00000000-0005-0000-0000-0000B3820000}"/>
    <cellStyle name="常规 2 2 9 2 4" xfId="33460" xr:uid="{00000000-0005-0000-0000-0000B4820000}"/>
    <cellStyle name="常规 2 2 9 2 5" xfId="33461" xr:uid="{00000000-0005-0000-0000-0000B5820000}"/>
    <cellStyle name="常规 2 2 9 2 5 2" xfId="33462" xr:uid="{00000000-0005-0000-0000-0000B6820000}"/>
    <cellStyle name="常规 2 2 9 3" xfId="33463" xr:uid="{00000000-0005-0000-0000-0000B7820000}"/>
    <cellStyle name="常规 2 2 9 3 2" xfId="33464" xr:uid="{00000000-0005-0000-0000-0000B8820000}"/>
    <cellStyle name="常规 2 2 9 3 2 2" xfId="33465" xr:uid="{00000000-0005-0000-0000-0000B9820000}"/>
    <cellStyle name="常规 2 2 9 4" xfId="33466" xr:uid="{00000000-0005-0000-0000-0000BA820000}"/>
    <cellStyle name="常规 2 2 9 4 2" xfId="33467" xr:uid="{00000000-0005-0000-0000-0000BB820000}"/>
    <cellStyle name="常规 2 2 9 4 2 2" xfId="33468" xr:uid="{00000000-0005-0000-0000-0000BC820000}"/>
    <cellStyle name="常规 2 2 9 5" xfId="33469" xr:uid="{00000000-0005-0000-0000-0000BD820000}"/>
    <cellStyle name="常规 2 2 9 6" xfId="33470" xr:uid="{00000000-0005-0000-0000-0000BE820000}"/>
    <cellStyle name="常规 2 2 9 6 2" xfId="33471" xr:uid="{00000000-0005-0000-0000-0000BF820000}"/>
    <cellStyle name="常规 2 2 9 7" xfId="33472" xr:uid="{00000000-0005-0000-0000-0000C0820000}"/>
    <cellStyle name="常规 2 20" xfId="33473" xr:uid="{00000000-0005-0000-0000-0000C1820000}"/>
    <cellStyle name="常规 2 20 2" xfId="33474" xr:uid="{00000000-0005-0000-0000-0000C2820000}"/>
    <cellStyle name="常规 2 20 2 2" xfId="33475" xr:uid="{00000000-0005-0000-0000-0000C3820000}"/>
    <cellStyle name="常规 2 20 2 3" xfId="33476" xr:uid="{00000000-0005-0000-0000-0000C4820000}"/>
    <cellStyle name="常规 2 20 3" xfId="33477" xr:uid="{00000000-0005-0000-0000-0000C5820000}"/>
    <cellStyle name="常规 2 20 3 2" xfId="33478" xr:uid="{00000000-0005-0000-0000-0000C6820000}"/>
    <cellStyle name="常规 2 20 4" xfId="33479" xr:uid="{00000000-0005-0000-0000-0000C7820000}"/>
    <cellStyle name="常规 2 20 5" xfId="33480" xr:uid="{00000000-0005-0000-0000-0000C8820000}"/>
    <cellStyle name="常规 2 21" xfId="33481" xr:uid="{00000000-0005-0000-0000-0000C9820000}"/>
    <cellStyle name="常规 2 21 2" xfId="33482" xr:uid="{00000000-0005-0000-0000-0000CA820000}"/>
    <cellStyle name="常规 2 21 2 2" xfId="33483" xr:uid="{00000000-0005-0000-0000-0000CB820000}"/>
    <cellStyle name="常规 2 21 3" xfId="33484" xr:uid="{00000000-0005-0000-0000-0000CC820000}"/>
    <cellStyle name="常规 2 22" xfId="33485" xr:uid="{00000000-0005-0000-0000-0000CD820000}"/>
    <cellStyle name="常规 2 22 2" xfId="33486" xr:uid="{00000000-0005-0000-0000-0000CE820000}"/>
    <cellStyle name="常规 2 22 3" xfId="33487" xr:uid="{00000000-0005-0000-0000-0000CF820000}"/>
    <cellStyle name="常规 2 23" xfId="33488" xr:uid="{00000000-0005-0000-0000-0000D0820000}"/>
    <cellStyle name="常规 2 23 2" xfId="33489" xr:uid="{00000000-0005-0000-0000-0000D1820000}"/>
    <cellStyle name="常规 2 24" xfId="33490" xr:uid="{00000000-0005-0000-0000-0000D2820000}"/>
    <cellStyle name="常规 2 25" xfId="33491" xr:uid="{00000000-0005-0000-0000-0000D3820000}"/>
    <cellStyle name="常规 2 26" xfId="33492" xr:uid="{00000000-0005-0000-0000-0000D4820000}"/>
    <cellStyle name="常规 2 27" xfId="33493" xr:uid="{00000000-0005-0000-0000-0000D5820000}"/>
    <cellStyle name="常规 2 28" xfId="33494" xr:uid="{00000000-0005-0000-0000-0000D6820000}"/>
    <cellStyle name="常规 2 3" xfId="33495" xr:uid="{00000000-0005-0000-0000-0000D7820000}"/>
    <cellStyle name="常规 2 3 2" xfId="33496" xr:uid="{00000000-0005-0000-0000-0000D8820000}"/>
    <cellStyle name="常规 2 3 2 2" xfId="33497" xr:uid="{00000000-0005-0000-0000-0000D9820000}"/>
    <cellStyle name="常规 2 3 2 2 2" xfId="33498" xr:uid="{00000000-0005-0000-0000-0000DA820000}"/>
    <cellStyle name="常规 2 3 2 2 2 2" xfId="33499" xr:uid="{00000000-0005-0000-0000-0000DB820000}"/>
    <cellStyle name="常规 2 3 2 2 2 3" xfId="33500" xr:uid="{00000000-0005-0000-0000-0000DC820000}"/>
    <cellStyle name="常规 2 3 2 2 2 4" xfId="33501" xr:uid="{00000000-0005-0000-0000-0000DD820000}"/>
    <cellStyle name="常规 2 3 2 2 2 4 2" xfId="33502" xr:uid="{00000000-0005-0000-0000-0000DE820000}"/>
    <cellStyle name="常规 2 3 2 2 2 5" xfId="33503" xr:uid="{00000000-0005-0000-0000-0000DF820000}"/>
    <cellStyle name="常规 2 3 2 2 2 5 2" xfId="33504" xr:uid="{00000000-0005-0000-0000-0000E0820000}"/>
    <cellStyle name="常规 2 3 2 2 3" xfId="33505" xr:uid="{00000000-0005-0000-0000-0000E1820000}"/>
    <cellStyle name="常规 2 3 2 2 4" xfId="33506" xr:uid="{00000000-0005-0000-0000-0000E2820000}"/>
    <cellStyle name="常规 2 3 2 2 5" xfId="33507" xr:uid="{00000000-0005-0000-0000-0000E3820000}"/>
    <cellStyle name="常规 2 3 2 2 6" xfId="33508" xr:uid="{00000000-0005-0000-0000-0000E4820000}"/>
    <cellStyle name="常规 2 3 2 2 6 2" xfId="33509" xr:uid="{00000000-0005-0000-0000-0000E5820000}"/>
    <cellStyle name="常规 2 3 2 2 7" xfId="33510" xr:uid="{00000000-0005-0000-0000-0000E6820000}"/>
    <cellStyle name="常规 2 3 2 2 7 2" xfId="33511" xr:uid="{00000000-0005-0000-0000-0000E7820000}"/>
    <cellStyle name="常规 2 3 2 3" xfId="33512" xr:uid="{00000000-0005-0000-0000-0000E8820000}"/>
    <cellStyle name="常规 2 3 2 3 2" xfId="33513" xr:uid="{00000000-0005-0000-0000-0000E9820000}"/>
    <cellStyle name="常规 2 3 2 3 2 2" xfId="33514" xr:uid="{00000000-0005-0000-0000-0000EA820000}"/>
    <cellStyle name="常规 2 3 2 3 2 3" xfId="33515" xr:uid="{00000000-0005-0000-0000-0000EB820000}"/>
    <cellStyle name="常规 2 3 2 3 2 4" xfId="33516" xr:uid="{00000000-0005-0000-0000-0000EC820000}"/>
    <cellStyle name="常规 2 3 2 3 2 4 2" xfId="33517" xr:uid="{00000000-0005-0000-0000-0000ED820000}"/>
    <cellStyle name="常规 2 3 2 3 2 5" xfId="33518" xr:uid="{00000000-0005-0000-0000-0000EE820000}"/>
    <cellStyle name="常规 2 3 2 3 2 5 2" xfId="33519" xr:uid="{00000000-0005-0000-0000-0000EF820000}"/>
    <cellStyle name="常规 2 3 2 3 3" xfId="33520" xr:uid="{00000000-0005-0000-0000-0000F0820000}"/>
    <cellStyle name="常规 2 3 2 3 4" xfId="33521" xr:uid="{00000000-0005-0000-0000-0000F1820000}"/>
    <cellStyle name="常规 2 3 2 3 5" xfId="33522" xr:uid="{00000000-0005-0000-0000-0000F2820000}"/>
    <cellStyle name="常规 2 3 2 3 6" xfId="33523" xr:uid="{00000000-0005-0000-0000-0000F3820000}"/>
    <cellStyle name="常规 2 3 2 3 6 2" xfId="33524" xr:uid="{00000000-0005-0000-0000-0000F4820000}"/>
    <cellStyle name="常规 2 3 2 3 7" xfId="33525" xr:uid="{00000000-0005-0000-0000-0000F5820000}"/>
    <cellStyle name="常规 2 3 2 3 7 2" xfId="33526" xr:uid="{00000000-0005-0000-0000-0000F6820000}"/>
    <cellStyle name="常规 2 3 2 4" xfId="33527" xr:uid="{00000000-0005-0000-0000-0000F7820000}"/>
    <cellStyle name="常规 2 3 2 4 2" xfId="33528" xr:uid="{00000000-0005-0000-0000-0000F8820000}"/>
    <cellStyle name="常规 2 3 2 5" xfId="33529" xr:uid="{00000000-0005-0000-0000-0000F9820000}"/>
    <cellStyle name="常规 2 3 2 6" xfId="33530" xr:uid="{00000000-0005-0000-0000-0000FA820000}"/>
    <cellStyle name="常规 2 3 2 7" xfId="33531" xr:uid="{00000000-0005-0000-0000-0000FB820000}"/>
    <cellStyle name="常规 2 3 3" xfId="33532" xr:uid="{00000000-0005-0000-0000-0000FC820000}"/>
    <cellStyle name="常规 2 3 3 2" xfId="33533" xr:uid="{00000000-0005-0000-0000-0000FD820000}"/>
    <cellStyle name="常规 2 3 3 2 2" xfId="33534" xr:uid="{00000000-0005-0000-0000-0000FE820000}"/>
    <cellStyle name="常规 2 3 3 3" xfId="33535" xr:uid="{00000000-0005-0000-0000-0000FF820000}"/>
    <cellStyle name="常规 2 3 3 4" xfId="33536" xr:uid="{00000000-0005-0000-0000-000000830000}"/>
    <cellStyle name="常规 2 3 3 5" xfId="33537" xr:uid="{00000000-0005-0000-0000-000001830000}"/>
    <cellStyle name="常规 2 3 4" xfId="33538" xr:uid="{00000000-0005-0000-0000-000002830000}"/>
    <cellStyle name="常规 2 3 4 2" xfId="33539" xr:uid="{00000000-0005-0000-0000-000003830000}"/>
    <cellStyle name="常规 2 3 4 2 2" xfId="33540" xr:uid="{00000000-0005-0000-0000-000004830000}"/>
    <cellStyle name="常规 2 3 4 3" xfId="33541" xr:uid="{00000000-0005-0000-0000-000005830000}"/>
    <cellStyle name="常规 2 3 4 4" xfId="33542" xr:uid="{00000000-0005-0000-0000-000006830000}"/>
    <cellStyle name="常规 2 3 4 5" xfId="33543" xr:uid="{00000000-0005-0000-0000-000007830000}"/>
    <cellStyle name="常规 2 3 5" xfId="33544" xr:uid="{00000000-0005-0000-0000-000008830000}"/>
    <cellStyle name="常规 2 3 5 2" xfId="33545" xr:uid="{00000000-0005-0000-0000-000009830000}"/>
    <cellStyle name="常规 2 3 5 3" xfId="33546" xr:uid="{00000000-0005-0000-0000-00000A830000}"/>
    <cellStyle name="常规 2 3 5 3 2" xfId="33547" xr:uid="{00000000-0005-0000-0000-00000B830000}"/>
    <cellStyle name="常规 2 3 5 3 2 2" xfId="33548" xr:uid="{00000000-0005-0000-0000-00000C830000}"/>
    <cellStyle name="常规 2 3 5 4" xfId="33549" xr:uid="{00000000-0005-0000-0000-00000D830000}"/>
    <cellStyle name="常规 2 3 5 4 2" xfId="33550" xr:uid="{00000000-0005-0000-0000-00000E830000}"/>
    <cellStyle name="常规 2 3 6" xfId="33551" xr:uid="{00000000-0005-0000-0000-00000F830000}"/>
    <cellStyle name="常规 2 3 7" xfId="33552" xr:uid="{00000000-0005-0000-0000-000010830000}"/>
    <cellStyle name="常规 2 3 8" xfId="33553" xr:uid="{00000000-0005-0000-0000-000011830000}"/>
    <cellStyle name="常规 2 3 8 2" xfId="33554" xr:uid="{00000000-0005-0000-0000-000012830000}"/>
    <cellStyle name="常规 2 3 8 3" xfId="33555" xr:uid="{00000000-0005-0000-0000-000013830000}"/>
    <cellStyle name="常规 2 3 9" xfId="33556" xr:uid="{00000000-0005-0000-0000-000014830000}"/>
    <cellStyle name="常规 2 4" xfId="33557" xr:uid="{00000000-0005-0000-0000-000015830000}"/>
    <cellStyle name="常规 2 4 10" xfId="33558" xr:uid="{00000000-0005-0000-0000-000016830000}"/>
    <cellStyle name="常规 2 4 10 2" xfId="33559" xr:uid="{00000000-0005-0000-0000-000017830000}"/>
    <cellStyle name="常规 2 4 10 3" xfId="33560" xr:uid="{00000000-0005-0000-0000-000018830000}"/>
    <cellStyle name="常规 2 4 10 4" xfId="33561" xr:uid="{00000000-0005-0000-0000-000019830000}"/>
    <cellStyle name="常规 2 4 11" xfId="33562" xr:uid="{00000000-0005-0000-0000-00001A830000}"/>
    <cellStyle name="常规 2 4 12" xfId="33563" xr:uid="{00000000-0005-0000-0000-00001B830000}"/>
    <cellStyle name="常规 2 4 13" xfId="33564" xr:uid="{00000000-0005-0000-0000-00001C830000}"/>
    <cellStyle name="常规 2 4 14" xfId="33565" xr:uid="{00000000-0005-0000-0000-00001D830000}"/>
    <cellStyle name="常规 2 4 14 2" xfId="33566" xr:uid="{00000000-0005-0000-0000-00001E830000}"/>
    <cellStyle name="常规 2 4 15" xfId="33567" xr:uid="{00000000-0005-0000-0000-00001F830000}"/>
    <cellStyle name="常规 2 4 2" xfId="33568" xr:uid="{00000000-0005-0000-0000-000020830000}"/>
    <cellStyle name="常规 2 4 2 10" xfId="33569" xr:uid="{00000000-0005-0000-0000-000021830000}"/>
    <cellStyle name="常规 2 4 2 2" xfId="33570" xr:uid="{00000000-0005-0000-0000-000022830000}"/>
    <cellStyle name="常规 2 4 2 2 2" xfId="33571" xr:uid="{00000000-0005-0000-0000-000023830000}"/>
    <cellStyle name="常规 2 4 2 2 2 2" xfId="33572" xr:uid="{00000000-0005-0000-0000-000024830000}"/>
    <cellStyle name="常规 2 4 2 2 2 2 2" xfId="33573" xr:uid="{00000000-0005-0000-0000-000025830000}"/>
    <cellStyle name="常规 2 4 2 2 2 2 2 2" xfId="33574" xr:uid="{00000000-0005-0000-0000-000026830000}"/>
    <cellStyle name="常规 2 4 2 2 2 2 2 3" xfId="33575" xr:uid="{00000000-0005-0000-0000-000027830000}"/>
    <cellStyle name="常规 2 4 2 2 2 2 2 4" xfId="33576" xr:uid="{00000000-0005-0000-0000-000028830000}"/>
    <cellStyle name="常规 2 4 2 2 2 2 3" xfId="33577" xr:uid="{00000000-0005-0000-0000-000029830000}"/>
    <cellStyle name="常规 2 4 2 2 2 2 4" xfId="33578" xr:uid="{00000000-0005-0000-0000-00002A830000}"/>
    <cellStyle name="常规 2 4 2 2 2 2 5" xfId="33579" xr:uid="{00000000-0005-0000-0000-00002B830000}"/>
    <cellStyle name="常规 2 4 2 2 2 3" xfId="33580" xr:uid="{00000000-0005-0000-0000-00002C830000}"/>
    <cellStyle name="常规 2 4 2 2 2 3 2" xfId="33581" xr:uid="{00000000-0005-0000-0000-00002D830000}"/>
    <cellStyle name="常规 2 4 2 2 2 3 2 2" xfId="33582" xr:uid="{00000000-0005-0000-0000-00002E830000}"/>
    <cellStyle name="常规 2 4 2 2 2 3 2 3" xfId="33583" xr:uid="{00000000-0005-0000-0000-00002F830000}"/>
    <cellStyle name="常规 2 4 2 2 2 3 2 4" xfId="33584" xr:uid="{00000000-0005-0000-0000-000030830000}"/>
    <cellStyle name="常规 2 4 2 2 2 3 3" xfId="33585" xr:uid="{00000000-0005-0000-0000-000031830000}"/>
    <cellStyle name="常规 2 4 2 2 2 3 4" xfId="33586" xr:uid="{00000000-0005-0000-0000-000032830000}"/>
    <cellStyle name="常规 2 4 2 2 2 3 5" xfId="33587" xr:uid="{00000000-0005-0000-0000-000033830000}"/>
    <cellStyle name="常规 2 4 2 2 2 4" xfId="33588" xr:uid="{00000000-0005-0000-0000-000034830000}"/>
    <cellStyle name="常规 2 4 2 2 2 4 2" xfId="33589" xr:uid="{00000000-0005-0000-0000-000035830000}"/>
    <cellStyle name="常规 2 4 2 2 2 4 3" xfId="33590" xr:uid="{00000000-0005-0000-0000-000036830000}"/>
    <cellStyle name="常规 2 4 2 2 2 4 4" xfId="33591" xr:uid="{00000000-0005-0000-0000-000037830000}"/>
    <cellStyle name="常规 2 4 2 2 2 5" xfId="33592" xr:uid="{00000000-0005-0000-0000-000038830000}"/>
    <cellStyle name="常规 2 4 2 2 2 6" xfId="33593" xr:uid="{00000000-0005-0000-0000-000039830000}"/>
    <cellStyle name="常规 2 4 2 2 2 7" xfId="33594" xr:uid="{00000000-0005-0000-0000-00003A830000}"/>
    <cellStyle name="常规 2 4 2 2 2 8" xfId="33595" xr:uid="{00000000-0005-0000-0000-00003B830000}"/>
    <cellStyle name="常规 2 4 2 2 2 8 2" xfId="33596" xr:uid="{00000000-0005-0000-0000-00003C830000}"/>
    <cellStyle name="常规 2 4 2 2 3" xfId="33597" xr:uid="{00000000-0005-0000-0000-00003D830000}"/>
    <cellStyle name="常规 2 4 2 2 3 2" xfId="33598" xr:uid="{00000000-0005-0000-0000-00003E830000}"/>
    <cellStyle name="常规 2 4 2 2 3 2 2" xfId="33599" xr:uid="{00000000-0005-0000-0000-00003F830000}"/>
    <cellStyle name="常规 2 4 2 2 3 2 3" xfId="33600" xr:uid="{00000000-0005-0000-0000-000040830000}"/>
    <cellStyle name="常规 2 4 2 2 3 2 4" xfId="33601" xr:uid="{00000000-0005-0000-0000-000041830000}"/>
    <cellStyle name="常规 2 4 2 2 3 3" xfId="33602" xr:uid="{00000000-0005-0000-0000-000042830000}"/>
    <cellStyle name="常规 2 4 2 2 3 4" xfId="33603" xr:uid="{00000000-0005-0000-0000-000043830000}"/>
    <cellStyle name="常规 2 4 2 2 3 5" xfId="33604" xr:uid="{00000000-0005-0000-0000-000044830000}"/>
    <cellStyle name="常规 2 4 2 2 4" xfId="33605" xr:uid="{00000000-0005-0000-0000-000045830000}"/>
    <cellStyle name="常规 2 4 2 2 4 2" xfId="33606" xr:uid="{00000000-0005-0000-0000-000046830000}"/>
    <cellStyle name="常规 2 4 2 2 4 2 2" xfId="33607" xr:uid="{00000000-0005-0000-0000-000047830000}"/>
    <cellStyle name="常规 2 4 2 2 4 2 3" xfId="33608" xr:uid="{00000000-0005-0000-0000-000048830000}"/>
    <cellStyle name="常规 2 4 2 2 4 2 4" xfId="33609" xr:uid="{00000000-0005-0000-0000-000049830000}"/>
    <cellStyle name="常规 2 4 2 2 4 3" xfId="33610" xr:uid="{00000000-0005-0000-0000-00004A830000}"/>
    <cellStyle name="常规 2 4 2 2 4 4" xfId="33611" xr:uid="{00000000-0005-0000-0000-00004B830000}"/>
    <cellStyle name="常规 2 4 2 2 4 5" xfId="33612" xr:uid="{00000000-0005-0000-0000-00004C830000}"/>
    <cellStyle name="常规 2 4 2 2 5" xfId="33613" xr:uid="{00000000-0005-0000-0000-00004D830000}"/>
    <cellStyle name="常规 2 4 2 2 5 2" xfId="33614" xr:uid="{00000000-0005-0000-0000-00004E830000}"/>
    <cellStyle name="常规 2 4 2 2 5 3" xfId="33615" xr:uid="{00000000-0005-0000-0000-00004F830000}"/>
    <cellStyle name="常规 2 4 2 2 5 4" xfId="33616" xr:uid="{00000000-0005-0000-0000-000050830000}"/>
    <cellStyle name="常规 2 4 2 2 6" xfId="33617" xr:uid="{00000000-0005-0000-0000-000051830000}"/>
    <cellStyle name="常规 2 4 2 2 7" xfId="33618" xr:uid="{00000000-0005-0000-0000-000052830000}"/>
    <cellStyle name="常规 2 4 2 2 8" xfId="33619" xr:uid="{00000000-0005-0000-0000-000053830000}"/>
    <cellStyle name="常规 2 4 2 2 9" xfId="33620" xr:uid="{00000000-0005-0000-0000-000054830000}"/>
    <cellStyle name="常规 2 4 2 2 9 2" xfId="33621" xr:uid="{00000000-0005-0000-0000-000055830000}"/>
    <cellStyle name="常规 2 4 2 3" xfId="33622" xr:uid="{00000000-0005-0000-0000-000056830000}"/>
    <cellStyle name="常规 2 4 2 3 2" xfId="33623" xr:uid="{00000000-0005-0000-0000-000057830000}"/>
    <cellStyle name="常规 2 4 2 3 2 2" xfId="33624" xr:uid="{00000000-0005-0000-0000-000058830000}"/>
    <cellStyle name="常规 2 4 2 3 2 3" xfId="33625" xr:uid="{00000000-0005-0000-0000-000059830000}"/>
    <cellStyle name="常规 2 4 2 3 2 4" xfId="33626" xr:uid="{00000000-0005-0000-0000-00005A830000}"/>
    <cellStyle name="常规 2 4 2 3 3" xfId="33627" xr:uid="{00000000-0005-0000-0000-00005B830000}"/>
    <cellStyle name="常规 2 4 2 3 4" xfId="33628" xr:uid="{00000000-0005-0000-0000-00005C830000}"/>
    <cellStyle name="常规 2 4 2 3 5" xfId="33629" xr:uid="{00000000-0005-0000-0000-00005D830000}"/>
    <cellStyle name="常规 2 4 2 3 6" xfId="33630" xr:uid="{00000000-0005-0000-0000-00005E830000}"/>
    <cellStyle name="常规 2 4 2 3 6 2" xfId="33631" xr:uid="{00000000-0005-0000-0000-00005F830000}"/>
    <cellStyle name="常规 2 4 2 4" xfId="33632" xr:uid="{00000000-0005-0000-0000-000060830000}"/>
    <cellStyle name="常规 2 4 2 4 2" xfId="33633" xr:uid="{00000000-0005-0000-0000-000061830000}"/>
    <cellStyle name="常规 2 4 2 4 2 2" xfId="33634" xr:uid="{00000000-0005-0000-0000-000062830000}"/>
    <cellStyle name="常规 2 4 2 4 2 3" xfId="33635" xr:uid="{00000000-0005-0000-0000-000063830000}"/>
    <cellStyle name="常规 2 4 2 4 2 4" xfId="33636" xr:uid="{00000000-0005-0000-0000-000064830000}"/>
    <cellStyle name="常规 2 4 2 4 3" xfId="33637" xr:uid="{00000000-0005-0000-0000-000065830000}"/>
    <cellStyle name="常规 2 4 2 4 4" xfId="33638" xr:uid="{00000000-0005-0000-0000-000066830000}"/>
    <cellStyle name="常规 2 4 2 4 5" xfId="33639" xr:uid="{00000000-0005-0000-0000-000067830000}"/>
    <cellStyle name="常规 2 4 2 4 6" xfId="33640" xr:uid="{00000000-0005-0000-0000-000068830000}"/>
    <cellStyle name="常规 2 4 2 4 6 2" xfId="33641" xr:uid="{00000000-0005-0000-0000-000069830000}"/>
    <cellStyle name="常规 2 4 2 5" xfId="33642" xr:uid="{00000000-0005-0000-0000-00006A830000}"/>
    <cellStyle name="常规 2 4 2 5 2" xfId="33643" xr:uid="{00000000-0005-0000-0000-00006B830000}"/>
    <cellStyle name="常规 2 4 2 5 3" xfId="33644" xr:uid="{00000000-0005-0000-0000-00006C830000}"/>
    <cellStyle name="常规 2 4 2 5 4" xfId="33645" xr:uid="{00000000-0005-0000-0000-00006D830000}"/>
    <cellStyle name="常规 2 4 2 6" xfId="33646" xr:uid="{00000000-0005-0000-0000-00006E830000}"/>
    <cellStyle name="常规 2 4 2 7" xfId="33647" xr:uid="{00000000-0005-0000-0000-00006F830000}"/>
    <cellStyle name="常规 2 4 2 8" xfId="33648" xr:uid="{00000000-0005-0000-0000-000070830000}"/>
    <cellStyle name="常规 2 4 2 9" xfId="33649" xr:uid="{00000000-0005-0000-0000-000071830000}"/>
    <cellStyle name="常规 2 4 2 9 2" xfId="33650" xr:uid="{00000000-0005-0000-0000-000072830000}"/>
    <cellStyle name="常规 2 4 3" xfId="33651" xr:uid="{00000000-0005-0000-0000-000073830000}"/>
    <cellStyle name="常规 2 4 3 10" xfId="33652" xr:uid="{00000000-0005-0000-0000-000074830000}"/>
    <cellStyle name="常规 2 4 3 2" xfId="33653" xr:uid="{00000000-0005-0000-0000-000075830000}"/>
    <cellStyle name="常规 2 4 3 2 2" xfId="33654" xr:uid="{00000000-0005-0000-0000-000076830000}"/>
    <cellStyle name="常规 2 4 3 2 2 2" xfId="33655" xr:uid="{00000000-0005-0000-0000-000077830000}"/>
    <cellStyle name="常规 2 4 3 2 2 2 2" xfId="33656" xr:uid="{00000000-0005-0000-0000-000078830000}"/>
    <cellStyle name="常规 2 4 3 2 2 2 2 2" xfId="33657" xr:uid="{00000000-0005-0000-0000-000079830000}"/>
    <cellStyle name="常规 2 4 3 2 2 2 2 3" xfId="33658" xr:uid="{00000000-0005-0000-0000-00007A830000}"/>
    <cellStyle name="常规 2 4 3 2 2 2 2 4" xfId="33659" xr:uid="{00000000-0005-0000-0000-00007B830000}"/>
    <cellStyle name="常规 2 4 3 2 2 2 3" xfId="33660" xr:uid="{00000000-0005-0000-0000-00007C830000}"/>
    <cellStyle name="常规 2 4 3 2 2 2 4" xfId="33661" xr:uid="{00000000-0005-0000-0000-00007D830000}"/>
    <cellStyle name="常规 2 4 3 2 2 2 5" xfId="33662" xr:uid="{00000000-0005-0000-0000-00007E830000}"/>
    <cellStyle name="常规 2 4 3 2 2 3" xfId="33663" xr:uid="{00000000-0005-0000-0000-00007F830000}"/>
    <cellStyle name="常规 2 4 3 2 2 3 2" xfId="33664" xr:uid="{00000000-0005-0000-0000-000080830000}"/>
    <cellStyle name="常规 2 4 3 2 2 3 2 2" xfId="33665" xr:uid="{00000000-0005-0000-0000-000081830000}"/>
    <cellStyle name="常规 2 4 3 2 2 3 2 3" xfId="33666" xr:uid="{00000000-0005-0000-0000-000082830000}"/>
    <cellStyle name="常规 2 4 3 2 2 3 2 4" xfId="33667" xr:uid="{00000000-0005-0000-0000-000083830000}"/>
    <cellStyle name="常规 2 4 3 2 2 3 3" xfId="33668" xr:uid="{00000000-0005-0000-0000-000084830000}"/>
    <cellStyle name="常规 2 4 3 2 2 3 4" xfId="33669" xr:uid="{00000000-0005-0000-0000-000085830000}"/>
    <cellStyle name="常规 2 4 3 2 2 3 5" xfId="33670" xr:uid="{00000000-0005-0000-0000-000086830000}"/>
    <cellStyle name="常规 2 4 3 2 2 4" xfId="33671" xr:uid="{00000000-0005-0000-0000-000087830000}"/>
    <cellStyle name="常规 2 4 3 2 2 4 2" xfId="33672" xr:uid="{00000000-0005-0000-0000-000088830000}"/>
    <cellStyle name="常规 2 4 3 2 2 4 3" xfId="33673" xr:uid="{00000000-0005-0000-0000-000089830000}"/>
    <cellStyle name="常规 2 4 3 2 2 4 4" xfId="33674" xr:uid="{00000000-0005-0000-0000-00008A830000}"/>
    <cellStyle name="常规 2 4 3 2 2 5" xfId="33675" xr:uid="{00000000-0005-0000-0000-00008B830000}"/>
    <cellStyle name="常规 2 4 3 2 2 6" xfId="33676" xr:uid="{00000000-0005-0000-0000-00008C830000}"/>
    <cellStyle name="常规 2 4 3 2 2 7" xfId="33677" xr:uid="{00000000-0005-0000-0000-00008D830000}"/>
    <cellStyle name="常规 2 4 3 2 2 8" xfId="33678" xr:uid="{00000000-0005-0000-0000-00008E830000}"/>
    <cellStyle name="常规 2 4 3 2 2 8 2" xfId="33679" xr:uid="{00000000-0005-0000-0000-00008F830000}"/>
    <cellStyle name="常规 2 4 3 2 3" xfId="33680" xr:uid="{00000000-0005-0000-0000-000090830000}"/>
    <cellStyle name="常规 2 4 3 2 3 2" xfId="33681" xr:uid="{00000000-0005-0000-0000-000091830000}"/>
    <cellStyle name="常规 2 4 3 2 3 2 2" xfId="33682" xr:uid="{00000000-0005-0000-0000-000092830000}"/>
    <cellStyle name="常规 2 4 3 2 3 2 3" xfId="33683" xr:uid="{00000000-0005-0000-0000-000093830000}"/>
    <cellStyle name="常规 2 4 3 2 3 2 4" xfId="33684" xr:uid="{00000000-0005-0000-0000-000094830000}"/>
    <cellStyle name="常规 2 4 3 2 3 3" xfId="33685" xr:uid="{00000000-0005-0000-0000-000095830000}"/>
    <cellStyle name="常规 2 4 3 2 3 4" xfId="33686" xr:uid="{00000000-0005-0000-0000-000096830000}"/>
    <cellStyle name="常规 2 4 3 2 3 5" xfId="33687" xr:uid="{00000000-0005-0000-0000-000097830000}"/>
    <cellStyle name="常规 2 4 3 2 4" xfId="33688" xr:uid="{00000000-0005-0000-0000-000098830000}"/>
    <cellStyle name="常规 2 4 3 2 4 2" xfId="33689" xr:uid="{00000000-0005-0000-0000-000099830000}"/>
    <cellStyle name="常规 2 4 3 2 4 2 2" xfId="33690" xr:uid="{00000000-0005-0000-0000-00009A830000}"/>
    <cellStyle name="常规 2 4 3 2 4 2 3" xfId="33691" xr:uid="{00000000-0005-0000-0000-00009B830000}"/>
    <cellStyle name="常规 2 4 3 2 4 2 4" xfId="33692" xr:uid="{00000000-0005-0000-0000-00009C830000}"/>
    <cellStyle name="常规 2 4 3 2 4 3" xfId="33693" xr:uid="{00000000-0005-0000-0000-00009D830000}"/>
    <cellStyle name="常规 2 4 3 2 4 4" xfId="33694" xr:uid="{00000000-0005-0000-0000-00009E830000}"/>
    <cellStyle name="常规 2 4 3 2 4 5" xfId="33695" xr:uid="{00000000-0005-0000-0000-00009F830000}"/>
    <cellStyle name="常规 2 4 3 2 5" xfId="33696" xr:uid="{00000000-0005-0000-0000-0000A0830000}"/>
    <cellStyle name="常规 2 4 3 2 5 2" xfId="33697" xr:uid="{00000000-0005-0000-0000-0000A1830000}"/>
    <cellStyle name="常规 2 4 3 2 5 3" xfId="33698" xr:uid="{00000000-0005-0000-0000-0000A2830000}"/>
    <cellStyle name="常规 2 4 3 2 5 4" xfId="33699" xr:uid="{00000000-0005-0000-0000-0000A3830000}"/>
    <cellStyle name="常规 2 4 3 2 6" xfId="33700" xr:uid="{00000000-0005-0000-0000-0000A4830000}"/>
    <cellStyle name="常规 2 4 3 2 7" xfId="33701" xr:uid="{00000000-0005-0000-0000-0000A5830000}"/>
    <cellStyle name="常规 2 4 3 2 8" xfId="33702" xr:uid="{00000000-0005-0000-0000-0000A6830000}"/>
    <cellStyle name="常规 2 4 3 2 9" xfId="33703" xr:uid="{00000000-0005-0000-0000-0000A7830000}"/>
    <cellStyle name="常规 2 4 3 2 9 2" xfId="33704" xr:uid="{00000000-0005-0000-0000-0000A8830000}"/>
    <cellStyle name="常规 2 4 3 3" xfId="33705" xr:uid="{00000000-0005-0000-0000-0000A9830000}"/>
    <cellStyle name="常规 2 4 3 3 2" xfId="33706" xr:uid="{00000000-0005-0000-0000-0000AA830000}"/>
    <cellStyle name="常规 2 4 3 3 2 2" xfId="33707" xr:uid="{00000000-0005-0000-0000-0000AB830000}"/>
    <cellStyle name="常规 2 4 3 3 2 3" xfId="33708" xr:uid="{00000000-0005-0000-0000-0000AC830000}"/>
    <cellStyle name="常规 2 4 3 3 2 4" xfId="33709" xr:uid="{00000000-0005-0000-0000-0000AD830000}"/>
    <cellStyle name="常规 2 4 3 3 3" xfId="33710" xr:uid="{00000000-0005-0000-0000-0000AE830000}"/>
    <cellStyle name="常规 2 4 3 3 4" xfId="33711" xr:uid="{00000000-0005-0000-0000-0000AF830000}"/>
    <cellStyle name="常规 2 4 3 3 5" xfId="33712" xr:uid="{00000000-0005-0000-0000-0000B0830000}"/>
    <cellStyle name="常规 2 4 3 3 6" xfId="33713" xr:uid="{00000000-0005-0000-0000-0000B1830000}"/>
    <cellStyle name="常规 2 4 3 3 6 2" xfId="33714" xr:uid="{00000000-0005-0000-0000-0000B2830000}"/>
    <cellStyle name="常规 2 4 3 4" xfId="33715" xr:uid="{00000000-0005-0000-0000-0000B3830000}"/>
    <cellStyle name="常规 2 4 3 4 2" xfId="33716" xr:uid="{00000000-0005-0000-0000-0000B4830000}"/>
    <cellStyle name="常规 2 4 3 4 2 2" xfId="33717" xr:uid="{00000000-0005-0000-0000-0000B5830000}"/>
    <cellStyle name="常规 2 4 3 4 2 3" xfId="33718" xr:uid="{00000000-0005-0000-0000-0000B6830000}"/>
    <cellStyle name="常规 2 4 3 4 2 4" xfId="33719" xr:uid="{00000000-0005-0000-0000-0000B7830000}"/>
    <cellStyle name="常规 2 4 3 4 3" xfId="33720" xr:uid="{00000000-0005-0000-0000-0000B8830000}"/>
    <cellStyle name="常规 2 4 3 4 4" xfId="33721" xr:uid="{00000000-0005-0000-0000-0000B9830000}"/>
    <cellStyle name="常规 2 4 3 4 5" xfId="33722" xr:uid="{00000000-0005-0000-0000-0000BA830000}"/>
    <cellStyle name="常规 2 4 3 4 6" xfId="33723" xr:uid="{00000000-0005-0000-0000-0000BB830000}"/>
    <cellStyle name="常规 2 4 3 4 6 2" xfId="33724" xr:uid="{00000000-0005-0000-0000-0000BC830000}"/>
    <cellStyle name="常规 2 4 3 5" xfId="33725" xr:uid="{00000000-0005-0000-0000-0000BD830000}"/>
    <cellStyle name="常规 2 4 3 5 2" xfId="33726" xr:uid="{00000000-0005-0000-0000-0000BE830000}"/>
    <cellStyle name="常规 2 4 3 5 3" xfId="33727" xr:uid="{00000000-0005-0000-0000-0000BF830000}"/>
    <cellStyle name="常规 2 4 3 5 4" xfId="33728" xr:uid="{00000000-0005-0000-0000-0000C0830000}"/>
    <cellStyle name="常规 2 4 3 6" xfId="33729" xr:uid="{00000000-0005-0000-0000-0000C1830000}"/>
    <cellStyle name="常规 2 4 3 7" xfId="33730" xr:uid="{00000000-0005-0000-0000-0000C2830000}"/>
    <cellStyle name="常规 2 4 3 8" xfId="33731" xr:uid="{00000000-0005-0000-0000-0000C3830000}"/>
    <cellStyle name="常规 2 4 3 9" xfId="33732" xr:uid="{00000000-0005-0000-0000-0000C4830000}"/>
    <cellStyle name="常规 2 4 3 9 2" xfId="33733" xr:uid="{00000000-0005-0000-0000-0000C5830000}"/>
    <cellStyle name="常规 2 4 4" xfId="33734" xr:uid="{00000000-0005-0000-0000-0000C6830000}"/>
    <cellStyle name="常规 2 4 4 10" xfId="33735" xr:uid="{00000000-0005-0000-0000-0000C7830000}"/>
    <cellStyle name="常规 2 4 4 2" xfId="33736" xr:uid="{00000000-0005-0000-0000-0000C8830000}"/>
    <cellStyle name="常规 2 4 4 2 2" xfId="33737" xr:uid="{00000000-0005-0000-0000-0000C9830000}"/>
    <cellStyle name="常规 2 4 4 2 2 2" xfId="33738" xr:uid="{00000000-0005-0000-0000-0000CA830000}"/>
    <cellStyle name="常规 2 4 4 2 2 2 2" xfId="33739" xr:uid="{00000000-0005-0000-0000-0000CB830000}"/>
    <cellStyle name="常规 2 4 4 2 2 2 2 2" xfId="33740" xr:uid="{00000000-0005-0000-0000-0000CC830000}"/>
    <cellStyle name="常规 2 4 4 2 2 2 2 3" xfId="33741" xr:uid="{00000000-0005-0000-0000-0000CD830000}"/>
    <cellStyle name="常规 2 4 4 2 2 2 2 4" xfId="33742" xr:uid="{00000000-0005-0000-0000-0000CE830000}"/>
    <cellStyle name="常规 2 4 4 2 2 2 3" xfId="33743" xr:uid="{00000000-0005-0000-0000-0000CF830000}"/>
    <cellStyle name="常规 2 4 4 2 2 2 4" xfId="33744" xr:uid="{00000000-0005-0000-0000-0000D0830000}"/>
    <cellStyle name="常规 2 4 4 2 2 2 5" xfId="33745" xr:uid="{00000000-0005-0000-0000-0000D1830000}"/>
    <cellStyle name="常规 2 4 4 2 2 3" xfId="33746" xr:uid="{00000000-0005-0000-0000-0000D2830000}"/>
    <cellStyle name="常规 2 4 4 2 2 3 2" xfId="33747" xr:uid="{00000000-0005-0000-0000-0000D3830000}"/>
    <cellStyle name="常规 2 4 4 2 2 3 2 2" xfId="33748" xr:uid="{00000000-0005-0000-0000-0000D4830000}"/>
    <cellStyle name="常规 2 4 4 2 2 3 2 3" xfId="33749" xr:uid="{00000000-0005-0000-0000-0000D5830000}"/>
    <cellStyle name="常规 2 4 4 2 2 3 2 4" xfId="33750" xr:uid="{00000000-0005-0000-0000-0000D6830000}"/>
    <cellStyle name="常规 2 4 4 2 2 3 3" xfId="33751" xr:uid="{00000000-0005-0000-0000-0000D7830000}"/>
    <cellStyle name="常规 2 4 4 2 2 3 4" xfId="33752" xr:uid="{00000000-0005-0000-0000-0000D8830000}"/>
    <cellStyle name="常规 2 4 4 2 2 3 5" xfId="33753" xr:uid="{00000000-0005-0000-0000-0000D9830000}"/>
    <cellStyle name="常规 2 4 4 2 2 4" xfId="33754" xr:uid="{00000000-0005-0000-0000-0000DA830000}"/>
    <cellStyle name="常规 2 4 4 2 2 4 2" xfId="33755" xr:uid="{00000000-0005-0000-0000-0000DB830000}"/>
    <cellStyle name="常规 2 4 4 2 2 4 3" xfId="33756" xr:uid="{00000000-0005-0000-0000-0000DC830000}"/>
    <cellStyle name="常规 2 4 4 2 2 4 4" xfId="33757" xr:uid="{00000000-0005-0000-0000-0000DD830000}"/>
    <cellStyle name="常规 2 4 4 2 2 5" xfId="33758" xr:uid="{00000000-0005-0000-0000-0000DE830000}"/>
    <cellStyle name="常规 2 4 4 2 2 6" xfId="33759" xr:uid="{00000000-0005-0000-0000-0000DF830000}"/>
    <cellStyle name="常规 2 4 4 2 2 7" xfId="33760" xr:uid="{00000000-0005-0000-0000-0000E0830000}"/>
    <cellStyle name="常规 2 4 4 2 3" xfId="33761" xr:uid="{00000000-0005-0000-0000-0000E1830000}"/>
    <cellStyle name="常规 2 4 4 2 3 2" xfId="33762" xr:uid="{00000000-0005-0000-0000-0000E2830000}"/>
    <cellStyle name="常规 2 4 4 2 3 2 2" xfId="33763" xr:uid="{00000000-0005-0000-0000-0000E3830000}"/>
    <cellStyle name="常规 2 4 4 2 3 2 3" xfId="33764" xr:uid="{00000000-0005-0000-0000-0000E4830000}"/>
    <cellStyle name="常规 2 4 4 2 3 2 4" xfId="33765" xr:uid="{00000000-0005-0000-0000-0000E5830000}"/>
    <cellStyle name="常规 2 4 4 2 3 3" xfId="33766" xr:uid="{00000000-0005-0000-0000-0000E6830000}"/>
    <cellStyle name="常规 2 4 4 2 3 4" xfId="33767" xr:uid="{00000000-0005-0000-0000-0000E7830000}"/>
    <cellStyle name="常规 2 4 4 2 3 5" xfId="33768" xr:uid="{00000000-0005-0000-0000-0000E8830000}"/>
    <cellStyle name="常规 2 4 4 2 4" xfId="33769" xr:uid="{00000000-0005-0000-0000-0000E9830000}"/>
    <cellStyle name="常规 2 4 4 2 4 2" xfId="33770" xr:uid="{00000000-0005-0000-0000-0000EA830000}"/>
    <cellStyle name="常规 2 4 4 2 4 2 2" xfId="33771" xr:uid="{00000000-0005-0000-0000-0000EB830000}"/>
    <cellStyle name="常规 2 4 4 2 4 2 3" xfId="33772" xr:uid="{00000000-0005-0000-0000-0000EC830000}"/>
    <cellStyle name="常规 2 4 4 2 4 2 4" xfId="33773" xr:uid="{00000000-0005-0000-0000-0000ED830000}"/>
    <cellStyle name="常规 2 4 4 2 4 3" xfId="33774" xr:uid="{00000000-0005-0000-0000-0000EE830000}"/>
    <cellStyle name="常规 2 4 4 2 4 4" xfId="33775" xr:uid="{00000000-0005-0000-0000-0000EF830000}"/>
    <cellStyle name="常规 2 4 4 2 4 5" xfId="33776" xr:uid="{00000000-0005-0000-0000-0000F0830000}"/>
    <cellStyle name="常规 2 4 4 2 5" xfId="33777" xr:uid="{00000000-0005-0000-0000-0000F1830000}"/>
    <cellStyle name="常规 2 4 4 2 5 2" xfId="33778" xr:uid="{00000000-0005-0000-0000-0000F2830000}"/>
    <cellStyle name="常规 2 4 4 2 5 3" xfId="33779" xr:uid="{00000000-0005-0000-0000-0000F3830000}"/>
    <cellStyle name="常规 2 4 4 2 5 4" xfId="33780" xr:uid="{00000000-0005-0000-0000-0000F4830000}"/>
    <cellStyle name="常规 2 4 4 2 6" xfId="33781" xr:uid="{00000000-0005-0000-0000-0000F5830000}"/>
    <cellStyle name="常规 2 4 4 2 7" xfId="33782" xr:uid="{00000000-0005-0000-0000-0000F6830000}"/>
    <cellStyle name="常规 2 4 4 2 8" xfId="33783" xr:uid="{00000000-0005-0000-0000-0000F7830000}"/>
    <cellStyle name="常规 2 4 4 2 9" xfId="33784" xr:uid="{00000000-0005-0000-0000-0000F8830000}"/>
    <cellStyle name="常规 2 4 4 2 9 2" xfId="33785" xr:uid="{00000000-0005-0000-0000-0000F9830000}"/>
    <cellStyle name="常规 2 4 4 3" xfId="33786" xr:uid="{00000000-0005-0000-0000-0000FA830000}"/>
    <cellStyle name="常规 2 4 4 3 2" xfId="33787" xr:uid="{00000000-0005-0000-0000-0000FB830000}"/>
    <cellStyle name="常规 2 4 4 3 2 2" xfId="33788" xr:uid="{00000000-0005-0000-0000-0000FC830000}"/>
    <cellStyle name="常规 2 4 4 3 2 3" xfId="33789" xr:uid="{00000000-0005-0000-0000-0000FD830000}"/>
    <cellStyle name="常规 2 4 4 3 2 4" xfId="33790" xr:uid="{00000000-0005-0000-0000-0000FE830000}"/>
    <cellStyle name="常规 2 4 4 3 2 5" xfId="33791" xr:uid="{00000000-0005-0000-0000-0000FF830000}"/>
    <cellStyle name="常规 2 4 4 3 3" xfId="33792" xr:uid="{00000000-0005-0000-0000-000000840000}"/>
    <cellStyle name="常规 2 4 4 3 4" xfId="33793" xr:uid="{00000000-0005-0000-0000-000001840000}"/>
    <cellStyle name="常规 2 4 4 3 5" xfId="33794" xr:uid="{00000000-0005-0000-0000-000002840000}"/>
    <cellStyle name="常规 2 4 4 3 6" xfId="33795" xr:uid="{00000000-0005-0000-0000-000003840000}"/>
    <cellStyle name="常规 2 4 4 3 6 2" xfId="33796" xr:uid="{00000000-0005-0000-0000-000004840000}"/>
    <cellStyle name="常规 2 4 4 3 7" xfId="33797" xr:uid="{00000000-0005-0000-0000-000005840000}"/>
    <cellStyle name="常规 2 4 4 4" xfId="33798" xr:uid="{00000000-0005-0000-0000-000006840000}"/>
    <cellStyle name="常规 2 4 4 4 2" xfId="33799" xr:uid="{00000000-0005-0000-0000-000007840000}"/>
    <cellStyle name="常规 2 4 4 4 2 2" xfId="33800" xr:uid="{00000000-0005-0000-0000-000008840000}"/>
    <cellStyle name="常规 2 4 4 4 2 3" xfId="33801" xr:uid="{00000000-0005-0000-0000-000009840000}"/>
    <cellStyle name="常规 2 4 4 4 2 4" xfId="33802" xr:uid="{00000000-0005-0000-0000-00000A840000}"/>
    <cellStyle name="常规 2 4 4 4 3" xfId="33803" xr:uid="{00000000-0005-0000-0000-00000B840000}"/>
    <cellStyle name="常规 2 4 4 4 4" xfId="33804" xr:uid="{00000000-0005-0000-0000-00000C840000}"/>
    <cellStyle name="常规 2 4 4 4 5" xfId="33805" xr:uid="{00000000-0005-0000-0000-00000D840000}"/>
    <cellStyle name="常规 2 4 4 4 6" xfId="33806" xr:uid="{00000000-0005-0000-0000-00000E840000}"/>
    <cellStyle name="常规 2 4 4 5" xfId="33807" xr:uid="{00000000-0005-0000-0000-00000F840000}"/>
    <cellStyle name="常规 2 4 4 5 2" xfId="33808" xr:uid="{00000000-0005-0000-0000-000010840000}"/>
    <cellStyle name="常规 2 4 4 5 3" xfId="33809" xr:uid="{00000000-0005-0000-0000-000011840000}"/>
    <cellStyle name="常规 2 4 4 5 4" xfId="33810" xr:uid="{00000000-0005-0000-0000-000012840000}"/>
    <cellStyle name="常规 2 4 4 6" xfId="33811" xr:uid="{00000000-0005-0000-0000-000013840000}"/>
    <cellStyle name="常规 2 4 4 7" xfId="33812" xr:uid="{00000000-0005-0000-0000-000014840000}"/>
    <cellStyle name="常规 2 4 4 8" xfId="33813" xr:uid="{00000000-0005-0000-0000-000015840000}"/>
    <cellStyle name="常规 2 4 4 9" xfId="33814" xr:uid="{00000000-0005-0000-0000-000016840000}"/>
    <cellStyle name="常规 2 4 4 9 2" xfId="33815" xr:uid="{00000000-0005-0000-0000-000017840000}"/>
    <cellStyle name="常规 2 4 5" xfId="33816" xr:uid="{00000000-0005-0000-0000-000018840000}"/>
    <cellStyle name="常规 2 4 5 2" xfId="33817" xr:uid="{00000000-0005-0000-0000-000019840000}"/>
    <cellStyle name="常规 2 4 5 2 2" xfId="33818" xr:uid="{00000000-0005-0000-0000-00001A840000}"/>
    <cellStyle name="常规 2 4 5 2 2 2" xfId="33819" xr:uid="{00000000-0005-0000-0000-00001B840000}"/>
    <cellStyle name="常规 2 4 5 2 2 2 2" xfId="33820" xr:uid="{00000000-0005-0000-0000-00001C840000}"/>
    <cellStyle name="常规 2 4 5 2 2 2 2 2" xfId="33821" xr:uid="{00000000-0005-0000-0000-00001D840000}"/>
    <cellStyle name="常规 2 4 5 2 2 2 2 3" xfId="33822" xr:uid="{00000000-0005-0000-0000-00001E840000}"/>
    <cellStyle name="常规 2 4 5 2 2 2 2 4" xfId="33823" xr:uid="{00000000-0005-0000-0000-00001F840000}"/>
    <cellStyle name="常规 2 4 5 2 2 2 3" xfId="33824" xr:uid="{00000000-0005-0000-0000-000020840000}"/>
    <cellStyle name="常规 2 4 5 2 2 2 4" xfId="33825" xr:uid="{00000000-0005-0000-0000-000021840000}"/>
    <cellStyle name="常规 2 4 5 2 2 2 5" xfId="33826" xr:uid="{00000000-0005-0000-0000-000022840000}"/>
    <cellStyle name="常规 2 4 5 2 2 3" xfId="33827" xr:uid="{00000000-0005-0000-0000-000023840000}"/>
    <cellStyle name="常规 2 4 5 2 2 3 2" xfId="33828" xr:uid="{00000000-0005-0000-0000-000024840000}"/>
    <cellStyle name="常规 2 4 5 2 2 3 2 2" xfId="33829" xr:uid="{00000000-0005-0000-0000-000025840000}"/>
    <cellStyle name="常规 2 4 5 2 2 3 2 3" xfId="33830" xr:uid="{00000000-0005-0000-0000-000026840000}"/>
    <cellStyle name="常规 2 4 5 2 2 3 2 4" xfId="33831" xr:uid="{00000000-0005-0000-0000-000027840000}"/>
    <cellStyle name="常规 2 4 5 2 2 3 3" xfId="33832" xr:uid="{00000000-0005-0000-0000-000028840000}"/>
    <cellStyle name="常规 2 4 5 2 2 3 4" xfId="33833" xr:uid="{00000000-0005-0000-0000-000029840000}"/>
    <cellStyle name="常规 2 4 5 2 2 3 5" xfId="33834" xr:uid="{00000000-0005-0000-0000-00002A840000}"/>
    <cellStyle name="常规 2 4 5 2 2 4" xfId="33835" xr:uid="{00000000-0005-0000-0000-00002B840000}"/>
    <cellStyle name="常规 2 4 5 2 2 4 2" xfId="33836" xr:uid="{00000000-0005-0000-0000-00002C840000}"/>
    <cellStyle name="常规 2 4 5 2 2 4 3" xfId="33837" xr:uid="{00000000-0005-0000-0000-00002D840000}"/>
    <cellStyle name="常规 2 4 5 2 2 4 4" xfId="33838" xr:uid="{00000000-0005-0000-0000-00002E840000}"/>
    <cellStyle name="常规 2 4 5 2 2 5" xfId="33839" xr:uid="{00000000-0005-0000-0000-00002F840000}"/>
    <cellStyle name="常规 2 4 5 2 2 6" xfId="33840" xr:uid="{00000000-0005-0000-0000-000030840000}"/>
    <cellStyle name="常规 2 4 5 2 2 7" xfId="33841" xr:uid="{00000000-0005-0000-0000-000031840000}"/>
    <cellStyle name="常规 2 4 5 2 3" xfId="33842" xr:uid="{00000000-0005-0000-0000-000032840000}"/>
    <cellStyle name="常规 2 4 5 2 3 2" xfId="33843" xr:uid="{00000000-0005-0000-0000-000033840000}"/>
    <cellStyle name="常规 2 4 5 2 3 2 2" xfId="33844" xr:uid="{00000000-0005-0000-0000-000034840000}"/>
    <cellStyle name="常规 2 4 5 2 3 2 3" xfId="33845" xr:uid="{00000000-0005-0000-0000-000035840000}"/>
    <cellStyle name="常规 2 4 5 2 3 2 4" xfId="33846" xr:uid="{00000000-0005-0000-0000-000036840000}"/>
    <cellStyle name="常规 2 4 5 2 3 3" xfId="33847" xr:uid="{00000000-0005-0000-0000-000037840000}"/>
    <cellStyle name="常规 2 4 5 2 3 4" xfId="33848" xr:uid="{00000000-0005-0000-0000-000038840000}"/>
    <cellStyle name="常规 2 4 5 2 3 5" xfId="33849" xr:uid="{00000000-0005-0000-0000-000039840000}"/>
    <cellStyle name="常规 2 4 5 2 4" xfId="33850" xr:uid="{00000000-0005-0000-0000-00003A840000}"/>
    <cellStyle name="常规 2 4 5 2 4 2" xfId="33851" xr:uid="{00000000-0005-0000-0000-00003B840000}"/>
    <cellStyle name="常规 2 4 5 2 4 2 2" xfId="33852" xr:uid="{00000000-0005-0000-0000-00003C840000}"/>
    <cellStyle name="常规 2 4 5 2 4 2 3" xfId="33853" xr:uid="{00000000-0005-0000-0000-00003D840000}"/>
    <cellStyle name="常规 2 4 5 2 4 2 4" xfId="33854" xr:uid="{00000000-0005-0000-0000-00003E840000}"/>
    <cellStyle name="常规 2 4 5 2 4 3" xfId="33855" xr:uid="{00000000-0005-0000-0000-00003F840000}"/>
    <cellStyle name="常规 2 4 5 2 4 4" xfId="33856" xr:uid="{00000000-0005-0000-0000-000040840000}"/>
    <cellStyle name="常规 2 4 5 2 4 5" xfId="33857" xr:uid="{00000000-0005-0000-0000-000041840000}"/>
    <cellStyle name="常规 2 4 5 2 5" xfId="33858" xr:uid="{00000000-0005-0000-0000-000042840000}"/>
    <cellStyle name="常规 2 4 5 2 5 2" xfId="33859" xr:uid="{00000000-0005-0000-0000-000043840000}"/>
    <cellStyle name="常规 2 4 5 2 5 3" xfId="33860" xr:uid="{00000000-0005-0000-0000-000044840000}"/>
    <cellStyle name="常规 2 4 5 2 5 4" xfId="33861" xr:uid="{00000000-0005-0000-0000-000045840000}"/>
    <cellStyle name="常规 2 4 5 2 6" xfId="33862" xr:uid="{00000000-0005-0000-0000-000046840000}"/>
    <cellStyle name="常规 2 4 5 2 7" xfId="33863" xr:uid="{00000000-0005-0000-0000-000047840000}"/>
    <cellStyle name="常规 2 4 5 2 8" xfId="33864" xr:uid="{00000000-0005-0000-0000-000048840000}"/>
    <cellStyle name="常规 2 4 5 3" xfId="33865" xr:uid="{00000000-0005-0000-0000-000049840000}"/>
    <cellStyle name="常规 2 4 5 3 2" xfId="33866" xr:uid="{00000000-0005-0000-0000-00004A840000}"/>
    <cellStyle name="常规 2 4 5 3 2 2" xfId="33867" xr:uid="{00000000-0005-0000-0000-00004B840000}"/>
    <cellStyle name="常规 2 4 5 3 2 3" xfId="33868" xr:uid="{00000000-0005-0000-0000-00004C840000}"/>
    <cellStyle name="常规 2 4 5 3 2 4" xfId="33869" xr:uid="{00000000-0005-0000-0000-00004D840000}"/>
    <cellStyle name="常规 2 4 5 3 3" xfId="33870" xr:uid="{00000000-0005-0000-0000-00004E840000}"/>
    <cellStyle name="常规 2 4 5 3 4" xfId="33871" xr:uid="{00000000-0005-0000-0000-00004F840000}"/>
    <cellStyle name="常规 2 4 5 3 5" xfId="33872" xr:uid="{00000000-0005-0000-0000-000050840000}"/>
    <cellStyle name="常规 2 4 5 4" xfId="33873" xr:uid="{00000000-0005-0000-0000-000051840000}"/>
    <cellStyle name="常规 2 4 5 4 2" xfId="33874" xr:uid="{00000000-0005-0000-0000-000052840000}"/>
    <cellStyle name="常规 2 4 5 4 2 2" xfId="33875" xr:uid="{00000000-0005-0000-0000-000053840000}"/>
    <cellStyle name="常规 2 4 5 4 2 3" xfId="33876" xr:uid="{00000000-0005-0000-0000-000054840000}"/>
    <cellStyle name="常规 2 4 5 4 2 4" xfId="33877" xr:uid="{00000000-0005-0000-0000-000055840000}"/>
    <cellStyle name="常规 2 4 5 4 3" xfId="33878" xr:uid="{00000000-0005-0000-0000-000056840000}"/>
    <cellStyle name="常规 2 4 5 4 4" xfId="33879" xr:uid="{00000000-0005-0000-0000-000057840000}"/>
    <cellStyle name="常规 2 4 5 4 5" xfId="33880" xr:uid="{00000000-0005-0000-0000-000058840000}"/>
    <cellStyle name="常规 2 4 5 5" xfId="33881" xr:uid="{00000000-0005-0000-0000-000059840000}"/>
    <cellStyle name="常规 2 4 5 5 2" xfId="33882" xr:uid="{00000000-0005-0000-0000-00005A840000}"/>
    <cellStyle name="常规 2 4 5 5 3" xfId="33883" xr:uid="{00000000-0005-0000-0000-00005B840000}"/>
    <cellStyle name="常规 2 4 5 5 4" xfId="33884" xr:uid="{00000000-0005-0000-0000-00005C840000}"/>
    <cellStyle name="常规 2 4 5 6" xfId="33885" xr:uid="{00000000-0005-0000-0000-00005D840000}"/>
    <cellStyle name="常规 2 4 5 7" xfId="33886" xr:uid="{00000000-0005-0000-0000-00005E840000}"/>
    <cellStyle name="常规 2 4 5 8" xfId="33887" xr:uid="{00000000-0005-0000-0000-00005F840000}"/>
    <cellStyle name="常规 2 4 5 9" xfId="33888" xr:uid="{00000000-0005-0000-0000-000060840000}"/>
    <cellStyle name="常规 2 4 5 9 2" xfId="33889" xr:uid="{00000000-0005-0000-0000-000061840000}"/>
    <cellStyle name="常规 2 4 6" xfId="33890" xr:uid="{00000000-0005-0000-0000-000062840000}"/>
    <cellStyle name="常规 2 4 6 2" xfId="33891" xr:uid="{00000000-0005-0000-0000-000063840000}"/>
    <cellStyle name="常规 2 4 6 2 2" xfId="33892" xr:uid="{00000000-0005-0000-0000-000064840000}"/>
    <cellStyle name="常规 2 4 6 2 2 2" xfId="33893" xr:uid="{00000000-0005-0000-0000-000065840000}"/>
    <cellStyle name="常规 2 4 6 2 2 2 2" xfId="33894" xr:uid="{00000000-0005-0000-0000-000066840000}"/>
    <cellStyle name="常规 2 4 6 2 2 2 2 2" xfId="33895" xr:uid="{00000000-0005-0000-0000-000067840000}"/>
    <cellStyle name="常规 2 4 6 2 2 2 2 3" xfId="33896" xr:uid="{00000000-0005-0000-0000-000068840000}"/>
    <cellStyle name="常规 2 4 6 2 2 2 2 4" xfId="33897" xr:uid="{00000000-0005-0000-0000-000069840000}"/>
    <cellStyle name="常规 2 4 6 2 2 2 3" xfId="33898" xr:uid="{00000000-0005-0000-0000-00006A840000}"/>
    <cellStyle name="常规 2 4 6 2 2 2 4" xfId="33899" xr:uid="{00000000-0005-0000-0000-00006B840000}"/>
    <cellStyle name="常规 2 4 6 2 2 2 5" xfId="33900" xr:uid="{00000000-0005-0000-0000-00006C840000}"/>
    <cellStyle name="常规 2 4 6 2 2 3" xfId="33901" xr:uid="{00000000-0005-0000-0000-00006D840000}"/>
    <cellStyle name="常规 2 4 6 2 2 3 2" xfId="33902" xr:uid="{00000000-0005-0000-0000-00006E840000}"/>
    <cellStyle name="常规 2 4 6 2 2 3 2 2" xfId="33903" xr:uid="{00000000-0005-0000-0000-00006F840000}"/>
    <cellStyle name="常规 2 4 6 2 2 3 2 3" xfId="33904" xr:uid="{00000000-0005-0000-0000-000070840000}"/>
    <cellStyle name="常规 2 4 6 2 2 3 2 4" xfId="33905" xr:uid="{00000000-0005-0000-0000-000071840000}"/>
    <cellStyle name="常规 2 4 6 2 2 3 3" xfId="33906" xr:uid="{00000000-0005-0000-0000-000072840000}"/>
    <cellStyle name="常规 2 4 6 2 2 3 4" xfId="33907" xr:uid="{00000000-0005-0000-0000-000073840000}"/>
    <cellStyle name="常规 2 4 6 2 2 3 5" xfId="33908" xr:uid="{00000000-0005-0000-0000-000074840000}"/>
    <cellStyle name="常规 2 4 6 2 2 4" xfId="33909" xr:uid="{00000000-0005-0000-0000-000075840000}"/>
    <cellStyle name="常规 2 4 6 2 2 4 2" xfId="33910" xr:uid="{00000000-0005-0000-0000-000076840000}"/>
    <cellStyle name="常规 2 4 6 2 2 4 3" xfId="33911" xr:uid="{00000000-0005-0000-0000-000077840000}"/>
    <cellStyle name="常规 2 4 6 2 2 4 4" xfId="33912" xr:uid="{00000000-0005-0000-0000-000078840000}"/>
    <cellStyle name="常规 2 4 6 2 2 5" xfId="33913" xr:uid="{00000000-0005-0000-0000-000079840000}"/>
    <cellStyle name="常规 2 4 6 2 2 6" xfId="33914" xr:uid="{00000000-0005-0000-0000-00007A840000}"/>
    <cellStyle name="常规 2 4 6 2 2 7" xfId="33915" xr:uid="{00000000-0005-0000-0000-00007B840000}"/>
    <cellStyle name="常规 2 4 6 2 3" xfId="33916" xr:uid="{00000000-0005-0000-0000-00007C840000}"/>
    <cellStyle name="常规 2 4 6 2 3 2" xfId="33917" xr:uid="{00000000-0005-0000-0000-00007D840000}"/>
    <cellStyle name="常规 2 4 6 2 3 2 2" xfId="33918" xr:uid="{00000000-0005-0000-0000-00007E840000}"/>
    <cellStyle name="常规 2 4 6 2 3 2 3" xfId="33919" xr:uid="{00000000-0005-0000-0000-00007F840000}"/>
    <cellStyle name="常规 2 4 6 2 3 2 4" xfId="33920" xr:uid="{00000000-0005-0000-0000-000080840000}"/>
    <cellStyle name="常规 2 4 6 2 3 3" xfId="33921" xr:uid="{00000000-0005-0000-0000-000081840000}"/>
    <cellStyle name="常规 2 4 6 2 3 4" xfId="33922" xr:uid="{00000000-0005-0000-0000-000082840000}"/>
    <cellStyle name="常规 2 4 6 2 3 5" xfId="33923" xr:uid="{00000000-0005-0000-0000-000083840000}"/>
    <cellStyle name="常规 2 4 6 2 4" xfId="33924" xr:uid="{00000000-0005-0000-0000-000084840000}"/>
    <cellStyle name="常规 2 4 6 2 4 2" xfId="33925" xr:uid="{00000000-0005-0000-0000-000085840000}"/>
    <cellStyle name="常规 2 4 6 2 4 2 2" xfId="33926" xr:uid="{00000000-0005-0000-0000-000086840000}"/>
    <cellStyle name="常规 2 4 6 2 4 2 3" xfId="33927" xr:uid="{00000000-0005-0000-0000-000087840000}"/>
    <cellStyle name="常规 2 4 6 2 4 2 4" xfId="33928" xr:uid="{00000000-0005-0000-0000-000088840000}"/>
    <cellStyle name="常规 2 4 6 2 4 3" xfId="33929" xr:uid="{00000000-0005-0000-0000-000089840000}"/>
    <cellStyle name="常规 2 4 6 2 4 4" xfId="33930" xr:uid="{00000000-0005-0000-0000-00008A840000}"/>
    <cellStyle name="常规 2 4 6 2 4 5" xfId="33931" xr:uid="{00000000-0005-0000-0000-00008B840000}"/>
    <cellStyle name="常规 2 4 6 2 5" xfId="33932" xr:uid="{00000000-0005-0000-0000-00008C840000}"/>
    <cellStyle name="常规 2 4 6 2 5 2" xfId="33933" xr:uid="{00000000-0005-0000-0000-00008D840000}"/>
    <cellStyle name="常规 2 4 6 2 5 3" xfId="33934" xr:uid="{00000000-0005-0000-0000-00008E840000}"/>
    <cellStyle name="常规 2 4 6 2 5 4" xfId="33935" xr:uid="{00000000-0005-0000-0000-00008F840000}"/>
    <cellStyle name="常规 2 4 6 2 6" xfId="33936" xr:uid="{00000000-0005-0000-0000-000090840000}"/>
    <cellStyle name="常规 2 4 6 2 7" xfId="33937" xr:uid="{00000000-0005-0000-0000-000091840000}"/>
    <cellStyle name="常规 2 4 6 2 8" xfId="33938" xr:uid="{00000000-0005-0000-0000-000092840000}"/>
    <cellStyle name="常规 2 4 6 3" xfId="33939" xr:uid="{00000000-0005-0000-0000-000093840000}"/>
    <cellStyle name="常规 2 4 6 3 2" xfId="33940" xr:uid="{00000000-0005-0000-0000-000094840000}"/>
    <cellStyle name="常规 2 4 6 3 2 2" xfId="33941" xr:uid="{00000000-0005-0000-0000-000095840000}"/>
    <cellStyle name="常规 2 4 6 3 2 3" xfId="33942" xr:uid="{00000000-0005-0000-0000-000096840000}"/>
    <cellStyle name="常规 2 4 6 3 2 4" xfId="33943" xr:uid="{00000000-0005-0000-0000-000097840000}"/>
    <cellStyle name="常规 2 4 6 3 3" xfId="33944" xr:uid="{00000000-0005-0000-0000-000098840000}"/>
    <cellStyle name="常规 2 4 6 3 4" xfId="33945" xr:uid="{00000000-0005-0000-0000-000099840000}"/>
    <cellStyle name="常规 2 4 6 3 5" xfId="33946" xr:uid="{00000000-0005-0000-0000-00009A840000}"/>
    <cellStyle name="常规 2 4 6 4" xfId="33947" xr:uid="{00000000-0005-0000-0000-00009B840000}"/>
    <cellStyle name="常规 2 4 6 4 2" xfId="33948" xr:uid="{00000000-0005-0000-0000-00009C840000}"/>
    <cellStyle name="常规 2 4 6 4 2 2" xfId="33949" xr:uid="{00000000-0005-0000-0000-00009D840000}"/>
    <cellStyle name="常规 2 4 6 4 2 3" xfId="33950" xr:uid="{00000000-0005-0000-0000-00009E840000}"/>
    <cellStyle name="常规 2 4 6 4 2 4" xfId="33951" xr:uid="{00000000-0005-0000-0000-00009F840000}"/>
    <cellStyle name="常规 2 4 6 4 3" xfId="33952" xr:uid="{00000000-0005-0000-0000-0000A0840000}"/>
    <cellStyle name="常规 2 4 6 4 4" xfId="33953" xr:uid="{00000000-0005-0000-0000-0000A1840000}"/>
    <cellStyle name="常规 2 4 6 4 5" xfId="33954" xr:uid="{00000000-0005-0000-0000-0000A2840000}"/>
    <cellStyle name="常规 2 4 6 5" xfId="33955" xr:uid="{00000000-0005-0000-0000-0000A3840000}"/>
    <cellStyle name="常规 2 4 6 5 2" xfId="33956" xr:uid="{00000000-0005-0000-0000-0000A4840000}"/>
    <cellStyle name="常规 2 4 6 5 3" xfId="33957" xr:uid="{00000000-0005-0000-0000-0000A5840000}"/>
    <cellStyle name="常规 2 4 6 5 4" xfId="33958" xr:uid="{00000000-0005-0000-0000-0000A6840000}"/>
    <cellStyle name="常规 2 4 6 6" xfId="33959" xr:uid="{00000000-0005-0000-0000-0000A7840000}"/>
    <cellStyle name="常规 2 4 6 7" xfId="33960" xr:uid="{00000000-0005-0000-0000-0000A8840000}"/>
    <cellStyle name="常规 2 4 6 8" xfId="33961" xr:uid="{00000000-0005-0000-0000-0000A9840000}"/>
    <cellStyle name="常规 2 4 6 9" xfId="33962" xr:uid="{00000000-0005-0000-0000-0000AA840000}"/>
    <cellStyle name="常规 2 4 6 9 2" xfId="33963" xr:uid="{00000000-0005-0000-0000-0000AB840000}"/>
    <cellStyle name="常规 2 4 7" xfId="33964" xr:uid="{00000000-0005-0000-0000-0000AC840000}"/>
    <cellStyle name="常规 2 4 7 2" xfId="33965" xr:uid="{00000000-0005-0000-0000-0000AD840000}"/>
    <cellStyle name="常规 2 4 7 2 2" xfId="33966" xr:uid="{00000000-0005-0000-0000-0000AE840000}"/>
    <cellStyle name="常规 2 4 7 2 2 2" xfId="33967" xr:uid="{00000000-0005-0000-0000-0000AF840000}"/>
    <cellStyle name="常规 2 4 7 2 2 2 2" xfId="33968" xr:uid="{00000000-0005-0000-0000-0000B0840000}"/>
    <cellStyle name="常规 2 4 7 2 2 2 3" xfId="33969" xr:uid="{00000000-0005-0000-0000-0000B1840000}"/>
    <cellStyle name="常规 2 4 7 2 2 2 4" xfId="33970" xr:uid="{00000000-0005-0000-0000-0000B2840000}"/>
    <cellStyle name="常规 2 4 7 2 2 3" xfId="33971" xr:uid="{00000000-0005-0000-0000-0000B3840000}"/>
    <cellStyle name="常规 2 4 7 2 2 4" xfId="33972" xr:uid="{00000000-0005-0000-0000-0000B4840000}"/>
    <cellStyle name="常规 2 4 7 2 2 5" xfId="33973" xr:uid="{00000000-0005-0000-0000-0000B5840000}"/>
    <cellStyle name="常规 2 4 7 2 3" xfId="33974" xr:uid="{00000000-0005-0000-0000-0000B6840000}"/>
    <cellStyle name="常规 2 4 7 2 3 2" xfId="33975" xr:uid="{00000000-0005-0000-0000-0000B7840000}"/>
    <cellStyle name="常规 2 4 7 2 3 2 2" xfId="33976" xr:uid="{00000000-0005-0000-0000-0000B8840000}"/>
    <cellStyle name="常规 2 4 7 2 3 2 3" xfId="33977" xr:uid="{00000000-0005-0000-0000-0000B9840000}"/>
    <cellStyle name="常规 2 4 7 2 3 2 4" xfId="33978" xr:uid="{00000000-0005-0000-0000-0000BA840000}"/>
    <cellStyle name="常规 2 4 7 2 3 3" xfId="33979" xr:uid="{00000000-0005-0000-0000-0000BB840000}"/>
    <cellStyle name="常规 2 4 7 2 3 4" xfId="33980" xr:uid="{00000000-0005-0000-0000-0000BC840000}"/>
    <cellStyle name="常规 2 4 7 2 3 5" xfId="33981" xr:uid="{00000000-0005-0000-0000-0000BD840000}"/>
    <cellStyle name="常规 2 4 7 2 4" xfId="33982" xr:uid="{00000000-0005-0000-0000-0000BE840000}"/>
    <cellStyle name="常规 2 4 7 2 4 2" xfId="33983" xr:uid="{00000000-0005-0000-0000-0000BF840000}"/>
    <cellStyle name="常规 2 4 7 2 4 3" xfId="33984" xr:uid="{00000000-0005-0000-0000-0000C0840000}"/>
    <cellStyle name="常规 2 4 7 2 4 4" xfId="33985" xr:uid="{00000000-0005-0000-0000-0000C1840000}"/>
    <cellStyle name="常规 2 4 7 2 5" xfId="33986" xr:uid="{00000000-0005-0000-0000-0000C2840000}"/>
    <cellStyle name="常规 2 4 7 2 6" xfId="33987" xr:uid="{00000000-0005-0000-0000-0000C3840000}"/>
    <cellStyle name="常规 2 4 7 2 7" xfId="33988" xr:uid="{00000000-0005-0000-0000-0000C4840000}"/>
    <cellStyle name="常规 2 4 7 3" xfId="33989" xr:uid="{00000000-0005-0000-0000-0000C5840000}"/>
    <cellStyle name="常规 2 4 7 3 2" xfId="33990" xr:uid="{00000000-0005-0000-0000-0000C6840000}"/>
    <cellStyle name="常规 2 4 7 3 2 2" xfId="33991" xr:uid="{00000000-0005-0000-0000-0000C7840000}"/>
    <cellStyle name="常规 2 4 7 3 2 3" xfId="33992" xr:uid="{00000000-0005-0000-0000-0000C8840000}"/>
    <cellStyle name="常规 2 4 7 3 2 4" xfId="33993" xr:uid="{00000000-0005-0000-0000-0000C9840000}"/>
    <cellStyle name="常规 2 4 7 3 3" xfId="33994" xr:uid="{00000000-0005-0000-0000-0000CA840000}"/>
    <cellStyle name="常规 2 4 7 3 4" xfId="33995" xr:uid="{00000000-0005-0000-0000-0000CB840000}"/>
    <cellStyle name="常规 2 4 7 3 5" xfId="33996" xr:uid="{00000000-0005-0000-0000-0000CC840000}"/>
    <cellStyle name="常规 2 4 7 4" xfId="33997" xr:uid="{00000000-0005-0000-0000-0000CD840000}"/>
    <cellStyle name="常规 2 4 7 4 2" xfId="33998" xr:uid="{00000000-0005-0000-0000-0000CE840000}"/>
    <cellStyle name="常规 2 4 7 4 2 2" xfId="33999" xr:uid="{00000000-0005-0000-0000-0000CF840000}"/>
    <cellStyle name="常规 2 4 7 4 2 3" xfId="34000" xr:uid="{00000000-0005-0000-0000-0000D0840000}"/>
    <cellStyle name="常规 2 4 7 4 2 4" xfId="34001" xr:uid="{00000000-0005-0000-0000-0000D1840000}"/>
    <cellStyle name="常规 2 4 7 4 3" xfId="34002" xr:uid="{00000000-0005-0000-0000-0000D2840000}"/>
    <cellStyle name="常规 2 4 7 4 4" xfId="34003" xr:uid="{00000000-0005-0000-0000-0000D3840000}"/>
    <cellStyle name="常规 2 4 7 4 5" xfId="34004" xr:uid="{00000000-0005-0000-0000-0000D4840000}"/>
    <cellStyle name="常规 2 4 7 5" xfId="34005" xr:uid="{00000000-0005-0000-0000-0000D5840000}"/>
    <cellStyle name="常规 2 4 7 5 2" xfId="34006" xr:uid="{00000000-0005-0000-0000-0000D6840000}"/>
    <cellStyle name="常规 2 4 7 5 3" xfId="34007" xr:uid="{00000000-0005-0000-0000-0000D7840000}"/>
    <cellStyle name="常规 2 4 7 5 4" xfId="34008" xr:uid="{00000000-0005-0000-0000-0000D8840000}"/>
    <cellStyle name="常规 2 4 7 6" xfId="34009" xr:uid="{00000000-0005-0000-0000-0000D9840000}"/>
    <cellStyle name="常规 2 4 7 7" xfId="34010" xr:uid="{00000000-0005-0000-0000-0000DA840000}"/>
    <cellStyle name="常规 2 4 7 8" xfId="34011" xr:uid="{00000000-0005-0000-0000-0000DB840000}"/>
    <cellStyle name="常规 2 4 8" xfId="34012" xr:uid="{00000000-0005-0000-0000-0000DC840000}"/>
    <cellStyle name="常规 2 4 8 2" xfId="34013" xr:uid="{00000000-0005-0000-0000-0000DD840000}"/>
    <cellStyle name="常规 2 4 8 2 2" xfId="34014" xr:uid="{00000000-0005-0000-0000-0000DE840000}"/>
    <cellStyle name="常规 2 4 8 2 3" xfId="34015" xr:uid="{00000000-0005-0000-0000-0000DF840000}"/>
    <cellStyle name="常规 2 4 8 2 4" xfId="34016" xr:uid="{00000000-0005-0000-0000-0000E0840000}"/>
    <cellStyle name="常规 2 4 8 3" xfId="34017" xr:uid="{00000000-0005-0000-0000-0000E1840000}"/>
    <cellStyle name="常规 2 4 8 4" xfId="34018" xr:uid="{00000000-0005-0000-0000-0000E2840000}"/>
    <cellStyle name="常规 2 4 8 5" xfId="34019" xr:uid="{00000000-0005-0000-0000-0000E3840000}"/>
    <cellStyle name="常规 2 4 9" xfId="34020" xr:uid="{00000000-0005-0000-0000-0000E4840000}"/>
    <cellStyle name="常规 2 4 9 2" xfId="34021" xr:uid="{00000000-0005-0000-0000-0000E5840000}"/>
    <cellStyle name="常规 2 4 9 2 2" xfId="34022" xr:uid="{00000000-0005-0000-0000-0000E6840000}"/>
    <cellStyle name="常规 2 4 9 2 3" xfId="34023" xr:uid="{00000000-0005-0000-0000-0000E7840000}"/>
    <cellStyle name="常规 2 4 9 2 4" xfId="34024" xr:uid="{00000000-0005-0000-0000-0000E8840000}"/>
    <cellStyle name="常规 2 4 9 3" xfId="34025" xr:uid="{00000000-0005-0000-0000-0000E9840000}"/>
    <cellStyle name="常规 2 4 9 4" xfId="34026" xr:uid="{00000000-0005-0000-0000-0000EA840000}"/>
    <cellStyle name="常规 2 4 9 5" xfId="34027" xr:uid="{00000000-0005-0000-0000-0000EB840000}"/>
    <cellStyle name="常规 2 5" xfId="34028" xr:uid="{00000000-0005-0000-0000-0000EC840000}"/>
    <cellStyle name="常规 2 5 10" xfId="34029" xr:uid="{00000000-0005-0000-0000-0000ED840000}"/>
    <cellStyle name="常规 2 5 10 2" xfId="34030" xr:uid="{00000000-0005-0000-0000-0000EE840000}"/>
    <cellStyle name="常规 2 5 10 2 2" xfId="34031" xr:uid="{00000000-0005-0000-0000-0000EF840000}"/>
    <cellStyle name="常规 2 5 10 2 2 2" xfId="34032" xr:uid="{00000000-0005-0000-0000-0000F0840000}"/>
    <cellStyle name="常规 2 5 10 2 2 2 2" xfId="34033" xr:uid="{00000000-0005-0000-0000-0000F1840000}"/>
    <cellStyle name="常规 2 5 10 2 2 2 3" xfId="34034" xr:uid="{00000000-0005-0000-0000-0000F2840000}"/>
    <cellStyle name="常规 2 5 10 2 2 2 4" xfId="34035" xr:uid="{00000000-0005-0000-0000-0000F3840000}"/>
    <cellStyle name="常规 2 5 10 2 2 3" xfId="34036" xr:uid="{00000000-0005-0000-0000-0000F4840000}"/>
    <cellStyle name="常规 2 5 10 2 2 4" xfId="34037" xr:uid="{00000000-0005-0000-0000-0000F5840000}"/>
    <cellStyle name="常规 2 5 10 2 2 5" xfId="34038" xr:uid="{00000000-0005-0000-0000-0000F6840000}"/>
    <cellStyle name="常规 2 5 10 2 3" xfId="34039" xr:uid="{00000000-0005-0000-0000-0000F7840000}"/>
    <cellStyle name="常规 2 5 10 2 3 2" xfId="34040" xr:uid="{00000000-0005-0000-0000-0000F8840000}"/>
    <cellStyle name="常规 2 5 10 2 3 2 2" xfId="34041" xr:uid="{00000000-0005-0000-0000-0000F9840000}"/>
    <cellStyle name="常规 2 5 10 2 3 2 3" xfId="34042" xr:uid="{00000000-0005-0000-0000-0000FA840000}"/>
    <cellStyle name="常规 2 5 10 2 3 2 4" xfId="34043" xr:uid="{00000000-0005-0000-0000-0000FB840000}"/>
    <cellStyle name="常规 2 5 10 2 3 3" xfId="34044" xr:uid="{00000000-0005-0000-0000-0000FC840000}"/>
    <cellStyle name="常规 2 5 10 2 3 4" xfId="34045" xr:uid="{00000000-0005-0000-0000-0000FD840000}"/>
    <cellStyle name="常规 2 5 10 2 3 5" xfId="34046" xr:uid="{00000000-0005-0000-0000-0000FE840000}"/>
    <cellStyle name="常规 2 5 10 2 4" xfId="34047" xr:uid="{00000000-0005-0000-0000-0000FF840000}"/>
    <cellStyle name="常规 2 5 10 2 4 2" xfId="34048" xr:uid="{00000000-0005-0000-0000-000000850000}"/>
    <cellStyle name="常规 2 5 10 2 4 3" xfId="34049" xr:uid="{00000000-0005-0000-0000-000001850000}"/>
    <cellStyle name="常规 2 5 10 2 4 4" xfId="34050" xr:uid="{00000000-0005-0000-0000-000002850000}"/>
    <cellStyle name="常规 2 5 10 2 5" xfId="34051" xr:uid="{00000000-0005-0000-0000-000003850000}"/>
    <cellStyle name="常规 2 5 10 2 6" xfId="34052" xr:uid="{00000000-0005-0000-0000-000004850000}"/>
    <cellStyle name="常规 2 5 10 2 7" xfId="34053" xr:uid="{00000000-0005-0000-0000-000005850000}"/>
    <cellStyle name="常规 2 5 10 2 8" xfId="34054" xr:uid="{00000000-0005-0000-0000-000006850000}"/>
    <cellStyle name="常规 2 5 10 3" xfId="34055" xr:uid="{00000000-0005-0000-0000-000007850000}"/>
    <cellStyle name="常规 2 5 10 3 2" xfId="34056" xr:uid="{00000000-0005-0000-0000-000008850000}"/>
    <cellStyle name="常规 2 5 10 3 2 2" xfId="34057" xr:uid="{00000000-0005-0000-0000-000009850000}"/>
    <cellStyle name="常规 2 5 10 3 2 3" xfId="34058" xr:uid="{00000000-0005-0000-0000-00000A850000}"/>
    <cellStyle name="常规 2 5 10 3 2 4" xfId="34059" xr:uid="{00000000-0005-0000-0000-00000B850000}"/>
    <cellStyle name="常规 2 5 10 3 3" xfId="34060" xr:uid="{00000000-0005-0000-0000-00000C850000}"/>
    <cellStyle name="常规 2 5 10 3 4" xfId="34061" xr:uid="{00000000-0005-0000-0000-00000D850000}"/>
    <cellStyle name="常规 2 5 10 3 5" xfId="34062" xr:uid="{00000000-0005-0000-0000-00000E850000}"/>
    <cellStyle name="常规 2 5 10 4" xfId="34063" xr:uid="{00000000-0005-0000-0000-00000F850000}"/>
    <cellStyle name="常规 2 5 10 4 2" xfId="34064" xr:uid="{00000000-0005-0000-0000-000010850000}"/>
    <cellStyle name="常规 2 5 10 4 2 2" xfId="34065" xr:uid="{00000000-0005-0000-0000-000011850000}"/>
    <cellStyle name="常规 2 5 10 4 2 3" xfId="34066" xr:uid="{00000000-0005-0000-0000-000012850000}"/>
    <cellStyle name="常规 2 5 10 4 2 4" xfId="34067" xr:uid="{00000000-0005-0000-0000-000013850000}"/>
    <cellStyle name="常规 2 5 10 4 3" xfId="34068" xr:uid="{00000000-0005-0000-0000-000014850000}"/>
    <cellStyle name="常规 2 5 10 4 4" xfId="34069" xr:uid="{00000000-0005-0000-0000-000015850000}"/>
    <cellStyle name="常规 2 5 10 4 5" xfId="34070" xr:uid="{00000000-0005-0000-0000-000016850000}"/>
    <cellStyle name="常规 2 5 10 5" xfId="34071" xr:uid="{00000000-0005-0000-0000-000017850000}"/>
    <cellStyle name="常规 2 5 10 5 2" xfId="34072" xr:uid="{00000000-0005-0000-0000-000018850000}"/>
    <cellStyle name="常规 2 5 10 5 3" xfId="34073" xr:uid="{00000000-0005-0000-0000-000019850000}"/>
    <cellStyle name="常规 2 5 10 5 4" xfId="34074" xr:uid="{00000000-0005-0000-0000-00001A850000}"/>
    <cellStyle name="常规 2 5 10 6" xfId="34075" xr:uid="{00000000-0005-0000-0000-00001B850000}"/>
    <cellStyle name="常规 2 5 10 7" xfId="34076" xr:uid="{00000000-0005-0000-0000-00001C850000}"/>
    <cellStyle name="常规 2 5 10 8" xfId="34077" xr:uid="{00000000-0005-0000-0000-00001D850000}"/>
    <cellStyle name="常规 2 5 10 9" xfId="34078" xr:uid="{00000000-0005-0000-0000-00001E850000}"/>
    <cellStyle name="常规 2 5 11" xfId="34079" xr:uid="{00000000-0005-0000-0000-00001F850000}"/>
    <cellStyle name="常规 2 5 11 2" xfId="34080" xr:uid="{00000000-0005-0000-0000-000020850000}"/>
    <cellStyle name="常规 2 5 11 2 2" xfId="34081" xr:uid="{00000000-0005-0000-0000-000021850000}"/>
    <cellStyle name="常规 2 5 11 2 2 2" xfId="34082" xr:uid="{00000000-0005-0000-0000-000022850000}"/>
    <cellStyle name="常规 2 5 11 2 2 2 2" xfId="34083" xr:uid="{00000000-0005-0000-0000-000023850000}"/>
    <cellStyle name="常规 2 5 11 2 2 2 3" xfId="34084" xr:uid="{00000000-0005-0000-0000-000024850000}"/>
    <cellStyle name="常规 2 5 11 2 2 2 4" xfId="34085" xr:uid="{00000000-0005-0000-0000-000025850000}"/>
    <cellStyle name="常规 2 5 11 2 2 3" xfId="34086" xr:uid="{00000000-0005-0000-0000-000026850000}"/>
    <cellStyle name="常规 2 5 11 2 2 4" xfId="34087" xr:uid="{00000000-0005-0000-0000-000027850000}"/>
    <cellStyle name="常规 2 5 11 2 2 5" xfId="34088" xr:uid="{00000000-0005-0000-0000-000028850000}"/>
    <cellStyle name="常规 2 5 11 2 3" xfId="34089" xr:uid="{00000000-0005-0000-0000-000029850000}"/>
    <cellStyle name="常规 2 5 11 2 3 2" xfId="34090" xr:uid="{00000000-0005-0000-0000-00002A850000}"/>
    <cellStyle name="常规 2 5 11 2 3 2 2" xfId="34091" xr:uid="{00000000-0005-0000-0000-00002B850000}"/>
    <cellStyle name="常规 2 5 11 2 3 2 3" xfId="34092" xr:uid="{00000000-0005-0000-0000-00002C850000}"/>
    <cellStyle name="常规 2 5 11 2 3 2 4" xfId="34093" xr:uid="{00000000-0005-0000-0000-00002D850000}"/>
    <cellStyle name="常规 2 5 11 2 3 3" xfId="34094" xr:uid="{00000000-0005-0000-0000-00002E850000}"/>
    <cellStyle name="常规 2 5 11 2 3 4" xfId="34095" xr:uid="{00000000-0005-0000-0000-00002F850000}"/>
    <cellStyle name="常规 2 5 11 2 3 5" xfId="34096" xr:uid="{00000000-0005-0000-0000-000030850000}"/>
    <cellStyle name="常规 2 5 11 2 4" xfId="34097" xr:uid="{00000000-0005-0000-0000-000031850000}"/>
    <cellStyle name="常规 2 5 11 2 4 2" xfId="34098" xr:uid="{00000000-0005-0000-0000-000032850000}"/>
    <cellStyle name="常规 2 5 11 2 4 3" xfId="34099" xr:uid="{00000000-0005-0000-0000-000033850000}"/>
    <cellStyle name="常规 2 5 11 2 4 4" xfId="34100" xr:uid="{00000000-0005-0000-0000-000034850000}"/>
    <cellStyle name="常规 2 5 11 2 5" xfId="34101" xr:uid="{00000000-0005-0000-0000-000035850000}"/>
    <cellStyle name="常规 2 5 11 2 6" xfId="34102" xr:uid="{00000000-0005-0000-0000-000036850000}"/>
    <cellStyle name="常规 2 5 11 2 7" xfId="34103" xr:uid="{00000000-0005-0000-0000-000037850000}"/>
    <cellStyle name="常规 2 5 11 2 8" xfId="34104" xr:uid="{00000000-0005-0000-0000-000038850000}"/>
    <cellStyle name="常规 2 5 11 3" xfId="34105" xr:uid="{00000000-0005-0000-0000-000039850000}"/>
    <cellStyle name="常规 2 5 11 3 2" xfId="34106" xr:uid="{00000000-0005-0000-0000-00003A850000}"/>
    <cellStyle name="常规 2 5 11 3 2 2" xfId="34107" xr:uid="{00000000-0005-0000-0000-00003B850000}"/>
    <cellStyle name="常规 2 5 11 3 2 3" xfId="34108" xr:uid="{00000000-0005-0000-0000-00003C850000}"/>
    <cellStyle name="常规 2 5 11 3 2 4" xfId="34109" xr:uid="{00000000-0005-0000-0000-00003D850000}"/>
    <cellStyle name="常规 2 5 11 3 3" xfId="34110" xr:uid="{00000000-0005-0000-0000-00003E850000}"/>
    <cellStyle name="常规 2 5 11 3 4" xfId="34111" xr:uid="{00000000-0005-0000-0000-00003F850000}"/>
    <cellStyle name="常规 2 5 11 3 5" xfId="34112" xr:uid="{00000000-0005-0000-0000-000040850000}"/>
    <cellStyle name="常规 2 5 11 4" xfId="34113" xr:uid="{00000000-0005-0000-0000-000041850000}"/>
    <cellStyle name="常规 2 5 11 4 2" xfId="34114" xr:uid="{00000000-0005-0000-0000-000042850000}"/>
    <cellStyle name="常规 2 5 11 4 2 2" xfId="34115" xr:uid="{00000000-0005-0000-0000-000043850000}"/>
    <cellStyle name="常规 2 5 11 4 2 3" xfId="34116" xr:uid="{00000000-0005-0000-0000-000044850000}"/>
    <cellStyle name="常规 2 5 11 4 2 4" xfId="34117" xr:uid="{00000000-0005-0000-0000-000045850000}"/>
    <cellStyle name="常规 2 5 11 4 3" xfId="34118" xr:uid="{00000000-0005-0000-0000-000046850000}"/>
    <cellStyle name="常规 2 5 11 4 4" xfId="34119" xr:uid="{00000000-0005-0000-0000-000047850000}"/>
    <cellStyle name="常规 2 5 11 4 5" xfId="34120" xr:uid="{00000000-0005-0000-0000-000048850000}"/>
    <cellStyle name="常规 2 5 11 5" xfId="34121" xr:uid="{00000000-0005-0000-0000-000049850000}"/>
    <cellStyle name="常规 2 5 11 5 2" xfId="34122" xr:uid="{00000000-0005-0000-0000-00004A850000}"/>
    <cellStyle name="常规 2 5 11 5 3" xfId="34123" xr:uid="{00000000-0005-0000-0000-00004B850000}"/>
    <cellStyle name="常规 2 5 11 5 4" xfId="34124" xr:uid="{00000000-0005-0000-0000-00004C850000}"/>
    <cellStyle name="常规 2 5 11 6" xfId="34125" xr:uid="{00000000-0005-0000-0000-00004D850000}"/>
    <cellStyle name="常规 2 5 11 7" xfId="34126" xr:uid="{00000000-0005-0000-0000-00004E850000}"/>
    <cellStyle name="常规 2 5 11 8" xfId="34127" xr:uid="{00000000-0005-0000-0000-00004F850000}"/>
    <cellStyle name="常规 2 5 11 9" xfId="34128" xr:uid="{00000000-0005-0000-0000-000050850000}"/>
    <cellStyle name="常规 2 5 12" xfId="34129" xr:uid="{00000000-0005-0000-0000-000051850000}"/>
    <cellStyle name="常规 2 5 12 2" xfId="34130" xr:uid="{00000000-0005-0000-0000-000052850000}"/>
    <cellStyle name="常规 2 5 12 2 2" xfId="34131" xr:uid="{00000000-0005-0000-0000-000053850000}"/>
    <cellStyle name="常规 2 5 12 2 2 2" xfId="34132" xr:uid="{00000000-0005-0000-0000-000054850000}"/>
    <cellStyle name="常规 2 5 12 2 2 2 2" xfId="34133" xr:uid="{00000000-0005-0000-0000-000055850000}"/>
    <cellStyle name="常规 2 5 12 2 2 2 3" xfId="34134" xr:uid="{00000000-0005-0000-0000-000056850000}"/>
    <cellStyle name="常规 2 5 12 2 2 2 4" xfId="34135" xr:uid="{00000000-0005-0000-0000-000057850000}"/>
    <cellStyle name="常规 2 5 12 2 2 3" xfId="34136" xr:uid="{00000000-0005-0000-0000-000058850000}"/>
    <cellStyle name="常规 2 5 12 2 2 4" xfId="34137" xr:uid="{00000000-0005-0000-0000-000059850000}"/>
    <cellStyle name="常规 2 5 12 2 2 5" xfId="34138" xr:uid="{00000000-0005-0000-0000-00005A850000}"/>
    <cellStyle name="常规 2 5 12 2 3" xfId="34139" xr:uid="{00000000-0005-0000-0000-00005B850000}"/>
    <cellStyle name="常规 2 5 12 2 3 2" xfId="34140" xr:uid="{00000000-0005-0000-0000-00005C850000}"/>
    <cellStyle name="常规 2 5 12 2 3 2 2" xfId="34141" xr:uid="{00000000-0005-0000-0000-00005D850000}"/>
    <cellStyle name="常规 2 5 12 2 3 2 3" xfId="34142" xr:uid="{00000000-0005-0000-0000-00005E850000}"/>
    <cellStyle name="常规 2 5 12 2 3 2 4" xfId="34143" xr:uid="{00000000-0005-0000-0000-00005F850000}"/>
    <cellStyle name="常规 2 5 12 2 3 3" xfId="34144" xr:uid="{00000000-0005-0000-0000-000060850000}"/>
    <cellStyle name="常规 2 5 12 2 3 4" xfId="34145" xr:uid="{00000000-0005-0000-0000-000061850000}"/>
    <cellStyle name="常规 2 5 12 2 3 5" xfId="34146" xr:uid="{00000000-0005-0000-0000-000062850000}"/>
    <cellStyle name="常规 2 5 12 2 4" xfId="34147" xr:uid="{00000000-0005-0000-0000-000063850000}"/>
    <cellStyle name="常规 2 5 12 2 4 2" xfId="34148" xr:uid="{00000000-0005-0000-0000-000064850000}"/>
    <cellStyle name="常规 2 5 12 2 4 3" xfId="34149" xr:uid="{00000000-0005-0000-0000-000065850000}"/>
    <cellStyle name="常规 2 5 12 2 4 4" xfId="34150" xr:uid="{00000000-0005-0000-0000-000066850000}"/>
    <cellStyle name="常规 2 5 12 2 5" xfId="34151" xr:uid="{00000000-0005-0000-0000-000067850000}"/>
    <cellStyle name="常规 2 5 12 2 6" xfId="34152" xr:uid="{00000000-0005-0000-0000-000068850000}"/>
    <cellStyle name="常规 2 5 12 2 7" xfId="34153" xr:uid="{00000000-0005-0000-0000-000069850000}"/>
    <cellStyle name="常规 2 5 12 3" xfId="34154" xr:uid="{00000000-0005-0000-0000-00006A850000}"/>
    <cellStyle name="常规 2 5 12 3 2" xfId="34155" xr:uid="{00000000-0005-0000-0000-00006B850000}"/>
    <cellStyle name="常规 2 5 12 3 2 2" xfId="34156" xr:uid="{00000000-0005-0000-0000-00006C850000}"/>
    <cellStyle name="常规 2 5 12 3 2 3" xfId="34157" xr:uid="{00000000-0005-0000-0000-00006D850000}"/>
    <cellStyle name="常规 2 5 12 3 2 4" xfId="34158" xr:uid="{00000000-0005-0000-0000-00006E850000}"/>
    <cellStyle name="常规 2 5 12 3 3" xfId="34159" xr:uid="{00000000-0005-0000-0000-00006F850000}"/>
    <cellStyle name="常规 2 5 12 3 4" xfId="34160" xr:uid="{00000000-0005-0000-0000-000070850000}"/>
    <cellStyle name="常规 2 5 12 3 5" xfId="34161" xr:uid="{00000000-0005-0000-0000-000071850000}"/>
    <cellStyle name="常规 2 5 12 4" xfId="34162" xr:uid="{00000000-0005-0000-0000-000072850000}"/>
    <cellStyle name="常规 2 5 12 4 2" xfId="34163" xr:uid="{00000000-0005-0000-0000-000073850000}"/>
    <cellStyle name="常规 2 5 12 4 2 2" xfId="34164" xr:uid="{00000000-0005-0000-0000-000074850000}"/>
    <cellStyle name="常规 2 5 12 4 2 3" xfId="34165" xr:uid="{00000000-0005-0000-0000-000075850000}"/>
    <cellStyle name="常规 2 5 12 4 2 4" xfId="34166" xr:uid="{00000000-0005-0000-0000-000076850000}"/>
    <cellStyle name="常规 2 5 12 4 3" xfId="34167" xr:uid="{00000000-0005-0000-0000-000077850000}"/>
    <cellStyle name="常规 2 5 12 4 4" xfId="34168" xr:uid="{00000000-0005-0000-0000-000078850000}"/>
    <cellStyle name="常规 2 5 12 4 5" xfId="34169" xr:uid="{00000000-0005-0000-0000-000079850000}"/>
    <cellStyle name="常规 2 5 12 5" xfId="34170" xr:uid="{00000000-0005-0000-0000-00007A850000}"/>
    <cellStyle name="常规 2 5 12 5 2" xfId="34171" xr:uid="{00000000-0005-0000-0000-00007B850000}"/>
    <cellStyle name="常规 2 5 12 5 3" xfId="34172" xr:uid="{00000000-0005-0000-0000-00007C850000}"/>
    <cellStyle name="常规 2 5 12 5 4" xfId="34173" xr:uid="{00000000-0005-0000-0000-00007D850000}"/>
    <cellStyle name="常规 2 5 12 6" xfId="34174" xr:uid="{00000000-0005-0000-0000-00007E850000}"/>
    <cellStyle name="常规 2 5 12 7" xfId="34175" xr:uid="{00000000-0005-0000-0000-00007F850000}"/>
    <cellStyle name="常规 2 5 12 8" xfId="34176" xr:uid="{00000000-0005-0000-0000-000080850000}"/>
    <cellStyle name="常规 2 5 13" xfId="34177" xr:uid="{00000000-0005-0000-0000-000081850000}"/>
    <cellStyle name="常规 2 5 13 2" xfId="34178" xr:uid="{00000000-0005-0000-0000-000082850000}"/>
    <cellStyle name="常规 2 5 13 2 2" xfId="34179" xr:uid="{00000000-0005-0000-0000-000083850000}"/>
    <cellStyle name="常规 2 5 13 2 2 2" xfId="34180" xr:uid="{00000000-0005-0000-0000-000084850000}"/>
    <cellStyle name="常规 2 5 13 2 2 2 2" xfId="34181" xr:uid="{00000000-0005-0000-0000-000085850000}"/>
    <cellStyle name="常规 2 5 13 2 2 2 3" xfId="34182" xr:uid="{00000000-0005-0000-0000-000086850000}"/>
    <cellStyle name="常规 2 5 13 2 2 2 4" xfId="34183" xr:uid="{00000000-0005-0000-0000-000087850000}"/>
    <cellStyle name="常规 2 5 13 2 2 3" xfId="34184" xr:uid="{00000000-0005-0000-0000-000088850000}"/>
    <cellStyle name="常规 2 5 13 2 2 4" xfId="34185" xr:uid="{00000000-0005-0000-0000-000089850000}"/>
    <cellStyle name="常规 2 5 13 2 2 5" xfId="34186" xr:uid="{00000000-0005-0000-0000-00008A850000}"/>
    <cellStyle name="常规 2 5 13 2 3" xfId="34187" xr:uid="{00000000-0005-0000-0000-00008B850000}"/>
    <cellStyle name="常规 2 5 13 2 3 2" xfId="34188" xr:uid="{00000000-0005-0000-0000-00008C850000}"/>
    <cellStyle name="常规 2 5 13 2 3 2 2" xfId="34189" xr:uid="{00000000-0005-0000-0000-00008D850000}"/>
    <cellStyle name="常规 2 5 13 2 3 2 3" xfId="34190" xr:uid="{00000000-0005-0000-0000-00008E850000}"/>
    <cellStyle name="常规 2 5 13 2 3 2 4" xfId="34191" xr:uid="{00000000-0005-0000-0000-00008F850000}"/>
    <cellStyle name="常规 2 5 13 2 3 3" xfId="34192" xr:uid="{00000000-0005-0000-0000-000090850000}"/>
    <cellStyle name="常规 2 5 13 2 3 4" xfId="34193" xr:uid="{00000000-0005-0000-0000-000091850000}"/>
    <cellStyle name="常规 2 5 13 2 3 5" xfId="34194" xr:uid="{00000000-0005-0000-0000-000092850000}"/>
    <cellStyle name="常规 2 5 13 2 4" xfId="34195" xr:uid="{00000000-0005-0000-0000-000093850000}"/>
    <cellStyle name="常规 2 5 13 2 4 2" xfId="34196" xr:uid="{00000000-0005-0000-0000-000094850000}"/>
    <cellStyle name="常规 2 5 13 2 4 3" xfId="34197" xr:uid="{00000000-0005-0000-0000-000095850000}"/>
    <cellStyle name="常规 2 5 13 2 4 4" xfId="34198" xr:uid="{00000000-0005-0000-0000-000096850000}"/>
    <cellStyle name="常规 2 5 13 2 5" xfId="34199" xr:uid="{00000000-0005-0000-0000-000097850000}"/>
    <cellStyle name="常规 2 5 13 2 6" xfId="34200" xr:uid="{00000000-0005-0000-0000-000098850000}"/>
    <cellStyle name="常规 2 5 13 2 7" xfId="34201" xr:uid="{00000000-0005-0000-0000-000099850000}"/>
    <cellStyle name="常规 2 5 13 3" xfId="34202" xr:uid="{00000000-0005-0000-0000-00009A850000}"/>
    <cellStyle name="常规 2 5 13 3 2" xfId="34203" xr:uid="{00000000-0005-0000-0000-00009B850000}"/>
    <cellStyle name="常规 2 5 13 3 2 2" xfId="34204" xr:uid="{00000000-0005-0000-0000-00009C850000}"/>
    <cellStyle name="常规 2 5 13 3 2 3" xfId="34205" xr:uid="{00000000-0005-0000-0000-00009D850000}"/>
    <cellStyle name="常规 2 5 13 3 2 4" xfId="34206" xr:uid="{00000000-0005-0000-0000-00009E850000}"/>
    <cellStyle name="常规 2 5 13 3 3" xfId="34207" xr:uid="{00000000-0005-0000-0000-00009F850000}"/>
    <cellStyle name="常规 2 5 13 3 4" xfId="34208" xr:uid="{00000000-0005-0000-0000-0000A0850000}"/>
    <cellStyle name="常规 2 5 13 3 5" xfId="34209" xr:uid="{00000000-0005-0000-0000-0000A1850000}"/>
    <cellStyle name="常规 2 5 13 4" xfId="34210" xr:uid="{00000000-0005-0000-0000-0000A2850000}"/>
    <cellStyle name="常规 2 5 13 4 2" xfId="34211" xr:uid="{00000000-0005-0000-0000-0000A3850000}"/>
    <cellStyle name="常规 2 5 13 4 2 2" xfId="34212" xr:uid="{00000000-0005-0000-0000-0000A4850000}"/>
    <cellStyle name="常规 2 5 13 4 2 3" xfId="34213" xr:uid="{00000000-0005-0000-0000-0000A5850000}"/>
    <cellStyle name="常规 2 5 13 4 2 4" xfId="34214" xr:uid="{00000000-0005-0000-0000-0000A6850000}"/>
    <cellStyle name="常规 2 5 13 4 3" xfId="34215" xr:uid="{00000000-0005-0000-0000-0000A7850000}"/>
    <cellStyle name="常规 2 5 13 4 4" xfId="34216" xr:uid="{00000000-0005-0000-0000-0000A8850000}"/>
    <cellStyle name="常规 2 5 13 4 5" xfId="34217" xr:uid="{00000000-0005-0000-0000-0000A9850000}"/>
    <cellStyle name="常规 2 5 13 5" xfId="34218" xr:uid="{00000000-0005-0000-0000-0000AA850000}"/>
    <cellStyle name="常规 2 5 13 5 2" xfId="34219" xr:uid="{00000000-0005-0000-0000-0000AB850000}"/>
    <cellStyle name="常规 2 5 13 5 3" xfId="34220" xr:uid="{00000000-0005-0000-0000-0000AC850000}"/>
    <cellStyle name="常规 2 5 13 5 4" xfId="34221" xr:uid="{00000000-0005-0000-0000-0000AD850000}"/>
    <cellStyle name="常规 2 5 13 6" xfId="34222" xr:uid="{00000000-0005-0000-0000-0000AE850000}"/>
    <cellStyle name="常规 2 5 13 7" xfId="34223" xr:uid="{00000000-0005-0000-0000-0000AF850000}"/>
    <cellStyle name="常规 2 5 13 8" xfId="34224" xr:uid="{00000000-0005-0000-0000-0000B0850000}"/>
    <cellStyle name="常规 2 5 14" xfId="34225" xr:uid="{00000000-0005-0000-0000-0000B1850000}"/>
    <cellStyle name="常规 2 5 14 2" xfId="34226" xr:uid="{00000000-0005-0000-0000-0000B2850000}"/>
    <cellStyle name="常规 2 5 14 2 2" xfId="34227" xr:uid="{00000000-0005-0000-0000-0000B3850000}"/>
    <cellStyle name="常规 2 5 14 2 2 2" xfId="34228" xr:uid="{00000000-0005-0000-0000-0000B4850000}"/>
    <cellStyle name="常规 2 5 14 2 2 2 2" xfId="34229" xr:uid="{00000000-0005-0000-0000-0000B5850000}"/>
    <cellStyle name="常规 2 5 14 2 2 2 3" xfId="34230" xr:uid="{00000000-0005-0000-0000-0000B6850000}"/>
    <cellStyle name="常规 2 5 14 2 2 2 4" xfId="34231" xr:uid="{00000000-0005-0000-0000-0000B7850000}"/>
    <cellStyle name="常规 2 5 14 2 2 3" xfId="34232" xr:uid="{00000000-0005-0000-0000-0000B8850000}"/>
    <cellStyle name="常规 2 5 14 2 2 4" xfId="34233" xr:uid="{00000000-0005-0000-0000-0000B9850000}"/>
    <cellStyle name="常规 2 5 14 2 2 5" xfId="34234" xr:uid="{00000000-0005-0000-0000-0000BA850000}"/>
    <cellStyle name="常规 2 5 14 2 3" xfId="34235" xr:uid="{00000000-0005-0000-0000-0000BB850000}"/>
    <cellStyle name="常规 2 5 14 2 3 2" xfId="34236" xr:uid="{00000000-0005-0000-0000-0000BC850000}"/>
    <cellStyle name="常规 2 5 14 2 3 2 2" xfId="34237" xr:uid="{00000000-0005-0000-0000-0000BD850000}"/>
    <cellStyle name="常规 2 5 14 2 3 2 3" xfId="34238" xr:uid="{00000000-0005-0000-0000-0000BE850000}"/>
    <cellStyle name="常规 2 5 14 2 3 2 4" xfId="34239" xr:uid="{00000000-0005-0000-0000-0000BF850000}"/>
    <cellStyle name="常规 2 5 14 2 3 3" xfId="34240" xr:uid="{00000000-0005-0000-0000-0000C0850000}"/>
    <cellStyle name="常规 2 5 14 2 3 4" xfId="34241" xr:uid="{00000000-0005-0000-0000-0000C1850000}"/>
    <cellStyle name="常规 2 5 14 2 3 5" xfId="34242" xr:uid="{00000000-0005-0000-0000-0000C2850000}"/>
    <cellStyle name="常规 2 5 14 2 4" xfId="34243" xr:uid="{00000000-0005-0000-0000-0000C3850000}"/>
    <cellStyle name="常规 2 5 14 2 4 2" xfId="34244" xr:uid="{00000000-0005-0000-0000-0000C4850000}"/>
    <cellStyle name="常规 2 5 14 2 4 3" xfId="34245" xr:uid="{00000000-0005-0000-0000-0000C5850000}"/>
    <cellStyle name="常规 2 5 14 2 4 4" xfId="34246" xr:uid="{00000000-0005-0000-0000-0000C6850000}"/>
    <cellStyle name="常规 2 5 14 2 5" xfId="34247" xr:uid="{00000000-0005-0000-0000-0000C7850000}"/>
    <cellStyle name="常规 2 5 14 2 6" xfId="34248" xr:uid="{00000000-0005-0000-0000-0000C8850000}"/>
    <cellStyle name="常规 2 5 14 2 7" xfId="34249" xr:uid="{00000000-0005-0000-0000-0000C9850000}"/>
    <cellStyle name="常规 2 5 14 3" xfId="34250" xr:uid="{00000000-0005-0000-0000-0000CA850000}"/>
    <cellStyle name="常规 2 5 14 3 2" xfId="34251" xr:uid="{00000000-0005-0000-0000-0000CB850000}"/>
    <cellStyle name="常规 2 5 14 3 2 2" xfId="34252" xr:uid="{00000000-0005-0000-0000-0000CC850000}"/>
    <cellStyle name="常规 2 5 14 3 2 3" xfId="34253" xr:uid="{00000000-0005-0000-0000-0000CD850000}"/>
    <cellStyle name="常规 2 5 14 3 2 4" xfId="34254" xr:uid="{00000000-0005-0000-0000-0000CE850000}"/>
    <cellStyle name="常规 2 5 14 3 3" xfId="34255" xr:uid="{00000000-0005-0000-0000-0000CF850000}"/>
    <cellStyle name="常规 2 5 14 3 4" xfId="34256" xr:uid="{00000000-0005-0000-0000-0000D0850000}"/>
    <cellStyle name="常规 2 5 14 3 5" xfId="34257" xr:uid="{00000000-0005-0000-0000-0000D1850000}"/>
    <cellStyle name="常规 2 5 14 4" xfId="34258" xr:uid="{00000000-0005-0000-0000-0000D2850000}"/>
    <cellStyle name="常规 2 5 14 4 2" xfId="34259" xr:uid="{00000000-0005-0000-0000-0000D3850000}"/>
    <cellStyle name="常规 2 5 14 4 2 2" xfId="34260" xr:uid="{00000000-0005-0000-0000-0000D4850000}"/>
    <cellStyle name="常规 2 5 14 4 2 3" xfId="34261" xr:uid="{00000000-0005-0000-0000-0000D5850000}"/>
    <cellStyle name="常规 2 5 14 4 2 4" xfId="34262" xr:uid="{00000000-0005-0000-0000-0000D6850000}"/>
    <cellStyle name="常规 2 5 14 4 3" xfId="34263" xr:uid="{00000000-0005-0000-0000-0000D7850000}"/>
    <cellStyle name="常规 2 5 14 4 4" xfId="34264" xr:uid="{00000000-0005-0000-0000-0000D8850000}"/>
    <cellStyle name="常规 2 5 14 4 5" xfId="34265" xr:uid="{00000000-0005-0000-0000-0000D9850000}"/>
    <cellStyle name="常规 2 5 14 5" xfId="34266" xr:uid="{00000000-0005-0000-0000-0000DA850000}"/>
    <cellStyle name="常规 2 5 14 5 2" xfId="34267" xr:uid="{00000000-0005-0000-0000-0000DB850000}"/>
    <cellStyle name="常规 2 5 14 5 3" xfId="34268" xr:uid="{00000000-0005-0000-0000-0000DC850000}"/>
    <cellStyle name="常规 2 5 14 5 4" xfId="34269" xr:uid="{00000000-0005-0000-0000-0000DD850000}"/>
    <cellStyle name="常规 2 5 14 6" xfId="34270" xr:uid="{00000000-0005-0000-0000-0000DE850000}"/>
    <cellStyle name="常规 2 5 14 7" xfId="34271" xr:uid="{00000000-0005-0000-0000-0000DF850000}"/>
    <cellStyle name="常规 2 5 14 8" xfId="34272" xr:uid="{00000000-0005-0000-0000-0000E0850000}"/>
    <cellStyle name="常规 2 5 15" xfId="34273" xr:uid="{00000000-0005-0000-0000-0000E1850000}"/>
    <cellStyle name="常规 2 5 15 2" xfId="34274" xr:uid="{00000000-0005-0000-0000-0000E2850000}"/>
    <cellStyle name="常规 2 5 15 2 2" xfId="34275" xr:uid="{00000000-0005-0000-0000-0000E3850000}"/>
    <cellStyle name="常规 2 5 15 2 3" xfId="34276" xr:uid="{00000000-0005-0000-0000-0000E4850000}"/>
    <cellStyle name="常规 2 5 15 2 4" xfId="34277" xr:uid="{00000000-0005-0000-0000-0000E5850000}"/>
    <cellStyle name="常规 2 5 15 3" xfId="34278" xr:uid="{00000000-0005-0000-0000-0000E6850000}"/>
    <cellStyle name="常规 2 5 15 4" xfId="34279" xr:uid="{00000000-0005-0000-0000-0000E7850000}"/>
    <cellStyle name="常规 2 5 15 5" xfId="34280" xr:uid="{00000000-0005-0000-0000-0000E8850000}"/>
    <cellStyle name="常规 2 5 16" xfId="34281" xr:uid="{00000000-0005-0000-0000-0000E9850000}"/>
    <cellStyle name="常规 2 5 16 2" xfId="34282" xr:uid="{00000000-0005-0000-0000-0000EA850000}"/>
    <cellStyle name="常规 2 5 16 2 2" xfId="34283" xr:uid="{00000000-0005-0000-0000-0000EB850000}"/>
    <cellStyle name="常规 2 5 16 2 3" xfId="34284" xr:uid="{00000000-0005-0000-0000-0000EC850000}"/>
    <cellStyle name="常规 2 5 16 2 4" xfId="34285" xr:uid="{00000000-0005-0000-0000-0000ED850000}"/>
    <cellStyle name="常规 2 5 16 3" xfId="34286" xr:uid="{00000000-0005-0000-0000-0000EE850000}"/>
    <cellStyle name="常规 2 5 16 4" xfId="34287" xr:uid="{00000000-0005-0000-0000-0000EF850000}"/>
    <cellStyle name="常规 2 5 16 5" xfId="34288" xr:uid="{00000000-0005-0000-0000-0000F0850000}"/>
    <cellStyle name="常规 2 5 17" xfId="34289" xr:uid="{00000000-0005-0000-0000-0000F1850000}"/>
    <cellStyle name="常规 2 5 17 2" xfId="34290" xr:uid="{00000000-0005-0000-0000-0000F2850000}"/>
    <cellStyle name="常规 2 5 17 3" xfId="34291" xr:uid="{00000000-0005-0000-0000-0000F3850000}"/>
    <cellStyle name="常规 2 5 17 4" xfId="34292" xr:uid="{00000000-0005-0000-0000-0000F4850000}"/>
    <cellStyle name="常规 2 5 18" xfId="34293" xr:uid="{00000000-0005-0000-0000-0000F5850000}"/>
    <cellStyle name="常规 2 5 19" xfId="34294" xr:uid="{00000000-0005-0000-0000-0000F6850000}"/>
    <cellStyle name="常规 2 5 2" xfId="34295" xr:uid="{00000000-0005-0000-0000-0000F7850000}"/>
    <cellStyle name="常规 2 5 2 10" xfId="34296" xr:uid="{00000000-0005-0000-0000-0000F8850000}"/>
    <cellStyle name="常规 2 5 2 10 2" xfId="34297" xr:uid="{00000000-0005-0000-0000-0000F9850000}"/>
    <cellStyle name="常规 2 5 2 11" xfId="34298" xr:uid="{00000000-0005-0000-0000-0000FA850000}"/>
    <cellStyle name="常规 2 5 2 12" xfId="34299" xr:uid="{00000000-0005-0000-0000-0000FB850000}"/>
    <cellStyle name="常规 2 5 2 12 2" xfId="34300" xr:uid="{00000000-0005-0000-0000-0000FC850000}"/>
    <cellStyle name="常规 2 5 2 2" xfId="34301" xr:uid="{00000000-0005-0000-0000-0000FD850000}"/>
    <cellStyle name="常规 2 5 2 2 10" xfId="34302" xr:uid="{00000000-0005-0000-0000-0000FE850000}"/>
    <cellStyle name="常规 2 5 2 2 11" xfId="34303" xr:uid="{00000000-0005-0000-0000-0000FF850000}"/>
    <cellStyle name="常规 2 5 2 2 11 2" xfId="34304" xr:uid="{00000000-0005-0000-0000-000000860000}"/>
    <cellStyle name="常规 2 5 2 2 2" xfId="34305" xr:uid="{00000000-0005-0000-0000-000001860000}"/>
    <cellStyle name="常规 2 5 2 2 2 10" xfId="34306" xr:uid="{00000000-0005-0000-0000-000002860000}"/>
    <cellStyle name="常规 2 5 2 2 2 10 2" xfId="34307" xr:uid="{00000000-0005-0000-0000-000003860000}"/>
    <cellStyle name="常规 2 5 2 2 2 10 3" xfId="34308" xr:uid="{00000000-0005-0000-0000-000004860000}"/>
    <cellStyle name="常规 2 5 2 2 2 2" xfId="34309" xr:uid="{00000000-0005-0000-0000-000005860000}"/>
    <cellStyle name="常规 2 5 2 2 2 2 2" xfId="34310" xr:uid="{00000000-0005-0000-0000-000006860000}"/>
    <cellStyle name="常规 2 5 2 2 2 2 2 2" xfId="34311" xr:uid="{00000000-0005-0000-0000-000007860000}"/>
    <cellStyle name="常规 2 5 2 2 2 2 2 3" xfId="34312" xr:uid="{00000000-0005-0000-0000-000008860000}"/>
    <cellStyle name="常规 2 5 2 2 2 2 2 4" xfId="34313" xr:uid="{00000000-0005-0000-0000-000009860000}"/>
    <cellStyle name="常规 2 5 2 2 2 2 2 5" xfId="34314" xr:uid="{00000000-0005-0000-0000-00000A860000}"/>
    <cellStyle name="常规 2 5 2 2 2 2 2 5 2" xfId="34315" xr:uid="{00000000-0005-0000-0000-00000B860000}"/>
    <cellStyle name="常规 2 5 2 2 2 2 3" xfId="34316" xr:uid="{00000000-0005-0000-0000-00000C860000}"/>
    <cellStyle name="常规 2 5 2 2 2 2 3 2" xfId="34317" xr:uid="{00000000-0005-0000-0000-00000D860000}"/>
    <cellStyle name="常规 2 5 2 2 2 2 3 2 2" xfId="34318" xr:uid="{00000000-0005-0000-0000-00000E860000}"/>
    <cellStyle name="常规 2 5 2 2 2 2 4" xfId="34319" xr:uid="{00000000-0005-0000-0000-00000F860000}"/>
    <cellStyle name="常规 2 5 2 2 2 2 4 2" xfId="34320" xr:uid="{00000000-0005-0000-0000-000010860000}"/>
    <cellStyle name="常规 2 5 2 2 2 2 4 2 2" xfId="34321" xr:uid="{00000000-0005-0000-0000-000011860000}"/>
    <cellStyle name="常规 2 5 2 2 2 2 4 3" xfId="34322" xr:uid="{00000000-0005-0000-0000-000012860000}"/>
    <cellStyle name="常规 2 5 2 2 2 2 5" xfId="34323" xr:uid="{00000000-0005-0000-0000-000013860000}"/>
    <cellStyle name="常规 2 5 2 2 2 2 5 2" xfId="34324" xr:uid="{00000000-0005-0000-0000-000014860000}"/>
    <cellStyle name="常规 2 5 2 2 2 2 5 3" xfId="34325" xr:uid="{00000000-0005-0000-0000-000015860000}"/>
    <cellStyle name="常规 2 5 2 2 2 2 6" xfId="34326" xr:uid="{00000000-0005-0000-0000-000016860000}"/>
    <cellStyle name="常规 2 5 2 2 2 2 6 2" xfId="34327" xr:uid="{00000000-0005-0000-0000-000017860000}"/>
    <cellStyle name="常规 2 5 2 2 2 2 7" xfId="34328" xr:uid="{00000000-0005-0000-0000-000018860000}"/>
    <cellStyle name="常规 2 5 2 2 2 3" xfId="34329" xr:uid="{00000000-0005-0000-0000-000019860000}"/>
    <cellStyle name="常规 2 5 2 2 2 3 2" xfId="34330" xr:uid="{00000000-0005-0000-0000-00001A860000}"/>
    <cellStyle name="常规 2 5 2 2 2 3 2 2" xfId="34331" xr:uid="{00000000-0005-0000-0000-00001B860000}"/>
    <cellStyle name="常规 2 5 2 2 2 3 2 2 2" xfId="34332" xr:uid="{00000000-0005-0000-0000-00001C860000}"/>
    <cellStyle name="常规 2 5 2 2 2 3 2 3" xfId="34333" xr:uid="{00000000-0005-0000-0000-00001D860000}"/>
    <cellStyle name="常规 2 5 2 2 2 3 2 4" xfId="34334" xr:uid="{00000000-0005-0000-0000-00001E860000}"/>
    <cellStyle name="常规 2 5 2 2 2 3 2 5" xfId="34335" xr:uid="{00000000-0005-0000-0000-00001F860000}"/>
    <cellStyle name="常规 2 5 2 2 2 3 2 5 2" xfId="34336" xr:uid="{00000000-0005-0000-0000-000020860000}"/>
    <cellStyle name="常规 2 5 2 2 2 3 2 6" xfId="34337" xr:uid="{00000000-0005-0000-0000-000021860000}"/>
    <cellStyle name="常规 2 5 2 2 2 3 3" xfId="34338" xr:uid="{00000000-0005-0000-0000-000022860000}"/>
    <cellStyle name="常规 2 5 2 2 2 3 3 2" xfId="34339" xr:uid="{00000000-0005-0000-0000-000023860000}"/>
    <cellStyle name="常规 2 5 2 2 2 3 3 2 2" xfId="34340" xr:uid="{00000000-0005-0000-0000-000024860000}"/>
    <cellStyle name="常规 2 5 2 2 2 3 4" xfId="34341" xr:uid="{00000000-0005-0000-0000-000025860000}"/>
    <cellStyle name="常规 2 5 2 2 2 3 4 2" xfId="34342" xr:uid="{00000000-0005-0000-0000-000026860000}"/>
    <cellStyle name="常规 2 5 2 2 2 3 4 3" xfId="34343" xr:uid="{00000000-0005-0000-0000-000027860000}"/>
    <cellStyle name="常规 2 5 2 2 2 3 5" xfId="34344" xr:uid="{00000000-0005-0000-0000-000028860000}"/>
    <cellStyle name="常规 2 5 2 2 2 3 5 2" xfId="34345" xr:uid="{00000000-0005-0000-0000-000029860000}"/>
    <cellStyle name="常规 2 5 2 2 2 3 6" xfId="34346" xr:uid="{00000000-0005-0000-0000-00002A860000}"/>
    <cellStyle name="常规 2 5 2 2 2 3 6 2" xfId="34347" xr:uid="{00000000-0005-0000-0000-00002B860000}"/>
    <cellStyle name="常规 2 5 2 2 2 3 7" xfId="34348" xr:uid="{00000000-0005-0000-0000-00002C860000}"/>
    <cellStyle name="常规 2 5 2 2 2 4" xfId="34349" xr:uid="{00000000-0005-0000-0000-00002D860000}"/>
    <cellStyle name="常规 2 5 2 2 2 4 2" xfId="34350" xr:uid="{00000000-0005-0000-0000-00002E860000}"/>
    <cellStyle name="常规 2 5 2 2 2 4 2 2" xfId="34351" xr:uid="{00000000-0005-0000-0000-00002F860000}"/>
    <cellStyle name="常规 2 5 2 2 2 4 2 2 2" xfId="34352" xr:uid="{00000000-0005-0000-0000-000030860000}"/>
    <cellStyle name="常规 2 5 2 2 2 4 2 3" xfId="34353" xr:uid="{00000000-0005-0000-0000-000031860000}"/>
    <cellStyle name="常规 2 5 2 2 2 4 3" xfId="34354" xr:uid="{00000000-0005-0000-0000-000032860000}"/>
    <cellStyle name="常规 2 5 2 2 2 4 3 2" xfId="34355" xr:uid="{00000000-0005-0000-0000-000033860000}"/>
    <cellStyle name="常规 2 5 2 2 2 4 3 2 2" xfId="34356" xr:uid="{00000000-0005-0000-0000-000034860000}"/>
    <cellStyle name="常规 2 5 2 2 2 4 4" xfId="34357" xr:uid="{00000000-0005-0000-0000-000035860000}"/>
    <cellStyle name="常规 2 5 2 2 2 4 4 2" xfId="34358" xr:uid="{00000000-0005-0000-0000-000036860000}"/>
    <cellStyle name="常规 2 5 2 2 2 4 4 3" xfId="34359" xr:uid="{00000000-0005-0000-0000-000037860000}"/>
    <cellStyle name="常规 2 5 2 2 2 4 5" xfId="34360" xr:uid="{00000000-0005-0000-0000-000038860000}"/>
    <cellStyle name="常规 2 5 2 2 2 4 5 2" xfId="34361" xr:uid="{00000000-0005-0000-0000-000039860000}"/>
    <cellStyle name="常规 2 5 2 2 2 4 6" xfId="34362" xr:uid="{00000000-0005-0000-0000-00003A860000}"/>
    <cellStyle name="常规 2 5 2 2 2 5" xfId="34363" xr:uid="{00000000-0005-0000-0000-00003B860000}"/>
    <cellStyle name="常规 2 5 2 2 2 5 2" xfId="34364" xr:uid="{00000000-0005-0000-0000-00003C860000}"/>
    <cellStyle name="常规 2 5 2 2 2 5 2 2" xfId="34365" xr:uid="{00000000-0005-0000-0000-00003D860000}"/>
    <cellStyle name="常规 2 5 2 2 2 6" xfId="34366" xr:uid="{00000000-0005-0000-0000-00003E860000}"/>
    <cellStyle name="常规 2 5 2 2 2 6 2" xfId="34367" xr:uid="{00000000-0005-0000-0000-00003F860000}"/>
    <cellStyle name="常规 2 5 2 2 2 6 2 2" xfId="34368" xr:uid="{00000000-0005-0000-0000-000040860000}"/>
    <cellStyle name="常规 2 5 2 2 2 7" xfId="34369" xr:uid="{00000000-0005-0000-0000-000041860000}"/>
    <cellStyle name="常规 2 5 2 2 2 7 2" xfId="34370" xr:uid="{00000000-0005-0000-0000-000042860000}"/>
    <cellStyle name="常规 2 5 2 2 2 7 2 2" xfId="34371" xr:uid="{00000000-0005-0000-0000-000043860000}"/>
    <cellStyle name="常规 2 5 2 2 2 8" xfId="34372" xr:uid="{00000000-0005-0000-0000-000044860000}"/>
    <cellStyle name="常规 2 5 2 2 2 8 2" xfId="34373" xr:uid="{00000000-0005-0000-0000-000045860000}"/>
    <cellStyle name="常规 2 5 2 2 2 8 2 2" xfId="34374" xr:uid="{00000000-0005-0000-0000-000046860000}"/>
    <cellStyle name="常规 2 5 2 2 2 9" xfId="34375" xr:uid="{00000000-0005-0000-0000-000047860000}"/>
    <cellStyle name="常规 2 5 2 2 2 9 2" xfId="34376" xr:uid="{00000000-0005-0000-0000-000048860000}"/>
    <cellStyle name="常规 2 5 2 2 2 9 3" xfId="34377" xr:uid="{00000000-0005-0000-0000-000049860000}"/>
    <cellStyle name="常规 2 5 2 2 3" xfId="34378" xr:uid="{00000000-0005-0000-0000-00004A860000}"/>
    <cellStyle name="常规 2 5 2 2 3 2" xfId="34379" xr:uid="{00000000-0005-0000-0000-00004B860000}"/>
    <cellStyle name="常规 2 5 2 2 3 2 2" xfId="34380" xr:uid="{00000000-0005-0000-0000-00004C860000}"/>
    <cellStyle name="常规 2 5 2 2 3 2 3" xfId="34381" xr:uid="{00000000-0005-0000-0000-00004D860000}"/>
    <cellStyle name="常规 2 5 2 2 3 2 4" xfId="34382" xr:uid="{00000000-0005-0000-0000-00004E860000}"/>
    <cellStyle name="常规 2 5 2 2 3 2 5" xfId="34383" xr:uid="{00000000-0005-0000-0000-00004F860000}"/>
    <cellStyle name="常规 2 5 2 2 3 2 5 2" xfId="34384" xr:uid="{00000000-0005-0000-0000-000050860000}"/>
    <cellStyle name="常规 2 5 2 2 3 3" xfId="34385" xr:uid="{00000000-0005-0000-0000-000051860000}"/>
    <cellStyle name="常规 2 5 2 2 3 3 2" xfId="34386" xr:uid="{00000000-0005-0000-0000-000052860000}"/>
    <cellStyle name="常规 2 5 2 2 3 3 2 2" xfId="34387" xr:uid="{00000000-0005-0000-0000-000053860000}"/>
    <cellStyle name="常规 2 5 2 2 3 4" xfId="34388" xr:uid="{00000000-0005-0000-0000-000054860000}"/>
    <cellStyle name="常规 2 5 2 2 3 4 2" xfId="34389" xr:uid="{00000000-0005-0000-0000-000055860000}"/>
    <cellStyle name="常规 2 5 2 2 3 4 2 2" xfId="34390" xr:uid="{00000000-0005-0000-0000-000056860000}"/>
    <cellStyle name="常规 2 5 2 2 3 4 3" xfId="34391" xr:uid="{00000000-0005-0000-0000-000057860000}"/>
    <cellStyle name="常规 2 5 2 2 3 4 3 2" xfId="34392" xr:uid="{00000000-0005-0000-0000-000058860000}"/>
    <cellStyle name="常规 2 5 2 2 3 5" xfId="34393" xr:uid="{00000000-0005-0000-0000-000059860000}"/>
    <cellStyle name="常规 2 5 2 2 3 5 2" xfId="34394" xr:uid="{00000000-0005-0000-0000-00005A860000}"/>
    <cellStyle name="常规 2 5 2 2 3 5 3" xfId="34395" xr:uid="{00000000-0005-0000-0000-00005B860000}"/>
    <cellStyle name="常规 2 5 2 2 3 6" xfId="34396" xr:uid="{00000000-0005-0000-0000-00005C860000}"/>
    <cellStyle name="常规 2 5 2 2 3 6 2" xfId="34397" xr:uid="{00000000-0005-0000-0000-00005D860000}"/>
    <cellStyle name="常规 2 5 2 2 3 7" xfId="34398" xr:uid="{00000000-0005-0000-0000-00005E860000}"/>
    <cellStyle name="常规 2 5 2 2 4" xfId="34399" xr:uid="{00000000-0005-0000-0000-00005F860000}"/>
    <cellStyle name="常规 2 5 2 2 4 2" xfId="34400" xr:uid="{00000000-0005-0000-0000-000060860000}"/>
    <cellStyle name="常规 2 5 2 2 4 2 2" xfId="34401" xr:uid="{00000000-0005-0000-0000-000061860000}"/>
    <cellStyle name="常规 2 5 2 2 4 2 2 2" xfId="34402" xr:uid="{00000000-0005-0000-0000-000062860000}"/>
    <cellStyle name="常规 2 5 2 2 4 2 3" xfId="34403" xr:uid="{00000000-0005-0000-0000-000063860000}"/>
    <cellStyle name="常规 2 5 2 2 4 2 4" xfId="34404" xr:uid="{00000000-0005-0000-0000-000064860000}"/>
    <cellStyle name="常规 2 5 2 2 4 2 5" xfId="34405" xr:uid="{00000000-0005-0000-0000-000065860000}"/>
    <cellStyle name="常规 2 5 2 2 4 2 5 2" xfId="34406" xr:uid="{00000000-0005-0000-0000-000066860000}"/>
    <cellStyle name="常规 2 5 2 2 4 2 6" xfId="34407" xr:uid="{00000000-0005-0000-0000-000067860000}"/>
    <cellStyle name="常规 2 5 2 2 4 3" xfId="34408" xr:uid="{00000000-0005-0000-0000-000068860000}"/>
    <cellStyle name="常规 2 5 2 2 4 3 2" xfId="34409" xr:uid="{00000000-0005-0000-0000-000069860000}"/>
    <cellStyle name="常规 2 5 2 2 4 3 2 2" xfId="34410" xr:uid="{00000000-0005-0000-0000-00006A860000}"/>
    <cellStyle name="常规 2 5 2 2 4 3 3" xfId="34411" xr:uid="{00000000-0005-0000-0000-00006B860000}"/>
    <cellStyle name="常规 2 5 2 2 4 4" xfId="34412" xr:uid="{00000000-0005-0000-0000-00006C860000}"/>
    <cellStyle name="常规 2 5 2 2 4 4 2" xfId="34413" xr:uid="{00000000-0005-0000-0000-00006D860000}"/>
    <cellStyle name="常规 2 5 2 2 4 4 3" xfId="34414" xr:uid="{00000000-0005-0000-0000-00006E860000}"/>
    <cellStyle name="常规 2 5 2 2 4 5" xfId="34415" xr:uid="{00000000-0005-0000-0000-00006F860000}"/>
    <cellStyle name="常规 2 5 2 2 4 5 2" xfId="34416" xr:uid="{00000000-0005-0000-0000-000070860000}"/>
    <cellStyle name="常规 2 5 2 2 4 6" xfId="34417" xr:uid="{00000000-0005-0000-0000-000071860000}"/>
    <cellStyle name="常规 2 5 2 2 4 6 2" xfId="34418" xr:uid="{00000000-0005-0000-0000-000072860000}"/>
    <cellStyle name="常规 2 5 2 2 4 7" xfId="34419" xr:uid="{00000000-0005-0000-0000-000073860000}"/>
    <cellStyle name="常规 2 5 2 2 5" xfId="34420" xr:uid="{00000000-0005-0000-0000-000074860000}"/>
    <cellStyle name="常规 2 5 2 2 5 2" xfId="34421" xr:uid="{00000000-0005-0000-0000-000075860000}"/>
    <cellStyle name="常规 2 5 2 2 5 2 2" xfId="34422" xr:uid="{00000000-0005-0000-0000-000076860000}"/>
    <cellStyle name="常规 2 5 2 2 5 2 2 2" xfId="34423" xr:uid="{00000000-0005-0000-0000-000077860000}"/>
    <cellStyle name="常规 2 5 2 2 5 2 2 3" xfId="34424" xr:uid="{00000000-0005-0000-0000-000078860000}"/>
    <cellStyle name="常规 2 5 2 2 5 2 3" xfId="34425" xr:uid="{00000000-0005-0000-0000-000079860000}"/>
    <cellStyle name="常规 2 5 2 2 5 2 3 2" xfId="34426" xr:uid="{00000000-0005-0000-0000-00007A860000}"/>
    <cellStyle name="常规 2 5 2 2 5 3" xfId="34427" xr:uid="{00000000-0005-0000-0000-00007B860000}"/>
    <cellStyle name="常规 2 5 2 2 5 3 2" xfId="34428" xr:uid="{00000000-0005-0000-0000-00007C860000}"/>
    <cellStyle name="常规 2 5 2 2 5 3 2 2" xfId="34429" xr:uid="{00000000-0005-0000-0000-00007D860000}"/>
    <cellStyle name="常规 2 5 2 2 5 4" xfId="34430" xr:uid="{00000000-0005-0000-0000-00007E860000}"/>
    <cellStyle name="常规 2 5 2 2 5 4 2" xfId="34431" xr:uid="{00000000-0005-0000-0000-00007F860000}"/>
    <cellStyle name="常规 2 5 2 2 5 4 3" xfId="34432" xr:uid="{00000000-0005-0000-0000-000080860000}"/>
    <cellStyle name="常规 2 5 2 2 5 5" xfId="34433" xr:uid="{00000000-0005-0000-0000-000081860000}"/>
    <cellStyle name="常规 2 5 2 2 5 5 2" xfId="34434" xr:uid="{00000000-0005-0000-0000-000082860000}"/>
    <cellStyle name="常规 2 5 2 2 5 5 3" xfId="34435" xr:uid="{00000000-0005-0000-0000-000083860000}"/>
    <cellStyle name="常规 2 5 2 2 5 6" xfId="34436" xr:uid="{00000000-0005-0000-0000-000084860000}"/>
    <cellStyle name="常规 2 5 2 2 5 7" xfId="34437" xr:uid="{00000000-0005-0000-0000-000085860000}"/>
    <cellStyle name="常规 2 5 2 2 6" xfId="34438" xr:uid="{00000000-0005-0000-0000-000086860000}"/>
    <cellStyle name="常规 2 5 2 2 6 2" xfId="34439" xr:uid="{00000000-0005-0000-0000-000087860000}"/>
    <cellStyle name="常规 2 5 2 2 6 2 2" xfId="34440" xr:uid="{00000000-0005-0000-0000-000088860000}"/>
    <cellStyle name="常规 2 5 2 2 7" xfId="34441" xr:uid="{00000000-0005-0000-0000-000089860000}"/>
    <cellStyle name="常规 2 5 2 2 7 2" xfId="34442" xr:uid="{00000000-0005-0000-0000-00008A860000}"/>
    <cellStyle name="常规 2 5 2 2 7 2 2" xfId="34443" xr:uid="{00000000-0005-0000-0000-00008B860000}"/>
    <cellStyle name="常规 2 5 2 2 8" xfId="34444" xr:uid="{00000000-0005-0000-0000-00008C860000}"/>
    <cellStyle name="常规 2 5 2 2 8 2" xfId="34445" xr:uid="{00000000-0005-0000-0000-00008D860000}"/>
    <cellStyle name="常规 2 5 2 2 8 2 2" xfId="34446" xr:uid="{00000000-0005-0000-0000-00008E860000}"/>
    <cellStyle name="常规 2 5 2 2 9" xfId="34447" xr:uid="{00000000-0005-0000-0000-00008F860000}"/>
    <cellStyle name="常规 2 5 2 2 9 2" xfId="34448" xr:uid="{00000000-0005-0000-0000-000090860000}"/>
    <cellStyle name="常规 2 5 2 2 9 2 2" xfId="34449" xr:uid="{00000000-0005-0000-0000-000091860000}"/>
    <cellStyle name="常规 2 5 2 3" xfId="34450" xr:uid="{00000000-0005-0000-0000-000092860000}"/>
    <cellStyle name="常规 2 5 2 3 10" xfId="34451" xr:uid="{00000000-0005-0000-0000-000093860000}"/>
    <cellStyle name="常规 2 5 2 3 10 2" xfId="34452" xr:uid="{00000000-0005-0000-0000-000094860000}"/>
    <cellStyle name="常规 2 5 2 3 11" xfId="34453" xr:uid="{00000000-0005-0000-0000-000095860000}"/>
    <cellStyle name="常规 2 5 2 3 12" xfId="34454" xr:uid="{00000000-0005-0000-0000-000096860000}"/>
    <cellStyle name="常规 2 5 2 3 2" xfId="34455" xr:uid="{00000000-0005-0000-0000-000097860000}"/>
    <cellStyle name="常规 2 5 2 3 2 2" xfId="34456" xr:uid="{00000000-0005-0000-0000-000098860000}"/>
    <cellStyle name="常规 2 5 2 3 2 2 2" xfId="34457" xr:uid="{00000000-0005-0000-0000-000099860000}"/>
    <cellStyle name="常规 2 5 2 3 2 2 2 2" xfId="34458" xr:uid="{00000000-0005-0000-0000-00009A860000}"/>
    <cellStyle name="常规 2 5 2 3 2 2 2 3" xfId="34459" xr:uid="{00000000-0005-0000-0000-00009B860000}"/>
    <cellStyle name="常规 2 5 2 3 2 2 2 4" xfId="34460" xr:uid="{00000000-0005-0000-0000-00009C860000}"/>
    <cellStyle name="常规 2 5 2 3 2 2 3" xfId="34461" xr:uid="{00000000-0005-0000-0000-00009D860000}"/>
    <cellStyle name="常规 2 5 2 3 2 2 4" xfId="34462" xr:uid="{00000000-0005-0000-0000-00009E860000}"/>
    <cellStyle name="常规 2 5 2 3 2 2 5" xfId="34463" xr:uid="{00000000-0005-0000-0000-00009F860000}"/>
    <cellStyle name="常规 2 5 2 3 2 2 6" xfId="34464" xr:uid="{00000000-0005-0000-0000-0000A0860000}"/>
    <cellStyle name="常规 2 5 2 3 2 2 6 2" xfId="34465" xr:uid="{00000000-0005-0000-0000-0000A1860000}"/>
    <cellStyle name="常规 2 5 2 3 2 3" xfId="34466" xr:uid="{00000000-0005-0000-0000-0000A2860000}"/>
    <cellStyle name="常规 2 5 2 3 2 3 2" xfId="34467" xr:uid="{00000000-0005-0000-0000-0000A3860000}"/>
    <cellStyle name="常规 2 5 2 3 2 3 2 2" xfId="34468" xr:uid="{00000000-0005-0000-0000-0000A4860000}"/>
    <cellStyle name="常规 2 5 2 3 2 3 2 3" xfId="34469" xr:uid="{00000000-0005-0000-0000-0000A5860000}"/>
    <cellStyle name="常规 2 5 2 3 2 3 2 4" xfId="34470" xr:uid="{00000000-0005-0000-0000-0000A6860000}"/>
    <cellStyle name="常规 2 5 2 3 2 3 3" xfId="34471" xr:uid="{00000000-0005-0000-0000-0000A7860000}"/>
    <cellStyle name="常规 2 5 2 3 2 3 4" xfId="34472" xr:uid="{00000000-0005-0000-0000-0000A8860000}"/>
    <cellStyle name="常规 2 5 2 3 2 3 5" xfId="34473" xr:uid="{00000000-0005-0000-0000-0000A9860000}"/>
    <cellStyle name="常规 2 5 2 3 2 3 6" xfId="34474" xr:uid="{00000000-0005-0000-0000-0000AA860000}"/>
    <cellStyle name="常规 2 5 2 3 2 3 6 2" xfId="34475" xr:uid="{00000000-0005-0000-0000-0000AB860000}"/>
    <cellStyle name="常规 2 5 2 3 2 4" xfId="34476" xr:uid="{00000000-0005-0000-0000-0000AC860000}"/>
    <cellStyle name="常规 2 5 2 3 2 4 2" xfId="34477" xr:uid="{00000000-0005-0000-0000-0000AD860000}"/>
    <cellStyle name="常规 2 5 2 3 2 4 2 2" xfId="34478" xr:uid="{00000000-0005-0000-0000-0000AE860000}"/>
    <cellStyle name="常规 2 5 2 3 2 4 3" xfId="34479" xr:uid="{00000000-0005-0000-0000-0000AF860000}"/>
    <cellStyle name="常规 2 5 2 3 2 4 3 2" xfId="34480" xr:uid="{00000000-0005-0000-0000-0000B0860000}"/>
    <cellStyle name="常规 2 5 2 3 2 4 4" xfId="34481" xr:uid="{00000000-0005-0000-0000-0000B1860000}"/>
    <cellStyle name="常规 2 5 2 3 2 4 5" xfId="34482" xr:uid="{00000000-0005-0000-0000-0000B2860000}"/>
    <cellStyle name="常规 2 5 2 3 2 4 6" xfId="34483" xr:uid="{00000000-0005-0000-0000-0000B3860000}"/>
    <cellStyle name="常规 2 5 2 3 2 5" xfId="34484" xr:uid="{00000000-0005-0000-0000-0000B4860000}"/>
    <cellStyle name="常规 2 5 2 3 2 5 2" xfId="34485" xr:uid="{00000000-0005-0000-0000-0000B5860000}"/>
    <cellStyle name="常规 2 5 2 3 2 5 3" xfId="34486" xr:uid="{00000000-0005-0000-0000-0000B6860000}"/>
    <cellStyle name="常规 2 5 2 3 2 6" xfId="34487" xr:uid="{00000000-0005-0000-0000-0000B7860000}"/>
    <cellStyle name="常规 2 5 2 3 2 7" xfId="34488" xr:uid="{00000000-0005-0000-0000-0000B8860000}"/>
    <cellStyle name="常规 2 5 2 3 2 8" xfId="34489" xr:uid="{00000000-0005-0000-0000-0000B9860000}"/>
    <cellStyle name="常规 2 5 2 3 2 8 2" xfId="34490" xr:uid="{00000000-0005-0000-0000-0000BA860000}"/>
    <cellStyle name="常规 2 5 2 3 2 9" xfId="34491" xr:uid="{00000000-0005-0000-0000-0000BB860000}"/>
    <cellStyle name="常规 2 5 2 3 3" xfId="34492" xr:uid="{00000000-0005-0000-0000-0000BC860000}"/>
    <cellStyle name="常规 2 5 2 3 3 2" xfId="34493" xr:uid="{00000000-0005-0000-0000-0000BD860000}"/>
    <cellStyle name="常规 2 5 2 3 3 2 2" xfId="34494" xr:uid="{00000000-0005-0000-0000-0000BE860000}"/>
    <cellStyle name="常规 2 5 2 3 3 2 2 2" xfId="34495" xr:uid="{00000000-0005-0000-0000-0000BF860000}"/>
    <cellStyle name="常规 2 5 2 3 3 2 3" xfId="34496" xr:uid="{00000000-0005-0000-0000-0000C0860000}"/>
    <cellStyle name="常规 2 5 2 3 3 2 4" xfId="34497" xr:uid="{00000000-0005-0000-0000-0000C1860000}"/>
    <cellStyle name="常规 2 5 2 3 3 2 5" xfId="34498" xr:uid="{00000000-0005-0000-0000-0000C2860000}"/>
    <cellStyle name="常规 2 5 2 3 3 2 5 2" xfId="34499" xr:uid="{00000000-0005-0000-0000-0000C3860000}"/>
    <cellStyle name="常规 2 5 2 3 3 2 6" xfId="34500" xr:uid="{00000000-0005-0000-0000-0000C4860000}"/>
    <cellStyle name="常规 2 5 2 3 3 3" xfId="34501" xr:uid="{00000000-0005-0000-0000-0000C5860000}"/>
    <cellStyle name="常规 2 5 2 3 3 3 2" xfId="34502" xr:uid="{00000000-0005-0000-0000-0000C6860000}"/>
    <cellStyle name="常规 2 5 2 3 3 3 2 2" xfId="34503" xr:uid="{00000000-0005-0000-0000-0000C7860000}"/>
    <cellStyle name="常规 2 5 2 3 3 3 3" xfId="34504" xr:uid="{00000000-0005-0000-0000-0000C8860000}"/>
    <cellStyle name="常规 2 5 2 3 3 4" xfId="34505" xr:uid="{00000000-0005-0000-0000-0000C9860000}"/>
    <cellStyle name="常规 2 5 2 3 3 4 2" xfId="34506" xr:uid="{00000000-0005-0000-0000-0000CA860000}"/>
    <cellStyle name="常规 2 5 2 3 3 4 3" xfId="34507" xr:uid="{00000000-0005-0000-0000-0000CB860000}"/>
    <cellStyle name="常规 2 5 2 3 3 5" xfId="34508" xr:uid="{00000000-0005-0000-0000-0000CC860000}"/>
    <cellStyle name="常规 2 5 2 3 3 5 2" xfId="34509" xr:uid="{00000000-0005-0000-0000-0000CD860000}"/>
    <cellStyle name="常规 2 5 2 3 3 6" xfId="34510" xr:uid="{00000000-0005-0000-0000-0000CE860000}"/>
    <cellStyle name="常规 2 5 2 3 3 6 2" xfId="34511" xr:uid="{00000000-0005-0000-0000-0000CF860000}"/>
    <cellStyle name="常规 2 5 2 3 3 7" xfId="34512" xr:uid="{00000000-0005-0000-0000-0000D0860000}"/>
    <cellStyle name="常规 2 5 2 3 4" xfId="34513" xr:uid="{00000000-0005-0000-0000-0000D1860000}"/>
    <cellStyle name="常规 2 5 2 3 4 2" xfId="34514" xr:uid="{00000000-0005-0000-0000-0000D2860000}"/>
    <cellStyle name="常规 2 5 2 3 4 2 2" xfId="34515" xr:uid="{00000000-0005-0000-0000-0000D3860000}"/>
    <cellStyle name="常规 2 5 2 3 4 2 2 2" xfId="34516" xr:uid="{00000000-0005-0000-0000-0000D4860000}"/>
    <cellStyle name="常规 2 5 2 3 4 2 3" xfId="34517" xr:uid="{00000000-0005-0000-0000-0000D5860000}"/>
    <cellStyle name="常规 2 5 2 3 4 2 4" xfId="34518" xr:uid="{00000000-0005-0000-0000-0000D6860000}"/>
    <cellStyle name="常规 2 5 2 3 4 2 5" xfId="34519" xr:uid="{00000000-0005-0000-0000-0000D7860000}"/>
    <cellStyle name="常规 2 5 2 3 4 2 5 2" xfId="34520" xr:uid="{00000000-0005-0000-0000-0000D8860000}"/>
    <cellStyle name="常规 2 5 2 3 4 2 6" xfId="34521" xr:uid="{00000000-0005-0000-0000-0000D9860000}"/>
    <cellStyle name="常规 2 5 2 3 4 3" xfId="34522" xr:uid="{00000000-0005-0000-0000-0000DA860000}"/>
    <cellStyle name="常规 2 5 2 3 4 3 2" xfId="34523" xr:uid="{00000000-0005-0000-0000-0000DB860000}"/>
    <cellStyle name="常规 2 5 2 3 4 3 2 2" xfId="34524" xr:uid="{00000000-0005-0000-0000-0000DC860000}"/>
    <cellStyle name="常规 2 5 2 3 4 4" xfId="34525" xr:uid="{00000000-0005-0000-0000-0000DD860000}"/>
    <cellStyle name="常规 2 5 2 3 4 4 2" xfId="34526" xr:uid="{00000000-0005-0000-0000-0000DE860000}"/>
    <cellStyle name="常规 2 5 2 3 4 4 3" xfId="34527" xr:uid="{00000000-0005-0000-0000-0000DF860000}"/>
    <cellStyle name="常规 2 5 2 3 4 5" xfId="34528" xr:uid="{00000000-0005-0000-0000-0000E0860000}"/>
    <cellStyle name="常规 2 5 2 3 4 5 2" xfId="34529" xr:uid="{00000000-0005-0000-0000-0000E1860000}"/>
    <cellStyle name="常规 2 5 2 3 4 6" xfId="34530" xr:uid="{00000000-0005-0000-0000-0000E2860000}"/>
    <cellStyle name="常规 2 5 2 3 4 6 2" xfId="34531" xr:uid="{00000000-0005-0000-0000-0000E3860000}"/>
    <cellStyle name="常规 2 5 2 3 4 7" xfId="34532" xr:uid="{00000000-0005-0000-0000-0000E4860000}"/>
    <cellStyle name="常规 2 5 2 3 5" xfId="34533" xr:uid="{00000000-0005-0000-0000-0000E5860000}"/>
    <cellStyle name="常规 2 5 2 3 5 2" xfId="34534" xr:uid="{00000000-0005-0000-0000-0000E6860000}"/>
    <cellStyle name="常规 2 5 2 3 5 3" xfId="34535" xr:uid="{00000000-0005-0000-0000-0000E7860000}"/>
    <cellStyle name="常规 2 5 2 3 5 4" xfId="34536" xr:uid="{00000000-0005-0000-0000-0000E8860000}"/>
    <cellStyle name="常规 2 5 2 3 5 5" xfId="34537" xr:uid="{00000000-0005-0000-0000-0000E9860000}"/>
    <cellStyle name="常规 2 5 2 3 5 5 2" xfId="34538" xr:uid="{00000000-0005-0000-0000-0000EA860000}"/>
    <cellStyle name="常规 2 5 2 3 6" xfId="34539" xr:uid="{00000000-0005-0000-0000-0000EB860000}"/>
    <cellStyle name="常规 2 5 2 3 6 2" xfId="34540" xr:uid="{00000000-0005-0000-0000-0000EC860000}"/>
    <cellStyle name="常规 2 5 2 3 6 2 2" xfId="34541" xr:uid="{00000000-0005-0000-0000-0000ED860000}"/>
    <cellStyle name="常规 2 5 2 3 7" xfId="34542" xr:uid="{00000000-0005-0000-0000-0000EE860000}"/>
    <cellStyle name="常规 2 5 2 3 7 2" xfId="34543" xr:uid="{00000000-0005-0000-0000-0000EF860000}"/>
    <cellStyle name="常规 2 5 2 3 7 2 2" xfId="34544" xr:uid="{00000000-0005-0000-0000-0000F0860000}"/>
    <cellStyle name="常规 2 5 2 3 8" xfId="34545" xr:uid="{00000000-0005-0000-0000-0000F1860000}"/>
    <cellStyle name="常规 2 5 2 3 8 2" xfId="34546" xr:uid="{00000000-0005-0000-0000-0000F2860000}"/>
    <cellStyle name="常规 2 5 2 3 9" xfId="34547" xr:uid="{00000000-0005-0000-0000-0000F3860000}"/>
    <cellStyle name="常规 2 5 2 3 9 2" xfId="34548" xr:uid="{00000000-0005-0000-0000-0000F4860000}"/>
    <cellStyle name="常规 2 5 2 4" xfId="34549" xr:uid="{00000000-0005-0000-0000-0000F5860000}"/>
    <cellStyle name="常规 2 5 2 4 2" xfId="34550" xr:uid="{00000000-0005-0000-0000-0000F6860000}"/>
    <cellStyle name="常规 2 5 2 4 2 2" xfId="34551" xr:uid="{00000000-0005-0000-0000-0000F7860000}"/>
    <cellStyle name="常规 2 5 2 4 2 3" xfId="34552" xr:uid="{00000000-0005-0000-0000-0000F8860000}"/>
    <cellStyle name="常规 2 5 2 4 2 4" xfId="34553" xr:uid="{00000000-0005-0000-0000-0000F9860000}"/>
    <cellStyle name="常规 2 5 2 4 2 5" xfId="34554" xr:uid="{00000000-0005-0000-0000-0000FA860000}"/>
    <cellStyle name="常规 2 5 2 4 2 5 2" xfId="34555" xr:uid="{00000000-0005-0000-0000-0000FB860000}"/>
    <cellStyle name="常规 2 5 2 4 3" xfId="34556" xr:uid="{00000000-0005-0000-0000-0000FC860000}"/>
    <cellStyle name="常规 2 5 2 4 3 2" xfId="34557" xr:uid="{00000000-0005-0000-0000-0000FD860000}"/>
    <cellStyle name="常规 2 5 2 4 3 2 2" xfId="34558" xr:uid="{00000000-0005-0000-0000-0000FE860000}"/>
    <cellStyle name="常规 2 5 2 4 4" xfId="34559" xr:uid="{00000000-0005-0000-0000-0000FF860000}"/>
    <cellStyle name="常规 2 5 2 4 4 2" xfId="34560" xr:uid="{00000000-0005-0000-0000-000000870000}"/>
    <cellStyle name="常规 2 5 2 4 4 2 2" xfId="34561" xr:uid="{00000000-0005-0000-0000-000001870000}"/>
    <cellStyle name="常规 2 5 2 4 4 3" xfId="34562" xr:uid="{00000000-0005-0000-0000-000002870000}"/>
    <cellStyle name="常规 2 5 2 4 5" xfId="34563" xr:uid="{00000000-0005-0000-0000-000003870000}"/>
    <cellStyle name="常规 2 5 2 4 5 2" xfId="34564" xr:uid="{00000000-0005-0000-0000-000004870000}"/>
    <cellStyle name="常规 2 5 2 4 5 3" xfId="34565" xr:uid="{00000000-0005-0000-0000-000005870000}"/>
    <cellStyle name="常规 2 5 2 4 6" xfId="34566" xr:uid="{00000000-0005-0000-0000-000006870000}"/>
    <cellStyle name="常规 2 5 2 4 6 2" xfId="34567" xr:uid="{00000000-0005-0000-0000-000007870000}"/>
    <cellStyle name="常规 2 5 2 4 7" xfId="34568" xr:uid="{00000000-0005-0000-0000-000008870000}"/>
    <cellStyle name="常规 2 5 2 5" xfId="34569" xr:uid="{00000000-0005-0000-0000-000009870000}"/>
    <cellStyle name="常规 2 5 2 5 2" xfId="34570" xr:uid="{00000000-0005-0000-0000-00000A870000}"/>
    <cellStyle name="常规 2 5 2 5 2 2" xfId="34571" xr:uid="{00000000-0005-0000-0000-00000B870000}"/>
    <cellStyle name="常规 2 5 2 5 2 3" xfId="34572" xr:uid="{00000000-0005-0000-0000-00000C870000}"/>
    <cellStyle name="常规 2 5 2 5 2 4" xfId="34573" xr:uid="{00000000-0005-0000-0000-00000D870000}"/>
    <cellStyle name="常规 2 5 2 5 2 5" xfId="34574" xr:uid="{00000000-0005-0000-0000-00000E870000}"/>
    <cellStyle name="常规 2 5 2 5 2 5 2" xfId="34575" xr:uid="{00000000-0005-0000-0000-00000F870000}"/>
    <cellStyle name="常规 2 5 2 5 3" xfId="34576" xr:uid="{00000000-0005-0000-0000-000010870000}"/>
    <cellStyle name="常规 2 5 2 5 3 2" xfId="34577" xr:uid="{00000000-0005-0000-0000-000011870000}"/>
    <cellStyle name="常规 2 5 2 5 3 2 2" xfId="34578" xr:uid="{00000000-0005-0000-0000-000012870000}"/>
    <cellStyle name="常规 2 5 2 5 4" xfId="34579" xr:uid="{00000000-0005-0000-0000-000013870000}"/>
    <cellStyle name="常规 2 5 2 5 4 2" xfId="34580" xr:uid="{00000000-0005-0000-0000-000014870000}"/>
    <cellStyle name="常规 2 5 2 5 4 2 2" xfId="34581" xr:uid="{00000000-0005-0000-0000-000015870000}"/>
    <cellStyle name="常规 2 5 2 5 5" xfId="34582" xr:uid="{00000000-0005-0000-0000-000016870000}"/>
    <cellStyle name="常规 2 5 2 5 5 2" xfId="34583" xr:uid="{00000000-0005-0000-0000-000017870000}"/>
    <cellStyle name="常规 2 5 2 5 5 3" xfId="34584" xr:uid="{00000000-0005-0000-0000-000018870000}"/>
    <cellStyle name="常规 2 5 2 5 6" xfId="34585" xr:uid="{00000000-0005-0000-0000-000019870000}"/>
    <cellStyle name="常规 2 5 2 5 6 2" xfId="34586" xr:uid="{00000000-0005-0000-0000-00001A870000}"/>
    <cellStyle name="常规 2 5 2 5 7" xfId="34587" xr:uid="{00000000-0005-0000-0000-00001B870000}"/>
    <cellStyle name="常规 2 5 2 6" xfId="34588" xr:uid="{00000000-0005-0000-0000-00001C870000}"/>
    <cellStyle name="常规 2 5 2 6 2" xfId="34589" xr:uid="{00000000-0005-0000-0000-00001D870000}"/>
    <cellStyle name="常规 2 5 2 6 2 2" xfId="34590" xr:uid="{00000000-0005-0000-0000-00001E870000}"/>
    <cellStyle name="常规 2 5 2 6 2 2 2" xfId="34591" xr:uid="{00000000-0005-0000-0000-00001F870000}"/>
    <cellStyle name="常规 2 5 2 6 3" xfId="34592" xr:uid="{00000000-0005-0000-0000-000020870000}"/>
    <cellStyle name="常规 2 5 2 6 3 2" xfId="34593" xr:uid="{00000000-0005-0000-0000-000021870000}"/>
    <cellStyle name="常规 2 5 2 6 3 2 2" xfId="34594" xr:uid="{00000000-0005-0000-0000-000022870000}"/>
    <cellStyle name="常规 2 5 2 6 3 3" xfId="34595" xr:uid="{00000000-0005-0000-0000-000023870000}"/>
    <cellStyle name="常规 2 5 2 6 4" xfId="34596" xr:uid="{00000000-0005-0000-0000-000024870000}"/>
    <cellStyle name="常规 2 5 2 6 4 2" xfId="34597" xr:uid="{00000000-0005-0000-0000-000025870000}"/>
    <cellStyle name="常规 2 5 2 6 4 2 2" xfId="34598" xr:uid="{00000000-0005-0000-0000-000026870000}"/>
    <cellStyle name="常规 2 5 2 6 5" xfId="34599" xr:uid="{00000000-0005-0000-0000-000027870000}"/>
    <cellStyle name="常规 2 5 2 6 5 2" xfId="34600" xr:uid="{00000000-0005-0000-0000-000028870000}"/>
    <cellStyle name="常规 2 5 2 6 5 3" xfId="34601" xr:uid="{00000000-0005-0000-0000-000029870000}"/>
    <cellStyle name="常规 2 5 2 6 6" xfId="34602" xr:uid="{00000000-0005-0000-0000-00002A870000}"/>
    <cellStyle name="常规 2 5 2 6 6 2" xfId="34603" xr:uid="{00000000-0005-0000-0000-00002B870000}"/>
    <cellStyle name="常规 2 5 2 7" xfId="34604" xr:uid="{00000000-0005-0000-0000-00002C870000}"/>
    <cellStyle name="常规 2 5 2 7 2" xfId="34605" xr:uid="{00000000-0005-0000-0000-00002D870000}"/>
    <cellStyle name="常规 2 5 2 7 2 2" xfId="34606" xr:uid="{00000000-0005-0000-0000-00002E870000}"/>
    <cellStyle name="常规 2 5 2 8" xfId="34607" xr:uid="{00000000-0005-0000-0000-00002F870000}"/>
    <cellStyle name="常规 2 5 2 8 2" xfId="34608" xr:uid="{00000000-0005-0000-0000-000030870000}"/>
    <cellStyle name="常规 2 5 2 8 2 2" xfId="34609" xr:uid="{00000000-0005-0000-0000-000031870000}"/>
    <cellStyle name="常规 2 5 2 9" xfId="34610" xr:uid="{00000000-0005-0000-0000-000032870000}"/>
    <cellStyle name="常规 2 5 20" xfId="34611" xr:uid="{00000000-0005-0000-0000-000033870000}"/>
    <cellStyle name="常规 2 5 21" xfId="34612" xr:uid="{00000000-0005-0000-0000-000034870000}"/>
    <cellStyle name="常规 2 5 21 2" xfId="34613" xr:uid="{00000000-0005-0000-0000-000035870000}"/>
    <cellStyle name="常规 2 5 22" xfId="34614" xr:uid="{00000000-0005-0000-0000-000036870000}"/>
    <cellStyle name="常规 2 5 3" xfId="34615" xr:uid="{00000000-0005-0000-0000-000037870000}"/>
    <cellStyle name="常规 2 5 3 10" xfId="34616" xr:uid="{00000000-0005-0000-0000-000038870000}"/>
    <cellStyle name="常规 2 5 3 10 2" xfId="34617" xr:uid="{00000000-0005-0000-0000-000039870000}"/>
    <cellStyle name="常规 2 5 3 10 2 2" xfId="34618" xr:uid="{00000000-0005-0000-0000-00003A870000}"/>
    <cellStyle name="常规 2 5 3 10 2 2 2" xfId="34619" xr:uid="{00000000-0005-0000-0000-00003B870000}"/>
    <cellStyle name="常规 2 5 3 10 2 2 2 2" xfId="34620" xr:uid="{00000000-0005-0000-0000-00003C870000}"/>
    <cellStyle name="常规 2 5 3 10 2 2 2 3" xfId="34621" xr:uid="{00000000-0005-0000-0000-00003D870000}"/>
    <cellStyle name="常规 2 5 3 10 2 2 2 4" xfId="34622" xr:uid="{00000000-0005-0000-0000-00003E870000}"/>
    <cellStyle name="常规 2 5 3 10 2 2 3" xfId="34623" xr:uid="{00000000-0005-0000-0000-00003F870000}"/>
    <cellStyle name="常规 2 5 3 10 2 2 4" xfId="34624" xr:uid="{00000000-0005-0000-0000-000040870000}"/>
    <cellStyle name="常规 2 5 3 10 2 2 5" xfId="34625" xr:uid="{00000000-0005-0000-0000-000041870000}"/>
    <cellStyle name="常规 2 5 3 10 2 3" xfId="34626" xr:uid="{00000000-0005-0000-0000-000042870000}"/>
    <cellStyle name="常规 2 5 3 10 2 3 2" xfId="34627" xr:uid="{00000000-0005-0000-0000-000043870000}"/>
    <cellStyle name="常规 2 5 3 10 2 3 2 2" xfId="34628" xr:uid="{00000000-0005-0000-0000-000044870000}"/>
    <cellStyle name="常规 2 5 3 10 2 3 2 3" xfId="34629" xr:uid="{00000000-0005-0000-0000-000045870000}"/>
    <cellStyle name="常规 2 5 3 10 2 3 2 4" xfId="34630" xr:uid="{00000000-0005-0000-0000-000046870000}"/>
    <cellStyle name="常规 2 5 3 10 2 3 3" xfId="34631" xr:uid="{00000000-0005-0000-0000-000047870000}"/>
    <cellStyle name="常规 2 5 3 10 2 3 4" xfId="34632" xr:uid="{00000000-0005-0000-0000-000048870000}"/>
    <cellStyle name="常规 2 5 3 10 2 3 5" xfId="34633" xr:uid="{00000000-0005-0000-0000-000049870000}"/>
    <cellStyle name="常规 2 5 3 10 2 4" xfId="34634" xr:uid="{00000000-0005-0000-0000-00004A870000}"/>
    <cellStyle name="常规 2 5 3 10 2 4 2" xfId="34635" xr:uid="{00000000-0005-0000-0000-00004B870000}"/>
    <cellStyle name="常规 2 5 3 10 2 4 3" xfId="34636" xr:uid="{00000000-0005-0000-0000-00004C870000}"/>
    <cellStyle name="常规 2 5 3 10 2 4 4" xfId="34637" xr:uid="{00000000-0005-0000-0000-00004D870000}"/>
    <cellStyle name="常规 2 5 3 10 2 5" xfId="34638" xr:uid="{00000000-0005-0000-0000-00004E870000}"/>
    <cellStyle name="常规 2 5 3 10 2 6" xfId="34639" xr:uid="{00000000-0005-0000-0000-00004F870000}"/>
    <cellStyle name="常规 2 5 3 10 2 7" xfId="34640" xr:uid="{00000000-0005-0000-0000-000050870000}"/>
    <cellStyle name="常规 2 5 3 10 3" xfId="34641" xr:uid="{00000000-0005-0000-0000-000051870000}"/>
    <cellStyle name="常规 2 5 3 10 3 2" xfId="34642" xr:uid="{00000000-0005-0000-0000-000052870000}"/>
    <cellStyle name="常规 2 5 3 10 3 2 2" xfId="34643" xr:uid="{00000000-0005-0000-0000-000053870000}"/>
    <cellStyle name="常规 2 5 3 10 3 2 3" xfId="34644" xr:uid="{00000000-0005-0000-0000-000054870000}"/>
    <cellStyle name="常规 2 5 3 10 3 2 4" xfId="34645" xr:uid="{00000000-0005-0000-0000-000055870000}"/>
    <cellStyle name="常规 2 5 3 10 3 3" xfId="34646" xr:uid="{00000000-0005-0000-0000-000056870000}"/>
    <cellStyle name="常规 2 5 3 10 3 4" xfId="34647" xr:uid="{00000000-0005-0000-0000-000057870000}"/>
    <cellStyle name="常规 2 5 3 10 3 5" xfId="34648" xr:uid="{00000000-0005-0000-0000-000058870000}"/>
    <cellStyle name="常规 2 5 3 10 4" xfId="34649" xr:uid="{00000000-0005-0000-0000-000059870000}"/>
    <cellStyle name="常规 2 5 3 10 4 2" xfId="34650" xr:uid="{00000000-0005-0000-0000-00005A870000}"/>
    <cellStyle name="常规 2 5 3 10 4 2 2" xfId="34651" xr:uid="{00000000-0005-0000-0000-00005B870000}"/>
    <cellStyle name="常规 2 5 3 10 4 2 3" xfId="34652" xr:uid="{00000000-0005-0000-0000-00005C870000}"/>
    <cellStyle name="常规 2 5 3 10 4 2 4" xfId="34653" xr:uid="{00000000-0005-0000-0000-00005D870000}"/>
    <cellStyle name="常规 2 5 3 10 4 3" xfId="34654" xr:uid="{00000000-0005-0000-0000-00005E870000}"/>
    <cellStyle name="常规 2 5 3 10 4 4" xfId="34655" xr:uid="{00000000-0005-0000-0000-00005F870000}"/>
    <cellStyle name="常规 2 5 3 10 4 5" xfId="34656" xr:uid="{00000000-0005-0000-0000-000060870000}"/>
    <cellStyle name="常规 2 5 3 10 5" xfId="34657" xr:uid="{00000000-0005-0000-0000-000061870000}"/>
    <cellStyle name="常规 2 5 3 10 5 2" xfId="34658" xr:uid="{00000000-0005-0000-0000-000062870000}"/>
    <cellStyle name="常规 2 5 3 10 5 3" xfId="34659" xr:uid="{00000000-0005-0000-0000-000063870000}"/>
    <cellStyle name="常规 2 5 3 10 5 4" xfId="34660" xr:uid="{00000000-0005-0000-0000-000064870000}"/>
    <cellStyle name="常规 2 5 3 10 6" xfId="34661" xr:uid="{00000000-0005-0000-0000-000065870000}"/>
    <cellStyle name="常规 2 5 3 10 7" xfId="34662" xr:uid="{00000000-0005-0000-0000-000066870000}"/>
    <cellStyle name="常规 2 5 3 10 8" xfId="34663" xr:uid="{00000000-0005-0000-0000-000067870000}"/>
    <cellStyle name="常规 2 5 3 11" xfId="34664" xr:uid="{00000000-0005-0000-0000-000068870000}"/>
    <cellStyle name="常规 2 5 3 11 2" xfId="34665" xr:uid="{00000000-0005-0000-0000-000069870000}"/>
    <cellStyle name="常规 2 5 3 11 2 2" xfId="34666" xr:uid="{00000000-0005-0000-0000-00006A870000}"/>
    <cellStyle name="常规 2 5 3 11 2 2 2" xfId="34667" xr:uid="{00000000-0005-0000-0000-00006B870000}"/>
    <cellStyle name="常规 2 5 3 11 2 2 2 2" xfId="34668" xr:uid="{00000000-0005-0000-0000-00006C870000}"/>
    <cellStyle name="常规 2 5 3 11 2 2 2 3" xfId="34669" xr:uid="{00000000-0005-0000-0000-00006D870000}"/>
    <cellStyle name="常规 2 5 3 11 2 2 2 4" xfId="34670" xr:uid="{00000000-0005-0000-0000-00006E870000}"/>
    <cellStyle name="常规 2 5 3 11 2 2 3" xfId="34671" xr:uid="{00000000-0005-0000-0000-00006F870000}"/>
    <cellStyle name="常规 2 5 3 11 2 2 4" xfId="34672" xr:uid="{00000000-0005-0000-0000-000070870000}"/>
    <cellStyle name="常规 2 5 3 11 2 2 5" xfId="34673" xr:uid="{00000000-0005-0000-0000-000071870000}"/>
    <cellStyle name="常规 2 5 3 11 2 3" xfId="34674" xr:uid="{00000000-0005-0000-0000-000072870000}"/>
    <cellStyle name="常规 2 5 3 11 2 3 2" xfId="34675" xr:uid="{00000000-0005-0000-0000-000073870000}"/>
    <cellStyle name="常规 2 5 3 11 2 3 2 2" xfId="34676" xr:uid="{00000000-0005-0000-0000-000074870000}"/>
    <cellStyle name="常规 2 5 3 11 2 3 2 3" xfId="34677" xr:uid="{00000000-0005-0000-0000-000075870000}"/>
    <cellStyle name="常规 2 5 3 11 2 3 2 4" xfId="34678" xr:uid="{00000000-0005-0000-0000-000076870000}"/>
    <cellStyle name="常规 2 5 3 11 2 3 3" xfId="34679" xr:uid="{00000000-0005-0000-0000-000077870000}"/>
    <cellStyle name="常规 2 5 3 11 2 3 4" xfId="34680" xr:uid="{00000000-0005-0000-0000-000078870000}"/>
    <cellStyle name="常规 2 5 3 11 2 3 5" xfId="34681" xr:uid="{00000000-0005-0000-0000-000079870000}"/>
    <cellStyle name="常规 2 5 3 11 2 4" xfId="34682" xr:uid="{00000000-0005-0000-0000-00007A870000}"/>
    <cellStyle name="常规 2 5 3 11 2 4 2" xfId="34683" xr:uid="{00000000-0005-0000-0000-00007B870000}"/>
    <cellStyle name="常规 2 5 3 11 2 4 3" xfId="34684" xr:uid="{00000000-0005-0000-0000-00007C870000}"/>
    <cellStyle name="常规 2 5 3 11 2 4 4" xfId="34685" xr:uid="{00000000-0005-0000-0000-00007D870000}"/>
    <cellStyle name="常规 2 5 3 11 2 5" xfId="34686" xr:uid="{00000000-0005-0000-0000-00007E870000}"/>
    <cellStyle name="常规 2 5 3 11 2 6" xfId="34687" xr:uid="{00000000-0005-0000-0000-00007F870000}"/>
    <cellStyle name="常规 2 5 3 11 2 7" xfId="34688" xr:uid="{00000000-0005-0000-0000-000080870000}"/>
    <cellStyle name="常规 2 5 3 11 3" xfId="34689" xr:uid="{00000000-0005-0000-0000-000081870000}"/>
    <cellStyle name="常规 2 5 3 11 3 2" xfId="34690" xr:uid="{00000000-0005-0000-0000-000082870000}"/>
    <cellStyle name="常规 2 5 3 11 3 2 2" xfId="34691" xr:uid="{00000000-0005-0000-0000-000083870000}"/>
    <cellStyle name="常规 2 5 3 11 3 2 3" xfId="34692" xr:uid="{00000000-0005-0000-0000-000084870000}"/>
    <cellStyle name="常规 2 5 3 11 3 2 4" xfId="34693" xr:uid="{00000000-0005-0000-0000-000085870000}"/>
    <cellStyle name="常规 2 5 3 11 3 3" xfId="34694" xr:uid="{00000000-0005-0000-0000-000086870000}"/>
    <cellStyle name="常规 2 5 3 11 3 4" xfId="34695" xr:uid="{00000000-0005-0000-0000-000087870000}"/>
    <cellStyle name="常规 2 5 3 11 3 5" xfId="34696" xr:uid="{00000000-0005-0000-0000-000088870000}"/>
    <cellStyle name="常规 2 5 3 11 4" xfId="34697" xr:uid="{00000000-0005-0000-0000-000089870000}"/>
    <cellStyle name="常规 2 5 3 11 4 2" xfId="34698" xr:uid="{00000000-0005-0000-0000-00008A870000}"/>
    <cellStyle name="常规 2 5 3 11 4 2 2" xfId="34699" xr:uid="{00000000-0005-0000-0000-00008B870000}"/>
    <cellStyle name="常规 2 5 3 11 4 2 3" xfId="34700" xr:uid="{00000000-0005-0000-0000-00008C870000}"/>
    <cellStyle name="常规 2 5 3 11 4 2 4" xfId="34701" xr:uid="{00000000-0005-0000-0000-00008D870000}"/>
    <cellStyle name="常规 2 5 3 11 4 3" xfId="34702" xr:uid="{00000000-0005-0000-0000-00008E870000}"/>
    <cellStyle name="常规 2 5 3 11 4 4" xfId="34703" xr:uid="{00000000-0005-0000-0000-00008F870000}"/>
    <cellStyle name="常规 2 5 3 11 4 5" xfId="34704" xr:uid="{00000000-0005-0000-0000-000090870000}"/>
    <cellStyle name="常规 2 5 3 11 5" xfId="34705" xr:uid="{00000000-0005-0000-0000-000091870000}"/>
    <cellStyle name="常规 2 5 3 11 5 2" xfId="34706" xr:uid="{00000000-0005-0000-0000-000092870000}"/>
    <cellStyle name="常规 2 5 3 11 5 3" xfId="34707" xr:uid="{00000000-0005-0000-0000-000093870000}"/>
    <cellStyle name="常规 2 5 3 11 5 4" xfId="34708" xr:uid="{00000000-0005-0000-0000-000094870000}"/>
    <cellStyle name="常规 2 5 3 11 6" xfId="34709" xr:uid="{00000000-0005-0000-0000-000095870000}"/>
    <cellStyle name="常规 2 5 3 11 7" xfId="34710" xr:uid="{00000000-0005-0000-0000-000096870000}"/>
    <cellStyle name="常规 2 5 3 11 8" xfId="34711" xr:uid="{00000000-0005-0000-0000-000097870000}"/>
    <cellStyle name="常规 2 5 3 12" xfId="34712" xr:uid="{00000000-0005-0000-0000-000098870000}"/>
    <cellStyle name="常规 2 5 3 12 2" xfId="34713" xr:uid="{00000000-0005-0000-0000-000099870000}"/>
    <cellStyle name="常规 2 5 3 12 2 2" xfId="34714" xr:uid="{00000000-0005-0000-0000-00009A870000}"/>
    <cellStyle name="常规 2 5 3 12 2 2 2" xfId="34715" xr:uid="{00000000-0005-0000-0000-00009B870000}"/>
    <cellStyle name="常规 2 5 3 12 2 2 2 2" xfId="34716" xr:uid="{00000000-0005-0000-0000-00009C870000}"/>
    <cellStyle name="常规 2 5 3 12 2 2 2 3" xfId="34717" xr:uid="{00000000-0005-0000-0000-00009D870000}"/>
    <cellStyle name="常规 2 5 3 12 2 2 2 4" xfId="34718" xr:uid="{00000000-0005-0000-0000-00009E870000}"/>
    <cellStyle name="常规 2 5 3 12 2 2 3" xfId="34719" xr:uid="{00000000-0005-0000-0000-00009F870000}"/>
    <cellStyle name="常规 2 5 3 12 2 2 4" xfId="34720" xr:uid="{00000000-0005-0000-0000-0000A0870000}"/>
    <cellStyle name="常规 2 5 3 12 2 2 5" xfId="34721" xr:uid="{00000000-0005-0000-0000-0000A1870000}"/>
    <cellStyle name="常规 2 5 3 12 2 3" xfId="34722" xr:uid="{00000000-0005-0000-0000-0000A2870000}"/>
    <cellStyle name="常规 2 5 3 12 2 3 2" xfId="34723" xr:uid="{00000000-0005-0000-0000-0000A3870000}"/>
    <cellStyle name="常规 2 5 3 12 2 3 2 2" xfId="34724" xr:uid="{00000000-0005-0000-0000-0000A4870000}"/>
    <cellStyle name="常规 2 5 3 12 2 3 2 3" xfId="34725" xr:uid="{00000000-0005-0000-0000-0000A5870000}"/>
    <cellStyle name="常规 2 5 3 12 2 3 2 4" xfId="34726" xr:uid="{00000000-0005-0000-0000-0000A6870000}"/>
    <cellStyle name="常规 2 5 3 12 2 3 3" xfId="34727" xr:uid="{00000000-0005-0000-0000-0000A7870000}"/>
    <cellStyle name="常规 2 5 3 12 2 3 4" xfId="34728" xr:uid="{00000000-0005-0000-0000-0000A8870000}"/>
    <cellStyle name="常规 2 5 3 12 2 3 5" xfId="34729" xr:uid="{00000000-0005-0000-0000-0000A9870000}"/>
    <cellStyle name="常规 2 5 3 12 2 4" xfId="34730" xr:uid="{00000000-0005-0000-0000-0000AA870000}"/>
    <cellStyle name="常规 2 5 3 12 2 4 2" xfId="34731" xr:uid="{00000000-0005-0000-0000-0000AB870000}"/>
    <cellStyle name="常规 2 5 3 12 2 4 3" xfId="34732" xr:uid="{00000000-0005-0000-0000-0000AC870000}"/>
    <cellStyle name="常规 2 5 3 12 2 4 4" xfId="34733" xr:uid="{00000000-0005-0000-0000-0000AD870000}"/>
    <cellStyle name="常规 2 5 3 12 2 5" xfId="34734" xr:uid="{00000000-0005-0000-0000-0000AE870000}"/>
    <cellStyle name="常规 2 5 3 12 2 6" xfId="34735" xr:uid="{00000000-0005-0000-0000-0000AF870000}"/>
    <cellStyle name="常规 2 5 3 12 2 7" xfId="34736" xr:uid="{00000000-0005-0000-0000-0000B0870000}"/>
    <cellStyle name="常规 2 5 3 12 3" xfId="34737" xr:uid="{00000000-0005-0000-0000-0000B1870000}"/>
    <cellStyle name="常规 2 5 3 12 3 2" xfId="34738" xr:uid="{00000000-0005-0000-0000-0000B2870000}"/>
    <cellStyle name="常规 2 5 3 12 3 2 2" xfId="34739" xr:uid="{00000000-0005-0000-0000-0000B3870000}"/>
    <cellStyle name="常规 2 5 3 12 3 2 3" xfId="34740" xr:uid="{00000000-0005-0000-0000-0000B4870000}"/>
    <cellStyle name="常规 2 5 3 12 3 2 4" xfId="34741" xr:uid="{00000000-0005-0000-0000-0000B5870000}"/>
    <cellStyle name="常规 2 5 3 12 3 3" xfId="34742" xr:uid="{00000000-0005-0000-0000-0000B6870000}"/>
    <cellStyle name="常规 2 5 3 12 3 4" xfId="34743" xr:uid="{00000000-0005-0000-0000-0000B7870000}"/>
    <cellStyle name="常规 2 5 3 12 3 5" xfId="34744" xr:uid="{00000000-0005-0000-0000-0000B8870000}"/>
    <cellStyle name="常规 2 5 3 12 4" xfId="34745" xr:uid="{00000000-0005-0000-0000-0000B9870000}"/>
    <cellStyle name="常规 2 5 3 12 4 2" xfId="34746" xr:uid="{00000000-0005-0000-0000-0000BA870000}"/>
    <cellStyle name="常规 2 5 3 12 4 2 2" xfId="34747" xr:uid="{00000000-0005-0000-0000-0000BB870000}"/>
    <cellStyle name="常规 2 5 3 12 4 2 3" xfId="34748" xr:uid="{00000000-0005-0000-0000-0000BC870000}"/>
    <cellStyle name="常规 2 5 3 12 4 2 4" xfId="34749" xr:uid="{00000000-0005-0000-0000-0000BD870000}"/>
    <cellStyle name="常规 2 5 3 12 4 3" xfId="34750" xr:uid="{00000000-0005-0000-0000-0000BE870000}"/>
    <cellStyle name="常规 2 5 3 12 4 4" xfId="34751" xr:uid="{00000000-0005-0000-0000-0000BF870000}"/>
    <cellStyle name="常规 2 5 3 12 4 5" xfId="34752" xr:uid="{00000000-0005-0000-0000-0000C0870000}"/>
    <cellStyle name="常规 2 5 3 12 5" xfId="34753" xr:uid="{00000000-0005-0000-0000-0000C1870000}"/>
    <cellStyle name="常规 2 5 3 12 5 2" xfId="34754" xr:uid="{00000000-0005-0000-0000-0000C2870000}"/>
    <cellStyle name="常规 2 5 3 12 5 3" xfId="34755" xr:uid="{00000000-0005-0000-0000-0000C3870000}"/>
    <cellStyle name="常规 2 5 3 12 5 4" xfId="34756" xr:uid="{00000000-0005-0000-0000-0000C4870000}"/>
    <cellStyle name="常规 2 5 3 12 6" xfId="34757" xr:uid="{00000000-0005-0000-0000-0000C5870000}"/>
    <cellStyle name="常规 2 5 3 12 7" xfId="34758" xr:uid="{00000000-0005-0000-0000-0000C6870000}"/>
    <cellStyle name="常规 2 5 3 12 8" xfId="34759" xr:uid="{00000000-0005-0000-0000-0000C7870000}"/>
    <cellStyle name="常规 2 5 3 13" xfId="34760" xr:uid="{00000000-0005-0000-0000-0000C8870000}"/>
    <cellStyle name="常规 2 5 3 13 2" xfId="34761" xr:uid="{00000000-0005-0000-0000-0000C9870000}"/>
    <cellStyle name="常规 2 5 3 13 2 2" xfId="34762" xr:uid="{00000000-0005-0000-0000-0000CA870000}"/>
    <cellStyle name="常规 2 5 3 13 2 2 2" xfId="34763" xr:uid="{00000000-0005-0000-0000-0000CB870000}"/>
    <cellStyle name="常规 2 5 3 13 2 2 2 2" xfId="34764" xr:uid="{00000000-0005-0000-0000-0000CC870000}"/>
    <cellStyle name="常规 2 5 3 13 2 2 2 3" xfId="34765" xr:uid="{00000000-0005-0000-0000-0000CD870000}"/>
    <cellStyle name="常规 2 5 3 13 2 2 2 4" xfId="34766" xr:uid="{00000000-0005-0000-0000-0000CE870000}"/>
    <cellStyle name="常规 2 5 3 13 2 2 3" xfId="34767" xr:uid="{00000000-0005-0000-0000-0000CF870000}"/>
    <cellStyle name="常规 2 5 3 13 2 2 4" xfId="34768" xr:uid="{00000000-0005-0000-0000-0000D0870000}"/>
    <cellStyle name="常规 2 5 3 13 2 2 5" xfId="34769" xr:uid="{00000000-0005-0000-0000-0000D1870000}"/>
    <cellStyle name="常规 2 5 3 13 2 3" xfId="34770" xr:uid="{00000000-0005-0000-0000-0000D2870000}"/>
    <cellStyle name="常规 2 5 3 13 2 3 2" xfId="34771" xr:uid="{00000000-0005-0000-0000-0000D3870000}"/>
    <cellStyle name="常规 2 5 3 13 2 3 2 2" xfId="34772" xr:uid="{00000000-0005-0000-0000-0000D4870000}"/>
    <cellStyle name="常规 2 5 3 13 2 3 2 3" xfId="34773" xr:uid="{00000000-0005-0000-0000-0000D5870000}"/>
    <cellStyle name="常规 2 5 3 13 2 3 2 4" xfId="34774" xr:uid="{00000000-0005-0000-0000-0000D6870000}"/>
    <cellStyle name="常规 2 5 3 13 2 3 3" xfId="34775" xr:uid="{00000000-0005-0000-0000-0000D7870000}"/>
    <cellStyle name="常规 2 5 3 13 2 3 4" xfId="34776" xr:uid="{00000000-0005-0000-0000-0000D8870000}"/>
    <cellStyle name="常规 2 5 3 13 2 3 5" xfId="34777" xr:uid="{00000000-0005-0000-0000-0000D9870000}"/>
    <cellStyle name="常规 2 5 3 13 2 4" xfId="34778" xr:uid="{00000000-0005-0000-0000-0000DA870000}"/>
    <cellStyle name="常规 2 5 3 13 2 4 2" xfId="34779" xr:uid="{00000000-0005-0000-0000-0000DB870000}"/>
    <cellStyle name="常规 2 5 3 13 2 4 3" xfId="34780" xr:uid="{00000000-0005-0000-0000-0000DC870000}"/>
    <cellStyle name="常规 2 5 3 13 2 4 4" xfId="34781" xr:uid="{00000000-0005-0000-0000-0000DD870000}"/>
    <cellStyle name="常规 2 5 3 13 2 5" xfId="34782" xr:uid="{00000000-0005-0000-0000-0000DE870000}"/>
    <cellStyle name="常规 2 5 3 13 2 6" xfId="34783" xr:uid="{00000000-0005-0000-0000-0000DF870000}"/>
    <cellStyle name="常规 2 5 3 13 2 7" xfId="34784" xr:uid="{00000000-0005-0000-0000-0000E0870000}"/>
    <cellStyle name="常规 2 5 3 13 3" xfId="34785" xr:uid="{00000000-0005-0000-0000-0000E1870000}"/>
    <cellStyle name="常规 2 5 3 13 3 2" xfId="34786" xr:uid="{00000000-0005-0000-0000-0000E2870000}"/>
    <cellStyle name="常规 2 5 3 13 3 2 2" xfId="34787" xr:uid="{00000000-0005-0000-0000-0000E3870000}"/>
    <cellStyle name="常规 2 5 3 13 3 2 3" xfId="34788" xr:uid="{00000000-0005-0000-0000-0000E4870000}"/>
    <cellStyle name="常规 2 5 3 13 3 2 4" xfId="34789" xr:uid="{00000000-0005-0000-0000-0000E5870000}"/>
    <cellStyle name="常规 2 5 3 13 3 3" xfId="34790" xr:uid="{00000000-0005-0000-0000-0000E6870000}"/>
    <cellStyle name="常规 2 5 3 13 3 4" xfId="34791" xr:uid="{00000000-0005-0000-0000-0000E7870000}"/>
    <cellStyle name="常规 2 5 3 13 3 5" xfId="34792" xr:uid="{00000000-0005-0000-0000-0000E8870000}"/>
    <cellStyle name="常规 2 5 3 13 4" xfId="34793" xr:uid="{00000000-0005-0000-0000-0000E9870000}"/>
    <cellStyle name="常规 2 5 3 13 4 2" xfId="34794" xr:uid="{00000000-0005-0000-0000-0000EA870000}"/>
    <cellStyle name="常规 2 5 3 13 4 2 2" xfId="34795" xr:uid="{00000000-0005-0000-0000-0000EB870000}"/>
    <cellStyle name="常规 2 5 3 13 4 2 3" xfId="34796" xr:uid="{00000000-0005-0000-0000-0000EC870000}"/>
    <cellStyle name="常规 2 5 3 13 4 2 4" xfId="34797" xr:uid="{00000000-0005-0000-0000-0000ED870000}"/>
    <cellStyle name="常规 2 5 3 13 4 3" xfId="34798" xr:uid="{00000000-0005-0000-0000-0000EE870000}"/>
    <cellStyle name="常规 2 5 3 13 4 4" xfId="34799" xr:uid="{00000000-0005-0000-0000-0000EF870000}"/>
    <cellStyle name="常规 2 5 3 13 4 5" xfId="34800" xr:uid="{00000000-0005-0000-0000-0000F0870000}"/>
    <cellStyle name="常规 2 5 3 13 5" xfId="34801" xr:uid="{00000000-0005-0000-0000-0000F1870000}"/>
    <cellStyle name="常规 2 5 3 13 5 2" xfId="34802" xr:uid="{00000000-0005-0000-0000-0000F2870000}"/>
    <cellStyle name="常规 2 5 3 13 5 3" xfId="34803" xr:uid="{00000000-0005-0000-0000-0000F3870000}"/>
    <cellStyle name="常规 2 5 3 13 5 4" xfId="34804" xr:uid="{00000000-0005-0000-0000-0000F4870000}"/>
    <cellStyle name="常规 2 5 3 13 6" xfId="34805" xr:uid="{00000000-0005-0000-0000-0000F5870000}"/>
    <cellStyle name="常规 2 5 3 13 7" xfId="34806" xr:uid="{00000000-0005-0000-0000-0000F6870000}"/>
    <cellStyle name="常规 2 5 3 13 8" xfId="34807" xr:uid="{00000000-0005-0000-0000-0000F7870000}"/>
    <cellStyle name="常规 2 5 3 14" xfId="34808" xr:uid="{00000000-0005-0000-0000-0000F8870000}"/>
    <cellStyle name="常规 2 5 3 14 2" xfId="34809" xr:uid="{00000000-0005-0000-0000-0000F9870000}"/>
    <cellStyle name="常规 2 5 3 14 2 2" xfId="34810" xr:uid="{00000000-0005-0000-0000-0000FA870000}"/>
    <cellStyle name="常规 2 5 3 14 2 2 2" xfId="34811" xr:uid="{00000000-0005-0000-0000-0000FB870000}"/>
    <cellStyle name="常规 2 5 3 14 2 2 2 2" xfId="34812" xr:uid="{00000000-0005-0000-0000-0000FC870000}"/>
    <cellStyle name="常规 2 5 3 14 2 2 2 3" xfId="34813" xr:uid="{00000000-0005-0000-0000-0000FD870000}"/>
    <cellStyle name="常规 2 5 3 14 2 2 2 4" xfId="34814" xr:uid="{00000000-0005-0000-0000-0000FE870000}"/>
    <cellStyle name="常规 2 5 3 14 2 2 3" xfId="34815" xr:uid="{00000000-0005-0000-0000-0000FF870000}"/>
    <cellStyle name="常规 2 5 3 14 2 2 4" xfId="34816" xr:uid="{00000000-0005-0000-0000-000000880000}"/>
    <cellStyle name="常规 2 5 3 14 2 2 5" xfId="34817" xr:uid="{00000000-0005-0000-0000-000001880000}"/>
    <cellStyle name="常规 2 5 3 14 2 3" xfId="34818" xr:uid="{00000000-0005-0000-0000-000002880000}"/>
    <cellStyle name="常规 2 5 3 14 2 3 2" xfId="34819" xr:uid="{00000000-0005-0000-0000-000003880000}"/>
    <cellStyle name="常规 2 5 3 14 2 3 2 2" xfId="34820" xr:uid="{00000000-0005-0000-0000-000004880000}"/>
    <cellStyle name="常规 2 5 3 14 2 3 2 3" xfId="34821" xr:uid="{00000000-0005-0000-0000-000005880000}"/>
    <cellStyle name="常规 2 5 3 14 2 3 2 4" xfId="34822" xr:uid="{00000000-0005-0000-0000-000006880000}"/>
    <cellStyle name="常规 2 5 3 14 2 3 3" xfId="34823" xr:uid="{00000000-0005-0000-0000-000007880000}"/>
    <cellStyle name="常规 2 5 3 14 2 3 4" xfId="34824" xr:uid="{00000000-0005-0000-0000-000008880000}"/>
    <cellStyle name="常规 2 5 3 14 2 3 5" xfId="34825" xr:uid="{00000000-0005-0000-0000-000009880000}"/>
    <cellStyle name="常规 2 5 3 14 2 4" xfId="34826" xr:uid="{00000000-0005-0000-0000-00000A880000}"/>
    <cellStyle name="常规 2 5 3 14 2 4 2" xfId="34827" xr:uid="{00000000-0005-0000-0000-00000B880000}"/>
    <cellStyle name="常规 2 5 3 14 2 4 3" xfId="34828" xr:uid="{00000000-0005-0000-0000-00000C880000}"/>
    <cellStyle name="常规 2 5 3 14 2 4 4" xfId="34829" xr:uid="{00000000-0005-0000-0000-00000D880000}"/>
    <cellStyle name="常规 2 5 3 14 2 5" xfId="34830" xr:uid="{00000000-0005-0000-0000-00000E880000}"/>
    <cellStyle name="常规 2 5 3 14 2 6" xfId="34831" xr:uid="{00000000-0005-0000-0000-00000F880000}"/>
    <cellStyle name="常规 2 5 3 14 2 7" xfId="34832" xr:uid="{00000000-0005-0000-0000-000010880000}"/>
    <cellStyle name="常规 2 5 3 14 3" xfId="34833" xr:uid="{00000000-0005-0000-0000-000011880000}"/>
    <cellStyle name="常规 2 5 3 14 3 2" xfId="34834" xr:uid="{00000000-0005-0000-0000-000012880000}"/>
    <cellStyle name="常规 2 5 3 14 3 2 2" xfId="34835" xr:uid="{00000000-0005-0000-0000-000013880000}"/>
    <cellStyle name="常规 2 5 3 14 3 2 3" xfId="34836" xr:uid="{00000000-0005-0000-0000-000014880000}"/>
    <cellStyle name="常规 2 5 3 14 3 2 4" xfId="34837" xr:uid="{00000000-0005-0000-0000-000015880000}"/>
    <cellStyle name="常规 2 5 3 14 3 3" xfId="34838" xr:uid="{00000000-0005-0000-0000-000016880000}"/>
    <cellStyle name="常规 2 5 3 14 3 4" xfId="34839" xr:uid="{00000000-0005-0000-0000-000017880000}"/>
    <cellStyle name="常规 2 5 3 14 3 5" xfId="34840" xr:uid="{00000000-0005-0000-0000-000018880000}"/>
    <cellStyle name="常规 2 5 3 14 4" xfId="34841" xr:uid="{00000000-0005-0000-0000-000019880000}"/>
    <cellStyle name="常规 2 5 3 14 4 2" xfId="34842" xr:uid="{00000000-0005-0000-0000-00001A880000}"/>
    <cellStyle name="常规 2 5 3 14 4 2 2" xfId="34843" xr:uid="{00000000-0005-0000-0000-00001B880000}"/>
    <cellStyle name="常规 2 5 3 14 4 2 3" xfId="34844" xr:uid="{00000000-0005-0000-0000-00001C880000}"/>
    <cellStyle name="常规 2 5 3 14 4 2 4" xfId="34845" xr:uid="{00000000-0005-0000-0000-00001D880000}"/>
    <cellStyle name="常规 2 5 3 14 4 3" xfId="34846" xr:uid="{00000000-0005-0000-0000-00001E880000}"/>
    <cellStyle name="常规 2 5 3 14 4 4" xfId="34847" xr:uid="{00000000-0005-0000-0000-00001F880000}"/>
    <cellStyle name="常规 2 5 3 14 4 5" xfId="34848" xr:uid="{00000000-0005-0000-0000-000020880000}"/>
    <cellStyle name="常规 2 5 3 14 5" xfId="34849" xr:uid="{00000000-0005-0000-0000-000021880000}"/>
    <cellStyle name="常规 2 5 3 14 5 2" xfId="34850" xr:uid="{00000000-0005-0000-0000-000022880000}"/>
    <cellStyle name="常规 2 5 3 14 5 3" xfId="34851" xr:uid="{00000000-0005-0000-0000-000023880000}"/>
    <cellStyle name="常规 2 5 3 14 5 4" xfId="34852" xr:uid="{00000000-0005-0000-0000-000024880000}"/>
    <cellStyle name="常规 2 5 3 14 6" xfId="34853" xr:uid="{00000000-0005-0000-0000-000025880000}"/>
    <cellStyle name="常规 2 5 3 14 7" xfId="34854" xr:uid="{00000000-0005-0000-0000-000026880000}"/>
    <cellStyle name="常规 2 5 3 14 8" xfId="34855" xr:uid="{00000000-0005-0000-0000-000027880000}"/>
    <cellStyle name="常规 2 5 3 15" xfId="34856" xr:uid="{00000000-0005-0000-0000-000028880000}"/>
    <cellStyle name="常规 2 5 3 15 2" xfId="34857" xr:uid="{00000000-0005-0000-0000-000029880000}"/>
    <cellStyle name="常规 2 5 3 15 2 2" xfId="34858" xr:uid="{00000000-0005-0000-0000-00002A880000}"/>
    <cellStyle name="常规 2 5 3 15 2 3" xfId="34859" xr:uid="{00000000-0005-0000-0000-00002B880000}"/>
    <cellStyle name="常规 2 5 3 15 2 4" xfId="34860" xr:uid="{00000000-0005-0000-0000-00002C880000}"/>
    <cellStyle name="常规 2 5 3 15 3" xfId="34861" xr:uid="{00000000-0005-0000-0000-00002D880000}"/>
    <cellStyle name="常规 2 5 3 15 4" xfId="34862" xr:uid="{00000000-0005-0000-0000-00002E880000}"/>
    <cellStyle name="常规 2 5 3 15 5" xfId="34863" xr:uid="{00000000-0005-0000-0000-00002F880000}"/>
    <cellStyle name="常规 2 5 3 16" xfId="34864" xr:uid="{00000000-0005-0000-0000-000030880000}"/>
    <cellStyle name="常规 2 5 3 16 2" xfId="34865" xr:uid="{00000000-0005-0000-0000-000031880000}"/>
    <cellStyle name="常规 2 5 3 16 2 2" xfId="34866" xr:uid="{00000000-0005-0000-0000-000032880000}"/>
    <cellStyle name="常规 2 5 3 16 2 3" xfId="34867" xr:uid="{00000000-0005-0000-0000-000033880000}"/>
    <cellStyle name="常规 2 5 3 16 2 4" xfId="34868" xr:uid="{00000000-0005-0000-0000-000034880000}"/>
    <cellStyle name="常规 2 5 3 16 3" xfId="34869" xr:uid="{00000000-0005-0000-0000-000035880000}"/>
    <cellStyle name="常规 2 5 3 16 4" xfId="34870" xr:uid="{00000000-0005-0000-0000-000036880000}"/>
    <cellStyle name="常规 2 5 3 16 5" xfId="34871" xr:uid="{00000000-0005-0000-0000-000037880000}"/>
    <cellStyle name="常规 2 5 3 17" xfId="34872" xr:uid="{00000000-0005-0000-0000-000038880000}"/>
    <cellStyle name="常规 2 5 3 17 2" xfId="34873" xr:uid="{00000000-0005-0000-0000-000039880000}"/>
    <cellStyle name="常规 2 5 3 17 3" xfId="34874" xr:uid="{00000000-0005-0000-0000-00003A880000}"/>
    <cellStyle name="常规 2 5 3 17 4" xfId="34875" xr:uid="{00000000-0005-0000-0000-00003B880000}"/>
    <cellStyle name="常规 2 5 3 18" xfId="34876" xr:uid="{00000000-0005-0000-0000-00003C880000}"/>
    <cellStyle name="常规 2 5 3 19" xfId="34877" xr:uid="{00000000-0005-0000-0000-00003D880000}"/>
    <cellStyle name="常规 2 5 3 2" xfId="34878" xr:uid="{00000000-0005-0000-0000-00003E880000}"/>
    <cellStyle name="常规 2 5 3 2 10" xfId="34879" xr:uid="{00000000-0005-0000-0000-00003F880000}"/>
    <cellStyle name="常规 2 5 3 2 2" xfId="34880" xr:uid="{00000000-0005-0000-0000-000040880000}"/>
    <cellStyle name="常规 2 5 3 2 2 2" xfId="34881" xr:uid="{00000000-0005-0000-0000-000041880000}"/>
    <cellStyle name="常规 2 5 3 2 2 2 2" xfId="34882" xr:uid="{00000000-0005-0000-0000-000042880000}"/>
    <cellStyle name="常规 2 5 3 2 2 2 2 2" xfId="34883" xr:uid="{00000000-0005-0000-0000-000043880000}"/>
    <cellStyle name="常规 2 5 3 2 2 2 2 2 2" xfId="34884" xr:uid="{00000000-0005-0000-0000-000044880000}"/>
    <cellStyle name="常规 2 5 3 2 2 2 2 2 3" xfId="34885" xr:uid="{00000000-0005-0000-0000-000045880000}"/>
    <cellStyle name="常规 2 5 3 2 2 2 2 2 4" xfId="34886" xr:uid="{00000000-0005-0000-0000-000046880000}"/>
    <cellStyle name="常规 2 5 3 2 2 2 2 3" xfId="34887" xr:uid="{00000000-0005-0000-0000-000047880000}"/>
    <cellStyle name="常规 2 5 3 2 2 2 2 4" xfId="34888" xr:uid="{00000000-0005-0000-0000-000048880000}"/>
    <cellStyle name="常规 2 5 3 2 2 2 2 5" xfId="34889" xr:uid="{00000000-0005-0000-0000-000049880000}"/>
    <cellStyle name="常规 2 5 3 2 2 2 3" xfId="34890" xr:uid="{00000000-0005-0000-0000-00004A880000}"/>
    <cellStyle name="常规 2 5 3 2 2 2 3 2" xfId="34891" xr:uid="{00000000-0005-0000-0000-00004B880000}"/>
    <cellStyle name="常规 2 5 3 2 2 2 3 2 2" xfId="34892" xr:uid="{00000000-0005-0000-0000-00004C880000}"/>
    <cellStyle name="常规 2 5 3 2 2 2 3 2 3" xfId="34893" xr:uid="{00000000-0005-0000-0000-00004D880000}"/>
    <cellStyle name="常规 2 5 3 2 2 2 3 2 4" xfId="34894" xr:uid="{00000000-0005-0000-0000-00004E880000}"/>
    <cellStyle name="常规 2 5 3 2 2 2 3 3" xfId="34895" xr:uid="{00000000-0005-0000-0000-00004F880000}"/>
    <cellStyle name="常规 2 5 3 2 2 2 3 4" xfId="34896" xr:uid="{00000000-0005-0000-0000-000050880000}"/>
    <cellStyle name="常规 2 5 3 2 2 2 3 5" xfId="34897" xr:uid="{00000000-0005-0000-0000-000051880000}"/>
    <cellStyle name="常规 2 5 3 2 2 2 4" xfId="34898" xr:uid="{00000000-0005-0000-0000-000052880000}"/>
    <cellStyle name="常规 2 5 3 2 2 2 4 2" xfId="34899" xr:uid="{00000000-0005-0000-0000-000053880000}"/>
    <cellStyle name="常规 2 5 3 2 2 2 4 3" xfId="34900" xr:uid="{00000000-0005-0000-0000-000054880000}"/>
    <cellStyle name="常规 2 5 3 2 2 2 4 4" xfId="34901" xr:uid="{00000000-0005-0000-0000-000055880000}"/>
    <cellStyle name="常规 2 5 3 2 2 2 5" xfId="34902" xr:uid="{00000000-0005-0000-0000-000056880000}"/>
    <cellStyle name="常规 2 5 3 2 2 2 6" xfId="34903" xr:uid="{00000000-0005-0000-0000-000057880000}"/>
    <cellStyle name="常规 2 5 3 2 2 2 7" xfId="34904" xr:uid="{00000000-0005-0000-0000-000058880000}"/>
    <cellStyle name="常规 2 5 3 2 2 3" xfId="34905" xr:uid="{00000000-0005-0000-0000-000059880000}"/>
    <cellStyle name="常规 2 5 3 2 2 3 2" xfId="34906" xr:uid="{00000000-0005-0000-0000-00005A880000}"/>
    <cellStyle name="常规 2 5 3 2 2 3 2 2" xfId="34907" xr:uid="{00000000-0005-0000-0000-00005B880000}"/>
    <cellStyle name="常规 2 5 3 2 2 3 2 3" xfId="34908" xr:uid="{00000000-0005-0000-0000-00005C880000}"/>
    <cellStyle name="常规 2 5 3 2 2 3 2 4" xfId="34909" xr:uid="{00000000-0005-0000-0000-00005D880000}"/>
    <cellStyle name="常规 2 5 3 2 2 3 3" xfId="34910" xr:uid="{00000000-0005-0000-0000-00005E880000}"/>
    <cellStyle name="常规 2 5 3 2 2 3 4" xfId="34911" xr:uid="{00000000-0005-0000-0000-00005F880000}"/>
    <cellStyle name="常规 2 5 3 2 2 3 5" xfId="34912" xr:uid="{00000000-0005-0000-0000-000060880000}"/>
    <cellStyle name="常规 2 5 3 2 2 4" xfId="34913" xr:uid="{00000000-0005-0000-0000-000061880000}"/>
    <cellStyle name="常规 2 5 3 2 2 4 2" xfId="34914" xr:uid="{00000000-0005-0000-0000-000062880000}"/>
    <cellStyle name="常规 2 5 3 2 2 4 2 2" xfId="34915" xr:uid="{00000000-0005-0000-0000-000063880000}"/>
    <cellStyle name="常规 2 5 3 2 2 4 2 3" xfId="34916" xr:uid="{00000000-0005-0000-0000-000064880000}"/>
    <cellStyle name="常规 2 5 3 2 2 4 2 4" xfId="34917" xr:uid="{00000000-0005-0000-0000-000065880000}"/>
    <cellStyle name="常规 2 5 3 2 2 4 3" xfId="34918" xr:uid="{00000000-0005-0000-0000-000066880000}"/>
    <cellStyle name="常规 2 5 3 2 2 4 4" xfId="34919" xr:uid="{00000000-0005-0000-0000-000067880000}"/>
    <cellStyle name="常规 2 5 3 2 2 4 5" xfId="34920" xr:uid="{00000000-0005-0000-0000-000068880000}"/>
    <cellStyle name="常规 2 5 3 2 2 5" xfId="34921" xr:uid="{00000000-0005-0000-0000-000069880000}"/>
    <cellStyle name="常规 2 5 3 2 2 5 2" xfId="34922" xr:uid="{00000000-0005-0000-0000-00006A880000}"/>
    <cellStyle name="常规 2 5 3 2 2 5 3" xfId="34923" xr:uid="{00000000-0005-0000-0000-00006B880000}"/>
    <cellStyle name="常规 2 5 3 2 2 5 4" xfId="34924" xr:uid="{00000000-0005-0000-0000-00006C880000}"/>
    <cellStyle name="常规 2 5 3 2 2 6" xfId="34925" xr:uid="{00000000-0005-0000-0000-00006D880000}"/>
    <cellStyle name="常规 2 5 3 2 2 7" xfId="34926" xr:uid="{00000000-0005-0000-0000-00006E880000}"/>
    <cellStyle name="常规 2 5 3 2 2 8" xfId="34927" xr:uid="{00000000-0005-0000-0000-00006F880000}"/>
    <cellStyle name="常规 2 5 3 2 2 9" xfId="34928" xr:uid="{00000000-0005-0000-0000-000070880000}"/>
    <cellStyle name="常规 2 5 3 2 2 9 2" xfId="34929" xr:uid="{00000000-0005-0000-0000-000071880000}"/>
    <cellStyle name="常规 2 5 3 2 3" xfId="34930" xr:uid="{00000000-0005-0000-0000-000072880000}"/>
    <cellStyle name="常规 2 5 3 2 3 2" xfId="34931" xr:uid="{00000000-0005-0000-0000-000073880000}"/>
    <cellStyle name="常规 2 5 3 2 3 2 2" xfId="34932" xr:uid="{00000000-0005-0000-0000-000074880000}"/>
    <cellStyle name="常规 2 5 3 2 3 2 3" xfId="34933" xr:uid="{00000000-0005-0000-0000-000075880000}"/>
    <cellStyle name="常规 2 5 3 2 3 2 4" xfId="34934" xr:uid="{00000000-0005-0000-0000-000076880000}"/>
    <cellStyle name="常规 2 5 3 2 3 3" xfId="34935" xr:uid="{00000000-0005-0000-0000-000077880000}"/>
    <cellStyle name="常规 2 5 3 2 3 4" xfId="34936" xr:uid="{00000000-0005-0000-0000-000078880000}"/>
    <cellStyle name="常规 2 5 3 2 3 5" xfId="34937" xr:uid="{00000000-0005-0000-0000-000079880000}"/>
    <cellStyle name="常规 2 5 3 2 3 6" xfId="34938" xr:uid="{00000000-0005-0000-0000-00007A880000}"/>
    <cellStyle name="常规 2 5 3 2 3 6 2" xfId="34939" xr:uid="{00000000-0005-0000-0000-00007B880000}"/>
    <cellStyle name="常规 2 5 3 2 4" xfId="34940" xr:uid="{00000000-0005-0000-0000-00007C880000}"/>
    <cellStyle name="常规 2 5 3 2 4 2" xfId="34941" xr:uid="{00000000-0005-0000-0000-00007D880000}"/>
    <cellStyle name="常规 2 5 3 2 4 2 2" xfId="34942" xr:uid="{00000000-0005-0000-0000-00007E880000}"/>
    <cellStyle name="常规 2 5 3 2 4 2 3" xfId="34943" xr:uid="{00000000-0005-0000-0000-00007F880000}"/>
    <cellStyle name="常规 2 5 3 2 4 2 4" xfId="34944" xr:uid="{00000000-0005-0000-0000-000080880000}"/>
    <cellStyle name="常规 2 5 3 2 4 2 5" xfId="34945" xr:uid="{00000000-0005-0000-0000-000081880000}"/>
    <cellStyle name="常规 2 5 3 2 4 3" xfId="34946" xr:uid="{00000000-0005-0000-0000-000082880000}"/>
    <cellStyle name="常规 2 5 3 2 4 4" xfId="34947" xr:uid="{00000000-0005-0000-0000-000083880000}"/>
    <cellStyle name="常规 2 5 3 2 4 5" xfId="34948" xr:uid="{00000000-0005-0000-0000-000084880000}"/>
    <cellStyle name="常规 2 5 3 2 4 6" xfId="34949" xr:uid="{00000000-0005-0000-0000-000085880000}"/>
    <cellStyle name="常规 2 5 3 2 5" xfId="34950" xr:uid="{00000000-0005-0000-0000-000086880000}"/>
    <cellStyle name="常规 2 5 3 2 5 2" xfId="34951" xr:uid="{00000000-0005-0000-0000-000087880000}"/>
    <cellStyle name="常规 2 5 3 2 5 2 2" xfId="34952" xr:uid="{00000000-0005-0000-0000-000088880000}"/>
    <cellStyle name="常规 2 5 3 2 5 3" xfId="34953" xr:uid="{00000000-0005-0000-0000-000089880000}"/>
    <cellStyle name="常规 2 5 3 2 5 4" xfId="34954" xr:uid="{00000000-0005-0000-0000-00008A880000}"/>
    <cellStyle name="常规 2 5 3 2 5 5" xfId="34955" xr:uid="{00000000-0005-0000-0000-00008B880000}"/>
    <cellStyle name="常规 2 5 3 2 6" xfId="34956" xr:uid="{00000000-0005-0000-0000-00008C880000}"/>
    <cellStyle name="常规 2 5 3 2 7" xfId="34957" xr:uid="{00000000-0005-0000-0000-00008D880000}"/>
    <cellStyle name="常规 2 5 3 2 8" xfId="34958" xr:uid="{00000000-0005-0000-0000-00008E880000}"/>
    <cellStyle name="常规 2 5 3 2 9" xfId="34959" xr:uid="{00000000-0005-0000-0000-00008F880000}"/>
    <cellStyle name="常规 2 5 3 2 9 2" xfId="34960" xr:uid="{00000000-0005-0000-0000-000090880000}"/>
    <cellStyle name="常规 2 5 3 20" xfId="34961" xr:uid="{00000000-0005-0000-0000-000091880000}"/>
    <cellStyle name="常规 2 5 3 21" xfId="34962" xr:uid="{00000000-0005-0000-0000-000092880000}"/>
    <cellStyle name="常规 2 5 3 21 2" xfId="34963" xr:uid="{00000000-0005-0000-0000-000093880000}"/>
    <cellStyle name="常规 2 5 3 22" xfId="34964" xr:uid="{00000000-0005-0000-0000-000094880000}"/>
    <cellStyle name="常规 2 5 3 3" xfId="34965" xr:uid="{00000000-0005-0000-0000-000095880000}"/>
    <cellStyle name="常规 2 5 3 3 10" xfId="34966" xr:uid="{00000000-0005-0000-0000-000096880000}"/>
    <cellStyle name="常规 2 5 3 3 2" xfId="34967" xr:uid="{00000000-0005-0000-0000-000097880000}"/>
    <cellStyle name="常规 2 5 3 3 2 10" xfId="34968" xr:uid="{00000000-0005-0000-0000-000098880000}"/>
    <cellStyle name="常规 2 5 3 3 2 2" xfId="34969" xr:uid="{00000000-0005-0000-0000-000099880000}"/>
    <cellStyle name="常规 2 5 3 3 2 2 2" xfId="34970" xr:uid="{00000000-0005-0000-0000-00009A880000}"/>
    <cellStyle name="常规 2 5 3 3 2 2 2 2" xfId="34971" xr:uid="{00000000-0005-0000-0000-00009B880000}"/>
    <cellStyle name="常规 2 5 3 3 2 2 2 2 2" xfId="34972" xr:uid="{00000000-0005-0000-0000-00009C880000}"/>
    <cellStyle name="常规 2 5 3 3 2 2 2 2 3" xfId="34973" xr:uid="{00000000-0005-0000-0000-00009D880000}"/>
    <cellStyle name="常规 2 5 3 3 2 2 2 2 4" xfId="34974" xr:uid="{00000000-0005-0000-0000-00009E880000}"/>
    <cellStyle name="常规 2 5 3 3 2 2 2 3" xfId="34975" xr:uid="{00000000-0005-0000-0000-00009F880000}"/>
    <cellStyle name="常规 2 5 3 3 2 2 2 4" xfId="34976" xr:uid="{00000000-0005-0000-0000-0000A0880000}"/>
    <cellStyle name="常规 2 5 3 3 2 2 2 5" xfId="34977" xr:uid="{00000000-0005-0000-0000-0000A1880000}"/>
    <cellStyle name="常规 2 5 3 3 2 2 3" xfId="34978" xr:uid="{00000000-0005-0000-0000-0000A2880000}"/>
    <cellStyle name="常规 2 5 3 3 2 2 3 2" xfId="34979" xr:uid="{00000000-0005-0000-0000-0000A3880000}"/>
    <cellStyle name="常规 2 5 3 3 2 2 3 2 2" xfId="34980" xr:uid="{00000000-0005-0000-0000-0000A4880000}"/>
    <cellStyle name="常规 2 5 3 3 2 2 3 2 3" xfId="34981" xr:uid="{00000000-0005-0000-0000-0000A5880000}"/>
    <cellStyle name="常规 2 5 3 3 2 2 3 2 4" xfId="34982" xr:uid="{00000000-0005-0000-0000-0000A6880000}"/>
    <cellStyle name="常规 2 5 3 3 2 2 3 3" xfId="34983" xr:uid="{00000000-0005-0000-0000-0000A7880000}"/>
    <cellStyle name="常规 2 5 3 3 2 2 3 4" xfId="34984" xr:uid="{00000000-0005-0000-0000-0000A8880000}"/>
    <cellStyle name="常规 2 5 3 3 2 2 3 5" xfId="34985" xr:uid="{00000000-0005-0000-0000-0000A9880000}"/>
    <cellStyle name="常规 2 5 3 3 2 2 4" xfId="34986" xr:uid="{00000000-0005-0000-0000-0000AA880000}"/>
    <cellStyle name="常规 2 5 3 3 2 2 4 2" xfId="34987" xr:uid="{00000000-0005-0000-0000-0000AB880000}"/>
    <cellStyle name="常规 2 5 3 3 2 2 4 3" xfId="34988" xr:uid="{00000000-0005-0000-0000-0000AC880000}"/>
    <cellStyle name="常规 2 5 3 3 2 2 4 4" xfId="34989" xr:uid="{00000000-0005-0000-0000-0000AD880000}"/>
    <cellStyle name="常规 2 5 3 3 2 2 5" xfId="34990" xr:uid="{00000000-0005-0000-0000-0000AE880000}"/>
    <cellStyle name="常规 2 5 3 3 2 2 6" xfId="34991" xr:uid="{00000000-0005-0000-0000-0000AF880000}"/>
    <cellStyle name="常规 2 5 3 3 2 2 7" xfId="34992" xr:uid="{00000000-0005-0000-0000-0000B0880000}"/>
    <cellStyle name="常规 2 5 3 3 2 2 8" xfId="34993" xr:uid="{00000000-0005-0000-0000-0000B1880000}"/>
    <cellStyle name="常规 2 5 3 3 2 3" xfId="34994" xr:uid="{00000000-0005-0000-0000-0000B2880000}"/>
    <cellStyle name="常规 2 5 3 3 2 3 2" xfId="34995" xr:uid="{00000000-0005-0000-0000-0000B3880000}"/>
    <cellStyle name="常规 2 5 3 3 2 3 2 2" xfId="34996" xr:uid="{00000000-0005-0000-0000-0000B4880000}"/>
    <cellStyle name="常规 2 5 3 3 2 3 2 3" xfId="34997" xr:uid="{00000000-0005-0000-0000-0000B5880000}"/>
    <cellStyle name="常规 2 5 3 3 2 3 2 4" xfId="34998" xr:uid="{00000000-0005-0000-0000-0000B6880000}"/>
    <cellStyle name="常规 2 5 3 3 2 3 3" xfId="34999" xr:uid="{00000000-0005-0000-0000-0000B7880000}"/>
    <cellStyle name="常规 2 5 3 3 2 3 4" xfId="35000" xr:uid="{00000000-0005-0000-0000-0000B8880000}"/>
    <cellStyle name="常规 2 5 3 3 2 3 5" xfId="35001" xr:uid="{00000000-0005-0000-0000-0000B9880000}"/>
    <cellStyle name="常规 2 5 3 3 2 4" xfId="35002" xr:uid="{00000000-0005-0000-0000-0000BA880000}"/>
    <cellStyle name="常规 2 5 3 3 2 4 2" xfId="35003" xr:uid="{00000000-0005-0000-0000-0000BB880000}"/>
    <cellStyle name="常规 2 5 3 3 2 4 2 2" xfId="35004" xr:uid="{00000000-0005-0000-0000-0000BC880000}"/>
    <cellStyle name="常规 2 5 3 3 2 4 2 3" xfId="35005" xr:uid="{00000000-0005-0000-0000-0000BD880000}"/>
    <cellStyle name="常规 2 5 3 3 2 4 2 4" xfId="35006" xr:uid="{00000000-0005-0000-0000-0000BE880000}"/>
    <cellStyle name="常规 2 5 3 3 2 4 3" xfId="35007" xr:uid="{00000000-0005-0000-0000-0000BF880000}"/>
    <cellStyle name="常规 2 5 3 3 2 4 4" xfId="35008" xr:uid="{00000000-0005-0000-0000-0000C0880000}"/>
    <cellStyle name="常规 2 5 3 3 2 4 5" xfId="35009" xr:uid="{00000000-0005-0000-0000-0000C1880000}"/>
    <cellStyle name="常规 2 5 3 3 2 5" xfId="35010" xr:uid="{00000000-0005-0000-0000-0000C2880000}"/>
    <cellStyle name="常规 2 5 3 3 2 5 2" xfId="35011" xr:uid="{00000000-0005-0000-0000-0000C3880000}"/>
    <cellStyle name="常规 2 5 3 3 2 5 3" xfId="35012" xr:uid="{00000000-0005-0000-0000-0000C4880000}"/>
    <cellStyle name="常规 2 5 3 3 2 5 4" xfId="35013" xr:uid="{00000000-0005-0000-0000-0000C5880000}"/>
    <cellStyle name="常规 2 5 3 3 2 6" xfId="35014" xr:uid="{00000000-0005-0000-0000-0000C6880000}"/>
    <cellStyle name="常规 2 5 3 3 2 7" xfId="35015" xr:uid="{00000000-0005-0000-0000-0000C7880000}"/>
    <cellStyle name="常规 2 5 3 3 2 8" xfId="35016" xr:uid="{00000000-0005-0000-0000-0000C8880000}"/>
    <cellStyle name="常规 2 5 3 3 2 9" xfId="35017" xr:uid="{00000000-0005-0000-0000-0000C9880000}"/>
    <cellStyle name="常规 2 5 3 3 2 9 2" xfId="35018" xr:uid="{00000000-0005-0000-0000-0000CA880000}"/>
    <cellStyle name="常规 2 5 3 3 3" xfId="35019" xr:uid="{00000000-0005-0000-0000-0000CB880000}"/>
    <cellStyle name="常规 2 5 3 3 3 2" xfId="35020" xr:uid="{00000000-0005-0000-0000-0000CC880000}"/>
    <cellStyle name="常规 2 5 3 3 3 2 2" xfId="35021" xr:uid="{00000000-0005-0000-0000-0000CD880000}"/>
    <cellStyle name="常规 2 5 3 3 3 2 3" xfId="35022" xr:uid="{00000000-0005-0000-0000-0000CE880000}"/>
    <cellStyle name="常规 2 5 3 3 3 2 4" xfId="35023" xr:uid="{00000000-0005-0000-0000-0000CF880000}"/>
    <cellStyle name="常规 2 5 3 3 3 2 5" xfId="35024" xr:uid="{00000000-0005-0000-0000-0000D0880000}"/>
    <cellStyle name="常规 2 5 3 3 3 3" xfId="35025" xr:uid="{00000000-0005-0000-0000-0000D1880000}"/>
    <cellStyle name="常规 2 5 3 3 3 4" xfId="35026" xr:uid="{00000000-0005-0000-0000-0000D2880000}"/>
    <cellStyle name="常规 2 5 3 3 3 5" xfId="35027" xr:uid="{00000000-0005-0000-0000-0000D3880000}"/>
    <cellStyle name="常规 2 5 3 3 3 6" xfId="35028" xr:uid="{00000000-0005-0000-0000-0000D4880000}"/>
    <cellStyle name="常规 2 5 3 3 4" xfId="35029" xr:uid="{00000000-0005-0000-0000-0000D5880000}"/>
    <cellStyle name="常规 2 5 3 3 4 2" xfId="35030" xr:uid="{00000000-0005-0000-0000-0000D6880000}"/>
    <cellStyle name="常规 2 5 3 3 4 2 2" xfId="35031" xr:uid="{00000000-0005-0000-0000-0000D7880000}"/>
    <cellStyle name="常规 2 5 3 3 4 2 3" xfId="35032" xr:uid="{00000000-0005-0000-0000-0000D8880000}"/>
    <cellStyle name="常规 2 5 3 3 4 2 4" xfId="35033" xr:uid="{00000000-0005-0000-0000-0000D9880000}"/>
    <cellStyle name="常规 2 5 3 3 4 2 5" xfId="35034" xr:uid="{00000000-0005-0000-0000-0000DA880000}"/>
    <cellStyle name="常规 2 5 3 3 4 3" xfId="35035" xr:uid="{00000000-0005-0000-0000-0000DB880000}"/>
    <cellStyle name="常规 2 5 3 3 4 4" xfId="35036" xr:uid="{00000000-0005-0000-0000-0000DC880000}"/>
    <cellStyle name="常规 2 5 3 3 4 5" xfId="35037" xr:uid="{00000000-0005-0000-0000-0000DD880000}"/>
    <cellStyle name="常规 2 5 3 3 4 6" xfId="35038" xr:uid="{00000000-0005-0000-0000-0000DE880000}"/>
    <cellStyle name="常规 2 5 3 3 5" xfId="35039" xr:uid="{00000000-0005-0000-0000-0000DF880000}"/>
    <cellStyle name="常规 2 5 3 3 5 2" xfId="35040" xr:uid="{00000000-0005-0000-0000-0000E0880000}"/>
    <cellStyle name="常规 2 5 3 3 5 3" xfId="35041" xr:uid="{00000000-0005-0000-0000-0000E1880000}"/>
    <cellStyle name="常规 2 5 3 3 5 4" xfId="35042" xr:uid="{00000000-0005-0000-0000-0000E2880000}"/>
    <cellStyle name="常规 2 5 3 3 5 5" xfId="35043" xr:uid="{00000000-0005-0000-0000-0000E3880000}"/>
    <cellStyle name="常规 2 5 3 3 6" xfId="35044" xr:uid="{00000000-0005-0000-0000-0000E4880000}"/>
    <cellStyle name="常规 2 5 3 3 7" xfId="35045" xr:uid="{00000000-0005-0000-0000-0000E5880000}"/>
    <cellStyle name="常规 2 5 3 3 8" xfId="35046" xr:uid="{00000000-0005-0000-0000-0000E6880000}"/>
    <cellStyle name="常规 2 5 3 3 9" xfId="35047" xr:uid="{00000000-0005-0000-0000-0000E7880000}"/>
    <cellStyle name="常规 2 5 3 3 9 2" xfId="35048" xr:uid="{00000000-0005-0000-0000-0000E8880000}"/>
    <cellStyle name="常规 2 5 3 4" xfId="35049" xr:uid="{00000000-0005-0000-0000-0000E9880000}"/>
    <cellStyle name="常规 2 5 3 4 2" xfId="35050" xr:uid="{00000000-0005-0000-0000-0000EA880000}"/>
    <cellStyle name="常规 2 5 3 4 2 2" xfId="35051" xr:uid="{00000000-0005-0000-0000-0000EB880000}"/>
    <cellStyle name="常规 2 5 3 4 2 2 2" xfId="35052" xr:uid="{00000000-0005-0000-0000-0000EC880000}"/>
    <cellStyle name="常规 2 5 3 4 2 2 2 2" xfId="35053" xr:uid="{00000000-0005-0000-0000-0000ED880000}"/>
    <cellStyle name="常规 2 5 3 4 2 2 2 2 2" xfId="35054" xr:uid="{00000000-0005-0000-0000-0000EE880000}"/>
    <cellStyle name="常规 2 5 3 4 2 2 2 2 3" xfId="35055" xr:uid="{00000000-0005-0000-0000-0000EF880000}"/>
    <cellStyle name="常规 2 5 3 4 2 2 2 2 4" xfId="35056" xr:uid="{00000000-0005-0000-0000-0000F0880000}"/>
    <cellStyle name="常规 2 5 3 4 2 2 2 3" xfId="35057" xr:uid="{00000000-0005-0000-0000-0000F1880000}"/>
    <cellStyle name="常规 2 5 3 4 2 2 2 4" xfId="35058" xr:uid="{00000000-0005-0000-0000-0000F2880000}"/>
    <cellStyle name="常规 2 5 3 4 2 2 2 5" xfId="35059" xr:uid="{00000000-0005-0000-0000-0000F3880000}"/>
    <cellStyle name="常规 2 5 3 4 2 2 3" xfId="35060" xr:uid="{00000000-0005-0000-0000-0000F4880000}"/>
    <cellStyle name="常规 2 5 3 4 2 2 3 2" xfId="35061" xr:uid="{00000000-0005-0000-0000-0000F5880000}"/>
    <cellStyle name="常规 2 5 3 4 2 2 3 2 2" xfId="35062" xr:uid="{00000000-0005-0000-0000-0000F6880000}"/>
    <cellStyle name="常规 2 5 3 4 2 2 3 2 3" xfId="35063" xr:uid="{00000000-0005-0000-0000-0000F7880000}"/>
    <cellStyle name="常规 2 5 3 4 2 2 3 2 4" xfId="35064" xr:uid="{00000000-0005-0000-0000-0000F8880000}"/>
    <cellStyle name="常规 2 5 3 4 2 2 3 3" xfId="35065" xr:uid="{00000000-0005-0000-0000-0000F9880000}"/>
    <cellStyle name="常规 2 5 3 4 2 2 3 4" xfId="35066" xr:uid="{00000000-0005-0000-0000-0000FA880000}"/>
    <cellStyle name="常规 2 5 3 4 2 2 3 5" xfId="35067" xr:uid="{00000000-0005-0000-0000-0000FB880000}"/>
    <cellStyle name="常规 2 5 3 4 2 2 4" xfId="35068" xr:uid="{00000000-0005-0000-0000-0000FC880000}"/>
    <cellStyle name="常规 2 5 3 4 2 2 4 2" xfId="35069" xr:uid="{00000000-0005-0000-0000-0000FD880000}"/>
    <cellStyle name="常规 2 5 3 4 2 2 4 3" xfId="35070" xr:uid="{00000000-0005-0000-0000-0000FE880000}"/>
    <cellStyle name="常规 2 5 3 4 2 2 4 4" xfId="35071" xr:uid="{00000000-0005-0000-0000-0000FF880000}"/>
    <cellStyle name="常规 2 5 3 4 2 2 5" xfId="35072" xr:uid="{00000000-0005-0000-0000-000000890000}"/>
    <cellStyle name="常规 2 5 3 4 2 2 6" xfId="35073" xr:uid="{00000000-0005-0000-0000-000001890000}"/>
    <cellStyle name="常规 2 5 3 4 2 2 7" xfId="35074" xr:uid="{00000000-0005-0000-0000-000002890000}"/>
    <cellStyle name="常规 2 5 3 4 2 3" xfId="35075" xr:uid="{00000000-0005-0000-0000-000003890000}"/>
    <cellStyle name="常规 2 5 3 4 2 3 2" xfId="35076" xr:uid="{00000000-0005-0000-0000-000004890000}"/>
    <cellStyle name="常规 2 5 3 4 2 3 2 2" xfId="35077" xr:uid="{00000000-0005-0000-0000-000005890000}"/>
    <cellStyle name="常规 2 5 3 4 2 3 2 3" xfId="35078" xr:uid="{00000000-0005-0000-0000-000006890000}"/>
    <cellStyle name="常规 2 5 3 4 2 3 2 4" xfId="35079" xr:uid="{00000000-0005-0000-0000-000007890000}"/>
    <cellStyle name="常规 2 5 3 4 2 3 3" xfId="35080" xr:uid="{00000000-0005-0000-0000-000008890000}"/>
    <cellStyle name="常规 2 5 3 4 2 3 4" xfId="35081" xr:uid="{00000000-0005-0000-0000-000009890000}"/>
    <cellStyle name="常规 2 5 3 4 2 3 5" xfId="35082" xr:uid="{00000000-0005-0000-0000-00000A890000}"/>
    <cellStyle name="常规 2 5 3 4 2 4" xfId="35083" xr:uid="{00000000-0005-0000-0000-00000B890000}"/>
    <cellStyle name="常规 2 5 3 4 2 4 2" xfId="35084" xr:uid="{00000000-0005-0000-0000-00000C890000}"/>
    <cellStyle name="常规 2 5 3 4 2 4 2 2" xfId="35085" xr:uid="{00000000-0005-0000-0000-00000D890000}"/>
    <cellStyle name="常规 2 5 3 4 2 4 2 3" xfId="35086" xr:uid="{00000000-0005-0000-0000-00000E890000}"/>
    <cellStyle name="常规 2 5 3 4 2 4 2 4" xfId="35087" xr:uid="{00000000-0005-0000-0000-00000F890000}"/>
    <cellStyle name="常规 2 5 3 4 2 4 3" xfId="35088" xr:uid="{00000000-0005-0000-0000-000010890000}"/>
    <cellStyle name="常规 2 5 3 4 2 4 4" xfId="35089" xr:uid="{00000000-0005-0000-0000-000011890000}"/>
    <cellStyle name="常规 2 5 3 4 2 4 5" xfId="35090" xr:uid="{00000000-0005-0000-0000-000012890000}"/>
    <cellStyle name="常规 2 5 3 4 2 5" xfId="35091" xr:uid="{00000000-0005-0000-0000-000013890000}"/>
    <cellStyle name="常规 2 5 3 4 2 5 2" xfId="35092" xr:uid="{00000000-0005-0000-0000-000014890000}"/>
    <cellStyle name="常规 2 5 3 4 2 5 3" xfId="35093" xr:uid="{00000000-0005-0000-0000-000015890000}"/>
    <cellStyle name="常规 2 5 3 4 2 5 4" xfId="35094" xr:uid="{00000000-0005-0000-0000-000016890000}"/>
    <cellStyle name="常规 2 5 3 4 2 6" xfId="35095" xr:uid="{00000000-0005-0000-0000-000017890000}"/>
    <cellStyle name="常规 2 5 3 4 2 7" xfId="35096" xr:uid="{00000000-0005-0000-0000-000018890000}"/>
    <cellStyle name="常规 2 5 3 4 2 8" xfId="35097" xr:uid="{00000000-0005-0000-0000-000019890000}"/>
    <cellStyle name="常规 2 5 3 4 3" xfId="35098" xr:uid="{00000000-0005-0000-0000-00001A890000}"/>
    <cellStyle name="常规 2 5 3 4 3 2" xfId="35099" xr:uid="{00000000-0005-0000-0000-00001B890000}"/>
    <cellStyle name="常规 2 5 3 4 3 2 2" xfId="35100" xr:uid="{00000000-0005-0000-0000-00001C890000}"/>
    <cellStyle name="常规 2 5 3 4 3 2 3" xfId="35101" xr:uid="{00000000-0005-0000-0000-00001D890000}"/>
    <cellStyle name="常规 2 5 3 4 3 2 4" xfId="35102" xr:uid="{00000000-0005-0000-0000-00001E890000}"/>
    <cellStyle name="常规 2 5 3 4 3 3" xfId="35103" xr:uid="{00000000-0005-0000-0000-00001F890000}"/>
    <cellStyle name="常规 2 5 3 4 3 4" xfId="35104" xr:uid="{00000000-0005-0000-0000-000020890000}"/>
    <cellStyle name="常规 2 5 3 4 3 5" xfId="35105" xr:uid="{00000000-0005-0000-0000-000021890000}"/>
    <cellStyle name="常规 2 5 3 4 4" xfId="35106" xr:uid="{00000000-0005-0000-0000-000022890000}"/>
    <cellStyle name="常规 2 5 3 4 4 2" xfId="35107" xr:uid="{00000000-0005-0000-0000-000023890000}"/>
    <cellStyle name="常规 2 5 3 4 4 2 2" xfId="35108" xr:uid="{00000000-0005-0000-0000-000024890000}"/>
    <cellStyle name="常规 2 5 3 4 4 2 3" xfId="35109" xr:uid="{00000000-0005-0000-0000-000025890000}"/>
    <cellStyle name="常规 2 5 3 4 4 2 4" xfId="35110" xr:uid="{00000000-0005-0000-0000-000026890000}"/>
    <cellStyle name="常规 2 5 3 4 4 3" xfId="35111" xr:uid="{00000000-0005-0000-0000-000027890000}"/>
    <cellStyle name="常规 2 5 3 4 4 4" xfId="35112" xr:uid="{00000000-0005-0000-0000-000028890000}"/>
    <cellStyle name="常规 2 5 3 4 4 5" xfId="35113" xr:uid="{00000000-0005-0000-0000-000029890000}"/>
    <cellStyle name="常规 2 5 3 4 5" xfId="35114" xr:uid="{00000000-0005-0000-0000-00002A890000}"/>
    <cellStyle name="常规 2 5 3 4 5 2" xfId="35115" xr:uid="{00000000-0005-0000-0000-00002B890000}"/>
    <cellStyle name="常规 2 5 3 4 5 3" xfId="35116" xr:uid="{00000000-0005-0000-0000-00002C890000}"/>
    <cellStyle name="常规 2 5 3 4 5 4" xfId="35117" xr:uid="{00000000-0005-0000-0000-00002D890000}"/>
    <cellStyle name="常规 2 5 3 4 6" xfId="35118" xr:uid="{00000000-0005-0000-0000-00002E890000}"/>
    <cellStyle name="常规 2 5 3 4 7" xfId="35119" xr:uid="{00000000-0005-0000-0000-00002F890000}"/>
    <cellStyle name="常规 2 5 3 4 8" xfId="35120" xr:uid="{00000000-0005-0000-0000-000030890000}"/>
    <cellStyle name="常规 2 5 3 4 9" xfId="35121" xr:uid="{00000000-0005-0000-0000-000031890000}"/>
    <cellStyle name="常规 2 5 3 4 9 2" xfId="35122" xr:uid="{00000000-0005-0000-0000-000032890000}"/>
    <cellStyle name="常规 2 5 3 5" xfId="35123" xr:uid="{00000000-0005-0000-0000-000033890000}"/>
    <cellStyle name="常规 2 5 3 5 2" xfId="35124" xr:uid="{00000000-0005-0000-0000-000034890000}"/>
    <cellStyle name="常规 2 5 3 5 2 2" xfId="35125" xr:uid="{00000000-0005-0000-0000-000035890000}"/>
    <cellStyle name="常规 2 5 3 5 2 2 2" xfId="35126" xr:uid="{00000000-0005-0000-0000-000036890000}"/>
    <cellStyle name="常规 2 5 3 5 2 2 2 2" xfId="35127" xr:uid="{00000000-0005-0000-0000-000037890000}"/>
    <cellStyle name="常规 2 5 3 5 2 2 2 2 2" xfId="35128" xr:uid="{00000000-0005-0000-0000-000038890000}"/>
    <cellStyle name="常规 2 5 3 5 2 2 2 2 3" xfId="35129" xr:uid="{00000000-0005-0000-0000-000039890000}"/>
    <cellStyle name="常规 2 5 3 5 2 2 2 2 4" xfId="35130" xr:uid="{00000000-0005-0000-0000-00003A890000}"/>
    <cellStyle name="常规 2 5 3 5 2 2 2 3" xfId="35131" xr:uid="{00000000-0005-0000-0000-00003B890000}"/>
    <cellStyle name="常规 2 5 3 5 2 2 2 4" xfId="35132" xr:uid="{00000000-0005-0000-0000-00003C890000}"/>
    <cellStyle name="常规 2 5 3 5 2 2 2 5" xfId="35133" xr:uid="{00000000-0005-0000-0000-00003D890000}"/>
    <cellStyle name="常规 2 5 3 5 2 2 3" xfId="35134" xr:uid="{00000000-0005-0000-0000-00003E890000}"/>
    <cellStyle name="常规 2 5 3 5 2 2 3 2" xfId="35135" xr:uid="{00000000-0005-0000-0000-00003F890000}"/>
    <cellStyle name="常规 2 5 3 5 2 2 3 2 2" xfId="35136" xr:uid="{00000000-0005-0000-0000-000040890000}"/>
    <cellStyle name="常规 2 5 3 5 2 2 3 2 3" xfId="35137" xr:uid="{00000000-0005-0000-0000-000041890000}"/>
    <cellStyle name="常规 2 5 3 5 2 2 3 2 4" xfId="35138" xr:uid="{00000000-0005-0000-0000-000042890000}"/>
    <cellStyle name="常规 2 5 3 5 2 2 3 3" xfId="35139" xr:uid="{00000000-0005-0000-0000-000043890000}"/>
    <cellStyle name="常规 2 5 3 5 2 2 3 4" xfId="35140" xr:uid="{00000000-0005-0000-0000-000044890000}"/>
    <cellStyle name="常规 2 5 3 5 2 2 3 5" xfId="35141" xr:uid="{00000000-0005-0000-0000-000045890000}"/>
    <cellStyle name="常规 2 5 3 5 2 2 4" xfId="35142" xr:uid="{00000000-0005-0000-0000-000046890000}"/>
    <cellStyle name="常规 2 5 3 5 2 2 4 2" xfId="35143" xr:uid="{00000000-0005-0000-0000-000047890000}"/>
    <cellStyle name="常规 2 5 3 5 2 2 4 3" xfId="35144" xr:uid="{00000000-0005-0000-0000-000048890000}"/>
    <cellStyle name="常规 2 5 3 5 2 2 4 4" xfId="35145" xr:uid="{00000000-0005-0000-0000-000049890000}"/>
    <cellStyle name="常规 2 5 3 5 2 2 5" xfId="35146" xr:uid="{00000000-0005-0000-0000-00004A890000}"/>
    <cellStyle name="常规 2 5 3 5 2 2 6" xfId="35147" xr:uid="{00000000-0005-0000-0000-00004B890000}"/>
    <cellStyle name="常规 2 5 3 5 2 2 7" xfId="35148" xr:uid="{00000000-0005-0000-0000-00004C890000}"/>
    <cellStyle name="常规 2 5 3 5 2 3" xfId="35149" xr:uid="{00000000-0005-0000-0000-00004D890000}"/>
    <cellStyle name="常规 2 5 3 5 2 3 2" xfId="35150" xr:uid="{00000000-0005-0000-0000-00004E890000}"/>
    <cellStyle name="常规 2 5 3 5 2 3 2 2" xfId="35151" xr:uid="{00000000-0005-0000-0000-00004F890000}"/>
    <cellStyle name="常规 2 5 3 5 2 3 2 3" xfId="35152" xr:uid="{00000000-0005-0000-0000-000050890000}"/>
    <cellStyle name="常规 2 5 3 5 2 3 2 4" xfId="35153" xr:uid="{00000000-0005-0000-0000-000051890000}"/>
    <cellStyle name="常规 2 5 3 5 2 3 3" xfId="35154" xr:uid="{00000000-0005-0000-0000-000052890000}"/>
    <cellStyle name="常规 2 5 3 5 2 3 4" xfId="35155" xr:uid="{00000000-0005-0000-0000-000053890000}"/>
    <cellStyle name="常规 2 5 3 5 2 3 5" xfId="35156" xr:uid="{00000000-0005-0000-0000-000054890000}"/>
    <cellStyle name="常规 2 5 3 5 2 4" xfId="35157" xr:uid="{00000000-0005-0000-0000-000055890000}"/>
    <cellStyle name="常规 2 5 3 5 2 4 2" xfId="35158" xr:uid="{00000000-0005-0000-0000-000056890000}"/>
    <cellStyle name="常规 2 5 3 5 2 4 2 2" xfId="35159" xr:uid="{00000000-0005-0000-0000-000057890000}"/>
    <cellStyle name="常规 2 5 3 5 2 4 2 3" xfId="35160" xr:uid="{00000000-0005-0000-0000-000058890000}"/>
    <cellStyle name="常规 2 5 3 5 2 4 2 4" xfId="35161" xr:uid="{00000000-0005-0000-0000-000059890000}"/>
    <cellStyle name="常规 2 5 3 5 2 4 3" xfId="35162" xr:uid="{00000000-0005-0000-0000-00005A890000}"/>
    <cellStyle name="常规 2 5 3 5 2 4 4" xfId="35163" xr:uid="{00000000-0005-0000-0000-00005B890000}"/>
    <cellStyle name="常规 2 5 3 5 2 4 5" xfId="35164" xr:uid="{00000000-0005-0000-0000-00005C890000}"/>
    <cellStyle name="常规 2 5 3 5 2 5" xfId="35165" xr:uid="{00000000-0005-0000-0000-00005D890000}"/>
    <cellStyle name="常规 2 5 3 5 2 5 2" xfId="35166" xr:uid="{00000000-0005-0000-0000-00005E890000}"/>
    <cellStyle name="常规 2 5 3 5 2 5 3" xfId="35167" xr:uid="{00000000-0005-0000-0000-00005F890000}"/>
    <cellStyle name="常规 2 5 3 5 2 5 4" xfId="35168" xr:uid="{00000000-0005-0000-0000-000060890000}"/>
    <cellStyle name="常规 2 5 3 5 2 6" xfId="35169" xr:uid="{00000000-0005-0000-0000-000061890000}"/>
    <cellStyle name="常规 2 5 3 5 2 7" xfId="35170" xr:uid="{00000000-0005-0000-0000-000062890000}"/>
    <cellStyle name="常规 2 5 3 5 2 8" xfId="35171" xr:uid="{00000000-0005-0000-0000-000063890000}"/>
    <cellStyle name="常规 2 5 3 5 3" xfId="35172" xr:uid="{00000000-0005-0000-0000-000064890000}"/>
    <cellStyle name="常规 2 5 3 5 3 2" xfId="35173" xr:uid="{00000000-0005-0000-0000-000065890000}"/>
    <cellStyle name="常规 2 5 3 5 3 2 2" xfId="35174" xr:uid="{00000000-0005-0000-0000-000066890000}"/>
    <cellStyle name="常规 2 5 3 5 3 2 3" xfId="35175" xr:uid="{00000000-0005-0000-0000-000067890000}"/>
    <cellStyle name="常规 2 5 3 5 3 2 4" xfId="35176" xr:uid="{00000000-0005-0000-0000-000068890000}"/>
    <cellStyle name="常规 2 5 3 5 3 3" xfId="35177" xr:uid="{00000000-0005-0000-0000-000069890000}"/>
    <cellStyle name="常规 2 5 3 5 3 4" xfId="35178" xr:uid="{00000000-0005-0000-0000-00006A890000}"/>
    <cellStyle name="常规 2 5 3 5 3 5" xfId="35179" xr:uid="{00000000-0005-0000-0000-00006B890000}"/>
    <cellStyle name="常规 2 5 3 5 4" xfId="35180" xr:uid="{00000000-0005-0000-0000-00006C890000}"/>
    <cellStyle name="常规 2 5 3 5 4 2" xfId="35181" xr:uid="{00000000-0005-0000-0000-00006D890000}"/>
    <cellStyle name="常规 2 5 3 5 4 2 2" xfId="35182" xr:uid="{00000000-0005-0000-0000-00006E890000}"/>
    <cellStyle name="常规 2 5 3 5 4 2 3" xfId="35183" xr:uid="{00000000-0005-0000-0000-00006F890000}"/>
    <cellStyle name="常规 2 5 3 5 4 2 4" xfId="35184" xr:uid="{00000000-0005-0000-0000-000070890000}"/>
    <cellStyle name="常规 2 5 3 5 4 3" xfId="35185" xr:uid="{00000000-0005-0000-0000-000071890000}"/>
    <cellStyle name="常规 2 5 3 5 4 4" xfId="35186" xr:uid="{00000000-0005-0000-0000-000072890000}"/>
    <cellStyle name="常规 2 5 3 5 4 5" xfId="35187" xr:uid="{00000000-0005-0000-0000-000073890000}"/>
    <cellStyle name="常规 2 5 3 5 5" xfId="35188" xr:uid="{00000000-0005-0000-0000-000074890000}"/>
    <cellStyle name="常规 2 5 3 5 5 2" xfId="35189" xr:uid="{00000000-0005-0000-0000-000075890000}"/>
    <cellStyle name="常规 2 5 3 5 5 3" xfId="35190" xr:uid="{00000000-0005-0000-0000-000076890000}"/>
    <cellStyle name="常规 2 5 3 5 5 4" xfId="35191" xr:uid="{00000000-0005-0000-0000-000077890000}"/>
    <cellStyle name="常规 2 5 3 5 6" xfId="35192" xr:uid="{00000000-0005-0000-0000-000078890000}"/>
    <cellStyle name="常规 2 5 3 5 7" xfId="35193" xr:uid="{00000000-0005-0000-0000-000079890000}"/>
    <cellStyle name="常规 2 5 3 5 8" xfId="35194" xr:uid="{00000000-0005-0000-0000-00007A890000}"/>
    <cellStyle name="常规 2 5 3 5 9" xfId="35195" xr:uid="{00000000-0005-0000-0000-00007B890000}"/>
    <cellStyle name="常规 2 5 3 5 9 2" xfId="35196" xr:uid="{00000000-0005-0000-0000-00007C890000}"/>
    <cellStyle name="常规 2 5 3 6" xfId="35197" xr:uid="{00000000-0005-0000-0000-00007D890000}"/>
    <cellStyle name="常规 2 5 3 6 2" xfId="35198" xr:uid="{00000000-0005-0000-0000-00007E890000}"/>
    <cellStyle name="常规 2 5 3 6 2 2" xfId="35199" xr:uid="{00000000-0005-0000-0000-00007F890000}"/>
    <cellStyle name="常规 2 5 3 6 2 2 2" xfId="35200" xr:uid="{00000000-0005-0000-0000-000080890000}"/>
    <cellStyle name="常规 2 5 3 6 2 2 2 2" xfId="35201" xr:uid="{00000000-0005-0000-0000-000081890000}"/>
    <cellStyle name="常规 2 5 3 6 2 2 2 2 2" xfId="35202" xr:uid="{00000000-0005-0000-0000-000082890000}"/>
    <cellStyle name="常规 2 5 3 6 2 2 2 2 3" xfId="35203" xr:uid="{00000000-0005-0000-0000-000083890000}"/>
    <cellStyle name="常规 2 5 3 6 2 2 2 2 4" xfId="35204" xr:uid="{00000000-0005-0000-0000-000084890000}"/>
    <cellStyle name="常规 2 5 3 6 2 2 2 3" xfId="35205" xr:uid="{00000000-0005-0000-0000-000085890000}"/>
    <cellStyle name="常规 2 5 3 6 2 2 2 4" xfId="35206" xr:uid="{00000000-0005-0000-0000-000086890000}"/>
    <cellStyle name="常规 2 5 3 6 2 2 2 5" xfId="35207" xr:uid="{00000000-0005-0000-0000-000087890000}"/>
    <cellStyle name="常规 2 5 3 6 2 2 3" xfId="35208" xr:uid="{00000000-0005-0000-0000-000088890000}"/>
    <cellStyle name="常规 2 5 3 6 2 2 3 2" xfId="35209" xr:uid="{00000000-0005-0000-0000-000089890000}"/>
    <cellStyle name="常规 2 5 3 6 2 2 3 2 2" xfId="35210" xr:uid="{00000000-0005-0000-0000-00008A890000}"/>
    <cellStyle name="常规 2 5 3 6 2 2 3 2 3" xfId="35211" xr:uid="{00000000-0005-0000-0000-00008B890000}"/>
    <cellStyle name="常规 2 5 3 6 2 2 3 2 4" xfId="35212" xr:uid="{00000000-0005-0000-0000-00008C890000}"/>
    <cellStyle name="常规 2 5 3 6 2 2 3 3" xfId="35213" xr:uid="{00000000-0005-0000-0000-00008D890000}"/>
    <cellStyle name="常规 2 5 3 6 2 2 3 4" xfId="35214" xr:uid="{00000000-0005-0000-0000-00008E890000}"/>
    <cellStyle name="常规 2 5 3 6 2 2 3 5" xfId="35215" xr:uid="{00000000-0005-0000-0000-00008F890000}"/>
    <cellStyle name="常规 2 5 3 6 2 2 4" xfId="35216" xr:uid="{00000000-0005-0000-0000-000090890000}"/>
    <cellStyle name="常规 2 5 3 6 2 2 4 2" xfId="35217" xr:uid="{00000000-0005-0000-0000-000091890000}"/>
    <cellStyle name="常规 2 5 3 6 2 2 4 3" xfId="35218" xr:uid="{00000000-0005-0000-0000-000092890000}"/>
    <cellStyle name="常规 2 5 3 6 2 2 4 4" xfId="35219" xr:uid="{00000000-0005-0000-0000-000093890000}"/>
    <cellStyle name="常规 2 5 3 6 2 2 5" xfId="35220" xr:uid="{00000000-0005-0000-0000-000094890000}"/>
    <cellStyle name="常规 2 5 3 6 2 2 6" xfId="35221" xr:uid="{00000000-0005-0000-0000-000095890000}"/>
    <cellStyle name="常规 2 5 3 6 2 2 7" xfId="35222" xr:uid="{00000000-0005-0000-0000-000096890000}"/>
    <cellStyle name="常规 2 5 3 6 2 3" xfId="35223" xr:uid="{00000000-0005-0000-0000-000097890000}"/>
    <cellStyle name="常规 2 5 3 6 2 3 2" xfId="35224" xr:uid="{00000000-0005-0000-0000-000098890000}"/>
    <cellStyle name="常规 2 5 3 6 2 3 2 2" xfId="35225" xr:uid="{00000000-0005-0000-0000-000099890000}"/>
    <cellStyle name="常规 2 5 3 6 2 3 2 3" xfId="35226" xr:uid="{00000000-0005-0000-0000-00009A890000}"/>
    <cellStyle name="常规 2 5 3 6 2 3 2 4" xfId="35227" xr:uid="{00000000-0005-0000-0000-00009B890000}"/>
    <cellStyle name="常规 2 5 3 6 2 3 3" xfId="35228" xr:uid="{00000000-0005-0000-0000-00009C890000}"/>
    <cellStyle name="常规 2 5 3 6 2 3 4" xfId="35229" xr:uid="{00000000-0005-0000-0000-00009D890000}"/>
    <cellStyle name="常规 2 5 3 6 2 3 5" xfId="35230" xr:uid="{00000000-0005-0000-0000-00009E890000}"/>
    <cellStyle name="常规 2 5 3 6 2 4" xfId="35231" xr:uid="{00000000-0005-0000-0000-00009F890000}"/>
    <cellStyle name="常规 2 5 3 6 2 4 2" xfId="35232" xr:uid="{00000000-0005-0000-0000-0000A0890000}"/>
    <cellStyle name="常规 2 5 3 6 2 4 2 2" xfId="35233" xr:uid="{00000000-0005-0000-0000-0000A1890000}"/>
    <cellStyle name="常规 2 5 3 6 2 4 2 3" xfId="35234" xr:uid="{00000000-0005-0000-0000-0000A2890000}"/>
    <cellStyle name="常规 2 5 3 6 2 4 2 4" xfId="35235" xr:uid="{00000000-0005-0000-0000-0000A3890000}"/>
    <cellStyle name="常规 2 5 3 6 2 4 3" xfId="35236" xr:uid="{00000000-0005-0000-0000-0000A4890000}"/>
    <cellStyle name="常规 2 5 3 6 2 4 4" xfId="35237" xr:uid="{00000000-0005-0000-0000-0000A5890000}"/>
    <cellStyle name="常规 2 5 3 6 2 4 5" xfId="35238" xr:uid="{00000000-0005-0000-0000-0000A6890000}"/>
    <cellStyle name="常规 2 5 3 6 2 5" xfId="35239" xr:uid="{00000000-0005-0000-0000-0000A7890000}"/>
    <cellStyle name="常规 2 5 3 6 2 5 2" xfId="35240" xr:uid="{00000000-0005-0000-0000-0000A8890000}"/>
    <cellStyle name="常规 2 5 3 6 2 5 3" xfId="35241" xr:uid="{00000000-0005-0000-0000-0000A9890000}"/>
    <cellStyle name="常规 2 5 3 6 2 5 4" xfId="35242" xr:uid="{00000000-0005-0000-0000-0000AA890000}"/>
    <cellStyle name="常规 2 5 3 6 2 6" xfId="35243" xr:uid="{00000000-0005-0000-0000-0000AB890000}"/>
    <cellStyle name="常规 2 5 3 6 2 7" xfId="35244" xr:uid="{00000000-0005-0000-0000-0000AC890000}"/>
    <cellStyle name="常规 2 5 3 6 2 8" xfId="35245" xr:uid="{00000000-0005-0000-0000-0000AD890000}"/>
    <cellStyle name="常规 2 5 3 6 3" xfId="35246" xr:uid="{00000000-0005-0000-0000-0000AE890000}"/>
    <cellStyle name="常规 2 5 3 6 3 2" xfId="35247" xr:uid="{00000000-0005-0000-0000-0000AF890000}"/>
    <cellStyle name="常规 2 5 3 6 3 2 2" xfId="35248" xr:uid="{00000000-0005-0000-0000-0000B0890000}"/>
    <cellStyle name="常规 2 5 3 6 3 2 3" xfId="35249" xr:uid="{00000000-0005-0000-0000-0000B1890000}"/>
    <cellStyle name="常规 2 5 3 6 3 2 4" xfId="35250" xr:uid="{00000000-0005-0000-0000-0000B2890000}"/>
    <cellStyle name="常规 2 5 3 6 3 3" xfId="35251" xr:uid="{00000000-0005-0000-0000-0000B3890000}"/>
    <cellStyle name="常规 2 5 3 6 3 4" xfId="35252" xr:uid="{00000000-0005-0000-0000-0000B4890000}"/>
    <cellStyle name="常规 2 5 3 6 3 5" xfId="35253" xr:uid="{00000000-0005-0000-0000-0000B5890000}"/>
    <cellStyle name="常规 2 5 3 6 4" xfId="35254" xr:uid="{00000000-0005-0000-0000-0000B6890000}"/>
    <cellStyle name="常规 2 5 3 6 4 2" xfId="35255" xr:uid="{00000000-0005-0000-0000-0000B7890000}"/>
    <cellStyle name="常规 2 5 3 6 4 2 2" xfId="35256" xr:uid="{00000000-0005-0000-0000-0000B8890000}"/>
    <cellStyle name="常规 2 5 3 6 4 2 3" xfId="35257" xr:uid="{00000000-0005-0000-0000-0000B9890000}"/>
    <cellStyle name="常规 2 5 3 6 4 2 4" xfId="35258" xr:uid="{00000000-0005-0000-0000-0000BA890000}"/>
    <cellStyle name="常规 2 5 3 6 4 3" xfId="35259" xr:uid="{00000000-0005-0000-0000-0000BB890000}"/>
    <cellStyle name="常规 2 5 3 6 4 4" xfId="35260" xr:uid="{00000000-0005-0000-0000-0000BC890000}"/>
    <cellStyle name="常规 2 5 3 6 4 5" xfId="35261" xr:uid="{00000000-0005-0000-0000-0000BD890000}"/>
    <cellStyle name="常规 2 5 3 6 5" xfId="35262" xr:uid="{00000000-0005-0000-0000-0000BE890000}"/>
    <cellStyle name="常规 2 5 3 6 5 2" xfId="35263" xr:uid="{00000000-0005-0000-0000-0000BF890000}"/>
    <cellStyle name="常规 2 5 3 6 5 3" xfId="35264" xr:uid="{00000000-0005-0000-0000-0000C0890000}"/>
    <cellStyle name="常规 2 5 3 6 5 4" xfId="35265" xr:uid="{00000000-0005-0000-0000-0000C1890000}"/>
    <cellStyle name="常规 2 5 3 6 6" xfId="35266" xr:uid="{00000000-0005-0000-0000-0000C2890000}"/>
    <cellStyle name="常规 2 5 3 6 7" xfId="35267" xr:uid="{00000000-0005-0000-0000-0000C3890000}"/>
    <cellStyle name="常规 2 5 3 6 8" xfId="35268" xr:uid="{00000000-0005-0000-0000-0000C4890000}"/>
    <cellStyle name="常规 2 5 3 6 9" xfId="35269" xr:uid="{00000000-0005-0000-0000-0000C5890000}"/>
    <cellStyle name="常规 2 5 3 6 9 2" xfId="35270" xr:uid="{00000000-0005-0000-0000-0000C6890000}"/>
    <cellStyle name="常规 2 5 3 7" xfId="35271" xr:uid="{00000000-0005-0000-0000-0000C7890000}"/>
    <cellStyle name="常规 2 5 3 7 2" xfId="35272" xr:uid="{00000000-0005-0000-0000-0000C8890000}"/>
    <cellStyle name="常规 2 5 3 7 2 2" xfId="35273" xr:uid="{00000000-0005-0000-0000-0000C9890000}"/>
    <cellStyle name="常规 2 5 3 7 2 2 2" xfId="35274" xr:uid="{00000000-0005-0000-0000-0000CA890000}"/>
    <cellStyle name="常规 2 5 3 7 2 2 2 2" xfId="35275" xr:uid="{00000000-0005-0000-0000-0000CB890000}"/>
    <cellStyle name="常规 2 5 3 7 2 2 2 3" xfId="35276" xr:uid="{00000000-0005-0000-0000-0000CC890000}"/>
    <cellStyle name="常规 2 5 3 7 2 2 2 4" xfId="35277" xr:uid="{00000000-0005-0000-0000-0000CD890000}"/>
    <cellStyle name="常规 2 5 3 7 2 2 3" xfId="35278" xr:uid="{00000000-0005-0000-0000-0000CE890000}"/>
    <cellStyle name="常规 2 5 3 7 2 2 4" xfId="35279" xr:uid="{00000000-0005-0000-0000-0000CF890000}"/>
    <cellStyle name="常规 2 5 3 7 2 2 5" xfId="35280" xr:uid="{00000000-0005-0000-0000-0000D0890000}"/>
    <cellStyle name="常规 2 5 3 7 2 3" xfId="35281" xr:uid="{00000000-0005-0000-0000-0000D1890000}"/>
    <cellStyle name="常规 2 5 3 7 2 3 2" xfId="35282" xr:uid="{00000000-0005-0000-0000-0000D2890000}"/>
    <cellStyle name="常规 2 5 3 7 2 3 2 2" xfId="35283" xr:uid="{00000000-0005-0000-0000-0000D3890000}"/>
    <cellStyle name="常规 2 5 3 7 2 3 2 3" xfId="35284" xr:uid="{00000000-0005-0000-0000-0000D4890000}"/>
    <cellStyle name="常规 2 5 3 7 2 3 2 4" xfId="35285" xr:uid="{00000000-0005-0000-0000-0000D5890000}"/>
    <cellStyle name="常规 2 5 3 7 2 3 3" xfId="35286" xr:uid="{00000000-0005-0000-0000-0000D6890000}"/>
    <cellStyle name="常规 2 5 3 7 2 3 4" xfId="35287" xr:uid="{00000000-0005-0000-0000-0000D7890000}"/>
    <cellStyle name="常规 2 5 3 7 2 3 5" xfId="35288" xr:uid="{00000000-0005-0000-0000-0000D8890000}"/>
    <cellStyle name="常规 2 5 3 7 2 4" xfId="35289" xr:uid="{00000000-0005-0000-0000-0000D9890000}"/>
    <cellStyle name="常规 2 5 3 7 2 4 2" xfId="35290" xr:uid="{00000000-0005-0000-0000-0000DA890000}"/>
    <cellStyle name="常规 2 5 3 7 2 4 3" xfId="35291" xr:uid="{00000000-0005-0000-0000-0000DB890000}"/>
    <cellStyle name="常规 2 5 3 7 2 4 4" xfId="35292" xr:uid="{00000000-0005-0000-0000-0000DC890000}"/>
    <cellStyle name="常规 2 5 3 7 2 5" xfId="35293" xr:uid="{00000000-0005-0000-0000-0000DD890000}"/>
    <cellStyle name="常规 2 5 3 7 2 6" xfId="35294" xr:uid="{00000000-0005-0000-0000-0000DE890000}"/>
    <cellStyle name="常规 2 5 3 7 2 7" xfId="35295" xr:uid="{00000000-0005-0000-0000-0000DF890000}"/>
    <cellStyle name="常规 2 5 3 7 2 8" xfId="35296" xr:uid="{00000000-0005-0000-0000-0000E0890000}"/>
    <cellStyle name="常规 2 5 3 7 3" xfId="35297" xr:uid="{00000000-0005-0000-0000-0000E1890000}"/>
    <cellStyle name="常规 2 5 3 7 3 2" xfId="35298" xr:uid="{00000000-0005-0000-0000-0000E2890000}"/>
    <cellStyle name="常规 2 5 3 7 3 2 2" xfId="35299" xr:uid="{00000000-0005-0000-0000-0000E3890000}"/>
    <cellStyle name="常规 2 5 3 7 3 2 3" xfId="35300" xr:uid="{00000000-0005-0000-0000-0000E4890000}"/>
    <cellStyle name="常规 2 5 3 7 3 2 4" xfId="35301" xr:uid="{00000000-0005-0000-0000-0000E5890000}"/>
    <cellStyle name="常规 2 5 3 7 3 3" xfId="35302" xr:uid="{00000000-0005-0000-0000-0000E6890000}"/>
    <cellStyle name="常规 2 5 3 7 3 4" xfId="35303" xr:uid="{00000000-0005-0000-0000-0000E7890000}"/>
    <cellStyle name="常规 2 5 3 7 3 5" xfId="35304" xr:uid="{00000000-0005-0000-0000-0000E8890000}"/>
    <cellStyle name="常规 2 5 3 7 4" xfId="35305" xr:uid="{00000000-0005-0000-0000-0000E9890000}"/>
    <cellStyle name="常规 2 5 3 7 4 2" xfId="35306" xr:uid="{00000000-0005-0000-0000-0000EA890000}"/>
    <cellStyle name="常规 2 5 3 7 4 2 2" xfId="35307" xr:uid="{00000000-0005-0000-0000-0000EB890000}"/>
    <cellStyle name="常规 2 5 3 7 4 2 3" xfId="35308" xr:uid="{00000000-0005-0000-0000-0000EC890000}"/>
    <cellStyle name="常规 2 5 3 7 4 2 4" xfId="35309" xr:uid="{00000000-0005-0000-0000-0000ED890000}"/>
    <cellStyle name="常规 2 5 3 7 4 3" xfId="35310" xr:uid="{00000000-0005-0000-0000-0000EE890000}"/>
    <cellStyle name="常规 2 5 3 7 4 4" xfId="35311" xr:uid="{00000000-0005-0000-0000-0000EF890000}"/>
    <cellStyle name="常规 2 5 3 7 4 5" xfId="35312" xr:uid="{00000000-0005-0000-0000-0000F0890000}"/>
    <cellStyle name="常规 2 5 3 7 5" xfId="35313" xr:uid="{00000000-0005-0000-0000-0000F1890000}"/>
    <cellStyle name="常规 2 5 3 7 5 2" xfId="35314" xr:uid="{00000000-0005-0000-0000-0000F2890000}"/>
    <cellStyle name="常规 2 5 3 7 5 3" xfId="35315" xr:uid="{00000000-0005-0000-0000-0000F3890000}"/>
    <cellStyle name="常规 2 5 3 7 5 4" xfId="35316" xr:uid="{00000000-0005-0000-0000-0000F4890000}"/>
    <cellStyle name="常规 2 5 3 7 6" xfId="35317" xr:uid="{00000000-0005-0000-0000-0000F5890000}"/>
    <cellStyle name="常规 2 5 3 7 7" xfId="35318" xr:uid="{00000000-0005-0000-0000-0000F6890000}"/>
    <cellStyle name="常规 2 5 3 7 8" xfId="35319" xr:uid="{00000000-0005-0000-0000-0000F7890000}"/>
    <cellStyle name="常规 2 5 3 7 9" xfId="35320" xr:uid="{00000000-0005-0000-0000-0000F8890000}"/>
    <cellStyle name="常规 2 5 3 8" xfId="35321" xr:uid="{00000000-0005-0000-0000-0000F9890000}"/>
    <cellStyle name="常规 2 5 3 8 2" xfId="35322" xr:uid="{00000000-0005-0000-0000-0000FA890000}"/>
    <cellStyle name="常规 2 5 3 8 2 2" xfId="35323" xr:uid="{00000000-0005-0000-0000-0000FB890000}"/>
    <cellStyle name="常规 2 5 3 8 2 2 2" xfId="35324" xr:uid="{00000000-0005-0000-0000-0000FC890000}"/>
    <cellStyle name="常规 2 5 3 8 2 2 2 2" xfId="35325" xr:uid="{00000000-0005-0000-0000-0000FD890000}"/>
    <cellStyle name="常规 2 5 3 8 2 2 2 3" xfId="35326" xr:uid="{00000000-0005-0000-0000-0000FE890000}"/>
    <cellStyle name="常规 2 5 3 8 2 2 2 4" xfId="35327" xr:uid="{00000000-0005-0000-0000-0000FF890000}"/>
    <cellStyle name="常规 2 5 3 8 2 2 3" xfId="35328" xr:uid="{00000000-0005-0000-0000-0000008A0000}"/>
    <cellStyle name="常规 2 5 3 8 2 2 4" xfId="35329" xr:uid="{00000000-0005-0000-0000-0000018A0000}"/>
    <cellStyle name="常规 2 5 3 8 2 2 5" xfId="35330" xr:uid="{00000000-0005-0000-0000-0000028A0000}"/>
    <cellStyle name="常规 2 5 3 8 2 3" xfId="35331" xr:uid="{00000000-0005-0000-0000-0000038A0000}"/>
    <cellStyle name="常规 2 5 3 8 2 3 2" xfId="35332" xr:uid="{00000000-0005-0000-0000-0000048A0000}"/>
    <cellStyle name="常规 2 5 3 8 2 3 2 2" xfId="35333" xr:uid="{00000000-0005-0000-0000-0000058A0000}"/>
    <cellStyle name="常规 2 5 3 8 2 3 2 3" xfId="35334" xr:uid="{00000000-0005-0000-0000-0000068A0000}"/>
    <cellStyle name="常规 2 5 3 8 2 3 2 4" xfId="35335" xr:uid="{00000000-0005-0000-0000-0000078A0000}"/>
    <cellStyle name="常规 2 5 3 8 2 3 3" xfId="35336" xr:uid="{00000000-0005-0000-0000-0000088A0000}"/>
    <cellStyle name="常规 2 5 3 8 2 3 4" xfId="35337" xr:uid="{00000000-0005-0000-0000-0000098A0000}"/>
    <cellStyle name="常规 2 5 3 8 2 3 5" xfId="35338" xr:uid="{00000000-0005-0000-0000-00000A8A0000}"/>
    <cellStyle name="常规 2 5 3 8 2 4" xfId="35339" xr:uid="{00000000-0005-0000-0000-00000B8A0000}"/>
    <cellStyle name="常规 2 5 3 8 2 4 2" xfId="35340" xr:uid="{00000000-0005-0000-0000-00000C8A0000}"/>
    <cellStyle name="常规 2 5 3 8 2 4 3" xfId="35341" xr:uid="{00000000-0005-0000-0000-00000D8A0000}"/>
    <cellStyle name="常规 2 5 3 8 2 4 4" xfId="35342" xr:uid="{00000000-0005-0000-0000-00000E8A0000}"/>
    <cellStyle name="常规 2 5 3 8 2 5" xfId="35343" xr:uid="{00000000-0005-0000-0000-00000F8A0000}"/>
    <cellStyle name="常规 2 5 3 8 2 6" xfId="35344" xr:uid="{00000000-0005-0000-0000-0000108A0000}"/>
    <cellStyle name="常规 2 5 3 8 2 7" xfId="35345" xr:uid="{00000000-0005-0000-0000-0000118A0000}"/>
    <cellStyle name="常规 2 5 3 8 2 8" xfId="35346" xr:uid="{00000000-0005-0000-0000-0000128A0000}"/>
    <cellStyle name="常规 2 5 3 8 3" xfId="35347" xr:uid="{00000000-0005-0000-0000-0000138A0000}"/>
    <cellStyle name="常规 2 5 3 8 3 2" xfId="35348" xr:uid="{00000000-0005-0000-0000-0000148A0000}"/>
    <cellStyle name="常规 2 5 3 8 3 2 2" xfId="35349" xr:uid="{00000000-0005-0000-0000-0000158A0000}"/>
    <cellStyle name="常规 2 5 3 8 3 2 3" xfId="35350" xr:uid="{00000000-0005-0000-0000-0000168A0000}"/>
    <cellStyle name="常规 2 5 3 8 3 2 4" xfId="35351" xr:uid="{00000000-0005-0000-0000-0000178A0000}"/>
    <cellStyle name="常规 2 5 3 8 3 3" xfId="35352" xr:uid="{00000000-0005-0000-0000-0000188A0000}"/>
    <cellStyle name="常规 2 5 3 8 3 4" xfId="35353" xr:uid="{00000000-0005-0000-0000-0000198A0000}"/>
    <cellStyle name="常规 2 5 3 8 3 5" xfId="35354" xr:uid="{00000000-0005-0000-0000-00001A8A0000}"/>
    <cellStyle name="常规 2 5 3 8 4" xfId="35355" xr:uid="{00000000-0005-0000-0000-00001B8A0000}"/>
    <cellStyle name="常规 2 5 3 8 4 2" xfId="35356" xr:uid="{00000000-0005-0000-0000-00001C8A0000}"/>
    <cellStyle name="常规 2 5 3 8 4 2 2" xfId="35357" xr:uid="{00000000-0005-0000-0000-00001D8A0000}"/>
    <cellStyle name="常规 2 5 3 8 4 2 3" xfId="35358" xr:uid="{00000000-0005-0000-0000-00001E8A0000}"/>
    <cellStyle name="常规 2 5 3 8 4 2 4" xfId="35359" xr:uid="{00000000-0005-0000-0000-00001F8A0000}"/>
    <cellStyle name="常规 2 5 3 8 4 3" xfId="35360" xr:uid="{00000000-0005-0000-0000-0000208A0000}"/>
    <cellStyle name="常规 2 5 3 8 4 4" xfId="35361" xr:uid="{00000000-0005-0000-0000-0000218A0000}"/>
    <cellStyle name="常规 2 5 3 8 4 5" xfId="35362" xr:uid="{00000000-0005-0000-0000-0000228A0000}"/>
    <cellStyle name="常规 2 5 3 8 5" xfId="35363" xr:uid="{00000000-0005-0000-0000-0000238A0000}"/>
    <cellStyle name="常规 2 5 3 8 5 2" xfId="35364" xr:uid="{00000000-0005-0000-0000-0000248A0000}"/>
    <cellStyle name="常规 2 5 3 8 5 3" xfId="35365" xr:uid="{00000000-0005-0000-0000-0000258A0000}"/>
    <cellStyle name="常规 2 5 3 8 5 4" xfId="35366" xr:uid="{00000000-0005-0000-0000-0000268A0000}"/>
    <cellStyle name="常规 2 5 3 8 6" xfId="35367" xr:uid="{00000000-0005-0000-0000-0000278A0000}"/>
    <cellStyle name="常规 2 5 3 8 7" xfId="35368" xr:uid="{00000000-0005-0000-0000-0000288A0000}"/>
    <cellStyle name="常规 2 5 3 8 8" xfId="35369" xr:uid="{00000000-0005-0000-0000-0000298A0000}"/>
    <cellStyle name="常规 2 5 3 8 9" xfId="35370" xr:uid="{00000000-0005-0000-0000-00002A8A0000}"/>
    <cellStyle name="常规 2 5 3 9" xfId="35371" xr:uid="{00000000-0005-0000-0000-00002B8A0000}"/>
    <cellStyle name="常规 2 5 3 9 2" xfId="35372" xr:uid="{00000000-0005-0000-0000-00002C8A0000}"/>
    <cellStyle name="常规 2 5 3 9 2 2" xfId="35373" xr:uid="{00000000-0005-0000-0000-00002D8A0000}"/>
    <cellStyle name="常规 2 5 3 9 2 2 2" xfId="35374" xr:uid="{00000000-0005-0000-0000-00002E8A0000}"/>
    <cellStyle name="常规 2 5 3 9 2 2 2 2" xfId="35375" xr:uid="{00000000-0005-0000-0000-00002F8A0000}"/>
    <cellStyle name="常规 2 5 3 9 2 2 2 3" xfId="35376" xr:uid="{00000000-0005-0000-0000-0000308A0000}"/>
    <cellStyle name="常规 2 5 3 9 2 2 2 4" xfId="35377" xr:uid="{00000000-0005-0000-0000-0000318A0000}"/>
    <cellStyle name="常规 2 5 3 9 2 2 3" xfId="35378" xr:uid="{00000000-0005-0000-0000-0000328A0000}"/>
    <cellStyle name="常规 2 5 3 9 2 2 4" xfId="35379" xr:uid="{00000000-0005-0000-0000-0000338A0000}"/>
    <cellStyle name="常规 2 5 3 9 2 2 5" xfId="35380" xr:uid="{00000000-0005-0000-0000-0000348A0000}"/>
    <cellStyle name="常规 2 5 3 9 2 3" xfId="35381" xr:uid="{00000000-0005-0000-0000-0000358A0000}"/>
    <cellStyle name="常规 2 5 3 9 2 3 2" xfId="35382" xr:uid="{00000000-0005-0000-0000-0000368A0000}"/>
    <cellStyle name="常规 2 5 3 9 2 3 2 2" xfId="35383" xr:uid="{00000000-0005-0000-0000-0000378A0000}"/>
    <cellStyle name="常规 2 5 3 9 2 3 2 3" xfId="35384" xr:uid="{00000000-0005-0000-0000-0000388A0000}"/>
    <cellStyle name="常规 2 5 3 9 2 3 2 4" xfId="35385" xr:uid="{00000000-0005-0000-0000-0000398A0000}"/>
    <cellStyle name="常规 2 5 3 9 2 3 3" xfId="35386" xr:uid="{00000000-0005-0000-0000-00003A8A0000}"/>
    <cellStyle name="常规 2 5 3 9 2 3 4" xfId="35387" xr:uid="{00000000-0005-0000-0000-00003B8A0000}"/>
    <cellStyle name="常规 2 5 3 9 2 3 5" xfId="35388" xr:uid="{00000000-0005-0000-0000-00003C8A0000}"/>
    <cellStyle name="常规 2 5 3 9 2 4" xfId="35389" xr:uid="{00000000-0005-0000-0000-00003D8A0000}"/>
    <cellStyle name="常规 2 5 3 9 2 4 2" xfId="35390" xr:uid="{00000000-0005-0000-0000-00003E8A0000}"/>
    <cellStyle name="常规 2 5 3 9 2 4 3" xfId="35391" xr:uid="{00000000-0005-0000-0000-00003F8A0000}"/>
    <cellStyle name="常规 2 5 3 9 2 4 4" xfId="35392" xr:uid="{00000000-0005-0000-0000-0000408A0000}"/>
    <cellStyle name="常规 2 5 3 9 2 5" xfId="35393" xr:uid="{00000000-0005-0000-0000-0000418A0000}"/>
    <cellStyle name="常规 2 5 3 9 2 6" xfId="35394" xr:uid="{00000000-0005-0000-0000-0000428A0000}"/>
    <cellStyle name="常规 2 5 3 9 2 7" xfId="35395" xr:uid="{00000000-0005-0000-0000-0000438A0000}"/>
    <cellStyle name="常规 2 5 3 9 3" xfId="35396" xr:uid="{00000000-0005-0000-0000-0000448A0000}"/>
    <cellStyle name="常规 2 5 3 9 3 2" xfId="35397" xr:uid="{00000000-0005-0000-0000-0000458A0000}"/>
    <cellStyle name="常规 2 5 3 9 3 2 2" xfId="35398" xr:uid="{00000000-0005-0000-0000-0000468A0000}"/>
    <cellStyle name="常规 2 5 3 9 3 2 3" xfId="35399" xr:uid="{00000000-0005-0000-0000-0000478A0000}"/>
    <cellStyle name="常规 2 5 3 9 3 2 4" xfId="35400" xr:uid="{00000000-0005-0000-0000-0000488A0000}"/>
    <cellStyle name="常规 2 5 3 9 3 3" xfId="35401" xr:uid="{00000000-0005-0000-0000-0000498A0000}"/>
    <cellStyle name="常规 2 5 3 9 3 4" xfId="35402" xr:uid="{00000000-0005-0000-0000-00004A8A0000}"/>
    <cellStyle name="常规 2 5 3 9 3 5" xfId="35403" xr:uid="{00000000-0005-0000-0000-00004B8A0000}"/>
    <cellStyle name="常规 2 5 3 9 4" xfId="35404" xr:uid="{00000000-0005-0000-0000-00004C8A0000}"/>
    <cellStyle name="常规 2 5 3 9 4 2" xfId="35405" xr:uid="{00000000-0005-0000-0000-00004D8A0000}"/>
    <cellStyle name="常规 2 5 3 9 4 2 2" xfId="35406" xr:uid="{00000000-0005-0000-0000-00004E8A0000}"/>
    <cellStyle name="常规 2 5 3 9 4 2 3" xfId="35407" xr:uid="{00000000-0005-0000-0000-00004F8A0000}"/>
    <cellStyle name="常规 2 5 3 9 4 2 4" xfId="35408" xr:uid="{00000000-0005-0000-0000-0000508A0000}"/>
    <cellStyle name="常规 2 5 3 9 4 3" xfId="35409" xr:uid="{00000000-0005-0000-0000-0000518A0000}"/>
    <cellStyle name="常规 2 5 3 9 4 4" xfId="35410" xr:uid="{00000000-0005-0000-0000-0000528A0000}"/>
    <cellStyle name="常规 2 5 3 9 4 5" xfId="35411" xr:uid="{00000000-0005-0000-0000-0000538A0000}"/>
    <cellStyle name="常规 2 5 3 9 5" xfId="35412" xr:uid="{00000000-0005-0000-0000-0000548A0000}"/>
    <cellStyle name="常规 2 5 3 9 5 2" xfId="35413" xr:uid="{00000000-0005-0000-0000-0000558A0000}"/>
    <cellStyle name="常规 2 5 3 9 5 3" xfId="35414" xr:uid="{00000000-0005-0000-0000-0000568A0000}"/>
    <cellStyle name="常规 2 5 3 9 5 4" xfId="35415" xr:uid="{00000000-0005-0000-0000-0000578A0000}"/>
    <cellStyle name="常规 2 5 3 9 6" xfId="35416" xr:uid="{00000000-0005-0000-0000-0000588A0000}"/>
    <cellStyle name="常规 2 5 3 9 7" xfId="35417" xr:uid="{00000000-0005-0000-0000-0000598A0000}"/>
    <cellStyle name="常规 2 5 3 9 8" xfId="35418" xr:uid="{00000000-0005-0000-0000-00005A8A0000}"/>
    <cellStyle name="常规 2 5 4" xfId="35419" xr:uid="{00000000-0005-0000-0000-00005B8A0000}"/>
    <cellStyle name="常规 2 5 4 10" xfId="35420" xr:uid="{00000000-0005-0000-0000-00005C8A0000}"/>
    <cellStyle name="常规 2 5 4 10 2" xfId="35421" xr:uid="{00000000-0005-0000-0000-00005D8A0000}"/>
    <cellStyle name="常规 2 5 4 10 2 2" xfId="35422" xr:uid="{00000000-0005-0000-0000-00005E8A0000}"/>
    <cellStyle name="常规 2 5 4 10 2 2 2" xfId="35423" xr:uid="{00000000-0005-0000-0000-00005F8A0000}"/>
    <cellStyle name="常规 2 5 4 10 2 2 2 2" xfId="35424" xr:uid="{00000000-0005-0000-0000-0000608A0000}"/>
    <cellStyle name="常规 2 5 4 10 2 2 2 2 2" xfId="35425" xr:uid="{00000000-0005-0000-0000-0000618A0000}"/>
    <cellStyle name="常规 2 5 4 10 2 2 2 2 3" xfId="35426" xr:uid="{00000000-0005-0000-0000-0000628A0000}"/>
    <cellStyle name="常规 2 5 4 10 2 2 2 2 4" xfId="35427" xr:uid="{00000000-0005-0000-0000-0000638A0000}"/>
    <cellStyle name="常规 2 5 4 10 2 2 2 3" xfId="35428" xr:uid="{00000000-0005-0000-0000-0000648A0000}"/>
    <cellStyle name="常规 2 5 4 10 2 2 2 4" xfId="35429" xr:uid="{00000000-0005-0000-0000-0000658A0000}"/>
    <cellStyle name="常规 2 5 4 10 2 2 2 5" xfId="35430" xr:uid="{00000000-0005-0000-0000-0000668A0000}"/>
    <cellStyle name="常规 2 5 4 10 2 2 3" xfId="35431" xr:uid="{00000000-0005-0000-0000-0000678A0000}"/>
    <cellStyle name="常规 2 5 4 10 2 2 3 2" xfId="35432" xr:uid="{00000000-0005-0000-0000-0000688A0000}"/>
    <cellStyle name="常规 2 5 4 10 2 2 3 2 2" xfId="35433" xr:uid="{00000000-0005-0000-0000-0000698A0000}"/>
    <cellStyle name="常规 2 5 4 10 2 2 3 2 3" xfId="35434" xr:uid="{00000000-0005-0000-0000-00006A8A0000}"/>
    <cellStyle name="常规 2 5 4 10 2 2 3 2 4" xfId="35435" xr:uid="{00000000-0005-0000-0000-00006B8A0000}"/>
    <cellStyle name="常规 2 5 4 10 2 2 3 3" xfId="35436" xr:uid="{00000000-0005-0000-0000-00006C8A0000}"/>
    <cellStyle name="常规 2 5 4 10 2 2 3 4" xfId="35437" xr:uid="{00000000-0005-0000-0000-00006D8A0000}"/>
    <cellStyle name="常规 2 5 4 10 2 2 3 5" xfId="35438" xr:uid="{00000000-0005-0000-0000-00006E8A0000}"/>
    <cellStyle name="常规 2 5 4 10 2 2 4" xfId="35439" xr:uid="{00000000-0005-0000-0000-00006F8A0000}"/>
    <cellStyle name="常规 2 5 4 10 2 2 4 2" xfId="35440" xr:uid="{00000000-0005-0000-0000-0000708A0000}"/>
    <cellStyle name="常规 2 5 4 10 2 2 4 3" xfId="35441" xr:uid="{00000000-0005-0000-0000-0000718A0000}"/>
    <cellStyle name="常规 2 5 4 10 2 2 4 4" xfId="35442" xr:uid="{00000000-0005-0000-0000-0000728A0000}"/>
    <cellStyle name="常规 2 5 4 10 2 2 5" xfId="35443" xr:uid="{00000000-0005-0000-0000-0000738A0000}"/>
    <cellStyle name="常规 2 5 4 10 2 2 6" xfId="35444" xr:uid="{00000000-0005-0000-0000-0000748A0000}"/>
    <cellStyle name="常规 2 5 4 10 2 2 7" xfId="35445" xr:uid="{00000000-0005-0000-0000-0000758A0000}"/>
    <cellStyle name="常规 2 5 4 10 2 3" xfId="35446" xr:uid="{00000000-0005-0000-0000-0000768A0000}"/>
    <cellStyle name="常规 2 5 4 10 2 3 2" xfId="35447" xr:uid="{00000000-0005-0000-0000-0000778A0000}"/>
    <cellStyle name="常规 2 5 4 10 2 3 2 2" xfId="35448" xr:uid="{00000000-0005-0000-0000-0000788A0000}"/>
    <cellStyle name="常规 2 5 4 10 2 3 2 3" xfId="35449" xr:uid="{00000000-0005-0000-0000-0000798A0000}"/>
    <cellStyle name="常规 2 5 4 10 2 3 2 4" xfId="35450" xr:uid="{00000000-0005-0000-0000-00007A8A0000}"/>
    <cellStyle name="常规 2 5 4 10 2 3 3" xfId="35451" xr:uid="{00000000-0005-0000-0000-00007B8A0000}"/>
    <cellStyle name="常规 2 5 4 10 2 3 4" xfId="35452" xr:uid="{00000000-0005-0000-0000-00007C8A0000}"/>
    <cellStyle name="常规 2 5 4 10 2 3 5" xfId="35453" xr:uid="{00000000-0005-0000-0000-00007D8A0000}"/>
    <cellStyle name="常规 2 5 4 10 2 4" xfId="35454" xr:uid="{00000000-0005-0000-0000-00007E8A0000}"/>
    <cellStyle name="常规 2 5 4 10 2 4 2" xfId="35455" xr:uid="{00000000-0005-0000-0000-00007F8A0000}"/>
    <cellStyle name="常规 2 5 4 10 2 4 2 2" xfId="35456" xr:uid="{00000000-0005-0000-0000-0000808A0000}"/>
    <cellStyle name="常规 2 5 4 10 2 4 2 3" xfId="35457" xr:uid="{00000000-0005-0000-0000-0000818A0000}"/>
    <cellStyle name="常规 2 5 4 10 2 4 2 4" xfId="35458" xr:uid="{00000000-0005-0000-0000-0000828A0000}"/>
    <cellStyle name="常规 2 5 4 10 2 4 3" xfId="35459" xr:uid="{00000000-0005-0000-0000-0000838A0000}"/>
    <cellStyle name="常规 2 5 4 10 2 4 4" xfId="35460" xr:uid="{00000000-0005-0000-0000-0000848A0000}"/>
    <cellStyle name="常规 2 5 4 10 2 4 5" xfId="35461" xr:uid="{00000000-0005-0000-0000-0000858A0000}"/>
    <cellStyle name="常规 2 5 4 10 2 5" xfId="35462" xr:uid="{00000000-0005-0000-0000-0000868A0000}"/>
    <cellStyle name="常规 2 5 4 10 2 5 2" xfId="35463" xr:uid="{00000000-0005-0000-0000-0000878A0000}"/>
    <cellStyle name="常规 2 5 4 10 2 5 3" xfId="35464" xr:uid="{00000000-0005-0000-0000-0000888A0000}"/>
    <cellStyle name="常规 2 5 4 10 2 5 4" xfId="35465" xr:uid="{00000000-0005-0000-0000-0000898A0000}"/>
    <cellStyle name="常规 2 5 4 10 2 6" xfId="35466" xr:uid="{00000000-0005-0000-0000-00008A8A0000}"/>
    <cellStyle name="常规 2 5 4 10 2 7" xfId="35467" xr:uid="{00000000-0005-0000-0000-00008B8A0000}"/>
    <cellStyle name="常规 2 5 4 10 2 8" xfId="35468" xr:uid="{00000000-0005-0000-0000-00008C8A0000}"/>
    <cellStyle name="常规 2 5 4 10 3" xfId="35469" xr:uid="{00000000-0005-0000-0000-00008D8A0000}"/>
    <cellStyle name="常规 2 5 4 10 3 2" xfId="35470" xr:uid="{00000000-0005-0000-0000-00008E8A0000}"/>
    <cellStyle name="常规 2 5 4 10 3 2 2" xfId="35471" xr:uid="{00000000-0005-0000-0000-00008F8A0000}"/>
    <cellStyle name="常规 2 5 4 10 3 2 3" xfId="35472" xr:uid="{00000000-0005-0000-0000-0000908A0000}"/>
    <cellStyle name="常规 2 5 4 10 3 2 4" xfId="35473" xr:uid="{00000000-0005-0000-0000-0000918A0000}"/>
    <cellStyle name="常规 2 5 4 10 3 3" xfId="35474" xr:uid="{00000000-0005-0000-0000-0000928A0000}"/>
    <cellStyle name="常规 2 5 4 10 3 4" xfId="35475" xr:uid="{00000000-0005-0000-0000-0000938A0000}"/>
    <cellStyle name="常规 2 5 4 10 3 5" xfId="35476" xr:uid="{00000000-0005-0000-0000-0000948A0000}"/>
    <cellStyle name="常规 2 5 4 10 4" xfId="35477" xr:uid="{00000000-0005-0000-0000-0000958A0000}"/>
    <cellStyle name="常规 2 5 4 10 4 2" xfId="35478" xr:uid="{00000000-0005-0000-0000-0000968A0000}"/>
    <cellStyle name="常规 2 5 4 10 4 2 2" xfId="35479" xr:uid="{00000000-0005-0000-0000-0000978A0000}"/>
    <cellStyle name="常规 2 5 4 10 4 2 3" xfId="35480" xr:uid="{00000000-0005-0000-0000-0000988A0000}"/>
    <cellStyle name="常规 2 5 4 10 4 2 4" xfId="35481" xr:uid="{00000000-0005-0000-0000-0000998A0000}"/>
    <cellStyle name="常规 2 5 4 10 4 3" xfId="35482" xr:uid="{00000000-0005-0000-0000-00009A8A0000}"/>
    <cellStyle name="常规 2 5 4 10 4 4" xfId="35483" xr:uid="{00000000-0005-0000-0000-00009B8A0000}"/>
    <cellStyle name="常规 2 5 4 10 4 5" xfId="35484" xr:uid="{00000000-0005-0000-0000-00009C8A0000}"/>
    <cellStyle name="常规 2 5 4 10 5" xfId="35485" xr:uid="{00000000-0005-0000-0000-00009D8A0000}"/>
    <cellStyle name="常规 2 5 4 10 5 2" xfId="35486" xr:uid="{00000000-0005-0000-0000-00009E8A0000}"/>
    <cellStyle name="常规 2 5 4 10 5 3" xfId="35487" xr:uid="{00000000-0005-0000-0000-00009F8A0000}"/>
    <cellStyle name="常规 2 5 4 10 5 4" xfId="35488" xr:uid="{00000000-0005-0000-0000-0000A08A0000}"/>
    <cellStyle name="常规 2 5 4 10 6" xfId="35489" xr:uid="{00000000-0005-0000-0000-0000A18A0000}"/>
    <cellStyle name="常规 2 5 4 10 7" xfId="35490" xr:uid="{00000000-0005-0000-0000-0000A28A0000}"/>
    <cellStyle name="常规 2 5 4 10 8" xfId="35491" xr:uid="{00000000-0005-0000-0000-0000A38A0000}"/>
    <cellStyle name="常规 2 5 4 11" xfId="35492" xr:uid="{00000000-0005-0000-0000-0000A48A0000}"/>
    <cellStyle name="常规 2 5 4 11 2" xfId="35493" xr:uid="{00000000-0005-0000-0000-0000A58A0000}"/>
    <cellStyle name="常规 2 5 4 11 2 2" xfId="35494" xr:uid="{00000000-0005-0000-0000-0000A68A0000}"/>
    <cellStyle name="常规 2 5 4 11 2 2 2" xfId="35495" xr:uid="{00000000-0005-0000-0000-0000A78A0000}"/>
    <cellStyle name="常规 2 5 4 11 2 2 2 2" xfId="35496" xr:uid="{00000000-0005-0000-0000-0000A88A0000}"/>
    <cellStyle name="常规 2 5 4 11 2 2 2 2 2" xfId="35497" xr:uid="{00000000-0005-0000-0000-0000A98A0000}"/>
    <cellStyle name="常规 2 5 4 11 2 2 2 2 3" xfId="35498" xr:uid="{00000000-0005-0000-0000-0000AA8A0000}"/>
    <cellStyle name="常规 2 5 4 11 2 2 2 2 4" xfId="35499" xr:uid="{00000000-0005-0000-0000-0000AB8A0000}"/>
    <cellStyle name="常规 2 5 4 11 2 2 2 3" xfId="35500" xr:uid="{00000000-0005-0000-0000-0000AC8A0000}"/>
    <cellStyle name="常规 2 5 4 11 2 2 2 4" xfId="35501" xr:uid="{00000000-0005-0000-0000-0000AD8A0000}"/>
    <cellStyle name="常规 2 5 4 11 2 2 2 5" xfId="35502" xr:uid="{00000000-0005-0000-0000-0000AE8A0000}"/>
    <cellStyle name="常规 2 5 4 11 2 2 3" xfId="35503" xr:uid="{00000000-0005-0000-0000-0000AF8A0000}"/>
    <cellStyle name="常规 2 5 4 11 2 2 3 2" xfId="35504" xr:uid="{00000000-0005-0000-0000-0000B08A0000}"/>
    <cellStyle name="常规 2 5 4 11 2 2 3 2 2" xfId="35505" xr:uid="{00000000-0005-0000-0000-0000B18A0000}"/>
    <cellStyle name="常规 2 5 4 11 2 2 3 2 3" xfId="35506" xr:uid="{00000000-0005-0000-0000-0000B28A0000}"/>
    <cellStyle name="常规 2 5 4 11 2 2 3 2 4" xfId="35507" xr:uid="{00000000-0005-0000-0000-0000B38A0000}"/>
    <cellStyle name="常规 2 5 4 11 2 2 3 3" xfId="35508" xr:uid="{00000000-0005-0000-0000-0000B48A0000}"/>
    <cellStyle name="常规 2 5 4 11 2 2 3 4" xfId="35509" xr:uid="{00000000-0005-0000-0000-0000B58A0000}"/>
    <cellStyle name="常规 2 5 4 11 2 2 3 5" xfId="35510" xr:uid="{00000000-0005-0000-0000-0000B68A0000}"/>
    <cellStyle name="常规 2 5 4 11 2 2 4" xfId="35511" xr:uid="{00000000-0005-0000-0000-0000B78A0000}"/>
    <cellStyle name="常规 2 5 4 11 2 2 4 2" xfId="35512" xr:uid="{00000000-0005-0000-0000-0000B88A0000}"/>
    <cellStyle name="常规 2 5 4 11 2 2 4 3" xfId="35513" xr:uid="{00000000-0005-0000-0000-0000B98A0000}"/>
    <cellStyle name="常规 2 5 4 11 2 2 4 4" xfId="35514" xr:uid="{00000000-0005-0000-0000-0000BA8A0000}"/>
    <cellStyle name="常规 2 5 4 11 2 2 5" xfId="35515" xr:uid="{00000000-0005-0000-0000-0000BB8A0000}"/>
    <cellStyle name="常规 2 5 4 11 2 2 6" xfId="35516" xr:uid="{00000000-0005-0000-0000-0000BC8A0000}"/>
    <cellStyle name="常规 2 5 4 11 2 2 7" xfId="35517" xr:uid="{00000000-0005-0000-0000-0000BD8A0000}"/>
    <cellStyle name="常规 2 5 4 11 2 3" xfId="35518" xr:uid="{00000000-0005-0000-0000-0000BE8A0000}"/>
    <cellStyle name="常规 2 5 4 11 2 3 2" xfId="35519" xr:uid="{00000000-0005-0000-0000-0000BF8A0000}"/>
    <cellStyle name="常规 2 5 4 11 2 3 2 2" xfId="35520" xr:uid="{00000000-0005-0000-0000-0000C08A0000}"/>
    <cellStyle name="常规 2 5 4 11 2 3 2 3" xfId="35521" xr:uid="{00000000-0005-0000-0000-0000C18A0000}"/>
    <cellStyle name="常规 2 5 4 11 2 3 2 4" xfId="35522" xr:uid="{00000000-0005-0000-0000-0000C28A0000}"/>
    <cellStyle name="常规 2 5 4 11 2 3 3" xfId="35523" xr:uid="{00000000-0005-0000-0000-0000C38A0000}"/>
    <cellStyle name="常规 2 5 4 11 2 3 4" xfId="35524" xr:uid="{00000000-0005-0000-0000-0000C48A0000}"/>
    <cellStyle name="常规 2 5 4 11 2 3 5" xfId="35525" xr:uid="{00000000-0005-0000-0000-0000C58A0000}"/>
    <cellStyle name="常规 2 5 4 11 2 4" xfId="35526" xr:uid="{00000000-0005-0000-0000-0000C68A0000}"/>
    <cellStyle name="常规 2 5 4 11 2 4 2" xfId="35527" xr:uid="{00000000-0005-0000-0000-0000C78A0000}"/>
    <cellStyle name="常规 2 5 4 11 2 4 2 2" xfId="35528" xr:uid="{00000000-0005-0000-0000-0000C88A0000}"/>
    <cellStyle name="常规 2 5 4 11 2 4 2 3" xfId="35529" xr:uid="{00000000-0005-0000-0000-0000C98A0000}"/>
    <cellStyle name="常规 2 5 4 11 2 4 2 4" xfId="35530" xr:uid="{00000000-0005-0000-0000-0000CA8A0000}"/>
    <cellStyle name="常规 2 5 4 11 2 4 3" xfId="35531" xr:uid="{00000000-0005-0000-0000-0000CB8A0000}"/>
    <cellStyle name="常规 2 5 4 11 2 4 4" xfId="35532" xr:uid="{00000000-0005-0000-0000-0000CC8A0000}"/>
    <cellStyle name="常规 2 5 4 11 2 4 5" xfId="35533" xr:uid="{00000000-0005-0000-0000-0000CD8A0000}"/>
    <cellStyle name="常规 2 5 4 11 2 5" xfId="35534" xr:uid="{00000000-0005-0000-0000-0000CE8A0000}"/>
    <cellStyle name="常规 2 5 4 11 2 5 2" xfId="35535" xr:uid="{00000000-0005-0000-0000-0000CF8A0000}"/>
    <cellStyle name="常规 2 5 4 11 2 5 3" xfId="35536" xr:uid="{00000000-0005-0000-0000-0000D08A0000}"/>
    <cellStyle name="常规 2 5 4 11 2 5 4" xfId="35537" xr:uid="{00000000-0005-0000-0000-0000D18A0000}"/>
    <cellStyle name="常规 2 5 4 11 2 6" xfId="35538" xr:uid="{00000000-0005-0000-0000-0000D28A0000}"/>
    <cellStyle name="常规 2 5 4 11 2 7" xfId="35539" xr:uid="{00000000-0005-0000-0000-0000D38A0000}"/>
    <cellStyle name="常规 2 5 4 11 2 8" xfId="35540" xr:uid="{00000000-0005-0000-0000-0000D48A0000}"/>
    <cellStyle name="常规 2 5 4 11 3" xfId="35541" xr:uid="{00000000-0005-0000-0000-0000D58A0000}"/>
    <cellStyle name="常规 2 5 4 11 3 2" xfId="35542" xr:uid="{00000000-0005-0000-0000-0000D68A0000}"/>
    <cellStyle name="常规 2 5 4 11 3 2 2" xfId="35543" xr:uid="{00000000-0005-0000-0000-0000D78A0000}"/>
    <cellStyle name="常规 2 5 4 11 3 2 3" xfId="35544" xr:uid="{00000000-0005-0000-0000-0000D88A0000}"/>
    <cellStyle name="常规 2 5 4 11 3 2 4" xfId="35545" xr:uid="{00000000-0005-0000-0000-0000D98A0000}"/>
    <cellStyle name="常规 2 5 4 11 3 3" xfId="35546" xr:uid="{00000000-0005-0000-0000-0000DA8A0000}"/>
    <cellStyle name="常规 2 5 4 11 3 4" xfId="35547" xr:uid="{00000000-0005-0000-0000-0000DB8A0000}"/>
    <cellStyle name="常规 2 5 4 11 3 5" xfId="35548" xr:uid="{00000000-0005-0000-0000-0000DC8A0000}"/>
    <cellStyle name="常规 2 5 4 11 4" xfId="35549" xr:uid="{00000000-0005-0000-0000-0000DD8A0000}"/>
    <cellStyle name="常规 2 5 4 11 4 2" xfId="35550" xr:uid="{00000000-0005-0000-0000-0000DE8A0000}"/>
    <cellStyle name="常规 2 5 4 11 4 2 2" xfId="35551" xr:uid="{00000000-0005-0000-0000-0000DF8A0000}"/>
    <cellStyle name="常规 2 5 4 11 4 2 3" xfId="35552" xr:uid="{00000000-0005-0000-0000-0000E08A0000}"/>
    <cellStyle name="常规 2 5 4 11 4 2 4" xfId="35553" xr:uid="{00000000-0005-0000-0000-0000E18A0000}"/>
    <cellStyle name="常规 2 5 4 11 4 3" xfId="35554" xr:uid="{00000000-0005-0000-0000-0000E28A0000}"/>
    <cellStyle name="常规 2 5 4 11 4 4" xfId="35555" xr:uid="{00000000-0005-0000-0000-0000E38A0000}"/>
    <cellStyle name="常规 2 5 4 11 4 5" xfId="35556" xr:uid="{00000000-0005-0000-0000-0000E48A0000}"/>
    <cellStyle name="常规 2 5 4 11 5" xfId="35557" xr:uid="{00000000-0005-0000-0000-0000E58A0000}"/>
    <cellStyle name="常规 2 5 4 11 5 2" xfId="35558" xr:uid="{00000000-0005-0000-0000-0000E68A0000}"/>
    <cellStyle name="常规 2 5 4 11 5 3" xfId="35559" xr:uid="{00000000-0005-0000-0000-0000E78A0000}"/>
    <cellStyle name="常规 2 5 4 11 5 4" xfId="35560" xr:uid="{00000000-0005-0000-0000-0000E88A0000}"/>
    <cellStyle name="常规 2 5 4 11 6" xfId="35561" xr:uid="{00000000-0005-0000-0000-0000E98A0000}"/>
    <cellStyle name="常规 2 5 4 11 7" xfId="35562" xr:uid="{00000000-0005-0000-0000-0000EA8A0000}"/>
    <cellStyle name="常规 2 5 4 11 8" xfId="35563" xr:uid="{00000000-0005-0000-0000-0000EB8A0000}"/>
    <cellStyle name="常规 2 5 4 12" xfId="35564" xr:uid="{00000000-0005-0000-0000-0000EC8A0000}"/>
    <cellStyle name="常规 2 5 4 12 2" xfId="35565" xr:uid="{00000000-0005-0000-0000-0000ED8A0000}"/>
    <cellStyle name="常规 2 5 4 12 2 2" xfId="35566" xr:uid="{00000000-0005-0000-0000-0000EE8A0000}"/>
    <cellStyle name="常规 2 5 4 12 2 2 2" xfId="35567" xr:uid="{00000000-0005-0000-0000-0000EF8A0000}"/>
    <cellStyle name="常规 2 5 4 12 2 2 2 2" xfId="35568" xr:uid="{00000000-0005-0000-0000-0000F08A0000}"/>
    <cellStyle name="常规 2 5 4 12 2 2 2 2 2" xfId="35569" xr:uid="{00000000-0005-0000-0000-0000F18A0000}"/>
    <cellStyle name="常规 2 5 4 12 2 2 2 2 3" xfId="35570" xr:uid="{00000000-0005-0000-0000-0000F28A0000}"/>
    <cellStyle name="常规 2 5 4 12 2 2 2 2 4" xfId="35571" xr:uid="{00000000-0005-0000-0000-0000F38A0000}"/>
    <cellStyle name="常规 2 5 4 12 2 2 2 3" xfId="35572" xr:uid="{00000000-0005-0000-0000-0000F48A0000}"/>
    <cellStyle name="常规 2 5 4 12 2 2 2 4" xfId="35573" xr:uid="{00000000-0005-0000-0000-0000F58A0000}"/>
    <cellStyle name="常规 2 5 4 12 2 2 2 5" xfId="35574" xr:uid="{00000000-0005-0000-0000-0000F68A0000}"/>
    <cellStyle name="常规 2 5 4 12 2 2 3" xfId="35575" xr:uid="{00000000-0005-0000-0000-0000F78A0000}"/>
    <cellStyle name="常规 2 5 4 12 2 2 3 2" xfId="35576" xr:uid="{00000000-0005-0000-0000-0000F88A0000}"/>
    <cellStyle name="常规 2 5 4 12 2 2 3 2 2" xfId="35577" xr:uid="{00000000-0005-0000-0000-0000F98A0000}"/>
    <cellStyle name="常规 2 5 4 12 2 2 3 2 3" xfId="35578" xr:uid="{00000000-0005-0000-0000-0000FA8A0000}"/>
    <cellStyle name="常规 2 5 4 12 2 2 3 2 4" xfId="35579" xr:uid="{00000000-0005-0000-0000-0000FB8A0000}"/>
    <cellStyle name="常规 2 5 4 12 2 2 3 3" xfId="35580" xr:uid="{00000000-0005-0000-0000-0000FC8A0000}"/>
    <cellStyle name="常规 2 5 4 12 2 2 3 4" xfId="35581" xr:uid="{00000000-0005-0000-0000-0000FD8A0000}"/>
    <cellStyle name="常规 2 5 4 12 2 2 3 5" xfId="35582" xr:uid="{00000000-0005-0000-0000-0000FE8A0000}"/>
    <cellStyle name="常规 2 5 4 12 2 2 4" xfId="35583" xr:uid="{00000000-0005-0000-0000-0000FF8A0000}"/>
    <cellStyle name="常规 2 5 4 12 2 2 4 2" xfId="35584" xr:uid="{00000000-0005-0000-0000-0000008B0000}"/>
    <cellStyle name="常规 2 5 4 12 2 2 4 3" xfId="35585" xr:uid="{00000000-0005-0000-0000-0000018B0000}"/>
    <cellStyle name="常规 2 5 4 12 2 2 4 4" xfId="35586" xr:uid="{00000000-0005-0000-0000-0000028B0000}"/>
    <cellStyle name="常规 2 5 4 12 2 2 5" xfId="35587" xr:uid="{00000000-0005-0000-0000-0000038B0000}"/>
    <cellStyle name="常规 2 5 4 12 2 2 6" xfId="35588" xr:uid="{00000000-0005-0000-0000-0000048B0000}"/>
    <cellStyle name="常规 2 5 4 12 2 2 7" xfId="35589" xr:uid="{00000000-0005-0000-0000-0000058B0000}"/>
    <cellStyle name="常规 2 5 4 12 2 3" xfId="35590" xr:uid="{00000000-0005-0000-0000-0000068B0000}"/>
    <cellStyle name="常规 2 5 4 12 2 3 2" xfId="35591" xr:uid="{00000000-0005-0000-0000-0000078B0000}"/>
    <cellStyle name="常规 2 5 4 12 2 3 2 2" xfId="35592" xr:uid="{00000000-0005-0000-0000-0000088B0000}"/>
    <cellStyle name="常规 2 5 4 12 2 3 2 3" xfId="35593" xr:uid="{00000000-0005-0000-0000-0000098B0000}"/>
    <cellStyle name="常规 2 5 4 12 2 3 2 4" xfId="35594" xr:uid="{00000000-0005-0000-0000-00000A8B0000}"/>
    <cellStyle name="常规 2 5 4 12 2 3 3" xfId="35595" xr:uid="{00000000-0005-0000-0000-00000B8B0000}"/>
    <cellStyle name="常规 2 5 4 12 2 3 4" xfId="35596" xr:uid="{00000000-0005-0000-0000-00000C8B0000}"/>
    <cellStyle name="常规 2 5 4 12 2 3 5" xfId="35597" xr:uid="{00000000-0005-0000-0000-00000D8B0000}"/>
    <cellStyle name="常规 2 5 4 12 2 4" xfId="35598" xr:uid="{00000000-0005-0000-0000-00000E8B0000}"/>
    <cellStyle name="常规 2 5 4 12 2 4 2" xfId="35599" xr:uid="{00000000-0005-0000-0000-00000F8B0000}"/>
    <cellStyle name="常规 2 5 4 12 2 4 2 2" xfId="35600" xr:uid="{00000000-0005-0000-0000-0000108B0000}"/>
    <cellStyle name="常规 2 5 4 12 2 4 2 3" xfId="35601" xr:uid="{00000000-0005-0000-0000-0000118B0000}"/>
    <cellStyle name="常规 2 5 4 12 2 4 2 4" xfId="35602" xr:uid="{00000000-0005-0000-0000-0000128B0000}"/>
    <cellStyle name="常规 2 5 4 12 2 4 3" xfId="35603" xr:uid="{00000000-0005-0000-0000-0000138B0000}"/>
    <cellStyle name="常规 2 5 4 12 2 4 4" xfId="35604" xr:uid="{00000000-0005-0000-0000-0000148B0000}"/>
    <cellStyle name="常规 2 5 4 12 2 4 5" xfId="35605" xr:uid="{00000000-0005-0000-0000-0000158B0000}"/>
    <cellStyle name="常规 2 5 4 12 2 5" xfId="35606" xr:uid="{00000000-0005-0000-0000-0000168B0000}"/>
    <cellStyle name="常规 2 5 4 12 2 5 2" xfId="35607" xr:uid="{00000000-0005-0000-0000-0000178B0000}"/>
    <cellStyle name="常规 2 5 4 12 2 5 3" xfId="35608" xr:uid="{00000000-0005-0000-0000-0000188B0000}"/>
    <cellStyle name="常规 2 5 4 12 2 5 4" xfId="35609" xr:uid="{00000000-0005-0000-0000-0000198B0000}"/>
    <cellStyle name="常规 2 5 4 12 2 6" xfId="35610" xr:uid="{00000000-0005-0000-0000-00001A8B0000}"/>
    <cellStyle name="常规 2 5 4 12 2 7" xfId="35611" xr:uid="{00000000-0005-0000-0000-00001B8B0000}"/>
    <cellStyle name="常规 2 5 4 12 2 8" xfId="35612" xr:uid="{00000000-0005-0000-0000-00001C8B0000}"/>
    <cellStyle name="常规 2 5 4 12 3" xfId="35613" xr:uid="{00000000-0005-0000-0000-00001D8B0000}"/>
    <cellStyle name="常规 2 5 4 12 3 2" xfId="35614" xr:uid="{00000000-0005-0000-0000-00001E8B0000}"/>
    <cellStyle name="常规 2 5 4 12 3 2 2" xfId="35615" xr:uid="{00000000-0005-0000-0000-00001F8B0000}"/>
    <cellStyle name="常规 2 5 4 12 3 2 3" xfId="35616" xr:uid="{00000000-0005-0000-0000-0000208B0000}"/>
    <cellStyle name="常规 2 5 4 12 3 2 4" xfId="35617" xr:uid="{00000000-0005-0000-0000-0000218B0000}"/>
    <cellStyle name="常规 2 5 4 12 3 3" xfId="35618" xr:uid="{00000000-0005-0000-0000-0000228B0000}"/>
    <cellStyle name="常规 2 5 4 12 3 4" xfId="35619" xr:uid="{00000000-0005-0000-0000-0000238B0000}"/>
    <cellStyle name="常规 2 5 4 12 3 5" xfId="35620" xr:uid="{00000000-0005-0000-0000-0000248B0000}"/>
    <cellStyle name="常规 2 5 4 12 4" xfId="35621" xr:uid="{00000000-0005-0000-0000-0000258B0000}"/>
    <cellStyle name="常规 2 5 4 12 4 2" xfId="35622" xr:uid="{00000000-0005-0000-0000-0000268B0000}"/>
    <cellStyle name="常规 2 5 4 12 4 2 2" xfId="35623" xr:uid="{00000000-0005-0000-0000-0000278B0000}"/>
    <cellStyle name="常规 2 5 4 12 4 2 3" xfId="35624" xr:uid="{00000000-0005-0000-0000-0000288B0000}"/>
    <cellStyle name="常规 2 5 4 12 4 2 4" xfId="35625" xr:uid="{00000000-0005-0000-0000-0000298B0000}"/>
    <cellStyle name="常规 2 5 4 12 4 3" xfId="35626" xr:uid="{00000000-0005-0000-0000-00002A8B0000}"/>
    <cellStyle name="常规 2 5 4 12 4 4" xfId="35627" xr:uid="{00000000-0005-0000-0000-00002B8B0000}"/>
    <cellStyle name="常规 2 5 4 12 4 5" xfId="35628" xr:uid="{00000000-0005-0000-0000-00002C8B0000}"/>
    <cellStyle name="常规 2 5 4 12 5" xfId="35629" xr:uid="{00000000-0005-0000-0000-00002D8B0000}"/>
    <cellStyle name="常规 2 5 4 12 5 2" xfId="35630" xr:uid="{00000000-0005-0000-0000-00002E8B0000}"/>
    <cellStyle name="常规 2 5 4 12 5 3" xfId="35631" xr:uid="{00000000-0005-0000-0000-00002F8B0000}"/>
    <cellStyle name="常规 2 5 4 12 5 4" xfId="35632" xr:uid="{00000000-0005-0000-0000-0000308B0000}"/>
    <cellStyle name="常规 2 5 4 12 6" xfId="35633" xr:uid="{00000000-0005-0000-0000-0000318B0000}"/>
    <cellStyle name="常规 2 5 4 12 7" xfId="35634" xr:uid="{00000000-0005-0000-0000-0000328B0000}"/>
    <cellStyle name="常规 2 5 4 12 8" xfId="35635" xr:uid="{00000000-0005-0000-0000-0000338B0000}"/>
    <cellStyle name="常规 2 5 4 13" xfId="35636" xr:uid="{00000000-0005-0000-0000-0000348B0000}"/>
    <cellStyle name="常规 2 5 4 13 2" xfId="35637" xr:uid="{00000000-0005-0000-0000-0000358B0000}"/>
    <cellStyle name="常规 2 5 4 13 2 2" xfId="35638" xr:uid="{00000000-0005-0000-0000-0000368B0000}"/>
    <cellStyle name="常规 2 5 4 13 2 2 2" xfId="35639" xr:uid="{00000000-0005-0000-0000-0000378B0000}"/>
    <cellStyle name="常规 2 5 4 13 2 2 2 2" xfId="35640" xr:uid="{00000000-0005-0000-0000-0000388B0000}"/>
    <cellStyle name="常规 2 5 4 13 2 2 2 2 2" xfId="35641" xr:uid="{00000000-0005-0000-0000-0000398B0000}"/>
    <cellStyle name="常规 2 5 4 13 2 2 2 2 3" xfId="35642" xr:uid="{00000000-0005-0000-0000-00003A8B0000}"/>
    <cellStyle name="常规 2 5 4 13 2 2 2 2 4" xfId="35643" xr:uid="{00000000-0005-0000-0000-00003B8B0000}"/>
    <cellStyle name="常规 2 5 4 13 2 2 2 3" xfId="35644" xr:uid="{00000000-0005-0000-0000-00003C8B0000}"/>
    <cellStyle name="常规 2 5 4 13 2 2 2 4" xfId="35645" xr:uid="{00000000-0005-0000-0000-00003D8B0000}"/>
    <cellStyle name="常规 2 5 4 13 2 2 2 5" xfId="35646" xr:uid="{00000000-0005-0000-0000-00003E8B0000}"/>
    <cellStyle name="常规 2 5 4 13 2 2 3" xfId="35647" xr:uid="{00000000-0005-0000-0000-00003F8B0000}"/>
    <cellStyle name="常规 2 5 4 13 2 2 3 2" xfId="35648" xr:uid="{00000000-0005-0000-0000-0000408B0000}"/>
    <cellStyle name="常规 2 5 4 13 2 2 3 2 2" xfId="35649" xr:uid="{00000000-0005-0000-0000-0000418B0000}"/>
    <cellStyle name="常规 2 5 4 13 2 2 3 2 3" xfId="35650" xr:uid="{00000000-0005-0000-0000-0000428B0000}"/>
    <cellStyle name="常规 2 5 4 13 2 2 3 2 4" xfId="35651" xr:uid="{00000000-0005-0000-0000-0000438B0000}"/>
    <cellStyle name="常规 2 5 4 13 2 2 3 3" xfId="35652" xr:uid="{00000000-0005-0000-0000-0000448B0000}"/>
    <cellStyle name="常规 2 5 4 13 2 2 3 4" xfId="35653" xr:uid="{00000000-0005-0000-0000-0000458B0000}"/>
    <cellStyle name="常规 2 5 4 13 2 2 3 5" xfId="35654" xr:uid="{00000000-0005-0000-0000-0000468B0000}"/>
    <cellStyle name="常规 2 5 4 13 2 2 4" xfId="35655" xr:uid="{00000000-0005-0000-0000-0000478B0000}"/>
    <cellStyle name="常规 2 5 4 13 2 2 4 2" xfId="35656" xr:uid="{00000000-0005-0000-0000-0000488B0000}"/>
    <cellStyle name="常规 2 5 4 13 2 2 4 3" xfId="35657" xr:uid="{00000000-0005-0000-0000-0000498B0000}"/>
    <cellStyle name="常规 2 5 4 13 2 2 4 4" xfId="35658" xr:uid="{00000000-0005-0000-0000-00004A8B0000}"/>
    <cellStyle name="常规 2 5 4 13 2 2 5" xfId="35659" xr:uid="{00000000-0005-0000-0000-00004B8B0000}"/>
    <cellStyle name="常规 2 5 4 13 2 2 6" xfId="35660" xr:uid="{00000000-0005-0000-0000-00004C8B0000}"/>
    <cellStyle name="常规 2 5 4 13 2 2 7" xfId="35661" xr:uid="{00000000-0005-0000-0000-00004D8B0000}"/>
    <cellStyle name="常规 2 5 4 13 2 3" xfId="35662" xr:uid="{00000000-0005-0000-0000-00004E8B0000}"/>
    <cellStyle name="常规 2 5 4 13 2 3 2" xfId="35663" xr:uid="{00000000-0005-0000-0000-00004F8B0000}"/>
    <cellStyle name="常规 2 5 4 13 2 3 2 2" xfId="35664" xr:uid="{00000000-0005-0000-0000-0000508B0000}"/>
    <cellStyle name="常规 2 5 4 13 2 3 2 3" xfId="35665" xr:uid="{00000000-0005-0000-0000-0000518B0000}"/>
    <cellStyle name="常规 2 5 4 13 2 3 2 4" xfId="35666" xr:uid="{00000000-0005-0000-0000-0000528B0000}"/>
    <cellStyle name="常规 2 5 4 13 2 3 3" xfId="35667" xr:uid="{00000000-0005-0000-0000-0000538B0000}"/>
    <cellStyle name="常规 2 5 4 13 2 3 4" xfId="35668" xr:uid="{00000000-0005-0000-0000-0000548B0000}"/>
    <cellStyle name="常规 2 5 4 13 2 3 5" xfId="35669" xr:uid="{00000000-0005-0000-0000-0000558B0000}"/>
    <cellStyle name="常规 2 5 4 13 2 4" xfId="35670" xr:uid="{00000000-0005-0000-0000-0000568B0000}"/>
    <cellStyle name="常规 2 5 4 13 2 4 2" xfId="35671" xr:uid="{00000000-0005-0000-0000-0000578B0000}"/>
    <cellStyle name="常规 2 5 4 13 2 4 2 2" xfId="35672" xr:uid="{00000000-0005-0000-0000-0000588B0000}"/>
    <cellStyle name="常规 2 5 4 13 2 4 2 3" xfId="35673" xr:uid="{00000000-0005-0000-0000-0000598B0000}"/>
    <cellStyle name="常规 2 5 4 13 2 4 2 4" xfId="35674" xr:uid="{00000000-0005-0000-0000-00005A8B0000}"/>
    <cellStyle name="常规 2 5 4 13 2 4 3" xfId="35675" xr:uid="{00000000-0005-0000-0000-00005B8B0000}"/>
    <cellStyle name="常规 2 5 4 13 2 4 4" xfId="35676" xr:uid="{00000000-0005-0000-0000-00005C8B0000}"/>
    <cellStyle name="常规 2 5 4 13 2 4 5" xfId="35677" xr:uid="{00000000-0005-0000-0000-00005D8B0000}"/>
    <cellStyle name="常规 2 5 4 13 2 5" xfId="35678" xr:uid="{00000000-0005-0000-0000-00005E8B0000}"/>
    <cellStyle name="常规 2 5 4 13 2 5 2" xfId="35679" xr:uid="{00000000-0005-0000-0000-00005F8B0000}"/>
    <cellStyle name="常规 2 5 4 13 2 5 3" xfId="35680" xr:uid="{00000000-0005-0000-0000-0000608B0000}"/>
    <cellStyle name="常规 2 5 4 13 2 5 4" xfId="35681" xr:uid="{00000000-0005-0000-0000-0000618B0000}"/>
    <cellStyle name="常规 2 5 4 13 2 6" xfId="35682" xr:uid="{00000000-0005-0000-0000-0000628B0000}"/>
    <cellStyle name="常规 2 5 4 13 2 7" xfId="35683" xr:uid="{00000000-0005-0000-0000-0000638B0000}"/>
    <cellStyle name="常规 2 5 4 13 2 8" xfId="35684" xr:uid="{00000000-0005-0000-0000-0000648B0000}"/>
    <cellStyle name="常规 2 5 4 13 3" xfId="35685" xr:uid="{00000000-0005-0000-0000-0000658B0000}"/>
    <cellStyle name="常规 2 5 4 13 3 2" xfId="35686" xr:uid="{00000000-0005-0000-0000-0000668B0000}"/>
    <cellStyle name="常规 2 5 4 13 3 2 2" xfId="35687" xr:uid="{00000000-0005-0000-0000-0000678B0000}"/>
    <cellStyle name="常规 2 5 4 13 3 2 3" xfId="35688" xr:uid="{00000000-0005-0000-0000-0000688B0000}"/>
    <cellStyle name="常规 2 5 4 13 3 2 4" xfId="35689" xr:uid="{00000000-0005-0000-0000-0000698B0000}"/>
    <cellStyle name="常规 2 5 4 13 3 3" xfId="35690" xr:uid="{00000000-0005-0000-0000-00006A8B0000}"/>
    <cellStyle name="常规 2 5 4 13 3 4" xfId="35691" xr:uid="{00000000-0005-0000-0000-00006B8B0000}"/>
    <cellStyle name="常规 2 5 4 13 3 5" xfId="35692" xr:uid="{00000000-0005-0000-0000-00006C8B0000}"/>
    <cellStyle name="常规 2 5 4 13 4" xfId="35693" xr:uid="{00000000-0005-0000-0000-00006D8B0000}"/>
    <cellStyle name="常规 2 5 4 13 4 2" xfId="35694" xr:uid="{00000000-0005-0000-0000-00006E8B0000}"/>
    <cellStyle name="常规 2 5 4 13 4 2 2" xfId="35695" xr:uid="{00000000-0005-0000-0000-00006F8B0000}"/>
    <cellStyle name="常规 2 5 4 13 4 2 3" xfId="35696" xr:uid="{00000000-0005-0000-0000-0000708B0000}"/>
    <cellStyle name="常规 2 5 4 13 4 2 4" xfId="35697" xr:uid="{00000000-0005-0000-0000-0000718B0000}"/>
    <cellStyle name="常规 2 5 4 13 4 3" xfId="35698" xr:uid="{00000000-0005-0000-0000-0000728B0000}"/>
    <cellStyle name="常规 2 5 4 13 4 4" xfId="35699" xr:uid="{00000000-0005-0000-0000-0000738B0000}"/>
    <cellStyle name="常规 2 5 4 13 4 5" xfId="35700" xr:uid="{00000000-0005-0000-0000-0000748B0000}"/>
    <cellStyle name="常规 2 5 4 13 5" xfId="35701" xr:uid="{00000000-0005-0000-0000-0000758B0000}"/>
    <cellStyle name="常规 2 5 4 13 5 2" xfId="35702" xr:uid="{00000000-0005-0000-0000-0000768B0000}"/>
    <cellStyle name="常规 2 5 4 13 5 3" xfId="35703" xr:uid="{00000000-0005-0000-0000-0000778B0000}"/>
    <cellStyle name="常规 2 5 4 13 5 4" xfId="35704" xr:uid="{00000000-0005-0000-0000-0000788B0000}"/>
    <cellStyle name="常规 2 5 4 13 6" xfId="35705" xr:uid="{00000000-0005-0000-0000-0000798B0000}"/>
    <cellStyle name="常规 2 5 4 13 7" xfId="35706" xr:uid="{00000000-0005-0000-0000-00007A8B0000}"/>
    <cellStyle name="常规 2 5 4 13 8" xfId="35707" xr:uid="{00000000-0005-0000-0000-00007B8B0000}"/>
    <cellStyle name="常规 2 5 4 14" xfId="35708" xr:uid="{00000000-0005-0000-0000-00007C8B0000}"/>
    <cellStyle name="常规 2 5 4 14 2" xfId="35709" xr:uid="{00000000-0005-0000-0000-00007D8B0000}"/>
    <cellStyle name="常规 2 5 4 14 2 2" xfId="35710" xr:uid="{00000000-0005-0000-0000-00007E8B0000}"/>
    <cellStyle name="常规 2 5 4 14 2 2 2" xfId="35711" xr:uid="{00000000-0005-0000-0000-00007F8B0000}"/>
    <cellStyle name="常规 2 5 4 14 2 2 2 2" xfId="35712" xr:uid="{00000000-0005-0000-0000-0000808B0000}"/>
    <cellStyle name="常规 2 5 4 14 2 2 2 2 2" xfId="35713" xr:uid="{00000000-0005-0000-0000-0000818B0000}"/>
    <cellStyle name="常规 2 5 4 14 2 2 2 2 3" xfId="35714" xr:uid="{00000000-0005-0000-0000-0000828B0000}"/>
    <cellStyle name="常规 2 5 4 14 2 2 2 2 4" xfId="35715" xr:uid="{00000000-0005-0000-0000-0000838B0000}"/>
    <cellStyle name="常规 2 5 4 14 2 2 2 3" xfId="35716" xr:uid="{00000000-0005-0000-0000-0000848B0000}"/>
    <cellStyle name="常规 2 5 4 14 2 2 2 4" xfId="35717" xr:uid="{00000000-0005-0000-0000-0000858B0000}"/>
    <cellStyle name="常规 2 5 4 14 2 2 2 5" xfId="35718" xr:uid="{00000000-0005-0000-0000-0000868B0000}"/>
    <cellStyle name="常规 2 5 4 14 2 2 3" xfId="35719" xr:uid="{00000000-0005-0000-0000-0000878B0000}"/>
    <cellStyle name="常规 2 5 4 14 2 2 3 2" xfId="35720" xr:uid="{00000000-0005-0000-0000-0000888B0000}"/>
    <cellStyle name="常规 2 5 4 14 2 2 3 2 2" xfId="35721" xr:uid="{00000000-0005-0000-0000-0000898B0000}"/>
    <cellStyle name="常规 2 5 4 14 2 2 3 2 3" xfId="35722" xr:uid="{00000000-0005-0000-0000-00008A8B0000}"/>
    <cellStyle name="常规 2 5 4 14 2 2 3 2 4" xfId="35723" xr:uid="{00000000-0005-0000-0000-00008B8B0000}"/>
    <cellStyle name="常规 2 5 4 14 2 2 3 3" xfId="35724" xr:uid="{00000000-0005-0000-0000-00008C8B0000}"/>
    <cellStyle name="常规 2 5 4 14 2 2 3 4" xfId="35725" xr:uid="{00000000-0005-0000-0000-00008D8B0000}"/>
    <cellStyle name="常规 2 5 4 14 2 2 3 5" xfId="35726" xr:uid="{00000000-0005-0000-0000-00008E8B0000}"/>
    <cellStyle name="常规 2 5 4 14 2 2 4" xfId="35727" xr:uid="{00000000-0005-0000-0000-00008F8B0000}"/>
    <cellStyle name="常规 2 5 4 14 2 2 4 2" xfId="35728" xr:uid="{00000000-0005-0000-0000-0000908B0000}"/>
    <cellStyle name="常规 2 5 4 14 2 2 4 3" xfId="35729" xr:uid="{00000000-0005-0000-0000-0000918B0000}"/>
    <cellStyle name="常规 2 5 4 14 2 2 4 4" xfId="35730" xr:uid="{00000000-0005-0000-0000-0000928B0000}"/>
    <cellStyle name="常规 2 5 4 14 2 2 5" xfId="35731" xr:uid="{00000000-0005-0000-0000-0000938B0000}"/>
    <cellStyle name="常规 2 5 4 14 2 2 6" xfId="35732" xr:uid="{00000000-0005-0000-0000-0000948B0000}"/>
    <cellStyle name="常规 2 5 4 14 2 2 7" xfId="35733" xr:uid="{00000000-0005-0000-0000-0000958B0000}"/>
    <cellStyle name="常规 2 5 4 14 2 3" xfId="35734" xr:uid="{00000000-0005-0000-0000-0000968B0000}"/>
    <cellStyle name="常规 2 5 4 14 2 3 2" xfId="35735" xr:uid="{00000000-0005-0000-0000-0000978B0000}"/>
    <cellStyle name="常规 2 5 4 14 2 3 2 2" xfId="35736" xr:uid="{00000000-0005-0000-0000-0000988B0000}"/>
    <cellStyle name="常规 2 5 4 14 2 3 2 3" xfId="35737" xr:uid="{00000000-0005-0000-0000-0000998B0000}"/>
    <cellStyle name="常规 2 5 4 14 2 3 2 4" xfId="35738" xr:uid="{00000000-0005-0000-0000-00009A8B0000}"/>
    <cellStyle name="常规 2 5 4 14 2 3 3" xfId="35739" xr:uid="{00000000-0005-0000-0000-00009B8B0000}"/>
    <cellStyle name="常规 2 5 4 14 2 3 4" xfId="35740" xr:uid="{00000000-0005-0000-0000-00009C8B0000}"/>
    <cellStyle name="常规 2 5 4 14 2 3 5" xfId="35741" xr:uid="{00000000-0005-0000-0000-00009D8B0000}"/>
    <cellStyle name="常规 2 5 4 14 2 4" xfId="35742" xr:uid="{00000000-0005-0000-0000-00009E8B0000}"/>
    <cellStyle name="常规 2 5 4 14 2 4 2" xfId="35743" xr:uid="{00000000-0005-0000-0000-00009F8B0000}"/>
    <cellStyle name="常规 2 5 4 14 2 4 2 2" xfId="35744" xr:uid="{00000000-0005-0000-0000-0000A08B0000}"/>
    <cellStyle name="常规 2 5 4 14 2 4 2 3" xfId="35745" xr:uid="{00000000-0005-0000-0000-0000A18B0000}"/>
    <cellStyle name="常规 2 5 4 14 2 4 2 4" xfId="35746" xr:uid="{00000000-0005-0000-0000-0000A28B0000}"/>
    <cellStyle name="常规 2 5 4 14 2 4 3" xfId="35747" xr:uid="{00000000-0005-0000-0000-0000A38B0000}"/>
    <cellStyle name="常规 2 5 4 14 2 4 4" xfId="35748" xr:uid="{00000000-0005-0000-0000-0000A48B0000}"/>
    <cellStyle name="常规 2 5 4 14 2 4 5" xfId="35749" xr:uid="{00000000-0005-0000-0000-0000A58B0000}"/>
    <cellStyle name="常规 2 5 4 14 2 5" xfId="35750" xr:uid="{00000000-0005-0000-0000-0000A68B0000}"/>
    <cellStyle name="常规 2 5 4 14 2 5 2" xfId="35751" xr:uid="{00000000-0005-0000-0000-0000A78B0000}"/>
    <cellStyle name="常规 2 5 4 14 2 5 3" xfId="35752" xr:uid="{00000000-0005-0000-0000-0000A88B0000}"/>
    <cellStyle name="常规 2 5 4 14 2 5 4" xfId="35753" xr:uid="{00000000-0005-0000-0000-0000A98B0000}"/>
    <cellStyle name="常规 2 5 4 14 2 6" xfId="35754" xr:uid="{00000000-0005-0000-0000-0000AA8B0000}"/>
    <cellStyle name="常规 2 5 4 14 2 7" xfId="35755" xr:uid="{00000000-0005-0000-0000-0000AB8B0000}"/>
    <cellStyle name="常规 2 5 4 14 2 8" xfId="35756" xr:uid="{00000000-0005-0000-0000-0000AC8B0000}"/>
    <cellStyle name="常规 2 5 4 14 3" xfId="35757" xr:uid="{00000000-0005-0000-0000-0000AD8B0000}"/>
    <cellStyle name="常规 2 5 4 14 3 2" xfId="35758" xr:uid="{00000000-0005-0000-0000-0000AE8B0000}"/>
    <cellStyle name="常规 2 5 4 14 3 2 2" xfId="35759" xr:uid="{00000000-0005-0000-0000-0000AF8B0000}"/>
    <cellStyle name="常规 2 5 4 14 3 2 3" xfId="35760" xr:uid="{00000000-0005-0000-0000-0000B08B0000}"/>
    <cellStyle name="常规 2 5 4 14 3 2 4" xfId="35761" xr:uid="{00000000-0005-0000-0000-0000B18B0000}"/>
    <cellStyle name="常规 2 5 4 14 3 3" xfId="35762" xr:uid="{00000000-0005-0000-0000-0000B28B0000}"/>
    <cellStyle name="常规 2 5 4 14 3 4" xfId="35763" xr:uid="{00000000-0005-0000-0000-0000B38B0000}"/>
    <cellStyle name="常规 2 5 4 14 3 5" xfId="35764" xr:uid="{00000000-0005-0000-0000-0000B48B0000}"/>
    <cellStyle name="常规 2 5 4 14 4" xfId="35765" xr:uid="{00000000-0005-0000-0000-0000B58B0000}"/>
    <cellStyle name="常规 2 5 4 14 4 2" xfId="35766" xr:uid="{00000000-0005-0000-0000-0000B68B0000}"/>
    <cellStyle name="常规 2 5 4 14 4 2 2" xfId="35767" xr:uid="{00000000-0005-0000-0000-0000B78B0000}"/>
    <cellStyle name="常规 2 5 4 14 4 2 3" xfId="35768" xr:uid="{00000000-0005-0000-0000-0000B88B0000}"/>
    <cellStyle name="常规 2 5 4 14 4 2 4" xfId="35769" xr:uid="{00000000-0005-0000-0000-0000B98B0000}"/>
    <cellStyle name="常规 2 5 4 14 4 3" xfId="35770" xr:uid="{00000000-0005-0000-0000-0000BA8B0000}"/>
    <cellStyle name="常规 2 5 4 14 4 4" xfId="35771" xr:uid="{00000000-0005-0000-0000-0000BB8B0000}"/>
    <cellStyle name="常规 2 5 4 14 4 5" xfId="35772" xr:uid="{00000000-0005-0000-0000-0000BC8B0000}"/>
    <cellStyle name="常规 2 5 4 14 5" xfId="35773" xr:uid="{00000000-0005-0000-0000-0000BD8B0000}"/>
    <cellStyle name="常规 2 5 4 14 5 2" xfId="35774" xr:uid="{00000000-0005-0000-0000-0000BE8B0000}"/>
    <cellStyle name="常规 2 5 4 14 5 3" xfId="35775" xr:uid="{00000000-0005-0000-0000-0000BF8B0000}"/>
    <cellStyle name="常规 2 5 4 14 5 4" xfId="35776" xr:uid="{00000000-0005-0000-0000-0000C08B0000}"/>
    <cellStyle name="常规 2 5 4 14 6" xfId="35777" xr:uid="{00000000-0005-0000-0000-0000C18B0000}"/>
    <cellStyle name="常规 2 5 4 14 7" xfId="35778" xr:uid="{00000000-0005-0000-0000-0000C28B0000}"/>
    <cellStyle name="常规 2 5 4 14 8" xfId="35779" xr:uid="{00000000-0005-0000-0000-0000C38B0000}"/>
    <cellStyle name="常规 2 5 4 15" xfId="35780" xr:uid="{00000000-0005-0000-0000-0000C48B0000}"/>
    <cellStyle name="常规 2 5 4 15 2" xfId="35781" xr:uid="{00000000-0005-0000-0000-0000C58B0000}"/>
    <cellStyle name="常规 2 5 4 15 2 2" xfId="35782" xr:uid="{00000000-0005-0000-0000-0000C68B0000}"/>
    <cellStyle name="常规 2 5 4 15 2 2 2" xfId="35783" xr:uid="{00000000-0005-0000-0000-0000C78B0000}"/>
    <cellStyle name="常规 2 5 4 15 2 2 2 2" xfId="35784" xr:uid="{00000000-0005-0000-0000-0000C88B0000}"/>
    <cellStyle name="常规 2 5 4 15 2 2 2 3" xfId="35785" xr:uid="{00000000-0005-0000-0000-0000C98B0000}"/>
    <cellStyle name="常规 2 5 4 15 2 2 2 4" xfId="35786" xr:uid="{00000000-0005-0000-0000-0000CA8B0000}"/>
    <cellStyle name="常规 2 5 4 15 2 2 3" xfId="35787" xr:uid="{00000000-0005-0000-0000-0000CB8B0000}"/>
    <cellStyle name="常规 2 5 4 15 2 2 4" xfId="35788" xr:uid="{00000000-0005-0000-0000-0000CC8B0000}"/>
    <cellStyle name="常规 2 5 4 15 2 2 5" xfId="35789" xr:uid="{00000000-0005-0000-0000-0000CD8B0000}"/>
    <cellStyle name="常规 2 5 4 15 2 3" xfId="35790" xr:uid="{00000000-0005-0000-0000-0000CE8B0000}"/>
    <cellStyle name="常规 2 5 4 15 2 3 2" xfId="35791" xr:uid="{00000000-0005-0000-0000-0000CF8B0000}"/>
    <cellStyle name="常规 2 5 4 15 2 3 2 2" xfId="35792" xr:uid="{00000000-0005-0000-0000-0000D08B0000}"/>
    <cellStyle name="常规 2 5 4 15 2 3 2 3" xfId="35793" xr:uid="{00000000-0005-0000-0000-0000D18B0000}"/>
    <cellStyle name="常规 2 5 4 15 2 3 2 4" xfId="35794" xr:uid="{00000000-0005-0000-0000-0000D28B0000}"/>
    <cellStyle name="常规 2 5 4 15 2 3 3" xfId="35795" xr:uid="{00000000-0005-0000-0000-0000D38B0000}"/>
    <cellStyle name="常规 2 5 4 15 2 3 4" xfId="35796" xr:uid="{00000000-0005-0000-0000-0000D48B0000}"/>
    <cellStyle name="常规 2 5 4 15 2 3 5" xfId="35797" xr:uid="{00000000-0005-0000-0000-0000D58B0000}"/>
    <cellStyle name="常规 2 5 4 15 2 4" xfId="35798" xr:uid="{00000000-0005-0000-0000-0000D68B0000}"/>
    <cellStyle name="常规 2 5 4 15 2 4 2" xfId="35799" xr:uid="{00000000-0005-0000-0000-0000D78B0000}"/>
    <cellStyle name="常规 2 5 4 15 2 4 3" xfId="35800" xr:uid="{00000000-0005-0000-0000-0000D88B0000}"/>
    <cellStyle name="常规 2 5 4 15 2 4 4" xfId="35801" xr:uid="{00000000-0005-0000-0000-0000D98B0000}"/>
    <cellStyle name="常规 2 5 4 15 2 5" xfId="35802" xr:uid="{00000000-0005-0000-0000-0000DA8B0000}"/>
    <cellStyle name="常规 2 5 4 15 2 6" xfId="35803" xr:uid="{00000000-0005-0000-0000-0000DB8B0000}"/>
    <cellStyle name="常规 2 5 4 15 2 7" xfId="35804" xr:uid="{00000000-0005-0000-0000-0000DC8B0000}"/>
    <cellStyle name="常规 2 5 4 15 3" xfId="35805" xr:uid="{00000000-0005-0000-0000-0000DD8B0000}"/>
    <cellStyle name="常规 2 5 4 15 3 2" xfId="35806" xr:uid="{00000000-0005-0000-0000-0000DE8B0000}"/>
    <cellStyle name="常规 2 5 4 15 3 2 2" xfId="35807" xr:uid="{00000000-0005-0000-0000-0000DF8B0000}"/>
    <cellStyle name="常规 2 5 4 15 3 2 3" xfId="35808" xr:uid="{00000000-0005-0000-0000-0000E08B0000}"/>
    <cellStyle name="常规 2 5 4 15 3 2 4" xfId="35809" xr:uid="{00000000-0005-0000-0000-0000E18B0000}"/>
    <cellStyle name="常规 2 5 4 15 3 3" xfId="35810" xr:uid="{00000000-0005-0000-0000-0000E28B0000}"/>
    <cellStyle name="常规 2 5 4 15 3 4" xfId="35811" xr:uid="{00000000-0005-0000-0000-0000E38B0000}"/>
    <cellStyle name="常规 2 5 4 15 3 5" xfId="35812" xr:uid="{00000000-0005-0000-0000-0000E48B0000}"/>
    <cellStyle name="常规 2 5 4 15 4" xfId="35813" xr:uid="{00000000-0005-0000-0000-0000E58B0000}"/>
    <cellStyle name="常规 2 5 4 15 4 2" xfId="35814" xr:uid="{00000000-0005-0000-0000-0000E68B0000}"/>
    <cellStyle name="常规 2 5 4 15 4 2 2" xfId="35815" xr:uid="{00000000-0005-0000-0000-0000E78B0000}"/>
    <cellStyle name="常规 2 5 4 15 4 2 3" xfId="35816" xr:uid="{00000000-0005-0000-0000-0000E88B0000}"/>
    <cellStyle name="常规 2 5 4 15 4 2 4" xfId="35817" xr:uid="{00000000-0005-0000-0000-0000E98B0000}"/>
    <cellStyle name="常规 2 5 4 15 4 3" xfId="35818" xr:uid="{00000000-0005-0000-0000-0000EA8B0000}"/>
    <cellStyle name="常规 2 5 4 15 4 4" xfId="35819" xr:uid="{00000000-0005-0000-0000-0000EB8B0000}"/>
    <cellStyle name="常规 2 5 4 15 4 5" xfId="35820" xr:uid="{00000000-0005-0000-0000-0000EC8B0000}"/>
    <cellStyle name="常规 2 5 4 15 5" xfId="35821" xr:uid="{00000000-0005-0000-0000-0000ED8B0000}"/>
    <cellStyle name="常规 2 5 4 15 5 2" xfId="35822" xr:uid="{00000000-0005-0000-0000-0000EE8B0000}"/>
    <cellStyle name="常规 2 5 4 15 5 3" xfId="35823" xr:uid="{00000000-0005-0000-0000-0000EF8B0000}"/>
    <cellStyle name="常规 2 5 4 15 5 4" xfId="35824" xr:uid="{00000000-0005-0000-0000-0000F08B0000}"/>
    <cellStyle name="常规 2 5 4 15 6" xfId="35825" xr:uid="{00000000-0005-0000-0000-0000F18B0000}"/>
    <cellStyle name="常规 2 5 4 15 7" xfId="35826" xr:uid="{00000000-0005-0000-0000-0000F28B0000}"/>
    <cellStyle name="常规 2 5 4 15 8" xfId="35827" xr:uid="{00000000-0005-0000-0000-0000F38B0000}"/>
    <cellStyle name="常规 2 5 4 16" xfId="35828" xr:uid="{00000000-0005-0000-0000-0000F48B0000}"/>
    <cellStyle name="常规 2 5 4 16 2" xfId="35829" xr:uid="{00000000-0005-0000-0000-0000F58B0000}"/>
    <cellStyle name="常规 2 5 4 16 2 2" xfId="35830" xr:uid="{00000000-0005-0000-0000-0000F68B0000}"/>
    <cellStyle name="常规 2 5 4 16 2 3" xfId="35831" xr:uid="{00000000-0005-0000-0000-0000F78B0000}"/>
    <cellStyle name="常规 2 5 4 16 2 4" xfId="35832" xr:uid="{00000000-0005-0000-0000-0000F88B0000}"/>
    <cellStyle name="常规 2 5 4 16 3" xfId="35833" xr:uid="{00000000-0005-0000-0000-0000F98B0000}"/>
    <cellStyle name="常规 2 5 4 16 4" xfId="35834" xr:uid="{00000000-0005-0000-0000-0000FA8B0000}"/>
    <cellStyle name="常规 2 5 4 16 5" xfId="35835" xr:uid="{00000000-0005-0000-0000-0000FB8B0000}"/>
    <cellStyle name="常规 2 5 4 17" xfId="35836" xr:uid="{00000000-0005-0000-0000-0000FC8B0000}"/>
    <cellStyle name="常规 2 5 4 17 2" xfId="35837" xr:uid="{00000000-0005-0000-0000-0000FD8B0000}"/>
    <cellStyle name="常规 2 5 4 17 2 2" xfId="35838" xr:uid="{00000000-0005-0000-0000-0000FE8B0000}"/>
    <cellStyle name="常规 2 5 4 17 2 3" xfId="35839" xr:uid="{00000000-0005-0000-0000-0000FF8B0000}"/>
    <cellStyle name="常规 2 5 4 17 2 4" xfId="35840" xr:uid="{00000000-0005-0000-0000-0000008C0000}"/>
    <cellStyle name="常规 2 5 4 17 3" xfId="35841" xr:uid="{00000000-0005-0000-0000-0000018C0000}"/>
    <cellStyle name="常规 2 5 4 17 4" xfId="35842" xr:uid="{00000000-0005-0000-0000-0000028C0000}"/>
    <cellStyle name="常规 2 5 4 17 5" xfId="35843" xr:uid="{00000000-0005-0000-0000-0000038C0000}"/>
    <cellStyle name="常规 2 5 4 18" xfId="35844" xr:uid="{00000000-0005-0000-0000-0000048C0000}"/>
    <cellStyle name="常规 2 5 4 18 2" xfId="35845" xr:uid="{00000000-0005-0000-0000-0000058C0000}"/>
    <cellStyle name="常规 2 5 4 18 3" xfId="35846" xr:uid="{00000000-0005-0000-0000-0000068C0000}"/>
    <cellStyle name="常规 2 5 4 18 4" xfId="35847" xr:uid="{00000000-0005-0000-0000-0000078C0000}"/>
    <cellStyle name="常规 2 5 4 19" xfId="35848" xr:uid="{00000000-0005-0000-0000-0000088C0000}"/>
    <cellStyle name="常规 2 5 4 2" xfId="35849" xr:uid="{00000000-0005-0000-0000-0000098C0000}"/>
    <cellStyle name="常规 2 5 4 2 10" xfId="35850" xr:uid="{00000000-0005-0000-0000-00000A8C0000}"/>
    <cellStyle name="常规 2 5 4 2 2" xfId="35851" xr:uid="{00000000-0005-0000-0000-00000B8C0000}"/>
    <cellStyle name="常规 2 5 4 2 2 2" xfId="35852" xr:uid="{00000000-0005-0000-0000-00000C8C0000}"/>
    <cellStyle name="常规 2 5 4 2 2 2 2" xfId="35853" xr:uid="{00000000-0005-0000-0000-00000D8C0000}"/>
    <cellStyle name="常规 2 5 4 2 2 2 2 2" xfId="35854" xr:uid="{00000000-0005-0000-0000-00000E8C0000}"/>
    <cellStyle name="常规 2 5 4 2 2 2 2 2 2" xfId="35855" xr:uid="{00000000-0005-0000-0000-00000F8C0000}"/>
    <cellStyle name="常规 2 5 4 2 2 2 2 2 3" xfId="35856" xr:uid="{00000000-0005-0000-0000-0000108C0000}"/>
    <cellStyle name="常规 2 5 4 2 2 2 2 2 4" xfId="35857" xr:uid="{00000000-0005-0000-0000-0000118C0000}"/>
    <cellStyle name="常规 2 5 4 2 2 2 2 3" xfId="35858" xr:uid="{00000000-0005-0000-0000-0000128C0000}"/>
    <cellStyle name="常规 2 5 4 2 2 2 2 4" xfId="35859" xr:uid="{00000000-0005-0000-0000-0000138C0000}"/>
    <cellStyle name="常规 2 5 4 2 2 2 2 5" xfId="35860" xr:uid="{00000000-0005-0000-0000-0000148C0000}"/>
    <cellStyle name="常规 2 5 4 2 2 2 3" xfId="35861" xr:uid="{00000000-0005-0000-0000-0000158C0000}"/>
    <cellStyle name="常规 2 5 4 2 2 2 3 2" xfId="35862" xr:uid="{00000000-0005-0000-0000-0000168C0000}"/>
    <cellStyle name="常规 2 5 4 2 2 2 3 2 2" xfId="35863" xr:uid="{00000000-0005-0000-0000-0000178C0000}"/>
    <cellStyle name="常规 2 5 4 2 2 2 3 2 3" xfId="35864" xr:uid="{00000000-0005-0000-0000-0000188C0000}"/>
    <cellStyle name="常规 2 5 4 2 2 2 3 2 4" xfId="35865" xr:uid="{00000000-0005-0000-0000-0000198C0000}"/>
    <cellStyle name="常规 2 5 4 2 2 2 3 3" xfId="35866" xr:uid="{00000000-0005-0000-0000-00001A8C0000}"/>
    <cellStyle name="常规 2 5 4 2 2 2 3 4" xfId="35867" xr:uid="{00000000-0005-0000-0000-00001B8C0000}"/>
    <cellStyle name="常规 2 5 4 2 2 2 3 5" xfId="35868" xr:uid="{00000000-0005-0000-0000-00001C8C0000}"/>
    <cellStyle name="常规 2 5 4 2 2 2 4" xfId="35869" xr:uid="{00000000-0005-0000-0000-00001D8C0000}"/>
    <cellStyle name="常规 2 5 4 2 2 2 4 2" xfId="35870" xr:uid="{00000000-0005-0000-0000-00001E8C0000}"/>
    <cellStyle name="常规 2 5 4 2 2 2 4 3" xfId="35871" xr:uid="{00000000-0005-0000-0000-00001F8C0000}"/>
    <cellStyle name="常规 2 5 4 2 2 2 4 4" xfId="35872" xr:uid="{00000000-0005-0000-0000-0000208C0000}"/>
    <cellStyle name="常规 2 5 4 2 2 2 5" xfId="35873" xr:uid="{00000000-0005-0000-0000-0000218C0000}"/>
    <cellStyle name="常规 2 5 4 2 2 2 6" xfId="35874" xr:uid="{00000000-0005-0000-0000-0000228C0000}"/>
    <cellStyle name="常规 2 5 4 2 2 2 7" xfId="35875" xr:uid="{00000000-0005-0000-0000-0000238C0000}"/>
    <cellStyle name="常规 2 5 4 2 2 3" xfId="35876" xr:uid="{00000000-0005-0000-0000-0000248C0000}"/>
    <cellStyle name="常规 2 5 4 2 2 3 2" xfId="35877" xr:uid="{00000000-0005-0000-0000-0000258C0000}"/>
    <cellStyle name="常规 2 5 4 2 2 3 2 2" xfId="35878" xr:uid="{00000000-0005-0000-0000-0000268C0000}"/>
    <cellStyle name="常规 2 5 4 2 2 3 2 3" xfId="35879" xr:uid="{00000000-0005-0000-0000-0000278C0000}"/>
    <cellStyle name="常规 2 5 4 2 2 3 2 4" xfId="35880" xr:uid="{00000000-0005-0000-0000-0000288C0000}"/>
    <cellStyle name="常规 2 5 4 2 2 3 3" xfId="35881" xr:uid="{00000000-0005-0000-0000-0000298C0000}"/>
    <cellStyle name="常规 2 5 4 2 2 3 4" xfId="35882" xr:uid="{00000000-0005-0000-0000-00002A8C0000}"/>
    <cellStyle name="常规 2 5 4 2 2 3 5" xfId="35883" xr:uid="{00000000-0005-0000-0000-00002B8C0000}"/>
    <cellStyle name="常规 2 5 4 2 2 4" xfId="35884" xr:uid="{00000000-0005-0000-0000-00002C8C0000}"/>
    <cellStyle name="常规 2 5 4 2 2 4 2" xfId="35885" xr:uid="{00000000-0005-0000-0000-00002D8C0000}"/>
    <cellStyle name="常规 2 5 4 2 2 4 2 2" xfId="35886" xr:uid="{00000000-0005-0000-0000-00002E8C0000}"/>
    <cellStyle name="常规 2 5 4 2 2 4 2 3" xfId="35887" xr:uid="{00000000-0005-0000-0000-00002F8C0000}"/>
    <cellStyle name="常规 2 5 4 2 2 4 2 4" xfId="35888" xr:uid="{00000000-0005-0000-0000-0000308C0000}"/>
    <cellStyle name="常规 2 5 4 2 2 4 3" xfId="35889" xr:uid="{00000000-0005-0000-0000-0000318C0000}"/>
    <cellStyle name="常规 2 5 4 2 2 4 4" xfId="35890" xr:uid="{00000000-0005-0000-0000-0000328C0000}"/>
    <cellStyle name="常规 2 5 4 2 2 4 5" xfId="35891" xr:uid="{00000000-0005-0000-0000-0000338C0000}"/>
    <cellStyle name="常规 2 5 4 2 2 5" xfId="35892" xr:uid="{00000000-0005-0000-0000-0000348C0000}"/>
    <cellStyle name="常规 2 5 4 2 2 5 2" xfId="35893" xr:uid="{00000000-0005-0000-0000-0000358C0000}"/>
    <cellStyle name="常规 2 5 4 2 2 5 3" xfId="35894" xr:uid="{00000000-0005-0000-0000-0000368C0000}"/>
    <cellStyle name="常规 2 5 4 2 2 5 4" xfId="35895" xr:uid="{00000000-0005-0000-0000-0000378C0000}"/>
    <cellStyle name="常规 2 5 4 2 2 6" xfId="35896" xr:uid="{00000000-0005-0000-0000-0000388C0000}"/>
    <cellStyle name="常规 2 5 4 2 2 7" xfId="35897" xr:uid="{00000000-0005-0000-0000-0000398C0000}"/>
    <cellStyle name="常规 2 5 4 2 2 8" xfId="35898" xr:uid="{00000000-0005-0000-0000-00003A8C0000}"/>
    <cellStyle name="常规 2 5 4 2 2 9" xfId="35899" xr:uid="{00000000-0005-0000-0000-00003B8C0000}"/>
    <cellStyle name="常规 2 5 4 2 2 9 2" xfId="35900" xr:uid="{00000000-0005-0000-0000-00003C8C0000}"/>
    <cellStyle name="常规 2 5 4 2 3" xfId="35901" xr:uid="{00000000-0005-0000-0000-00003D8C0000}"/>
    <cellStyle name="常规 2 5 4 2 3 2" xfId="35902" xr:uid="{00000000-0005-0000-0000-00003E8C0000}"/>
    <cellStyle name="常规 2 5 4 2 3 2 2" xfId="35903" xr:uid="{00000000-0005-0000-0000-00003F8C0000}"/>
    <cellStyle name="常规 2 5 4 2 3 2 3" xfId="35904" xr:uid="{00000000-0005-0000-0000-0000408C0000}"/>
    <cellStyle name="常规 2 5 4 2 3 2 4" xfId="35905" xr:uid="{00000000-0005-0000-0000-0000418C0000}"/>
    <cellStyle name="常规 2 5 4 2 3 3" xfId="35906" xr:uid="{00000000-0005-0000-0000-0000428C0000}"/>
    <cellStyle name="常规 2 5 4 2 3 4" xfId="35907" xr:uid="{00000000-0005-0000-0000-0000438C0000}"/>
    <cellStyle name="常规 2 5 4 2 3 5" xfId="35908" xr:uid="{00000000-0005-0000-0000-0000448C0000}"/>
    <cellStyle name="常规 2 5 4 2 3 6" xfId="35909" xr:uid="{00000000-0005-0000-0000-0000458C0000}"/>
    <cellStyle name="常规 2 5 4 2 3 6 2" xfId="35910" xr:uid="{00000000-0005-0000-0000-0000468C0000}"/>
    <cellStyle name="常规 2 5 4 2 4" xfId="35911" xr:uid="{00000000-0005-0000-0000-0000478C0000}"/>
    <cellStyle name="常规 2 5 4 2 4 2" xfId="35912" xr:uid="{00000000-0005-0000-0000-0000488C0000}"/>
    <cellStyle name="常规 2 5 4 2 4 2 2" xfId="35913" xr:uid="{00000000-0005-0000-0000-0000498C0000}"/>
    <cellStyle name="常规 2 5 4 2 4 2 3" xfId="35914" xr:uid="{00000000-0005-0000-0000-00004A8C0000}"/>
    <cellStyle name="常规 2 5 4 2 4 2 4" xfId="35915" xr:uid="{00000000-0005-0000-0000-00004B8C0000}"/>
    <cellStyle name="常规 2 5 4 2 4 2 5" xfId="35916" xr:uid="{00000000-0005-0000-0000-00004C8C0000}"/>
    <cellStyle name="常规 2 5 4 2 4 3" xfId="35917" xr:uid="{00000000-0005-0000-0000-00004D8C0000}"/>
    <cellStyle name="常规 2 5 4 2 4 4" xfId="35918" xr:uid="{00000000-0005-0000-0000-00004E8C0000}"/>
    <cellStyle name="常规 2 5 4 2 4 5" xfId="35919" xr:uid="{00000000-0005-0000-0000-00004F8C0000}"/>
    <cellStyle name="常规 2 5 4 2 4 6" xfId="35920" xr:uid="{00000000-0005-0000-0000-0000508C0000}"/>
    <cellStyle name="常规 2 5 4 2 5" xfId="35921" xr:uid="{00000000-0005-0000-0000-0000518C0000}"/>
    <cellStyle name="常规 2 5 4 2 5 2" xfId="35922" xr:uid="{00000000-0005-0000-0000-0000528C0000}"/>
    <cellStyle name="常规 2 5 4 2 5 2 2" xfId="35923" xr:uid="{00000000-0005-0000-0000-0000538C0000}"/>
    <cellStyle name="常规 2 5 4 2 5 3" xfId="35924" xr:uid="{00000000-0005-0000-0000-0000548C0000}"/>
    <cellStyle name="常规 2 5 4 2 5 4" xfId="35925" xr:uid="{00000000-0005-0000-0000-0000558C0000}"/>
    <cellStyle name="常规 2 5 4 2 5 5" xfId="35926" xr:uid="{00000000-0005-0000-0000-0000568C0000}"/>
    <cellStyle name="常规 2 5 4 2 6" xfId="35927" xr:uid="{00000000-0005-0000-0000-0000578C0000}"/>
    <cellStyle name="常规 2 5 4 2 7" xfId="35928" xr:uid="{00000000-0005-0000-0000-0000588C0000}"/>
    <cellStyle name="常规 2 5 4 2 8" xfId="35929" xr:uid="{00000000-0005-0000-0000-0000598C0000}"/>
    <cellStyle name="常规 2 5 4 2 9" xfId="35930" xr:uid="{00000000-0005-0000-0000-00005A8C0000}"/>
    <cellStyle name="常规 2 5 4 2 9 2" xfId="35931" xr:uid="{00000000-0005-0000-0000-00005B8C0000}"/>
    <cellStyle name="常规 2 5 4 20" xfId="35932" xr:uid="{00000000-0005-0000-0000-00005C8C0000}"/>
    <cellStyle name="常规 2 5 4 21" xfId="35933" xr:uid="{00000000-0005-0000-0000-00005D8C0000}"/>
    <cellStyle name="常规 2 5 4 22" xfId="35934" xr:uid="{00000000-0005-0000-0000-00005E8C0000}"/>
    <cellStyle name="常规 2 5 4 22 2" xfId="35935" xr:uid="{00000000-0005-0000-0000-00005F8C0000}"/>
    <cellStyle name="常规 2 5 4 23" xfId="35936" xr:uid="{00000000-0005-0000-0000-0000608C0000}"/>
    <cellStyle name="常规 2 5 4 3" xfId="35937" xr:uid="{00000000-0005-0000-0000-0000618C0000}"/>
    <cellStyle name="常规 2 5 4 3 2" xfId="35938" xr:uid="{00000000-0005-0000-0000-0000628C0000}"/>
    <cellStyle name="常规 2 5 4 3 2 2" xfId="35939" xr:uid="{00000000-0005-0000-0000-0000638C0000}"/>
    <cellStyle name="常规 2 5 4 3 2 2 2" xfId="35940" xr:uid="{00000000-0005-0000-0000-0000648C0000}"/>
    <cellStyle name="常规 2 5 4 3 2 2 2 2" xfId="35941" xr:uid="{00000000-0005-0000-0000-0000658C0000}"/>
    <cellStyle name="常规 2 5 4 3 2 2 2 2 2" xfId="35942" xr:uid="{00000000-0005-0000-0000-0000668C0000}"/>
    <cellStyle name="常规 2 5 4 3 2 2 2 2 3" xfId="35943" xr:uid="{00000000-0005-0000-0000-0000678C0000}"/>
    <cellStyle name="常规 2 5 4 3 2 2 2 2 4" xfId="35944" xr:uid="{00000000-0005-0000-0000-0000688C0000}"/>
    <cellStyle name="常规 2 5 4 3 2 2 2 3" xfId="35945" xr:uid="{00000000-0005-0000-0000-0000698C0000}"/>
    <cellStyle name="常规 2 5 4 3 2 2 2 4" xfId="35946" xr:uid="{00000000-0005-0000-0000-00006A8C0000}"/>
    <cellStyle name="常规 2 5 4 3 2 2 2 5" xfId="35947" xr:uid="{00000000-0005-0000-0000-00006B8C0000}"/>
    <cellStyle name="常规 2 5 4 3 2 2 3" xfId="35948" xr:uid="{00000000-0005-0000-0000-00006C8C0000}"/>
    <cellStyle name="常规 2 5 4 3 2 2 3 2" xfId="35949" xr:uid="{00000000-0005-0000-0000-00006D8C0000}"/>
    <cellStyle name="常规 2 5 4 3 2 2 3 2 2" xfId="35950" xr:uid="{00000000-0005-0000-0000-00006E8C0000}"/>
    <cellStyle name="常规 2 5 4 3 2 2 3 2 3" xfId="35951" xr:uid="{00000000-0005-0000-0000-00006F8C0000}"/>
    <cellStyle name="常规 2 5 4 3 2 2 3 2 4" xfId="35952" xr:uid="{00000000-0005-0000-0000-0000708C0000}"/>
    <cellStyle name="常规 2 5 4 3 2 2 3 3" xfId="35953" xr:uid="{00000000-0005-0000-0000-0000718C0000}"/>
    <cellStyle name="常规 2 5 4 3 2 2 3 4" xfId="35954" xr:uid="{00000000-0005-0000-0000-0000728C0000}"/>
    <cellStyle name="常规 2 5 4 3 2 2 3 5" xfId="35955" xr:uid="{00000000-0005-0000-0000-0000738C0000}"/>
    <cellStyle name="常规 2 5 4 3 2 2 4" xfId="35956" xr:uid="{00000000-0005-0000-0000-0000748C0000}"/>
    <cellStyle name="常规 2 5 4 3 2 2 4 2" xfId="35957" xr:uid="{00000000-0005-0000-0000-0000758C0000}"/>
    <cellStyle name="常规 2 5 4 3 2 2 4 3" xfId="35958" xr:uid="{00000000-0005-0000-0000-0000768C0000}"/>
    <cellStyle name="常规 2 5 4 3 2 2 4 4" xfId="35959" xr:uid="{00000000-0005-0000-0000-0000778C0000}"/>
    <cellStyle name="常规 2 5 4 3 2 2 5" xfId="35960" xr:uid="{00000000-0005-0000-0000-0000788C0000}"/>
    <cellStyle name="常规 2 5 4 3 2 2 6" xfId="35961" xr:uid="{00000000-0005-0000-0000-0000798C0000}"/>
    <cellStyle name="常规 2 5 4 3 2 2 7" xfId="35962" xr:uid="{00000000-0005-0000-0000-00007A8C0000}"/>
    <cellStyle name="常规 2 5 4 3 2 3" xfId="35963" xr:uid="{00000000-0005-0000-0000-00007B8C0000}"/>
    <cellStyle name="常规 2 5 4 3 2 3 2" xfId="35964" xr:uid="{00000000-0005-0000-0000-00007C8C0000}"/>
    <cellStyle name="常规 2 5 4 3 2 3 2 2" xfId="35965" xr:uid="{00000000-0005-0000-0000-00007D8C0000}"/>
    <cellStyle name="常规 2 5 4 3 2 3 2 3" xfId="35966" xr:uid="{00000000-0005-0000-0000-00007E8C0000}"/>
    <cellStyle name="常规 2 5 4 3 2 3 2 4" xfId="35967" xr:uid="{00000000-0005-0000-0000-00007F8C0000}"/>
    <cellStyle name="常规 2 5 4 3 2 3 3" xfId="35968" xr:uid="{00000000-0005-0000-0000-0000808C0000}"/>
    <cellStyle name="常规 2 5 4 3 2 3 4" xfId="35969" xr:uid="{00000000-0005-0000-0000-0000818C0000}"/>
    <cellStyle name="常规 2 5 4 3 2 3 5" xfId="35970" xr:uid="{00000000-0005-0000-0000-0000828C0000}"/>
    <cellStyle name="常规 2 5 4 3 2 4" xfId="35971" xr:uid="{00000000-0005-0000-0000-0000838C0000}"/>
    <cellStyle name="常规 2 5 4 3 2 4 2" xfId="35972" xr:uid="{00000000-0005-0000-0000-0000848C0000}"/>
    <cellStyle name="常规 2 5 4 3 2 4 2 2" xfId="35973" xr:uid="{00000000-0005-0000-0000-0000858C0000}"/>
    <cellStyle name="常规 2 5 4 3 2 4 2 3" xfId="35974" xr:uid="{00000000-0005-0000-0000-0000868C0000}"/>
    <cellStyle name="常规 2 5 4 3 2 4 2 4" xfId="35975" xr:uid="{00000000-0005-0000-0000-0000878C0000}"/>
    <cellStyle name="常规 2 5 4 3 2 4 3" xfId="35976" xr:uid="{00000000-0005-0000-0000-0000888C0000}"/>
    <cellStyle name="常规 2 5 4 3 2 4 4" xfId="35977" xr:uid="{00000000-0005-0000-0000-0000898C0000}"/>
    <cellStyle name="常规 2 5 4 3 2 4 5" xfId="35978" xr:uid="{00000000-0005-0000-0000-00008A8C0000}"/>
    <cellStyle name="常规 2 5 4 3 2 5" xfId="35979" xr:uid="{00000000-0005-0000-0000-00008B8C0000}"/>
    <cellStyle name="常规 2 5 4 3 2 5 2" xfId="35980" xr:uid="{00000000-0005-0000-0000-00008C8C0000}"/>
    <cellStyle name="常规 2 5 4 3 2 5 3" xfId="35981" xr:uid="{00000000-0005-0000-0000-00008D8C0000}"/>
    <cellStyle name="常规 2 5 4 3 2 5 4" xfId="35982" xr:uid="{00000000-0005-0000-0000-00008E8C0000}"/>
    <cellStyle name="常规 2 5 4 3 2 6" xfId="35983" xr:uid="{00000000-0005-0000-0000-00008F8C0000}"/>
    <cellStyle name="常规 2 5 4 3 2 7" xfId="35984" xr:uid="{00000000-0005-0000-0000-0000908C0000}"/>
    <cellStyle name="常规 2 5 4 3 2 8" xfId="35985" xr:uid="{00000000-0005-0000-0000-0000918C0000}"/>
    <cellStyle name="常规 2 5 4 3 3" xfId="35986" xr:uid="{00000000-0005-0000-0000-0000928C0000}"/>
    <cellStyle name="常规 2 5 4 3 3 2" xfId="35987" xr:uid="{00000000-0005-0000-0000-0000938C0000}"/>
    <cellStyle name="常规 2 5 4 3 3 2 2" xfId="35988" xr:uid="{00000000-0005-0000-0000-0000948C0000}"/>
    <cellStyle name="常规 2 5 4 3 3 2 3" xfId="35989" xr:uid="{00000000-0005-0000-0000-0000958C0000}"/>
    <cellStyle name="常规 2 5 4 3 3 2 4" xfId="35990" xr:uid="{00000000-0005-0000-0000-0000968C0000}"/>
    <cellStyle name="常规 2 5 4 3 3 3" xfId="35991" xr:uid="{00000000-0005-0000-0000-0000978C0000}"/>
    <cellStyle name="常规 2 5 4 3 3 4" xfId="35992" xr:uid="{00000000-0005-0000-0000-0000988C0000}"/>
    <cellStyle name="常规 2 5 4 3 3 5" xfId="35993" xr:uid="{00000000-0005-0000-0000-0000998C0000}"/>
    <cellStyle name="常规 2 5 4 3 4" xfId="35994" xr:uid="{00000000-0005-0000-0000-00009A8C0000}"/>
    <cellStyle name="常规 2 5 4 3 4 2" xfId="35995" xr:uid="{00000000-0005-0000-0000-00009B8C0000}"/>
    <cellStyle name="常规 2 5 4 3 4 2 2" xfId="35996" xr:uid="{00000000-0005-0000-0000-00009C8C0000}"/>
    <cellStyle name="常规 2 5 4 3 4 2 3" xfId="35997" xr:uid="{00000000-0005-0000-0000-00009D8C0000}"/>
    <cellStyle name="常规 2 5 4 3 4 2 4" xfId="35998" xr:uid="{00000000-0005-0000-0000-00009E8C0000}"/>
    <cellStyle name="常规 2 5 4 3 4 3" xfId="35999" xr:uid="{00000000-0005-0000-0000-00009F8C0000}"/>
    <cellStyle name="常规 2 5 4 3 4 4" xfId="36000" xr:uid="{00000000-0005-0000-0000-0000A08C0000}"/>
    <cellStyle name="常规 2 5 4 3 4 5" xfId="36001" xr:uid="{00000000-0005-0000-0000-0000A18C0000}"/>
    <cellStyle name="常规 2 5 4 3 5" xfId="36002" xr:uid="{00000000-0005-0000-0000-0000A28C0000}"/>
    <cellStyle name="常规 2 5 4 3 5 2" xfId="36003" xr:uid="{00000000-0005-0000-0000-0000A38C0000}"/>
    <cellStyle name="常规 2 5 4 3 5 3" xfId="36004" xr:uid="{00000000-0005-0000-0000-0000A48C0000}"/>
    <cellStyle name="常规 2 5 4 3 5 4" xfId="36005" xr:uid="{00000000-0005-0000-0000-0000A58C0000}"/>
    <cellStyle name="常规 2 5 4 3 6" xfId="36006" xr:uid="{00000000-0005-0000-0000-0000A68C0000}"/>
    <cellStyle name="常规 2 5 4 3 7" xfId="36007" xr:uid="{00000000-0005-0000-0000-0000A78C0000}"/>
    <cellStyle name="常规 2 5 4 3 8" xfId="36008" xr:uid="{00000000-0005-0000-0000-0000A88C0000}"/>
    <cellStyle name="常规 2 5 4 3 9" xfId="36009" xr:uid="{00000000-0005-0000-0000-0000A98C0000}"/>
    <cellStyle name="常规 2 5 4 3 9 2" xfId="36010" xr:uid="{00000000-0005-0000-0000-0000AA8C0000}"/>
    <cellStyle name="常规 2 5 4 4" xfId="36011" xr:uid="{00000000-0005-0000-0000-0000AB8C0000}"/>
    <cellStyle name="常规 2 5 4 4 2" xfId="36012" xr:uid="{00000000-0005-0000-0000-0000AC8C0000}"/>
    <cellStyle name="常规 2 5 4 4 2 2" xfId="36013" xr:uid="{00000000-0005-0000-0000-0000AD8C0000}"/>
    <cellStyle name="常规 2 5 4 4 2 2 2" xfId="36014" xr:uid="{00000000-0005-0000-0000-0000AE8C0000}"/>
    <cellStyle name="常规 2 5 4 4 2 2 2 2" xfId="36015" xr:uid="{00000000-0005-0000-0000-0000AF8C0000}"/>
    <cellStyle name="常规 2 5 4 4 2 2 2 2 2" xfId="36016" xr:uid="{00000000-0005-0000-0000-0000B08C0000}"/>
    <cellStyle name="常规 2 5 4 4 2 2 2 2 3" xfId="36017" xr:uid="{00000000-0005-0000-0000-0000B18C0000}"/>
    <cellStyle name="常规 2 5 4 4 2 2 2 2 4" xfId="36018" xr:uid="{00000000-0005-0000-0000-0000B28C0000}"/>
    <cellStyle name="常规 2 5 4 4 2 2 2 3" xfId="36019" xr:uid="{00000000-0005-0000-0000-0000B38C0000}"/>
    <cellStyle name="常规 2 5 4 4 2 2 2 4" xfId="36020" xr:uid="{00000000-0005-0000-0000-0000B48C0000}"/>
    <cellStyle name="常规 2 5 4 4 2 2 2 5" xfId="36021" xr:uid="{00000000-0005-0000-0000-0000B58C0000}"/>
    <cellStyle name="常规 2 5 4 4 2 2 3" xfId="36022" xr:uid="{00000000-0005-0000-0000-0000B68C0000}"/>
    <cellStyle name="常规 2 5 4 4 2 2 3 2" xfId="36023" xr:uid="{00000000-0005-0000-0000-0000B78C0000}"/>
    <cellStyle name="常规 2 5 4 4 2 2 3 2 2" xfId="36024" xr:uid="{00000000-0005-0000-0000-0000B88C0000}"/>
    <cellStyle name="常规 2 5 4 4 2 2 3 2 3" xfId="36025" xr:uid="{00000000-0005-0000-0000-0000B98C0000}"/>
    <cellStyle name="常规 2 5 4 4 2 2 3 2 4" xfId="36026" xr:uid="{00000000-0005-0000-0000-0000BA8C0000}"/>
    <cellStyle name="常规 2 5 4 4 2 2 3 3" xfId="36027" xr:uid="{00000000-0005-0000-0000-0000BB8C0000}"/>
    <cellStyle name="常规 2 5 4 4 2 2 3 4" xfId="36028" xr:uid="{00000000-0005-0000-0000-0000BC8C0000}"/>
    <cellStyle name="常规 2 5 4 4 2 2 3 5" xfId="36029" xr:uid="{00000000-0005-0000-0000-0000BD8C0000}"/>
    <cellStyle name="常规 2 5 4 4 2 2 4" xfId="36030" xr:uid="{00000000-0005-0000-0000-0000BE8C0000}"/>
    <cellStyle name="常规 2 5 4 4 2 2 4 2" xfId="36031" xr:uid="{00000000-0005-0000-0000-0000BF8C0000}"/>
    <cellStyle name="常规 2 5 4 4 2 2 4 3" xfId="36032" xr:uid="{00000000-0005-0000-0000-0000C08C0000}"/>
    <cellStyle name="常规 2 5 4 4 2 2 4 4" xfId="36033" xr:uid="{00000000-0005-0000-0000-0000C18C0000}"/>
    <cellStyle name="常规 2 5 4 4 2 2 5" xfId="36034" xr:uid="{00000000-0005-0000-0000-0000C28C0000}"/>
    <cellStyle name="常规 2 5 4 4 2 2 6" xfId="36035" xr:uid="{00000000-0005-0000-0000-0000C38C0000}"/>
    <cellStyle name="常规 2 5 4 4 2 2 7" xfId="36036" xr:uid="{00000000-0005-0000-0000-0000C48C0000}"/>
    <cellStyle name="常规 2 5 4 4 2 3" xfId="36037" xr:uid="{00000000-0005-0000-0000-0000C58C0000}"/>
    <cellStyle name="常规 2 5 4 4 2 3 2" xfId="36038" xr:uid="{00000000-0005-0000-0000-0000C68C0000}"/>
    <cellStyle name="常规 2 5 4 4 2 3 2 2" xfId="36039" xr:uid="{00000000-0005-0000-0000-0000C78C0000}"/>
    <cellStyle name="常规 2 5 4 4 2 3 2 3" xfId="36040" xr:uid="{00000000-0005-0000-0000-0000C88C0000}"/>
    <cellStyle name="常规 2 5 4 4 2 3 2 4" xfId="36041" xr:uid="{00000000-0005-0000-0000-0000C98C0000}"/>
    <cellStyle name="常规 2 5 4 4 2 3 3" xfId="36042" xr:uid="{00000000-0005-0000-0000-0000CA8C0000}"/>
    <cellStyle name="常规 2 5 4 4 2 3 4" xfId="36043" xr:uid="{00000000-0005-0000-0000-0000CB8C0000}"/>
    <cellStyle name="常规 2 5 4 4 2 3 5" xfId="36044" xr:uid="{00000000-0005-0000-0000-0000CC8C0000}"/>
    <cellStyle name="常规 2 5 4 4 2 4" xfId="36045" xr:uid="{00000000-0005-0000-0000-0000CD8C0000}"/>
    <cellStyle name="常规 2 5 4 4 2 4 2" xfId="36046" xr:uid="{00000000-0005-0000-0000-0000CE8C0000}"/>
    <cellStyle name="常规 2 5 4 4 2 4 2 2" xfId="36047" xr:uid="{00000000-0005-0000-0000-0000CF8C0000}"/>
    <cellStyle name="常规 2 5 4 4 2 4 2 3" xfId="36048" xr:uid="{00000000-0005-0000-0000-0000D08C0000}"/>
    <cellStyle name="常规 2 5 4 4 2 4 2 4" xfId="36049" xr:uid="{00000000-0005-0000-0000-0000D18C0000}"/>
    <cellStyle name="常规 2 5 4 4 2 4 3" xfId="36050" xr:uid="{00000000-0005-0000-0000-0000D28C0000}"/>
    <cellStyle name="常规 2 5 4 4 2 4 4" xfId="36051" xr:uid="{00000000-0005-0000-0000-0000D38C0000}"/>
    <cellStyle name="常规 2 5 4 4 2 4 5" xfId="36052" xr:uid="{00000000-0005-0000-0000-0000D48C0000}"/>
    <cellStyle name="常规 2 5 4 4 2 5" xfId="36053" xr:uid="{00000000-0005-0000-0000-0000D58C0000}"/>
    <cellStyle name="常规 2 5 4 4 2 5 2" xfId="36054" xr:uid="{00000000-0005-0000-0000-0000D68C0000}"/>
    <cellStyle name="常规 2 5 4 4 2 5 3" xfId="36055" xr:uid="{00000000-0005-0000-0000-0000D78C0000}"/>
    <cellStyle name="常规 2 5 4 4 2 5 4" xfId="36056" xr:uid="{00000000-0005-0000-0000-0000D88C0000}"/>
    <cellStyle name="常规 2 5 4 4 2 6" xfId="36057" xr:uid="{00000000-0005-0000-0000-0000D98C0000}"/>
    <cellStyle name="常规 2 5 4 4 2 7" xfId="36058" xr:uid="{00000000-0005-0000-0000-0000DA8C0000}"/>
    <cellStyle name="常规 2 5 4 4 2 8" xfId="36059" xr:uid="{00000000-0005-0000-0000-0000DB8C0000}"/>
    <cellStyle name="常规 2 5 4 4 3" xfId="36060" xr:uid="{00000000-0005-0000-0000-0000DC8C0000}"/>
    <cellStyle name="常规 2 5 4 4 3 2" xfId="36061" xr:uid="{00000000-0005-0000-0000-0000DD8C0000}"/>
    <cellStyle name="常规 2 5 4 4 3 2 2" xfId="36062" xr:uid="{00000000-0005-0000-0000-0000DE8C0000}"/>
    <cellStyle name="常规 2 5 4 4 3 2 3" xfId="36063" xr:uid="{00000000-0005-0000-0000-0000DF8C0000}"/>
    <cellStyle name="常规 2 5 4 4 3 2 4" xfId="36064" xr:uid="{00000000-0005-0000-0000-0000E08C0000}"/>
    <cellStyle name="常规 2 5 4 4 3 3" xfId="36065" xr:uid="{00000000-0005-0000-0000-0000E18C0000}"/>
    <cellStyle name="常规 2 5 4 4 3 4" xfId="36066" xr:uid="{00000000-0005-0000-0000-0000E28C0000}"/>
    <cellStyle name="常规 2 5 4 4 3 5" xfId="36067" xr:uid="{00000000-0005-0000-0000-0000E38C0000}"/>
    <cellStyle name="常规 2 5 4 4 4" xfId="36068" xr:uid="{00000000-0005-0000-0000-0000E48C0000}"/>
    <cellStyle name="常规 2 5 4 4 4 2" xfId="36069" xr:uid="{00000000-0005-0000-0000-0000E58C0000}"/>
    <cellStyle name="常规 2 5 4 4 4 2 2" xfId="36070" xr:uid="{00000000-0005-0000-0000-0000E68C0000}"/>
    <cellStyle name="常规 2 5 4 4 4 2 3" xfId="36071" xr:uid="{00000000-0005-0000-0000-0000E78C0000}"/>
    <cellStyle name="常规 2 5 4 4 4 2 4" xfId="36072" xr:uid="{00000000-0005-0000-0000-0000E88C0000}"/>
    <cellStyle name="常规 2 5 4 4 4 3" xfId="36073" xr:uid="{00000000-0005-0000-0000-0000E98C0000}"/>
    <cellStyle name="常规 2 5 4 4 4 4" xfId="36074" xr:uid="{00000000-0005-0000-0000-0000EA8C0000}"/>
    <cellStyle name="常规 2 5 4 4 4 5" xfId="36075" xr:uid="{00000000-0005-0000-0000-0000EB8C0000}"/>
    <cellStyle name="常规 2 5 4 4 5" xfId="36076" xr:uid="{00000000-0005-0000-0000-0000EC8C0000}"/>
    <cellStyle name="常规 2 5 4 4 5 2" xfId="36077" xr:uid="{00000000-0005-0000-0000-0000ED8C0000}"/>
    <cellStyle name="常规 2 5 4 4 5 3" xfId="36078" xr:uid="{00000000-0005-0000-0000-0000EE8C0000}"/>
    <cellStyle name="常规 2 5 4 4 5 4" xfId="36079" xr:uid="{00000000-0005-0000-0000-0000EF8C0000}"/>
    <cellStyle name="常规 2 5 4 4 6" xfId="36080" xr:uid="{00000000-0005-0000-0000-0000F08C0000}"/>
    <cellStyle name="常规 2 5 4 4 7" xfId="36081" xr:uid="{00000000-0005-0000-0000-0000F18C0000}"/>
    <cellStyle name="常规 2 5 4 4 8" xfId="36082" xr:uid="{00000000-0005-0000-0000-0000F28C0000}"/>
    <cellStyle name="常规 2 5 4 4 9" xfId="36083" xr:uid="{00000000-0005-0000-0000-0000F38C0000}"/>
    <cellStyle name="常规 2 5 4 4 9 2" xfId="36084" xr:uid="{00000000-0005-0000-0000-0000F48C0000}"/>
    <cellStyle name="常规 2 5 4 5" xfId="36085" xr:uid="{00000000-0005-0000-0000-0000F58C0000}"/>
    <cellStyle name="常规 2 5 4 5 2" xfId="36086" xr:uid="{00000000-0005-0000-0000-0000F68C0000}"/>
    <cellStyle name="常规 2 5 4 5 2 2" xfId="36087" xr:uid="{00000000-0005-0000-0000-0000F78C0000}"/>
    <cellStyle name="常规 2 5 4 5 2 2 2" xfId="36088" xr:uid="{00000000-0005-0000-0000-0000F88C0000}"/>
    <cellStyle name="常规 2 5 4 5 2 2 2 2" xfId="36089" xr:uid="{00000000-0005-0000-0000-0000F98C0000}"/>
    <cellStyle name="常规 2 5 4 5 2 2 2 2 2" xfId="36090" xr:uid="{00000000-0005-0000-0000-0000FA8C0000}"/>
    <cellStyle name="常规 2 5 4 5 2 2 2 2 3" xfId="36091" xr:uid="{00000000-0005-0000-0000-0000FB8C0000}"/>
    <cellStyle name="常规 2 5 4 5 2 2 2 2 4" xfId="36092" xr:uid="{00000000-0005-0000-0000-0000FC8C0000}"/>
    <cellStyle name="常规 2 5 4 5 2 2 2 3" xfId="36093" xr:uid="{00000000-0005-0000-0000-0000FD8C0000}"/>
    <cellStyle name="常规 2 5 4 5 2 2 2 4" xfId="36094" xr:uid="{00000000-0005-0000-0000-0000FE8C0000}"/>
    <cellStyle name="常规 2 5 4 5 2 2 2 5" xfId="36095" xr:uid="{00000000-0005-0000-0000-0000FF8C0000}"/>
    <cellStyle name="常规 2 5 4 5 2 2 3" xfId="36096" xr:uid="{00000000-0005-0000-0000-0000008D0000}"/>
    <cellStyle name="常规 2 5 4 5 2 2 3 2" xfId="36097" xr:uid="{00000000-0005-0000-0000-0000018D0000}"/>
    <cellStyle name="常规 2 5 4 5 2 2 3 2 2" xfId="36098" xr:uid="{00000000-0005-0000-0000-0000028D0000}"/>
    <cellStyle name="常规 2 5 4 5 2 2 3 2 3" xfId="36099" xr:uid="{00000000-0005-0000-0000-0000038D0000}"/>
    <cellStyle name="常规 2 5 4 5 2 2 3 2 4" xfId="36100" xr:uid="{00000000-0005-0000-0000-0000048D0000}"/>
    <cellStyle name="常规 2 5 4 5 2 2 3 3" xfId="36101" xr:uid="{00000000-0005-0000-0000-0000058D0000}"/>
    <cellStyle name="常规 2 5 4 5 2 2 3 4" xfId="36102" xr:uid="{00000000-0005-0000-0000-0000068D0000}"/>
    <cellStyle name="常规 2 5 4 5 2 2 3 5" xfId="36103" xr:uid="{00000000-0005-0000-0000-0000078D0000}"/>
    <cellStyle name="常规 2 5 4 5 2 2 4" xfId="36104" xr:uid="{00000000-0005-0000-0000-0000088D0000}"/>
    <cellStyle name="常规 2 5 4 5 2 2 4 2" xfId="36105" xr:uid="{00000000-0005-0000-0000-0000098D0000}"/>
    <cellStyle name="常规 2 5 4 5 2 2 4 3" xfId="36106" xr:uid="{00000000-0005-0000-0000-00000A8D0000}"/>
    <cellStyle name="常规 2 5 4 5 2 2 4 4" xfId="36107" xr:uid="{00000000-0005-0000-0000-00000B8D0000}"/>
    <cellStyle name="常规 2 5 4 5 2 2 5" xfId="36108" xr:uid="{00000000-0005-0000-0000-00000C8D0000}"/>
    <cellStyle name="常规 2 5 4 5 2 2 6" xfId="36109" xr:uid="{00000000-0005-0000-0000-00000D8D0000}"/>
    <cellStyle name="常规 2 5 4 5 2 2 7" xfId="36110" xr:uid="{00000000-0005-0000-0000-00000E8D0000}"/>
    <cellStyle name="常规 2 5 4 5 2 3" xfId="36111" xr:uid="{00000000-0005-0000-0000-00000F8D0000}"/>
    <cellStyle name="常规 2 5 4 5 2 3 2" xfId="36112" xr:uid="{00000000-0005-0000-0000-0000108D0000}"/>
    <cellStyle name="常规 2 5 4 5 2 3 2 2" xfId="36113" xr:uid="{00000000-0005-0000-0000-0000118D0000}"/>
    <cellStyle name="常规 2 5 4 5 2 3 2 3" xfId="36114" xr:uid="{00000000-0005-0000-0000-0000128D0000}"/>
    <cellStyle name="常规 2 5 4 5 2 3 2 4" xfId="36115" xr:uid="{00000000-0005-0000-0000-0000138D0000}"/>
    <cellStyle name="常规 2 5 4 5 2 3 3" xfId="36116" xr:uid="{00000000-0005-0000-0000-0000148D0000}"/>
    <cellStyle name="常规 2 5 4 5 2 3 4" xfId="36117" xr:uid="{00000000-0005-0000-0000-0000158D0000}"/>
    <cellStyle name="常规 2 5 4 5 2 3 5" xfId="36118" xr:uid="{00000000-0005-0000-0000-0000168D0000}"/>
    <cellStyle name="常规 2 5 4 5 2 4" xfId="36119" xr:uid="{00000000-0005-0000-0000-0000178D0000}"/>
    <cellStyle name="常规 2 5 4 5 2 4 2" xfId="36120" xr:uid="{00000000-0005-0000-0000-0000188D0000}"/>
    <cellStyle name="常规 2 5 4 5 2 4 2 2" xfId="36121" xr:uid="{00000000-0005-0000-0000-0000198D0000}"/>
    <cellStyle name="常规 2 5 4 5 2 4 2 3" xfId="36122" xr:uid="{00000000-0005-0000-0000-00001A8D0000}"/>
    <cellStyle name="常规 2 5 4 5 2 4 2 4" xfId="36123" xr:uid="{00000000-0005-0000-0000-00001B8D0000}"/>
    <cellStyle name="常规 2 5 4 5 2 4 3" xfId="36124" xr:uid="{00000000-0005-0000-0000-00001C8D0000}"/>
    <cellStyle name="常规 2 5 4 5 2 4 4" xfId="36125" xr:uid="{00000000-0005-0000-0000-00001D8D0000}"/>
    <cellStyle name="常规 2 5 4 5 2 4 5" xfId="36126" xr:uid="{00000000-0005-0000-0000-00001E8D0000}"/>
    <cellStyle name="常规 2 5 4 5 2 5" xfId="36127" xr:uid="{00000000-0005-0000-0000-00001F8D0000}"/>
    <cellStyle name="常规 2 5 4 5 2 5 2" xfId="36128" xr:uid="{00000000-0005-0000-0000-0000208D0000}"/>
    <cellStyle name="常规 2 5 4 5 2 5 3" xfId="36129" xr:uid="{00000000-0005-0000-0000-0000218D0000}"/>
    <cellStyle name="常规 2 5 4 5 2 5 4" xfId="36130" xr:uid="{00000000-0005-0000-0000-0000228D0000}"/>
    <cellStyle name="常规 2 5 4 5 2 6" xfId="36131" xr:uid="{00000000-0005-0000-0000-0000238D0000}"/>
    <cellStyle name="常规 2 5 4 5 2 7" xfId="36132" xr:uid="{00000000-0005-0000-0000-0000248D0000}"/>
    <cellStyle name="常规 2 5 4 5 2 8" xfId="36133" xr:uid="{00000000-0005-0000-0000-0000258D0000}"/>
    <cellStyle name="常规 2 5 4 5 3" xfId="36134" xr:uid="{00000000-0005-0000-0000-0000268D0000}"/>
    <cellStyle name="常规 2 5 4 5 3 2" xfId="36135" xr:uid="{00000000-0005-0000-0000-0000278D0000}"/>
    <cellStyle name="常规 2 5 4 5 3 2 2" xfId="36136" xr:uid="{00000000-0005-0000-0000-0000288D0000}"/>
    <cellStyle name="常规 2 5 4 5 3 2 3" xfId="36137" xr:uid="{00000000-0005-0000-0000-0000298D0000}"/>
    <cellStyle name="常规 2 5 4 5 3 2 4" xfId="36138" xr:uid="{00000000-0005-0000-0000-00002A8D0000}"/>
    <cellStyle name="常规 2 5 4 5 3 3" xfId="36139" xr:uid="{00000000-0005-0000-0000-00002B8D0000}"/>
    <cellStyle name="常规 2 5 4 5 3 4" xfId="36140" xr:uid="{00000000-0005-0000-0000-00002C8D0000}"/>
    <cellStyle name="常规 2 5 4 5 3 5" xfId="36141" xr:uid="{00000000-0005-0000-0000-00002D8D0000}"/>
    <cellStyle name="常规 2 5 4 5 4" xfId="36142" xr:uid="{00000000-0005-0000-0000-00002E8D0000}"/>
    <cellStyle name="常规 2 5 4 5 4 2" xfId="36143" xr:uid="{00000000-0005-0000-0000-00002F8D0000}"/>
    <cellStyle name="常规 2 5 4 5 4 2 2" xfId="36144" xr:uid="{00000000-0005-0000-0000-0000308D0000}"/>
    <cellStyle name="常规 2 5 4 5 4 2 3" xfId="36145" xr:uid="{00000000-0005-0000-0000-0000318D0000}"/>
    <cellStyle name="常规 2 5 4 5 4 2 4" xfId="36146" xr:uid="{00000000-0005-0000-0000-0000328D0000}"/>
    <cellStyle name="常规 2 5 4 5 4 3" xfId="36147" xr:uid="{00000000-0005-0000-0000-0000338D0000}"/>
    <cellStyle name="常规 2 5 4 5 4 4" xfId="36148" xr:uid="{00000000-0005-0000-0000-0000348D0000}"/>
    <cellStyle name="常规 2 5 4 5 4 5" xfId="36149" xr:uid="{00000000-0005-0000-0000-0000358D0000}"/>
    <cellStyle name="常规 2 5 4 5 5" xfId="36150" xr:uid="{00000000-0005-0000-0000-0000368D0000}"/>
    <cellStyle name="常规 2 5 4 5 5 2" xfId="36151" xr:uid="{00000000-0005-0000-0000-0000378D0000}"/>
    <cellStyle name="常规 2 5 4 5 5 3" xfId="36152" xr:uid="{00000000-0005-0000-0000-0000388D0000}"/>
    <cellStyle name="常规 2 5 4 5 5 4" xfId="36153" xr:uid="{00000000-0005-0000-0000-0000398D0000}"/>
    <cellStyle name="常规 2 5 4 5 6" xfId="36154" xr:uid="{00000000-0005-0000-0000-00003A8D0000}"/>
    <cellStyle name="常规 2 5 4 5 7" xfId="36155" xr:uid="{00000000-0005-0000-0000-00003B8D0000}"/>
    <cellStyle name="常规 2 5 4 5 8" xfId="36156" xr:uid="{00000000-0005-0000-0000-00003C8D0000}"/>
    <cellStyle name="常规 2 5 4 5 9" xfId="36157" xr:uid="{00000000-0005-0000-0000-00003D8D0000}"/>
    <cellStyle name="常规 2 5 4 5 9 2" xfId="36158" xr:uid="{00000000-0005-0000-0000-00003E8D0000}"/>
    <cellStyle name="常规 2 5 4 6" xfId="36159" xr:uid="{00000000-0005-0000-0000-00003F8D0000}"/>
    <cellStyle name="常规 2 5 4 6 2" xfId="36160" xr:uid="{00000000-0005-0000-0000-0000408D0000}"/>
    <cellStyle name="常规 2 5 4 6 2 2" xfId="36161" xr:uid="{00000000-0005-0000-0000-0000418D0000}"/>
    <cellStyle name="常规 2 5 4 6 2 2 2" xfId="36162" xr:uid="{00000000-0005-0000-0000-0000428D0000}"/>
    <cellStyle name="常规 2 5 4 6 2 2 2 2" xfId="36163" xr:uid="{00000000-0005-0000-0000-0000438D0000}"/>
    <cellStyle name="常规 2 5 4 6 2 2 2 2 2" xfId="36164" xr:uid="{00000000-0005-0000-0000-0000448D0000}"/>
    <cellStyle name="常规 2 5 4 6 2 2 2 2 3" xfId="36165" xr:uid="{00000000-0005-0000-0000-0000458D0000}"/>
    <cellStyle name="常规 2 5 4 6 2 2 2 2 4" xfId="36166" xr:uid="{00000000-0005-0000-0000-0000468D0000}"/>
    <cellStyle name="常规 2 5 4 6 2 2 2 3" xfId="36167" xr:uid="{00000000-0005-0000-0000-0000478D0000}"/>
    <cellStyle name="常规 2 5 4 6 2 2 2 4" xfId="36168" xr:uid="{00000000-0005-0000-0000-0000488D0000}"/>
    <cellStyle name="常规 2 5 4 6 2 2 2 5" xfId="36169" xr:uid="{00000000-0005-0000-0000-0000498D0000}"/>
    <cellStyle name="常规 2 5 4 6 2 2 3" xfId="36170" xr:uid="{00000000-0005-0000-0000-00004A8D0000}"/>
    <cellStyle name="常规 2 5 4 6 2 2 3 2" xfId="36171" xr:uid="{00000000-0005-0000-0000-00004B8D0000}"/>
    <cellStyle name="常规 2 5 4 6 2 2 3 2 2" xfId="36172" xr:uid="{00000000-0005-0000-0000-00004C8D0000}"/>
    <cellStyle name="常规 2 5 4 6 2 2 3 2 3" xfId="36173" xr:uid="{00000000-0005-0000-0000-00004D8D0000}"/>
    <cellStyle name="常规 2 5 4 6 2 2 3 2 4" xfId="36174" xr:uid="{00000000-0005-0000-0000-00004E8D0000}"/>
    <cellStyle name="常规 2 5 4 6 2 2 3 3" xfId="36175" xr:uid="{00000000-0005-0000-0000-00004F8D0000}"/>
    <cellStyle name="常规 2 5 4 6 2 2 3 4" xfId="36176" xr:uid="{00000000-0005-0000-0000-0000508D0000}"/>
    <cellStyle name="常规 2 5 4 6 2 2 3 5" xfId="36177" xr:uid="{00000000-0005-0000-0000-0000518D0000}"/>
    <cellStyle name="常规 2 5 4 6 2 2 4" xfId="36178" xr:uid="{00000000-0005-0000-0000-0000528D0000}"/>
    <cellStyle name="常规 2 5 4 6 2 2 4 2" xfId="36179" xr:uid="{00000000-0005-0000-0000-0000538D0000}"/>
    <cellStyle name="常规 2 5 4 6 2 2 4 3" xfId="36180" xr:uid="{00000000-0005-0000-0000-0000548D0000}"/>
    <cellStyle name="常规 2 5 4 6 2 2 4 4" xfId="36181" xr:uid="{00000000-0005-0000-0000-0000558D0000}"/>
    <cellStyle name="常规 2 5 4 6 2 2 5" xfId="36182" xr:uid="{00000000-0005-0000-0000-0000568D0000}"/>
    <cellStyle name="常规 2 5 4 6 2 2 6" xfId="36183" xr:uid="{00000000-0005-0000-0000-0000578D0000}"/>
    <cellStyle name="常规 2 5 4 6 2 2 7" xfId="36184" xr:uid="{00000000-0005-0000-0000-0000588D0000}"/>
    <cellStyle name="常规 2 5 4 6 2 3" xfId="36185" xr:uid="{00000000-0005-0000-0000-0000598D0000}"/>
    <cellStyle name="常规 2 5 4 6 2 3 2" xfId="36186" xr:uid="{00000000-0005-0000-0000-00005A8D0000}"/>
    <cellStyle name="常规 2 5 4 6 2 3 2 2" xfId="36187" xr:uid="{00000000-0005-0000-0000-00005B8D0000}"/>
    <cellStyle name="常规 2 5 4 6 2 3 2 3" xfId="36188" xr:uid="{00000000-0005-0000-0000-00005C8D0000}"/>
    <cellStyle name="常规 2 5 4 6 2 3 2 4" xfId="36189" xr:uid="{00000000-0005-0000-0000-00005D8D0000}"/>
    <cellStyle name="常规 2 5 4 6 2 3 3" xfId="36190" xr:uid="{00000000-0005-0000-0000-00005E8D0000}"/>
    <cellStyle name="常规 2 5 4 6 2 3 4" xfId="36191" xr:uid="{00000000-0005-0000-0000-00005F8D0000}"/>
    <cellStyle name="常规 2 5 4 6 2 3 5" xfId="36192" xr:uid="{00000000-0005-0000-0000-0000608D0000}"/>
    <cellStyle name="常规 2 5 4 6 2 4" xfId="36193" xr:uid="{00000000-0005-0000-0000-0000618D0000}"/>
    <cellStyle name="常规 2 5 4 6 2 4 2" xfId="36194" xr:uid="{00000000-0005-0000-0000-0000628D0000}"/>
    <cellStyle name="常规 2 5 4 6 2 4 2 2" xfId="36195" xr:uid="{00000000-0005-0000-0000-0000638D0000}"/>
    <cellStyle name="常规 2 5 4 6 2 4 2 3" xfId="36196" xr:uid="{00000000-0005-0000-0000-0000648D0000}"/>
    <cellStyle name="常规 2 5 4 6 2 4 2 4" xfId="36197" xr:uid="{00000000-0005-0000-0000-0000658D0000}"/>
    <cellStyle name="常规 2 5 4 6 2 4 3" xfId="36198" xr:uid="{00000000-0005-0000-0000-0000668D0000}"/>
    <cellStyle name="常规 2 5 4 6 2 4 4" xfId="36199" xr:uid="{00000000-0005-0000-0000-0000678D0000}"/>
    <cellStyle name="常规 2 5 4 6 2 4 5" xfId="36200" xr:uid="{00000000-0005-0000-0000-0000688D0000}"/>
    <cellStyle name="常规 2 5 4 6 2 5" xfId="36201" xr:uid="{00000000-0005-0000-0000-0000698D0000}"/>
    <cellStyle name="常规 2 5 4 6 2 5 2" xfId="36202" xr:uid="{00000000-0005-0000-0000-00006A8D0000}"/>
    <cellStyle name="常规 2 5 4 6 2 5 3" xfId="36203" xr:uid="{00000000-0005-0000-0000-00006B8D0000}"/>
    <cellStyle name="常规 2 5 4 6 2 5 4" xfId="36204" xr:uid="{00000000-0005-0000-0000-00006C8D0000}"/>
    <cellStyle name="常规 2 5 4 6 2 6" xfId="36205" xr:uid="{00000000-0005-0000-0000-00006D8D0000}"/>
    <cellStyle name="常规 2 5 4 6 2 7" xfId="36206" xr:uid="{00000000-0005-0000-0000-00006E8D0000}"/>
    <cellStyle name="常规 2 5 4 6 2 8" xfId="36207" xr:uid="{00000000-0005-0000-0000-00006F8D0000}"/>
    <cellStyle name="常规 2 5 4 6 3" xfId="36208" xr:uid="{00000000-0005-0000-0000-0000708D0000}"/>
    <cellStyle name="常规 2 5 4 6 3 2" xfId="36209" xr:uid="{00000000-0005-0000-0000-0000718D0000}"/>
    <cellStyle name="常规 2 5 4 6 3 2 2" xfId="36210" xr:uid="{00000000-0005-0000-0000-0000728D0000}"/>
    <cellStyle name="常规 2 5 4 6 3 2 3" xfId="36211" xr:uid="{00000000-0005-0000-0000-0000738D0000}"/>
    <cellStyle name="常规 2 5 4 6 3 2 4" xfId="36212" xr:uid="{00000000-0005-0000-0000-0000748D0000}"/>
    <cellStyle name="常规 2 5 4 6 3 3" xfId="36213" xr:uid="{00000000-0005-0000-0000-0000758D0000}"/>
    <cellStyle name="常规 2 5 4 6 3 4" xfId="36214" xr:uid="{00000000-0005-0000-0000-0000768D0000}"/>
    <cellStyle name="常规 2 5 4 6 3 5" xfId="36215" xr:uid="{00000000-0005-0000-0000-0000778D0000}"/>
    <cellStyle name="常规 2 5 4 6 4" xfId="36216" xr:uid="{00000000-0005-0000-0000-0000788D0000}"/>
    <cellStyle name="常规 2 5 4 6 4 2" xfId="36217" xr:uid="{00000000-0005-0000-0000-0000798D0000}"/>
    <cellStyle name="常规 2 5 4 6 4 2 2" xfId="36218" xr:uid="{00000000-0005-0000-0000-00007A8D0000}"/>
    <cellStyle name="常规 2 5 4 6 4 2 3" xfId="36219" xr:uid="{00000000-0005-0000-0000-00007B8D0000}"/>
    <cellStyle name="常规 2 5 4 6 4 2 4" xfId="36220" xr:uid="{00000000-0005-0000-0000-00007C8D0000}"/>
    <cellStyle name="常规 2 5 4 6 4 3" xfId="36221" xr:uid="{00000000-0005-0000-0000-00007D8D0000}"/>
    <cellStyle name="常规 2 5 4 6 4 4" xfId="36222" xr:uid="{00000000-0005-0000-0000-00007E8D0000}"/>
    <cellStyle name="常规 2 5 4 6 4 5" xfId="36223" xr:uid="{00000000-0005-0000-0000-00007F8D0000}"/>
    <cellStyle name="常规 2 5 4 6 5" xfId="36224" xr:uid="{00000000-0005-0000-0000-0000808D0000}"/>
    <cellStyle name="常规 2 5 4 6 5 2" xfId="36225" xr:uid="{00000000-0005-0000-0000-0000818D0000}"/>
    <cellStyle name="常规 2 5 4 6 5 3" xfId="36226" xr:uid="{00000000-0005-0000-0000-0000828D0000}"/>
    <cellStyle name="常规 2 5 4 6 5 4" xfId="36227" xr:uid="{00000000-0005-0000-0000-0000838D0000}"/>
    <cellStyle name="常规 2 5 4 6 6" xfId="36228" xr:uid="{00000000-0005-0000-0000-0000848D0000}"/>
    <cellStyle name="常规 2 5 4 6 7" xfId="36229" xr:uid="{00000000-0005-0000-0000-0000858D0000}"/>
    <cellStyle name="常规 2 5 4 6 8" xfId="36230" xr:uid="{00000000-0005-0000-0000-0000868D0000}"/>
    <cellStyle name="常规 2 5 4 6 9" xfId="36231" xr:uid="{00000000-0005-0000-0000-0000878D0000}"/>
    <cellStyle name="常规 2 5 4 6 9 2" xfId="36232" xr:uid="{00000000-0005-0000-0000-0000888D0000}"/>
    <cellStyle name="常规 2 5 4 7" xfId="36233" xr:uid="{00000000-0005-0000-0000-0000898D0000}"/>
    <cellStyle name="常规 2 5 4 7 2" xfId="36234" xr:uid="{00000000-0005-0000-0000-00008A8D0000}"/>
    <cellStyle name="常规 2 5 4 7 2 2" xfId="36235" xr:uid="{00000000-0005-0000-0000-00008B8D0000}"/>
    <cellStyle name="常规 2 5 4 7 2 2 2" xfId="36236" xr:uid="{00000000-0005-0000-0000-00008C8D0000}"/>
    <cellStyle name="常规 2 5 4 7 2 2 2 2" xfId="36237" xr:uid="{00000000-0005-0000-0000-00008D8D0000}"/>
    <cellStyle name="常规 2 5 4 7 2 2 2 2 2" xfId="36238" xr:uid="{00000000-0005-0000-0000-00008E8D0000}"/>
    <cellStyle name="常规 2 5 4 7 2 2 2 2 3" xfId="36239" xr:uid="{00000000-0005-0000-0000-00008F8D0000}"/>
    <cellStyle name="常规 2 5 4 7 2 2 2 2 4" xfId="36240" xr:uid="{00000000-0005-0000-0000-0000908D0000}"/>
    <cellStyle name="常规 2 5 4 7 2 2 2 3" xfId="36241" xr:uid="{00000000-0005-0000-0000-0000918D0000}"/>
    <cellStyle name="常规 2 5 4 7 2 2 2 4" xfId="36242" xr:uid="{00000000-0005-0000-0000-0000928D0000}"/>
    <cellStyle name="常规 2 5 4 7 2 2 2 5" xfId="36243" xr:uid="{00000000-0005-0000-0000-0000938D0000}"/>
    <cellStyle name="常规 2 5 4 7 2 2 3" xfId="36244" xr:uid="{00000000-0005-0000-0000-0000948D0000}"/>
    <cellStyle name="常规 2 5 4 7 2 2 3 2" xfId="36245" xr:uid="{00000000-0005-0000-0000-0000958D0000}"/>
    <cellStyle name="常规 2 5 4 7 2 2 3 2 2" xfId="36246" xr:uid="{00000000-0005-0000-0000-0000968D0000}"/>
    <cellStyle name="常规 2 5 4 7 2 2 3 2 3" xfId="36247" xr:uid="{00000000-0005-0000-0000-0000978D0000}"/>
    <cellStyle name="常规 2 5 4 7 2 2 3 2 4" xfId="36248" xr:uid="{00000000-0005-0000-0000-0000988D0000}"/>
    <cellStyle name="常规 2 5 4 7 2 2 3 3" xfId="36249" xr:uid="{00000000-0005-0000-0000-0000998D0000}"/>
    <cellStyle name="常规 2 5 4 7 2 2 3 4" xfId="36250" xr:uid="{00000000-0005-0000-0000-00009A8D0000}"/>
    <cellStyle name="常规 2 5 4 7 2 2 3 5" xfId="36251" xr:uid="{00000000-0005-0000-0000-00009B8D0000}"/>
    <cellStyle name="常规 2 5 4 7 2 2 4" xfId="36252" xr:uid="{00000000-0005-0000-0000-00009C8D0000}"/>
    <cellStyle name="常规 2 5 4 7 2 2 4 2" xfId="36253" xr:uid="{00000000-0005-0000-0000-00009D8D0000}"/>
    <cellStyle name="常规 2 5 4 7 2 2 4 3" xfId="36254" xr:uid="{00000000-0005-0000-0000-00009E8D0000}"/>
    <cellStyle name="常规 2 5 4 7 2 2 4 4" xfId="36255" xr:uid="{00000000-0005-0000-0000-00009F8D0000}"/>
    <cellStyle name="常规 2 5 4 7 2 2 5" xfId="36256" xr:uid="{00000000-0005-0000-0000-0000A08D0000}"/>
    <cellStyle name="常规 2 5 4 7 2 2 6" xfId="36257" xr:uid="{00000000-0005-0000-0000-0000A18D0000}"/>
    <cellStyle name="常规 2 5 4 7 2 2 7" xfId="36258" xr:uid="{00000000-0005-0000-0000-0000A28D0000}"/>
    <cellStyle name="常规 2 5 4 7 2 3" xfId="36259" xr:uid="{00000000-0005-0000-0000-0000A38D0000}"/>
    <cellStyle name="常规 2 5 4 7 2 3 2" xfId="36260" xr:uid="{00000000-0005-0000-0000-0000A48D0000}"/>
    <cellStyle name="常规 2 5 4 7 2 3 2 2" xfId="36261" xr:uid="{00000000-0005-0000-0000-0000A58D0000}"/>
    <cellStyle name="常规 2 5 4 7 2 3 2 3" xfId="36262" xr:uid="{00000000-0005-0000-0000-0000A68D0000}"/>
    <cellStyle name="常规 2 5 4 7 2 3 2 4" xfId="36263" xr:uid="{00000000-0005-0000-0000-0000A78D0000}"/>
    <cellStyle name="常规 2 5 4 7 2 3 3" xfId="36264" xr:uid="{00000000-0005-0000-0000-0000A88D0000}"/>
    <cellStyle name="常规 2 5 4 7 2 3 4" xfId="36265" xr:uid="{00000000-0005-0000-0000-0000A98D0000}"/>
    <cellStyle name="常规 2 5 4 7 2 3 5" xfId="36266" xr:uid="{00000000-0005-0000-0000-0000AA8D0000}"/>
    <cellStyle name="常规 2 5 4 7 2 4" xfId="36267" xr:uid="{00000000-0005-0000-0000-0000AB8D0000}"/>
    <cellStyle name="常规 2 5 4 7 2 4 2" xfId="36268" xr:uid="{00000000-0005-0000-0000-0000AC8D0000}"/>
    <cellStyle name="常规 2 5 4 7 2 4 2 2" xfId="36269" xr:uid="{00000000-0005-0000-0000-0000AD8D0000}"/>
    <cellStyle name="常规 2 5 4 7 2 4 2 3" xfId="36270" xr:uid="{00000000-0005-0000-0000-0000AE8D0000}"/>
    <cellStyle name="常规 2 5 4 7 2 4 2 4" xfId="36271" xr:uid="{00000000-0005-0000-0000-0000AF8D0000}"/>
    <cellStyle name="常规 2 5 4 7 2 4 3" xfId="36272" xr:uid="{00000000-0005-0000-0000-0000B08D0000}"/>
    <cellStyle name="常规 2 5 4 7 2 4 4" xfId="36273" xr:uid="{00000000-0005-0000-0000-0000B18D0000}"/>
    <cellStyle name="常规 2 5 4 7 2 4 5" xfId="36274" xr:uid="{00000000-0005-0000-0000-0000B28D0000}"/>
    <cellStyle name="常规 2 5 4 7 2 5" xfId="36275" xr:uid="{00000000-0005-0000-0000-0000B38D0000}"/>
    <cellStyle name="常规 2 5 4 7 2 5 2" xfId="36276" xr:uid="{00000000-0005-0000-0000-0000B48D0000}"/>
    <cellStyle name="常规 2 5 4 7 2 5 3" xfId="36277" xr:uid="{00000000-0005-0000-0000-0000B58D0000}"/>
    <cellStyle name="常规 2 5 4 7 2 5 4" xfId="36278" xr:uid="{00000000-0005-0000-0000-0000B68D0000}"/>
    <cellStyle name="常规 2 5 4 7 2 6" xfId="36279" xr:uid="{00000000-0005-0000-0000-0000B78D0000}"/>
    <cellStyle name="常规 2 5 4 7 2 7" xfId="36280" xr:uid="{00000000-0005-0000-0000-0000B88D0000}"/>
    <cellStyle name="常规 2 5 4 7 2 8" xfId="36281" xr:uid="{00000000-0005-0000-0000-0000B98D0000}"/>
    <cellStyle name="常规 2 5 4 7 2 9" xfId="36282" xr:uid="{00000000-0005-0000-0000-0000BA8D0000}"/>
    <cellStyle name="常规 2 5 4 7 3" xfId="36283" xr:uid="{00000000-0005-0000-0000-0000BB8D0000}"/>
    <cellStyle name="常规 2 5 4 7 3 2" xfId="36284" xr:uid="{00000000-0005-0000-0000-0000BC8D0000}"/>
    <cellStyle name="常规 2 5 4 7 3 2 2" xfId="36285" xr:uid="{00000000-0005-0000-0000-0000BD8D0000}"/>
    <cellStyle name="常规 2 5 4 7 3 2 3" xfId="36286" xr:uid="{00000000-0005-0000-0000-0000BE8D0000}"/>
    <cellStyle name="常规 2 5 4 7 3 2 4" xfId="36287" xr:uid="{00000000-0005-0000-0000-0000BF8D0000}"/>
    <cellStyle name="常规 2 5 4 7 3 3" xfId="36288" xr:uid="{00000000-0005-0000-0000-0000C08D0000}"/>
    <cellStyle name="常规 2 5 4 7 3 4" xfId="36289" xr:uid="{00000000-0005-0000-0000-0000C18D0000}"/>
    <cellStyle name="常规 2 5 4 7 3 5" xfId="36290" xr:uid="{00000000-0005-0000-0000-0000C28D0000}"/>
    <cellStyle name="常规 2 5 4 7 4" xfId="36291" xr:uid="{00000000-0005-0000-0000-0000C38D0000}"/>
    <cellStyle name="常规 2 5 4 7 4 2" xfId="36292" xr:uid="{00000000-0005-0000-0000-0000C48D0000}"/>
    <cellStyle name="常规 2 5 4 7 4 2 2" xfId="36293" xr:uid="{00000000-0005-0000-0000-0000C58D0000}"/>
    <cellStyle name="常规 2 5 4 7 4 2 3" xfId="36294" xr:uid="{00000000-0005-0000-0000-0000C68D0000}"/>
    <cellStyle name="常规 2 5 4 7 4 2 4" xfId="36295" xr:uid="{00000000-0005-0000-0000-0000C78D0000}"/>
    <cellStyle name="常规 2 5 4 7 4 3" xfId="36296" xr:uid="{00000000-0005-0000-0000-0000C88D0000}"/>
    <cellStyle name="常规 2 5 4 7 4 4" xfId="36297" xr:uid="{00000000-0005-0000-0000-0000C98D0000}"/>
    <cellStyle name="常规 2 5 4 7 4 5" xfId="36298" xr:uid="{00000000-0005-0000-0000-0000CA8D0000}"/>
    <cellStyle name="常规 2 5 4 7 5" xfId="36299" xr:uid="{00000000-0005-0000-0000-0000CB8D0000}"/>
    <cellStyle name="常规 2 5 4 7 5 2" xfId="36300" xr:uid="{00000000-0005-0000-0000-0000CC8D0000}"/>
    <cellStyle name="常规 2 5 4 7 5 3" xfId="36301" xr:uid="{00000000-0005-0000-0000-0000CD8D0000}"/>
    <cellStyle name="常规 2 5 4 7 5 4" xfId="36302" xr:uid="{00000000-0005-0000-0000-0000CE8D0000}"/>
    <cellStyle name="常规 2 5 4 7 6" xfId="36303" xr:uid="{00000000-0005-0000-0000-0000CF8D0000}"/>
    <cellStyle name="常规 2 5 4 7 7" xfId="36304" xr:uid="{00000000-0005-0000-0000-0000D08D0000}"/>
    <cellStyle name="常规 2 5 4 7 8" xfId="36305" xr:uid="{00000000-0005-0000-0000-0000D18D0000}"/>
    <cellStyle name="常规 2 5 4 7 9" xfId="36306" xr:uid="{00000000-0005-0000-0000-0000D28D0000}"/>
    <cellStyle name="常规 2 5 4 8" xfId="36307" xr:uid="{00000000-0005-0000-0000-0000D38D0000}"/>
    <cellStyle name="常规 2 5 4 8 2" xfId="36308" xr:uid="{00000000-0005-0000-0000-0000D48D0000}"/>
    <cellStyle name="常规 2 5 4 8 2 2" xfId="36309" xr:uid="{00000000-0005-0000-0000-0000D58D0000}"/>
    <cellStyle name="常规 2 5 4 8 2 2 2" xfId="36310" xr:uid="{00000000-0005-0000-0000-0000D68D0000}"/>
    <cellStyle name="常规 2 5 4 8 2 2 2 2" xfId="36311" xr:uid="{00000000-0005-0000-0000-0000D78D0000}"/>
    <cellStyle name="常规 2 5 4 8 2 2 2 2 2" xfId="36312" xr:uid="{00000000-0005-0000-0000-0000D88D0000}"/>
    <cellStyle name="常规 2 5 4 8 2 2 2 2 3" xfId="36313" xr:uid="{00000000-0005-0000-0000-0000D98D0000}"/>
    <cellStyle name="常规 2 5 4 8 2 2 2 2 4" xfId="36314" xr:uid="{00000000-0005-0000-0000-0000DA8D0000}"/>
    <cellStyle name="常规 2 5 4 8 2 2 2 3" xfId="36315" xr:uid="{00000000-0005-0000-0000-0000DB8D0000}"/>
    <cellStyle name="常规 2 5 4 8 2 2 2 4" xfId="36316" xr:uid="{00000000-0005-0000-0000-0000DC8D0000}"/>
    <cellStyle name="常规 2 5 4 8 2 2 2 5" xfId="36317" xr:uid="{00000000-0005-0000-0000-0000DD8D0000}"/>
    <cellStyle name="常规 2 5 4 8 2 2 3" xfId="36318" xr:uid="{00000000-0005-0000-0000-0000DE8D0000}"/>
    <cellStyle name="常规 2 5 4 8 2 2 3 2" xfId="36319" xr:uid="{00000000-0005-0000-0000-0000DF8D0000}"/>
    <cellStyle name="常规 2 5 4 8 2 2 3 2 2" xfId="36320" xr:uid="{00000000-0005-0000-0000-0000E08D0000}"/>
    <cellStyle name="常规 2 5 4 8 2 2 3 2 3" xfId="36321" xr:uid="{00000000-0005-0000-0000-0000E18D0000}"/>
    <cellStyle name="常规 2 5 4 8 2 2 3 2 4" xfId="36322" xr:uid="{00000000-0005-0000-0000-0000E28D0000}"/>
    <cellStyle name="常规 2 5 4 8 2 2 3 3" xfId="36323" xr:uid="{00000000-0005-0000-0000-0000E38D0000}"/>
    <cellStyle name="常规 2 5 4 8 2 2 3 4" xfId="36324" xr:uid="{00000000-0005-0000-0000-0000E48D0000}"/>
    <cellStyle name="常规 2 5 4 8 2 2 3 5" xfId="36325" xr:uid="{00000000-0005-0000-0000-0000E58D0000}"/>
    <cellStyle name="常规 2 5 4 8 2 2 4" xfId="36326" xr:uid="{00000000-0005-0000-0000-0000E68D0000}"/>
    <cellStyle name="常规 2 5 4 8 2 2 4 2" xfId="36327" xr:uid="{00000000-0005-0000-0000-0000E78D0000}"/>
    <cellStyle name="常规 2 5 4 8 2 2 4 3" xfId="36328" xr:uid="{00000000-0005-0000-0000-0000E88D0000}"/>
    <cellStyle name="常规 2 5 4 8 2 2 4 4" xfId="36329" xr:uid="{00000000-0005-0000-0000-0000E98D0000}"/>
    <cellStyle name="常规 2 5 4 8 2 2 5" xfId="36330" xr:uid="{00000000-0005-0000-0000-0000EA8D0000}"/>
    <cellStyle name="常规 2 5 4 8 2 2 6" xfId="36331" xr:uid="{00000000-0005-0000-0000-0000EB8D0000}"/>
    <cellStyle name="常规 2 5 4 8 2 2 7" xfId="36332" xr:uid="{00000000-0005-0000-0000-0000EC8D0000}"/>
    <cellStyle name="常规 2 5 4 8 2 3" xfId="36333" xr:uid="{00000000-0005-0000-0000-0000ED8D0000}"/>
    <cellStyle name="常规 2 5 4 8 2 3 2" xfId="36334" xr:uid="{00000000-0005-0000-0000-0000EE8D0000}"/>
    <cellStyle name="常规 2 5 4 8 2 3 2 2" xfId="36335" xr:uid="{00000000-0005-0000-0000-0000EF8D0000}"/>
    <cellStyle name="常规 2 5 4 8 2 3 2 3" xfId="36336" xr:uid="{00000000-0005-0000-0000-0000F08D0000}"/>
    <cellStyle name="常规 2 5 4 8 2 3 2 4" xfId="36337" xr:uid="{00000000-0005-0000-0000-0000F18D0000}"/>
    <cellStyle name="常规 2 5 4 8 2 3 3" xfId="36338" xr:uid="{00000000-0005-0000-0000-0000F28D0000}"/>
    <cellStyle name="常规 2 5 4 8 2 3 4" xfId="36339" xr:uid="{00000000-0005-0000-0000-0000F38D0000}"/>
    <cellStyle name="常规 2 5 4 8 2 3 5" xfId="36340" xr:uid="{00000000-0005-0000-0000-0000F48D0000}"/>
    <cellStyle name="常规 2 5 4 8 2 4" xfId="36341" xr:uid="{00000000-0005-0000-0000-0000F58D0000}"/>
    <cellStyle name="常规 2 5 4 8 2 4 2" xfId="36342" xr:uid="{00000000-0005-0000-0000-0000F68D0000}"/>
    <cellStyle name="常规 2 5 4 8 2 4 2 2" xfId="36343" xr:uid="{00000000-0005-0000-0000-0000F78D0000}"/>
    <cellStyle name="常规 2 5 4 8 2 4 2 3" xfId="36344" xr:uid="{00000000-0005-0000-0000-0000F88D0000}"/>
    <cellStyle name="常规 2 5 4 8 2 4 2 4" xfId="36345" xr:uid="{00000000-0005-0000-0000-0000F98D0000}"/>
    <cellStyle name="常规 2 5 4 8 2 4 3" xfId="36346" xr:uid="{00000000-0005-0000-0000-0000FA8D0000}"/>
    <cellStyle name="常规 2 5 4 8 2 4 4" xfId="36347" xr:uid="{00000000-0005-0000-0000-0000FB8D0000}"/>
    <cellStyle name="常规 2 5 4 8 2 4 5" xfId="36348" xr:uid="{00000000-0005-0000-0000-0000FC8D0000}"/>
    <cellStyle name="常规 2 5 4 8 2 5" xfId="36349" xr:uid="{00000000-0005-0000-0000-0000FD8D0000}"/>
    <cellStyle name="常规 2 5 4 8 2 5 2" xfId="36350" xr:uid="{00000000-0005-0000-0000-0000FE8D0000}"/>
    <cellStyle name="常规 2 5 4 8 2 5 3" xfId="36351" xr:uid="{00000000-0005-0000-0000-0000FF8D0000}"/>
    <cellStyle name="常规 2 5 4 8 2 5 4" xfId="36352" xr:uid="{00000000-0005-0000-0000-0000008E0000}"/>
    <cellStyle name="常规 2 5 4 8 2 6" xfId="36353" xr:uid="{00000000-0005-0000-0000-0000018E0000}"/>
    <cellStyle name="常规 2 5 4 8 2 7" xfId="36354" xr:uid="{00000000-0005-0000-0000-0000028E0000}"/>
    <cellStyle name="常规 2 5 4 8 2 8" xfId="36355" xr:uid="{00000000-0005-0000-0000-0000038E0000}"/>
    <cellStyle name="常规 2 5 4 8 2 9" xfId="36356" xr:uid="{00000000-0005-0000-0000-0000048E0000}"/>
    <cellStyle name="常规 2 5 4 8 3" xfId="36357" xr:uid="{00000000-0005-0000-0000-0000058E0000}"/>
    <cellStyle name="常规 2 5 4 8 3 2" xfId="36358" xr:uid="{00000000-0005-0000-0000-0000068E0000}"/>
    <cellStyle name="常规 2 5 4 8 3 2 2" xfId="36359" xr:uid="{00000000-0005-0000-0000-0000078E0000}"/>
    <cellStyle name="常规 2 5 4 8 3 2 3" xfId="36360" xr:uid="{00000000-0005-0000-0000-0000088E0000}"/>
    <cellStyle name="常规 2 5 4 8 3 2 4" xfId="36361" xr:uid="{00000000-0005-0000-0000-0000098E0000}"/>
    <cellStyle name="常规 2 5 4 8 3 3" xfId="36362" xr:uid="{00000000-0005-0000-0000-00000A8E0000}"/>
    <cellStyle name="常规 2 5 4 8 3 4" xfId="36363" xr:uid="{00000000-0005-0000-0000-00000B8E0000}"/>
    <cellStyle name="常规 2 5 4 8 3 5" xfId="36364" xr:uid="{00000000-0005-0000-0000-00000C8E0000}"/>
    <cellStyle name="常规 2 5 4 8 4" xfId="36365" xr:uid="{00000000-0005-0000-0000-00000D8E0000}"/>
    <cellStyle name="常规 2 5 4 8 4 2" xfId="36366" xr:uid="{00000000-0005-0000-0000-00000E8E0000}"/>
    <cellStyle name="常规 2 5 4 8 4 2 2" xfId="36367" xr:uid="{00000000-0005-0000-0000-00000F8E0000}"/>
    <cellStyle name="常规 2 5 4 8 4 2 3" xfId="36368" xr:uid="{00000000-0005-0000-0000-0000108E0000}"/>
    <cellStyle name="常规 2 5 4 8 4 2 4" xfId="36369" xr:uid="{00000000-0005-0000-0000-0000118E0000}"/>
    <cellStyle name="常规 2 5 4 8 4 3" xfId="36370" xr:uid="{00000000-0005-0000-0000-0000128E0000}"/>
    <cellStyle name="常规 2 5 4 8 4 4" xfId="36371" xr:uid="{00000000-0005-0000-0000-0000138E0000}"/>
    <cellStyle name="常规 2 5 4 8 4 5" xfId="36372" xr:uid="{00000000-0005-0000-0000-0000148E0000}"/>
    <cellStyle name="常规 2 5 4 8 5" xfId="36373" xr:uid="{00000000-0005-0000-0000-0000158E0000}"/>
    <cellStyle name="常规 2 5 4 8 5 2" xfId="36374" xr:uid="{00000000-0005-0000-0000-0000168E0000}"/>
    <cellStyle name="常规 2 5 4 8 5 3" xfId="36375" xr:uid="{00000000-0005-0000-0000-0000178E0000}"/>
    <cellStyle name="常规 2 5 4 8 5 4" xfId="36376" xr:uid="{00000000-0005-0000-0000-0000188E0000}"/>
    <cellStyle name="常规 2 5 4 8 6" xfId="36377" xr:uid="{00000000-0005-0000-0000-0000198E0000}"/>
    <cellStyle name="常规 2 5 4 8 7" xfId="36378" xr:uid="{00000000-0005-0000-0000-00001A8E0000}"/>
    <cellStyle name="常规 2 5 4 8 8" xfId="36379" xr:uid="{00000000-0005-0000-0000-00001B8E0000}"/>
    <cellStyle name="常规 2 5 4 8 9" xfId="36380" xr:uid="{00000000-0005-0000-0000-00001C8E0000}"/>
    <cellStyle name="常规 2 5 4 9" xfId="36381" xr:uid="{00000000-0005-0000-0000-00001D8E0000}"/>
    <cellStyle name="常规 2 5 4 9 2" xfId="36382" xr:uid="{00000000-0005-0000-0000-00001E8E0000}"/>
    <cellStyle name="常规 2 5 4 9 2 2" xfId="36383" xr:uid="{00000000-0005-0000-0000-00001F8E0000}"/>
    <cellStyle name="常规 2 5 4 9 2 2 2" xfId="36384" xr:uid="{00000000-0005-0000-0000-0000208E0000}"/>
    <cellStyle name="常规 2 5 4 9 2 2 2 2" xfId="36385" xr:uid="{00000000-0005-0000-0000-0000218E0000}"/>
    <cellStyle name="常规 2 5 4 9 2 2 2 2 2" xfId="36386" xr:uid="{00000000-0005-0000-0000-0000228E0000}"/>
    <cellStyle name="常规 2 5 4 9 2 2 2 2 3" xfId="36387" xr:uid="{00000000-0005-0000-0000-0000238E0000}"/>
    <cellStyle name="常规 2 5 4 9 2 2 2 2 4" xfId="36388" xr:uid="{00000000-0005-0000-0000-0000248E0000}"/>
    <cellStyle name="常规 2 5 4 9 2 2 2 3" xfId="36389" xr:uid="{00000000-0005-0000-0000-0000258E0000}"/>
    <cellStyle name="常规 2 5 4 9 2 2 2 4" xfId="36390" xr:uid="{00000000-0005-0000-0000-0000268E0000}"/>
    <cellStyle name="常规 2 5 4 9 2 2 2 5" xfId="36391" xr:uid="{00000000-0005-0000-0000-0000278E0000}"/>
    <cellStyle name="常规 2 5 4 9 2 2 3" xfId="36392" xr:uid="{00000000-0005-0000-0000-0000288E0000}"/>
    <cellStyle name="常规 2 5 4 9 2 2 3 2" xfId="36393" xr:uid="{00000000-0005-0000-0000-0000298E0000}"/>
    <cellStyle name="常规 2 5 4 9 2 2 3 2 2" xfId="36394" xr:uid="{00000000-0005-0000-0000-00002A8E0000}"/>
    <cellStyle name="常规 2 5 4 9 2 2 3 2 3" xfId="36395" xr:uid="{00000000-0005-0000-0000-00002B8E0000}"/>
    <cellStyle name="常规 2 5 4 9 2 2 3 2 4" xfId="36396" xr:uid="{00000000-0005-0000-0000-00002C8E0000}"/>
    <cellStyle name="常规 2 5 4 9 2 2 3 3" xfId="36397" xr:uid="{00000000-0005-0000-0000-00002D8E0000}"/>
    <cellStyle name="常规 2 5 4 9 2 2 3 4" xfId="36398" xr:uid="{00000000-0005-0000-0000-00002E8E0000}"/>
    <cellStyle name="常规 2 5 4 9 2 2 3 5" xfId="36399" xr:uid="{00000000-0005-0000-0000-00002F8E0000}"/>
    <cellStyle name="常规 2 5 4 9 2 2 4" xfId="36400" xr:uid="{00000000-0005-0000-0000-0000308E0000}"/>
    <cellStyle name="常规 2 5 4 9 2 2 4 2" xfId="36401" xr:uid="{00000000-0005-0000-0000-0000318E0000}"/>
    <cellStyle name="常规 2 5 4 9 2 2 4 3" xfId="36402" xr:uid="{00000000-0005-0000-0000-0000328E0000}"/>
    <cellStyle name="常规 2 5 4 9 2 2 4 4" xfId="36403" xr:uid="{00000000-0005-0000-0000-0000338E0000}"/>
    <cellStyle name="常规 2 5 4 9 2 2 5" xfId="36404" xr:uid="{00000000-0005-0000-0000-0000348E0000}"/>
    <cellStyle name="常规 2 5 4 9 2 2 6" xfId="36405" xr:uid="{00000000-0005-0000-0000-0000358E0000}"/>
    <cellStyle name="常规 2 5 4 9 2 2 7" xfId="36406" xr:uid="{00000000-0005-0000-0000-0000368E0000}"/>
    <cellStyle name="常规 2 5 4 9 2 3" xfId="36407" xr:uid="{00000000-0005-0000-0000-0000378E0000}"/>
    <cellStyle name="常规 2 5 4 9 2 3 2" xfId="36408" xr:uid="{00000000-0005-0000-0000-0000388E0000}"/>
    <cellStyle name="常规 2 5 4 9 2 3 2 2" xfId="36409" xr:uid="{00000000-0005-0000-0000-0000398E0000}"/>
    <cellStyle name="常规 2 5 4 9 2 3 2 3" xfId="36410" xr:uid="{00000000-0005-0000-0000-00003A8E0000}"/>
    <cellStyle name="常规 2 5 4 9 2 3 2 4" xfId="36411" xr:uid="{00000000-0005-0000-0000-00003B8E0000}"/>
    <cellStyle name="常规 2 5 4 9 2 3 3" xfId="36412" xr:uid="{00000000-0005-0000-0000-00003C8E0000}"/>
    <cellStyle name="常规 2 5 4 9 2 3 4" xfId="36413" xr:uid="{00000000-0005-0000-0000-00003D8E0000}"/>
    <cellStyle name="常规 2 5 4 9 2 3 5" xfId="36414" xr:uid="{00000000-0005-0000-0000-00003E8E0000}"/>
    <cellStyle name="常规 2 5 4 9 2 4" xfId="36415" xr:uid="{00000000-0005-0000-0000-00003F8E0000}"/>
    <cellStyle name="常规 2 5 4 9 2 4 2" xfId="36416" xr:uid="{00000000-0005-0000-0000-0000408E0000}"/>
    <cellStyle name="常规 2 5 4 9 2 4 2 2" xfId="36417" xr:uid="{00000000-0005-0000-0000-0000418E0000}"/>
    <cellStyle name="常规 2 5 4 9 2 4 2 3" xfId="36418" xr:uid="{00000000-0005-0000-0000-0000428E0000}"/>
    <cellStyle name="常规 2 5 4 9 2 4 2 4" xfId="36419" xr:uid="{00000000-0005-0000-0000-0000438E0000}"/>
    <cellStyle name="常规 2 5 4 9 2 4 3" xfId="36420" xr:uid="{00000000-0005-0000-0000-0000448E0000}"/>
    <cellStyle name="常规 2 5 4 9 2 4 4" xfId="36421" xr:uid="{00000000-0005-0000-0000-0000458E0000}"/>
    <cellStyle name="常规 2 5 4 9 2 4 5" xfId="36422" xr:uid="{00000000-0005-0000-0000-0000468E0000}"/>
    <cellStyle name="常规 2 5 4 9 2 5" xfId="36423" xr:uid="{00000000-0005-0000-0000-0000478E0000}"/>
    <cellStyle name="常规 2 5 4 9 2 5 2" xfId="36424" xr:uid="{00000000-0005-0000-0000-0000488E0000}"/>
    <cellStyle name="常规 2 5 4 9 2 5 3" xfId="36425" xr:uid="{00000000-0005-0000-0000-0000498E0000}"/>
    <cellStyle name="常规 2 5 4 9 2 5 4" xfId="36426" xr:uid="{00000000-0005-0000-0000-00004A8E0000}"/>
    <cellStyle name="常规 2 5 4 9 2 6" xfId="36427" xr:uid="{00000000-0005-0000-0000-00004B8E0000}"/>
    <cellStyle name="常规 2 5 4 9 2 7" xfId="36428" xr:uid="{00000000-0005-0000-0000-00004C8E0000}"/>
    <cellStyle name="常规 2 5 4 9 2 8" xfId="36429" xr:uid="{00000000-0005-0000-0000-00004D8E0000}"/>
    <cellStyle name="常规 2 5 4 9 3" xfId="36430" xr:uid="{00000000-0005-0000-0000-00004E8E0000}"/>
    <cellStyle name="常规 2 5 4 9 3 2" xfId="36431" xr:uid="{00000000-0005-0000-0000-00004F8E0000}"/>
    <cellStyle name="常规 2 5 4 9 3 2 2" xfId="36432" xr:uid="{00000000-0005-0000-0000-0000508E0000}"/>
    <cellStyle name="常规 2 5 4 9 3 2 3" xfId="36433" xr:uid="{00000000-0005-0000-0000-0000518E0000}"/>
    <cellStyle name="常规 2 5 4 9 3 2 4" xfId="36434" xr:uid="{00000000-0005-0000-0000-0000528E0000}"/>
    <cellStyle name="常规 2 5 4 9 3 3" xfId="36435" xr:uid="{00000000-0005-0000-0000-0000538E0000}"/>
    <cellStyle name="常规 2 5 4 9 3 4" xfId="36436" xr:uid="{00000000-0005-0000-0000-0000548E0000}"/>
    <cellStyle name="常规 2 5 4 9 3 5" xfId="36437" xr:uid="{00000000-0005-0000-0000-0000558E0000}"/>
    <cellStyle name="常规 2 5 4 9 4" xfId="36438" xr:uid="{00000000-0005-0000-0000-0000568E0000}"/>
    <cellStyle name="常规 2 5 4 9 4 2" xfId="36439" xr:uid="{00000000-0005-0000-0000-0000578E0000}"/>
    <cellStyle name="常规 2 5 4 9 4 2 2" xfId="36440" xr:uid="{00000000-0005-0000-0000-0000588E0000}"/>
    <cellStyle name="常规 2 5 4 9 4 2 3" xfId="36441" xr:uid="{00000000-0005-0000-0000-0000598E0000}"/>
    <cellStyle name="常规 2 5 4 9 4 2 4" xfId="36442" xr:uid="{00000000-0005-0000-0000-00005A8E0000}"/>
    <cellStyle name="常规 2 5 4 9 4 3" xfId="36443" xr:uid="{00000000-0005-0000-0000-00005B8E0000}"/>
    <cellStyle name="常规 2 5 4 9 4 4" xfId="36444" xr:uid="{00000000-0005-0000-0000-00005C8E0000}"/>
    <cellStyle name="常规 2 5 4 9 4 5" xfId="36445" xr:uid="{00000000-0005-0000-0000-00005D8E0000}"/>
    <cellStyle name="常规 2 5 4 9 5" xfId="36446" xr:uid="{00000000-0005-0000-0000-00005E8E0000}"/>
    <cellStyle name="常规 2 5 4 9 5 2" xfId="36447" xr:uid="{00000000-0005-0000-0000-00005F8E0000}"/>
    <cellStyle name="常规 2 5 4 9 5 3" xfId="36448" xr:uid="{00000000-0005-0000-0000-0000608E0000}"/>
    <cellStyle name="常规 2 5 4 9 5 4" xfId="36449" xr:uid="{00000000-0005-0000-0000-0000618E0000}"/>
    <cellStyle name="常规 2 5 4 9 6" xfId="36450" xr:uid="{00000000-0005-0000-0000-0000628E0000}"/>
    <cellStyle name="常规 2 5 4 9 7" xfId="36451" xr:uid="{00000000-0005-0000-0000-0000638E0000}"/>
    <cellStyle name="常规 2 5 4 9 8" xfId="36452" xr:uid="{00000000-0005-0000-0000-0000648E0000}"/>
    <cellStyle name="常规 2 5 5" xfId="36453" xr:uid="{00000000-0005-0000-0000-0000658E0000}"/>
    <cellStyle name="常规 2 5 5 10" xfId="36454" xr:uid="{00000000-0005-0000-0000-0000668E0000}"/>
    <cellStyle name="常规 2 5 5 2" xfId="36455" xr:uid="{00000000-0005-0000-0000-0000678E0000}"/>
    <cellStyle name="常规 2 5 5 2 10" xfId="36456" xr:uid="{00000000-0005-0000-0000-0000688E0000}"/>
    <cellStyle name="常规 2 5 5 2 2" xfId="36457" xr:uid="{00000000-0005-0000-0000-0000698E0000}"/>
    <cellStyle name="常规 2 5 5 2 2 2" xfId="36458" xr:uid="{00000000-0005-0000-0000-00006A8E0000}"/>
    <cellStyle name="常规 2 5 5 2 2 2 2" xfId="36459" xr:uid="{00000000-0005-0000-0000-00006B8E0000}"/>
    <cellStyle name="常规 2 5 5 2 2 2 2 2" xfId="36460" xr:uid="{00000000-0005-0000-0000-00006C8E0000}"/>
    <cellStyle name="常规 2 5 5 2 2 2 2 3" xfId="36461" xr:uid="{00000000-0005-0000-0000-00006D8E0000}"/>
    <cellStyle name="常规 2 5 5 2 2 2 2 4" xfId="36462" xr:uid="{00000000-0005-0000-0000-00006E8E0000}"/>
    <cellStyle name="常规 2 5 5 2 2 2 3" xfId="36463" xr:uid="{00000000-0005-0000-0000-00006F8E0000}"/>
    <cellStyle name="常规 2 5 5 2 2 2 4" xfId="36464" xr:uid="{00000000-0005-0000-0000-0000708E0000}"/>
    <cellStyle name="常规 2 5 5 2 2 2 5" xfId="36465" xr:uid="{00000000-0005-0000-0000-0000718E0000}"/>
    <cellStyle name="常规 2 5 5 2 2 2 6" xfId="36466" xr:uid="{00000000-0005-0000-0000-0000728E0000}"/>
    <cellStyle name="常规 2 5 5 2 2 3" xfId="36467" xr:uid="{00000000-0005-0000-0000-0000738E0000}"/>
    <cellStyle name="常规 2 5 5 2 2 3 2" xfId="36468" xr:uid="{00000000-0005-0000-0000-0000748E0000}"/>
    <cellStyle name="常规 2 5 5 2 2 3 2 2" xfId="36469" xr:uid="{00000000-0005-0000-0000-0000758E0000}"/>
    <cellStyle name="常规 2 5 5 2 2 3 2 3" xfId="36470" xr:uid="{00000000-0005-0000-0000-0000768E0000}"/>
    <cellStyle name="常规 2 5 5 2 2 3 2 4" xfId="36471" xr:uid="{00000000-0005-0000-0000-0000778E0000}"/>
    <cellStyle name="常规 2 5 5 2 2 3 3" xfId="36472" xr:uid="{00000000-0005-0000-0000-0000788E0000}"/>
    <cellStyle name="常规 2 5 5 2 2 3 4" xfId="36473" xr:uid="{00000000-0005-0000-0000-0000798E0000}"/>
    <cellStyle name="常规 2 5 5 2 2 3 5" xfId="36474" xr:uid="{00000000-0005-0000-0000-00007A8E0000}"/>
    <cellStyle name="常规 2 5 5 2 2 4" xfId="36475" xr:uid="{00000000-0005-0000-0000-00007B8E0000}"/>
    <cellStyle name="常规 2 5 5 2 2 4 2" xfId="36476" xr:uid="{00000000-0005-0000-0000-00007C8E0000}"/>
    <cellStyle name="常规 2 5 5 2 2 4 3" xfId="36477" xr:uid="{00000000-0005-0000-0000-00007D8E0000}"/>
    <cellStyle name="常规 2 5 5 2 2 4 4" xfId="36478" xr:uid="{00000000-0005-0000-0000-00007E8E0000}"/>
    <cellStyle name="常规 2 5 5 2 2 5" xfId="36479" xr:uid="{00000000-0005-0000-0000-00007F8E0000}"/>
    <cellStyle name="常规 2 5 5 2 2 6" xfId="36480" xr:uid="{00000000-0005-0000-0000-0000808E0000}"/>
    <cellStyle name="常规 2 5 5 2 2 7" xfId="36481" xr:uid="{00000000-0005-0000-0000-0000818E0000}"/>
    <cellStyle name="常规 2 5 5 2 2 8" xfId="36482" xr:uid="{00000000-0005-0000-0000-0000828E0000}"/>
    <cellStyle name="常规 2 5 5 2 2 8 2" xfId="36483" xr:uid="{00000000-0005-0000-0000-0000838E0000}"/>
    <cellStyle name="常规 2 5 5 2 2 9" xfId="36484" xr:uid="{00000000-0005-0000-0000-0000848E0000}"/>
    <cellStyle name="常规 2 5 5 2 3" xfId="36485" xr:uid="{00000000-0005-0000-0000-0000858E0000}"/>
    <cellStyle name="常规 2 5 5 2 3 2" xfId="36486" xr:uid="{00000000-0005-0000-0000-0000868E0000}"/>
    <cellStyle name="常规 2 5 5 2 3 2 2" xfId="36487" xr:uid="{00000000-0005-0000-0000-0000878E0000}"/>
    <cellStyle name="常规 2 5 5 2 3 2 3" xfId="36488" xr:uid="{00000000-0005-0000-0000-0000888E0000}"/>
    <cellStyle name="常规 2 5 5 2 3 2 4" xfId="36489" xr:uid="{00000000-0005-0000-0000-0000898E0000}"/>
    <cellStyle name="常规 2 5 5 2 3 2 5" xfId="36490" xr:uid="{00000000-0005-0000-0000-00008A8E0000}"/>
    <cellStyle name="常规 2 5 5 2 3 3" xfId="36491" xr:uid="{00000000-0005-0000-0000-00008B8E0000}"/>
    <cellStyle name="常规 2 5 5 2 3 4" xfId="36492" xr:uid="{00000000-0005-0000-0000-00008C8E0000}"/>
    <cellStyle name="常规 2 5 5 2 3 5" xfId="36493" xr:uid="{00000000-0005-0000-0000-00008D8E0000}"/>
    <cellStyle name="常规 2 5 5 2 3 6" xfId="36494" xr:uid="{00000000-0005-0000-0000-00008E8E0000}"/>
    <cellStyle name="常规 2 5 5 2 4" xfId="36495" xr:uid="{00000000-0005-0000-0000-00008F8E0000}"/>
    <cellStyle name="常规 2 5 5 2 4 2" xfId="36496" xr:uid="{00000000-0005-0000-0000-0000908E0000}"/>
    <cellStyle name="常规 2 5 5 2 4 2 2" xfId="36497" xr:uid="{00000000-0005-0000-0000-0000918E0000}"/>
    <cellStyle name="常规 2 5 5 2 4 2 3" xfId="36498" xr:uid="{00000000-0005-0000-0000-0000928E0000}"/>
    <cellStyle name="常规 2 5 5 2 4 2 4" xfId="36499" xr:uid="{00000000-0005-0000-0000-0000938E0000}"/>
    <cellStyle name="常规 2 5 5 2 4 2 5" xfId="36500" xr:uid="{00000000-0005-0000-0000-0000948E0000}"/>
    <cellStyle name="常规 2 5 5 2 4 3" xfId="36501" xr:uid="{00000000-0005-0000-0000-0000958E0000}"/>
    <cellStyle name="常规 2 5 5 2 4 4" xfId="36502" xr:uid="{00000000-0005-0000-0000-0000968E0000}"/>
    <cellStyle name="常规 2 5 5 2 4 5" xfId="36503" xr:uid="{00000000-0005-0000-0000-0000978E0000}"/>
    <cellStyle name="常规 2 5 5 2 4 6" xfId="36504" xr:uid="{00000000-0005-0000-0000-0000988E0000}"/>
    <cellStyle name="常规 2 5 5 2 5" xfId="36505" xr:uid="{00000000-0005-0000-0000-0000998E0000}"/>
    <cellStyle name="常规 2 5 5 2 5 2" xfId="36506" xr:uid="{00000000-0005-0000-0000-00009A8E0000}"/>
    <cellStyle name="常规 2 5 5 2 5 3" xfId="36507" xr:uid="{00000000-0005-0000-0000-00009B8E0000}"/>
    <cellStyle name="常规 2 5 5 2 5 4" xfId="36508" xr:uid="{00000000-0005-0000-0000-00009C8E0000}"/>
    <cellStyle name="常规 2 5 5 2 5 5" xfId="36509" xr:uid="{00000000-0005-0000-0000-00009D8E0000}"/>
    <cellStyle name="常规 2 5 5 2 6" xfId="36510" xr:uid="{00000000-0005-0000-0000-00009E8E0000}"/>
    <cellStyle name="常规 2 5 5 2 7" xfId="36511" xr:uid="{00000000-0005-0000-0000-00009F8E0000}"/>
    <cellStyle name="常规 2 5 5 2 8" xfId="36512" xr:uid="{00000000-0005-0000-0000-0000A08E0000}"/>
    <cellStyle name="常规 2 5 5 2 9" xfId="36513" xr:uid="{00000000-0005-0000-0000-0000A18E0000}"/>
    <cellStyle name="常规 2 5 5 2 9 2" xfId="36514" xr:uid="{00000000-0005-0000-0000-0000A28E0000}"/>
    <cellStyle name="常规 2 5 5 3" xfId="36515" xr:uid="{00000000-0005-0000-0000-0000A38E0000}"/>
    <cellStyle name="常规 2 5 5 3 2" xfId="36516" xr:uid="{00000000-0005-0000-0000-0000A48E0000}"/>
    <cellStyle name="常规 2 5 5 3 2 2" xfId="36517" xr:uid="{00000000-0005-0000-0000-0000A58E0000}"/>
    <cellStyle name="常规 2 5 5 3 2 3" xfId="36518" xr:uid="{00000000-0005-0000-0000-0000A68E0000}"/>
    <cellStyle name="常规 2 5 5 3 2 4" xfId="36519" xr:uid="{00000000-0005-0000-0000-0000A78E0000}"/>
    <cellStyle name="常规 2 5 5 3 3" xfId="36520" xr:uid="{00000000-0005-0000-0000-0000A88E0000}"/>
    <cellStyle name="常规 2 5 5 3 4" xfId="36521" xr:uid="{00000000-0005-0000-0000-0000A98E0000}"/>
    <cellStyle name="常规 2 5 5 3 5" xfId="36522" xr:uid="{00000000-0005-0000-0000-0000AA8E0000}"/>
    <cellStyle name="常规 2 5 5 3 6" xfId="36523" xr:uid="{00000000-0005-0000-0000-0000AB8E0000}"/>
    <cellStyle name="常规 2 5 5 3 6 2" xfId="36524" xr:uid="{00000000-0005-0000-0000-0000AC8E0000}"/>
    <cellStyle name="常规 2 5 5 4" xfId="36525" xr:uid="{00000000-0005-0000-0000-0000AD8E0000}"/>
    <cellStyle name="常规 2 5 5 4 2" xfId="36526" xr:uid="{00000000-0005-0000-0000-0000AE8E0000}"/>
    <cellStyle name="常规 2 5 5 4 2 2" xfId="36527" xr:uid="{00000000-0005-0000-0000-0000AF8E0000}"/>
    <cellStyle name="常规 2 5 5 4 2 3" xfId="36528" xr:uid="{00000000-0005-0000-0000-0000B08E0000}"/>
    <cellStyle name="常规 2 5 5 4 2 4" xfId="36529" xr:uid="{00000000-0005-0000-0000-0000B18E0000}"/>
    <cellStyle name="常规 2 5 5 4 2 5" xfId="36530" xr:uid="{00000000-0005-0000-0000-0000B28E0000}"/>
    <cellStyle name="常规 2 5 5 4 3" xfId="36531" xr:uid="{00000000-0005-0000-0000-0000B38E0000}"/>
    <cellStyle name="常规 2 5 5 4 4" xfId="36532" xr:uid="{00000000-0005-0000-0000-0000B48E0000}"/>
    <cellStyle name="常规 2 5 5 4 5" xfId="36533" xr:uid="{00000000-0005-0000-0000-0000B58E0000}"/>
    <cellStyle name="常规 2 5 5 4 6" xfId="36534" xr:uid="{00000000-0005-0000-0000-0000B68E0000}"/>
    <cellStyle name="常规 2 5 5 5" xfId="36535" xr:uid="{00000000-0005-0000-0000-0000B78E0000}"/>
    <cellStyle name="常规 2 5 5 5 2" xfId="36536" xr:uid="{00000000-0005-0000-0000-0000B88E0000}"/>
    <cellStyle name="常规 2 5 5 5 2 2" xfId="36537" xr:uid="{00000000-0005-0000-0000-0000B98E0000}"/>
    <cellStyle name="常规 2 5 5 5 3" xfId="36538" xr:uid="{00000000-0005-0000-0000-0000BA8E0000}"/>
    <cellStyle name="常规 2 5 5 5 4" xfId="36539" xr:uid="{00000000-0005-0000-0000-0000BB8E0000}"/>
    <cellStyle name="常规 2 5 5 5 5" xfId="36540" xr:uid="{00000000-0005-0000-0000-0000BC8E0000}"/>
    <cellStyle name="常规 2 5 5 6" xfId="36541" xr:uid="{00000000-0005-0000-0000-0000BD8E0000}"/>
    <cellStyle name="常规 2 5 5 7" xfId="36542" xr:uid="{00000000-0005-0000-0000-0000BE8E0000}"/>
    <cellStyle name="常规 2 5 5 8" xfId="36543" xr:uid="{00000000-0005-0000-0000-0000BF8E0000}"/>
    <cellStyle name="常规 2 5 5 9" xfId="36544" xr:uid="{00000000-0005-0000-0000-0000C08E0000}"/>
    <cellStyle name="常规 2 5 5 9 2" xfId="36545" xr:uid="{00000000-0005-0000-0000-0000C18E0000}"/>
    <cellStyle name="常规 2 5 6" xfId="36546" xr:uid="{00000000-0005-0000-0000-0000C28E0000}"/>
    <cellStyle name="常规 2 5 6 10" xfId="36547" xr:uid="{00000000-0005-0000-0000-0000C38E0000}"/>
    <cellStyle name="常规 2 5 6 2" xfId="36548" xr:uid="{00000000-0005-0000-0000-0000C48E0000}"/>
    <cellStyle name="常规 2 5 6 2 10" xfId="36549" xr:uid="{00000000-0005-0000-0000-0000C58E0000}"/>
    <cellStyle name="常规 2 5 6 2 2" xfId="36550" xr:uid="{00000000-0005-0000-0000-0000C68E0000}"/>
    <cellStyle name="常规 2 5 6 2 2 2" xfId="36551" xr:uid="{00000000-0005-0000-0000-0000C78E0000}"/>
    <cellStyle name="常规 2 5 6 2 2 2 2" xfId="36552" xr:uid="{00000000-0005-0000-0000-0000C88E0000}"/>
    <cellStyle name="常规 2 5 6 2 2 2 2 2" xfId="36553" xr:uid="{00000000-0005-0000-0000-0000C98E0000}"/>
    <cellStyle name="常规 2 5 6 2 2 2 2 3" xfId="36554" xr:uid="{00000000-0005-0000-0000-0000CA8E0000}"/>
    <cellStyle name="常规 2 5 6 2 2 2 2 4" xfId="36555" xr:uid="{00000000-0005-0000-0000-0000CB8E0000}"/>
    <cellStyle name="常规 2 5 6 2 2 2 3" xfId="36556" xr:uid="{00000000-0005-0000-0000-0000CC8E0000}"/>
    <cellStyle name="常规 2 5 6 2 2 2 4" xfId="36557" xr:uid="{00000000-0005-0000-0000-0000CD8E0000}"/>
    <cellStyle name="常规 2 5 6 2 2 2 5" xfId="36558" xr:uid="{00000000-0005-0000-0000-0000CE8E0000}"/>
    <cellStyle name="常规 2 5 6 2 2 3" xfId="36559" xr:uid="{00000000-0005-0000-0000-0000CF8E0000}"/>
    <cellStyle name="常规 2 5 6 2 2 3 2" xfId="36560" xr:uid="{00000000-0005-0000-0000-0000D08E0000}"/>
    <cellStyle name="常规 2 5 6 2 2 3 2 2" xfId="36561" xr:uid="{00000000-0005-0000-0000-0000D18E0000}"/>
    <cellStyle name="常规 2 5 6 2 2 3 2 3" xfId="36562" xr:uid="{00000000-0005-0000-0000-0000D28E0000}"/>
    <cellStyle name="常规 2 5 6 2 2 3 2 4" xfId="36563" xr:uid="{00000000-0005-0000-0000-0000D38E0000}"/>
    <cellStyle name="常规 2 5 6 2 2 3 3" xfId="36564" xr:uid="{00000000-0005-0000-0000-0000D48E0000}"/>
    <cellStyle name="常规 2 5 6 2 2 3 4" xfId="36565" xr:uid="{00000000-0005-0000-0000-0000D58E0000}"/>
    <cellStyle name="常规 2 5 6 2 2 3 5" xfId="36566" xr:uid="{00000000-0005-0000-0000-0000D68E0000}"/>
    <cellStyle name="常规 2 5 6 2 2 4" xfId="36567" xr:uid="{00000000-0005-0000-0000-0000D78E0000}"/>
    <cellStyle name="常规 2 5 6 2 2 4 2" xfId="36568" xr:uid="{00000000-0005-0000-0000-0000D88E0000}"/>
    <cellStyle name="常规 2 5 6 2 2 4 3" xfId="36569" xr:uid="{00000000-0005-0000-0000-0000D98E0000}"/>
    <cellStyle name="常规 2 5 6 2 2 4 4" xfId="36570" xr:uid="{00000000-0005-0000-0000-0000DA8E0000}"/>
    <cellStyle name="常规 2 5 6 2 2 5" xfId="36571" xr:uid="{00000000-0005-0000-0000-0000DB8E0000}"/>
    <cellStyle name="常规 2 5 6 2 2 6" xfId="36572" xr:uid="{00000000-0005-0000-0000-0000DC8E0000}"/>
    <cellStyle name="常规 2 5 6 2 2 7" xfId="36573" xr:uid="{00000000-0005-0000-0000-0000DD8E0000}"/>
    <cellStyle name="常规 2 5 6 2 2 8" xfId="36574" xr:uid="{00000000-0005-0000-0000-0000DE8E0000}"/>
    <cellStyle name="常规 2 5 6 2 3" xfId="36575" xr:uid="{00000000-0005-0000-0000-0000DF8E0000}"/>
    <cellStyle name="常规 2 5 6 2 3 2" xfId="36576" xr:uid="{00000000-0005-0000-0000-0000E08E0000}"/>
    <cellStyle name="常规 2 5 6 2 3 2 2" xfId="36577" xr:uid="{00000000-0005-0000-0000-0000E18E0000}"/>
    <cellStyle name="常规 2 5 6 2 3 2 3" xfId="36578" xr:uid="{00000000-0005-0000-0000-0000E28E0000}"/>
    <cellStyle name="常规 2 5 6 2 3 2 4" xfId="36579" xr:uid="{00000000-0005-0000-0000-0000E38E0000}"/>
    <cellStyle name="常规 2 5 6 2 3 3" xfId="36580" xr:uid="{00000000-0005-0000-0000-0000E48E0000}"/>
    <cellStyle name="常规 2 5 6 2 3 4" xfId="36581" xr:uid="{00000000-0005-0000-0000-0000E58E0000}"/>
    <cellStyle name="常规 2 5 6 2 3 5" xfId="36582" xr:uid="{00000000-0005-0000-0000-0000E68E0000}"/>
    <cellStyle name="常规 2 5 6 2 4" xfId="36583" xr:uid="{00000000-0005-0000-0000-0000E78E0000}"/>
    <cellStyle name="常规 2 5 6 2 4 2" xfId="36584" xr:uid="{00000000-0005-0000-0000-0000E88E0000}"/>
    <cellStyle name="常规 2 5 6 2 4 2 2" xfId="36585" xr:uid="{00000000-0005-0000-0000-0000E98E0000}"/>
    <cellStyle name="常规 2 5 6 2 4 2 3" xfId="36586" xr:uid="{00000000-0005-0000-0000-0000EA8E0000}"/>
    <cellStyle name="常规 2 5 6 2 4 2 4" xfId="36587" xr:uid="{00000000-0005-0000-0000-0000EB8E0000}"/>
    <cellStyle name="常规 2 5 6 2 4 3" xfId="36588" xr:uid="{00000000-0005-0000-0000-0000EC8E0000}"/>
    <cellStyle name="常规 2 5 6 2 4 4" xfId="36589" xr:uid="{00000000-0005-0000-0000-0000ED8E0000}"/>
    <cellStyle name="常规 2 5 6 2 4 5" xfId="36590" xr:uid="{00000000-0005-0000-0000-0000EE8E0000}"/>
    <cellStyle name="常规 2 5 6 2 5" xfId="36591" xr:uid="{00000000-0005-0000-0000-0000EF8E0000}"/>
    <cellStyle name="常规 2 5 6 2 5 2" xfId="36592" xr:uid="{00000000-0005-0000-0000-0000F08E0000}"/>
    <cellStyle name="常规 2 5 6 2 5 3" xfId="36593" xr:uid="{00000000-0005-0000-0000-0000F18E0000}"/>
    <cellStyle name="常规 2 5 6 2 5 4" xfId="36594" xr:uid="{00000000-0005-0000-0000-0000F28E0000}"/>
    <cellStyle name="常规 2 5 6 2 6" xfId="36595" xr:uid="{00000000-0005-0000-0000-0000F38E0000}"/>
    <cellStyle name="常规 2 5 6 2 7" xfId="36596" xr:uid="{00000000-0005-0000-0000-0000F48E0000}"/>
    <cellStyle name="常规 2 5 6 2 8" xfId="36597" xr:uid="{00000000-0005-0000-0000-0000F58E0000}"/>
    <cellStyle name="常规 2 5 6 2 9" xfId="36598" xr:uid="{00000000-0005-0000-0000-0000F68E0000}"/>
    <cellStyle name="常规 2 5 6 2 9 2" xfId="36599" xr:uid="{00000000-0005-0000-0000-0000F78E0000}"/>
    <cellStyle name="常规 2 5 6 3" xfId="36600" xr:uid="{00000000-0005-0000-0000-0000F88E0000}"/>
    <cellStyle name="常规 2 5 6 3 2" xfId="36601" xr:uid="{00000000-0005-0000-0000-0000F98E0000}"/>
    <cellStyle name="常规 2 5 6 3 2 2" xfId="36602" xr:uid="{00000000-0005-0000-0000-0000FA8E0000}"/>
    <cellStyle name="常规 2 5 6 3 2 3" xfId="36603" xr:uid="{00000000-0005-0000-0000-0000FB8E0000}"/>
    <cellStyle name="常规 2 5 6 3 2 4" xfId="36604" xr:uid="{00000000-0005-0000-0000-0000FC8E0000}"/>
    <cellStyle name="常规 2 5 6 3 2 5" xfId="36605" xr:uid="{00000000-0005-0000-0000-0000FD8E0000}"/>
    <cellStyle name="常规 2 5 6 3 3" xfId="36606" xr:uid="{00000000-0005-0000-0000-0000FE8E0000}"/>
    <cellStyle name="常规 2 5 6 3 4" xfId="36607" xr:uid="{00000000-0005-0000-0000-0000FF8E0000}"/>
    <cellStyle name="常规 2 5 6 3 5" xfId="36608" xr:uid="{00000000-0005-0000-0000-0000008F0000}"/>
    <cellStyle name="常规 2 5 6 3 6" xfId="36609" xr:uid="{00000000-0005-0000-0000-0000018F0000}"/>
    <cellStyle name="常规 2 5 6 4" xfId="36610" xr:uid="{00000000-0005-0000-0000-0000028F0000}"/>
    <cellStyle name="常规 2 5 6 4 2" xfId="36611" xr:uid="{00000000-0005-0000-0000-0000038F0000}"/>
    <cellStyle name="常规 2 5 6 4 2 2" xfId="36612" xr:uid="{00000000-0005-0000-0000-0000048F0000}"/>
    <cellStyle name="常规 2 5 6 4 2 3" xfId="36613" xr:uid="{00000000-0005-0000-0000-0000058F0000}"/>
    <cellStyle name="常规 2 5 6 4 2 4" xfId="36614" xr:uid="{00000000-0005-0000-0000-0000068F0000}"/>
    <cellStyle name="常规 2 5 6 4 2 5" xfId="36615" xr:uid="{00000000-0005-0000-0000-0000078F0000}"/>
    <cellStyle name="常规 2 5 6 4 3" xfId="36616" xr:uid="{00000000-0005-0000-0000-0000088F0000}"/>
    <cellStyle name="常规 2 5 6 4 4" xfId="36617" xr:uid="{00000000-0005-0000-0000-0000098F0000}"/>
    <cellStyle name="常规 2 5 6 4 5" xfId="36618" xr:uid="{00000000-0005-0000-0000-00000A8F0000}"/>
    <cellStyle name="常规 2 5 6 4 6" xfId="36619" xr:uid="{00000000-0005-0000-0000-00000B8F0000}"/>
    <cellStyle name="常规 2 5 6 5" xfId="36620" xr:uid="{00000000-0005-0000-0000-00000C8F0000}"/>
    <cellStyle name="常规 2 5 6 5 2" xfId="36621" xr:uid="{00000000-0005-0000-0000-00000D8F0000}"/>
    <cellStyle name="常规 2 5 6 5 3" xfId="36622" xr:uid="{00000000-0005-0000-0000-00000E8F0000}"/>
    <cellStyle name="常规 2 5 6 5 4" xfId="36623" xr:uid="{00000000-0005-0000-0000-00000F8F0000}"/>
    <cellStyle name="常规 2 5 6 5 5" xfId="36624" xr:uid="{00000000-0005-0000-0000-0000108F0000}"/>
    <cellStyle name="常规 2 5 6 6" xfId="36625" xr:uid="{00000000-0005-0000-0000-0000118F0000}"/>
    <cellStyle name="常规 2 5 6 7" xfId="36626" xr:uid="{00000000-0005-0000-0000-0000128F0000}"/>
    <cellStyle name="常规 2 5 6 8" xfId="36627" xr:uid="{00000000-0005-0000-0000-0000138F0000}"/>
    <cellStyle name="常规 2 5 6 9" xfId="36628" xr:uid="{00000000-0005-0000-0000-0000148F0000}"/>
    <cellStyle name="常规 2 5 6 9 2" xfId="36629" xr:uid="{00000000-0005-0000-0000-0000158F0000}"/>
    <cellStyle name="常规 2 5 7" xfId="36630" xr:uid="{00000000-0005-0000-0000-0000168F0000}"/>
    <cellStyle name="常规 2 5 7 2" xfId="36631" xr:uid="{00000000-0005-0000-0000-0000178F0000}"/>
    <cellStyle name="常规 2 5 7 2 2" xfId="36632" xr:uid="{00000000-0005-0000-0000-0000188F0000}"/>
    <cellStyle name="常规 2 5 7 2 2 2" xfId="36633" xr:uid="{00000000-0005-0000-0000-0000198F0000}"/>
    <cellStyle name="常规 2 5 7 2 2 2 2" xfId="36634" xr:uid="{00000000-0005-0000-0000-00001A8F0000}"/>
    <cellStyle name="常规 2 5 7 2 2 2 2 2" xfId="36635" xr:uid="{00000000-0005-0000-0000-00001B8F0000}"/>
    <cellStyle name="常规 2 5 7 2 2 2 2 3" xfId="36636" xr:uid="{00000000-0005-0000-0000-00001C8F0000}"/>
    <cellStyle name="常规 2 5 7 2 2 2 2 4" xfId="36637" xr:uid="{00000000-0005-0000-0000-00001D8F0000}"/>
    <cellStyle name="常规 2 5 7 2 2 2 3" xfId="36638" xr:uid="{00000000-0005-0000-0000-00001E8F0000}"/>
    <cellStyle name="常规 2 5 7 2 2 2 4" xfId="36639" xr:uid="{00000000-0005-0000-0000-00001F8F0000}"/>
    <cellStyle name="常规 2 5 7 2 2 2 5" xfId="36640" xr:uid="{00000000-0005-0000-0000-0000208F0000}"/>
    <cellStyle name="常规 2 5 7 2 2 3" xfId="36641" xr:uid="{00000000-0005-0000-0000-0000218F0000}"/>
    <cellStyle name="常规 2 5 7 2 2 3 2" xfId="36642" xr:uid="{00000000-0005-0000-0000-0000228F0000}"/>
    <cellStyle name="常规 2 5 7 2 2 3 2 2" xfId="36643" xr:uid="{00000000-0005-0000-0000-0000238F0000}"/>
    <cellStyle name="常规 2 5 7 2 2 3 2 3" xfId="36644" xr:uid="{00000000-0005-0000-0000-0000248F0000}"/>
    <cellStyle name="常规 2 5 7 2 2 3 2 4" xfId="36645" xr:uid="{00000000-0005-0000-0000-0000258F0000}"/>
    <cellStyle name="常规 2 5 7 2 2 3 3" xfId="36646" xr:uid="{00000000-0005-0000-0000-0000268F0000}"/>
    <cellStyle name="常规 2 5 7 2 2 3 4" xfId="36647" xr:uid="{00000000-0005-0000-0000-0000278F0000}"/>
    <cellStyle name="常规 2 5 7 2 2 3 5" xfId="36648" xr:uid="{00000000-0005-0000-0000-0000288F0000}"/>
    <cellStyle name="常规 2 5 7 2 2 4" xfId="36649" xr:uid="{00000000-0005-0000-0000-0000298F0000}"/>
    <cellStyle name="常规 2 5 7 2 2 4 2" xfId="36650" xr:uid="{00000000-0005-0000-0000-00002A8F0000}"/>
    <cellStyle name="常规 2 5 7 2 2 4 3" xfId="36651" xr:uid="{00000000-0005-0000-0000-00002B8F0000}"/>
    <cellStyle name="常规 2 5 7 2 2 4 4" xfId="36652" xr:uid="{00000000-0005-0000-0000-00002C8F0000}"/>
    <cellStyle name="常规 2 5 7 2 2 5" xfId="36653" xr:uid="{00000000-0005-0000-0000-00002D8F0000}"/>
    <cellStyle name="常规 2 5 7 2 2 6" xfId="36654" xr:uid="{00000000-0005-0000-0000-00002E8F0000}"/>
    <cellStyle name="常规 2 5 7 2 2 7" xfId="36655" xr:uid="{00000000-0005-0000-0000-00002F8F0000}"/>
    <cellStyle name="常规 2 5 7 2 3" xfId="36656" xr:uid="{00000000-0005-0000-0000-0000308F0000}"/>
    <cellStyle name="常规 2 5 7 2 3 2" xfId="36657" xr:uid="{00000000-0005-0000-0000-0000318F0000}"/>
    <cellStyle name="常规 2 5 7 2 3 2 2" xfId="36658" xr:uid="{00000000-0005-0000-0000-0000328F0000}"/>
    <cellStyle name="常规 2 5 7 2 3 2 3" xfId="36659" xr:uid="{00000000-0005-0000-0000-0000338F0000}"/>
    <cellStyle name="常规 2 5 7 2 3 2 4" xfId="36660" xr:uid="{00000000-0005-0000-0000-0000348F0000}"/>
    <cellStyle name="常规 2 5 7 2 3 3" xfId="36661" xr:uid="{00000000-0005-0000-0000-0000358F0000}"/>
    <cellStyle name="常规 2 5 7 2 3 4" xfId="36662" xr:uid="{00000000-0005-0000-0000-0000368F0000}"/>
    <cellStyle name="常规 2 5 7 2 3 5" xfId="36663" xr:uid="{00000000-0005-0000-0000-0000378F0000}"/>
    <cellStyle name="常规 2 5 7 2 4" xfId="36664" xr:uid="{00000000-0005-0000-0000-0000388F0000}"/>
    <cellStyle name="常规 2 5 7 2 4 2" xfId="36665" xr:uid="{00000000-0005-0000-0000-0000398F0000}"/>
    <cellStyle name="常规 2 5 7 2 4 2 2" xfId="36666" xr:uid="{00000000-0005-0000-0000-00003A8F0000}"/>
    <cellStyle name="常规 2 5 7 2 4 2 3" xfId="36667" xr:uid="{00000000-0005-0000-0000-00003B8F0000}"/>
    <cellStyle name="常规 2 5 7 2 4 2 4" xfId="36668" xr:uid="{00000000-0005-0000-0000-00003C8F0000}"/>
    <cellStyle name="常规 2 5 7 2 4 3" xfId="36669" xr:uid="{00000000-0005-0000-0000-00003D8F0000}"/>
    <cellStyle name="常规 2 5 7 2 4 4" xfId="36670" xr:uid="{00000000-0005-0000-0000-00003E8F0000}"/>
    <cellStyle name="常规 2 5 7 2 4 5" xfId="36671" xr:uid="{00000000-0005-0000-0000-00003F8F0000}"/>
    <cellStyle name="常规 2 5 7 2 5" xfId="36672" xr:uid="{00000000-0005-0000-0000-0000408F0000}"/>
    <cellStyle name="常规 2 5 7 2 5 2" xfId="36673" xr:uid="{00000000-0005-0000-0000-0000418F0000}"/>
    <cellStyle name="常规 2 5 7 2 5 3" xfId="36674" xr:uid="{00000000-0005-0000-0000-0000428F0000}"/>
    <cellStyle name="常规 2 5 7 2 5 4" xfId="36675" xr:uid="{00000000-0005-0000-0000-0000438F0000}"/>
    <cellStyle name="常规 2 5 7 2 6" xfId="36676" xr:uid="{00000000-0005-0000-0000-0000448F0000}"/>
    <cellStyle name="常规 2 5 7 2 7" xfId="36677" xr:uid="{00000000-0005-0000-0000-0000458F0000}"/>
    <cellStyle name="常规 2 5 7 2 8" xfId="36678" xr:uid="{00000000-0005-0000-0000-0000468F0000}"/>
    <cellStyle name="常规 2 5 7 3" xfId="36679" xr:uid="{00000000-0005-0000-0000-0000478F0000}"/>
    <cellStyle name="常规 2 5 7 3 2" xfId="36680" xr:uid="{00000000-0005-0000-0000-0000488F0000}"/>
    <cellStyle name="常规 2 5 7 3 2 2" xfId="36681" xr:uid="{00000000-0005-0000-0000-0000498F0000}"/>
    <cellStyle name="常规 2 5 7 3 2 3" xfId="36682" xr:uid="{00000000-0005-0000-0000-00004A8F0000}"/>
    <cellStyle name="常规 2 5 7 3 2 4" xfId="36683" xr:uid="{00000000-0005-0000-0000-00004B8F0000}"/>
    <cellStyle name="常规 2 5 7 3 3" xfId="36684" xr:uid="{00000000-0005-0000-0000-00004C8F0000}"/>
    <cellStyle name="常规 2 5 7 3 4" xfId="36685" xr:uid="{00000000-0005-0000-0000-00004D8F0000}"/>
    <cellStyle name="常规 2 5 7 3 5" xfId="36686" xr:uid="{00000000-0005-0000-0000-00004E8F0000}"/>
    <cellStyle name="常规 2 5 7 4" xfId="36687" xr:uid="{00000000-0005-0000-0000-00004F8F0000}"/>
    <cellStyle name="常规 2 5 7 4 2" xfId="36688" xr:uid="{00000000-0005-0000-0000-0000508F0000}"/>
    <cellStyle name="常规 2 5 7 4 2 2" xfId="36689" xr:uid="{00000000-0005-0000-0000-0000518F0000}"/>
    <cellStyle name="常规 2 5 7 4 2 3" xfId="36690" xr:uid="{00000000-0005-0000-0000-0000528F0000}"/>
    <cellStyle name="常规 2 5 7 4 2 4" xfId="36691" xr:uid="{00000000-0005-0000-0000-0000538F0000}"/>
    <cellStyle name="常规 2 5 7 4 3" xfId="36692" xr:uid="{00000000-0005-0000-0000-0000548F0000}"/>
    <cellStyle name="常规 2 5 7 4 4" xfId="36693" xr:uid="{00000000-0005-0000-0000-0000558F0000}"/>
    <cellStyle name="常规 2 5 7 4 5" xfId="36694" xr:uid="{00000000-0005-0000-0000-0000568F0000}"/>
    <cellStyle name="常规 2 5 7 5" xfId="36695" xr:uid="{00000000-0005-0000-0000-0000578F0000}"/>
    <cellStyle name="常规 2 5 7 5 2" xfId="36696" xr:uid="{00000000-0005-0000-0000-0000588F0000}"/>
    <cellStyle name="常规 2 5 7 5 3" xfId="36697" xr:uid="{00000000-0005-0000-0000-0000598F0000}"/>
    <cellStyle name="常规 2 5 7 5 4" xfId="36698" xr:uid="{00000000-0005-0000-0000-00005A8F0000}"/>
    <cellStyle name="常规 2 5 7 6" xfId="36699" xr:uid="{00000000-0005-0000-0000-00005B8F0000}"/>
    <cellStyle name="常规 2 5 7 7" xfId="36700" xr:uid="{00000000-0005-0000-0000-00005C8F0000}"/>
    <cellStyle name="常规 2 5 7 8" xfId="36701" xr:uid="{00000000-0005-0000-0000-00005D8F0000}"/>
    <cellStyle name="常规 2 5 7 9" xfId="36702" xr:uid="{00000000-0005-0000-0000-00005E8F0000}"/>
    <cellStyle name="常规 2 5 7 9 2" xfId="36703" xr:uid="{00000000-0005-0000-0000-00005F8F0000}"/>
    <cellStyle name="常规 2 5 8" xfId="36704" xr:uid="{00000000-0005-0000-0000-0000608F0000}"/>
    <cellStyle name="常规 2 5 8 2" xfId="36705" xr:uid="{00000000-0005-0000-0000-0000618F0000}"/>
    <cellStyle name="常规 2 5 8 2 2" xfId="36706" xr:uid="{00000000-0005-0000-0000-0000628F0000}"/>
    <cellStyle name="常规 2 5 8 2 2 2" xfId="36707" xr:uid="{00000000-0005-0000-0000-0000638F0000}"/>
    <cellStyle name="常规 2 5 8 2 2 2 2" xfId="36708" xr:uid="{00000000-0005-0000-0000-0000648F0000}"/>
    <cellStyle name="常规 2 5 8 2 2 2 2 2" xfId="36709" xr:uid="{00000000-0005-0000-0000-0000658F0000}"/>
    <cellStyle name="常规 2 5 8 2 2 2 2 3" xfId="36710" xr:uid="{00000000-0005-0000-0000-0000668F0000}"/>
    <cellStyle name="常规 2 5 8 2 2 2 2 4" xfId="36711" xr:uid="{00000000-0005-0000-0000-0000678F0000}"/>
    <cellStyle name="常规 2 5 8 2 2 2 3" xfId="36712" xr:uid="{00000000-0005-0000-0000-0000688F0000}"/>
    <cellStyle name="常规 2 5 8 2 2 2 4" xfId="36713" xr:uid="{00000000-0005-0000-0000-0000698F0000}"/>
    <cellStyle name="常规 2 5 8 2 2 2 5" xfId="36714" xr:uid="{00000000-0005-0000-0000-00006A8F0000}"/>
    <cellStyle name="常规 2 5 8 2 2 3" xfId="36715" xr:uid="{00000000-0005-0000-0000-00006B8F0000}"/>
    <cellStyle name="常规 2 5 8 2 2 3 2" xfId="36716" xr:uid="{00000000-0005-0000-0000-00006C8F0000}"/>
    <cellStyle name="常规 2 5 8 2 2 3 2 2" xfId="36717" xr:uid="{00000000-0005-0000-0000-00006D8F0000}"/>
    <cellStyle name="常规 2 5 8 2 2 3 2 3" xfId="36718" xr:uid="{00000000-0005-0000-0000-00006E8F0000}"/>
    <cellStyle name="常规 2 5 8 2 2 3 2 4" xfId="36719" xr:uid="{00000000-0005-0000-0000-00006F8F0000}"/>
    <cellStyle name="常规 2 5 8 2 2 3 3" xfId="36720" xr:uid="{00000000-0005-0000-0000-0000708F0000}"/>
    <cellStyle name="常规 2 5 8 2 2 3 4" xfId="36721" xr:uid="{00000000-0005-0000-0000-0000718F0000}"/>
    <cellStyle name="常规 2 5 8 2 2 3 5" xfId="36722" xr:uid="{00000000-0005-0000-0000-0000728F0000}"/>
    <cellStyle name="常规 2 5 8 2 2 4" xfId="36723" xr:uid="{00000000-0005-0000-0000-0000738F0000}"/>
    <cellStyle name="常规 2 5 8 2 2 4 2" xfId="36724" xr:uid="{00000000-0005-0000-0000-0000748F0000}"/>
    <cellStyle name="常规 2 5 8 2 2 4 3" xfId="36725" xr:uid="{00000000-0005-0000-0000-0000758F0000}"/>
    <cellStyle name="常规 2 5 8 2 2 4 4" xfId="36726" xr:uid="{00000000-0005-0000-0000-0000768F0000}"/>
    <cellStyle name="常规 2 5 8 2 2 5" xfId="36727" xr:uid="{00000000-0005-0000-0000-0000778F0000}"/>
    <cellStyle name="常规 2 5 8 2 2 6" xfId="36728" xr:uid="{00000000-0005-0000-0000-0000788F0000}"/>
    <cellStyle name="常规 2 5 8 2 2 7" xfId="36729" xr:uid="{00000000-0005-0000-0000-0000798F0000}"/>
    <cellStyle name="常规 2 5 8 2 3" xfId="36730" xr:uid="{00000000-0005-0000-0000-00007A8F0000}"/>
    <cellStyle name="常规 2 5 8 2 3 2" xfId="36731" xr:uid="{00000000-0005-0000-0000-00007B8F0000}"/>
    <cellStyle name="常规 2 5 8 2 3 2 2" xfId="36732" xr:uid="{00000000-0005-0000-0000-00007C8F0000}"/>
    <cellStyle name="常规 2 5 8 2 3 2 3" xfId="36733" xr:uid="{00000000-0005-0000-0000-00007D8F0000}"/>
    <cellStyle name="常规 2 5 8 2 3 2 4" xfId="36734" xr:uid="{00000000-0005-0000-0000-00007E8F0000}"/>
    <cellStyle name="常规 2 5 8 2 3 3" xfId="36735" xr:uid="{00000000-0005-0000-0000-00007F8F0000}"/>
    <cellStyle name="常规 2 5 8 2 3 4" xfId="36736" xr:uid="{00000000-0005-0000-0000-0000808F0000}"/>
    <cellStyle name="常规 2 5 8 2 3 5" xfId="36737" xr:uid="{00000000-0005-0000-0000-0000818F0000}"/>
    <cellStyle name="常规 2 5 8 2 4" xfId="36738" xr:uid="{00000000-0005-0000-0000-0000828F0000}"/>
    <cellStyle name="常规 2 5 8 2 4 2" xfId="36739" xr:uid="{00000000-0005-0000-0000-0000838F0000}"/>
    <cellStyle name="常规 2 5 8 2 4 2 2" xfId="36740" xr:uid="{00000000-0005-0000-0000-0000848F0000}"/>
    <cellStyle name="常规 2 5 8 2 4 2 3" xfId="36741" xr:uid="{00000000-0005-0000-0000-0000858F0000}"/>
    <cellStyle name="常规 2 5 8 2 4 2 4" xfId="36742" xr:uid="{00000000-0005-0000-0000-0000868F0000}"/>
    <cellStyle name="常规 2 5 8 2 4 3" xfId="36743" xr:uid="{00000000-0005-0000-0000-0000878F0000}"/>
    <cellStyle name="常规 2 5 8 2 4 4" xfId="36744" xr:uid="{00000000-0005-0000-0000-0000888F0000}"/>
    <cellStyle name="常规 2 5 8 2 4 5" xfId="36745" xr:uid="{00000000-0005-0000-0000-0000898F0000}"/>
    <cellStyle name="常规 2 5 8 2 5" xfId="36746" xr:uid="{00000000-0005-0000-0000-00008A8F0000}"/>
    <cellStyle name="常规 2 5 8 2 5 2" xfId="36747" xr:uid="{00000000-0005-0000-0000-00008B8F0000}"/>
    <cellStyle name="常规 2 5 8 2 5 3" xfId="36748" xr:uid="{00000000-0005-0000-0000-00008C8F0000}"/>
    <cellStyle name="常规 2 5 8 2 5 4" xfId="36749" xr:uid="{00000000-0005-0000-0000-00008D8F0000}"/>
    <cellStyle name="常规 2 5 8 2 6" xfId="36750" xr:uid="{00000000-0005-0000-0000-00008E8F0000}"/>
    <cellStyle name="常规 2 5 8 2 7" xfId="36751" xr:uid="{00000000-0005-0000-0000-00008F8F0000}"/>
    <cellStyle name="常规 2 5 8 2 8" xfId="36752" xr:uid="{00000000-0005-0000-0000-0000908F0000}"/>
    <cellStyle name="常规 2 5 8 3" xfId="36753" xr:uid="{00000000-0005-0000-0000-0000918F0000}"/>
    <cellStyle name="常规 2 5 8 3 2" xfId="36754" xr:uid="{00000000-0005-0000-0000-0000928F0000}"/>
    <cellStyle name="常规 2 5 8 3 2 2" xfId="36755" xr:uid="{00000000-0005-0000-0000-0000938F0000}"/>
    <cellStyle name="常规 2 5 8 3 2 3" xfId="36756" xr:uid="{00000000-0005-0000-0000-0000948F0000}"/>
    <cellStyle name="常规 2 5 8 3 2 4" xfId="36757" xr:uid="{00000000-0005-0000-0000-0000958F0000}"/>
    <cellStyle name="常规 2 5 8 3 3" xfId="36758" xr:uid="{00000000-0005-0000-0000-0000968F0000}"/>
    <cellStyle name="常规 2 5 8 3 4" xfId="36759" xr:uid="{00000000-0005-0000-0000-0000978F0000}"/>
    <cellStyle name="常规 2 5 8 3 5" xfId="36760" xr:uid="{00000000-0005-0000-0000-0000988F0000}"/>
    <cellStyle name="常规 2 5 8 4" xfId="36761" xr:uid="{00000000-0005-0000-0000-0000998F0000}"/>
    <cellStyle name="常规 2 5 8 4 2" xfId="36762" xr:uid="{00000000-0005-0000-0000-00009A8F0000}"/>
    <cellStyle name="常规 2 5 8 4 2 2" xfId="36763" xr:uid="{00000000-0005-0000-0000-00009B8F0000}"/>
    <cellStyle name="常规 2 5 8 4 2 3" xfId="36764" xr:uid="{00000000-0005-0000-0000-00009C8F0000}"/>
    <cellStyle name="常规 2 5 8 4 2 4" xfId="36765" xr:uid="{00000000-0005-0000-0000-00009D8F0000}"/>
    <cellStyle name="常规 2 5 8 4 3" xfId="36766" xr:uid="{00000000-0005-0000-0000-00009E8F0000}"/>
    <cellStyle name="常规 2 5 8 4 4" xfId="36767" xr:uid="{00000000-0005-0000-0000-00009F8F0000}"/>
    <cellStyle name="常规 2 5 8 4 5" xfId="36768" xr:uid="{00000000-0005-0000-0000-0000A08F0000}"/>
    <cellStyle name="常规 2 5 8 5" xfId="36769" xr:uid="{00000000-0005-0000-0000-0000A18F0000}"/>
    <cellStyle name="常规 2 5 8 5 2" xfId="36770" xr:uid="{00000000-0005-0000-0000-0000A28F0000}"/>
    <cellStyle name="常规 2 5 8 5 3" xfId="36771" xr:uid="{00000000-0005-0000-0000-0000A38F0000}"/>
    <cellStyle name="常规 2 5 8 5 4" xfId="36772" xr:uid="{00000000-0005-0000-0000-0000A48F0000}"/>
    <cellStyle name="常规 2 5 8 6" xfId="36773" xr:uid="{00000000-0005-0000-0000-0000A58F0000}"/>
    <cellStyle name="常规 2 5 8 7" xfId="36774" xr:uid="{00000000-0005-0000-0000-0000A68F0000}"/>
    <cellStyle name="常规 2 5 8 8" xfId="36775" xr:uid="{00000000-0005-0000-0000-0000A78F0000}"/>
    <cellStyle name="常规 2 5 8 9" xfId="36776" xr:uid="{00000000-0005-0000-0000-0000A88F0000}"/>
    <cellStyle name="常规 2 5 8 9 2" xfId="36777" xr:uid="{00000000-0005-0000-0000-0000A98F0000}"/>
    <cellStyle name="常规 2 5 9" xfId="36778" xr:uid="{00000000-0005-0000-0000-0000AA8F0000}"/>
    <cellStyle name="常规 2 5 9 2" xfId="36779" xr:uid="{00000000-0005-0000-0000-0000AB8F0000}"/>
    <cellStyle name="常规 2 5 9 2 2" xfId="36780" xr:uid="{00000000-0005-0000-0000-0000AC8F0000}"/>
    <cellStyle name="常规 2 5 9 2 2 2" xfId="36781" xr:uid="{00000000-0005-0000-0000-0000AD8F0000}"/>
    <cellStyle name="常规 2 5 9 2 2 2 2" xfId="36782" xr:uid="{00000000-0005-0000-0000-0000AE8F0000}"/>
    <cellStyle name="常规 2 5 9 2 2 2 3" xfId="36783" xr:uid="{00000000-0005-0000-0000-0000AF8F0000}"/>
    <cellStyle name="常规 2 5 9 2 2 2 4" xfId="36784" xr:uid="{00000000-0005-0000-0000-0000B08F0000}"/>
    <cellStyle name="常规 2 5 9 2 2 3" xfId="36785" xr:uid="{00000000-0005-0000-0000-0000B18F0000}"/>
    <cellStyle name="常规 2 5 9 2 2 4" xfId="36786" xr:uid="{00000000-0005-0000-0000-0000B28F0000}"/>
    <cellStyle name="常规 2 5 9 2 2 5" xfId="36787" xr:uid="{00000000-0005-0000-0000-0000B38F0000}"/>
    <cellStyle name="常规 2 5 9 2 3" xfId="36788" xr:uid="{00000000-0005-0000-0000-0000B48F0000}"/>
    <cellStyle name="常规 2 5 9 2 3 2" xfId="36789" xr:uid="{00000000-0005-0000-0000-0000B58F0000}"/>
    <cellStyle name="常规 2 5 9 2 3 2 2" xfId="36790" xr:uid="{00000000-0005-0000-0000-0000B68F0000}"/>
    <cellStyle name="常规 2 5 9 2 3 2 3" xfId="36791" xr:uid="{00000000-0005-0000-0000-0000B78F0000}"/>
    <cellStyle name="常规 2 5 9 2 3 2 4" xfId="36792" xr:uid="{00000000-0005-0000-0000-0000B88F0000}"/>
    <cellStyle name="常规 2 5 9 2 3 3" xfId="36793" xr:uid="{00000000-0005-0000-0000-0000B98F0000}"/>
    <cellStyle name="常规 2 5 9 2 3 4" xfId="36794" xr:uid="{00000000-0005-0000-0000-0000BA8F0000}"/>
    <cellStyle name="常规 2 5 9 2 3 5" xfId="36795" xr:uid="{00000000-0005-0000-0000-0000BB8F0000}"/>
    <cellStyle name="常规 2 5 9 2 4" xfId="36796" xr:uid="{00000000-0005-0000-0000-0000BC8F0000}"/>
    <cellStyle name="常规 2 5 9 2 4 2" xfId="36797" xr:uid="{00000000-0005-0000-0000-0000BD8F0000}"/>
    <cellStyle name="常规 2 5 9 2 4 3" xfId="36798" xr:uid="{00000000-0005-0000-0000-0000BE8F0000}"/>
    <cellStyle name="常规 2 5 9 2 4 4" xfId="36799" xr:uid="{00000000-0005-0000-0000-0000BF8F0000}"/>
    <cellStyle name="常规 2 5 9 2 5" xfId="36800" xr:uid="{00000000-0005-0000-0000-0000C08F0000}"/>
    <cellStyle name="常规 2 5 9 2 6" xfId="36801" xr:uid="{00000000-0005-0000-0000-0000C18F0000}"/>
    <cellStyle name="常规 2 5 9 2 7" xfId="36802" xr:uid="{00000000-0005-0000-0000-0000C28F0000}"/>
    <cellStyle name="常规 2 5 9 3" xfId="36803" xr:uid="{00000000-0005-0000-0000-0000C38F0000}"/>
    <cellStyle name="常规 2 5 9 3 2" xfId="36804" xr:uid="{00000000-0005-0000-0000-0000C48F0000}"/>
    <cellStyle name="常规 2 5 9 3 2 2" xfId="36805" xr:uid="{00000000-0005-0000-0000-0000C58F0000}"/>
    <cellStyle name="常规 2 5 9 3 2 3" xfId="36806" xr:uid="{00000000-0005-0000-0000-0000C68F0000}"/>
    <cellStyle name="常规 2 5 9 3 2 4" xfId="36807" xr:uid="{00000000-0005-0000-0000-0000C78F0000}"/>
    <cellStyle name="常规 2 5 9 3 3" xfId="36808" xr:uid="{00000000-0005-0000-0000-0000C88F0000}"/>
    <cellStyle name="常规 2 5 9 3 4" xfId="36809" xr:uid="{00000000-0005-0000-0000-0000C98F0000}"/>
    <cellStyle name="常规 2 5 9 3 5" xfId="36810" xr:uid="{00000000-0005-0000-0000-0000CA8F0000}"/>
    <cellStyle name="常规 2 5 9 4" xfId="36811" xr:uid="{00000000-0005-0000-0000-0000CB8F0000}"/>
    <cellStyle name="常规 2 5 9 4 2" xfId="36812" xr:uid="{00000000-0005-0000-0000-0000CC8F0000}"/>
    <cellStyle name="常规 2 5 9 4 2 2" xfId="36813" xr:uid="{00000000-0005-0000-0000-0000CD8F0000}"/>
    <cellStyle name="常规 2 5 9 4 2 3" xfId="36814" xr:uid="{00000000-0005-0000-0000-0000CE8F0000}"/>
    <cellStyle name="常规 2 5 9 4 2 4" xfId="36815" xr:uid="{00000000-0005-0000-0000-0000CF8F0000}"/>
    <cellStyle name="常规 2 5 9 4 3" xfId="36816" xr:uid="{00000000-0005-0000-0000-0000D08F0000}"/>
    <cellStyle name="常规 2 5 9 4 4" xfId="36817" xr:uid="{00000000-0005-0000-0000-0000D18F0000}"/>
    <cellStyle name="常规 2 5 9 4 5" xfId="36818" xr:uid="{00000000-0005-0000-0000-0000D28F0000}"/>
    <cellStyle name="常规 2 5 9 5" xfId="36819" xr:uid="{00000000-0005-0000-0000-0000D38F0000}"/>
    <cellStyle name="常规 2 5 9 5 2" xfId="36820" xr:uid="{00000000-0005-0000-0000-0000D48F0000}"/>
    <cellStyle name="常规 2 5 9 5 3" xfId="36821" xr:uid="{00000000-0005-0000-0000-0000D58F0000}"/>
    <cellStyle name="常规 2 5 9 5 4" xfId="36822" xr:uid="{00000000-0005-0000-0000-0000D68F0000}"/>
    <cellStyle name="常规 2 5 9 6" xfId="36823" xr:uid="{00000000-0005-0000-0000-0000D78F0000}"/>
    <cellStyle name="常规 2 5 9 7" xfId="36824" xr:uid="{00000000-0005-0000-0000-0000D88F0000}"/>
    <cellStyle name="常规 2 5 9 8" xfId="36825" xr:uid="{00000000-0005-0000-0000-0000D98F0000}"/>
    <cellStyle name="常规 2 5 9 9" xfId="36826" xr:uid="{00000000-0005-0000-0000-0000DA8F0000}"/>
    <cellStyle name="常规 2 5 9 9 2" xfId="36827" xr:uid="{00000000-0005-0000-0000-0000DB8F0000}"/>
    <cellStyle name="常规 2 6" xfId="36828" xr:uid="{00000000-0005-0000-0000-0000DC8F0000}"/>
    <cellStyle name="常规 2 6 10" xfId="36829" xr:uid="{00000000-0005-0000-0000-0000DD8F0000}"/>
    <cellStyle name="常规 2 6 10 2" xfId="36830" xr:uid="{00000000-0005-0000-0000-0000DE8F0000}"/>
    <cellStyle name="常规 2 6 10 2 2" xfId="36831" xr:uid="{00000000-0005-0000-0000-0000DF8F0000}"/>
    <cellStyle name="常规 2 6 10 3" xfId="36832" xr:uid="{00000000-0005-0000-0000-0000E08F0000}"/>
    <cellStyle name="常规 2 6 10 4" xfId="36833" xr:uid="{00000000-0005-0000-0000-0000E18F0000}"/>
    <cellStyle name="常规 2 6 10 5" xfId="36834" xr:uid="{00000000-0005-0000-0000-0000E28F0000}"/>
    <cellStyle name="常规 2 6 11" xfId="36835" xr:uid="{00000000-0005-0000-0000-0000E38F0000}"/>
    <cellStyle name="常规 2 6 12" xfId="36836" xr:uid="{00000000-0005-0000-0000-0000E48F0000}"/>
    <cellStyle name="常规 2 6 13" xfId="36837" xr:uid="{00000000-0005-0000-0000-0000E58F0000}"/>
    <cellStyle name="常规 2 6 14" xfId="36838" xr:uid="{00000000-0005-0000-0000-0000E68F0000}"/>
    <cellStyle name="常规 2 6 14 2" xfId="36839" xr:uid="{00000000-0005-0000-0000-0000E78F0000}"/>
    <cellStyle name="常规 2 6 15" xfId="36840" xr:uid="{00000000-0005-0000-0000-0000E88F0000}"/>
    <cellStyle name="常规 2 6 2" xfId="36841" xr:uid="{00000000-0005-0000-0000-0000E98F0000}"/>
    <cellStyle name="常规 2 6 2 10" xfId="36842" xr:uid="{00000000-0005-0000-0000-0000EA8F0000}"/>
    <cellStyle name="常规 2 6 2 10 2" xfId="36843" xr:uid="{00000000-0005-0000-0000-0000EB8F0000}"/>
    <cellStyle name="常规 2 6 2 2" xfId="36844" xr:uid="{00000000-0005-0000-0000-0000EC8F0000}"/>
    <cellStyle name="常规 2 6 2 2 10" xfId="36845" xr:uid="{00000000-0005-0000-0000-0000ED8F0000}"/>
    <cellStyle name="常规 2 6 2 2 2" xfId="36846" xr:uid="{00000000-0005-0000-0000-0000EE8F0000}"/>
    <cellStyle name="常规 2 6 2 2 2 2" xfId="36847" xr:uid="{00000000-0005-0000-0000-0000EF8F0000}"/>
    <cellStyle name="常规 2 6 2 2 2 2 2" xfId="36848" xr:uid="{00000000-0005-0000-0000-0000F08F0000}"/>
    <cellStyle name="常规 2 6 2 2 2 2 2 2" xfId="36849" xr:uid="{00000000-0005-0000-0000-0000F18F0000}"/>
    <cellStyle name="常规 2 6 2 2 2 2 2 3" xfId="36850" xr:uid="{00000000-0005-0000-0000-0000F28F0000}"/>
    <cellStyle name="常规 2 6 2 2 2 2 2 4" xfId="36851" xr:uid="{00000000-0005-0000-0000-0000F38F0000}"/>
    <cellStyle name="常规 2 6 2 2 2 2 2 5" xfId="36852" xr:uid="{00000000-0005-0000-0000-0000F48F0000}"/>
    <cellStyle name="常规 2 6 2 2 2 2 2 5 2" xfId="36853" xr:uid="{00000000-0005-0000-0000-0000F58F0000}"/>
    <cellStyle name="常规 2 6 2 2 2 2 3" xfId="36854" xr:uid="{00000000-0005-0000-0000-0000F68F0000}"/>
    <cellStyle name="常规 2 6 2 2 2 2 3 2" xfId="36855" xr:uid="{00000000-0005-0000-0000-0000F78F0000}"/>
    <cellStyle name="常规 2 6 2 2 2 2 3 2 2" xfId="36856" xr:uid="{00000000-0005-0000-0000-0000F88F0000}"/>
    <cellStyle name="常规 2 6 2 2 2 2 4" xfId="36857" xr:uid="{00000000-0005-0000-0000-0000F98F0000}"/>
    <cellStyle name="常规 2 6 2 2 2 2 4 2" xfId="36858" xr:uid="{00000000-0005-0000-0000-0000FA8F0000}"/>
    <cellStyle name="常规 2 6 2 2 2 2 4 2 2" xfId="36859" xr:uid="{00000000-0005-0000-0000-0000FB8F0000}"/>
    <cellStyle name="常规 2 6 2 2 2 2 5" xfId="36860" xr:uid="{00000000-0005-0000-0000-0000FC8F0000}"/>
    <cellStyle name="常规 2 6 2 2 2 2 5 2" xfId="36861" xr:uid="{00000000-0005-0000-0000-0000FD8F0000}"/>
    <cellStyle name="常规 2 6 2 2 2 2 5 3" xfId="36862" xr:uid="{00000000-0005-0000-0000-0000FE8F0000}"/>
    <cellStyle name="常规 2 6 2 2 2 2 6" xfId="36863" xr:uid="{00000000-0005-0000-0000-0000FF8F0000}"/>
    <cellStyle name="常规 2 6 2 2 2 2 6 2" xfId="36864" xr:uid="{00000000-0005-0000-0000-000000900000}"/>
    <cellStyle name="常规 2 6 2 2 2 2 7" xfId="36865" xr:uid="{00000000-0005-0000-0000-000001900000}"/>
    <cellStyle name="常规 2 6 2 2 2 3" xfId="36866" xr:uid="{00000000-0005-0000-0000-000002900000}"/>
    <cellStyle name="常规 2 6 2 2 2 3 2" xfId="36867" xr:uid="{00000000-0005-0000-0000-000003900000}"/>
    <cellStyle name="常规 2 6 2 2 2 3 2 2" xfId="36868" xr:uid="{00000000-0005-0000-0000-000004900000}"/>
    <cellStyle name="常规 2 6 2 2 2 3 2 2 2" xfId="36869" xr:uid="{00000000-0005-0000-0000-000005900000}"/>
    <cellStyle name="常规 2 6 2 2 2 3 2 3" xfId="36870" xr:uid="{00000000-0005-0000-0000-000006900000}"/>
    <cellStyle name="常规 2 6 2 2 2 3 2 4" xfId="36871" xr:uid="{00000000-0005-0000-0000-000007900000}"/>
    <cellStyle name="常规 2 6 2 2 2 3 2 5" xfId="36872" xr:uid="{00000000-0005-0000-0000-000008900000}"/>
    <cellStyle name="常规 2 6 2 2 2 3 2 5 2" xfId="36873" xr:uid="{00000000-0005-0000-0000-000009900000}"/>
    <cellStyle name="常规 2 6 2 2 2 3 2 6" xfId="36874" xr:uid="{00000000-0005-0000-0000-00000A900000}"/>
    <cellStyle name="常规 2 6 2 2 2 3 3" xfId="36875" xr:uid="{00000000-0005-0000-0000-00000B900000}"/>
    <cellStyle name="常规 2 6 2 2 2 3 3 2" xfId="36876" xr:uid="{00000000-0005-0000-0000-00000C900000}"/>
    <cellStyle name="常规 2 6 2 2 2 3 3 2 2" xfId="36877" xr:uid="{00000000-0005-0000-0000-00000D900000}"/>
    <cellStyle name="常规 2 6 2 2 2 3 4" xfId="36878" xr:uid="{00000000-0005-0000-0000-00000E900000}"/>
    <cellStyle name="常规 2 6 2 2 2 3 4 2" xfId="36879" xr:uid="{00000000-0005-0000-0000-00000F900000}"/>
    <cellStyle name="常规 2 6 2 2 2 3 4 3" xfId="36880" xr:uid="{00000000-0005-0000-0000-000010900000}"/>
    <cellStyle name="常规 2 6 2 2 2 3 5" xfId="36881" xr:uid="{00000000-0005-0000-0000-000011900000}"/>
    <cellStyle name="常规 2 6 2 2 2 3 5 2" xfId="36882" xr:uid="{00000000-0005-0000-0000-000012900000}"/>
    <cellStyle name="常规 2 6 2 2 2 3 6" xfId="36883" xr:uid="{00000000-0005-0000-0000-000013900000}"/>
    <cellStyle name="常规 2 6 2 2 2 3 6 2" xfId="36884" xr:uid="{00000000-0005-0000-0000-000014900000}"/>
    <cellStyle name="常规 2 6 2 2 2 3 7" xfId="36885" xr:uid="{00000000-0005-0000-0000-000015900000}"/>
    <cellStyle name="常规 2 6 2 2 2 4" xfId="36886" xr:uid="{00000000-0005-0000-0000-000016900000}"/>
    <cellStyle name="常规 2 6 2 2 2 4 2" xfId="36887" xr:uid="{00000000-0005-0000-0000-000017900000}"/>
    <cellStyle name="常规 2 6 2 2 2 4 3" xfId="36888" xr:uid="{00000000-0005-0000-0000-000018900000}"/>
    <cellStyle name="常规 2 6 2 2 2 4 4" xfId="36889" xr:uid="{00000000-0005-0000-0000-000019900000}"/>
    <cellStyle name="常规 2 6 2 2 2 4 5" xfId="36890" xr:uid="{00000000-0005-0000-0000-00001A900000}"/>
    <cellStyle name="常规 2 6 2 2 2 4 5 2" xfId="36891" xr:uid="{00000000-0005-0000-0000-00001B900000}"/>
    <cellStyle name="常规 2 6 2 2 2 5" xfId="36892" xr:uid="{00000000-0005-0000-0000-00001C900000}"/>
    <cellStyle name="常规 2 6 2 2 2 5 2" xfId="36893" xr:uid="{00000000-0005-0000-0000-00001D900000}"/>
    <cellStyle name="常规 2 6 2 2 2 5 2 2" xfId="36894" xr:uid="{00000000-0005-0000-0000-00001E900000}"/>
    <cellStyle name="常规 2 6 2 2 2 6" xfId="36895" xr:uid="{00000000-0005-0000-0000-00001F900000}"/>
    <cellStyle name="常规 2 6 2 2 2 6 2" xfId="36896" xr:uid="{00000000-0005-0000-0000-000020900000}"/>
    <cellStyle name="常规 2 6 2 2 2 6 2 2" xfId="36897" xr:uid="{00000000-0005-0000-0000-000021900000}"/>
    <cellStyle name="常规 2 6 2 2 2 7" xfId="36898" xr:uid="{00000000-0005-0000-0000-000022900000}"/>
    <cellStyle name="常规 2 6 2 2 2 7 2" xfId="36899" xr:uid="{00000000-0005-0000-0000-000023900000}"/>
    <cellStyle name="常规 2 6 2 2 2 7 2 2" xfId="36900" xr:uid="{00000000-0005-0000-0000-000024900000}"/>
    <cellStyle name="常规 2 6 2 2 2 8" xfId="36901" xr:uid="{00000000-0005-0000-0000-000025900000}"/>
    <cellStyle name="常规 2 6 2 2 2 8 2" xfId="36902" xr:uid="{00000000-0005-0000-0000-000026900000}"/>
    <cellStyle name="常规 2 6 2 2 2 8 3" xfId="36903" xr:uid="{00000000-0005-0000-0000-000027900000}"/>
    <cellStyle name="常规 2 6 2 2 2 9" xfId="36904" xr:uid="{00000000-0005-0000-0000-000028900000}"/>
    <cellStyle name="常规 2 6 2 2 3" xfId="36905" xr:uid="{00000000-0005-0000-0000-000029900000}"/>
    <cellStyle name="常规 2 6 2 2 3 2" xfId="36906" xr:uid="{00000000-0005-0000-0000-00002A900000}"/>
    <cellStyle name="常规 2 6 2 2 3 2 2" xfId="36907" xr:uid="{00000000-0005-0000-0000-00002B900000}"/>
    <cellStyle name="常规 2 6 2 2 3 2 3" xfId="36908" xr:uid="{00000000-0005-0000-0000-00002C900000}"/>
    <cellStyle name="常规 2 6 2 2 3 2 4" xfId="36909" xr:uid="{00000000-0005-0000-0000-00002D900000}"/>
    <cellStyle name="常规 2 6 2 2 3 2 5" xfId="36910" xr:uid="{00000000-0005-0000-0000-00002E900000}"/>
    <cellStyle name="常规 2 6 2 2 3 2 5 2" xfId="36911" xr:uid="{00000000-0005-0000-0000-00002F900000}"/>
    <cellStyle name="常规 2 6 2 2 3 3" xfId="36912" xr:uid="{00000000-0005-0000-0000-000030900000}"/>
    <cellStyle name="常规 2 6 2 2 3 3 2" xfId="36913" xr:uid="{00000000-0005-0000-0000-000031900000}"/>
    <cellStyle name="常规 2 6 2 2 3 3 2 2" xfId="36914" xr:uid="{00000000-0005-0000-0000-000032900000}"/>
    <cellStyle name="常规 2 6 2 2 3 4" xfId="36915" xr:uid="{00000000-0005-0000-0000-000033900000}"/>
    <cellStyle name="常规 2 6 2 2 3 4 2" xfId="36916" xr:uid="{00000000-0005-0000-0000-000034900000}"/>
    <cellStyle name="常规 2 6 2 2 3 4 2 2" xfId="36917" xr:uid="{00000000-0005-0000-0000-000035900000}"/>
    <cellStyle name="常规 2 6 2 2 3 5" xfId="36918" xr:uid="{00000000-0005-0000-0000-000036900000}"/>
    <cellStyle name="常规 2 6 2 2 3 5 2" xfId="36919" xr:uid="{00000000-0005-0000-0000-000037900000}"/>
    <cellStyle name="常规 2 6 2 2 3 5 3" xfId="36920" xr:uid="{00000000-0005-0000-0000-000038900000}"/>
    <cellStyle name="常规 2 6 2 2 3 6" xfId="36921" xr:uid="{00000000-0005-0000-0000-000039900000}"/>
    <cellStyle name="常规 2 6 2 2 3 6 2" xfId="36922" xr:uid="{00000000-0005-0000-0000-00003A900000}"/>
    <cellStyle name="常规 2 6 2 2 3 7" xfId="36923" xr:uid="{00000000-0005-0000-0000-00003B900000}"/>
    <cellStyle name="常规 2 6 2 2 4" xfId="36924" xr:uid="{00000000-0005-0000-0000-00003C900000}"/>
    <cellStyle name="常规 2 6 2 2 4 2" xfId="36925" xr:uid="{00000000-0005-0000-0000-00003D900000}"/>
    <cellStyle name="常规 2 6 2 2 4 2 2" xfId="36926" xr:uid="{00000000-0005-0000-0000-00003E900000}"/>
    <cellStyle name="常规 2 6 2 2 4 2 3" xfId="36927" xr:uid="{00000000-0005-0000-0000-00003F900000}"/>
    <cellStyle name="常规 2 6 2 2 4 2 4" xfId="36928" xr:uid="{00000000-0005-0000-0000-000040900000}"/>
    <cellStyle name="常规 2 6 2 2 4 3" xfId="36929" xr:uid="{00000000-0005-0000-0000-000041900000}"/>
    <cellStyle name="常规 2 6 2 2 4 4" xfId="36930" xr:uid="{00000000-0005-0000-0000-000042900000}"/>
    <cellStyle name="常规 2 6 2 2 4 5" xfId="36931" xr:uid="{00000000-0005-0000-0000-000043900000}"/>
    <cellStyle name="常规 2 6 2 2 4 6" xfId="36932" xr:uid="{00000000-0005-0000-0000-000044900000}"/>
    <cellStyle name="常规 2 6 2 2 4 6 2" xfId="36933" xr:uid="{00000000-0005-0000-0000-000045900000}"/>
    <cellStyle name="常规 2 6 2 2 5" xfId="36934" xr:uid="{00000000-0005-0000-0000-000046900000}"/>
    <cellStyle name="常规 2 6 2 2 5 2" xfId="36935" xr:uid="{00000000-0005-0000-0000-000047900000}"/>
    <cellStyle name="常规 2 6 2 2 5 3" xfId="36936" xr:uid="{00000000-0005-0000-0000-000048900000}"/>
    <cellStyle name="常规 2 6 2 2 5 4" xfId="36937" xr:uid="{00000000-0005-0000-0000-000049900000}"/>
    <cellStyle name="常规 2 6 2 2 5 5" xfId="36938" xr:uid="{00000000-0005-0000-0000-00004A900000}"/>
    <cellStyle name="常规 2 6 2 2 5 5 2" xfId="36939" xr:uid="{00000000-0005-0000-0000-00004B900000}"/>
    <cellStyle name="常规 2 6 2 2 6" xfId="36940" xr:uid="{00000000-0005-0000-0000-00004C900000}"/>
    <cellStyle name="常规 2 6 2 2 6 2" xfId="36941" xr:uid="{00000000-0005-0000-0000-00004D900000}"/>
    <cellStyle name="常规 2 6 2 2 6 2 2" xfId="36942" xr:uid="{00000000-0005-0000-0000-00004E900000}"/>
    <cellStyle name="常规 2 6 2 2 7" xfId="36943" xr:uid="{00000000-0005-0000-0000-00004F900000}"/>
    <cellStyle name="常规 2 6 2 2 7 2" xfId="36944" xr:uid="{00000000-0005-0000-0000-000050900000}"/>
    <cellStyle name="常规 2 6 2 2 7 2 2" xfId="36945" xr:uid="{00000000-0005-0000-0000-000051900000}"/>
    <cellStyle name="常规 2 6 2 2 8" xfId="36946" xr:uid="{00000000-0005-0000-0000-000052900000}"/>
    <cellStyle name="常规 2 6 2 2 8 2" xfId="36947" xr:uid="{00000000-0005-0000-0000-000053900000}"/>
    <cellStyle name="常规 2 6 2 2 8 2 2" xfId="36948" xr:uid="{00000000-0005-0000-0000-000054900000}"/>
    <cellStyle name="常规 2 6 2 2 9" xfId="36949" xr:uid="{00000000-0005-0000-0000-000055900000}"/>
    <cellStyle name="常规 2 6 2 2 9 2" xfId="36950" xr:uid="{00000000-0005-0000-0000-000056900000}"/>
    <cellStyle name="常规 2 6 2 2 9 3" xfId="36951" xr:uid="{00000000-0005-0000-0000-000057900000}"/>
    <cellStyle name="常规 2 6 2 3" xfId="36952" xr:uid="{00000000-0005-0000-0000-000058900000}"/>
    <cellStyle name="常规 2 6 2 3 2" xfId="36953" xr:uid="{00000000-0005-0000-0000-000059900000}"/>
    <cellStyle name="常规 2 6 2 3 2 2" xfId="36954" xr:uid="{00000000-0005-0000-0000-00005A900000}"/>
    <cellStyle name="常规 2 6 2 3 2 2 2" xfId="36955" xr:uid="{00000000-0005-0000-0000-00005B900000}"/>
    <cellStyle name="常规 2 6 2 3 2 2 2 2" xfId="36956" xr:uid="{00000000-0005-0000-0000-00005C900000}"/>
    <cellStyle name="常规 2 6 2 3 2 3" xfId="36957" xr:uid="{00000000-0005-0000-0000-00005D900000}"/>
    <cellStyle name="常规 2 6 2 3 2 3 2" xfId="36958" xr:uid="{00000000-0005-0000-0000-00005E900000}"/>
    <cellStyle name="常规 2 6 2 3 2 3 2 2" xfId="36959" xr:uid="{00000000-0005-0000-0000-00005F900000}"/>
    <cellStyle name="常规 2 6 2 3 2 4" xfId="36960" xr:uid="{00000000-0005-0000-0000-000060900000}"/>
    <cellStyle name="常规 2 6 2 3 2 4 2" xfId="36961" xr:uid="{00000000-0005-0000-0000-000061900000}"/>
    <cellStyle name="常规 2 6 2 3 2 4 2 2" xfId="36962" xr:uid="{00000000-0005-0000-0000-000062900000}"/>
    <cellStyle name="常规 2 6 2 3 2 5" xfId="36963" xr:uid="{00000000-0005-0000-0000-000063900000}"/>
    <cellStyle name="常规 2 6 2 3 2 5 2" xfId="36964" xr:uid="{00000000-0005-0000-0000-000064900000}"/>
    <cellStyle name="常规 2 6 2 3 2 5 3" xfId="36965" xr:uid="{00000000-0005-0000-0000-000065900000}"/>
    <cellStyle name="常规 2 6 2 3 2 6" xfId="36966" xr:uid="{00000000-0005-0000-0000-000066900000}"/>
    <cellStyle name="常规 2 6 2 3 3" xfId="36967" xr:uid="{00000000-0005-0000-0000-000067900000}"/>
    <cellStyle name="常规 2 6 2 3 3 2" xfId="36968" xr:uid="{00000000-0005-0000-0000-000068900000}"/>
    <cellStyle name="常规 2 6 2 3 3 2 2" xfId="36969" xr:uid="{00000000-0005-0000-0000-000069900000}"/>
    <cellStyle name="常规 2 6 2 3 3 2 2 2" xfId="36970" xr:uid="{00000000-0005-0000-0000-00006A900000}"/>
    <cellStyle name="常规 2 6 2 3 3 3" xfId="36971" xr:uid="{00000000-0005-0000-0000-00006B900000}"/>
    <cellStyle name="常规 2 6 2 3 3 3 2" xfId="36972" xr:uid="{00000000-0005-0000-0000-00006C900000}"/>
    <cellStyle name="常规 2 6 2 3 3 3 2 2" xfId="36973" xr:uid="{00000000-0005-0000-0000-00006D900000}"/>
    <cellStyle name="常规 2 6 2 3 3 4" xfId="36974" xr:uid="{00000000-0005-0000-0000-00006E900000}"/>
    <cellStyle name="常规 2 6 2 3 3 4 2" xfId="36975" xr:uid="{00000000-0005-0000-0000-00006F900000}"/>
    <cellStyle name="常规 2 6 2 3 3 5" xfId="36976" xr:uid="{00000000-0005-0000-0000-000070900000}"/>
    <cellStyle name="常规 2 6 2 3 4" xfId="36977" xr:uid="{00000000-0005-0000-0000-000071900000}"/>
    <cellStyle name="常规 2 6 2 3 4 2" xfId="36978" xr:uid="{00000000-0005-0000-0000-000072900000}"/>
    <cellStyle name="常规 2 6 2 3 4 2 2" xfId="36979" xr:uid="{00000000-0005-0000-0000-000073900000}"/>
    <cellStyle name="常规 2 6 2 3 5" xfId="36980" xr:uid="{00000000-0005-0000-0000-000074900000}"/>
    <cellStyle name="常规 2 6 2 3 5 2" xfId="36981" xr:uid="{00000000-0005-0000-0000-000075900000}"/>
    <cellStyle name="常规 2 6 2 3 5 2 2" xfId="36982" xr:uid="{00000000-0005-0000-0000-000076900000}"/>
    <cellStyle name="常规 2 6 2 3 6" xfId="36983" xr:uid="{00000000-0005-0000-0000-000077900000}"/>
    <cellStyle name="常规 2 6 2 3 7" xfId="36984" xr:uid="{00000000-0005-0000-0000-000078900000}"/>
    <cellStyle name="常规 2 6 2 3 7 2" xfId="36985" xr:uid="{00000000-0005-0000-0000-000079900000}"/>
    <cellStyle name="常规 2 6 2 3 7 3" xfId="36986" xr:uid="{00000000-0005-0000-0000-00007A900000}"/>
    <cellStyle name="常规 2 6 2 3 8" xfId="36987" xr:uid="{00000000-0005-0000-0000-00007B900000}"/>
    <cellStyle name="常规 2 6 2 3 8 2" xfId="36988" xr:uid="{00000000-0005-0000-0000-00007C900000}"/>
    <cellStyle name="常规 2 6 2 4" xfId="36989" xr:uid="{00000000-0005-0000-0000-00007D900000}"/>
    <cellStyle name="常规 2 6 2 4 2" xfId="36990" xr:uid="{00000000-0005-0000-0000-00007E900000}"/>
    <cellStyle name="常规 2 6 2 4 2 2" xfId="36991" xr:uid="{00000000-0005-0000-0000-00007F900000}"/>
    <cellStyle name="常规 2 6 2 4 2 3" xfId="36992" xr:uid="{00000000-0005-0000-0000-000080900000}"/>
    <cellStyle name="常规 2 6 2 4 2 4" xfId="36993" xr:uid="{00000000-0005-0000-0000-000081900000}"/>
    <cellStyle name="常规 2 6 2 4 2 5" xfId="36994" xr:uid="{00000000-0005-0000-0000-000082900000}"/>
    <cellStyle name="常规 2 6 2 4 2 5 2" xfId="36995" xr:uid="{00000000-0005-0000-0000-000083900000}"/>
    <cellStyle name="常规 2 6 2 4 3" xfId="36996" xr:uid="{00000000-0005-0000-0000-000084900000}"/>
    <cellStyle name="常规 2 6 2 4 3 2" xfId="36997" xr:uid="{00000000-0005-0000-0000-000085900000}"/>
    <cellStyle name="常规 2 6 2 4 3 2 2" xfId="36998" xr:uid="{00000000-0005-0000-0000-000086900000}"/>
    <cellStyle name="常规 2 6 2 4 4" xfId="36999" xr:uid="{00000000-0005-0000-0000-000087900000}"/>
    <cellStyle name="常规 2 6 2 4 4 2" xfId="37000" xr:uid="{00000000-0005-0000-0000-000088900000}"/>
    <cellStyle name="常规 2 6 2 4 4 2 2" xfId="37001" xr:uid="{00000000-0005-0000-0000-000089900000}"/>
    <cellStyle name="常规 2 6 2 4 5" xfId="37002" xr:uid="{00000000-0005-0000-0000-00008A900000}"/>
    <cellStyle name="常规 2 6 2 4 5 2" xfId="37003" xr:uid="{00000000-0005-0000-0000-00008B900000}"/>
    <cellStyle name="常规 2 6 2 4 5 3" xfId="37004" xr:uid="{00000000-0005-0000-0000-00008C900000}"/>
    <cellStyle name="常规 2 6 2 4 6" xfId="37005" xr:uid="{00000000-0005-0000-0000-00008D900000}"/>
    <cellStyle name="常规 2 6 2 4 6 2" xfId="37006" xr:uid="{00000000-0005-0000-0000-00008E900000}"/>
    <cellStyle name="常规 2 6 2 4 7" xfId="37007" xr:uid="{00000000-0005-0000-0000-00008F900000}"/>
    <cellStyle name="常规 2 6 2 5" xfId="37008" xr:uid="{00000000-0005-0000-0000-000090900000}"/>
    <cellStyle name="常规 2 6 2 5 2" xfId="37009" xr:uid="{00000000-0005-0000-0000-000091900000}"/>
    <cellStyle name="常规 2 6 2 5 3" xfId="37010" xr:uid="{00000000-0005-0000-0000-000092900000}"/>
    <cellStyle name="常规 2 6 2 5 4" xfId="37011" xr:uid="{00000000-0005-0000-0000-000093900000}"/>
    <cellStyle name="常规 2 6 2 5 5" xfId="37012" xr:uid="{00000000-0005-0000-0000-000094900000}"/>
    <cellStyle name="常规 2 6 2 5 5 2" xfId="37013" xr:uid="{00000000-0005-0000-0000-000095900000}"/>
    <cellStyle name="常规 2 6 2 6" xfId="37014" xr:uid="{00000000-0005-0000-0000-000096900000}"/>
    <cellStyle name="常规 2 6 2 6 2" xfId="37015" xr:uid="{00000000-0005-0000-0000-000097900000}"/>
    <cellStyle name="常规 2 6 2 6 2 2" xfId="37016" xr:uid="{00000000-0005-0000-0000-000098900000}"/>
    <cellStyle name="常规 2 6 2 7" xfId="37017" xr:uid="{00000000-0005-0000-0000-000099900000}"/>
    <cellStyle name="常规 2 6 2 7 2" xfId="37018" xr:uid="{00000000-0005-0000-0000-00009A900000}"/>
    <cellStyle name="常规 2 6 2 7 2 2" xfId="37019" xr:uid="{00000000-0005-0000-0000-00009B900000}"/>
    <cellStyle name="常规 2 6 2 8" xfId="37020" xr:uid="{00000000-0005-0000-0000-00009C900000}"/>
    <cellStyle name="常规 2 6 2 8 2" xfId="37021" xr:uid="{00000000-0005-0000-0000-00009D900000}"/>
    <cellStyle name="常规 2 6 2 8 2 2" xfId="37022" xr:uid="{00000000-0005-0000-0000-00009E900000}"/>
    <cellStyle name="常规 2 6 2 9" xfId="37023" xr:uid="{00000000-0005-0000-0000-00009F900000}"/>
    <cellStyle name="常规 2 6 2 9 2" xfId="37024" xr:uid="{00000000-0005-0000-0000-0000A0900000}"/>
    <cellStyle name="常规 2 6 2 9 3" xfId="37025" xr:uid="{00000000-0005-0000-0000-0000A1900000}"/>
    <cellStyle name="常规 2 6 3" xfId="37026" xr:uid="{00000000-0005-0000-0000-0000A2900000}"/>
    <cellStyle name="常规 2 6 3 10" xfId="37027" xr:uid="{00000000-0005-0000-0000-0000A3900000}"/>
    <cellStyle name="常规 2 6 3 2" xfId="37028" xr:uid="{00000000-0005-0000-0000-0000A4900000}"/>
    <cellStyle name="常规 2 6 3 2 10" xfId="37029" xr:uid="{00000000-0005-0000-0000-0000A5900000}"/>
    <cellStyle name="常规 2 6 3 2 2" xfId="37030" xr:uid="{00000000-0005-0000-0000-0000A6900000}"/>
    <cellStyle name="常规 2 6 3 2 2 2" xfId="37031" xr:uid="{00000000-0005-0000-0000-0000A7900000}"/>
    <cellStyle name="常规 2 6 3 2 2 2 2" xfId="37032" xr:uid="{00000000-0005-0000-0000-0000A8900000}"/>
    <cellStyle name="常规 2 6 3 2 2 2 2 2" xfId="37033" xr:uid="{00000000-0005-0000-0000-0000A9900000}"/>
    <cellStyle name="常规 2 6 3 2 2 2 2 3" xfId="37034" xr:uid="{00000000-0005-0000-0000-0000AA900000}"/>
    <cellStyle name="常规 2 6 3 2 2 2 2 4" xfId="37035" xr:uid="{00000000-0005-0000-0000-0000AB900000}"/>
    <cellStyle name="常规 2 6 3 2 2 2 3" xfId="37036" xr:uid="{00000000-0005-0000-0000-0000AC900000}"/>
    <cellStyle name="常规 2 6 3 2 2 2 4" xfId="37037" xr:uid="{00000000-0005-0000-0000-0000AD900000}"/>
    <cellStyle name="常规 2 6 3 2 2 2 5" xfId="37038" xr:uid="{00000000-0005-0000-0000-0000AE900000}"/>
    <cellStyle name="常规 2 6 3 2 2 3" xfId="37039" xr:uid="{00000000-0005-0000-0000-0000AF900000}"/>
    <cellStyle name="常规 2 6 3 2 2 3 2" xfId="37040" xr:uid="{00000000-0005-0000-0000-0000B0900000}"/>
    <cellStyle name="常规 2 6 3 2 2 3 2 2" xfId="37041" xr:uid="{00000000-0005-0000-0000-0000B1900000}"/>
    <cellStyle name="常规 2 6 3 2 2 3 2 3" xfId="37042" xr:uid="{00000000-0005-0000-0000-0000B2900000}"/>
    <cellStyle name="常规 2 6 3 2 2 3 2 4" xfId="37043" xr:uid="{00000000-0005-0000-0000-0000B3900000}"/>
    <cellStyle name="常规 2 6 3 2 2 3 3" xfId="37044" xr:uid="{00000000-0005-0000-0000-0000B4900000}"/>
    <cellStyle name="常规 2 6 3 2 2 3 4" xfId="37045" xr:uid="{00000000-0005-0000-0000-0000B5900000}"/>
    <cellStyle name="常规 2 6 3 2 2 3 5" xfId="37046" xr:uid="{00000000-0005-0000-0000-0000B6900000}"/>
    <cellStyle name="常规 2 6 3 2 2 4" xfId="37047" xr:uid="{00000000-0005-0000-0000-0000B7900000}"/>
    <cellStyle name="常规 2 6 3 2 2 4 2" xfId="37048" xr:uid="{00000000-0005-0000-0000-0000B8900000}"/>
    <cellStyle name="常规 2 6 3 2 2 4 3" xfId="37049" xr:uid="{00000000-0005-0000-0000-0000B9900000}"/>
    <cellStyle name="常规 2 6 3 2 2 4 4" xfId="37050" xr:uid="{00000000-0005-0000-0000-0000BA900000}"/>
    <cellStyle name="常规 2 6 3 2 2 5" xfId="37051" xr:uid="{00000000-0005-0000-0000-0000BB900000}"/>
    <cellStyle name="常规 2 6 3 2 2 6" xfId="37052" xr:uid="{00000000-0005-0000-0000-0000BC900000}"/>
    <cellStyle name="常规 2 6 3 2 2 7" xfId="37053" xr:uid="{00000000-0005-0000-0000-0000BD900000}"/>
    <cellStyle name="常规 2 6 3 2 2 8" xfId="37054" xr:uid="{00000000-0005-0000-0000-0000BE900000}"/>
    <cellStyle name="常规 2 6 3 2 2 8 2" xfId="37055" xr:uid="{00000000-0005-0000-0000-0000BF900000}"/>
    <cellStyle name="常规 2 6 3 2 3" xfId="37056" xr:uid="{00000000-0005-0000-0000-0000C0900000}"/>
    <cellStyle name="常规 2 6 3 2 3 2" xfId="37057" xr:uid="{00000000-0005-0000-0000-0000C1900000}"/>
    <cellStyle name="常规 2 6 3 2 3 2 2" xfId="37058" xr:uid="{00000000-0005-0000-0000-0000C2900000}"/>
    <cellStyle name="常规 2 6 3 2 3 2 3" xfId="37059" xr:uid="{00000000-0005-0000-0000-0000C3900000}"/>
    <cellStyle name="常规 2 6 3 2 3 2 4" xfId="37060" xr:uid="{00000000-0005-0000-0000-0000C4900000}"/>
    <cellStyle name="常规 2 6 3 2 3 3" xfId="37061" xr:uid="{00000000-0005-0000-0000-0000C5900000}"/>
    <cellStyle name="常规 2 6 3 2 3 4" xfId="37062" xr:uid="{00000000-0005-0000-0000-0000C6900000}"/>
    <cellStyle name="常规 2 6 3 2 3 5" xfId="37063" xr:uid="{00000000-0005-0000-0000-0000C7900000}"/>
    <cellStyle name="常规 2 6 3 2 3 6" xfId="37064" xr:uid="{00000000-0005-0000-0000-0000C8900000}"/>
    <cellStyle name="常规 2 6 3 2 3 6 2" xfId="37065" xr:uid="{00000000-0005-0000-0000-0000C9900000}"/>
    <cellStyle name="常规 2 6 3 2 4" xfId="37066" xr:uid="{00000000-0005-0000-0000-0000CA900000}"/>
    <cellStyle name="常规 2 6 3 2 4 2" xfId="37067" xr:uid="{00000000-0005-0000-0000-0000CB900000}"/>
    <cellStyle name="常规 2 6 3 2 4 2 2" xfId="37068" xr:uid="{00000000-0005-0000-0000-0000CC900000}"/>
    <cellStyle name="常规 2 6 3 2 4 2 3" xfId="37069" xr:uid="{00000000-0005-0000-0000-0000CD900000}"/>
    <cellStyle name="常规 2 6 3 2 4 2 4" xfId="37070" xr:uid="{00000000-0005-0000-0000-0000CE900000}"/>
    <cellStyle name="常规 2 6 3 2 4 2 5" xfId="37071" xr:uid="{00000000-0005-0000-0000-0000CF900000}"/>
    <cellStyle name="常规 2 6 3 2 4 3" xfId="37072" xr:uid="{00000000-0005-0000-0000-0000D0900000}"/>
    <cellStyle name="常规 2 6 3 2 4 4" xfId="37073" xr:uid="{00000000-0005-0000-0000-0000D1900000}"/>
    <cellStyle name="常规 2 6 3 2 4 5" xfId="37074" xr:uid="{00000000-0005-0000-0000-0000D2900000}"/>
    <cellStyle name="常规 2 6 3 2 4 6" xfId="37075" xr:uid="{00000000-0005-0000-0000-0000D3900000}"/>
    <cellStyle name="常规 2 6 3 2 5" xfId="37076" xr:uid="{00000000-0005-0000-0000-0000D4900000}"/>
    <cellStyle name="常规 2 6 3 2 5 2" xfId="37077" xr:uid="{00000000-0005-0000-0000-0000D5900000}"/>
    <cellStyle name="常规 2 6 3 2 5 2 2" xfId="37078" xr:uid="{00000000-0005-0000-0000-0000D6900000}"/>
    <cellStyle name="常规 2 6 3 2 5 3" xfId="37079" xr:uid="{00000000-0005-0000-0000-0000D7900000}"/>
    <cellStyle name="常规 2 6 3 2 5 4" xfId="37080" xr:uid="{00000000-0005-0000-0000-0000D8900000}"/>
    <cellStyle name="常规 2 6 3 2 5 5" xfId="37081" xr:uid="{00000000-0005-0000-0000-0000D9900000}"/>
    <cellStyle name="常规 2 6 3 2 6" xfId="37082" xr:uid="{00000000-0005-0000-0000-0000DA900000}"/>
    <cellStyle name="常规 2 6 3 2 7" xfId="37083" xr:uid="{00000000-0005-0000-0000-0000DB900000}"/>
    <cellStyle name="常规 2 6 3 2 8" xfId="37084" xr:uid="{00000000-0005-0000-0000-0000DC900000}"/>
    <cellStyle name="常规 2 6 3 2 9" xfId="37085" xr:uid="{00000000-0005-0000-0000-0000DD900000}"/>
    <cellStyle name="常规 2 6 3 2 9 2" xfId="37086" xr:uid="{00000000-0005-0000-0000-0000DE900000}"/>
    <cellStyle name="常规 2 6 3 3" xfId="37087" xr:uid="{00000000-0005-0000-0000-0000DF900000}"/>
    <cellStyle name="常规 2 6 3 3 2" xfId="37088" xr:uid="{00000000-0005-0000-0000-0000E0900000}"/>
    <cellStyle name="常规 2 6 3 3 2 2" xfId="37089" xr:uid="{00000000-0005-0000-0000-0000E1900000}"/>
    <cellStyle name="常规 2 6 3 3 2 2 2" xfId="37090" xr:uid="{00000000-0005-0000-0000-0000E2900000}"/>
    <cellStyle name="常规 2 6 3 3 2 3" xfId="37091" xr:uid="{00000000-0005-0000-0000-0000E3900000}"/>
    <cellStyle name="常规 2 6 3 3 2 4" xfId="37092" xr:uid="{00000000-0005-0000-0000-0000E4900000}"/>
    <cellStyle name="常规 2 6 3 3 2 5" xfId="37093" xr:uid="{00000000-0005-0000-0000-0000E5900000}"/>
    <cellStyle name="常规 2 6 3 3 2 5 2" xfId="37094" xr:uid="{00000000-0005-0000-0000-0000E6900000}"/>
    <cellStyle name="常规 2 6 3 3 2 6" xfId="37095" xr:uid="{00000000-0005-0000-0000-0000E7900000}"/>
    <cellStyle name="常规 2 6 3 3 3" xfId="37096" xr:uid="{00000000-0005-0000-0000-0000E8900000}"/>
    <cellStyle name="常规 2 6 3 3 3 2" xfId="37097" xr:uid="{00000000-0005-0000-0000-0000E9900000}"/>
    <cellStyle name="常规 2 6 3 3 3 2 2" xfId="37098" xr:uid="{00000000-0005-0000-0000-0000EA900000}"/>
    <cellStyle name="常规 2 6 3 3 4" xfId="37099" xr:uid="{00000000-0005-0000-0000-0000EB900000}"/>
    <cellStyle name="常规 2 6 3 3 4 2" xfId="37100" xr:uid="{00000000-0005-0000-0000-0000EC900000}"/>
    <cellStyle name="常规 2 6 3 3 4 3" xfId="37101" xr:uid="{00000000-0005-0000-0000-0000ED900000}"/>
    <cellStyle name="常规 2 6 3 3 5" xfId="37102" xr:uid="{00000000-0005-0000-0000-0000EE900000}"/>
    <cellStyle name="常规 2 6 3 3 5 2" xfId="37103" xr:uid="{00000000-0005-0000-0000-0000EF900000}"/>
    <cellStyle name="常规 2 6 3 3 6" xfId="37104" xr:uid="{00000000-0005-0000-0000-0000F0900000}"/>
    <cellStyle name="常规 2 6 3 3 6 2" xfId="37105" xr:uid="{00000000-0005-0000-0000-0000F1900000}"/>
    <cellStyle name="常规 2 6 3 3 7" xfId="37106" xr:uid="{00000000-0005-0000-0000-0000F2900000}"/>
    <cellStyle name="常规 2 6 3 4" xfId="37107" xr:uid="{00000000-0005-0000-0000-0000F3900000}"/>
    <cellStyle name="常规 2 6 3 4 2" xfId="37108" xr:uid="{00000000-0005-0000-0000-0000F4900000}"/>
    <cellStyle name="常规 2 6 3 4 2 2" xfId="37109" xr:uid="{00000000-0005-0000-0000-0000F5900000}"/>
    <cellStyle name="常规 2 6 3 4 2 3" xfId="37110" xr:uid="{00000000-0005-0000-0000-0000F6900000}"/>
    <cellStyle name="常规 2 6 3 4 2 4" xfId="37111" xr:uid="{00000000-0005-0000-0000-0000F7900000}"/>
    <cellStyle name="常规 2 6 3 4 3" xfId="37112" xr:uid="{00000000-0005-0000-0000-0000F8900000}"/>
    <cellStyle name="常规 2 6 3 4 4" xfId="37113" xr:uid="{00000000-0005-0000-0000-0000F9900000}"/>
    <cellStyle name="常规 2 6 3 4 5" xfId="37114" xr:uid="{00000000-0005-0000-0000-0000FA900000}"/>
    <cellStyle name="常规 2 6 3 4 6" xfId="37115" xr:uid="{00000000-0005-0000-0000-0000FB900000}"/>
    <cellStyle name="常规 2 6 3 4 6 2" xfId="37116" xr:uid="{00000000-0005-0000-0000-0000FC900000}"/>
    <cellStyle name="常规 2 6 3 5" xfId="37117" xr:uid="{00000000-0005-0000-0000-0000FD900000}"/>
    <cellStyle name="常规 2 6 3 5 2" xfId="37118" xr:uid="{00000000-0005-0000-0000-0000FE900000}"/>
    <cellStyle name="常规 2 6 3 5 3" xfId="37119" xr:uid="{00000000-0005-0000-0000-0000FF900000}"/>
    <cellStyle name="常规 2 6 3 5 4" xfId="37120" xr:uid="{00000000-0005-0000-0000-000000910000}"/>
    <cellStyle name="常规 2 6 3 5 5" xfId="37121" xr:uid="{00000000-0005-0000-0000-000001910000}"/>
    <cellStyle name="常规 2 6 3 5 5 2" xfId="37122" xr:uid="{00000000-0005-0000-0000-000002910000}"/>
    <cellStyle name="常规 2 6 3 6" xfId="37123" xr:uid="{00000000-0005-0000-0000-000003910000}"/>
    <cellStyle name="常规 2 6 3 6 2" xfId="37124" xr:uid="{00000000-0005-0000-0000-000004910000}"/>
    <cellStyle name="常规 2 6 3 6 2 2" xfId="37125" xr:uid="{00000000-0005-0000-0000-000005910000}"/>
    <cellStyle name="常规 2 6 3 7" xfId="37126" xr:uid="{00000000-0005-0000-0000-000006910000}"/>
    <cellStyle name="常规 2 6 3 7 2" xfId="37127" xr:uid="{00000000-0005-0000-0000-000007910000}"/>
    <cellStyle name="常规 2 6 3 7 2 2" xfId="37128" xr:uid="{00000000-0005-0000-0000-000008910000}"/>
    <cellStyle name="常规 2 6 3 8" xfId="37129" xr:uid="{00000000-0005-0000-0000-000009910000}"/>
    <cellStyle name="常规 2 6 3 8 2" xfId="37130" xr:uid="{00000000-0005-0000-0000-00000A910000}"/>
    <cellStyle name="常规 2 6 3 8 3" xfId="37131" xr:uid="{00000000-0005-0000-0000-00000B910000}"/>
    <cellStyle name="常规 2 6 3 9" xfId="37132" xr:uid="{00000000-0005-0000-0000-00000C910000}"/>
    <cellStyle name="常规 2 6 3 9 2" xfId="37133" xr:uid="{00000000-0005-0000-0000-00000D910000}"/>
    <cellStyle name="常规 2 6 4" xfId="37134" xr:uid="{00000000-0005-0000-0000-00000E910000}"/>
    <cellStyle name="常规 2 6 4 10" xfId="37135" xr:uid="{00000000-0005-0000-0000-00000F910000}"/>
    <cellStyle name="常规 2 6 4 2" xfId="37136" xr:uid="{00000000-0005-0000-0000-000010910000}"/>
    <cellStyle name="常规 2 6 4 2 10" xfId="37137" xr:uid="{00000000-0005-0000-0000-000011910000}"/>
    <cellStyle name="常规 2 6 4 2 2" xfId="37138" xr:uid="{00000000-0005-0000-0000-000012910000}"/>
    <cellStyle name="常规 2 6 4 2 2 2" xfId="37139" xr:uid="{00000000-0005-0000-0000-000013910000}"/>
    <cellStyle name="常规 2 6 4 2 2 2 2" xfId="37140" xr:uid="{00000000-0005-0000-0000-000014910000}"/>
    <cellStyle name="常规 2 6 4 2 2 2 2 2" xfId="37141" xr:uid="{00000000-0005-0000-0000-000015910000}"/>
    <cellStyle name="常规 2 6 4 2 2 2 2 3" xfId="37142" xr:uid="{00000000-0005-0000-0000-000016910000}"/>
    <cellStyle name="常规 2 6 4 2 2 2 2 4" xfId="37143" xr:uid="{00000000-0005-0000-0000-000017910000}"/>
    <cellStyle name="常规 2 6 4 2 2 2 3" xfId="37144" xr:uid="{00000000-0005-0000-0000-000018910000}"/>
    <cellStyle name="常规 2 6 4 2 2 2 4" xfId="37145" xr:uid="{00000000-0005-0000-0000-000019910000}"/>
    <cellStyle name="常规 2 6 4 2 2 2 5" xfId="37146" xr:uid="{00000000-0005-0000-0000-00001A910000}"/>
    <cellStyle name="常规 2 6 4 2 2 3" xfId="37147" xr:uid="{00000000-0005-0000-0000-00001B910000}"/>
    <cellStyle name="常规 2 6 4 2 2 3 2" xfId="37148" xr:uid="{00000000-0005-0000-0000-00001C910000}"/>
    <cellStyle name="常规 2 6 4 2 2 3 2 2" xfId="37149" xr:uid="{00000000-0005-0000-0000-00001D910000}"/>
    <cellStyle name="常规 2 6 4 2 2 3 2 3" xfId="37150" xr:uid="{00000000-0005-0000-0000-00001E910000}"/>
    <cellStyle name="常规 2 6 4 2 2 3 2 4" xfId="37151" xr:uid="{00000000-0005-0000-0000-00001F910000}"/>
    <cellStyle name="常规 2 6 4 2 2 3 3" xfId="37152" xr:uid="{00000000-0005-0000-0000-000020910000}"/>
    <cellStyle name="常规 2 6 4 2 2 3 4" xfId="37153" xr:uid="{00000000-0005-0000-0000-000021910000}"/>
    <cellStyle name="常规 2 6 4 2 2 3 5" xfId="37154" xr:uid="{00000000-0005-0000-0000-000022910000}"/>
    <cellStyle name="常规 2 6 4 2 2 4" xfId="37155" xr:uid="{00000000-0005-0000-0000-000023910000}"/>
    <cellStyle name="常规 2 6 4 2 2 4 2" xfId="37156" xr:uid="{00000000-0005-0000-0000-000024910000}"/>
    <cellStyle name="常规 2 6 4 2 2 4 3" xfId="37157" xr:uid="{00000000-0005-0000-0000-000025910000}"/>
    <cellStyle name="常规 2 6 4 2 2 4 4" xfId="37158" xr:uid="{00000000-0005-0000-0000-000026910000}"/>
    <cellStyle name="常规 2 6 4 2 2 5" xfId="37159" xr:uid="{00000000-0005-0000-0000-000027910000}"/>
    <cellStyle name="常规 2 6 4 2 2 6" xfId="37160" xr:uid="{00000000-0005-0000-0000-000028910000}"/>
    <cellStyle name="常规 2 6 4 2 2 7" xfId="37161" xr:uid="{00000000-0005-0000-0000-000029910000}"/>
    <cellStyle name="常规 2 6 4 2 2 8" xfId="37162" xr:uid="{00000000-0005-0000-0000-00002A910000}"/>
    <cellStyle name="常规 2 6 4 2 2 8 2" xfId="37163" xr:uid="{00000000-0005-0000-0000-00002B910000}"/>
    <cellStyle name="常规 2 6 4 2 3" xfId="37164" xr:uid="{00000000-0005-0000-0000-00002C910000}"/>
    <cellStyle name="常规 2 6 4 2 3 2" xfId="37165" xr:uid="{00000000-0005-0000-0000-00002D910000}"/>
    <cellStyle name="常规 2 6 4 2 3 2 2" xfId="37166" xr:uid="{00000000-0005-0000-0000-00002E910000}"/>
    <cellStyle name="常规 2 6 4 2 3 2 3" xfId="37167" xr:uid="{00000000-0005-0000-0000-00002F910000}"/>
    <cellStyle name="常规 2 6 4 2 3 2 4" xfId="37168" xr:uid="{00000000-0005-0000-0000-000030910000}"/>
    <cellStyle name="常规 2 6 4 2 3 3" xfId="37169" xr:uid="{00000000-0005-0000-0000-000031910000}"/>
    <cellStyle name="常规 2 6 4 2 3 4" xfId="37170" xr:uid="{00000000-0005-0000-0000-000032910000}"/>
    <cellStyle name="常规 2 6 4 2 3 5" xfId="37171" xr:uid="{00000000-0005-0000-0000-000033910000}"/>
    <cellStyle name="常规 2 6 4 2 3 6" xfId="37172" xr:uid="{00000000-0005-0000-0000-000034910000}"/>
    <cellStyle name="常规 2 6 4 2 3 6 2" xfId="37173" xr:uid="{00000000-0005-0000-0000-000035910000}"/>
    <cellStyle name="常规 2 6 4 2 4" xfId="37174" xr:uid="{00000000-0005-0000-0000-000036910000}"/>
    <cellStyle name="常规 2 6 4 2 4 2" xfId="37175" xr:uid="{00000000-0005-0000-0000-000037910000}"/>
    <cellStyle name="常规 2 6 4 2 4 2 2" xfId="37176" xr:uid="{00000000-0005-0000-0000-000038910000}"/>
    <cellStyle name="常规 2 6 4 2 4 2 3" xfId="37177" xr:uid="{00000000-0005-0000-0000-000039910000}"/>
    <cellStyle name="常规 2 6 4 2 4 2 4" xfId="37178" xr:uid="{00000000-0005-0000-0000-00003A910000}"/>
    <cellStyle name="常规 2 6 4 2 4 2 5" xfId="37179" xr:uid="{00000000-0005-0000-0000-00003B910000}"/>
    <cellStyle name="常规 2 6 4 2 4 3" xfId="37180" xr:uid="{00000000-0005-0000-0000-00003C910000}"/>
    <cellStyle name="常规 2 6 4 2 4 4" xfId="37181" xr:uid="{00000000-0005-0000-0000-00003D910000}"/>
    <cellStyle name="常规 2 6 4 2 4 5" xfId="37182" xr:uid="{00000000-0005-0000-0000-00003E910000}"/>
    <cellStyle name="常规 2 6 4 2 4 6" xfId="37183" xr:uid="{00000000-0005-0000-0000-00003F910000}"/>
    <cellStyle name="常规 2 6 4 2 5" xfId="37184" xr:uid="{00000000-0005-0000-0000-000040910000}"/>
    <cellStyle name="常规 2 6 4 2 5 2" xfId="37185" xr:uid="{00000000-0005-0000-0000-000041910000}"/>
    <cellStyle name="常规 2 6 4 2 5 2 2" xfId="37186" xr:uid="{00000000-0005-0000-0000-000042910000}"/>
    <cellStyle name="常规 2 6 4 2 5 3" xfId="37187" xr:uid="{00000000-0005-0000-0000-000043910000}"/>
    <cellStyle name="常规 2 6 4 2 5 4" xfId="37188" xr:uid="{00000000-0005-0000-0000-000044910000}"/>
    <cellStyle name="常规 2 6 4 2 5 5" xfId="37189" xr:uid="{00000000-0005-0000-0000-000045910000}"/>
    <cellStyle name="常规 2 6 4 2 6" xfId="37190" xr:uid="{00000000-0005-0000-0000-000046910000}"/>
    <cellStyle name="常规 2 6 4 2 7" xfId="37191" xr:uid="{00000000-0005-0000-0000-000047910000}"/>
    <cellStyle name="常规 2 6 4 2 8" xfId="37192" xr:uid="{00000000-0005-0000-0000-000048910000}"/>
    <cellStyle name="常规 2 6 4 2 9" xfId="37193" xr:uid="{00000000-0005-0000-0000-000049910000}"/>
    <cellStyle name="常规 2 6 4 2 9 2" xfId="37194" xr:uid="{00000000-0005-0000-0000-00004A910000}"/>
    <cellStyle name="常规 2 6 4 3" xfId="37195" xr:uid="{00000000-0005-0000-0000-00004B910000}"/>
    <cellStyle name="常规 2 6 4 3 2" xfId="37196" xr:uid="{00000000-0005-0000-0000-00004C910000}"/>
    <cellStyle name="常规 2 6 4 3 2 2" xfId="37197" xr:uid="{00000000-0005-0000-0000-00004D910000}"/>
    <cellStyle name="常规 2 6 4 3 2 3" xfId="37198" xr:uid="{00000000-0005-0000-0000-00004E910000}"/>
    <cellStyle name="常规 2 6 4 3 2 4" xfId="37199" xr:uid="{00000000-0005-0000-0000-00004F910000}"/>
    <cellStyle name="常规 2 6 4 3 3" xfId="37200" xr:uid="{00000000-0005-0000-0000-000050910000}"/>
    <cellStyle name="常规 2 6 4 3 4" xfId="37201" xr:uid="{00000000-0005-0000-0000-000051910000}"/>
    <cellStyle name="常规 2 6 4 3 5" xfId="37202" xr:uid="{00000000-0005-0000-0000-000052910000}"/>
    <cellStyle name="常规 2 6 4 3 6" xfId="37203" xr:uid="{00000000-0005-0000-0000-000053910000}"/>
    <cellStyle name="常规 2 6 4 3 6 2" xfId="37204" xr:uid="{00000000-0005-0000-0000-000054910000}"/>
    <cellStyle name="常规 2 6 4 4" xfId="37205" xr:uid="{00000000-0005-0000-0000-000055910000}"/>
    <cellStyle name="常规 2 6 4 4 2" xfId="37206" xr:uid="{00000000-0005-0000-0000-000056910000}"/>
    <cellStyle name="常规 2 6 4 4 2 2" xfId="37207" xr:uid="{00000000-0005-0000-0000-000057910000}"/>
    <cellStyle name="常规 2 6 4 4 2 3" xfId="37208" xr:uid="{00000000-0005-0000-0000-000058910000}"/>
    <cellStyle name="常规 2 6 4 4 2 4" xfId="37209" xr:uid="{00000000-0005-0000-0000-000059910000}"/>
    <cellStyle name="常规 2 6 4 4 3" xfId="37210" xr:uid="{00000000-0005-0000-0000-00005A910000}"/>
    <cellStyle name="常规 2 6 4 4 4" xfId="37211" xr:uid="{00000000-0005-0000-0000-00005B910000}"/>
    <cellStyle name="常规 2 6 4 4 5" xfId="37212" xr:uid="{00000000-0005-0000-0000-00005C910000}"/>
    <cellStyle name="常规 2 6 4 4 6" xfId="37213" xr:uid="{00000000-0005-0000-0000-00005D910000}"/>
    <cellStyle name="常规 2 6 4 4 6 2" xfId="37214" xr:uid="{00000000-0005-0000-0000-00005E910000}"/>
    <cellStyle name="常规 2 6 4 5" xfId="37215" xr:uid="{00000000-0005-0000-0000-00005F910000}"/>
    <cellStyle name="常规 2 6 4 5 2" xfId="37216" xr:uid="{00000000-0005-0000-0000-000060910000}"/>
    <cellStyle name="常规 2 6 4 5 3" xfId="37217" xr:uid="{00000000-0005-0000-0000-000061910000}"/>
    <cellStyle name="常规 2 6 4 5 4" xfId="37218" xr:uid="{00000000-0005-0000-0000-000062910000}"/>
    <cellStyle name="常规 2 6 4 5 5" xfId="37219" xr:uid="{00000000-0005-0000-0000-000063910000}"/>
    <cellStyle name="常规 2 6 4 5 5 2" xfId="37220" xr:uid="{00000000-0005-0000-0000-000064910000}"/>
    <cellStyle name="常规 2 6 4 6" xfId="37221" xr:uid="{00000000-0005-0000-0000-000065910000}"/>
    <cellStyle name="常规 2 6 4 6 2" xfId="37222" xr:uid="{00000000-0005-0000-0000-000066910000}"/>
    <cellStyle name="常规 2 6 4 6 2 2" xfId="37223" xr:uid="{00000000-0005-0000-0000-000067910000}"/>
    <cellStyle name="常规 2 6 4 7" xfId="37224" xr:uid="{00000000-0005-0000-0000-000068910000}"/>
    <cellStyle name="常规 2 6 4 7 2" xfId="37225" xr:uid="{00000000-0005-0000-0000-000069910000}"/>
    <cellStyle name="常规 2 6 4 7 2 2" xfId="37226" xr:uid="{00000000-0005-0000-0000-00006A910000}"/>
    <cellStyle name="常规 2 6 4 8" xfId="37227" xr:uid="{00000000-0005-0000-0000-00006B910000}"/>
    <cellStyle name="常规 2 6 4 8 2" xfId="37228" xr:uid="{00000000-0005-0000-0000-00006C910000}"/>
    <cellStyle name="常规 2 6 4 8 3" xfId="37229" xr:uid="{00000000-0005-0000-0000-00006D910000}"/>
    <cellStyle name="常规 2 6 4 9" xfId="37230" xr:uid="{00000000-0005-0000-0000-00006E910000}"/>
    <cellStyle name="常规 2 6 4 9 2" xfId="37231" xr:uid="{00000000-0005-0000-0000-00006F910000}"/>
    <cellStyle name="常规 2 6 5" xfId="37232" xr:uid="{00000000-0005-0000-0000-000070910000}"/>
    <cellStyle name="常规 2 6 5 10" xfId="37233" xr:uid="{00000000-0005-0000-0000-000071910000}"/>
    <cellStyle name="常规 2 6 5 2" xfId="37234" xr:uid="{00000000-0005-0000-0000-000072910000}"/>
    <cellStyle name="常规 2 6 5 2 10" xfId="37235" xr:uid="{00000000-0005-0000-0000-000073910000}"/>
    <cellStyle name="常规 2 6 5 2 2" xfId="37236" xr:uid="{00000000-0005-0000-0000-000074910000}"/>
    <cellStyle name="常规 2 6 5 2 2 2" xfId="37237" xr:uid="{00000000-0005-0000-0000-000075910000}"/>
    <cellStyle name="常规 2 6 5 2 2 2 2" xfId="37238" xr:uid="{00000000-0005-0000-0000-000076910000}"/>
    <cellStyle name="常规 2 6 5 2 2 2 2 2" xfId="37239" xr:uid="{00000000-0005-0000-0000-000077910000}"/>
    <cellStyle name="常规 2 6 5 2 2 2 2 3" xfId="37240" xr:uid="{00000000-0005-0000-0000-000078910000}"/>
    <cellStyle name="常规 2 6 5 2 2 2 2 4" xfId="37241" xr:uid="{00000000-0005-0000-0000-000079910000}"/>
    <cellStyle name="常规 2 6 5 2 2 2 3" xfId="37242" xr:uid="{00000000-0005-0000-0000-00007A910000}"/>
    <cellStyle name="常规 2 6 5 2 2 2 4" xfId="37243" xr:uid="{00000000-0005-0000-0000-00007B910000}"/>
    <cellStyle name="常规 2 6 5 2 2 2 5" xfId="37244" xr:uid="{00000000-0005-0000-0000-00007C910000}"/>
    <cellStyle name="常规 2 6 5 2 2 2 6" xfId="37245" xr:uid="{00000000-0005-0000-0000-00007D910000}"/>
    <cellStyle name="常规 2 6 5 2 2 3" xfId="37246" xr:uid="{00000000-0005-0000-0000-00007E910000}"/>
    <cellStyle name="常规 2 6 5 2 2 3 2" xfId="37247" xr:uid="{00000000-0005-0000-0000-00007F910000}"/>
    <cellStyle name="常规 2 6 5 2 2 3 2 2" xfId="37248" xr:uid="{00000000-0005-0000-0000-000080910000}"/>
    <cellStyle name="常规 2 6 5 2 2 3 2 3" xfId="37249" xr:uid="{00000000-0005-0000-0000-000081910000}"/>
    <cellStyle name="常规 2 6 5 2 2 3 2 4" xfId="37250" xr:uid="{00000000-0005-0000-0000-000082910000}"/>
    <cellStyle name="常规 2 6 5 2 2 3 3" xfId="37251" xr:uid="{00000000-0005-0000-0000-000083910000}"/>
    <cellStyle name="常规 2 6 5 2 2 3 4" xfId="37252" xr:uid="{00000000-0005-0000-0000-000084910000}"/>
    <cellStyle name="常规 2 6 5 2 2 3 5" xfId="37253" xr:uid="{00000000-0005-0000-0000-000085910000}"/>
    <cellStyle name="常规 2 6 5 2 2 4" xfId="37254" xr:uid="{00000000-0005-0000-0000-000086910000}"/>
    <cellStyle name="常规 2 6 5 2 2 4 2" xfId="37255" xr:uid="{00000000-0005-0000-0000-000087910000}"/>
    <cellStyle name="常规 2 6 5 2 2 4 3" xfId="37256" xr:uid="{00000000-0005-0000-0000-000088910000}"/>
    <cellStyle name="常规 2 6 5 2 2 4 4" xfId="37257" xr:uid="{00000000-0005-0000-0000-000089910000}"/>
    <cellStyle name="常规 2 6 5 2 2 5" xfId="37258" xr:uid="{00000000-0005-0000-0000-00008A910000}"/>
    <cellStyle name="常规 2 6 5 2 2 6" xfId="37259" xr:uid="{00000000-0005-0000-0000-00008B910000}"/>
    <cellStyle name="常规 2 6 5 2 2 7" xfId="37260" xr:uid="{00000000-0005-0000-0000-00008C910000}"/>
    <cellStyle name="常规 2 6 5 2 2 8" xfId="37261" xr:uid="{00000000-0005-0000-0000-00008D910000}"/>
    <cellStyle name="常规 2 6 5 2 2 8 2" xfId="37262" xr:uid="{00000000-0005-0000-0000-00008E910000}"/>
    <cellStyle name="常规 2 6 5 2 2 9" xfId="37263" xr:uid="{00000000-0005-0000-0000-00008F910000}"/>
    <cellStyle name="常规 2 6 5 2 3" xfId="37264" xr:uid="{00000000-0005-0000-0000-000090910000}"/>
    <cellStyle name="常规 2 6 5 2 3 2" xfId="37265" xr:uid="{00000000-0005-0000-0000-000091910000}"/>
    <cellStyle name="常规 2 6 5 2 3 2 2" xfId="37266" xr:uid="{00000000-0005-0000-0000-000092910000}"/>
    <cellStyle name="常规 2 6 5 2 3 2 3" xfId="37267" xr:uid="{00000000-0005-0000-0000-000093910000}"/>
    <cellStyle name="常规 2 6 5 2 3 2 4" xfId="37268" xr:uid="{00000000-0005-0000-0000-000094910000}"/>
    <cellStyle name="常规 2 6 5 2 3 2 5" xfId="37269" xr:uid="{00000000-0005-0000-0000-000095910000}"/>
    <cellStyle name="常规 2 6 5 2 3 3" xfId="37270" xr:uid="{00000000-0005-0000-0000-000096910000}"/>
    <cellStyle name="常规 2 6 5 2 3 4" xfId="37271" xr:uid="{00000000-0005-0000-0000-000097910000}"/>
    <cellStyle name="常规 2 6 5 2 3 5" xfId="37272" xr:uid="{00000000-0005-0000-0000-000098910000}"/>
    <cellStyle name="常规 2 6 5 2 3 6" xfId="37273" xr:uid="{00000000-0005-0000-0000-000099910000}"/>
    <cellStyle name="常规 2 6 5 2 4" xfId="37274" xr:uid="{00000000-0005-0000-0000-00009A910000}"/>
    <cellStyle name="常规 2 6 5 2 4 2" xfId="37275" xr:uid="{00000000-0005-0000-0000-00009B910000}"/>
    <cellStyle name="常规 2 6 5 2 4 2 2" xfId="37276" xr:uid="{00000000-0005-0000-0000-00009C910000}"/>
    <cellStyle name="常规 2 6 5 2 4 2 3" xfId="37277" xr:uid="{00000000-0005-0000-0000-00009D910000}"/>
    <cellStyle name="常规 2 6 5 2 4 2 4" xfId="37278" xr:uid="{00000000-0005-0000-0000-00009E910000}"/>
    <cellStyle name="常规 2 6 5 2 4 2 5" xfId="37279" xr:uid="{00000000-0005-0000-0000-00009F910000}"/>
    <cellStyle name="常规 2 6 5 2 4 3" xfId="37280" xr:uid="{00000000-0005-0000-0000-0000A0910000}"/>
    <cellStyle name="常规 2 6 5 2 4 4" xfId="37281" xr:uid="{00000000-0005-0000-0000-0000A1910000}"/>
    <cellStyle name="常规 2 6 5 2 4 5" xfId="37282" xr:uid="{00000000-0005-0000-0000-0000A2910000}"/>
    <cellStyle name="常规 2 6 5 2 4 6" xfId="37283" xr:uid="{00000000-0005-0000-0000-0000A3910000}"/>
    <cellStyle name="常规 2 6 5 2 5" xfId="37284" xr:uid="{00000000-0005-0000-0000-0000A4910000}"/>
    <cellStyle name="常规 2 6 5 2 5 2" xfId="37285" xr:uid="{00000000-0005-0000-0000-0000A5910000}"/>
    <cellStyle name="常规 2 6 5 2 5 3" xfId="37286" xr:uid="{00000000-0005-0000-0000-0000A6910000}"/>
    <cellStyle name="常规 2 6 5 2 5 4" xfId="37287" xr:uid="{00000000-0005-0000-0000-0000A7910000}"/>
    <cellStyle name="常规 2 6 5 2 5 5" xfId="37288" xr:uid="{00000000-0005-0000-0000-0000A8910000}"/>
    <cellStyle name="常规 2 6 5 2 6" xfId="37289" xr:uid="{00000000-0005-0000-0000-0000A9910000}"/>
    <cellStyle name="常规 2 6 5 2 7" xfId="37290" xr:uid="{00000000-0005-0000-0000-0000AA910000}"/>
    <cellStyle name="常规 2 6 5 2 8" xfId="37291" xr:uid="{00000000-0005-0000-0000-0000AB910000}"/>
    <cellStyle name="常规 2 6 5 2 9" xfId="37292" xr:uid="{00000000-0005-0000-0000-0000AC910000}"/>
    <cellStyle name="常规 2 6 5 2 9 2" xfId="37293" xr:uid="{00000000-0005-0000-0000-0000AD910000}"/>
    <cellStyle name="常规 2 6 5 3" xfId="37294" xr:uid="{00000000-0005-0000-0000-0000AE910000}"/>
    <cellStyle name="常规 2 6 5 3 2" xfId="37295" xr:uid="{00000000-0005-0000-0000-0000AF910000}"/>
    <cellStyle name="常规 2 6 5 3 2 2" xfId="37296" xr:uid="{00000000-0005-0000-0000-0000B0910000}"/>
    <cellStyle name="常规 2 6 5 3 2 3" xfId="37297" xr:uid="{00000000-0005-0000-0000-0000B1910000}"/>
    <cellStyle name="常规 2 6 5 3 2 4" xfId="37298" xr:uid="{00000000-0005-0000-0000-0000B2910000}"/>
    <cellStyle name="常规 2 6 5 3 3" xfId="37299" xr:uid="{00000000-0005-0000-0000-0000B3910000}"/>
    <cellStyle name="常规 2 6 5 3 4" xfId="37300" xr:uid="{00000000-0005-0000-0000-0000B4910000}"/>
    <cellStyle name="常规 2 6 5 3 5" xfId="37301" xr:uid="{00000000-0005-0000-0000-0000B5910000}"/>
    <cellStyle name="常规 2 6 5 3 6" xfId="37302" xr:uid="{00000000-0005-0000-0000-0000B6910000}"/>
    <cellStyle name="常规 2 6 5 3 6 2" xfId="37303" xr:uid="{00000000-0005-0000-0000-0000B7910000}"/>
    <cellStyle name="常规 2 6 5 4" xfId="37304" xr:uid="{00000000-0005-0000-0000-0000B8910000}"/>
    <cellStyle name="常规 2 6 5 4 2" xfId="37305" xr:uid="{00000000-0005-0000-0000-0000B9910000}"/>
    <cellStyle name="常规 2 6 5 4 2 2" xfId="37306" xr:uid="{00000000-0005-0000-0000-0000BA910000}"/>
    <cellStyle name="常规 2 6 5 4 2 3" xfId="37307" xr:uid="{00000000-0005-0000-0000-0000BB910000}"/>
    <cellStyle name="常规 2 6 5 4 2 4" xfId="37308" xr:uid="{00000000-0005-0000-0000-0000BC910000}"/>
    <cellStyle name="常规 2 6 5 4 2 5" xfId="37309" xr:uid="{00000000-0005-0000-0000-0000BD910000}"/>
    <cellStyle name="常规 2 6 5 4 3" xfId="37310" xr:uid="{00000000-0005-0000-0000-0000BE910000}"/>
    <cellStyle name="常规 2 6 5 4 4" xfId="37311" xr:uid="{00000000-0005-0000-0000-0000BF910000}"/>
    <cellStyle name="常规 2 6 5 4 5" xfId="37312" xr:uid="{00000000-0005-0000-0000-0000C0910000}"/>
    <cellStyle name="常规 2 6 5 4 6" xfId="37313" xr:uid="{00000000-0005-0000-0000-0000C1910000}"/>
    <cellStyle name="常规 2 6 5 5" xfId="37314" xr:uid="{00000000-0005-0000-0000-0000C2910000}"/>
    <cellStyle name="常规 2 6 5 5 2" xfId="37315" xr:uid="{00000000-0005-0000-0000-0000C3910000}"/>
    <cellStyle name="常规 2 6 5 5 2 2" xfId="37316" xr:uid="{00000000-0005-0000-0000-0000C4910000}"/>
    <cellStyle name="常规 2 6 5 5 3" xfId="37317" xr:uid="{00000000-0005-0000-0000-0000C5910000}"/>
    <cellStyle name="常规 2 6 5 5 4" xfId="37318" xr:uid="{00000000-0005-0000-0000-0000C6910000}"/>
    <cellStyle name="常规 2 6 5 5 5" xfId="37319" xr:uid="{00000000-0005-0000-0000-0000C7910000}"/>
    <cellStyle name="常规 2 6 5 6" xfId="37320" xr:uid="{00000000-0005-0000-0000-0000C8910000}"/>
    <cellStyle name="常规 2 6 5 7" xfId="37321" xr:uid="{00000000-0005-0000-0000-0000C9910000}"/>
    <cellStyle name="常规 2 6 5 8" xfId="37322" xr:uid="{00000000-0005-0000-0000-0000CA910000}"/>
    <cellStyle name="常规 2 6 5 9" xfId="37323" xr:uid="{00000000-0005-0000-0000-0000CB910000}"/>
    <cellStyle name="常规 2 6 5 9 2" xfId="37324" xr:uid="{00000000-0005-0000-0000-0000CC910000}"/>
    <cellStyle name="常规 2 6 6" xfId="37325" xr:uid="{00000000-0005-0000-0000-0000CD910000}"/>
    <cellStyle name="常规 2 6 6 10" xfId="37326" xr:uid="{00000000-0005-0000-0000-0000CE910000}"/>
    <cellStyle name="常规 2 6 6 2" xfId="37327" xr:uid="{00000000-0005-0000-0000-0000CF910000}"/>
    <cellStyle name="常规 2 6 6 2 10" xfId="37328" xr:uid="{00000000-0005-0000-0000-0000D0910000}"/>
    <cellStyle name="常规 2 6 6 2 2" xfId="37329" xr:uid="{00000000-0005-0000-0000-0000D1910000}"/>
    <cellStyle name="常规 2 6 6 2 2 2" xfId="37330" xr:uid="{00000000-0005-0000-0000-0000D2910000}"/>
    <cellStyle name="常规 2 6 6 2 2 2 2" xfId="37331" xr:uid="{00000000-0005-0000-0000-0000D3910000}"/>
    <cellStyle name="常规 2 6 6 2 2 2 2 2" xfId="37332" xr:uid="{00000000-0005-0000-0000-0000D4910000}"/>
    <cellStyle name="常规 2 6 6 2 2 2 2 3" xfId="37333" xr:uid="{00000000-0005-0000-0000-0000D5910000}"/>
    <cellStyle name="常规 2 6 6 2 2 2 2 4" xfId="37334" xr:uid="{00000000-0005-0000-0000-0000D6910000}"/>
    <cellStyle name="常规 2 6 6 2 2 2 3" xfId="37335" xr:uid="{00000000-0005-0000-0000-0000D7910000}"/>
    <cellStyle name="常规 2 6 6 2 2 2 4" xfId="37336" xr:uid="{00000000-0005-0000-0000-0000D8910000}"/>
    <cellStyle name="常规 2 6 6 2 2 2 5" xfId="37337" xr:uid="{00000000-0005-0000-0000-0000D9910000}"/>
    <cellStyle name="常规 2 6 6 2 2 3" xfId="37338" xr:uid="{00000000-0005-0000-0000-0000DA910000}"/>
    <cellStyle name="常规 2 6 6 2 2 3 2" xfId="37339" xr:uid="{00000000-0005-0000-0000-0000DB910000}"/>
    <cellStyle name="常规 2 6 6 2 2 3 2 2" xfId="37340" xr:uid="{00000000-0005-0000-0000-0000DC910000}"/>
    <cellStyle name="常规 2 6 6 2 2 3 2 3" xfId="37341" xr:uid="{00000000-0005-0000-0000-0000DD910000}"/>
    <cellStyle name="常规 2 6 6 2 2 3 2 4" xfId="37342" xr:uid="{00000000-0005-0000-0000-0000DE910000}"/>
    <cellStyle name="常规 2 6 6 2 2 3 3" xfId="37343" xr:uid="{00000000-0005-0000-0000-0000DF910000}"/>
    <cellStyle name="常规 2 6 6 2 2 3 4" xfId="37344" xr:uid="{00000000-0005-0000-0000-0000E0910000}"/>
    <cellStyle name="常规 2 6 6 2 2 3 5" xfId="37345" xr:uid="{00000000-0005-0000-0000-0000E1910000}"/>
    <cellStyle name="常规 2 6 6 2 2 4" xfId="37346" xr:uid="{00000000-0005-0000-0000-0000E2910000}"/>
    <cellStyle name="常规 2 6 6 2 2 4 2" xfId="37347" xr:uid="{00000000-0005-0000-0000-0000E3910000}"/>
    <cellStyle name="常规 2 6 6 2 2 4 3" xfId="37348" xr:uid="{00000000-0005-0000-0000-0000E4910000}"/>
    <cellStyle name="常规 2 6 6 2 2 4 4" xfId="37349" xr:uid="{00000000-0005-0000-0000-0000E5910000}"/>
    <cellStyle name="常规 2 6 6 2 2 5" xfId="37350" xr:uid="{00000000-0005-0000-0000-0000E6910000}"/>
    <cellStyle name="常规 2 6 6 2 2 6" xfId="37351" xr:uid="{00000000-0005-0000-0000-0000E7910000}"/>
    <cellStyle name="常规 2 6 6 2 2 7" xfId="37352" xr:uid="{00000000-0005-0000-0000-0000E8910000}"/>
    <cellStyle name="常规 2 6 6 2 2 8" xfId="37353" xr:uid="{00000000-0005-0000-0000-0000E9910000}"/>
    <cellStyle name="常规 2 6 6 2 3" xfId="37354" xr:uid="{00000000-0005-0000-0000-0000EA910000}"/>
    <cellStyle name="常规 2 6 6 2 3 2" xfId="37355" xr:uid="{00000000-0005-0000-0000-0000EB910000}"/>
    <cellStyle name="常规 2 6 6 2 3 2 2" xfId="37356" xr:uid="{00000000-0005-0000-0000-0000EC910000}"/>
    <cellStyle name="常规 2 6 6 2 3 2 3" xfId="37357" xr:uid="{00000000-0005-0000-0000-0000ED910000}"/>
    <cellStyle name="常规 2 6 6 2 3 2 4" xfId="37358" xr:uid="{00000000-0005-0000-0000-0000EE910000}"/>
    <cellStyle name="常规 2 6 6 2 3 3" xfId="37359" xr:uid="{00000000-0005-0000-0000-0000EF910000}"/>
    <cellStyle name="常规 2 6 6 2 3 4" xfId="37360" xr:uid="{00000000-0005-0000-0000-0000F0910000}"/>
    <cellStyle name="常规 2 6 6 2 3 5" xfId="37361" xr:uid="{00000000-0005-0000-0000-0000F1910000}"/>
    <cellStyle name="常规 2 6 6 2 4" xfId="37362" xr:uid="{00000000-0005-0000-0000-0000F2910000}"/>
    <cellStyle name="常规 2 6 6 2 4 2" xfId="37363" xr:uid="{00000000-0005-0000-0000-0000F3910000}"/>
    <cellStyle name="常规 2 6 6 2 4 2 2" xfId="37364" xr:uid="{00000000-0005-0000-0000-0000F4910000}"/>
    <cellStyle name="常规 2 6 6 2 4 2 3" xfId="37365" xr:uid="{00000000-0005-0000-0000-0000F5910000}"/>
    <cellStyle name="常规 2 6 6 2 4 2 4" xfId="37366" xr:uid="{00000000-0005-0000-0000-0000F6910000}"/>
    <cellStyle name="常规 2 6 6 2 4 3" xfId="37367" xr:uid="{00000000-0005-0000-0000-0000F7910000}"/>
    <cellStyle name="常规 2 6 6 2 4 4" xfId="37368" xr:uid="{00000000-0005-0000-0000-0000F8910000}"/>
    <cellStyle name="常规 2 6 6 2 4 5" xfId="37369" xr:uid="{00000000-0005-0000-0000-0000F9910000}"/>
    <cellStyle name="常规 2 6 6 2 5" xfId="37370" xr:uid="{00000000-0005-0000-0000-0000FA910000}"/>
    <cellStyle name="常规 2 6 6 2 5 2" xfId="37371" xr:uid="{00000000-0005-0000-0000-0000FB910000}"/>
    <cellStyle name="常规 2 6 6 2 5 3" xfId="37372" xr:uid="{00000000-0005-0000-0000-0000FC910000}"/>
    <cellStyle name="常规 2 6 6 2 5 4" xfId="37373" xr:uid="{00000000-0005-0000-0000-0000FD910000}"/>
    <cellStyle name="常规 2 6 6 2 6" xfId="37374" xr:uid="{00000000-0005-0000-0000-0000FE910000}"/>
    <cellStyle name="常规 2 6 6 2 7" xfId="37375" xr:uid="{00000000-0005-0000-0000-0000FF910000}"/>
    <cellStyle name="常规 2 6 6 2 8" xfId="37376" xr:uid="{00000000-0005-0000-0000-000000920000}"/>
    <cellStyle name="常规 2 6 6 2 9" xfId="37377" xr:uid="{00000000-0005-0000-0000-000001920000}"/>
    <cellStyle name="常规 2 6 6 2 9 2" xfId="37378" xr:uid="{00000000-0005-0000-0000-000002920000}"/>
    <cellStyle name="常规 2 6 6 3" xfId="37379" xr:uid="{00000000-0005-0000-0000-000003920000}"/>
    <cellStyle name="常规 2 6 6 3 2" xfId="37380" xr:uid="{00000000-0005-0000-0000-000004920000}"/>
    <cellStyle name="常规 2 6 6 3 2 2" xfId="37381" xr:uid="{00000000-0005-0000-0000-000005920000}"/>
    <cellStyle name="常规 2 6 6 3 2 3" xfId="37382" xr:uid="{00000000-0005-0000-0000-000006920000}"/>
    <cellStyle name="常规 2 6 6 3 2 4" xfId="37383" xr:uid="{00000000-0005-0000-0000-000007920000}"/>
    <cellStyle name="常规 2 6 6 3 2 5" xfId="37384" xr:uid="{00000000-0005-0000-0000-000008920000}"/>
    <cellStyle name="常规 2 6 6 3 3" xfId="37385" xr:uid="{00000000-0005-0000-0000-000009920000}"/>
    <cellStyle name="常规 2 6 6 3 4" xfId="37386" xr:uid="{00000000-0005-0000-0000-00000A920000}"/>
    <cellStyle name="常规 2 6 6 3 5" xfId="37387" xr:uid="{00000000-0005-0000-0000-00000B920000}"/>
    <cellStyle name="常规 2 6 6 3 6" xfId="37388" xr:uid="{00000000-0005-0000-0000-00000C920000}"/>
    <cellStyle name="常规 2 6 6 4" xfId="37389" xr:uid="{00000000-0005-0000-0000-00000D920000}"/>
    <cellStyle name="常规 2 6 6 4 2" xfId="37390" xr:uid="{00000000-0005-0000-0000-00000E920000}"/>
    <cellStyle name="常规 2 6 6 4 2 2" xfId="37391" xr:uid="{00000000-0005-0000-0000-00000F920000}"/>
    <cellStyle name="常规 2 6 6 4 2 3" xfId="37392" xr:uid="{00000000-0005-0000-0000-000010920000}"/>
    <cellStyle name="常规 2 6 6 4 2 4" xfId="37393" xr:uid="{00000000-0005-0000-0000-000011920000}"/>
    <cellStyle name="常规 2 6 6 4 2 5" xfId="37394" xr:uid="{00000000-0005-0000-0000-000012920000}"/>
    <cellStyle name="常规 2 6 6 4 3" xfId="37395" xr:uid="{00000000-0005-0000-0000-000013920000}"/>
    <cellStyle name="常规 2 6 6 4 4" xfId="37396" xr:uid="{00000000-0005-0000-0000-000014920000}"/>
    <cellStyle name="常规 2 6 6 4 5" xfId="37397" xr:uid="{00000000-0005-0000-0000-000015920000}"/>
    <cellStyle name="常规 2 6 6 4 6" xfId="37398" xr:uid="{00000000-0005-0000-0000-000016920000}"/>
    <cellStyle name="常规 2 6 6 5" xfId="37399" xr:uid="{00000000-0005-0000-0000-000017920000}"/>
    <cellStyle name="常规 2 6 6 5 2" xfId="37400" xr:uid="{00000000-0005-0000-0000-000018920000}"/>
    <cellStyle name="常规 2 6 6 5 3" xfId="37401" xr:uid="{00000000-0005-0000-0000-000019920000}"/>
    <cellStyle name="常规 2 6 6 5 4" xfId="37402" xr:uid="{00000000-0005-0000-0000-00001A920000}"/>
    <cellStyle name="常规 2 6 6 5 5" xfId="37403" xr:uid="{00000000-0005-0000-0000-00001B920000}"/>
    <cellStyle name="常规 2 6 6 6" xfId="37404" xr:uid="{00000000-0005-0000-0000-00001C920000}"/>
    <cellStyle name="常规 2 6 6 7" xfId="37405" xr:uid="{00000000-0005-0000-0000-00001D920000}"/>
    <cellStyle name="常规 2 6 6 8" xfId="37406" xr:uid="{00000000-0005-0000-0000-00001E920000}"/>
    <cellStyle name="常规 2 6 6 9" xfId="37407" xr:uid="{00000000-0005-0000-0000-00001F920000}"/>
    <cellStyle name="常规 2 6 6 9 2" xfId="37408" xr:uid="{00000000-0005-0000-0000-000020920000}"/>
    <cellStyle name="常规 2 6 7" xfId="37409" xr:uid="{00000000-0005-0000-0000-000021920000}"/>
    <cellStyle name="常规 2 6 7 2" xfId="37410" xr:uid="{00000000-0005-0000-0000-000022920000}"/>
    <cellStyle name="常规 2 6 7 2 2" xfId="37411" xr:uid="{00000000-0005-0000-0000-000023920000}"/>
    <cellStyle name="常规 2 6 7 2 2 2" xfId="37412" xr:uid="{00000000-0005-0000-0000-000024920000}"/>
    <cellStyle name="常规 2 6 7 2 2 2 2" xfId="37413" xr:uid="{00000000-0005-0000-0000-000025920000}"/>
    <cellStyle name="常规 2 6 7 2 2 2 3" xfId="37414" xr:uid="{00000000-0005-0000-0000-000026920000}"/>
    <cellStyle name="常规 2 6 7 2 2 2 4" xfId="37415" xr:uid="{00000000-0005-0000-0000-000027920000}"/>
    <cellStyle name="常规 2 6 7 2 2 3" xfId="37416" xr:uid="{00000000-0005-0000-0000-000028920000}"/>
    <cellStyle name="常规 2 6 7 2 2 4" xfId="37417" xr:uid="{00000000-0005-0000-0000-000029920000}"/>
    <cellStyle name="常规 2 6 7 2 2 5" xfId="37418" xr:uid="{00000000-0005-0000-0000-00002A920000}"/>
    <cellStyle name="常规 2 6 7 2 3" xfId="37419" xr:uid="{00000000-0005-0000-0000-00002B920000}"/>
    <cellStyle name="常规 2 6 7 2 3 2" xfId="37420" xr:uid="{00000000-0005-0000-0000-00002C920000}"/>
    <cellStyle name="常规 2 6 7 2 3 2 2" xfId="37421" xr:uid="{00000000-0005-0000-0000-00002D920000}"/>
    <cellStyle name="常规 2 6 7 2 3 2 3" xfId="37422" xr:uid="{00000000-0005-0000-0000-00002E920000}"/>
    <cellStyle name="常规 2 6 7 2 3 2 4" xfId="37423" xr:uid="{00000000-0005-0000-0000-00002F920000}"/>
    <cellStyle name="常规 2 6 7 2 3 3" xfId="37424" xr:uid="{00000000-0005-0000-0000-000030920000}"/>
    <cellStyle name="常规 2 6 7 2 3 4" xfId="37425" xr:uid="{00000000-0005-0000-0000-000031920000}"/>
    <cellStyle name="常规 2 6 7 2 3 5" xfId="37426" xr:uid="{00000000-0005-0000-0000-000032920000}"/>
    <cellStyle name="常规 2 6 7 2 4" xfId="37427" xr:uid="{00000000-0005-0000-0000-000033920000}"/>
    <cellStyle name="常规 2 6 7 2 4 2" xfId="37428" xr:uid="{00000000-0005-0000-0000-000034920000}"/>
    <cellStyle name="常规 2 6 7 2 4 3" xfId="37429" xr:uid="{00000000-0005-0000-0000-000035920000}"/>
    <cellStyle name="常规 2 6 7 2 4 4" xfId="37430" xr:uid="{00000000-0005-0000-0000-000036920000}"/>
    <cellStyle name="常规 2 6 7 2 5" xfId="37431" xr:uid="{00000000-0005-0000-0000-000037920000}"/>
    <cellStyle name="常规 2 6 7 2 6" xfId="37432" xr:uid="{00000000-0005-0000-0000-000038920000}"/>
    <cellStyle name="常规 2 6 7 2 7" xfId="37433" xr:uid="{00000000-0005-0000-0000-000039920000}"/>
    <cellStyle name="常规 2 6 7 3" xfId="37434" xr:uid="{00000000-0005-0000-0000-00003A920000}"/>
    <cellStyle name="常规 2 6 7 3 2" xfId="37435" xr:uid="{00000000-0005-0000-0000-00003B920000}"/>
    <cellStyle name="常规 2 6 7 3 2 2" xfId="37436" xr:uid="{00000000-0005-0000-0000-00003C920000}"/>
    <cellStyle name="常规 2 6 7 3 2 3" xfId="37437" xr:uid="{00000000-0005-0000-0000-00003D920000}"/>
    <cellStyle name="常规 2 6 7 3 2 4" xfId="37438" xr:uid="{00000000-0005-0000-0000-00003E920000}"/>
    <cellStyle name="常规 2 6 7 3 3" xfId="37439" xr:uid="{00000000-0005-0000-0000-00003F920000}"/>
    <cellStyle name="常规 2 6 7 3 4" xfId="37440" xr:uid="{00000000-0005-0000-0000-000040920000}"/>
    <cellStyle name="常规 2 6 7 3 5" xfId="37441" xr:uid="{00000000-0005-0000-0000-000041920000}"/>
    <cellStyle name="常规 2 6 7 4" xfId="37442" xr:uid="{00000000-0005-0000-0000-000042920000}"/>
    <cellStyle name="常规 2 6 7 4 2" xfId="37443" xr:uid="{00000000-0005-0000-0000-000043920000}"/>
    <cellStyle name="常规 2 6 7 4 2 2" xfId="37444" xr:uid="{00000000-0005-0000-0000-000044920000}"/>
    <cellStyle name="常规 2 6 7 4 2 3" xfId="37445" xr:uid="{00000000-0005-0000-0000-000045920000}"/>
    <cellStyle name="常规 2 6 7 4 2 4" xfId="37446" xr:uid="{00000000-0005-0000-0000-000046920000}"/>
    <cellStyle name="常规 2 6 7 4 3" xfId="37447" xr:uid="{00000000-0005-0000-0000-000047920000}"/>
    <cellStyle name="常规 2 6 7 4 4" xfId="37448" xr:uid="{00000000-0005-0000-0000-000048920000}"/>
    <cellStyle name="常规 2 6 7 4 5" xfId="37449" xr:uid="{00000000-0005-0000-0000-000049920000}"/>
    <cellStyle name="常规 2 6 7 5" xfId="37450" xr:uid="{00000000-0005-0000-0000-00004A920000}"/>
    <cellStyle name="常规 2 6 7 5 2" xfId="37451" xr:uid="{00000000-0005-0000-0000-00004B920000}"/>
    <cellStyle name="常规 2 6 7 5 3" xfId="37452" xr:uid="{00000000-0005-0000-0000-00004C920000}"/>
    <cellStyle name="常规 2 6 7 5 4" xfId="37453" xr:uid="{00000000-0005-0000-0000-00004D920000}"/>
    <cellStyle name="常规 2 6 7 6" xfId="37454" xr:uid="{00000000-0005-0000-0000-00004E920000}"/>
    <cellStyle name="常规 2 6 7 7" xfId="37455" xr:uid="{00000000-0005-0000-0000-00004F920000}"/>
    <cellStyle name="常规 2 6 7 8" xfId="37456" xr:uid="{00000000-0005-0000-0000-000050920000}"/>
    <cellStyle name="常规 2 6 7 9" xfId="37457" xr:uid="{00000000-0005-0000-0000-000051920000}"/>
    <cellStyle name="常规 2 6 7 9 2" xfId="37458" xr:uid="{00000000-0005-0000-0000-000052920000}"/>
    <cellStyle name="常规 2 6 8" xfId="37459" xr:uid="{00000000-0005-0000-0000-000053920000}"/>
    <cellStyle name="常规 2 6 8 2" xfId="37460" xr:uid="{00000000-0005-0000-0000-000054920000}"/>
    <cellStyle name="常规 2 6 8 2 2" xfId="37461" xr:uid="{00000000-0005-0000-0000-000055920000}"/>
    <cellStyle name="常规 2 6 8 2 3" xfId="37462" xr:uid="{00000000-0005-0000-0000-000056920000}"/>
    <cellStyle name="常规 2 6 8 2 4" xfId="37463" xr:uid="{00000000-0005-0000-0000-000057920000}"/>
    <cellStyle name="常规 2 6 8 3" xfId="37464" xr:uid="{00000000-0005-0000-0000-000058920000}"/>
    <cellStyle name="常规 2 6 8 4" xfId="37465" xr:uid="{00000000-0005-0000-0000-000059920000}"/>
    <cellStyle name="常规 2 6 8 5" xfId="37466" xr:uid="{00000000-0005-0000-0000-00005A920000}"/>
    <cellStyle name="常规 2 6 8 6" xfId="37467" xr:uid="{00000000-0005-0000-0000-00005B920000}"/>
    <cellStyle name="常规 2 6 8 6 2" xfId="37468" xr:uid="{00000000-0005-0000-0000-00005C920000}"/>
    <cellStyle name="常规 2 6 9" xfId="37469" xr:uid="{00000000-0005-0000-0000-00005D920000}"/>
    <cellStyle name="常规 2 6 9 2" xfId="37470" xr:uid="{00000000-0005-0000-0000-00005E920000}"/>
    <cellStyle name="常规 2 6 9 2 2" xfId="37471" xr:uid="{00000000-0005-0000-0000-00005F920000}"/>
    <cellStyle name="常规 2 6 9 2 3" xfId="37472" xr:uid="{00000000-0005-0000-0000-000060920000}"/>
    <cellStyle name="常规 2 6 9 2 4" xfId="37473" xr:uid="{00000000-0005-0000-0000-000061920000}"/>
    <cellStyle name="常规 2 6 9 2 5" xfId="37474" xr:uid="{00000000-0005-0000-0000-000062920000}"/>
    <cellStyle name="常规 2 6 9 3" xfId="37475" xr:uid="{00000000-0005-0000-0000-000063920000}"/>
    <cellStyle name="常规 2 6 9 4" xfId="37476" xr:uid="{00000000-0005-0000-0000-000064920000}"/>
    <cellStyle name="常规 2 6 9 5" xfId="37477" xr:uid="{00000000-0005-0000-0000-000065920000}"/>
    <cellStyle name="常规 2 6 9 6" xfId="37478" xr:uid="{00000000-0005-0000-0000-000066920000}"/>
    <cellStyle name="常规 2 7" xfId="37479" xr:uid="{00000000-0005-0000-0000-000067920000}"/>
    <cellStyle name="常规 2 7 10" xfId="37480" xr:uid="{00000000-0005-0000-0000-000068920000}"/>
    <cellStyle name="常规 2 7 10 2" xfId="37481" xr:uid="{00000000-0005-0000-0000-000069920000}"/>
    <cellStyle name="常规 2 7 10 3" xfId="37482" xr:uid="{00000000-0005-0000-0000-00006A920000}"/>
    <cellStyle name="常规 2 7 11" xfId="37483" xr:uid="{00000000-0005-0000-0000-00006B920000}"/>
    <cellStyle name="常规 2 7 11 2" xfId="37484" xr:uid="{00000000-0005-0000-0000-00006C920000}"/>
    <cellStyle name="常规 2 7 2" xfId="37485" xr:uid="{00000000-0005-0000-0000-00006D920000}"/>
    <cellStyle name="常规 2 7 2 10" xfId="37486" xr:uid="{00000000-0005-0000-0000-00006E920000}"/>
    <cellStyle name="常规 2 7 2 10 2" xfId="37487" xr:uid="{00000000-0005-0000-0000-00006F920000}"/>
    <cellStyle name="常规 2 7 2 2" xfId="37488" xr:uid="{00000000-0005-0000-0000-000070920000}"/>
    <cellStyle name="常规 2 7 2 2 2" xfId="37489" xr:uid="{00000000-0005-0000-0000-000071920000}"/>
    <cellStyle name="常规 2 7 2 2 2 2" xfId="37490" xr:uid="{00000000-0005-0000-0000-000072920000}"/>
    <cellStyle name="常规 2 7 2 2 2 2 2" xfId="37491" xr:uid="{00000000-0005-0000-0000-000073920000}"/>
    <cellStyle name="常规 2 7 2 2 2 2 3" xfId="37492" xr:uid="{00000000-0005-0000-0000-000074920000}"/>
    <cellStyle name="常规 2 7 2 2 2 2 4" xfId="37493" xr:uid="{00000000-0005-0000-0000-000075920000}"/>
    <cellStyle name="常规 2 7 2 2 2 2 4 2" xfId="37494" xr:uid="{00000000-0005-0000-0000-000076920000}"/>
    <cellStyle name="常规 2 7 2 2 2 2 4 3" xfId="37495" xr:uid="{00000000-0005-0000-0000-000077920000}"/>
    <cellStyle name="常规 2 7 2 2 2 2 5" xfId="37496" xr:uid="{00000000-0005-0000-0000-000078920000}"/>
    <cellStyle name="常规 2 7 2 2 2 2 5 2" xfId="37497" xr:uid="{00000000-0005-0000-0000-000079920000}"/>
    <cellStyle name="常规 2 7 2 2 2 3" xfId="37498" xr:uid="{00000000-0005-0000-0000-00007A920000}"/>
    <cellStyle name="常规 2 7 2 2 2 3 2" xfId="37499" xr:uid="{00000000-0005-0000-0000-00007B920000}"/>
    <cellStyle name="常规 2 7 2 2 2 3 2 2" xfId="37500" xr:uid="{00000000-0005-0000-0000-00007C920000}"/>
    <cellStyle name="常规 2 7 2 2 2 3 2 2 2" xfId="37501" xr:uid="{00000000-0005-0000-0000-00007D920000}"/>
    <cellStyle name="常规 2 7 2 2 2 3 3" xfId="37502" xr:uid="{00000000-0005-0000-0000-00007E920000}"/>
    <cellStyle name="常规 2 7 2 2 2 3 3 2" xfId="37503" xr:uid="{00000000-0005-0000-0000-00007F920000}"/>
    <cellStyle name="常规 2 7 2 2 2 3 3 2 2" xfId="37504" xr:uid="{00000000-0005-0000-0000-000080920000}"/>
    <cellStyle name="常规 2 7 2 2 2 3 4" xfId="37505" xr:uid="{00000000-0005-0000-0000-000081920000}"/>
    <cellStyle name="常规 2 7 2 2 2 3 4 2" xfId="37506" xr:uid="{00000000-0005-0000-0000-000082920000}"/>
    <cellStyle name="常规 2 7 2 2 2 3 5" xfId="37507" xr:uid="{00000000-0005-0000-0000-000083920000}"/>
    <cellStyle name="常规 2 7 2 2 2 4" xfId="37508" xr:uid="{00000000-0005-0000-0000-000084920000}"/>
    <cellStyle name="常规 2 7 2 2 2 4 2" xfId="37509" xr:uid="{00000000-0005-0000-0000-000085920000}"/>
    <cellStyle name="常规 2 7 2 2 2 4 2 2" xfId="37510" xr:uid="{00000000-0005-0000-0000-000086920000}"/>
    <cellStyle name="常规 2 7 2 2 2 5" xfId="37511" xr:uid="{00000000-0005-0000-0000-000087920000}"/>
    <cellStyle name="常规 2 7 2 2 2 6" xfId="37512" xr:uid="{00000000-0005-0000-0000-000088920000}"/>
    <cellStyle name="常规 2 7 2 2 2 7" xfId="37513" xr:uid="{00000000-0005-0000-0000-000089920000}"/>
    <cellStyle name="常规 2 7 2 2 2 7 2" xfId="37514" xr:uid="{00000000-0005-0000-0000-00008A920000}"/>
    <cellStyle name="常规 2 7 2 2 2 7 3" xfId="37515" xr:uid="{00000000-0005-0000-0000-00008B920000}"/>
    <cellStyle name="常规 2 7 2 2 2 8" xfId="37516" xr:uid="{00000000-0005-0000-0000-00008C920000}"/>
    <cellStyle name="常规 2 7 2 2 2 8 2" xfId="37517" xr:uid="{00000000-0005-0000-0000-00008D920000}"/>
    <cellStyle name="常规 2 7 2 2 3" xfId="37518" xr:uid="{00000000-0005-0000-0000-00008E920000}"/>
    <cellStyle name="常规 2 7 2 2 3 2" xfId="37519" xr:uid="{00000000-0005-0000-0000-00008F920000}"/>
    <cellStyle name="常规 2 7 2 2 3 3" xfId="37520" xr:uid="{00000000-0005-0000-0000-000090920000}"/>
    <cellStyle name="常规 2 7 2 2 3 4" xfId="37521" xr:uid="{00000000-0005-0000-0000-000091920000}"/>
    <cellStyle name="常规 2 7 2 2 3 4 2" xfId="37522" xr:uid="{00000000-0005-0000-0000-000092920000}"/>
    <cellStyle name="常规 2 7 2 2 3 4 3" xfId="37523" xr:uid="{00000000-0005-0000-0000-000093920000}"/>
    <cellStyle name="常规 2 7 2 2 3 5" xfId="37524" xr:uid="{00000000-0005-0000-0000-000094920000}"/>
    <cellStyle name="常规 2 7 2 2 3 5 2" xfId="37525" xr:uid="{00000000-0005-0000-0000-000095920000}"/>
    <cellStyle name="常规 2 7 2 2 4" xfId="37526" xr:uid="{00000000-0005-0000-0000-000096920000}"/>
    <cellStyle name="常规 2 7 2 2 4 2" xfId="37527" xr:uid="{00000000-0005-0000-0000-000097920000}"/>
    <cellStyle name="常规 2 7 2 2 4 2 2" xfId="37528" xr:uid="{00000000-0005-0000-0000-000098920000}"/>
    <cellStyle name="常规 2 7 2 2 5" xfId="37529" xr:uid="{00000000-0005-0000-0000-000099920000}"/>
    <cellStyle name="常规 2 7 2 2 5 2" xfId="37530" xr:uid="{00000000-0005-0000-0000-00009A920000}"/>
    <cellStyle name="常规 2 7 2 2 5 2 2" xfId="37531" xr:uid="{00000000-0005-0000-0000-00009B920000}"/>
    <cellStyle name="常规 2 7 2 2 6" xfId="37532" xr:uid="{00000000-0005-0000-0000-00009C920000}"/>
    <cellStyle name="常规 2 7 2 2 7" xfId="37533" xr:uid="{00000000-0005-0000-0000-00009D920000}"/>
    <cellStyle name="常规 2 7 2 2 8" xfId="37534" xr:uid="{00000000-0005-0000-0000-00009E920000}"/>
    <cellStyle name="常规 2 7 2 2 8 2" xfId="37535" xr:uid="{00000000-0005-0000-0000-00009F920000}"/>
    <cellStyle name="常规 2 7 2 2 8 3" xfId="37536" xr:uid="{00000000-0005-0000-0000-0000A0920000}"/>
    <cellStyle name="常规 2 7 2 2 9" xfId="37537" xr:uid="{00000000-0005-0000-0000-0000A1920000}"/>
    <cellStyle name="常规 2 7 2 2 9 2" xfId="37538" xr:uid="{00000000-0005-0000-0000-0000A2920000}"/>
    <cellStyle name="常规 2 7 2 3" xfId="37539" xr:uid="{00000000-0005-0000-0000-0000A3920000}"/>
    <cellStyle name="常规 2 7 2 3 2" xfId="37540" xr:uid="{00000000-0005-0000-0000-0000A4920000}"/>
    <cellStyle name="常规 2 7 2 3 2 2" xfId="37541" xr:uid="{00000000-0005-0000-0000-0000A5920000}"/>
    <cellStyle name="常规 2 7 2 3 2 2 2" xfId="37542" xr:uid="{00000000-0005-0000-0000-0000A6920000}"/>
    <cellStyle name="常规 2 7 2 3 2 2 2 2" xfId="37543" xr:uid="{00000000-0005-0000-0000-0000A7920000}"/>
    <cellStyle name="常规 2 7 2 3 2 3" xfId="37544" xr:uid="{00000000-0005-0000-0000-0000A8920000}"/>
    <cellStyle name="常规 2 7 2 3 2 3 2" xfId="37545" xr:uid="{00000000-0005-0000-0000-0000A9920000}"/>
    <cellStyle name="常规 2 7 2 3 2 3 2 2" xfId="37546" xr:uid="{00000000-0005-0000-0000-0000AA920000}"/>
    <cellStyle name="常规 2 7 2 3 2 4" xfId="37547" xr:uid="{00000000-0005-0000-0000-0000AB920000}"/>
    <cellStyle name="常规 2 7 2 3 2 4 2" xfId="37548" xr:uid="{00000000-0005-0000-0000-0000AC920000}"/>
    <cellStyle name="常规 2 7 2 3 2 4 2 2" xfId="37549" xr:uid="{00000000-0005-0000-0000-0000AD920000}"/>
    <cellStyle name="常规 2 7 2 3 2 5" xfId="37550" xr:uid="{00000000-0005-0000-0000-0000AE920000}"/>
    <cellStyle name="常规 2 7 2 3 2 5 2" xfId="37551" xr:uid="{00000000-0005-0000-0000-0000AF920000}"/>
    <cellStyle name="常规 2 7 2 3 2 5 3" xfId="37552" xr:uid="{00000000-0005-0000-0000-0000B0920000}"/>
    <cellStyle name="常规 2 7 2 3 2 6" xfId="37553" xr:uid="{00000000-0005-0000-0000-0000B1920000}"/>
    <cellStyle name="常规 2 7 2 3 3" xfId="37554" xr:uid="{00000000-0005-0000-0000-0000B2920000}"/>
    <cellStyle name="常规 2 7 2 3 3 2" xfId="37555" xr:uid="{00000000-0005-0000-0000-0000B3920000}"/>
    <cellStyle name="常规 2 7 2 3 3 2 2" xfId="37556" xr:uid="{00000000-0005-0000-0000-0000B4920000}"/>
    <cellStyle name="常规 2 7 2 3 3 2 2 2" xfId="37557" xr:uid="{00000000-0005-0000-0000-0000B5920000}"/>
    <cellStyle name="常规 2 7 2 3 3 3" xfId="37558" xr:uid="{00000000-0005-0000-0000-0000B6920000}"/>
    <cellStyle name="常规 2 7 2 3 3 3 2" xfId="37559" xr:uid="{00000000-0005-0000-0000-0000B7920000}"/>
    <cellStyle name="常规 2 7 2 3 3 3 2 2" xfId="37560" xr:uid="{00000000-0005-0000-0000-0000B8920000}"/>
    <cellStyle name="常规 2 7 2 3 3 4" xfId="37561" xr:uid="{00000000-0005-0000-0000-0000B9920000}"/>
    <cellStyle name="常规 2 7 2 3 3 4 2" xfId="37562" xr:uid="{00000000-0005-0000-0000-0000BA920000}"/>
    <cellStyle name="常规 2 7 2 3 3 5" xfId="37563" xr:uid="{00000000-0005-0000-0000-0000BB920000}"/>
    <cellStyle name="常规 2 7 2 3 4" xfId="37564" xr:uid="{00000000-0005-0000-0000-0000BC920000}"/>
    <cellStyle name="常规 2 7 2 3 4 2" xfId="37565" xr:uid="{00000000-0005-0000-0000-0000BD920000}"/>
    <cellStyle name="常规 2 7 2 3 4 2 2" xfId="37566" xr:uid="{00000000-0005-0000-0000-0000BE920000}"/>
    <cellStyle name="常规 2 7 2 3 5" xfId="37567" xr:uid="{00000000-0005-0000-0000-0000BF920000}"/>
    <cellStyle name="常规 2 7 2 3 5 2" xfId="37568" xr:uid="{00000000-0005-0000-0000-0000C0920000}"/>
    <cellStyle name="常规 2 7 2 3 5 2 2" xfId="37569" xr:uid="{00000000-0005-0000-0000-0000C1920000}"/>
    <cellStyle name="常规 2 7 2 3 6" xfId="37570" xr:uid="{00000000-0005-0000-0000-0000C2920000}"/>
    <cellStyle name="常规 2 7 2 3 7" xfId="37571" xr:uid="{00000000-0005-0000-0000-0000C3920000}"/>
    <cellStyle name="常规 2 7 2 3 7 2" xfId="37572" xr:uid="{00000000-0005-0000-0000-0000C4920000}"/>
    <cellStyle name="常规 2 7 2 3 7 3" xfId="37573" xr:uid="{00000000-0005-0000-0000-0000C5920000}"/>
    <cellStyle name="常规 2 7 2 3 8" xfId="37574" xr:uid="{00000000-0005-0000-0000-0000C6920000}"/>
    <cellStyle name="常规 2 7 2 3 8 2" xfId="37575" xr:uid="{00000000-0005-0000-0000-0000C7920000}"/>
    <cellStyle name="常规 2 7 2 4" xfId="37576" xr:uid="{00000000-0005-0000-0000-0000C8920000}"/>
    <cellStyle name="常规 2 7 2 4 2" xfId="37577" xr:uid="{00000000-0005-0000-0000-0000C9920000}"/>
    <cellStyle name="常规 2 7 2 4 2 2" xfId="37578" xr:uid="{00000000-0005-0000-0000-0000CA920000}"/>
    <cellStyle name="常规 2 7 2 4 2 2 2" xfId="37579" xr:uid="{00000000-0005-0000-0000-0000CB920000}"/>
    <cellStyle name="常规 2 7 2 4 3" xfId="37580" xr:uid="{00000000-0005-0000-0000-0000CC920000}"/>
    <cellStyle name="常规 2 7 2 4 3 2" xfId="37581" xr:uid="{00000000-0005-0000-0000-0000CD920000}"/>
    <cellStyle name="常规 2 7 2 4 3 2 2" xfId="37582" xr:uid="{00000000-0005-0000-0000-0000CE920000}"/>
    <cellStyle name="常规 2 7 2 4 4" xfId="37583" xr:uid="{00000000-0005-0000-0000-0000CF920000}"/>
    <cellStyle name="常规 2 7 2 4 4 2" xfId="37584" xr:uid="{00000000-0005-0000-0000-0000D0920000}"/>
    <cellStyle name="常规 2 7 2 4 4 2 2" xfId="37585" xr:uid="{00000000-0005-0000-0000-0000D1920000}"/>
    <cellStyle name="常规 2 7 2 4 5" xfId="37586" xr:uid="{00000000-0005-0000-0000-0000D2920000}"/>
    <cellStyle name="常规 2 7 2 4 5 2" xfId="37587" xr:uid="{00000000-0005-0000-0000-0000D3920000}"/>
    <cellStyle name="常规 2 7 2 4 5 3" xfId="37588" xr:uid="{00000000-0005-0000-0000-0000D4920000}"/>
    <cellStyle name="常规 2 7 2 4 6" xfId="37589" xr:uid="{00000000-0005-0000-0000-0000D5920000}"/>
    <cellStyle name="常规 2 7 2 5" xfId="37590" xr:uid="{00000000-0005-0000-0000-0000D6920000}"/>
    <cellStyle name="常规 2 7 2 5 2" xfId="37591" xr:uid="{00000000-0005-0000-0000-0000D7920000}"/>
    <cellStyle name="常规 2 7 2 5 2 2" xfId="37592" xr:uid="{00000000-0005-0000-0000-0000D8920000}"/>
    <cellStyle name="常规 2 7 2 6" xfId="37593" xr:uid="{00000000-0005-0000-0000-0000D9920000}"/>
    <cellStyle name="常规 2 7 2 6 2" xfId="37594" xr:uid="{00000000-0005-0000-0000-0000DA920000}"/>
    <cellStyle name="常规 2 7 2 6 2 2" xfId="37595" xr:uid="{00000000-0005-0000-0000-0000DB920000}"/>
    <cellStyle name="常规 2 7 2 7" xfId="37596" xr:uid="{00000000-0005-0000-0000-0000DC920000}"/>
    <cellStyle name="常规 2 7 2 7 2" xfId="37597" xr:uid="{00000000-0005-0000-0000-0000DD920000}"/>
    <cellStyle name="常规 2 7 2 7 2 2" xfId="37598" xr:uid="{00000000-0005-0000-0000-0000DE920000}"/>
    <cellStyle name="常规 2 7 2 8" xfId="37599" xr:uid="{00000000-0005-0000-0000-0000DF920000}"/>
    <cellStyle name="常规 2 7 2 9" xfId="37600" xr:uid="{00000000-0005-0000-0000-0000E0920000}"/>
    <cellStyle name="常规 2 7 2 9 2" xfId="37601" xr:uid="{00000000-0005-0000-0000-0000E1920000}"/>
    <cellStyle name="常规 2 7 2 9 3" xfId="37602" xr:uid="{00000000-0005-0000-0000-0000E2920000}"/>
    <cellStyle name="常规 2 7 3" xfId="37603" xr:uid="{00000000-0005-0000-0000-0000E3920000}"/>
    <cellStyle name="常规 2 7 3 2" xfId="37604" xr:uid="{00000000-0005-0000-0000-0000E4920000}"/>
    <cellStyle name="常规 2 7 3 2 2" xfId="37605" xr:uid="{00000000-0005-0000-0000-0000E5920000}"/>
    <cellStyle name="常规 2 7 3 2 2 2" xfId="37606" xr:uid="{00000000-0005-0000-0000-0000E6920000}"/>
    <cellStyle name="常规 2 7 3 2 2 2 2" xfId="37607" xr:uid="{00000000-0005-0000-0000-0000E7920000}"/>
    <cellStyle name="常规 2 7 3 2 3" xfId="37608" xr:uid="{00000000-0005-0000-0000-0000E8920000}"/>
    <cellStyle name="常规 2 7 3 2 3 2" xfId="37609" xr:uid="{00000000-0005-0000-0000-0000E9920000}"/>
    <cellStyle name="常规 2 7 3 2 3 2 2" xfId="37610" xr:uid="{00000000-0005-0000-0000-0000EA920000}"/>
    <cellStyle name="常规 2 7 3 2 4" xfId="37611" xr:uid="{00000000-0005-0000-0000-0000EB920000}"/>
    <cellStyle name="常规 2 7 3 2 4 2" xfId="37612" xr:uid="{00000000-0005-0000-0000-0000EC920000}"/>
    <cellStyle name="常规 2 7 3 2 4 2 2" xfId="37613" xr:uid="{00000000-0005-0000-0000-0000ED920000}"/>
    <cellStyle name="常规 2 7 3 2 5" xfId="37614" xr:uid="{00000000-0005-0000-0000-0000EE920000}"/>
    <cellStyle name="常规 2 7 3 2 5 2" xfId="37615" xr:uid="{00000000-0005-0000-0000-0000EF920000}"/>
    <cellStyle name="常规 2 7 3 2 5 3" xfId="37616" xr:uid="{00000000-0005-0000-0000-0000F0920000}"/>
    <cellStyle name="常规 2 7 3 2 6" xfId="37617" xr:uid="{00000000-0005-0000-0000-0000F1920000}"/>
    <cellStyle name="常规 2 7 3 3" xfId="37618" xr:uid="{00000000-0005-0000-0000-0000F2920000}"/>
    <cellStyle name="常规 2 7 3 3 2" xfId="37619" xr:uid="{00000000-0005-0000-0000-0000F3920000}"/>
    <cellStyle name="常规 2 7 3 3 2 2" xfId="37620" xr:uid="{00000000-0005-0000-0000-0000F4920000}"/>
    <cellStyle name="常规 2 7 3 3 2 2 2" xfId="37621" xr:uid="{00000000-0005-0000-0000-0000F5920000}"/>
    <cellStyle name="常规 2 7 3 3 3" xfId="37622" xr:uid="{00000000-0005-0000-0000-0000F6920000}"/>
    <cellStyle name="常规 2 7 3 3 3 2" xfId="37623" xr:uid="{00000000-0005-0000-0000-0000F7920000}"/>
    <cellStyle name="常规 2 7 3 3 3 2 2" xfId="37624" xr:uid="{00000000-0005-0000-0000-0000F8920000}"/>
    <cellStyle name="常规 2 7 3 3 4" xfId="37625" xr:uid="{00000000-0005-0000-0000-0000F9920000}"/>
    <cellStyle name="常规 2 7 3 3 4 2" xfId="37626" xr:uid="{00000000-0005-0000-0000-0000FA920000}"/>
    <cellStyle name="常规 2 7 3 3 5" xfId="37627" xr:uid="{00000000-0005-0000-0000-0000FB920000}"/>
    <cellStyle name="常规 2 7 3 4" xfId="37628" xr:uid="{00000000-0005-0000-0000-0000FC920000}"/>
    <cellStyle name="常规 2 7 3 4 2" xfId="37629" xr:uid="{00000000-0005-0000-0000-0000FD920000}"/>
    <cellStyle name="常规 2 7 3 4 2 2" xfId="37630" xr:uid="{00000000-0005-0000-0000-0000FE920000}"/>
    <cellStyle name="常规 2 7 3 5" xfId="37631" xr:uid="{00000000-0005-0000-0000-0000FF920000}"/>
    <cellStyle name="常规 2 7 3 5 2" xfId="37632" xr:uid="{00000000-0005-0000-0000-000000930000}"/>
    <cellStyle name="常规 2 7 3 5 2 2" xfId="37633" xr:uid="{00000000-0005-0000-0000-000001930000}"/>
    <cellStyle name="常规 2 7 3 6" xfId="37634" xr:uid="{00000000-0005-0000-0000-000002930000}"/>
    <cellStyle name="常规 2 7 3 7" xfId="37635" xr:uid="{00000000-0005-0000-0000-000003930000}"/>
    <cellStyle name="常规 2 7 3 7 2" xfId="37636" xr:uid="{00000000-0005-0000-0000-000004930000}"/>
    <cellStyle name="常规 2 7 3 7 3" xfId="37637" xr:uid="{00000000-0005-0000-0000-000005930000}"/>
    <cellStyle name="常规 2 7 3 8" xfId="37638" xr:uid="{00000000-0005-0000-0000-000006930000}"/>
    <cellStyle name="常规 2 7 3 8 2" xfId="37639" xr:uid="{00000000-0005-0000-0000-000007930000}"/>
    <cellStyle name="常规 2 7 4" xfId="37640" xr:uid="{00000000-0005-0000-0000-000008930000}"/>
    <cellStyle name="常规 2 7 4 2" xfId="37641" xr:uid="{00000000-0005-0000-0000-000009930000}"/>
    <cellStyle name="常规 2 7 4 2 2" xfId="37642" xr:uid="{00000000-0005-0000-0000-00000A930000}"/>
    <cellStyle name="常规 2 7 4 2 2 2" xfId="37643" xr:uid="{00000000-0005-0000-0000-00000B930000}"/>
    <cellStyle name="常规 2 7 4 2 2 2 2" xfId="37644" xr:uid="{00000000-0005-0000-0000-00000C930000}"/>
    <cellStyle name="常规 2 7 4 2 3" xfId="37645" xr:uid="{00000000-0005-0000-0000-00000D930000}"/>
    <cellStyle name="常规 2 7 4 2 3 2" xfId="37646" xr:uid="{00000000-0005-0000-0000-00000E930000}"/>
    <cellStyle name="常规 2 7 4 2 3 2 2" xfId="37647" xr:uid="{00000000-0005-0000-0000-00000F930000}"/>
    <cellStyle name="常规 2 7 4 2 4" xfId="37648" xr:uid="{00000000-0005-0000-0000-000010930000}"/>
    <cellStyle name="常规 2 7 4 2 4 2" xfId="37649" xr:uid="{00000000-0005-0000-0000-000011930000}"/>
    <cellStyle name="常规 2 7 4 2 4 2 2" xfId="37650" xr:uid="{00000000-0005-0000-0000-000012930000}"/>
    <cellStyle name="常规 2 7 4 2 5" xfId="37651" xr:uid="{00000000-0005-0000-0000-000013930000}"/>
    <cellStyle name="常规 2 7 4 2 5 2" xfId="37652" xr:uid="{00000000-0005-0000-0000-000014930000}"/>
    <cellStyle name="常规 2 7 4 2 5 3" xfId="37653" xr:uid="{00000000-0005-0000-0000-000015930000}"/>
    <cellStyle name="常规 2 7 4 2 6" xfId="37654" xr:uid="{00000000-0005-0000-0000-000016930000}"/>
    <cellStyle name="常规 2 7 4 3" xfId="37655" xr:uid="{00000000-0005-0000-0000-000017930000}"/>
    <cellStyle name="常规 2 7 4 3 2" xfId="37656" xr:uid="{00000000-0005-0000-0000-000018930000}"/>
    <cellStyle name="常规 2 7 4 3 2 2" xfId="37657" xr:uid="{00000000-0005-0000-0000-000019930000}"/>
    <cellStyle name="常规 2 7 4 4" xfId="37658" xr:uid="{00000000-0005-0000-0000-00001A930000}"/>
    <cellStyle name="常规 2 7 4 4 2" xfId="37659" xr:uid="{00000000-0005-0000-0000-00001B930000}"/>
    <cellStyle name="常规 2 7 4 4 2 2" xfId="37660" xr:uid="{00000000-0005-0000-0000-00001C930000}"/>
    <cellStyle name="常规 2 7 4 5" xfId="37661" xr:uid="{00000000-0005-0000-0000-00001D930000}"/>
    <cellStyle name="常规 2 7 4 5 2" xfId="37662" xr:uid="{00000000-0005-0000-0000-00001E930000}"/>
    <cellStyle name="常规 2 7 4 5 2 2" xfId="37663" xr:uid="{00000000-0005-0000-0000-00001F930000}"/>
    <cellStyle name="常规 2 7 4 6" xfId="37664" xr:uid="{00000000-0005-0000-0000-000020930000}"/>
    <cellStyle name="常规 2 7 4 7" xfId="37665" xr:uid="{00000000-0005-0000-0000-000021930000}"/>
    <cellStyle name="常规 2 7 4 7 2" xfId="37666" xr:uid="{00000000-0005-0000-0000-000022930000}"/>
    <cellStyle name="常规 2 7 4 7 3" xfId="37667" xr:uid="{00000000-0005-0000-0000-000023930000}"/>
    <cellStyle name="常规 2 7 4 8" xfId="37668" xr:uid="{00000000-0005-0000-0000-000024930000}"/>
    <cellStyle name="常规 2 7 4 8 2" xfId="37669" xr:uid="{00000000-0005-0000-0000-000025930000}"/>
    <cellStyle name="常规 2 7 5" xfId="37670" xr:uid="{00000000-0005-0000-0000-000026930000}"/>
    <cellStyle name="常规 2 7 5 2" xfId="37671" xr:uid="{00000000-0005-0000-0000-000027930000}"/>
    <cellStyle name="常规 2 7 5 2 2" xfId="37672" xr:uid="{00000000-0005-0000-0000-000028930000}"/>
    <cellStyle name="常规 2 7 5 2 2 2" xfId="37673" xr:uid="{00000000-0005-0000-0000-000029930000}"/>
    <cellStyle name="常规 2 7 5 2 2 2 2" xfId="37674" xr:uid="{00000000-0005-0000-0000-00002A930000}"/>
    <cellStyle name="常规 2 7 5 2 3" xfId="37675" xr:uid="{00000000-0005-0000-0000-00002B930000}"/>
    <cellStyle name="常规 2 7 5 2 3 2" xfId="37676" xr:uid="{00000000-0005-0000-0000-00002C930000}"/>
    <cellStyle name="常规 2 7 5 2 3 2 2" xfId="37677" xr:uid="{00000000-0005-0000-0000-00002D930000}"/>
    <cellStyle name="常规 2 7 5 2 4" xfId="37678" xr:uid="{00000000-0005-0000-0000-00002E930000}"/>
    <cellStyle name="常规 2 7 5 2 4 2" xfId="37679" xr:uid="{00000000-0005-0000-0000-00002F930000}"/>
    <cellStyle name="常规 2 7 5 2 5" xfId="37680" xr:uid="{00000000-0005-0000-0000-000030930000}"/>
    <cellStyle name="常规 2 7 5 3" xfId="37681" xr:uid="{00000000-0005-0000-0000-000031930000}"/>
    <cellStyle name="常规 2 7 5 3 2" xfId="37682" xr:uid="{00000000-0005-0000-0000-000032930000}"/>
    <cellStyle name="常规 2 7 5 3 2 2" xfId="37683" xr:uid="{00000000-0005-0000-0000-000033930000}"/>
    <cellStyle name="常规 2 7 5 4" xfId="37684" xr:uid="{00000000-0005-0000-0000-000034930000}"/>
    <cellStyle name="常规 2 7 5 4 2" xfId="37685" xr:uid="{00000000-0005-0000-0000-000035930000}"/>
    <cellStyle name="常规 2 7 5 4 2 2" xfId="37686" xr:uid="{00000000-0005-0000-0000-000036930000}"/>
    <cellStyle name="常规 2 7 5 5" xfId="37687" xr:uid="{00000000-0005-0000-0000-000037930000}"/>
    <cellStyle name="常规 2 7 5 5 2" xfId="37688" xr:uid="{00000000-0005-0000-0000-000038930000}"/>
    <cellStyle name="常规 2 7 5 5 3" xfId="37689" xr:uid="{00000000-0005-0000-0000-000039930000}"/>
    <cellStyle name="常规 2 7 5 6" xfId="37690" xr:uid="{00000000-0005-0000-0000-00003A930000}"/>
    <cellStyle name="常规 2 7 6" xfId="37691" xr:uid="{00000000-0005-0000-0000-00003B930000}"/>
    <cellStyle name="常规 2 7 6 2" xfId="37692" xr:uid="{00000000-0005-0000-0000-00003C930000}"/>
    <cellStyle name="常规 2 7 6 2 2" xfId="37693" xr:uid="{00000000-0005-0000-0000-00003D930000}"/>
    <cellStyle name="常规 2 7 6 2 2 2" xfId="37694" xr:uid="{00000000-0005-0000-0000-00003E930000}"/>
    <cellStyle name="常规 2 7 6 3" xfId="37695" xr:uid="{00000000-0005-0000-0000-00003F930000}"/>
    <cellStyle name="常规 2 7 6 3 2" xfId="37696" xr:uid="{00000000-0005-0000-0000-000040930000}"/>
    <cellStyle name="常规 2 7 6 3 2 2" xfId="37697" xr:uid="{00000000-0005-0000-0000-000041930000}"/>
    <cellStyle name="常规 2 7 6 4" xfId="37698" xr:uid="{00000000-0005-0000-0000-000042930000}"/>
    <cellStyle name="常规 2 7 6 4 2" xfId="37699" xr:uid="{00000000-0005-0000-0000-000043930000}"/>
    <cellStyle name="常规 2 7 6 5" xfId="37700" xr:uid="{00000000-0005-0000-0000-000044930000}"/>
    <cellStyle name="常规 2 7 7" xfId="37701" xr:uid="{00000000-0005-0000-0000-000045930000}"/>
    <cellStyle name="常规 2 7 7 2" xfId="37702" xr:uid="{00000000-0005-0000-0000-000046930000}"/>
    <cellStyle name="常规 2 7 7 2 2" xfId="37703" xr:uid="{00000000-0005-0000-0000-000047930000}"/>
    <cellStyle name="常规 2 7 8" xfId="37704" xr:uid="{00000000-0005-0000-0000-000048930000}"/>
    <cellStyle name="常规 2 7 8 2" xfId="37705" xr:uid="{00000000-0005-0000-0000-000049930000}"/>
    <cellStyle name="常规 2 7 8 2 2" xfId="37706" xr:uid="{00000000-0005-0000-0000-00004A930000}"/>
    <cellStyle name="常规 2 7 9" xfId="37707" xr:uid="{00000000-0005-0000-0000-00004B930000}"/>
    <cellStyle name="常规 2 8" xfId="37708" xr:uid="{00000000-0005-0000-0000-00004C930000}"/>
    <cellStyle name="常规 2 8 10" xfId="37709" xr:uid="{00000000-0005-0000-0000-00004D930000}"/>
    <cellStyle name="常规 2 8 10 2" xfId="37710" xr:uid="{00000000-0005-0000-0000-00004E930000}"/>
    <cellStyle name="常规 2 8 2" xfId="37711" xr:uid="{00000000-0005-0000-0000-00004F930000}"/>
    <cellStyle name="常规 2 8 2 2" xfId="37712" xr:uid="{00000000-0005-0000-0000-000050930000}"/>
    <cellStyle name="常规 2 8 2 2 2" xfId="37713" xr:uid="{00000000-0005-0000-0000-000051930000}"/>
    <cellStyle name="常规 2 8 2 2 2 2" xfId="37714" xr:uid="{00000000-0005-0000-0000-000052930000}"/>
    <cellStyle name="常规 2 8 2 2 2 3" xfId="37715" xr:uid="{00000000-0005-0000-0000-000053930000}"/>
    <cellStyle name="常规 2 8 2 2 2 4" xfId="37716" xr:uid="{00000000-0005-0000-0000-000054930000}"/>
    <cellStyle name="常规 2 8 2 2 2 5" xfId="37717" xr:uid="{00000000-0005-0000-0000-000055930000}"/>
    <cellStyle name="常规 2 8 2 2 2 5 2" xfId="37718" xr:uid="{00000000-0005-0000-0000-000056930000}"/>
    <cellStyle name="常规 2 8 2 2 3" xfId="37719" xr:uid="{00000000-0005-0000-0000-000057930000}"/>
    <cellStyle name="常规 2 8 2 2 3 2" xfId="37720" xr:uid="{00000000-0005-0000-0000-000058930000}"/>
    <cellStyle name="常规 2 8 2 2 3 2 2" xfId="37721" xr:uid="{00000000-0005-0000-0000-000059930000}"/>
    <cellStyle name="常规 2 8 2 2 4" xfId="37722" xr:uid="{00000000-0005-0000-0000-00005A930000}"/>
    <cellStyle name="常规 2 8 2 2 4 2" xfId="37723" xr:uid="{00000000-0005-0000-0000-00005B930000}"/>
    <cellStyle name="常规 2 8 2 2 4 2 2" xfId="37724" xr:uid="{00000000-0005-0000-0000-00005C930000}"/>
    <cellStyle name="常规 2 8 2 2 5" xfId="37725" xr:uid="{00000000-0005-0000-0000-00005D930000}"/>
    <cellStyle name="常规 2 8 2 2 5 2" xfId="37726" xr:uid="{00000000-0005-0000-0000-00005E930000}"/>
    <cellStyle name="常规 2 8 2 2 5 3" xfId="37727" xr:uid="{00000000-0005-0000-0000-00005F930000}"/>
    <cellStyle name="常规 2 8 2 2 6" xfId="37728" xr:uid="{00000000-0005-0000-0000-000060930000}"/>
    <cellStyle name="常规 2 8 2 2 6 2" xfId="37729" xr:uid="{00000000-0005-0000-0000-000061930000}"/>
    <cellStyle name="常规 2 8 2 2 7" xfId="37730" xr:uid="{00000000-0005-0000-0000-000062930000}"/>
    <cellStyle name="常规 2 8 2 3" xfId="37731" xr:uid="{00000000-0005-0000-0000-000063930000}"/>
    <cellStyle name="常规 2 8 2 3 2" xfId="37732" xr:uid="{00000000-0005-0000-0000-000064930000}"/>
    <cellStyle name="常规 2 8 2 3 2 2" xfId="37733" xr:uid="{00000000-0005-0000-0000-000065930000}"/>
    <cellStyle name="常规 2 8 2 3 2 3" xfId="37734" xr:uid="{00000000-0005-0000-0000-000066930000}"/>
    <cellStyle name="常规 2 8 2 3 2 4" xfId="37735" xr:uid="{00000000-0005-0000-0000-000067930000}"/>
    <cellStyle name="常规 2 8 2 3 3" xfId="37736" xr:uid="{00000000-0005-0000-0000-000068930000}"/>
    <cellStyle name="常规 2 8 2 3 4" xfId="37737" xr:uid="{00000000-0005-0000-0000-000069930000}"/>
    <cellStyle name="常规 2 8 2 3 5" xfId="37738" xr:uid="{00000000-0005-0000-0000-00006A930000}"/>
    <cellStyle name="常规 2 8 2 3 6" xfId="37739" xr:uid="{00000000-0005-0000-0000-00006B930000}"/>
    <cellStyle name="常规 2 8 2 3 6 2" xfId="37740" xr:uid="{00000000-0005-0000-0000-00006C930000}"/>
    <cellStyle name="常规 2 8 2 4" xfId="37741" xr:uid="{00000000-0005-0000-0000-00006D930000}"/>
    <cellStyle name="常规 2 8 2 4 2" xfId="37742" xr:uid="{00000000-0005-0000-0000-00006E930000}"/>
    <cellStyle name="常规 2 8 2 4 3" xfId="37743" xr:uid="{00000000-0005-0000-0000-00006F930000}"/>
    <cellStyle name="常规 2 8 2 4 4" xfId="37744" xr:uid="{00000000-0005-0000-0000-000070930000}"/>
    <cellStyle name="常规 2 8 2 4 5" xfId="37745" xr:uid="{00000000-0005-0000-0000-000071930000}"/>
    <cellStyle name="常规 2 8 2 4 5 2" xfId="37746" xr:uid="{00000000-0005-0000-0000-000072930000}"/>
    <cellStyle name="常规 2 8 2 5" xfId="37747" xr:uid="{00000000-0005-0000-0000-000073930000}"/>
    <cellStyle name="常规 2 8 2 5 2" xfId="37748" xr:uid="{00000000-0005-0000-0000-000074930000}"/>
    <cellStyle name="常规 2 8 2 5 2 2" xfId="37749" xr:uid="{00000000-0005-0000-0000-000075930000}"/>
    <cellStyle name="常规 2 8 2 6" xfId="37750" xr:uid="{00000000-0005-0000-0000-000076930000}"/>
    <cellStyle name="常规 2 8 2 6 2" xfId="37751" xr:uid="{00000000-0005-0000-0000-000077930000}"/>
    <cellStyle name="常规 2 8 2 6 2 2" xfId="37752" xr:uid="{00000000-0005-0000-0000-000078930000}"/>
    <cellStyle name="常规 2 8 2 7" xfId="37753" xr:uid="{00000000-0005-0000-0000-000079930000}"/>
    <cellStyle name="常规 2 8 2 7 2" xfId="37754" xr:uid="{00000000-0005-0000-0000-00007A930000}"/>
    <cellStyle name="常规 2 8 2 7 2 2" xfId="37755" xr:uid="{00000000-0005-0000-0000-00007B930000}"/>
    <cellStyle name="常规 2 8 2 8" xfId="37756" xr:uid="{00000000-0005-0000-0000-00007C930000}"/>
    <cellStyle name="常规 2 8 2 8 2" xfId="37757" xr:uid="{00000000-0005-0000-0000-00007D930000}"/>
    <cellStyle name="常规 2 8 2 8 3" xfId="37758" xr:uid="{00000000-0005-0000-0000-00007E930000}"/>
    <cellStyle name="常规 2 8 2 9" xfId="37759" xr:uid="{00000000-0005-0000-0000-00007F930000}"/>
    <cellStyle name="常规 2 8 3" xfId="37760" xr:uid="{00000000-0005-0000-0000-000080930000}"/>
    <cellStyle name="常规 2 8 3 2" xfId="37761" xr:uid="{00000000-0005-0000-0000-000081930000}"/>
    <cellStyle name="常规 2 8 3 2 2" xfId="37762" xr:uid="{00000000-0005-0000-0000-000082930000}"/>
    <cellStyle name="常规 2 8 3 2 2 2" xfId="37763" xr:uid="{00000000-0005-0000-0000-000083930000}"/>
    <cellStyle name="常规 2 8 3 2 2 2 2" xfId="37764" xr:uid="{00000000-0005-0000-0000-000084930000}"/>
    <cellStyle name="常规 2 8 3 2 3" xfId="37765" xr:uid="{00000000-0005-0000-0000-000085930000}"/>
    <cellStyle name="常规 2 8 3 2 3 2" xfId="37766" xr:uid="{00000000-0005-0000-0000-000086930000}"/>
    <cellStyle name="常规 2 8 3 2 3 2 2" xfId="37767" xr:uid="{00000000-0005-0000-0000-000087930000}"/>
    <cellStyle name="常规 2 8 3 2 4" xfId="37768" xr:uid="{00000000-0005-0000-0000-000088930000}"/>
    <cellStyle name="常规 2 8 3 2 4 2" xfId="37769" xr:uid="{00000000-0005-0000-0000-000089930000}"/>
    <cellStyle name="常规 2 8 3 2 4 2 2" xfId="37770" xr:uid="{00000000-0005-0000-0000-00008A930000}"/>
    <cellStyle name="常规 2 8 3 2 5" xfId="37771" xr:uid="{00000000-0005-0000-0000-00008B930000}"/>
    <cellStyle name="常规 2 8 3 2 5 2" xfId="37772" xr:uid="{00000000-0005-0000-0000-00008C930000}"/>
    <cellStyle name="常规 2 8 3 2 5 3" xfId="37773" xr:uid="{00000000-0005-0000-0000-00008D930000}"/>
    <cellStyle name="常规 2 8 3 2 6" xfId="37774" xr:uid="{00000000-0005-0000-0000-00008E930000}"/>
    <cellStyle name="常规 2 8 3 3" xfId="37775" xr:uid="{00000000-0005-0000-0000-00008F930000}"/>
    <cellStyle name="常规 2 8 3 3 2" xfId="37776" xr:uid="{00000000-0005-0000-0000-000090930000}"/>
    <cellStyle name="常规 2 8 3 3 2 2" xfId="37777" xr:uid="{00000000-0005-0000-0000-000091930000}"/>
    <cellStyle name="常规 2 8 3 3 2 2 2" xfId="37778" xr:uid="{00000000-0005-0000-0000-000092930000}"/>
    <cellStyle name="常规 2 8 3 3 3" xfId="37779" xr:uid="{00000000-0005-0000-0000-000093930000}"/>
    <cellStyle name="常规 2 8 3 3 3 2" xfId="37780" xr:uid="{00000000-0005-0000-0000-000094930000}"/>
    <cellStyle name="常规 2 8 3 3 3 2 2" xfId="37781" xr:uid="{00000000-0005-0000-0000-000095930000}"/>
    <cellStyle name="常规 2 8 3 3 4" xfId="37782" xr:uid="{00000000-0005-0000-0000-000096930000}"/>
    <cellStyle name="常规 2 8 3 3 4 2" xfId="37783" xr:uid="{00000000-0005-0000-0000-000097930000}"/>
    <cellStyle name="常规 2 8 3 3 5" xfId="37784" xr:uid="{00000000-0005-0000-0000-000098930000}"/>
    <cellStyle name="常规 2 8 3 4" xfId="37785" xr:uid="{00000000-0005-0000-0000-000099930000}"/>
    <cellStyle name="常规 2 8 3 4 2" xfId="37786" xr:uid="{00000000-0005-0000-0000-00009A930000}"/>
    <cellStyle name="常规 2 8 3 4 2 2" xfId="37787" xr:uid="{00000000-0005-0000-0000-00009B930000}"/>
    <cellStyle name="常规 2 8 3 5" xfId="37788" xr:uid="{00000000-0005-0000-0000-00009C930000}"/>
    <cellStyle name="常规 2 8 3 5 2" xfId="37789" xr:uid="{00000000-0005-0000-0000-00009D930000}"/>
    <cellStyle name="常规 2 8 3 5 2 2" xfId="37790" xr:uid="{00000000-0005-0000-0000-00009E930000}"/>
    <cellStyle name="常规 2 8 3 6" xfId="37791" xr:uid="{00000000-0005-0000-0000-00009F930000}"/>
    <cellStyle name="常规 2 8 3 7" xfId="37792" xr:uid="{00000000-0005-0000-0000-0000A0930000}"/>
    <cellStyle name="常规 2 8 3 7 2" xfId="37793" xr:uid="{00000000-0005-0000-0000-0000A1930000}"/>
    <cellStyle name="常规 2 8 3 7 3" xfId="37794" xr:uid="{00000000-0005-0000-0000-0000A2930000}"/>
    <cellStyle name="常规 2 8 3 8" xfId="37795" xr:uid="{00000000-0005-0000-0000-0000A3930000}"/>
    <cellStyle name="常规 2 8 3 8 2" xfId="37796" xr:uid="{00000000-0005-0000-0000-0000A4930000}"/>
    <cellStyle name="常规 2 8 4" xfId="37797" xr:uid="{00000000-0005-0000-0000-0000A5930000}"/>
    <cellStyle name="常规 2 8 4 2" xfId="37798" xr:uid="{00000000-0005-0000-0000-0000A6930000}"/>
    <cellStyle name="常规 2 8 4 2 2" xfId="37799" xr:uid="{00000000-0005-0000-0000-0000A7930000}"/>
    <cellStyle name="常规 2 8 4 2 3" xfId="37800" xr:uid="{00000000-0005-0000-0000-0000A8930000}"/>
    <cellStyle name="常规 2 8 4 2 4" xfId="37801" xr:uid="{00000000-0005-0000-0000-0000A9930000}"/>
    <cellStyle name="常规 2 8 4 2 5" xfId="37802" xr:uid="{00000000-0005-0000-0000-0000AA930000}"/>
    <cellStyle name="常规 2 8 4 2 5 2" xfId="37803" xr:uid="{00000000-0005-0000-0000-0000AB930000}"/>
    <cellStyle name="常规 2 8 4 3" xfId="37804" xr:uid="{00000000-0005-0000-0000-0000AC930000}"/>
    <cellStyle name="常规 2 8 4 3 2" xfId="37805" xr:uid="{00000000-0005-0000-0000-0000AD930000}"/>
    <cellStyle name="常规 2 8 4 3 2 2" xfId="37806" xr:uid="{00000000-0005-0000-0000-0000AE930000}"/>
    <cellStyle name="常规 2 8 4 4" xfId="37807" xr:uid="{00000000-0005-0000-0000-0000AF930000}"/>
    <cellStyle name="常规 2 8 4 4 2" xfId="37808" xr:uid="{00000000-0005-0000-0000-0000B0930000}"/>
    <cellStyle name="常规 2 8 4 4 2 2" xfId="37809" xr:uid="{00000000-0005-0000-0000-0000B1930000}"/>
    <cellStyle name="常规 2 8 4 5" xfId="37810" xr:uid="{00000000-0005-0000-0000-0000B2930000}"/>
    <cellStyle name="常规 2 8 4 5 2" xfId="37811" xr:uid="{00000000-0005-0000-0000-0000B3930000}"/>
    <cellStyle name="常规 2 8 4 5 3" xfId="37812" xr:uid="{00000000-0005-0000-0000-0000B4930000}"/>
    <cellStyle name="常规 2 8 4 6" xfId="37813" xr:uid="{00000000-0005-0000-0000-0000B5930000}"/>
    <cellStyle name="常规 2 8 4 6 2" xfId="37814" xr:uid="{00000000-0005-0000-0000-0000B6930000}"/>
    <cellStyle name="常规 2 8 4 7" xfId="37815" xr:uid="{00000000-0005-0000-0000-0000B7930000}"/>
    <cellStyle name="常规 2 8 5" xfId="37816" xr:uid="{00000000-0005-0000-0000-0000B8930000}"/>
    <cellStyle name="常规 2 8 5 2" xfId="37817" xr:uid="{00000000-0005-0000-0000-0000B9930000}"/>
    <cellStyle name="常规 2 8 5 3" xfId="37818" xr:uid="{00000000-0005-0000-0000-0000BA930000}"/>
    <cellStyle name="常规 2 8 5 4" xfId="37819" xr:uid="{00000000-0005-0000-0000-0000BB930000}"/>
    <cellStyle name="常规 2 8 5 5" xfId="37820" xr:uid="{00000000-0005-0000-0000-0000BC930000}"/>
    <cellStyle name="常规 2 8 5 5 2" xfId="37821" xr:uid="{00000000-0005-0000-0000-0000BD930000}"/>
    <cellStyle name="常规 2 8 6" xfId="37822" xr:uid="{00000000-0005-0000-0000-0000BE930000}"/>
    <cellStyle name="常规 2 8 6 2" xfId="37823" xr:uid="{00000000-0005-0000-0000-0000BF930000}"/>
    <cellStyle name="常规 2 8 6 2 2" xfId="37824" xr:uid="{00000000-0005-0000-0000-0000C0930000}"/>
    <cellStyle name="常规 2 8 7" xfId="37825" xr:uid="{00000000-0005-0000-0000-0000C1930000}"/>
    <cellStyle name="常规 2 8 7 2" xfId="37826" xr:uid="{00000000-0005-0000-0000-0000C2930000}"/>
    <cellStyle name="常规 2 8 7 2 2" xfId="37827" xr:uid="{00000000-0005-0000-0000-0000C3930000}"/>
    <cellStyle name="常规 2 8 8" xfId="37828" xr:uid="{00000000-0005-0000-0000-0000C4930000}"/>
    <cellStyle name="常规 2 8 8 2" xfId="37829" xr:uid="{00000000-0005-0000-0000-0000C5930000}"/>
    <cellStyle name="常规 2 8 8 2 2" xfId="37830" xr:uid="{00000000-0005-0000-0000-0000C6930000}"/>
    <cellStyle name="常规 2 8 9" xfId="37831" xr:uid="{00000000-0005-0000-0000-0000C7930000}"/>
    <cellStyle name="常规 2 8 9 2" xfId="37832" xr:uid="{00000000-0005-0000-0000-0000C8930000}"/>
    <cellStyle name="常规 2 8 9 3" xfId="37833" xr:uid="{00000000-0005-0000-0000-0000C9930000}"/>
    <cellStyle name="常规 2 9" xfId="37834" xr:uid="{00000000-0005-0000-0000-0000CA930000}"/>
    <cellStyle name="常规 2 9 10" xfId="37835" xr:uid="{00000000-0005-0000-0000-0000CB930000}"/>
    <cellStyle name="常规 2 9 10 2" xfId="37836" xr:uid="{00000000-0005-0000-0000-0000CC930000}"/>
    <cellStyle name="常规 2 9 2" xfId="37837" xr:uid="{00000000-0005-0000-0000-0000CD930000}"/>
    <cellStyle name="常规 2 9 2 2" xfId="37838" xr:uid="{00000000-0005-0000-0000-0000CE930000}"/>
    <cellStyle name="常规 2 9 2 2 2" xfId="37839" xr:uid="{00000000-0005-0000-0000-0000CF930000}"/>
    <cellStyle name="常规 2 9 2 2 2 2" xfId="37840" xr:uid="{00000000-0005-0000-0000-0000D0930000}"/>
    <cellStyle name="常规 2 9 2 2 2 2 2" xfId="37841" xr:uid="{00000000-0005-0000-0000-0000D1930000}"/>
    <cellStyle name="常规 2 9 2 2 2 2 2 2" xfId="37842" xr:uid="{00000000-0005-0000-0000-0000D2930000}"/>
    <cellStyle name="常规 2 9 2 2 2 3" xfId="37843" xr:uid="{00000000-0005-0000-0000-0000D3930000}"/>
    <cellStyle name="常规 2 9 2 2 2 3 2" xfId="37844" xr:uid="{00000000-0005-0000-0000-0000D4930000}"/>
    <cellStyle name="常规 2 9 2 2 2 3 2 2" xfId="37845" xr:uid="{00000000-0005-0000-0000-0000D5930000}"/>
    <cellStyle name="常规 2 9 2 2 2 4" xfId="37846" xr:uid="{00000000-0005-0000-0000-0000D6930000}"/>
    <cellStyle name="常规 2 9 2 2 2 4 2" xfId="37847" xr:uid="{00000000-0005-0000-0000-0000D7930000}"/>
    <cellStyle name="常规 2 9 2 2 2 4 2 2" xfId="37848" xr:uid="{00000000-0005-0000-0000-0000D8930000}"/>
    <cellStyle name="常规 2 9 2 2 2 5" xfId="37849" xr:uid="{00000000-0005-0000-0000-0000D9930000}"/>
    <cellStyle name="常规 2 9 2 2 2 5 2" xfId="37850" xr:uid="{00000000-0005-0000-0000-0000DA930000}"/>
    <cellStyle name="常规 2 9 2 2 2 5 3" xfId="37851" xr:uid="{00000000-0005-0000-0000-0000DB930000}"/>
    <cellStyle name="常规 2 9 2 2 2 6" xfId="37852" xr:uid="{00000000-0005-0000-0000-0000DC930000}"/>
    <cellStyle name="常规 2 9 2 2 3" xfId="37853" xr:uid="{00000000-0005-0000-0000-0000DD930000}"/>
    <cellStyle name="常规 2 9 2 2 3 2" xfId="37854" xr:uid="{00000000-0005-0000-0000-0000DE930000}"/>
    <cellStyle name="常规 2 9 2 2 3 2 2" xfId="37855" xr:uid="{00000000-0005-0000-0000-0000DF930000}"/>
    <cellStyle name="常规 2 9 2 2 3 2 2 2" xfId="37856" xr:uid="{00000000-0005-0000-0000-0000E0930000}"/>
    <cellStyle name="常规 2 9 2 2 3 3" xfId="37857" xr:uid="{00000000-0005-0000-0000-0000E1930000}"/>
    <cellStyle name="常规 2 9 2 2 3 3 2" xfId="37858" xr:uid="{00000000-0005-0000-0000-0000E2930000}"/>
    <cellStyle name="常规 2 9 2 2 3 3 2 2" xfId="37859" xr:uid="{00000000-0005-0000-0000-0000E3930000}"/>
    <cellStyle name="常规 2 9 2 2 3 4" xfId="37860" xr:uid="{00000000-0005-0000-0000-0000E4930000}"/>
    <cellStyle name="常规 2 9 2 2 3 4 2" xfId="37861" xr:uid="{00000000-0005-0000-0000-0000E5930000}"/>
    <cellStyle name="常规 2 9 2 2 3 5" xfId="37862" xr:uid="{00000000-0005-0000-0000-0000E6930000}"/>
    <cellStyle name="常规 2 9 2 2 4" xfId="37863" xr:uid="{00000000-0005-0000-0000-0000E7930000}"/>
    <cellStyle name="常规 2 9 2 2 4 2" xfId="37864" xr:uid="{00000000-0005-0000-0000-0000E8930000}"/>
    <cellStyle name="常规 2 9 2 2 4 2 2" xfId="37865" xr:uid="{00000000-0005-0000-0000-0000E9930000}"/>
    <cellStyle name="常规 2 9 2 2 5" xfId="37866" xr:uid="{00000000-0005-0000-0000-0000EA930000}"/>
    <cellStyle name="常规 2 9 2 2 5 2" xfId="37867" xr:uid="{00000000-0005-0000-0000-0000EB930000}"/>
    <cellStyle name="常规 2 9 2 2 5 2 2" xfId="37868" xr:uid="{00000000-0005-0000-0000-0000EC930000}"/>
    <cellStyle name="常规 2 9 2 2 6" xfId="37869" xr:uid="{00000000-0005-0000-0000-0000ED930000}"/>
    <cellStyle name="常规 2 9 2 2 7" xfId="37870" xr:uid="{00000000-0005-0000-0000-0000EE930000}"/>
    <cellStyle name="常规 2 9 2 2 7 2" xfId="37871" xr:uid="{00000000-0005-0000-0000-0000EF930000}"/>
    <cellStyle name="常规 2 9 2 2 7 3" xfId="37872" xr:uid="{00000000-0005-0000-0000-0000F0930000}"/>
    <cellStyle name="常规 2 9 2 2 8" xfId="37873" xr:uid="{00000000-0005-0000-0000-0000F1930000}"/>
    <cellStyle name="常规 2 9 2 2 8 2" xfId="37874" xr:uid="{00000000-0005-0000-0000-0000F2930000}"/>
    <cellStyle name="常规 2 9 2 3" xfId="37875" xr:uid="{00000000-0005-0000-0000-0000F3930000}"/>
    <cellStyle name="常规 2 9 2 3 2" xfId="37876" xr:uid="{00000000-0005-0000-0000-0000F4930000}"/>
    <cellStyle name="常规 2 9 2 3 2 2" xfId="37877" xr:uid="{00000000-0005-0000-0000-0000F5930000}"/>
    <cellStyle name="常规 2 9 2 3 2 3" xfId="37878" xr:uid="{00000000-0005-0000-0000-0000F6930000}"/>
    <cellStyle name="常规 2 9 2 3 2 4" xfId="37879" xr:uid="{00000000-0005-0000-0000-0000F7930000}"/>
    <cellStyle name="常规 2 9 2 3 2 5" xfId="37880" xr:uid="{00000000-0005-0000-0000-0000F8930000}"/>
    <cellStyle name="常规 2 9 2 3 2 5 2" xfId="37881" xr:uid="{00000000-0005-0000-0000-0000F9930000}"/>
    <cellStyle name="常规 2 9 2 3 3" xfId="37882" xr:uid="{00000000-0005-0000-0000-0000FA930000}"/>
    <cellStyle name="常规 2 9 2 3 3 2" xfId="37883" xr:uid="{00000000-0005-0000-0000-0000FB930000}"/>
    <cellStyle name="常规 2 9 2 3 3 2 2" xfId="37884" xr:uid="{00000000-0005-0000-0000-0000FC930000}"/>
    <cellStyle name="常规 2 9 2 3 4" xfId="37885" xr:uid="{00000000-0005-0000-0000-0000FD930000}"/>
    <cellStyle name="常规 2 9 2 3 4 2" xfId="37886" xr:uid="{00000000-0005-0000-0000-0000FE930000}"/>
    <cellStyle name="常规 2 9 2 3 4 2 2" xfId="37887" xr:uid="{00000000-0005-0000-0000-0000FF930000}"/>
    <cellStyle name="常规 2 9 2 3 5" xfId="37888" xr:uid="{00000000-0005-0000-0000-000000940000}"/>
    <cellStyle name="常规 2 9 2 3 5 2" xfId="37889" xr:uid="{00000000-0005-0000-0000-000001940000}"/>
    <cellStyle name="常规 2 9 2 3 5 3" xfId="37890" xr:uid="{00000000-0005-0000-0000-000002940000}"/>
    <cellStyle name="常规 2 9 2 3 6" xfId="37891" xr:uid="{00000000-0005-0000-0000-000003940000}"/>
    <cellStyle name="常规 2 9 2 3 6 2" xfId="37892" xr:uid="{00000000-0005-0000-0000-000004940000}"/>
    <cellStyle name="常规 2 9 2 3 7" xfId="37893" xr:uid="{00000000-0005-0000-0000-000005940000}"/>
    <cellStyle name="常规 2 9 2 4" xfId="37894" xr:uid="{00000000-0005-0000-0000-000006940000}"/>
    <cellStyle name="常规 2 9 2 4 2" xfId="37895" xr:uid="{00000000-0005-0000-0000-000007940000}"/>
    <cellStyle name="常规 2 9 2 4 3" xfId="37896" xr:uid="{00000000-0005-0000-0000-000008940000}"/>
    <cellStyle name="常规 2 9 2 4 4" xfId="37897" xr:uid="{00000000-0005-0000-0000-000009940000}"/>
    <cellStyle name="常规 2 9 2 4 5" xfId="37898" xr:uid="{00000000-0005-0000-0000-00000A940000}"/>
    <cellStyle name="常规 2 9 2 4 5 2" xfId="37899" xr:uid="{00000000-0005-0000-0000-00000B940000}"/>
    <cellStyle name="常规 2 9 2 5" xfId="37900" xr:uid="{00000000-0005-0000-0000-00000C940000}"/>
    <cellStyle name="常规 2 9 2 5 2" xfId="37901" xr:uid="{00000000-0005-0000-0000-00000D940000}"/>
    <cellStyle name="常规 2 9 2 5 2 2" xfId="37902" xr:uid="{00000000-0005-0000-0000-00000E940000}"/>
    <cellStyle name="常规 2 9 2 6" xfId="37903" xr:uid="{00000000-0005-0000-0000-00000F940000}"/>
    <cellStyle name="常规 2 9 2 6 2" xfId="37904" xr:uid="{00000000-0005-0000-0000-000010940000}"/>
    <cellStyle name="常规 2 9 2 6 2 2" xfId="37905" xr:uid="{00000000-0005-0000-0000-000011940000}"/>
    <cellStyle name="常规 2 9 2 7" xfId="37906" xr:uid="{00000000-0005-0000-0000-000012940000}"/>
    <cellStyle name="常规 2 9 2 7 2" xfId="37907" xr:uid="{00000000-0005-0000-0000-000013940000}"/>
    <cellStyle name="常规 2 9 2 7 2 2" xfId="37908" xr:uid="{00000000-0005-0000-0000-000014940000}"/>
    <cellStyle name="常规 2 9 2 8" xfId="37909" xr:uid="{00000000-0005-0000-0000-000015940000}"/>
    <cellStyle name="常规 2 9 2 8 2" xfId="37910" xr:uid="{00000000-0005-0000-0000-000016940000}"/>
    <cellStyle name="常规 2 9 2 8 3" xfId="37911" xr:uid="{00000000-0005-0000-0000-000017940000}"/>
    <cellStyle name="常规 2 9 2 9" xfId="37912" xr:uid="{00000000-0005-0000-0000-000018940000}"/>
    <cellStyle name="常规 2 9 2 9 2" xfId="37913" xr:uid="{00000000-0005-0000-0000-000019940000}"/>
    <cellStyle name="常规 2 9 3" xfId="37914" xr:uid="{00000000-0005-0000-0000-00001A940000}"/>
    <cellStyle name="常规 2 9 3 2" xfId="37915" xr:uid="{00000000-0005-0000-0000-00001B940000}"/>
    <cellStyle name="常规 2 9 3 2 2" xfId="37916" xr:uid="{00000000-0005-0000-0000-00001C940000}"/>
    <cellStyle name="常规 2 9 3 2 2 2" xfId="37917" xr:uid="{00000000-0005-0000-0000-00001D940000}"/>
    <cellStyle name="常规 2 9 3 2 2 2 2" xfId="37918" xr:uid="{00000000-0005-0000-0000-00001E940000}"/>
    <cellStyle name="常规 2 9 3 2 3" xfId="37919" xr:uid="{00000000-0005-0000-0000-00001F940000}"/>
    <cellStyle name="常规 2 9 3 2 3 2" xfId="37920" xr:uid="{00000000-0005-0000-0000-000020940000}"/>
    <cellStyle name="常规 2 9 3 2 3 2 2" xfId="37921" xr:uid="{00000000-0005-0000-0000-000021940000}"/>
    <cellStyle name="常规 2 9 3 2 4" xfId="37922" xr:uid="{00000000-0005-0000-0000-000022940000}"/>
    <cellStyle name="常规 2 9 3 2 4 2" xfId="37923" xr:uid="{00000000-0005-0000-0000-000023940000}"/>
    <cellStyle name="常规 2 9 3 2 4 2 2" xfId="37924" xr:uid="{00000000-0005-0000-0000-000024940000}"/>
    <cellStyle name="常规 2 9 3 2 5" xfId="37925" xr:uid="{00000000-0005-0000-0000-000025940000}"/>
    <cellStyle name="常规 2 9 3 2 5 2" xfId="37926" xr:uid="{00000000-0005-0000-0000-000026940000}"/>
    <cellStyle name="常规 2 9 3 2 5 3" xfId="37927" xr:uid="{00000000-0005-0000-0000-000027940000}"/>
    <cellStyle name="常规 2 9 3 2 6" xfId="37928" xr:uid="{00000000-0005-0000-0000-000028940000}"/>
    <cellStyle name="常规 2 9 3 3" xfId="37929" xr:uid="{00000000-0005-0000-0000-000029940000}"/>
    <cellStyle name="常规 2 9 3 3 2" xfId="37930" xr:uid="{00000000-0005-0000-0000-00002A940000}"/>
    <cellStyle name="常规 2 9 3 3 2 2" xfId="37931" xr:uid="{00000000-0005-0000-0000-00002B940000}"/>
    <cellStyle name="常规 2 9 3 3 2 2 2" xfId="37932" xr:uid="{00000000-0005-0000-0000-00002C940000}"/>
    <cellStyle name="常规 2 9 3 3 3" xfId="37933" xr:uid="{00000000-0005-0000-0000-00002D940000}"/>
    <cellStyle name="常规 2 9 3 3 3 2" xfId="37934" xr:uid="{00000000-0005-0000-0000-00002E940000}"/>
    <cellStyle name="常规 2 9 3 3 3 2 2" xfId="37935" xr:uid="{00000000-0005-0000-0000-00002F940000}"/>
    <cellStyle name="常规 2 9 3 3 4" xfId="37936" xr:uid="{00000000-0005-0000-0000-000030940000}"/>
    <cellStyle name="常规 2 9 3 3 4 2" xfId="37937" xr:uid="{00000000-0005-0000-0000-000031940000}"/>
    <cellStyle name="常规 2 9 3 3 5" xfId="37938" xr:uid="{00000000-0005-0000-0000-000032940000}"/>
    <cellStyle name="常规 2 9 3 4" xfId="37939" xr:uid="{00000000-0005-0000-0000-000033940000}"/>
    <cellStyle name="常规 2 9 3 4 2" xfId="37940" xr:uid="{00000000-0005-0000-0000-000034940000}"/>
    <cellStyle name="常规 2 9 3 4 2 2" xfId="37941" xr:uid="{00000000-0005-0000-0000-000035940000}"/>
    <cellStyle name="常规 2 9 3 5" xfId="37942" xr:uid="{00000000-0005-0000-0000-000036940000}"/>
    <cellStyle name="常规 2 9 3 5 2" xfId="37943" xr:uid="{00000000-0005-0000-0000-000037940000}"/>
    <cellStyle name="常规 2 9 3 5 2 2" xfId="37944" xr:uid="{00000000-0005-0000-0000-000038940000}"/>
    <cellStyle name="常规 2 9 3 6" xfId="37945" xr:uid="{00000000-0005-0000-0000-000039940000}"/>
    <cellStyle name="常规 2 9 3 7" xfId="37946" xr:uid="{00000000-0005-0000-0000-00003A940000}"/>
    <cellStyle name="常规 2 9 3 7 2" xfId="37947" xr:uid="{00000000-0005-0000-0000-00003B940000}"/>
    <cellStyle name="常规 2 9 3 7 3" xfId="37948" xr:uid="{00000000-0005-0000-0000-00003C940000}"/>
    <cellStyle name="常规 2 9 3 8" xfId="37949" xr:uid="{00000000-0005-0000-0000-00003D940000}"/>
    <cellStyle name="常规 2 9 3 8 2" xfId="37950" xr:uid="{00000000-0005-0000-0000-00003E940000}"/>
    <cellStyle name="常规 2 9 4" xfId="37951" xr:uid="{00000000-0005-0000-0000-00003F940000}"/>
    <cellStyle name="常规 2 9 4 2" xfId="37952" xr:uid="{00000000-0005-0000-0000-000040940000}"/>
    <cellStyle name="常规 2 9 4 2 2" xfId="37953" xr:uid="{00000000-0005-0000-0000-000041940000}"/>
    <cellStyle name="常规 2 9 4 2 3" xfId="37954" xr:uid="{00000000-0005-0000-0000-000042940000}"/>
    <cellStyle name="常规 2 9 4 2 4" xfId="37955" xr:uid="{00000000-0005-0000-0000-000043940000}"/>
    <cellStyle name="常规 2 9 4 2 5" xfId="37956" xr:uid="{00000000-0005-0000-0000-000044940000}"/>
    <cellStyle name="常规 2 9 4 2 5 2" xfId="37957" xr:uid="{00000000-0005-0000-0000-000045940000}"/>
    <cellStyle name="常规 2 9 4 3" xfId="37958" xr:uid="{00000000-0005-0000-0000-000046940000}"/>
    <cellStyle name="常规 2 9 4 3 2" xfId="37959" xr:uid="{00000000-0005-0000-0000-000047940000}"/>
    <cellStyle name="常规 2 9 4 3 2 2" xfId="37960" xr:uid="{00000000-0005-0000-0000-000048940000}"/>
    <cellStyle name="常规 2 9 4 4" xfId="37961" xr:uid="{00000000-0005-0000-0000-000049940000}"/>
    <cellStyle name="常规 2 9 4 4 2" xfId="37962" xr:uid="{00000000-0005-0000-0000-00004A940000}"/>
    <cellStyle name="常规 2 9 4 4 2 2" xfId="37963" xr:uid="{00000000-0005-0000-0000-00004B940000}"/>
    <cellStyle name="常规 2 9 4 5" xfId="37964" xr:uid="{00000000-0005-0000-0000-00004C940000}"/>
    <cellStyle name="常规 2 9 4 5 2" xfId="37965" xr:uid="{00000000-0005-0000-0000-00004D940000}"/>
    <cellStyle name="常规 2 9 4 5 3" xfId="37966" xr:uid="{00000000-0005-0000-0000-00004E940000}"/>
    <cellStyle name="常规 2 9 4 6" xfId="37967" xr:uid="{00000000-0005-0000-0000-00004F940000}"/>
    <cellStyle name="常规 2 9 4 6 2" xfId="37968" xr:uid="{00000000-0005-0000-0000-000050940000}"/>
    <cellStyle name="常规 2 9 4 7" xfId="37969" xr:uid="{00000000-0005-0000-0000-000051940000}"/>
    <cellStyle name="常规 2 9 5" xfId="37970" xr:uid="{00000000-0005-0000-0000-000052940000}"/>
    <cellStyle name="常规 2 9 5 2" xfId="37971" xr:uid="{00000000-0005-0000-0000-000053940000}"/>
    <cellStyle name="常规 2 9 5 3" xfId="37972" xr:uid="{00000000-0005-0000-0000-000054940000}"/>
    <cellStyle name="常规 2 9 5 4" xfId="37973" xr:uid="{00000000-0005-0000-0000-000055940000}"/>
    <cellStyle name="常规 2 9 5 5" xfId="37974" xr:uid="{00000000-0005-0000-0000-000056940000}"/>
    <cellStyle name="常规 2 9 5 5 2" xfId="37975" xr:uid="{00000000-0005-0000-0000-000057940000}"/>
    <cellStyle name="常规 2 9 6" xfId="37976" xr:uid="{00000000-0005-0000-0000-000058940000}"/>
    <cellStyle name="常规 2 9 6 2" xfId="37977" xr:uid="{00000000-0005-0000-0000-000059940000}"/>
    <cellStyle name="常规 2 9 6 2 2" xfId="37978" xr:uid="{00000000-0005-0000-0000-00005A940000}"/>
    <cellStyle name="常规 2 9 7" xfId="37979" xr:uid="{00000000-0005-0000-0000-00005B940000}"/>
    <cellStyle name="常规 2 9 7 2" xfId="37980" xr:uid="{00000000-0005-0000-0000-00005C940000}"/>
    <cellStyle name="常规 2 9 7 2 2" xfId="37981" xr:uid="{00000000-0005-0000-0000-00005D940000}"/>
    <cellStyle name="常规 2 9 8" xfId="37982" xr:uid="{00000000-0005-0000-0000-00005E940000}"/>
    <cellStyle name="常规 2 9 8 2" xfId="37983" xr:uid="{00000000-0005-0000-0000-00005F940000}"/>
    <cellStyle name="常规 2 9 8 2 2" xfId="37984" xr:uid="{00000000-0005-0000-0000-000060940000}"/>
    <cellStyle name="常规 2 9 9" xfId="37985" xr:uid="{00000000-0005-0000-0000-000061940000}"/>
    <cellStyle name="常规 2 9 9 2" xfId="37986" xr:uid="{00000000-0005-0000-0000-000062940000}"/>
    <cellStyle name="常规 2 9 9 3" xfId="37987" xr:uid="{00000000-0005-0000-0000-000063940000}"/>
    <cellStyle name="常规 20" xfId="37988" xr:uid="{00000000-0005-0000-0000-000064940000}"/>
    <cellStyle name="常规 20 2" xfId="37989" xr:uid="{00000000-0005-0000-0000-000065940000}"/>
    <cellStyle name="常规 20 3" xfId="37990" xr:uid="{00000000-0005-0000-0000-000066940000}"/>
    <cellStyle name="常规 20 3 2" xfId="37991" xr:uid="{00000000-0005-0000-0000-000067940000}"/>
    <cellStyle name="常规 20 3 2 2" xfId="37992" xr:uid="{00000000-0005-0000-0000-000068940000}"/>
    <cellStyle name="常规 20 3 3" xfId="37993" xr:uid="{00000000-0005-0000-0000-000069940000}"/>
    <cellStyle name="常规 20 4" xfId="37994" xr:uid="{00000000-0005-0000-0000-00006A940000}"/>
    <cellStyle name="常规 20 4 2" xfId="37995" xr:uid="{00000000-0005-0000-0000-00006B940000}"/>
    <cellStyle name="常规 20 4 2 2" xfId="37996" xr:uid="{00000000-0005-0000-0000-00006C940000}"/>
    <cellStyle name="常规 20 5" xfId="37997" xr:uid="{00000000-0005-0000-0000-00006D940000}"/>
    <cellStyle name="常规 20 5 2" xfId="37998" xr:uid="{00000000-0005-0000-0000-00006E940000}"/>
    <cellStyle name="常规 20 6" xfId="37999" xr:uid="{00000000-0005-0000-0000-00006F940000}"/>
    <cellStyle name="常规 21" xfId="38000" xr:uid="{00000000-0005-0000-0000-000070940000}"/>
    <cellStyle name="常规 21 2" xfId="38001" xr:uid="{00000000-0005-0000-0000-000071940000}"/>
    <cellStyle name="常规 21 2 2" xfId="38002" xr:uid="{00000000-0005-0000-0000-000072940000}"/>
    <cellStyle name="常规 22" xfId="38003" xr:uid="{00000000-0005-0000-0000-000073940000}"/>
    <cellStyle name="常规 22 10" xfId="38004" xr:uid="{00000000-0005-0000-0000-000074940000}"/>
    <cellStyle name="常规 22 10 2" xfId="38005" xr:uid="{00000000-0005-0000-0000-000075940000}"/>
    <cellStyle name="常规 22 11" xfId="38006" xr:uid="{00000000-0005-0000-0000-000076940000}"/>
    <cellStyle name="常规 22 11 2" xfId="38007" xr:uid="{00000000-0005-0000-0000-000077940000}"/>
    <cellStyle name="常规 22 12" xfId="38008" xr:uid="{00000000-0005-0000-0000-000078940000}"/>
    <cellStyle name="常规 22 12 2" xfId="38009" xr:uid="{00000000-0005-0000-0000-000079940000}"/>
    <cellStyle name="常规 22 13" xfId="38010" xr:uid="{00000000-0005-0000-0000-00007A940000}"/>
    <cellStyle name="常规 22 14" xfId="38011" xr:uid="{00000000-0005-0000-0000-00007B940000}"/>
    <cellStyle name="常规 22 2" xfId="38012" xr:uid="{00000000-0005-0000-0000-00007C940000}"/>
    <cellStyle name="常规 22 2 10" xfId="38013" xr:uid="{00000000-0005-0000-0000-00007D940000}"/>
    <cellStyle name="常规 22 2 11" xfId="38014" xr:uid="{00000000-0005-0000-0000-00007E940000}"/>
    <cellStyle name="常规 22 2 2" xfId="38015" xr:uid="{00000000-0005-0000-0000-00007F940000}"/>
    <cellStyle name="常规 22 2 2 2" xfId="38016" xr:uid="{00000000-0005-0000-0000-000080940000}"/>
    <cellStyle name="常规 22 2 2 3" xfId="38017" xr:uid="{00000000-0005-0000-0000-000081940000}"/>
    <cellStyle name="常规 22 2 3" xfId="38018" xr:uid="{00000000-0005-0000-0000-000082940000}"/>
    <cellStyle name="常规 22 2 3 2" xfId="38019" xr:uid="{00000000-0005-0000-0000-000083940000}"/>
    <cellStyle name="常规 22 2 3 3" xfId="38020" xr:uid="{00000000-0005-0000-0000-000084940000}"/>
    <cellStyle name="常规 22 2 4" xfId="38021" xr:uid="{00000000-0005-0000-0000-000085940000}"/>
    <cellStyle name="常规 22 2 4 2" xfId="38022" xr:uid="{00000000-0005-0000-0000-000086940000}"/>
    <cellStyle name="常规 22 2 4 3" xfId="38023" xr:uid="{00000000-0005-0000-0000-000087940000}"/>
    <cellStyle name="常规 22 2 5" xfId="38024" xr:uid="{00000000-0005-0000-0000-000088940000}"/>
    <cellStyle name="常规 22 2 5 2" xfId="38025" xr:uid="{00000000-0005-0000-0000-000089940000}"/>
    <cellStyle name="常规 22 2 6" xfId="38026" xr:uid="{00000000-0005-0000-0000-00008A940000}"/>
    <cellStyle name="常规 22 2 6 2" xfId="38027" xr:uid="{00000000-0005-0000-0000-00008B940000}"/>
    <cellStyle name="常规 22 2 7" xfId="38028" xr:uid="{00000000-0005-0000-0000-00008C940000}"/>
    <cellStyle name="常规 22 2 7 2" xfId="38029" xr:uid="{00000000-0005-0000-0000-00008D940000}"/>
    <cellStyle name="常规 22 2 8" xfId="38030" xr:uid="{00000000-0005-0000-0000-00008E940000}"/>
    <cellStyle name="常规 22 2 8 2" xfId="38031" xr:uid="{00000000-0005-0000-0000-00008F940000}"/>
    <cellStyle name="常规 22 2 9" xfId="38032" xr:uid="{00000000-0005-0000-0000-000090940000}"/>
    <cellStyle name="常规 22 2 9 2" xfId="38033" xr:uid="{00000000-0005-0000-0000-000091940000}"/>
    <cellStyle name="常规 22 3" xfId="38034" xr:uid="{00000000-0005-0000-0000-000092940000}"/>
    <cellStyle name="常规 22 3 2" xfId="38035" xr:uid="{00000000-0005-0000-0000-000093940000}"/>
    <cellStyle name="常规 22 3 2 2" xfId="38036" xr:uid="{00000000-0005-0000-0000-000094940000}"/>
    <cellStyle name="常规 22 3 3" xfId="38037" xr:uid="{00000000-0005-0000-0000-000095940000}"/>
    <cellStyle name="常规 22 3 3 2" xfId="38038" xr:uid="{00000000-0005-0000-0000-000096940000}"/>
    <cellStyle name="常规 22 3 4" xfId="38039" xr:uid="{00000000-0005-0000-0000-000097940000}"/>
    <cellStyle name="常规 22 3 5" xfId="38040" xr:uid="{00000000-0005-0000-0000-000098940000}"/>
    <cellStyle name="常规 22 4" xfId="38041" xr:uid="{00000000-0005-0000-0000-000099940000}"/>
    <cellStyle name="常规 22 4 2" xfId="38042" xr:uid="{00000000-0005-0000-0000-00009A940000}"/>
    <cellStyle name="常规 22 4 2 2" xfId="38043" xr:uid="{00000000-0005-0000-0000-00009B940000}"/>
    <cellStyle name="常规 22 4 3" xfId="38044" xr:uid="{00000000-0005-0000-0000-00009C940000}"/>
    <cellStyle name="常规 22 4 4" xfId="38045" xr:uid="{00000000-0005-0000-0000-00009D940000}"/>
    <cellStyle name="常规 22 5" xfId="38046" xr:uid="{00000000-0005-0000-0000-00009E940000}"/>
    <cellStyle name="常规 22 5 2" xfId="38047" xr:uid="{00000000-0005-0000-0000-00009F940000}"/>
    <cellStyle name="常规 22 5 2 2" xfId="38048" xr:uid="{00000000-0005-0000-0000-0000A0940000}"/>
    <cellStyle name="常规 22 5 3" xfId="38049" xr:uid="{00000000-0005-0000-0000-0000A1940000}"/>
    <cellStyle name="常规 22 5 4" xfId="38050" xr:uid="{00000000-0005-0000-0000-0000A2940000}"/>
    <cellStyle name="常规 22 6" xfId="38051" xr:uid="{00000000-0005-0000-0000-0000A3940000}"/>
    <cellStyle name="常规 22 6 2" xfId="38052" xr:uid="{00000000-0005-0000-0000-0000A4940000}"/>
    <cellStyle name="常规 22 6 3" xfId="38053" xr:uid="{00000000-0005-0000-0000-0000A5940000}"/>
    <cellStyle name="常规 22 7" xfId="38054" xr:uid="{00000000-0005-0000-0000-0000A6940000}"/>
    <cellStyle name="常规 22 7 2" xfId="38055" xr:uid="{00000000-0005-0000-0000-0000A7940000}"/>
    <cellStyle name="常规 22 7 3" xfId="38056" xr:uid="{00000000-0005-0000-0000-0000A8940000}"/>
    <cellStyle name="常规 22 8" xfId="38057" xr:uid="{00000000-0005-0000-0000-0000A9940000}"/>
    <cellStyle name="常规 22 8 2" xfId="38058" xr:uid="{00000000-0005-0000-0000-0000AA940000}"/>
    <cellStyle name="常规 22 9" xfId="38059" xr:uid="{00000000-0005-0000-0000-0000AB940000}"/>
    <cellStyle name="常规 22 9 2" xfId="38060" xr:uid="{00000000-0005-0000-0000-0000AC940000}"/>
    <cellStyle name="常规 23" xfId="38061" xr:uid="{00000000-0005-0000-0000-0000AD940000}"/>
    <cellStyle name="常规 23 2" xfId="38062" xr:uid="{00000000-0005-0000-0000-0000AE940000}"/>
    <cellStyle name="常规 24" xfId="38063" xr:uid="{00000000-0005-0000-0000-0000AF940000}"/>
    <cellStyle name="常规 24 2" xfId="38064" xr:uid="{00000000-0005-0000-0000-0000B0940000}"/>
    <cellStyle name="常规 24 3" xfId="38065" xr:uid="{00000000-0005-0000-0000-0000B1940000}"/>
    <cellStyle name="常规 29" xfId="38066" xr:uid="{00000000-0005-0000-0000-0000B2940000}"/>
    <cellStyle name="常规 3" xfId="38067" xr:uid="{00000000-0005-0000-0000-0000B3940000}"/>
    <cellStyle name="常规 3 10" xfId="38068" xr:uid="{00000000-0005-0000-0000-0000B4940000}"/>
    <cellStyle name="常规 3 10 2" xfId="38069" xr:uid="{00000000-0005-0000-0000-0000B5940000}"/>
    <cellStyle name="常规 3 10 2 2" xfId="38070" xr:uid="{00000000-0005-0000-0000-0000B6940000}"/>
    <cellStyle name="常规 3 10 2 3" xfId="38071" xr:uid="{00000000-0005-0000-0000-0000B7940000}"/>
    <cellStyle name="常规 3 10 2 4" xfId="38072" xr:uid="{00000000-0005-0000-0000-0000B8940000}"/>
    <cellStyle name="常规 3 10 2 4 2" xfId="38073" xr:uid="{00000000-0005-0000-0000-0000B9940000}"/>
    <cellStyle name="常规 3 10 2 4 3" xfId="38074" xr:uid="{00000000-0005-0000-0000-0000BA940000}"/>
    <cellStyle name="常规 3 10 2 5" xfId="38075" xr:uid="{00000000-0005-0000-0000-0000BB940000}"/>
    <cellStyle name="常规 3 10 2 5 2" xfId="38076" xr:uid="{00000000-0005-0000-0000-0000BC940000}"/>
    <cellStyle name="常规 3 10 3" xfId="38077" xr:uid="{00000000-0005-0000-0000-0000BD940000}"/>
    <cellStyle name="常规 3 10 3 2" xfId="38078" xr:uid="{00000000-0005-0000-0000-0000BE940000}"/>
    <cellStyle name="常规 3 10 3 2 2" xfId="38079" xr:uid="{00000000-0005-0000-0000-0000BF940000}"/>
    <cellStyle name="常规 3 10 4" xfId="38080" xr:uid="{00000000-0005-0000-0000-0000C0940000}"/>
    <cellStyle name="常规 3 10 4 2" xfId="38081" xr:uid="{00000000-0005-0000-0000-0000C1940000}"/>
    <cellStyle name="常规 3 10 4 2 2" xfId="38082" xr:uid="{00000000-0005-0000-0000-0000C2940000}"/>
    <cellStyle name="常规 3 10 5" xfId="38083" xr:uid="{00000000-0005-0000-0000-0000C3940000}"/>
    <cellStyle name="常规 3 10 6" xfId="38084" xr:uid="{00000000-0005-0000-0000-0000C4940000}"/>
    <cellStyle name="常规 3 10 7" xfId="38085" xr:uid="{00000000-0005-0000-0000-0000C5940000}"/>
    <cellStyle name="常规 3 10 7 2" xfId="38086" xr:uid="{00000000-0005-0000-0000-0000C6940000}"/>
    <cellStyle name="常规 3 10 7 3" xfId="38087" xr:uid="{00000000-0005-0000-0000-0000C7940000}"/>
    <cellStyle name="常规 3 10 8" xfId="38088" xr:uid="{00000000-0005-0000-0000-0000C8940000}"/>
    <cellStyle name="常规 3 10 8 2" xfId="38089" xr:uid="{00000000-0005-0000-0000-0000C9940000}"/>
    <cellStyle name="常规 3 11" xfId="38090" xr:uid="{00000000-0005-0000-0000-0000CA940000}"/>
    <cellStyle name="常规 3 11 2" xfId="38091" xr:uid="{00000000-0005-0000-0000-0000CB940000}"/>
    <cellStyle name="常规 3 11 2 2" xfId="38092" xr:uid="{00000000-0005-0000-0000-0000CC940000}"/>
    <cellStyle name="常规 3 11 2 3" xfId="38093" xr:uid="{00000000-0005-0000-0000-0000CD940000}"/>
    <cellStyle name="常规 3 11 2 4" xfId="38094" xr:uid="{00000000-0005-0000-0000-0000CE940000}"/>
    <cellStyle name="常规 3 11 2 4 2" xfId="38095" xr:uid="{00000000-0005-0000-0000-0000CF940000}"/>
    <cellStyle name="常规 3 11 2 5" xfId="38096" xr:uid="{00000000-0005-0000-0000-0000D0940000}"/>
    <cellStyle name="常规 3 11 2 5 2" xfId="38097" xr:uid="{00000000-0005-0000-0000-0000D1940000}"/>
    <cellStyle name="常规 3 11 3" xfId="38098" xr:uid="{00000000-0005-0000-0000-0000D2940000}"/>
    <cellStyle name="常规 3 11 4" xfId="38099" xr:uid="{00000000-0005-0000-0000-0000D3940000}"/>
    <cellStyle name="常规 3 11 5" xfId="38100" xr:uid="{00000000-0005-0000-0000-0000D4940000}"/>
    <cellStyle name="常规 3 11 6" xfId="38101" xr:uid="{00000000-0005-0000-0000-0000D5940000}"/>
    <cellStyle name="常规 3 11 7" xfId="38102" xr:uid="{00000000-0005-0000-0000-0000D6940000}"/>
    <cellStyle name="常规 3 11 7 2" xfId="38103" xr:uid="{00000000-0005-0000-0000-0000D7940000}"/>
    <cellStyle name="常规 3 11 7 3" xfId="38104" xr:uid="{00000000-0005-0000-0000-0000D8940000}"/>
    <cellStyle name="常规 3 11 8" xfId="38105" xr:uid="{00000000-0005-0000-0000-0000D9940000}"/>
    <cellStyle name="常规 3 11 8 2" xfId="38106" xr:uid="{00000000-0005-0000-0000-0000DA940000}"/>
    <cellStyle name="常规 3 12" xfId="38107" xr:uid="{00000000-0005-0000-0000-0000DB940000}"/>
    <cellStyle name="常规 3 12 2" xfId="38108" xr:uid="{00000000-0005-0000-0000-0000DC940000}"/>
    <cellStyle name="常规 3 12 2 2" xfId="38109" xr:uid="{00000000-0005-0000-0000-0000DD940000}"/>
    <cellStyle name="常规 3 12 2 3" xfId="38110" xr:uid="{00000000-0005-0000-0000-0000DE940000}"/>
    <cellStyle name="常规 3 12 2 4" xfId="38111" xr:uid="{00000000-0005-0000-0000-0000DF940000}"/>
    <cellStyle name="常规 3 12 2 4 2" xfId="38112" xr:uid="{00000000-0005-0000-0000-0000E0940000}"/>
    <cellStyle name="常规 3 12 2 5" xfId="38113" xr:uid="{00000000-0005-0000-0000-0000E1940000}"/>
    <cellStyle name="常规 3 12 2 5 2" xfId="38114" xr:uid="{00000000-0005-0000-0000-0000E2940000}"/>
    <cellStyle name="常规 3 12 3" xfId="38115" xr:uid="{00000000-0005-0000-0000-0000E3940000}"/>
    <cellStyle name="常规 3 12 4" xfId="38116" xr:uid="{00000000-0005-0000-0000-0000E4940000}"/>
    <cellStyle name="常规 3 12 5" xfId="38117" xr:uid="{00000000-0005-0000-0000-0000E5940000}"/>
    <cellStyle name="常规 3 12 6" xfId="38118" xr:uid="{00000000-0005-0000-0000-0000E6940000}"/>
    <cellStyle name="常规 3 12 6 2" xfId="38119" xr:uid="{00000000-0005-0000-0000-0000E7940000}"/>
    <cellStyle name="常规 3 12 6 3" xfId="38120" xr:uid="{00000000-0005-0000-0000-0000E8940000}"/>
    <cellStyle name="常规 3 12 7" xfId="38121" xr:uid="{00000000-0005-0000-0000-0000E9940000}"/>
    <cellStyle name="常规 3 12 7 2" xfId="38122" xr:uid="{00000000-0005-0000-0000-0000EA940000}"/>
    <cellStyle name="常规 3 13" xfId="38123" xr:uid="{00000000-0005-0000-0000-0000EB940000}"/>
    <cellStyle name="常规 3 13 2" xfId="38124" xr:uid="{00000000-0005-0000-0000-0000EC940000}"/>
    <cellStyle name="常规 3 13 2 2" xfId="38125" xr:uid="{00000000-0005-0000-0000-0000ED940000}"/>
    <cellStyle name="常规 3 13 2 3" xfId="38126" xr:uid="{00000000-0005-0000-0000-0000EE940000}"/>
    <cellStyle name="常规 3 13 2 4" xfId="38127" xr:uid="{00000000-0005-0000-0000-0000EF940000}"/>
    <cellStyle name="常规 3 13 2 4 2" xfId="38128" xr:uid="{00000000-0005-0000-0000-0000F0940000}"/>
    <cellStyle name="常规 3 13 2 5" xfId="38129" xr:uid="{00000000-0005-0000-0000-0000F1940000}"/>
    <cellStyle name="常规 3 13 2 5 2" xfId="38130" xr:uid="{00000000-0005-0000-0000-0000F2940000}"/>
    <cellStyle name="常规 3 13 3" xfId="38131" xr:uid="{00000000-0005-0000-0000-0000F3940000}"/>
    <cellStyle name="常规 3 13 4" xfId="38132" xr:uid="{00000000-0005-0000-0000-0000F4940000}"/>
    <cellStyle name="常规 3 13 5" xfId="38133" xr:uid="{00000000-0005-0000-0000-0000F5940000}"/>
    <cellStyle name="常规 3 13 6" xfId="38134" xr:uid="{00000000-0005-0000-0000-0000F6940000}"/>
    <cellStyle name="常规 3 13 6 2" xfId="38135" xr:uid="{00000000-0005-0000-0000-0000F7940000}"/>
    <cellStyle name="常规 3 13 6 3" xfId="38136" xr:uid="{00000000-0005-0000-0000-0000F8940000}"/>
    <cellStyle name="常规 3 13 7" xfId="38137" xr:uid="{00000000-0005-0000-0000-0000F9940000}"/>
    <cellStyle name="常规 3 13 7 2" xfId="38138" xr:uid="{00000000-0005-0000-0000-0000FA940000}"/>
    <cellStyle name="常规 3 14" xfId="38139" xr:uid="{00000000-0005-0000-0000-0000FB940000}"/>
    <cellStyle name="常规 3 14 2" xfId="38140" xr:uid="{00000000-0005-0000-0000-0000FC940000}"/>
    <cellStyle name="常规 3 14 2 2" xfId="38141" xr:uid="{00000000-0005-0000-0000-0000FD940000}"/>
    <cellStyle name="常规 3 14 2 2 2" xfId="38142" xr:uid="{00000000-0005-0000-0000-0000FE940000}"/>
    <cellStyle name="常规 3 14 2 2 2 2" xfId="38143" xr:uid="{00000000-0005-0000-0000-0000FF940000}"/>
    <cellStyle name="常规 3 14 2 3" xfId="38144" xr:uid="{00000000-0005-0000-0000-000000950000}"/>
    <cellStyle name="常规 3 14 2 3 2" xfId="38145" xr:uid="{00000000-0005-0000-0000-000001950000}"/>
    <cellStyle name="常规 3 14 2 4" xfId="38146" xr:uid="{00000000-0005-0000-0000-000002950000}"/>
    <cellStyle name="常规 3 14 2 4 2" xfId="38147" xr:uid="{00000000-0005-0000-0000-000003950000}"/>
    <cellStyle name="常规 3 14 2 5" xfId="38148" xr:uid="{00000000-0005-0000-0000-000004950000}"/>
    <cellStyle name="常规 3 14 3" xfId="38149" xr:uid="{00000000-0005-0000-0000-000005950000}"/>
    <cellStyle name="常规 3 14 4" xfId="38150" xr:uid="{00000000-0005-0000-0000-000006950000}"/>
    <cellStyle name="常规 3 14 4 2" xfId="38151" xr:uid="{00000000-0005-0000-0000-000007950000}"/>
    <cellStyle name="常规 3 14 4 3" xfId="38152" xr:uid="{00000000-0005-0000-0000-000008950000}"/>
    <cellStyle name="常规 3 14 5" xfId="38153" xr:uid="{00000000-0005-0000-0000-000009950000}"/>
    <cellStyle name="常规 3 14 5 2" xfId="38154" xr:uid="{00000000-0005-0000-0000-00000A950000}"/>
    <cellStyle name="常规 3 15" xfId="38155" xr:uid="{00000000-0005-0000-0000-00000B950000}"/>
    <cellStyle name="常规 3 15 2" xfId="38156" xr:uid="{00000000-0005-0000-0000-00000C950000}"/>
    <cellStyle name="常规 3 15 2 2" xfId="38157" xr:uid="{00000000-0005-0000-0000-00000D950000}"/>
    <cellStyle name="常规 3 15 2 2 2" xfId="38158" xr:uid="{00000000-0005-0000-0000-00000E950000}"/>
    <cellStyle name="常规 3 15 2 2 2 2" xfId="38159" xr:uid="{00000000-0005-0000-0000-00000F950000}"/>
    <cellStyle name="常规 3 15 2 3" xfId="38160" xr:uid="{00000000-0005-0000-0000-000010950000}"/>
    <cellStyle name="常规 3 15 2 3 2" xfId="38161" xr:uid="{00000000-0005-0000-0000-000011950000}"/>
    <cellStyle name="常规 3 15 2 4" xfId="38162" xr:uid="{00000000-0005-0000-0000-000012950000}"/>
    <cellStyle name="常规 3 15 2 4 2" xfId="38163" xr:uid="{00000000-0005-0000-0000-000013950000}"/>
    <cellStyle name="常规 3 15 2 5" xfId="38164" xr:uid="{00000000-0005-0000-0000-000014950000}"/>
    <cellStyle name="常规 3 15 3" xfId="38165" xr:uid="{00000000-0005-0000-0000-000015950000}"/>
    <cellStyle name="常规 3 15 3 2" xfId="38166" xr:uid="{00000000-0005-0000-0000-000016950000}"/>
    <cellStyle name="常规 3 15 3 2 2" xfId="38167" xr:uid="{00000000-0005-0000-0000-000017950000}"/>
    <cellStyle name="常规 3 15 4" xfId="38168" xr:uid="{00000000-0005-0000-0000-000018950000}"/>
    <cellStyle name="常规 3 15 4 2" xfId="38169" xr:uid="{00000000-0005-0000-0000-000019950000}"/>
    <cellStyle name="常规 3 15 4 2 2" xfId="38170" xr:uid="{00000000-0005-0000-0000-00001A950000}"/>
    <cellStyle name="常规 3 15 5" xfId="38171" xr:uid="{00000000-0005-0000-0000-00001B950000}"/>
    <cellStyle name="常规 3 15 5 2" xfId="38172" xr:uid="{00000000-0005-0000-0000-00001C950000}"/>
    <cellStyle name="常规 3 15 6" xfId="38173" xr:uid="{00000000-0005-0000-0000-00001D950000}"/>
    <cellStyle name="常规 3 16" xfId="38174" xr:uid="{00000000-0005-0000-0000-00001E950000}"/>
    <cellStyle name="常规 3 16 2" xfId="38175" xr:uid="{00000000-0005-0000-0000-00001F950000}"/>
    <cellStyle name="常规 3 16 2 2" xfId="38176" xr:uid="{00000000-0005-0000-0000-000020950000}"/>
    <cellStyle name="常规 3 16 2 2 2" xfId="38177" xr:uid="{00000000-0005-0000-0000-000021950000}"/>
    <cellStyle name="常规 3 16 2 2 2 2" xfId="38178" xr:uid="{00000000-0005-0000-0000-000022950000}"/>
    <cellStyle name="常规 3 16 2 3" xfId="38179" xr:uid="{00000000-0005-0000-0000-000023950000}"/>
    <cellStyle name="常规 3 16 2 3 2" xfId="38180" xr:uid="{00000000-0005-0000-0000-000024950000}"/>
    <cellStyle name="常规 3 16 2 4" xfId="38181" xr:uid="{00000000-0005-0000-0000-000025950000}"/>
    <cellStyle name="常规 3 16 2 4 2" xfId="38182" xr:uid="{00000000-0005-0000-0000-000026950000}"/>
    <cellStyle name="常规 3 16 2 5" xfId="38183" xr:uid="{00000000-0005-0000-0000-000027950000}"/>
    <cellStyle name="常规 3 16 3" xfId="38184" xr:uid="{00000000-0005-0000-0000-000028950000}"/>
    <cellStyle name="常规 3 16 3 2" xfId="38185" xr:uid="{00000000-0005-0000-0000-000029950000}"/>
    <cellStyle name="常规 3 16 3 2 2" xfId="38186" xr:uid="{00000000-0005-0000-0000-00002A950000}"/>
    <cellStyle name="常规 3 16 4" xfId="38187" xr:uid="{00000000-0005-0000-0000-00002B950000}"/>
    <cellStyle name="常规 3 16 4 2" xfId="38188" xr:uid="{00000000-0005-0000-0000-00002C950000}"/>
    <cellStyle name="常规 3 16 5" xfId="38189" xr:uid="{00000000-0005-0000-0000-00002D950000}"/>
    <cellStyle name="常规 3 16 5 2" xfId="38190" xr:uid="{00000000-0005-0000-0000-00002E950000}"/>
    <cellStyle name="常规 3 16 6" xfId="38191" xr:uid="{00000000-0005-0000-0000-00002F950000}"/>
    <cellStyle name="常规 3 17" xfId="38192" xr:uid="{00000000-0005-0000-0000-000030950000}"/>
    <cellStyle name="常规 3 17 2" xfId="38193" xr:uid="{00000000-0005-0000-0000-000031950000}"/>
    <cellStyle name="常规 3 17 2 2" xfId="38194" xr:uid="{00000000-0005-0000-0000-000032950000}"/>
    <cellStyle name="常规 3 17 2 2 2" xfId="38195" xr:uid="{00000000-0005-0000-0000-000033950000}"/>
    <cellStyle name="常规 3 17 3" xfId="38196" xr:uid="{00000000-0005-0000-0000-000034950000}"/>
    <cellStyle name="常规 3 17 3 2" xfId="38197" xr:uid="{00000000-0005-0000-0000-000035950000}"/>
    <cellStyle name="常规 3 17 4" xfId="38198" xr:uid="{00000000-0005-0000-0000-000036950000}"/>
    <cellStyle name="常规 3 17 4 2" xfId="38199" xr:uid="{00000000-0005-0000-0000-000037950000}"/>
    <cellStyle name="常规 3 17 5" xfId="38200" xr:uid="{00000000-0005-0000-0000-000038950000}"/>
    <cellStyle name="常规 3 18" xfId="38201" xr:uid="{00000000-0005-0000-0000-000039950000}"/>
    <cellStyle name="常规 3 19" xfId="38202" xr:uid="{00000000-0005-0000-0000-00003A950000}"/>
    <cellStyle name="常规 3 19 2" xfId="38203" xr:uid="{00000000-0005-0000-0000-00003B950000}"/>
    <cellStyle name="常规 3 19 2 2" xfId="38204" xr:uid="{00000000-0005-0000-0000-00003C950000}"/>
    <cellStyle name="常规 3 19 3" xfId="38205" xr:uid="{00000000-0005-0000-0000-00003D950000}"/>
    <cellStyle name="常规 3 19 3 2" xfId="38206" xr:uid="{00000000-0005-0000-0000-00003E950000}"/>
    <cellStyle name="常规 3 19 3 3" xfId="38207" xr:uid="{00000000-0005-0000-0000-00003F950000}"/>
    <cellStyle name="常规 3 19 4" xfId="38208" xr:uid="{00000000-0005-0000-0000-000040950000}"/>
    <cellStyle name="常规 3 19 5" xfId="38209" xr:uid="{00000000-0005-0000-0000-000041950000}"/>
    <cellStyle name="常规 3 2" xfId="38210" xr:uid="{00000000-0005-0000-0000-000042950000}"/>
    <cellStyle name="常规 3 2 10" xfId="38211" xr:uid="{00000000-0005-0000-0000-000043950000}"/>
    <cellStyle name="常规 3 2 10 2" xfId="38212" xr:uid="{00000000-0005-0000-0000-000044950000}"/>
    <cellStyle name="常规 3 2 10 2 2" xfId="38213" xr:uid="{00000000-0005-0000-0000-000045950000}"/>
    <cellStyle name="常规 3 2 10 2 2 2" xfId="38214" xr:uid="{00000000-0005-0000-0000-000046950000}"/>
    <cellStyle name="常规 3 2 10 2 2 2 2" xfId="38215" xr:uid="{00000000-0005-0000-0000-000047950000}"/>
    <cellStyle name="常规 3 2 10 2 3" xfId="38216" xr:uid="{00000000-0005-0000-0000-000048950000}"/>
    <cellStyle name="常规 3 2 10 2 3 2" xfId="38217" xr:uid="{00000000-0005-0000-0000-000049950000}"/>
    <cellStyle name="常规 3 2 10 2 4" xfId="38218" xr:uid="{00000000-0005-0000-0000-00004A950000}"/>
    <cellStyle name="常规 3 2 10 2 4 2" xfId="38219" xr:uid="{00000000-0005-0000-0000-00004B950000}"/>
    <cellStyle name="常规 3 2 10 2 5" xfId="38220" xr:uid="{00000000-0005-0000-0000-00004C950000}"/>
    <cellStyle name="常规 3 2 10 3" xfId="38221" xr:uid="{00000000-0005-0000-0000-00004D950000}"/>
    <cellStyle name="常规 3 2 10 3 2" xfId="38222" xr:uid="{00000000-0005-0000-0000-00004E950000}"/>
    <cellStyle name="常规 3 2 10 3 2 2" xfId="38223" xr:uid="{00000000-0005-0000-0000-00004F950000}"/>
    <cellStyle name="常规 3 2 10 4" xfId="38224" xr:uid="{00000000-0005-0000-0000-000050950000}"/>
    <cellStyle name="常规 3 2 10 4 2" xfId="38225" xr:uid="{00000000-0005-0000-0000-000051950000}"/>
    <cellStyle name="常规 3 2 10 5" xfId="38226" xr:uid="{00000000-0005-0000-0000-000052950000}"/>
    <cellStyle name="常规 3 2 10 5 2" xfId="38227" xr:uid="{00000000-0005-0000-0000-000053950000}"/>
    <cellStyle name="常规 3 2 10 6" xfId="38228" xr:uid="{00000000-0005-0000-0000-000054950000}"/>
    <cellStyle name="常规 3 2 11" xfId="38229" xr:uid="{00000000-0005-0000-0000-000055950000}"/>
    <cellStyle name="常规 3 2 11 2" xfId="38230" xr:uid="{00000000-0005-0000-0000-000056950000}"/>
    <cellStyle name="常规 3 2 11 2 2" xfId="38231" xr:uid="{00000000-0005-0000-0000-000057950000}"/>
    <cellStyle name="常规 3 2 11 2 2 2" xfId="38232" xr:uid="{00000000-0005-0000-0000-000058950000}"/>
    <cellStyle name="常规 3 2 11 3" xfId="38233" xr:uid="{00000000-0005-0000-0000-000059950000}"/>
    <cellStyle name="常规 3 2 11 3 2" xfId="38234" xr:uid="{00000000-0005-0000-0000-00005A950000}"/>
    <cellStyle name="常规 3 2 11 4" xfId="38235" xr:uid="{00000000-0005-0000-0000-00005B950000}"/>
    <cellStyle name="常规 3 2 11 4 2" xfId="38236" xr:uid="{00000000-0005-0000-0000-00005C950000}"/>
    <cellStyle name="常规 3 2 11 5" xfId="38237" xr:uid="{00000000-0005-0000-0000-00005D950000}"/>
    <cellStyle name="常规 3 2 12" xfId="38238" xr:uid="{00000000-0005-0000-0000-00005E950000}"/>
    <cellStyle name="常规 3 2 13" xfId="38239" xr:uid="{00000000-0005-0000-0000-00005F950000}"/>
    <cellStyle name="常规 3 2 13 2" xfId="38240" xr:uid="{00000000-0005-0000-0000-000060950000}"/>
    <cellStyle name="常规 3 2 13 2 2" xfId="38241" xr:uid="{00000000-0005-0000-0000-000061950000}"/>
    <cellStyle name="常规 3 2 13 3" xfId="38242" xr:uid="{00000000-0005-0000-0000-000062950000}"/>
    <cellStyle name="常规 3 2 13 3 2" xfId="38243" xr:uid="{00000000-0005-0000-0000-000063950000}"/>
    <cellStyle name="常规 3 2 14" xfId="38244" xr:uid="{00000000-0005-0000-0000-000064950000}"/>
    <cellStyle name="常规 3 2 14 2" xfId="38245" xr:uid="{00000000-0005-0000-0000-000065950000}"/>
    <cellStyle name="常规 3 2 2" xfId="38246" xr:uid="{00000000-0005-0000-0000-000066950000}"/>
    <cellStyle name="常规 3 2 2 10" xfId="38247" xr:uid="{00000000-0005-0000-0000-000067950000}"/>
    <cellStyle name="常规 3 2 2 2" xfId="38248" xr:uid="{00000000-0005-0000-0000-000068950000}"/>
    <cellStyle name="常规 3 2 2 2 2" xfId="38249" xr:uid="{00000000-0005-0000-0000-000069950000}"/>
    <cellStyle name="常规 3 2 2 2 2 2" xfId="38250" xr:uid="{00000000-0005-0000-0000-00006A950000}"/>
    <cellStyle name="常规 3 2 2 2 2 2 2" xfId="38251" xr:uid="{00000000-0005-0000-0000-00006B950000}"/>
    <cellStyle name="常规 3 2 2 2 2 2 3" xfId="38252" xr:uid="{00000000-0005-0000-0000-00006C950000}"/>
    <cellStyle name="常规 3 2 2 2 2 2 4" xfId="38253" xr:uid="{00000000-0005-0000-0000-00006D950000}"/>
    <cellStyle name="常规 3 2 2 2 2 2 5" xfId="38254" xr:uid="{00000000-0005-0000-0000-00006E950000}"/>
    <cellStyle name="常规 3 2 2 2 2 2 5 2" xfId="38255" xr:uid="{00000000-0005-0000-0000-00006F950000}"/>
    <cellStyle name="常规 3 2 2 2 2 3" xfId="38256" xr:uid="{00000000-0005-0000-0000-000070950000}"/>
    <cellStyle name="常规 3 2 2 2 2 3 2" xfId="38257" xr:uid="{00000000-0005-0000-0000-000071950000}"/>
    <cellStyle name="常规 3 2 2 2 2 3 2 2" xfId="38258" xr:uid="{00000000-0005-0000-0000-000072950000}"/>
    <cellStyle name="常规 3 2 2 2 2 4" xfId="38259" xr:uid="{00000000-0005-0000-0000-000073950000}"/>
    <cellStyle name="常规 3 2 2 2 2 4 2" xfId="38260" xr:uid="{00000000-0005-0000-0000-000074950000}"/>
    <cellStyle name="常规 3 2 2 2 2 4 2 2" xfId="38261" xr:uid="{00000000-0005-0000-0000-000075950000}"/>
    <cellStyle name="常规 3 2 2 2 2 5" xfId="38262" xr:uid="{00000000-0005-0000-0000-000076950000}"/>
    <cellStyle name="常规 3 2 2 2 2 5 2" xfId="38263" xr:uid="{00000000-0005-0000-0000-000077950000}"/>
    <cellStyle name="常规 3 2 2 2 2 5 3" xfId="38264" xr:uid="{00000000-0005-0000-0000-000078950000}"/>
    <cellStyle name="常规 3 2 2 2 2 6" xfId="38265" xr:uid="{00000000-0005-0000-0000-000079950000}"/>
    <cellStyle name="常规 3 2 2 2 2 6 2" xfId="38266" xr:uid="{00000000-0005-0000-0000-00007A950000}"/>
    <cellStyle name="常规 3 2 2 2 2 7" xfId="38267" xr:uid="{00000000-0005-0000-0000-00007B950000}"/>
    <cellStyle name="常规 3 2 2 2 3" xfId="38268" xr:uid="{00000000-0005-0000-0000-00007C950000}"/>
    <cellStyle name="常规 3 2 2 2 3 2" xfId="38269" xr:uid="{00000000-0005-0000-0000-00007D950000}"/>
    <cellStyle name="常规 3 2 2 2 3 2 2" xfId="38270" xr:uid="{00000000-0005-0000-0000-00007E950000}"/>
    <cellStyle name="常规 3 2 2 2 3 2 2 2" xfId="38271" xr:uid="{00000000-0005-0000-0000-00007F950000}"/>
    <cellStyle name="常规 3 2 2 2 3 2 3" xfId="38272" xr:uid="{00000000-0005-0000-0000-000080950000}"/>
    <cellStyle name="常规 3 2 2 2 3 2 4" xfId="38273" xr:uid="{00000000-0005-0000-0000-000081950000}"/>
    <cellStyle name="常规 3 2 2 2 3 2 5" xfId="38274" xr:uid="{00000000-0005-0000-0000-000082950000}"/>
    <cellStyle name="常规 3 2 2 2 3 2 5 2" xfId="38275" xr:uid="{00000000-0005-0000-0000-000083950000}"/>
    <cellStyle name="常规 3 2 2 2 3 2 6" xfId="38276" xr:uid="{00000000-0005-0000-0000-000084950000}"/>
    <cellStyle name="常规 3 2 2 2 3 3" xfId="38277" xr:uid="{00000000-0005-0000-0000-000085950000}"/>
    <cellStyle name="常规 3 2 2 2 3 3 2" xfId="38278" xr:uid="{00000000-0005-0000-0000-000086950000}"/>
    <cellStyle name="常规 3 2 2 2 3 3 2 2" xfId="38279" xr:uid="{00000000-0005-0000-0000-000087950000}"/>
    <cellStyle name="常规 3 2 2 2 3 4" xfId="38280" xr:uid="{00000000-0005-0000-0000-000088950000}"/>
    <cellStyle name="常规 3 2 2 2 3 4 2" xfId="38281" xr:uid="{00000000-0005-0000-0000-000089950000}"/>
    <cellStyle name="常规 3 2 2 2 3 4 3" xfId="38282" xr:uid="{00000000-0005-0000-0000-00008A950000}"/>
    <cellStyle name="常规 3 2 2 2 3 5" xfId="38283" xr:uid="{00000000-0005-0000-0000-00008B950000}"/>
    <cellStyle name="常规 3 2 2 2 3 5 2" xfId="38284" xr:uid="{00000000-0005-0000-0000-00008C950000}"/>
    <cellStyle name="常规 3 2 2 2 3 6" xfId="38285" xr:uid="{00000000-0005-0000-0000-00008D950000}"/>
    <cellStyle name="常规 3 2 2 2 3 6 2" xfId="38286" xr:uid="{00000000-0005-0000-0000-00008E950000}"/>
    <cellStyle name="常规 3 2 2 2 3 7" xfId="38287" xr:uid="{00000000-0005-0000-0000-00008F950000}"/>
    <cellStyle name="常规 3 2 2 2 4" xfId="38288" xr:uid="{00000000-0005-0000-0000-000090950000}"/>
    <cellStyle name="常规 3 2 2 2 4 2" xfId="38289" xr:uid="{00000000-0005-0000-0000-000091950000}"/>
    <cellStyle name="常规 3 2 2 2 4 3" xfId="38290" xr:uid="{00000000-0005-0000-0000-000092950000}"/>
    <cellStyle name="常规 3 2 2 2 4 4" xfId="38291" xr:uid="{00000000-0005-0000-0000-000093950000}"/>
    <cellStyle name="常规 3 2 2 2 4 5" xfId="38292" xr:uid="{00000000-0005-0000-0000-000094950000}"/>
    <cellStyle name="常规 3 2 2 2 4 5 2" xfId="38293" xr:uid="{00000000-0005-0000-0000-000095950000}"/>
    <cellStyle name="常规 3 2 2 2 5" xfId="38294" xr:uid="{00000000-0005-0000-0000-000096950000}"/>
    <cellStyle name="常规 3 2 2 2 5 2" xfId="38295" xr:uid="{00000000-0005-0000-0000-000097950000}"/>
    <cellStyle name="常规 3 2 2 2 5 2 2" xfId="38296" xr:uid="{00000000-0005-0000-0000-000098950000}"/>
    <cellStyle name="常规 3 2 2 2 6" xfId="38297" xr:uid="{00000000-0005-0000-0000-000099950000}"/>
    <cellStyle name="常规 3 2 2 2 6 2" xfId="38298" xr:uid="{00000000-0005-0000-0000-00009A950000}"/>
    <cellStyle name="常规 3 2 2 2 6 2 2" xfId="38299" xr:uid="{00000000-0005-0000-0000-00009B950000}"/>
    <cellStyle name="常规 3 2 2 2 7" xfId="38300" xr:uid="{00000000-0005-0000-0000-00009C950000}"/>
    <cellStyle name="常规 3 2 2 2 7 2" xfId="38301" xr:uid="{00000000-0005-0000-0000-00009D950000}"/>
    <cellStyle name="常规 3 2 2 2 7 2 2" xfId="38302" xr:uid="{00000000-0005-0000-0000-00009E950000}"/>
    <cellStyle name="常规 3 2 2 2 8" xfId="38303" xr:uid="{00000000-0005-0000-0000-00009F950000}"/>
    <cellStyle name="常规 3 2 2 2 8 2" xfId="38304" xr:uid="{00000000-0005-0000-0000-0000A0950000}"/>
    <cellStyle name="常规 3 2 2 2 8 3" xfId="38305" xr:uid="{00000000-0005-0000-0000-0000A1950000}"/>
    <cellStyle name="常规 3 2 2 2 9" xfId="38306" xr:uid="{00000000-0005-0000-0000-0000A2950000}"/>
    <cellStyle name="常规 3 2 2 3" xfId="38307" xr:uid="{00000000-0005-0000-0000-0000A3950000}"/>
    <cellStyle name="常规 3 2 2 3 2" xfId="38308" xr:uid="{00000000-0005-0000-0000-0000A4950000}"/>
    <cellStyle name="常规 3 2 2 3 2 2" xfId="38309" xr:uid="{00000000-0005-0000-0000-0000A5950000}"/>
    <cellStyle name="常规 3 2 2 3 2 3" xfId="38310" xr:uid="{00000000-0005-0000-0000-0000A6950000}"/>
    <cellStyle name="常规 3 2 2 3 2 4" xfId="38311" xr:uid="{00000000-0005-0000-0000-0000A7950000}"/>
    <cellStyle name="常规 3 2 2 3 2 5" xfId="38312" xr:uid="{00000000-0005-0000-0000-0000A8950000}"/>
    <cellStyle name="常规 3 2 2 3 2 5 2" xfId="38313" xr:uid="{00000000-0005-0000-0000-0000A9950000}"/>
    <cellStyle name="常规 3 2 2 3 3" xfId="38314" xr:uid="{00000000-0005-0000-0000-0000AA950000}"/>
    <cellStyle name="常规 3 2 2 3 3 2" xfId="38315" xr:uid="{00000000-0005-0000-0000-0000AB950000}"/>
    <cellStyle name="常规 3 2 2 3 3 2 2" xfId="38316" xr:uid="{00000000-0005-0000-0000-0000AC950000}"/>
    <cellStyle name="常规 3 2 2 3 4" xfId="38317" xr:uid="{00000000-0005-0000-0000-0000AD950000}"/>
    <cellStyle name="常规 3 2 2 3 4 2" xfId="38318" xr:uid="{00000000-0005-0000-0000-0000AE950000}"/>
    <cellStyle name="常规 3 2 2 3 4 2 2" xfId="38319" xr:uid="{00000000-0005-0000-0000-0000AF950000}"/>
    <cellStyle name="常规 3 2 2 3 5" xfId="38320" xr:uid="{00000000-0005-0000-0000-0000B0950000}"/>
    <cellStyle name="常规 3 2 2 3 5 2" xfId="38321" xr:uid="{00000000-0005-0000-0000-0000B1950000}"/>
    <cellStyle name="常规 3 2 2 3 5 3" xfId="38322" xr:uid="{00000000-0005-0000-0000-0000B2950000}"/>
    <cellStyle name="常规 3 2 2 3 6" xfId="38323" xr:uid="{00000000-0005-0000-0000-0000B3950000}"/>
    <cellStyle name="常规 3 2 2 3 6 2" xfId="38324" xr:uid="{00000000-0005-0000-0000-0000B4950000}"/>
    <cellStyle name="常规 3 2 2 3 7" xfId="38325" xr:uid="{00000000-0005-0000-0000-0000B5950000}"/>
    <cellStyle name="常规 3 2 2 4" xfId="38326" xr:uid="{00000000-0005-0000-0000-0000B6950000}"/>
    <cellStyle name="常规 3 2 2 4 2" xfId="38327" xr:uid="{00000000-0005-0000-0000-0000B7950000}"/>
    <cellStyle name="常规 3 2 2 4 2 2" xfId="38328" xr:uid="{00000000-0005-0000-0000-0000B8950000}"/>
    <cellStyle name="常规 3 2 2 4 2 3" xfId="38329" xr:uid="{00000000-0005-0000-0000-0000B9950000}"/>
    <cellStyle name="常规 3 2 2 4 2 4" xfId="38330" xr:uid="{00000000-0005-0000-0000-0000BA950000}"/>
    <cellStyle name="常规 3 2 2 4 3" xfId="38331" xr:uid="{00000000-0005-0000-0000-0000BB950000}"/>
    <cellStyle name="常规 3 2 2 4 4" xfId="38332" xr:uid="{00000000-0005-0000-0000-0000BC950000}"/>
    <cellStyle name="常规 3 2 2 4 5" xfId="38333" xr:uid="{00000000-0005-0000-0000-0000BD950000}"/>
    <cellStyle name="常规 3 2 2 4 6" xfId="38334" xr:uid="{00000000-0005-0000-0000-0000BE950000}"/>
    <cellStyle name="常规 3 2 2 4 6 2" xfId="38335" xr:uid="{00000000-0005-0000-0000-0000BF950000}"/>
    <cellStyle name="常规 3 2 2 5" xfId="38336" xr:uid="{00000000-0005-0000-0000-0000C0950000}"/>
    <cellStyle name="常规 3 2 2 5 2" xfId="38337" xr:uid="{00000000-0005-0000-0000-0000C1950000}"/>
    <cellStyle name="常规 3 2 2 5 3" xfId="38338" xr:uid="{00000000-0005-0000-0000-0000C2950000}"/>
    <cellStyle name="常规 3 2 2 5 4" xfId="38339" xr:uid="{00000000-0005-0000-0000-0000C3950000}"/>
    <cellStyle name="常规 3 2 2 5 5" xfId="38340" xr:uid="{00000000-0005-0000-0000-0000C4950000}"/>
    <cellStyle name="常规 3 2 2 5 5 2" xfId="38341" xr:uid="{00000000-0005-0000-0000-0000C5950000}"/>
    <cellStyle name="常规 3 2 2 6" xfId="38342" xr:uid="{00000000-0005-0000-0000-0000C6950000}"/>
    <cellStyle name="常规 3 2 2 6 2" xfId="38343" xr:uid="{00000000-0005-0000-0000-0000C7950000}"/>
    <cellStyle name="常规 3 2 2 6 2 2" xfId="38344" xr:uid="{00000000-0005-0000-0000-0000C8950000}"/>
    <cellStyle name="常规 3 2 2 7" xfId="38345" xr:uid="{00000000-0005-0000-0000-0000C9950000}"/>
    <cellStyle name="常规 3 2 2 7 2" xfId="38346" xr:uid="{00000000-0005-0000-0000-0000CA950000}"/>
    <cellStyle name="常规 3 2 2 7 2 2" xfId="38347" xr:uid="{00000000-0005-0000-0000-0000CB950000}"/>
    <cellStyle name="常规 3 2 2 8" xfId="38348" xr:uid="{00000000-0005-0000-0000-0000CC950000}"/>
    <cellStyle name="常规 3 2 2 8 2" xfId="38349" xr:uid="{00000000-0005-0000-0000-0000CD950000}"/>
    <cellStyle name="常规 3 2 2 8 2 2" xfId="38350" xr:uid="{00000000-0005-0000-0000-0000CE950000}"/>
    <cellStyle name="常规 3 2 2 9" xfId="38351" xr:uid="{00000000-0005-0000-0000-0000CF950000}"/>
    <cellStyle name="常规 3 2 2 9 2" xfId="38352" xr:uid="{00000000-0005-0000-0000-0000D0950000}"/>
    <cellStyle name="常规 3 2 2 9 3" xfId="38353" xr:uid="{00000000-0005-0000-0000-0000D1950000}"/>
    <cellStyle name="常规 3 2 3" xfId="38354" xr:uid="{00000000-0005-0000-0000-0000D2950000}"/>
    <cellStyle name="常规 3 2 3 10" xfId="38355" xr:uid="{00000000-0005-0000-0000-0000D3950000}"/>
    <cellStyle name="常规 3 2 3 2" xfId="38356" xr:uid="{00000000-0005-0000-0000-0000D4950000}"/>
    <cellStyle name="常规 3 2 3 2 2" xfId="38357" xr:uid="{00000000-0005-0000-0000-0000D5950000}"/>
    <cellStyle name="常规 3 2 3 2 2 2" xfId="38358" xr:uid="{00000000-0005-0000-0000-0000D6950000}"/>
    <cellStyle name="常规 3 2 3 2 2 2 2" xfId="38359" xr:uid="{00000000-0005-0000-0000-0000D7950000}"/>
    <cellStyle name="常规 3 2 3 2 2 2 3" xfId="38360" xr:uid="{00000000-0005-0000-0000-0000D8950000}"/>
    <cellStyle name="常规 3 2 3 2 2 2 4" xfId="38361" xr:uid="{00000000-0005-0000-0000-0000D9950000}"/>
    <cellStyle name="常规 3 2 3 2 2 3" xfId="38362" xr:uid="{00000000-0005-0000-0000-0000DA950000}"/>
    <cellStyle name="常规 3 2 3 2 2 4" xfId="38363" xr:uid="{00000000-0005-0000-0000-0000DB950000}"/>
    <cellStyle name="常规 3 2 3 2 2 5" xfId="38364" xr:uid="{00000000-0005-0000-0000-0000DC950000}"/>
    <cellStyle name="常规 3 2 3 2 2 6" xfId="38365" xr:uid="{00000000-0005-0000-0000-0000DD950000}"/>
    <cellStyle name="常规 3 2 3 2 2 6 2" xfId="38366" xr:uid="{00000000-0005-0000-0000-0000DE950000}"/>
    <cellStyle name="常规 3 2 3 2 3" xfId="38367" xr:uid="{00000000-0005-0000-0000-0000DF950000}"/>
    <cellStyle name="常规 3 2 3 2 3 2" xfId="38368" xr:uid="{00000000-0005-0000-0000-0000E0950000}"/>
    <cellStyle name="常规 3 2 3 2 3 2 2" xfId="38369" xr:uid="{00000000-0005-0000-0000-0000E1950000}"/>
    <cellStyle name="常规 3 2 3 2 3 2 3" xfId="38370" xr:uid="{00000000-0005-0000-0000-0000E2950000}"/>
    <cellStyle name="常规 3 2 3 2 3 2 4" xfId="38371" xr:uid="{00000000-0005-0000-0000-0000E3950000}"/>
    <cellStyle name="常规 3 2 3 2 3 3" xfId="38372" xr:uid="{00000000-0005-0000-0000-0000E4950000}"/>
    <cellStyle name="常规 3 2 3 2 3 4" xfId="38373" xr:uid="{00000000-0005-0000-0000-0000E5950000}"/>
    <cellStyle name="常规 3 2 3 2 3 5" xfId="38374" xr:uid="{00000000-0005-0000-0000-0000E6950000}"/>
    <cellStyle name="常规 3 2 3 2 3 6" xfId="38375" xr:uid="{00000000-0005-0000-0000-0000E7950000}"/>
    <cellStyle name="常规 3 2 3 2 3 6 2" xfId="38376" xr:uid="{00000000-0005-0000-0000-0000E8950000}"/>
    <cellStyle name="常规 3 2 3 2 4" xfId="38377" xr:uid="{00000000-0005-0000-0000-0000E9950000}"/>
    <cellStyle name="常规 3 2 3 2 4 2" xfId="38378" xr:uid="{00000000-0005-0000-0000-0000EA950000}"/>
    <cellStyle name="常规 3 2 3 2 4 2 2" xfId="38379" xr:uid="{00000000-0005-0000-0000-0000EB950000}"/>
    <cellStyle name="常规 3 2 3 2 4 3" xfId="38380" xr:uid="{00000000-0005-0000-0000-0000EC950000}"/>
    <cellStyle name="常规 3 2 3 2 4 4" xfId="38381" xr:uid="{00000000-0005-0000-0000-0000ED950000}"/>
    <cellStyle name="常规 3 2 3 2 4 5" xfId="38382" xr:uid="{00000000-0005-0000-0000-0000EE950000}"/>
    <cellStyle name="常规 3 2 3 2 5" xfId="38383" xr:uid="{00000000-0005-0000-0000-0000EF950000}"/>
    <cellStyle name="常规 3 2 3 2 5 2" xfId="38384" xr:uid="{00000000-0005-0000-0000-0000F0950000}"/>
    <cellStyle name="常规 3 2 3 2 5 3" xfId="38385" xr:uid="{00000000-0005-0000-0000-0000F1950000}"/>
    <cellStyle name="常规 3 2 3 2 6" xfId="38386" xr:uid="{00000000-0005-0000-0000-0000F2950000}"/>
    <cellStyle name="常规 3 2 3 2 7" xfId="38387" xr:uid="{00000000-0005-0000-0000-0000F3950000}"/>
    <cellStyle name="常规 3 2 3 2 8" xfId="38388" xr:uid="{00000000-0005-0000-0000-0000F4950000}"/>
    <cellStyle name="常规 3 2 3 2 8 2" xfId="38389" xr:uid="{00000000-0005-0000-0000-0000F5950000}"/>
    <cellStyle name="常规 3 2 3 2 9" xfId="38390" xr:uid="{00000000-0005-0000-0000-0000F6950000}"/>
    <cellStyle name="常规 3 2 3 3" xfId="38391" xr:uid="{00000000-0005-0000-0000-0000F7950000}"/>
    <cellStyle name="常规 3 2 3 3 2" xfId="38392" xr:uid="{00000000-0005-0000-0000-0000F8950000}"/>
    <cellStyle name="常规 3 2 3 3 2 2" xfId="38393" xr:uid="{00000000-0005-0000-0000-0000F9950000}"/>
    <cellStyle name="常规 3 2 3 3 2 2 2" xfId="38394" xr:uid="{00000000-0005-0000-0000-0000FA950000}"/>
    <cellStyle name="常规 3 2 3 3 2 3" xfId="38395" xr:uid="{00000000-0005-0000-0000-0000FB950000}"/>
    <cellStyle name="常规 3 2 3 3 2 4" xfId="38396" xr:uid="{00000000-0005-0000-0000-0000FC950000}"/>
    <cellStyle name="常规 3 2 3 3 2 5" xfId="38397" xr:uid="{00000000-0005-0000-0000-0000FD950000}"/>
    <cellStyle name="常规 3 2 3 3 2 5 2" xfId="38398" xr:uid="{00000000-0005-0000-0000-0000FE950000}"/>
    <cellStyle name="常规 3 2 3 3 2 6" xfId="38399" xr:uid="{00000000-0005-0000-0000-0000FF950000}"/>
    <cellStyle name="常规 3 2 3 3 3" xfId="38400" xr:uid="{00000000-0005-0000-0000-000000960000}"/>
    <cellStyle name="常规 3 2 3 3 3 2" xfId="38401" xr:uid="{00000000-0005-0000-0000-000001960000}"/>
    <cellStyle name="常规 3 2 3 3 3 2 2" xfId="38402" xr:uid="{00000000-0005-0000-0000-000002960000}"/>
    <cellStyle name="常规 3 2 3 3 4" xfId="38403" xr:uid="{00000000-0005-0000-0000-000003960000}"/>
    <cellStyle name="常规 3 2 3 3 4 2" xfId="38404" xr:uid="{00000000-0005-0000-0000-000004960000}"/>
    <cellStyle name="常规 3 2 3 3 4 3" xfId="38405" xr:uid="{00000000-0005-0000-0000-000005960000}"/>
    <cellStyle name="常规 3 2 3 3 5" xfId="38406" xr:uid="{00000000-0005-0000-0000-000006960000}"/>
    <cellStyle name="常规 3 2 3 3 5 2" xfId="38407" xr:uid="{00000000-0005-0000-0000-000007960000}"/>
    <cellStyle name="常规 3 2 3 3 6" xfId="38408" xr:uid="{00000000-0005-0000-0000-000008960000}"/>
    <cellStyle name="常规 3 2 3 3 6 2" xfId="38409" xr:uid="{00000000-0005-0000-0000-000009960000}"/>
    <cellStyle name="常规 3 2 3 3 7" xfId="38410" xr:uid="{00000000-0005-0000-0000-00000A960000}"/>
    <cellStyle name="常规 3 2 3 4" xfId="38411" xr:uid="{00000000-0005-0000-0000-00000B960000}"/>
    <cellStyle name="常规 3 2 3 4 2" xfId="38412" xr:uid="{00000000-0005-0000-0000-00000C960000}"/>
    <cellStyle name="常规 3 2 3 4 2 2" xfId="38413" xr:uid="{00000000-0005-0000-0000-00000D960000}"/>
    <cellStyle name="常规 3 2 3 4 2 3" xfId="38414" xr:uid="{00000000-0005-0000-0000-00000E960000}"/>
    <cellStyle name="常规 3 2 3 4 2 4" xfId="38415" xr:uid="{00000000-0005-0000-0000-00000F960000}"/>
    <cellStyle name="常规 3 2 3 4 3" xfId="38416" xr:uid="{00000000-0005-0000-0000-000010960000}"/>
    <cellStyle name="常规 3 2 3 4 4" xfId="38417" xr:uid="{00000000-0005-0000-0000-000011960000}"/>
    <cellStyle name="常规 3 2 3 4 5" xfId="38418" xr:uid="{00000000-0005-0000-0000-000012960000}"/>
    <cellStyle name="常规 3 2 3 4 6" xfId="38419" xr:uid="{00000000-0005-0000-0000-000013960000}"/>
    <cellStyle name="常规 3 2 3 4 6 2" xfId="38420" xr:uid="{00000000-0005-0000-0000-000014960000}"/>
    <cellStyle name="常规 3 2 3 5" xfId="38421" xr:uid="{00000000-0005-0000-0000-000015960000}"/>
    <cellStyle name="常规 3 2 3 5 2" xfId="38422" xr:uid="{00000000-0005-0000-0000-000016960000}"/>
    <cellStyle name="常规 3 2 3 5 3" xfId="38423" xr:uid="{00000000-0005-0000-0000-000017960000}"/>
    <cellStyle name="常规 3 2 3 5 4" xfId="38424" xr:uid="{00000000-0005-0000-0000-000018960000}"/>
    <cellStyle name="常规 3 2 3 5 5" xfId="38425" xr:uid="{00000000-0005-0000-0000-000019960000}"/>
    <cellStyle name="常规 3 2 3 5 5 2" xfId="38426" xr:uid="{00000000-0005-0000-0000-00001A960000}"/>
    <cellStyle name="常规 3 2 3 6" xfId="38427" xr:uid="{00000000-0005-0000-0000-00001B960000}"/>
    <cellStyle name="常规 3 2 3 6 2" xfId="38428" xr:uid="{00000000-0005-0000-0000-00001C960000}"/>
    <cellStyle name="常规 3 2 3 6 2 2" xfId="38429" xr:uid="{00000000-0005-0000-0000-00001D960000}"/>
    <cellStyle name="常规 3 2 3 7" xfId="38430" xr:uid="{00000000-0005-0000-0000-00001E960000}"/>
    <cellStyle name="常规 3 2 3 7 2" xfId="38431" xr:uid="{00000000-0005-0000-0000-00001F960000}"/>
    <cellStyle name="常规 3 2 3 7 2 2" xfId="38432" xr:uid="{00000000-0005-0000-0000-000020960000}"/>
    <cellStyle name="常规 3 2 3 8" xfId="38433" xr:uid="{00000000-0005-0000-0000-000021960000}"/>
    <cellStyle name="常规 3 2 3 8 2" xfId="38434" xr:uid="{00000000-0005-0000-0000-000022960000}"/>
    <cellStyle name="常规 3 2 3 8 3" xfId="38435" xr:uid="{00000000-0005-0000-0000-000023960000}"/>
    <cellStyle name="常规 3 2 3 9" xfId="38436" xr:uid="{00000000-0005-0000-0000-000024960000}"/>
    <cellStyle name="常规 3 2 3 9 2" xfId="38437" xr:uid="{00000000-0005-0000-0000-000025960000}"/>
    <cellStyle name="常规 3 2 4" xfId="38438" xr:uid="{00000000-0005-0000-0000-000026960000}"/>
    <cellStyle name="常规 3 2 4 2" xfId="38439" xr:uid="{00000000-0005-0000-0000-000027960000}"/>
    <cellStyle name="常规 3 2 4 2 2" xfId="38440" xr:uid="{00000000-0005-0000-0000-000028960000}"/>
    <cellStyle name="常规 3 2 4 2 2 2" xfId="38441" xr:uid="{00000000-0005-0000-0000-000029960000}"/>
    <cellStyle name="常规 3 2 4 2 2 2 2" xfId="38442" xr:uid="{00000000-0005-0000-0000-00002A960000}"/>
    <cellStyle name="常规 3 2 4 2 3" xfId="38443" xr:uid="{00000000-0005-0000-0000-00002B960000}"/>
    <cellStyle name="常规 3 2 4 2 3 2" xfId="38444" xr:uid="{00000000-0005-0000-0000-00002C960000}"/>
    <cellStyle name="常规 3 2 4 2 3 2 2" xfId="38445" xr:uid="{00000000-0005-0000-0000-00002D960000}"/>
    <cellStyle name="常规 3 2 4 2 4" xfId="38446" xr:uid="{00000000-0005-0000-0000-00002E960000}"/>
    <cellStyle name="常规 3 2 4 2 4 2" xfId="38447" xr:uid="{00000000-0005-0000-0000-00002F960000}"/>
    <cellStyle name="常规 3 2 4 2 4 2 2" xfId="38448" xr:uid="{00000000-0005-0000-0000-000030960000}"/>
    <cellStyle name="常规 3 2 4 2 5" xfId="38449" xr:uid="{00000000-0005-0000-0000-000031960000}"/>
    <cellStyle name="常规 3 2 4 2 5 2" xfId="38450" xr:uid="{00000000-0005-0000-0000-000032960000}"/>
    <cellStyle name="常规 3 2 4 2 5 3" xfId="38451" xr:uid="{00000000-0005-0000-0000-000033960000}"/>
    <cellStyle name="常规 3 2 4 2 6" xfId="38452" xr:uid="{00000000-0005-0000-0000-000034960000}"/>
    <cellStyle name="常规 3 2 4 3" xfId="38453" xr:uid="{00000000-0005-0000-0000-000035960000}"/>
    <cellStyle name="常规 3 2 4 3 2" xfId="38454" xr:uid="{00000000-0005-0000-0000-000036960000}"/>
    <cellStyle name="常规 3 2 4 3 2 2" xfId="38455" xr:uid="{00000000-0005-0000-0000-000037960000}"/>
    <cellStyle name="常规 3 2 4 4" xfId="38456" xr:uid="{00000000-0005-0000-0000-000038960000}"/>
    <cellStyle name="常规 3 2 4 4 2" xfId="38457" xr:uid="{00000000-0005-0000-0000-000039960000}"/>
    <cellStyle name="常规 3 2 4 4 2 2" xfId="38458" xr:uid="{00000000-0005-0000-0000-00003A960000}"/>
    <cellStyle name="常规 3 2 4 5" xfId="38459" xr:uid="{00000000-0005-0000-0000-00003B960000}"/>
    <cellStyle name="常规 3 2 4 5 2" xfId="38460" xr:uid="{00000000-0005-0000-0000-00003C960000}"/>
    <cellStyle name="常规 3 2 4 5 2 2" xfId="38461" xr:uid="{00000000-0005-0000-0000-00003D960000}"/>
    <cellStyle name="常规 3 2 4 6" xfId="38462" xr:uid="{00000000-0005-0000-0000-00003E960000}"/>
    <cellStyle name="常规 3 2 4 7" xfId="38463" xr:uid="{00000000-0005-0000-0000-00003F960000}"/>
    <cellStyle name="常规 3 2 4 7 2" xfId="38464" xr:uid="{00000000-0005-0000-0000-000040960000}"/>
    <cellStyle name="常规 3 2 4 7 3" xfId="38465" xr:uid="{00000000-0005-0000-0000-000041960000}"/>
    <cellStyle name="常规 3 2 4 8" xfId="38466" xr:uid="{00000000-0005-0000-0000-000042960000}"/>
    <cellStyle name="常规 3 2 4 8 2" xfId="38467" xr:uid="{00000000-0005-0000-0000-000043960000}"/>
    <cellStyle name="常规 3 2 5" xfId="38468" xr:uid="{00000000-0005-0000-0000-000044960000}"/>
    <cellStyle name="常规 3 2 5 2" xfId="38469" xr:uid="{00000000-0005-0000-0000-000045960000}"/>
    <cellStyle name="常规 3 2 5 2 2" xfId="38470" xr:uid="{00000000-0005-0000-0000-000046960000}"/>
    <cellStyle name="常规 3 2 5 2 2 2" xfId="38471" xr:uid="{00000000-0005-0000-0000-000047960000}"/>
    <cellStyle name="常规 3 2 5 2 2 2 2" xfId="38472" xr:uid="{00000000-0005-0000-0000-000048960000}"/>
    <cellStyle name="常规 3 2 5 2 3" xfId="38473" xr:uid="{00000000-0005-0000-0000-000049960000}"/>
    <cellStyle name="常规 3 2 5 2 3 2" xfId="38474" xr:uid="{00000000-0005-0000-0000-00004A960000}"/>
    <cellStyle name="常规 3 2 5 2 3 2 2" xfId="38475" xr:uid="{00000000-0005-0000-0000-00004B960000}"/>
    <cellStyle name="常规 3 2 5 2 4" xfId="38476" xr:uid="{00000000-0005-0000-0000-00004C960000}"/>
    <cellStyle name="常规 3 2 5 2 4 2" xfId="38477" xr:uid="{00000000-0005-0000-0000-00004D960000}"/>
    <cellStyle name="常规 3 2 5 2 4 2 2" xfId="38478" xr:uid="{00000000-0005-0000-0000-00004E960000}"/>
    <cellStyle name="常规 3 2 5 2 5" xfId="38479" xr:uid="{00000000-0005-0000-0000-00004F960000}"/>
    <cellStyle name="常规 3 2 5 2 5 2" xfId="38480" xr:uid="{00000000-0005-0000-0000-000050960000}"/>
    <cellStyle name="常规 3 2 5 2 5 3" xfId="38481" xr:uid="{00000000-0005-0000-0000-000051960000}"/>
    <cellStyle name="常规 3 2 5 2 6" xfId="38482" xr:uid="{00000000-0005-0000-0000-000052960000}"/>
    <cellStyle name="常规 3 2 5 3" xfId="38483" xr:uid="{00000000-0005-0000-0000-000053960000}"/>
    <cellStyle name="常规 3 2 5 3 2" xfId="38484" xr:uid="{00000000-0005-0000-0000-000054960000}"/>
    <cellStyle name="常规 3 2 5 3 2 2" xfId="38485" xr:uid="{00000000-0005-0000-0000-000055960000}"/>
    <cellStyle name="常规 3 2 5 4" xfId="38486" xr:uid="{00000000-0005-0000-0000-000056960000}"/>
    <cellStyle name="常规 3 2 5 4 2" xfId="38487" xr:uid="{00000000-0005-0000-0000-000057960000}"/>
    <cellStyle name="常规 3 2 5 4 2 2" xfId="38488" xr:uid="{00000000-0005-0000-0000-000058960000}"/>
    <cellStyle name="常规 3 2 5 5" xfId="38489" xr:uid="{00000000-0005-0000-0000-000059960000}"/>
    <cellStyle name="常规 3 2 5 5 2" xfId="38490" xr:uid="{00000000-0005-0000-0000-00005A960000}"/>
    <cellStyle name="常规 3 2 5 5 2 2" xfId="38491" xr:uid="{00000000-0005-0000-0000-00005B960000}"/>
    <cellStyle name="常规 3 2 5 6" xfId="38492" xr:uid="{00000000-0005-0000-0000-00005C960000}"/>
    <cellStyle name="常规 3 2 5 7" xfId="38493" xr:uid="{00000000-0005-0000-0000-00005D960000}"/>
    <cellStyle name="常规 3 2 5 7 2" xfId="38494" xr:uid="{00000000-0005-0000-0000-00005E960000}"/>
    <cellStyle name="常规 3 2 5 7 3" xfId="38495" xr:uid="{00000000-0005-0000-0000-00005F960000}"/>
    <cellStyle name="常规 3 2 5 8" xfId="38496" xr:uid="{00000000-0005-0000-0000-000060960000}"/>
    <cellStyle name="常规 3 2 5 8 2" xfId="38497" xr:uid="{00000000-0005-0000-0000-000061960000}"/>
    <cellStyle name="常规 3 2 6" xfId="38498" xr:uid="{00000000-0005-0000-0000-000062960000}"/>
    <cellStyle name="常规 3 2 6 2" xfId="38499" xr:uid="{00000000-0005-0000-0000-000063960000}"/>
    <cellStyle name="常规 3 2 6 2 2" xfId="38500" xr:uid="{00000000-0005-0000-0000-000064960000}"/>
    <cellStyle name="常规 3 2 6 2 3" xfId="38501" xr:uid="{00000000-0005-0000-0000-000065960000}"/>
    <cellStyle name="常规 3 2 6 2 3 2" xfId="38502" xr:uid="{00000000-0005-0000-0000-000066960000}"/>
    <cellStyle name="常规 3 2 6 3" xfId="38503" xr:uid="{00000000-0005-0000-0000-000067960000}"/>
    <cellStyle name="常规 3 2 6 3 2" xfId="38504" xr:uid="{00000000-0005-0000-0000-000068960000}"/>
    <cellStyle name="常规 3 2 6 3 2 2" xfId="38505" xr:uid="{00000000-0005-0000-0000-000069960000}"/>
    <cellStyle name="常规 3 2 6 4" xfId="38506" xr:uid="{00000000-0005-0000-0000-00006A960000}"/>
    <cellStyle name="常规 3 2 6 4 2" xfId="38507" xr:uid="{00000000-0005-0000-0000-00006B960000}"/>
    <cellStyle name="常规 3 2 6 4 2 2" xfId="38508" xr:uid="{00000000-0005-0000-0000-00006C960000}"/>
    <cellStyle name="常规 3 2 6 5" xfId="38509" xr:uid="{00000000-0005-0000-0000-00006D960000}"/>
    <cellStyle name="常规 3 2 6 5 2" xfId="38510" xr:uid="{00000000-0005-0000-0000-00006E960000}"/>
    <cellStyle name="常规 3 2 6 6" xfId="38511" xr:uid="{00000000-0005-0000-0000-00006F960000}"/>
    <cellStyle name="常规 3 2 7" xfId="38512" xr:uid="{00000000-0005-0000-0000-000070960000}"/>
    <cellStyle name="常规 3 2 7 2" xfId="38513" xr:uid="{00000000-0005-0000-0000-000071960000}"/>
    <cellStyle name="常规 3 2 7 2 2" xfId="38514" xr:uid="{00000000-0005-0000-0000-000072960000}"/>
    <cellStyle name="常规 3 2 7 3" xfId="38515" xr:uid="{00000000-0005-0000-0000-000073960000}"/>
    <cellStyle name="常规 3 2 7 4" xfId="38516" xr:uid="{00000000-0005-0000-0000-000074960000}"/>
    <cellStyle name="常规 3 2 7 5" xfId="38517" xr:uid="{00000000-0005-0000-0000-000075960000}"/>
    <cellStyle name="常规 3 2 7 5 2" xfId="38518" xr:uid="{00000000-0005-0000-0000-000076960000}"/>
    <cellStyle name="常规 3 2 7 6" xfId="38519" xr:uid="{00000000-0005-0000-0000-000077960000}"/>
    <cellStyle name="常规 3 2 8" xfId="38520" xr:uid="{00000000-0005-0000-0000-000078960000}"/>
    <cellStyle name="常规 3 2 8 2" xfId="38521" xr:uid="{00000000-0005-0000-0000-000079960000}"/>
    <cellStyle name="常规 3 2 8 2 2" xfId="38522" xr:uid="{00000000-0005-0000-0000-00007A960000}"/>
    <cellStyle name="常规 3 2 8 2 2 2" xfId="38523" xr:uid="{00000000-0005-0000-0000-00007B960000}"/>
    <cellStyle name="常规 3 2 8 2 2 2 2" xfId="38524" xr:uid="{00000000-0005-0000-0000-00007C960000}"/>
    <cellStyle name="常规 3 2 8 2 3" xfId="38525" xr:uid="{00000000-0005-0000-0000-00007D960000}"/>
    <cellStyle name="常规 3 2 8 2 3 2" xfId="38526" xr:uid="{00000000-0005-0000-0000-00007E960000}"/>
    <cellStyle name="常规 3 2 8 2 4" xfId="38527" xr:uid="{00000000-0005-0000-0000-00007F960000}"/>
    <cellStyle name="常规 3 2 8 2 4 2" xfId="38528" xr:uid="{00000000-0005-0000-0000-000080960000}"/>
    <cellStyle name="常规 3 2 8 2 5" xfId="38529" xr:uid="{00000000-0005-0000-0000-000081960000}"/>
    <cellStyle name="常规 3 2 8 3" xfId="38530" xr:uid="{00000000-0005-0000-0000-000082960000}"/>
    <cellStyle name="常规 3 2 8 4" xfId="38531" xr:uid="{00000000-0005-0000-0000-000083960000}"/>
    <cellStyle name="常规 3 2 8 4 2" xfId="38532" xr:uid="{00000000-0005-0000-0000-000084960000}"/>
    <cellStyle name="常规 3 2 8 4 3" xfId="38533" xr:uid="{00000000-0005-0000-0000-000085960000}"/>
    <cellStyle name="常规 3 2 8 5" xfId="38534" xr:uid="{00000000-0005-0000-0000-000086960000}"/>
    <cellStyle name="常规 3 2 8 5 2" xfId="38535" xr:uid="{00000000-0005-0000-0000-000087960000}"/>
    <cellStyle name="常规 3 2 9" xfId="38536" xr:uid="{00000000-0005-0000-0000-000088960000}"/>
    <cellStyle name="常规 3 2 9 2" xfId="38537" xr:uid="{00000000-0005-0000-0000-000089960000}"/>
    <cellStyle name="常规 3 2 9 2 2" xfId="38538" xr:uid="{00000000-0005-0000-0000-00008A960000}"/>
    <cellStyle name="常规 3 2 9 2 2 2" xfId="38539" xr:uid="{00000000-0005-0000-0000-00008B960000}"/>
    <cellStyle name="常规 3 2 9 2 2 2 2" xfId="38540" xr:uid="{00000000-0005-0000-0000-00008C960000}"/>
    <cellStyle name="常规 3 2 9 2 3" xfId="38541" xr:uid="{00000000-0005-0000-0000-00008D960000}"/>
    <cellStyle name="常规 3 2 9 2 3 2" xfId="38542" xr:uid="{00000000-0005-0000-0000-00008E960000}"/>
    <cellStyle name="常规 3 2 9 2 4" xfId="38543" xr:uid="{00000000-0005-0000-0000-00008F960000}"/>
    <cellStyle name="常规 3 2 9 2 4 2" xfId="38544" xr:uid="{00000000-0005-0000-0000-000090960000}"/>
    <cellStyle name="常规 3 2 9 2 5" xfId="38545" xr:uid="{00000000-0005-0000-0000-000091960000}"/>
    <cellStyle name="常规 3 2 9 3" xfId="38546" xr:uid="{00000000-0005-0000-0000-000092960000}"/>
    <cellStyle name="常规 3 2 9 3 2" xfId="38547" xr:uid="{00000000-0005-0000-0000-000093960000}"/>
    <cellStyle name="常规 3 2 9 3 2 2" xfId="38548" xr:uid="{00000000-0005-0000-0000-000094960000}"/>
    <cellStyle name="常规 3 2 9 4" xfId="38549" xr:uid="{00000000-0005-0000-0000-000095960000}"/>
    <cellStyle name="常规 3 2 9 4 2" xfId="38550" xr:uid="{00000000-0005-0000-0000-000096960000}"/>
    <cellStyle name="常规 3 2 9 4 2 2" xfId="38551" xr:uid="{00000000-0005-0000-0000-000097960000}"/>
    <cellStyle name="常规 3 2 9 5" xfId="38552" xr:uid="{00000000-0005-0000-0000-000098960000}"/>
    <cellStyle name="常规 3 2 9 5 2" xfId="38553" xr:uid="{00000000-0005-0000-0000-000099960000}"/>
    <cellStyle name="常规 3 2 9 6" xfId="38554" xr:uid="{00000000-0005-0000-0000-00009A960000}"/>
    <cellStyle name="常规 3 20" xfId="38555" xr:uid="{00000000-0005-0000-0000-00009B960000}"/>
    <cellStyle name="常规 3 20 2" xfId="38556" xr:uid="{00000000-0005-0000-0000-00009C960000}"/>
    <cellStyle name="常规 3 20 3" xfId="38557" xr:uid="{00000000-0005-0000-0000-00009D960000}"/>
    <cellStyle name="常规 3 21" xfId="38558" xr:uid="{00000000-0005-0000-0000-00009E960000}"/>
    <cellStyle name="常规 3 21 2" xfId="38559" xr:uid="{00000000-0005-0000-0000-00009F960000}"/>
    <cellStyle name="常规 3 21 3" xfId="38560" xr:uid="{00000000-0005-0000-0000-0000A0960000}"/>
    <cellStyle name="常规 3 3" xfId="38561" xr:uid="{00000000-0005-0000-0000-0000A1960000}"/>
    <cellStyle name="常规 3 3 10" xfId="38562" xr:uid="{00000000-0005-0000-0000-0000A2960000}"/>
    <cellStyle name="常规 3 3 11" xfId="38563" xr:uid="{00000000-0005-0000-0000-0000A3960000}"/>
    <cellStyle name="常规 3 3 11 2" xfId="38564" xr:uid="{00000000-0005-0000-0000-0000A4960000}"/>
    <cellStyle name="常规 3 3 11 3" xfId="38565" xr:uid="{00000000-0005-0000-0000-0000A5960000}"/>
    <cellStyle name="常规 3 3 12" xfId="38566" xr:uid="{00000000-0005-0000-0000-0000A6960000}"/>
    <cellStyle name="常规 3 3 12 2" xfId="38567" xr:uid="{00000000-0005-0000-0000-0000A7960000}"/>
    <cellStyle name="常规 3 3 2" xfId="38568" xr:uid="{00000000-0005-0000-0000-0000A8960000}"/>
    <cellStyle name="常规 3 3 2 10" xfId="38569" xr:uid="{00000000-0005-0000-0000-0000A9960000}"/>
    <cellStyle name="常规 3 3 2 10 2" xfId="38570" xr:uid="{00000000-0005-0000-0000-0000AA960000}"/>
    <cellStyle name="常规 3 3 2 2" xfId="38571" xr:uid="{00000000-0005-0000-0000-0000AB960000}"/>
    <cellStyle name="常规 3 3 2 2 2" xfId="38572" xr:uid="{00000000-0005-0000-0000-0000AC960000}"/>
    <cellStyle name="常规 3 3 2 2 2 2" xfId="38573" xr:uid="{00000000-0005-0000-0000-0000AD960000}"/>
    <cellStyle name="常规 3 3 2 2 2 2 2" xfId="38574" xr:uid="{00000000-0005-0000-0000-0000AE960000}"/>
    <cellStyle name="常规 3 3 2 2 2 2 2 2" xfId="38575" xr:uid="{00000000-0005-0000-0000-0000AF960000}"/>
    <cellStyle name="常规 3 3 2 2 2 2 2 2 2" xfId="38576" xr:uid="{00000000-0005-0000-0000-0000B0960000}"/>
    <cellStyle name="常规 3 3 2 2 2 2 3" xfId="38577" xr:uid="{00000000-0005-0000-0000-0000B1960000}"/>
    <cellStyle name="常规 3 3 2 2 2 2 3 2" xfId="38578" xr:uid="{00000000-0005-0000-0000-0000B2960000}"/>
    <cellStyle name="常规 3 3 2 2 2 2 3 2 2" xfId="38579" xr:uid="{00000000-0005-0000-0000-0000B3960000}"/>
    <cellStyle name="常规 3 3 2 2 2 2 4" xfId="38580" xr:uid="{00000000-0005-0000-0000-0000B4960000}"/>
    <cellStyle name="常规 3 3 2 2 2 2 4 2" xfId="38581" xr:uid="{00000000-0005-0000-0000-0000B5960000}"/>
    <cellStyle name="常规 3 3 2 2 2 2 4 2 2" xfId="38582" xr:uid="{00000000-0005-0000-0000-0000B6960000}"/>
    <cellStyle name="常规 3 3 2 2 2 2 5" xfId="38583" xr:uid="{00000000-0005-0000-0000-0000B7960000}"/>
    <cellStyle name="常规 3 3 2 2 2 2 5 2" xfId="38584" xr:uid="{00000000-0005-0000-0000-0000B8960000}"/>
    <cellStyle name="常规 3 3 2 2 2 2 5 3" xfId="38585" xr:uid="{00000000-0005-0000-0000-0000B9960000}"/>
    <cellStyle name="常规 3 3 2 2 2 2 6" xfId="38586" xr:uid="{00000000-0005-0000-0000-0000BA960000}"/>
    <cellStyle name="常规 3 3 2 2 2 3" xfId="38587" xr:uid="{00000000-0005-0000-0000-0000BB960000}"/>
    <cellStyle name="常规 3 3 2 2 2 3 2" xfId="38588" xr:uid="{00000000-0005-0000-0000-0000BC960000}"/>
    <cellStyle name="常规 3 3 2 2 2 3 2 2" xfId="38589" xr:uid="{00000000-0005-0000-0000-0000BD960000}"/>
    <cellStyle name="常规 3 3 2 2 2 3 2 2 2" xfId="38590" xr:uid="{00000000-0005-0000-0000-0000BE960000}"/>
    <cellStyle name="常规 3 3 2 2 2 3 3" xfId="38591" xr:uid="{00000000-0005-0000-0000-0000BF960000}"/>
    <cellStyle name="常规 3 3 2 2 2 3 3 2" xfId="38592" xr:uid="{00000000-0005-0000-0000-0000C0960000}"/>
    <cellStyle name="常规 3 3 2 2 2 3 3 2 2" xfId="38593" xr:uid="{00000000-0005-0000-0000-0000C1960000}"/>
    <cellStyle name="常规 3 3 2 2 2 3 4" xfId="38594" xr:uid="{00000000-0005-0000-0000-0000C2960000}"/>
    <cellStyle name="常规 3 3 2 2 2 3 4 2" xfId="38595" xr:uid="{00000000-0005-0000-0000-0000C3960000}"/>
    <cellStyle name="常规 3 3 2 2 2 3 5" xfId="38596" xr:uid="{00000000-0005-0000-0000-0000C4960000}"/>
    <cellStyle name="常规 3 3 2 2 2 4" xfId="38597" xr:uid="{00000000-0005-0000-0000-0000C5960000}"/>
    <cellStyle name="常规 3 3 2 2 2 4 2" xfId="38598" xr:uid="{00000000-0005-0000-0000-0000C6960000}"/>
    <cellStyle name="常规 3 3 2 2 2 4 2 2" xfId="38599" xr:uid="{00000000-0005-0000-0000-0000C7960000}"/>
    <cellStyle name="常规 3 3 2 2 2 5" xfId="38600" xr:uid="{00000000-0005-0000-0000-0000C8960000}"/>
    <cellStyle name="常规 3 3 2 2 2 5 2" xfId="38601" xr:uid="{00000000-0005-0000-0000-0000C9960000}"/>
    <cellStyle name="常规 3 3 2 2 2 5 2 2" xfId="38602" xr:uid="{00000000-0005-0000-0000-0000CA960000}"/>
    <cellStyle name="常规 3 3 2 2 2 6" xfId="38603" xr:uid="{00000000-0005-0000-0000-0000CB960000}"/>
    <cellStyle name="常规 3 3 2 2 2 7" xfId="38604" xr:uid="{00000000-0005-0000-0000-0000CC960000}"/>
    <cellStyle name="常规 3 3 2 2 2 7 2" xfId="38605" xr:uid="{00000000-0005-0000-0000-0000CD960000}"/>
    <cellStyle name="常规 3 3 2 2 2 7 3" xfId="38606" xr:uid="{00000000-0005-0000-0000-0000CE960000}"/>
    <cellStyle name="常规 3 3 2 2 2 8" xfId="38607" xr:uid="{00000000-0005-0000-0000-0000CF960000}"/>
    <cellStyle name="常规 3 3 2 2 2 8 2" xfId="38608" xr:uid="{00000000-0005-0000-0000-0000D0960000}"/>
    <cellStyle name="常规 3 3 2 2 3" xfId="38609" xr:uid="{00000000-0005-0000-0000-0000D1960000}"/>
    <cellStyle name="常规 3 3 2 2 3 2" xfId="38610" xr:uid="{00000000-0005-0000-0000-0000D2960000}"/>
    <cellStyle name="常规 3 3 2 2 3 2 2" xfId="38611" xr:uid="{00000000-0005-0000-0000-0000D3960000}"/>
    <cellStyle name="常规 3 3 2 2 3 2 3" xfId="38612" xr:uid="{00000000-0005-0000-0000-0000D4960000}"/>
    <cellStyle name="常规 3 3 2 2 3 2 4" xfId="38613" xr:uid="{00000000-0005-0000-0000-0000D5960000}"/>
    <cellStyle name="常规 3 3 2 2 3 2 5" xfId="38614" xr:uid="{00000000-0005-0000-0000-0000D6960000}"/>
    <cellStyle name="常规 3 3 2 2 3 2 5 2" xfId="38615" xr:uid="{00000000-0005-0000-0000-0000D7960000}"/>
    <cellStyle name="常规 3 3 2 2 3 3" xfId="38616" xr:uid="{00000000-0005-0000-0000-0000D8960000}"/>
    <cellStyle name="常规 3 3 2 2 3 3 2" xfId="38617" xr:uid="{00000000-0005-0000-0000-0000D9960000}"/>
    <cellStyle name="常规 3 3 2 2 3 3 2 2" xfId="38618" xr:uid="{00000000-0005-0000-0000-0000DA960000}"/>
    <cellStyle name="常规 3 3 2 2 3 4" xfId="38619" xr:uid="{00000000-0005-0000-0000-0000DB960000}"/>
    <cellStyle name="常规 3 3 2 2 3 4 2" xfId="38620" xr:uid="{00000000-0005-0000-0000-0000DC960000}"/>
    <cellStyle name="常规 3 3 2 2 3 4 2 2" xfId="38621" xr:uid="{00000000-0005-0000-0000-0000DD960000}"/>
    <cellStyle name="常规 3 3 2 2 3 5" xfId="38622" xr:uid="{00000000-0005-0000-0000-0000DE960000}"/>
    <cellStyle name="常规 3 3 2 2 3 5 2" xfId="38623" xr:uid="{00000000-0005-0000-0000-0000DF960000}"/>
    <cellStyle name="常规 3 3 2 2 3 5 3" xfId="38624" xr:uid="{00000000-0005-0000-0000-0000E0960000}"/>
    <cellStyle name="常规 3 3 2 2 3 6" xfId="38625" xr:uid="{00000000-0005-0000-0000-0000E1960000}"/>
    <cellStyle name="常规 3 3 2 2 3 6 2" xfId="38626" xr:uid="{00000000-0005-0000-0000-0000E2960000}"/>
    <cellStyle name="常规 3 3 2 2 3 7" xfId="38627" xr:uid="{00000000-0005-0000-0000-0000E3960000}"/>
    <cellStyle name="常规 3 3 2 2 4" xfId="38628" xr:uid="{00000000-0005-0000-0000-0000E4960000}"/>
    <cellStyle name="常规 3 3 2 2 4 2" xfId="38629" xr:uid="{00000000-0005-0000-0000-0000E5960000}"/>
    <cellStyle name="常规 3 3 2 2 4 3" xfId="38630" xr:uid="{00000000-0005-0000-0000-0000E6960000}"/>
    <cellStyle name="常规 3 3 2 2 4 4" xfId="38631" xr:uid="{00000000-0005-0000-0000-0000E7960000}"/>
    <cellStyle name="常规 3 3 2 2 4 5" xfId="38632" xr:uid="{00000000-0005-0000-0000-0000E8960000}"/>
    <cellStyle name="常规 3 3 2 2 4 5 2" xfId="38633" xr:uid="{00000000-0005-0000-0000-0000E9960000}"/>
    <cellStyle name="常规 3 3 2 2 5" xfId="38634" xr:uid="{00000000-0005-0000-0000-0000EA960000}"/>
    <cellStyle name="常规 3 3 2 2 5 2" xfId="38635" xr:uid="{00000000-0005-0000-0000-0000EB960000}"/>
    <cellStyle name="常规 3 3 2 2 5 2 2" xfId="38636" xr:uid="{00000000-0005-0000-0000-0000EC960000}"/>
    <cellStyle name="常规 3 3 2 2 6" xfId="38637" xr:uid="{00000000-0005-0000-0000-0000ED960000}"/>
    <cellStyle name="常规 3 3 2 2 6 2" xfId="38638" xr:uid="{00000000-0005-0000-0000-0000EE960000}"/>
    <cellStyle name="常规 3 3 2 2 6 2 2" xfId="38639" xr:uid="{00000000-0005-0000-0000-0000EF960000}"/>
    <cellStyle name="常规 3 3 2 2 7" xfId="38640" xr:uid="{00000000-0005-0000-0000-0000F0960000}"/>
    <cellStyle name="常规 3 3 2 2 7 2" xfId="38641" xr:uid="{00000000-0005-0000-0000-0000F1960000}"/>
    <cellStyle name="常规 3 3 2 2 7 2 2" xfId="38642" xr:uid="{00000000-0005-0000-0000-0000F2960000}"/>
    <cellStyle name="常规 3 3 2 2 8" xfId="38643" xr:uid="{00000000-0005-0000-0000-0000F3960000}"/>
    <cellStyle name="常规 3 3 2 2 8 2" xfId="38644" xr:uid="{00000000-0005-0000-0000-0000F4960000}"/>
    <cellStyle name="常规 3 3 2 2 8 3" xfId="38645" xr:uid="{00000000-0005-0000-0000-0000F5960000}"/>
    <cellStyle name="常规 3 3 2 2 9" xfId="38646" xr:uid="{00000000-0005-0000-0000-0000F6960000}"/>
    <cellStyle name="常规 3 3 2 2 9 2" xfId="38647" xr:uid="{00000000-0005-0000-0000-0000F7960000}"/>
    <cellStyle name="常规 3 3 2 3" xfId="38648" xr:uid="{00000000-0005-0000-0000-0000F8960000}"/>
    <cellStyle name="常规 3 3 2 3 2" xfId="38649" xr:uid="{00000000-0005-0000-0000-0000F9960000}"/>
    <cellStyle name="常规 3 3 2 3 2 2" xfId="38650" xr:uid="{00000000-0005-0000-0000-0000FA960000}"/>
    <cellStyle name="常规 3 3 2 3 2 2 2" xfId="38651" xr:uid="{00000000-0005-0000-0000-0000FB960000}"/>
    <cellStyle name="常规 3 3 2 3 2 2 2 2" xfId="38652" xr:uid="{00000000-0005-0000-0000-0000FC960000}"/>
    <cellStyle name="常规 3 3 2 3 2 3" xfId="38653" xr:uid="{00000000-0005-0000-0000-0000FD960000}"/>
    <cellStyle name="常规 3 3 2 3 2 3 2" xfId="38654" xr:uid="{00000000-0005-0000-0000-0000FE960000}"/>
    <cellStyle name="常规 3 3 2 3 2 3 2 2" xfId="38655" xr:uid="{00000000-0005-0000-0000-0000FF960000}"/>
    <cellStyle name="常规 3 3 2 3 2 4" xfId="38656" xr:uid="{00000000-0005-0000-0000-000000970000}"/>
    <cellStyle name="常规 3 3 2 3 2 4 2" xfId="38657" xr:uid="{00000000-0005-0000-0000-000001970000}"/>
    <cellStyle name="常规 3 3 2 3 2 4 2 2" xfId="38658" xr:uid="{00000000-0005-0000-0000-000002970000}"/>
    <cellStyle name="常规 3 3 2 3 2 5" xfId="38659" xr:uid="{00000000-0005-0000-0000-000003970000}"/>
    <cellStyle name="常规 3 3 2 3 2 5 2" xfId="38660" xr:uid="{00000000-0005-0000-0000-000004970000}"/>
    <cellStyle name="常规 3 3 2 3 2 5 3" xfId="38661" xr:uid="{00000000-0005-0000-0000-000005970000}"/>
    <cellStyle name="常规 3 3 2 3 2 6" xfId="38662" xr:uid="{00000000-0005-0000-0000-000006970000}"/>
    <cellStyle name="常规 3 3 2 3 3" xfId="38663" xr:uid="{00000000-0005-0000-0000-000007970000}"/>
    <cellStyle name="常规 3 3 2 3 3 2" xfId="38664" xr:uid="{00000000-0005-0000-0000-000008970000}"/>
    <cellStyle name="常规 3 3 2 3 3 2 2" xfId="38665" xr:uid="{00000000-0005-0000-0000-000009970000}"/>
    <cellStyle name="常规 3 3 2 3 3 2 2 2" xfId="38666" xr:uid="{00000000-0005-0000-0000-00000A970000}"/>
    <cellStyle name="常规 3 3 2 3 3 3" xfId="38667" xr:uid="{00000000-0005-0000-0000-00000B970000}"/>
    <cellStyle name="常规 3 3 2 3 3 3 2" xfId="38668" xr:uid="{00000000-0005-0000-0000-00000C970000}"/>
    <cellStyle name="常规 3 3 2 3 3 3 2 2" xfId="38669" xr:uid="{00000000-0005-0000-0000-00000D970000}"/>
    <cellStyle name="常规 3 3 2 3 3 4" xfId="38670" xr:uid="{00000000-0005-0000-0000-00000E970000}"/>
    <cellStyle name="常规 3 3 2 3 3 4 2" xfId="38671" xr:uid="{00000000-0005-0000-0000-00000F970000}"/>
    <cellStyle name="常规 3 3 2 3 3 5" xfId="38672" xr:uid="{00000000-0005-0000-0000-000010970000}"/>
    <cellStyle name="常规 3 3 2 3 4" xfId="38673" xr:uid="{00000000-0005-0000-0000-000011970000}"/>
    <cellStyle name="常规 3 3 2 3 4 2" xfId="38674" xr:uid="{00000000-0005-0000-0000-000012970000}"/>
    <cellStyle name="常规 3 3 2 3 4 2 2" xfId="38675" xr:uid="{00000000-0005-0000-0000-000013970000}"/>
    <cellStyle name="常规 3 3 2 3 5" xfId="38676" xr:uid="{00000000-0005-0000-0000-000014970000}"/>
    <cellStyle name="常规 3 3 2 3 5 2" xfId="38677" xr:uid="{00000000-0005-0000-0000-000015970000}"/>
    <cellStyle name="常规 3 3 2 3 5 2 2" xfId="38678" xr:uid="{00000000-0005-0000-0000-000016970000}"/>
    <cellStyle name="常规 3 3 2 3 6" xfId="38679" xr:uid="{00000000-0005-0000-0000-000017970000}"/>
    <cellStyle name="常规 3 3 2 3 7" xfId="38680" xr:uid="{00000000-0005-0000-0000-000018970000}"/>
    <cellStyle name="常规 3 3 2 3 7 2" xfId="38681" xr:uid="{00000000-0005-0000-0000-000019970000}"/>
    <cellStyle name="常规 3 3 2 3 7 3" xfId="38682" xr:uid="{00000000-0005-0000-0000-00001A970000}"/>
    <cellStyle name="常规 3 3 2 3 8" xfId="38683" xr:uid="{00000000-0005-0000-0000-00001B970000}"/>
    <cellStyle name="常规 3 3 2 3 8 2" xfId="38684" xr:uid="{00000000-0005-0000-0000-00001C970000}"/>
    <cellStyle name="常规 3 3 2 4" xfId="38685" xr:uid="{00000000-0005-0000-0000-00001D970000}"/>
    <cellStyle name="常规 3 3 2 4 2" xfId="38686" xr:uid="{00000000-0005-0000-0000-00001E970000}"/>
    <cellStyle name="常规 3 3 2 4 2 2" xfId="38687" xr:uid="{00000000-0005-0000-0000-00001F970000}"/>
    <cellStyle name="常规 3 3 2 4 2 3" xfId="38688" xr:uid="{00000000-0005-0000-0000-000020970000}"/>
    <cellStyle name="常规 3 3 2 4 2 4" xfId="38689" xr:uid="{00000000-0005-0000-0000-000021970000}"/>
    <cellStyle name="常规 3 3 2 4 2 5" xfId="38690" xr:uid="{00000000-0005-0000-0000-000022970000}"/>
    <cellStyle name="常规 3 3 2 4 2 5 2" xfId="38691" xr:uid="{00000000-0005-0000-0000-000023970000}"/>
    <cellStyle name="常规 3 3 2 4 3" xfId="38692" xr:uid="{00000000-0005-0000-0000-000024970000}"/>
    <cellStyle name="常规 3 3 2 4 3 2" xfId="38693" xr:uid="{00000000-0005-0000-0000-000025970000}"/>
    <cellStyle name="常规 3 3 2 4 3 2 2" xfId="38694" xr:uid="{00000000-0005-0000-0000-000026970000}"/>
    <cellStyle name="常规 3 3 2 4 4" xfId="38695" xr:uid="{00000000-0005-0000-0000-000027970000}"/>
    <cellStyle name="常规 3 3 2 4 4 2" xfId="38696" xr:uid="{00000000-0005-0000-0000-000028970000}"/>
    <cellStyle name="常规 3 3 2 4 4 2 2" xfId="38697" xr:uid="{00000000-0005-0000-0000-000029970000}"/>
    <cellStyle name="常规 3 3 2 4 5" xfId="38698" xr:uid="{00000000-0005-0000-0000-00002A970000}"/>
    <cellStyle name="常规 3 3 2 4 5 2" xfId="38699" xr:uid="{00000000-0005-0000-0000-00002B970000}"/>
    <cellStyle name="常规 3 3 2 4 5 3" xfId="38700" xr:uid="{00000000-0005-0000-0000-00002C970000}"/>
    <cellStyle name="常规 3 3 2 4 6" xfId="38701" xr:uid="{00000000-0005-0000-0000-00002D970000}"/>
    <cellStyle name="常规 3 3 2 4 6 2" xfId="38702" xr:uid="{00000000-0005-0000-0000-00002E970000}"/>
    <cellStyle name="常规 3 3 2 4 7" xfId="38703" xr:uid="{00000000-0005-0000-0000-00002F970000}"/>
    <cellStyle name="常规 3 3 2 5" xfId="38704" xr:uid="{00000000-0005-0000-0000-000030970000}"/>
    <cellStyle name="常规 3 3 2 5 2" xfId="38705" xr:uid="{00000000-0005-0000-0000-000031970000}"/>
    <cellStyle name="常规 3 3 2 5 3" xfId="38706" xr:uid="{00000000-0005-0000-0000-000032970000}"/>
    <cellStyle name="常规 3 3 2 5 4" xfId="38707" xr:uid="{00000000-0005-0000-0000-000033970000}"/>
    <cellStyle name="常规 3 3 2 5 5" xfId="38708" xr:uid="{00000000-0005-0000-0000-000034970000}"/>
    <cellStyle name="常规 3 3 2 5 5 2" xfId="38709" xr:uid="{00000000-0005-0000-0000-000035970000}"/>
    <cellStyle name="常规 3 3 2 6" xfId="38710" xr:uid="{00000000-0005-0000-0000-000036970000}"/>
    <cellStyle name="常规 3 3 2 6 2" xfId="38711" xr:uid="{00000000-0005-0000-0000-000037970000}"/>
    <cellStyle name="常规 3 3 2 6 2 2" xfId="38712" xr:uid="{00000000-0005-0000-0000-000038970000}"/>
    <cellStyle name="常规 3 3 2 7" xfId="38713" xr:uid="{00000000-0005-0000-0000-000039970000}"/>
    <cellStyle name="常规 3 3 2 7 2" xfId="38714" xr:uid="{00000000-0005-0000-0000-00003A970000}"/>
    <cellStyle name="常规 3 3 2 7 2 2" xfId="38715" xr:uid="{00000000-0005-0000-0000-00003B970000}"/>
    <cellStyle name="常规 3 3 2 8" xfId="38716" xr:uid="{00000000-0005-0000-0000-00003C970000}"/>
    <cellStyle name="常规 3 3 2 8 2" xfId="38717" xr:uid="{00000000-0005-0000-0000-00003D970000}"/>
    <cellStyle name="常规 3 3 2 8 2 2" xfId="38718" xr:uid="{00000000-0005-0000-0000-00003E970000}"/>
    <cellStyle name="常规 3 3 2 9" xfId="38719" xr:uid="{00000000-0005-0000-0000-00003F970000}"/>
    <cellStyle name="常规 3 3 2 9 2" xfId="38720" xr:uid="{00000000-0005-0000-0000-000040970000}"/>
    <cellStyle name="常规 3 3 2 9 3" xfId="38721" xr:uid="{00000000-0005-0000-0000-000041970000}"/>
    <cellStyle name="常规 3 3 3" xfId="38722" xr:uid="{00000000-0005-0000-0000-000042970000}"/>
    <cellStyle name="常规 3 3 3 2" xfId="38723" xr:uid="{00000000-0005-0000-0000-000043970000}"/>
    <cellStyle name="常规 3 3 3 2 2" xfId="38724" xr:uid="{00000000-0005-0000-0000-000044970000}"/>
    <cellStyle name="常规 3 3 3 2 2 2" xfId="38725" xr:uid="{00000000-0005-0000-0000-000045970000}"/>
    <cellStyle name="常规 3 3 3 2 2 2 2" xfId="38726" xr:uid="{00000000-0005-0000-0000-000046970000}"/>
    <cellStyle name="常规 3 3 3 2 3" xfId="38727" xr:uid="{00000000-0005-0000-0000-000047970000}"/>
    <cellStyle name="常规 3 3 3 2 3 2" xfId="38728" xr:uid="{00000000-0005-0000-0000-000048970000}"/>
    <cellStyle name="常规 3 3 3 2 3 2 2" xfId="38729" xr:uid="{00000000-0005-0000-0000-000049970000}"/>
    <cellStyle name="常规 3 3 3 2 4" xfId="38730" xr:uid="{00000000-0005-0000-0000-00004A970000}"/>
    <cellStyle name="常规 3 3 3 2 4 2" xfId="38731" xr:uid="{00000000-0005-0000-0000-00004B970000}"/>
    <cellStyle name="常规 3 3 3 2 4 2 2" xfId="38732" xr:uid="{00000000-0005-0000-0000-00004C970000}"/>
    <cellStyle name="常规 3 3 3 2 5" xfId="38733" xr:uid="{00000000-0005-0000-0000-00004D970000}"/>
    <cellStyle name="常规 3 3 3 2 5 2" xfId="38734" xr:uid="{00000000-0005-0000-0000-00004E970000}"/>
    <cellStyle name="常规 3 3 3 2 5 3" xfId="38735" xr:uid="{00000000-0005-0000-0000-00004F970000}"/>
    <cellStyle name="常规 3 3 3 2 6" xfId="38736" xr:uid="{00000000-0005-0000-0000-000050970000}"/>
    <cellStyle name="常规 3 3 3 3" xfId="38737" xr:uid="{00000000-0005-0000-0000-000051970000}"/>
    <cellStyle name="常规 3 3 3 3 2" xfId="38738" xr:uid="{00000000-0005-0000-0000-000052970000}"/>
    <cellStyle name="常规 3 3 3 3 2 2" xfId="38739" xr:uid="{00000000-0005-0000-0000-000053970000}"/>
    <cellStyle name="常规 3 3 3 3 2 2 2" xfId="38740" xr:uid="{00000000-0005-0000-0000-000054970000}"/>
    <cellStyle name="常规 3 3 3 3 3" xfId="38741" xr:uid="{00000000-0005-0000-0000-000055970000}"/>
    <cellStyle name="常规 3 3 3 3 3 2" xfId="38742" xr:uid="{00000000-0005-0000-0000-000056970000}"/>
    <cellStyle name="常规 3 3 3 3 3 2 2" xfId="38743" xr:uid="{00000000-0005-0000-0000-000057970000}"/>
    <cellStyle name="常规 3 3 3 3 4" xfId="38744" xr:uid="{00000000-0005-0000-0000-000058970000}"/>
    <cellStyle name="常规 3 3 3 3 4 2" xfId="38745" xr:uid="{00000000-0005-0000-0000-000059970000}"/>
    <cellStyle name="常规 3 3 3 3 5" xfId="38746" xr:uid="{00000000-0005-0000-0000-00005A970000}"/>
    <cellStyle name="常规 3 3 3 4" xfId="38747" xr:uid="{00000000-0005-0000-0000-00005B970000}"/>
    <cellStyle name="常规 3 3 3 4 2" xfId="38748" xr:uid="{00000000-0005-0000-0000-00005C970000}"/>
    <cellStyle name="常规 3 3 3 4 2 2" xfId="38749" xr:uid="{00000000-0005-0000-0000-00005D970000}"/>
    <cellStyle name="常规 3 3 3 5" xfId="38750" xr:uid="{00000000-0005-0000-0000-00005E970000}"/>
    <cellStyle name="常规 3 3 3 5 2" xfId="38751" xr:uid="{00000000-0005-0000-0000-00005F970000}"/>
    <cellStyle name="常规 3 3 3 5 2 2" xfId="38752" xr:uid="{00000000-0005-0000-0000-000060970000}"/>
    <cellStyle name="常规 3 3 3 6" xfId="38753" xr:uid="{00000000-0005-0000-0000-000061970000}"/>
    <cellStyle name="常规 3 3 3 7" xfId="38754" xr:uid="{00000000-0005-0000-0000-000062970000}"/>
    <cellStyle name="常规 3 3 3 7 2" xfId="38755" xr:uid="{00000000-0005-0000-0000-000063970000}"/>
    <cellStyle name="常规 3 3 3 7 3" xfId="38756" xr:uid="{00000000-0005-0000-0000-000064970000}"/>
    <cellStyle name="常规 3 3 3 8" xfId="38757" xr:uid="{00000000-0005-0000-0000-000065970000}"/>
    <cellStyle name="常规 3 3 3 8 2" xfId="38758" xr:uid="{00000000-0005-0000-0000-000066970000}"/>
    <cellStyle name="常规 3 3 4" xfId="38759" xr:uid="{00000000-0005-0000-0000-000067970000}"/>
    <cellStyle name="常规 3 3 4 2" xfId="38760" xr:uid="{00000000-0005-0000-0000-000068970000}"/>
    <cellStyle name="常规 3 3 4 2 2" xfId="38761" xr:uid="{00000000-0005-0000-0000-000069970000}"/>
    <cellStyle name="常规 3 3 4 2 2 2" xfId="38762" xr:uid="{00000000-0005-0000-0000-00006A970000}"/>
    <cellStyle name="常规 3 3 4 2 2 2 2" xfId="38763" xr:uid="{00000000-0005-0000-0000-00006B970000}"/>
    <cellStyle name="常规 3 3 4 2 3" xfId="38764" xr:uid="{00000000-0005-0000-0000-00006C970000}"/>
    <cellStyle name="常规 3 3 4 2 3 2" xfId="38765" xr:uid="{00000000-0005-0000-0000-00006D970000}"/>
    <cellStyle name="常规 3 3 4 2 3 2 2" xfId="38766" xr:uid="{00000000-0005-0000-0000-00006E970000}"/>
    <cellStyle name="常规 3 3 4 2 4" xfId="38767" xr:uid="{00000000-0005-0000-0000-00006F970000}"/>
    <cellStyle name="常规 3 3 4 2 4 2" xfId="38768" xr:uid="{00000000-0005-0000-0000-000070970000}"/>
    <cellStyle name="常规 3 3 4 2 4 2 2" xfId="38769" xr:uid="{00000000-0005-0000-0000-000071970000}"/>
    <cellStyle name="常规 3 3 4 2 5" xfId="38770" xr:uid="{00000000-0005-0000-0000-000072970000}"/>
    <cellStyle name="常规 3 3 4 2 5 2" xfId="38771" xr:uid="{00000000-0005-0000-0000-000073970000}"/>
    <cellStyle name="常规 3 3 4 2 5 3" xfId="38772" xr:uid="{00000000-0005-0000-0000-000074970000}"/>
    <cellStyle name="常规 3 3 4 2 6" xfId="38773" xr:uid="{00000000-0005-0000-0000-000075970000}"/>
    <cellStyle name="常规 3 3 4 3" xfId="38774" xr:uid="{00000000-0005-0000-0000-000076970000}"/>
    <cellStyle name="常规 3 3 4 3 2" xfId="38775" xr:uid="{00000000-0005-0000-0000-000077970000}"/>
    <cellStyle name="常规 3 3 4 3 2 2" xfId="38776" xr:uid="{00000000-0005-0000-0000-000078970000}"/>
    <cellStyle name="常规 3 3 4 4" xfId="38777" xr:uid="{00000000-0005-0000-0000-000079970000}"/>
    <cellStyle name="常规 3 3 4 4 2" xfId="38778" xr:uid="{00000000-0005-0000-0000-00007A970000}"/>
    <cellStyle name="常规 3 3 4 4 2 2" xfId="38779" xr:uid="{00000000-0005-0000-0000-00007B970000}"/>
    <cellStyle name="常规 3 3 4 5" xfId="38780" xr:uid="{00000000-0005-0000-0000-00007C970000}"/>
    <cellStyle name="常规 3 3 4 5 2" xfId="38781" xr:uid="{00000000-0005-0000-0000-00007D970000}"/>
    <cellStyle name="常规 3 3 4 5 2 2" xfId="38782" xr:uid="{00000000-0005-0000-0000-00007E970000}"/>
    <cellStyle name="常规 3 3 4 6" xfId="38783" xr:uid="{00000000-0005-0000-0000-00007F970000}"/>
    <cellStyle name="常规 3 3 4 7" xfId="38784" xr:uid="{00000000-0005-0000-0000-000080970000}"/>
    <cellStyle name="常规 3 3 4 7 2" xfId="38785" xr:uid="{00000000-0005-0000-0000-000081970000}"/>
    <cellStyle name="常规 3 3 4 7 3" xfId="38786" xr:uid="{00000000-0005-0000-0000-000082970000}"/>
    <cellStyle name="常规 3 3 4 8" xfId="38787" xr:uid="{00000000-0005-0000-0000-000083970000}"/>
    <cellStyle name="常规 3 3 4 8 2" xfId="38788" xr:uid="{00000000-0005-0000-0000-000084970000}"/>
    <cellStyle name="常规 3 3 5" xfId="38789" xr:uid="{00000000-0005-0000-0000-000085970000}"/>
    <cellStyle name="常规 3 3 5 2" xfId="38790" xr:uid="{00000000-0005-0000-0000-000086970000}"/>
    <cellStyle name="常规 3 3 5 2 2" xfId="38791" xr:uid="{00000000-0005-0000-0000-000087970000}"/>
    <cellStyle name="常规 3 3 5 2 3" xfId="38792" xr:uid="{00000000-0005-0000-0000-000088970000}"/>
    <cellStyle name="常规 3 3 5 2 4" xfId="38793" xr:uid="{00000000-0005-0000-0000-000089970000}"/>
    <cellStyle name="常规 3 3 5 2 4 2" xfId="38794" xr:uid="{00000000-0005-0000-0000-00008A970000}"/>
    <cellStyle name="常规 3 3 5 2 4 3" xfId="38795" xr:uid="{00000000-0005-0000-0000-00008B970000}"/>
    <cellStyle name="常规 3 3 5 2 5" xfId="38796" xr:uid="{00000000-0005-0000-0000-00008C970000}"/>
    <cellStyle name="常规 3 3 5 2 5 2" xfId="38797" xr:uid="{00000000-0005-0000-0000-00008D970000}"/>
    <cellStyle name="常规 3 3 5 3" xfId="38798" xr:uid="{00000000-0005-0000-0000-00008E970000}"/>
    <cellStyle name="常规 3 3 5 3 2" xfId="38799" xr:uid="{00000000-0005-0000-0000-00008F970000}"/>
    <cellStyle name="常规 3 3 5 3 2 2" xfId="38800" xr:uid="{00000000-0005-0000-0000-000090970000}"/>
    <cellStyle name="常规 3 3 5 4" xfId="38801" xr:uid="{00000000-0005-0000-0000-000091970000}"/>
    <cellStyle name="常规 3 3 5 4 2" xfId="38802" xr:uid="{00000000-0005-0000-0000-000092970000}"/>
    <cellStyle name="常规 3 3 5 4 2 2" xfId="38803" xr:uid="{00000000-0005-0000-0000-000093970000}"/>
    <cellStyle name="常规 3 3 5 5" xfId="38804" xr:uid="{00000000-0005-0000-0000-000094970000}"/>
    <cellStyle name="常规 3 3 5 6" xfId="38805" xr:uid="{00000000-0005-0000-0000-000095970000}"/>
    <cellStyle name="常规 3 3 5 6 2" xfId="38806" xr:uid="{00000000-0005-0000-0000-000096970000}"/>
    <cellStyle name="常规 3 3 5 6 3" xfId="38807" xr:uid="{00000000-0005-0000-0000-000097970000}"/>
    <cellStyle name="常规 3 3 5 7" xfId="38808" xr:uid="{00000000-0005-0000-0000-000098970000}"/>
    <cellStyle name="常规 3 3 5 7 2" xfId="38809" xr:uid="{00000000-0005-0000-0000-000099970000}"/>
    <cellStyle name="常规 3 3 6" xfId="38810" xr:uid="{00000000-0005-0000-0000-00009A970000}"/>
    <cellStyle name="常规 3 3 6 2" xfId="38811" xr:uid="{00000000-0005-0000-0000-00009B970000}"/>
    <cellStyle name="常规 3 3 6 2 2" xfId="38812" xr:uid="{00000000-0005-0000-0000-00009C970000}"/>
    <cellStyle name="常规 3 3 6 2 2 2" xfId="38813" xr:uid="{00000000-0005-0000-0000-00009D970000}"/>
    <cellStyle name="常规 3 3 6 2 2 2 2" xfId="38814" xr:uid="{00000000-0005-0000-0000-00009E970000}"/>
    <cellStyle name="常规 3 3 6 2 3" xfId="38815" xr:uid="{00000000-0005-0000-0000-00009F970000}"/>
    <cellStyle name="常规 3 3 6 2 3 2" xfId="38816" xr:uid="{00000000-0005-0000-0000-0000A0970000}"/>
    <cellStyle name="常规 3 3 6 2 4" xfId="38817" xr:uid="{00000000-0005-0000-0000-0000A1970000}"/>
    <cellStyle name="常规 3 3 6 2 4 2" xfId="38818" xr:uid="{00000000-0005-0000-0000-0000A2970000}"/>
    <cellStyle name="常规 3 3 6 2 5" xfId="38819" xr:uid="{00000000-0005-0000-0000-0000A3970000}"/>
    <cellStyle name="常规 3 3 6 3" xfId="38820" xr:uid="{00000000-0005-0000-0000-0000A4970000}"/>
    <cellStyle name="常规 3 3 6 4" xfId="38821" xr:uid="{00000000-0005-0000-0000-0000A5970000}"/>
    <cellStyle name="常规 3 3 6 4 2" xfId="38822" xr:uid="{00000000-0005-0000-0000-0000A6970000}"/>
    <cellStyle name="常规 3 3 6 4 3" xfId="38823" xr:uid="{00000000-0005-0000-0000-0000A7970000}"/>
    <cellStyle name="常规 3 3 6 5" xfId="38824" xr:uid="{00000000-0005-0000-0000-0000A8970000}"/>
    <cellStyle name="常规 3 3 6 5 2" xfId="38825" xr:uid="{00000000-0005-0000-0000-0000A9970000}"/>
    <cellStyle name="常规 3 3 7" xfId="38826" xr:uid="{00000000-0005-0000-0000-0000AA970000}"/>
    <cellStyle name="常规 3 3 7 2" xfId="38827" xr:uid="{00000000-0005-0000-0000-0000AB970000}"/>
    <cellStyle name="常规 3 3 7 2 2" xfId="38828" xr:uid="{00000000-0005-0000-0000-0000AC970000}"/>
    <cellStyle name="常规 3 3 7 2 2 2" xfId="38829" xr:uid="{00000000-0005-0000-0000-0000AD970000}"/>
    <cellStyle name="常规 3 3 7 3" xfId="38830" xr:uid="{00000000-0005-0000-0000-0000AE970000}"/>
    <cellStyle name="常规 3 3 7 3 2" xfId="38831" xr:uid="{00000000-0005-0000-0000-0000AF970000}"/>
    <cellStyle name="常规 3 3 7 3 2 2" xfId="38832" xr:uid="{00000000-0005-0000-0000-0000B0970000}"/>
    <cellStyle name="常规 3 3 7 4" xfId="38833" xr:uid="{00000000-0005-0000-0000-0000B1970000}"/>
    <cellStyle name="常规 3 3 7 4 2" xfId="38834" xr:uid="{00000000-0005-0000-0000-0000B2970000}"/>
    <cellStyle name="常规 3 3 7 5" xfId="38835" xr:uid="{00000000-0005-0000-0000-0000B3970000}"/>
    <cellStyle name="常规 3 3 8" xfId="38836" xr:uid="{00000000-0005-0000-0000-0000B4970000}"/>
    <cellStyle name="常规 3 3 8 2" xfId="38837" xr:uid="{00000000-0005-0000-0000-0000B5970000}"/>
    <cellStyle name="常规 3 3 8 2 2" xfId="38838" xr:uid="{00000000-0005-0000-0000-0000B6970000}"/>
    <cellStyle name="常规 3 3 9" xfId="38839" xr:uid="{00000000-0005-0000-0000-0000B7970000}"/>
    <cellStyle name="常规 3 4" xfId="38840" xr:uid="{00000000-0005-0000-0000-0000B8970000}"/>
    <cellStyle name="常规 3 4 10" xfId="38841" xr:uid="{00000000-0005-0000-0000-0000B9970000}"/>
    <cellStyle name="常规 3 4 10 2" xfId="38842" xr:uid="{00000000-0005-0000-0000-0000BA970000}"/>
    <cellStyle name="常规 3 4 10 3" xfId="38843" xr:uid="{00000000-0005-0000-0000-0000BB970000}"/>
    <cellStyle name="常规 3 4 11" xfId="38844" xr:uid="{00000000-0005-0000-0000-0000BC970000}"/>
    <cellStyle name="常规 3 4 11 2" xfId="38845" xr:uid="{00000000-0005-0000-0000-0000BD970000}"/>
    <cellStyle name="常规 3 4 2" xfId="38846" xr:uid="{00000000-0005-0000-0000-0000BE970000}"/>
    <cellStyle name="常规 3 4 2 10" xfId="38847" xr:uid="{00000000-0005-0000-0000-0000BF970000}"/>
    <cellStyle name="常规 3 4 2 10 2" xfId="38848" xr:uid="{00000000-0005-0000-0000-0000C0970000}"/>
    <cellStyle name="常规 3 4 2 2" xfId="38849" xr:uid="{00000000-0005-0000-0000-0000C1970000}"/>
    <cellStyle name="常规 3 4 2 2 2" xfId="38850" xr:uid="{00000000-0005-0000-0000-0000C2970000}"/>
    <cellStyle name="常规 3 4 2 2 2 2" xfId="38851" xr:uid="{00000000-0005-0000-0000-0000C3970000}"/>
    <cellStyle name="常规 3 4 2 2 2 2 2" xfId="38852" xr:uid="{00000000-0005-0000-0000-0000C4970000}"/>
    <cellStyle name="常规 3 4 2 2 2 2 2 2" xfId="38853" xr:uid="{00000000-0005-0000-0000-0000C5970000}"/>
    <cellStyle name="常规 3 4 2 2 2 2 2 2 2" xfId="38854" xr:uid="{00000000-0005-0000-0000-0000C6970000}"/>
    <cellStyle name="常规 3 4 2 2 2 2 3" xfId="38855" xr:uid="{00000000-0005-0000-0000-0000C7970000}"/>
    <cellStyle name="常规 3 4 2 2 2 2 3 2" xfId="38856" xr:uid="{00000000-0005-0000-0000-0000C8970000}"/>
    <cellStyle name="常规 3 4 2 2 2 2 3 2 2" xfId="38857" xr:uid="{00000000-0005-0000-0000-0000C9970000}"/>
    <cellStyle name="常规 3 4 2 2 2 2 4" xfId="38858" xr:uid="{00000000-0005-0000-0000-0000CA970000}"/>
    <cellStyle name="常规 3 4 2 2 2 2 4 2" xfId="38859" xr:uid="{00000000-0005-0000-0000-0000CB970000}"/>
    <cellStyle name="常规 3 4 2 2 2 2 4 2 2" xfId="38860" xr:uid="{00000000-0005-0000-0000-0000CC970000}"/>
    <cellStyle name="常规 3 4 2 2 2 2 5" xfId="38861" xr:uid="{00000000-0005-0000-0000-0000CD970000}"/>
    <cellStyle name="常规 3 4 2 2 2 2 5 2" xfId="38862" xr:uid="{00000000-0005-0000-0000-0000CE970000}"/>
    <cellStyle name="常规 3 4 2 2 2 2 5 3" xfId="38863" xr:uid="{00000000-0005-0000-0000-0000CF970000}"/>
    <cellStyle name="常规 3 4 2 2 2 2 6" xfId="38864" xr:uid="{00000000-0005-0000-0000-0000D0970000}"/>
    <cellStyle name="常规 3 4 2 2 2 3" xfId="38865" xr:uid="{00000000-0005-0000-0000-0000D1970000}"/>
    <cellStyle name="常规 3 4 2 2 2 3 2" xfId="38866" xr:uid="{00000000-0005-0000-0000-0000D2970000}"/>
    <cellStyle name="常规 3 4 2 2 2 3 2 2" xfId="38867" xr:uid="{00000000-0005-0000-0000-0000D3970000}"/>
    <cellStyle name="常规 3 4 2 2 2 3 2 2 2" xfId="38868" xr:uid="{00000000-0005-0000-0000-0000D4970000}"/>
    <cellStyle name="常规 3 4 2 2 2 3 3" xfId="38869" xr:uid="{00000000-0005-0000-0000-0000D5970000}"/>
    <cellStyle name="常规 3 4 2 2 2 3 3 2" xfId="38870" xr:uid="{00000000-0005-0000-0000-0000D6970000}"/>
    <cellStyle name="常规 3 4 2 2 2 3 3 2 2" xfId="38871" xr:uid="{00000000-0005-0000-0000-0000D7970000}"/>
    <cellStyle name="常规 3 4 2 2 2 3 4" xfId="38872" xr:uid="{00000000-0005-0000-0000-0000D8970000}"/>
    <cellStyle name="常规 3 4 2 2 2 3 4 2" xfId="38873" xr:uid="{00000000-0005-0000-0000-0000D9970000}"/>
    <cellStyle name="常规 3 4 2 2 2 3 5" xfId="38874" xr:uid="{00000000-0005-0000-0000-0000DA970000}"/>
    <cellStyle name="常规 3 4 2 2 2 4" xfId="38875" xr:uid="{00000000-0005-0000-0000-0000DB970000}"/>
    <cellStyle name="常规 3 4 2 2 2 4 2" xfId="38876" xr:uid="{00000000-0005-0000-0000-0000DC970000}"/>
    <cellStyle name="常规 3 4 2 2 2 4 2 2" xfId="38877" xr:uid="{00000000-0005-0000-0000-0000DD970000}"/>
    <cellStyle name="常规 3 4 2 2 2 5" xfId="38878" xr:uid="{00000000-0005-0000-0000-0000DE970000}"/>
    <cellStyle name="常规 3 4 2 2 2 5 2" xfId="38879" xr:uid="{00000000-0005-0000-0000-0000DF970000}"/>
    <cellStyle name="常规 3 4 2 2 2 5 2 2" xfId="38880" xr:uid="{00000000-0005-0000-0000-0000E0970000}"/>
    <cellStyle name="常规 3 4 2 2 2 6" xfId="38881" xr:uid="{00000000-0005-0000-0000-0000E1970000}"/>
    <cellStyle name="常规 3 4 2 2 2 7" xfId="38882" xr:uid="{00000000-0005-0000-0000-0000E2970000}"/>
    <cellStyle name="常规 3 4 2 2 2 7 2" xfId="38883" xr:uid="{00000000-0005-0000-0000-0000E3970000}"/>
    <cellStyle name="常规 3 4 2 2 2 7 3" xfId="38884" xr:uid="{00000000-0005-0000-0000-0000E4970000}"/>
    <cellStyle name="常规 3 4 2 2 2 8" xfId="38885" xr:uid="{00000000-0005-0000-0000-0000E5970000}"/>
    <cellStyle name="常规 3 4 2 2 2 8 2" xfId="38886" xr:uid="{00000000-0005-0000-0000-0000E6970000}"/>
    <cellStyle name="常规 3 4 2 2 3" xfId="38887" xr:uid="{00000000-0005-0000-0000-0000E7970000}"/>
    <cellStyle name="常规 3 4 2 2 3 2" xfId="38888" xr:uid="{00000000-0005-0000-0000-0000E8970000}"/>
    <cellStyle name="常规 3 4 2 2 3 2 2" xfId="38889" xr:uid="{00000000-0005-0000-0000-0000E9970000}"/>
    <cellStyle name="常规 3 4 2 2 3 2 3" xfId="38890" xr:uid="{00000000-0005-0000-0000-0000EA970000}"/>
    <cellStyle name="常规 3 4 2 2 3 2 4" xfId="38891" xr:uid="{00000000-0005-0000-0000-0000EB970000}"/>
    <cellStyle name="常规 3 4 2 2 3 2 5" xfId="38892" xr:uid="{00000000-0005-0000-0000-0000EC970000}"/>
    <cellStyle name="常规 3 4 2 2 3 2 5 2" xfId="38893" xr:uid="{00000000-0005-0000-0000-0000ED970000}"/>
    <cellStyle name="常规 3 4 2 2 3 3" xfId="38894" xr:uid="{00000000-0005-0000-0000-0000EE970000}"/>
    <cellStyle name="常规 3 4 2 2 3 3 2" xfId="38895" xr:uid="{00000000-0005-0000-0000-0000EF970000}"/>
    <cellStyle name="常规 3 4 2 2 3 3 2 2" xfId="38896" xr:uid="{00000000-0005-0000-0000-0000F0970000}"/>
    <cellStyle name="常规 3 4 2 2 3 4" xfId="38897" xr:uid="{00000000-0005-0000-0000-0000F1970000}"/>
    <cellStyle name="常规 3 4 2 2 3 4 2" xfId="38898" xr:uid="{00000000-0005-0000-0000-0000F2970000}"/>
    <cellStyle name="常规 3 4 2 2 3 4 2 2" xfId="38899" xr:uid="{00000000-0005-0000-0000-0000F3970000}"/>
    <cellStyle name="常规 3 4 2 2 3 5" xfId="38900" xr:uid="{00000000-0005-0000-0000-0000F4970000}"/>
    <cellStyle name="常规 3 4 2 2 3 5 2" xfId="38901" xr:uid="{00000000-0005-0000-0000-0000F5970000}"/>
    <cellStyle name="常规 3 4 2 2 3 5 3" xfId="38902" xr:uid="{00000000-0005-0000-0000-0000F6970000}"/>
    <cellStyle name="常规 3 4 2 2 3 6" xfId="38903" xr:uid="{00000000-0005-0000-0000-0000F7970000}"/>
    <cellStyle name="常规 3 4 2 2 3 6 2" xfId="38904" xr:uid="{00000000-0005-0000-0000-0000F8970000}"/>
    <cellStyle name="常规 3 4 2 2 3 7" xfId="38905" xr:uid="{00000000-0005-0000-0000-0000F9970000}"/>
    <cellStyle name="常规 3 4 2 2 4" xfId="38906" xr:uid="{00000000-0005-0000-0000-0000FA970000}"/>
    <cellStyle name="常规 3 4 2 2 4 2" xfId="38907" xr:uid="{00000000-0005-0000-0000-0000FB970000}"/>
    <cellStyle name="常规 3 4 2 2 4 3" xfId="38908" xr:uid="{00000000-0005-0000-0000-0000FC970000}"/>
    <cellStyle name="常规 3 4 2 2 4 4" xfId="38909" xr:uid="{00000000-0005-0000-0000-0000FD970000}"/>
    <cellStyle name="常规 3 4 2 2 4 5" xfId="38910" xr:uid="{00000000-0005-0000-0000-0000FE970000}"/>
    <cellStyle name="常规 3 4 2 2 4 5 2" xfId="38911" xr:uid="{00000000-0005-0000-0000-0000FF970000}"/>
    <cellStyle name="常规 3 4 2 2 5" xfId="38912" xr:uid="{00000000-0005-0000-0000-000000980000}"/>
    <cellStyle name="常规 3 4 2 2 5 2" xfId="38913" xr:uid="{00000000-0005-0000-0000-000001980000}"/>
    <cellStyle name="常规 3 4 2 2 5 2 2" xfId="38914" xr:uid="{00000000-0005-0000-0000-000002980000}"/>
    <cellStyle name="常规 3 4 2 2 6" xfId="38915" xr:uid="{00000000-0005-0000-0000-000003980000}"/>
    <cellStyle name="常规 3 4 2 2 6 2" xfId="38916" xr:uid="{00000000-0005-0000-0000-000004980000}"/>
    <cellStyle name="常规 3 4 2 2 6 2 2" xfId="38917" xr:uid="{00000000-0005-0000-0000-000005980000}"/>
    <cellStyle name="常规 3 4 2 2 7" xfId="38918" xr:uid="{00000000-0005-0000-0000-000006980000}"/>
    <cellStyle name="常规 3 4 2 2 7 2" xfId="38919" xr:uid="{00000000-0005-0000-0000-000007980000}"/>
    <cellStyle name="常规 3 4 2 2 7 2 2" xfId="38920" xr:uid="{00000000-0005-0000-0000-000008980000}"/>
    <cellStyle name="常规 3 4 2 2 8" xfId="38921" xr:uid="{00000000-0005-0000-0000-000009980000}"/>
    <cellStyle name="常规 3 4 2 2 8 2" xfId="38922" xr:uid="{00000000-0005-0000-0000-00000A980000}"/>
    <cellStyle name="常规 3 4 2 2 8 3" xfId="38923" xr:uid="{00000000-0005-0000-0000-00000B980000}"/>
    <cellStyle name="常规 3 4 2 2 9" xfId="38924" xr:uid="{00000000-0005-0000-0000-00000C980000}"/>
    <cellStyle name="常规 3 4 2 2 9 2" xfId="38925" xr:uid="{00000000-0005-0000-0000-00000D980000}"/>
    <cellStyle name="常规 3 4 2 3" xfId="38926" xr:uid="{00000000-0005-0000-0000-00000E980000}"/>
    <cellStyle name="常规 3 4 2 3 2" xfId="38927" xr:uid="{00000000-0005-0000-0000-00000F980000}"/>
    <cellStyle name="常规 3 4 2 3 2 2" xfId="38928" xr:uid="{00000000-0005-0000-0000-000010980000}"/>
    <cellStyle name="常规 3 4 2 3 2 2 2" xfId="38929" xr:uid="{00000000-0005-0000-0000-000011980000}"/>
    <cellStyle name="常规 3 4 2 3 2 2 2 2" xfId="38930" xr:uid="{00000000-0005-0000-0000-000012980000}"/>
    <cellStyle name="常规 3 4 2 3 2 3" xfId="38931" xr:uid="{00000000-0005-0000-0000-000013980000}"/>
    <cellStyle name="常规 3 4 2 3 2 3 2" xfId="38932" xr:uid="{00000000-0005-0000-0000-000014980000}"/>
    <cellStyle name="常规 3 4 2 3 2 3 2 2" xfId="38933" xr:uid="{00000000-0005-0000-0000-000015980000}"/>
    <cellStyle name="常规 3 4 2 3 2 4" xfId="38934" xr:uid="{00000000-0005-0000-0000-000016980000}"/>
    <cellStyle name="常规 3 4 2 3 2 4 2" xfId="38935" xr:uid="{00000000-0005-0000-0000-000017980000}"/>
    <cellStyle name="常规 3 4 2 3 2 4 2 2" xfId="38936" xr:uid="{00000000-0005-0000-0000-000018980000}"/>
    <cellStyle name="常规 3 4 2 3 2 5" xfId="38937" xr:uid="{00000000-0005-0000-0000-000019980000}"/>
    <cellStyle name="常规 3 4 2 3 2 5 2" xfId="38938" xr:uid="{00000000-0005-0000-0000-00001A980000}"/>
    <cellStyle name="常规 3 4 2 3 2 5 3" xfId="38939" xr:uid="{00000000-0005-0000-0000-00001B980000}"/>
    <cellStyle name="常规 3 4 2 3 2 6" xfId="38940" xr:uid="{00000000-0005-0000-0000-00001C980000}"/>
    <cellStyle name="常规 3 4 2 3 3" xfId="38941" xr:uid="{00000000-0005-0000-0000-00001D980000}"/>
    <cellStyle name="常规 3 4 2 3 3 2" xfId="38942" xr:uid="{00000000-0005-0000-0000-00001E980000}"/>
    <cellStyle name="常规 3 4 2 3 3 2 2" xfId="38943" xr:uid="{00000000-0005-0000-0000-00001F980000}"/>
    <cellStyle name="常规 3 4 2 3 3 2 2 2" xfId="38944" xr:uid="{00000000-0005-0000-0000-000020980000}"/>
    <cellStyle name="常规 3 4 2 3 3 3" xfId="38945" xr:uid="{00000000-0005-0000-0000-000021980000}"/>
    <cellStyle name="常规 3 4 2 3 3 3 2" xfId="38946" xr:uid="{00000000-0005-0000-0000-000022980000}"/>
    <cellStyle name="常规 3 4 2 3 3 3 2 2" xfId="38947" xr:uid="{00000000-0005-0000-0000-000023980000}"/>
    <cellStyle name="常规 3 4 2 3 3 4" xfId="38948" xr:uid="{00000000-0005-0000-0000-000024980000}"/>
    <cellStyle name="常规 3 4 2 3 3 4 2" xfId="38949" xr:uid="{00000000-0005-0000-0000-000025980000}"/>
    <cellStyle name="常规 3 4 2 3 3 5" xfId="38950" xr:uid="{00000000-0005-0000-0000-000026980000}"/>
    <cellStyle name="常规 3 4 2 3 4" xfId="38951" xr:uid="{00000000-0005-0000-0000-000027980000}"/>
    <cellStyle name="常规 3 4 2 3 4 2" xfId="38952" xr:uid="{00000000-0005-0000-0000-000028980000}"/>
    <cellStyle name="常规 3 4 2 3 4 2 2" xfId="38953" xr:uid="{00000000-0005-0000-0000-000029980000}"/>
    <cellStyle name="常规 3 4 2 3 5" xfId="38954" xr:uid="{00000000-0005-0000-0000-00002A980000}"/>
    <cellStyle name="常规 3 4 2 3 5 2" xfId="38955" xr:uid="{00000000-0005-0000-0000-00002B980000}"/>
    <cellStyle name="常规 3 4 2 3 5 2 2" xfId="38956" xr:uid="{00000000-0005-0000-0000-00002C980000}"/>
    <cellStyle name="常规 3 4 2 3 6" xfId="38957" xr:uid="{00000000-0005-0000-0000-00002D980000}"/>
    <cellStyle name="常规 3 4 2 3 7" xfId="38958" xr:uid="{00000000-0005-0000-0000-00002E980000}"/>
    <cellStyle name="常规 3 4 2 3 7 2" xfId="38959" xr:uid="{00000000-0005-0000-0000-00002F980000}"/>
    <cellStyle name="常规 3 4 2 3 7 3" xfId="38960" xr:uid="{00000000-0005-0000-0000-000030980000}"/>
    <cellStyle name="常规 3 4 2 3 8" xfId="38961" xr:uid="{00000000-0005-0000-0000-000031980000}"/>
    <cellStyle name="常规 3 4 2 3 8 2" xfId="38962" xr:uid="{00000000-0005-0000-0000-000032980000}"/>
    <cellStyle name="常规 3 4 2 4" xfId="38963" xr:uid="{00000000-0005-0000-0000-000033980000}"/>
    <cellStyle name="常规 3 4 2 4 2" xfId="38964" xr:uid="{00000000-0005-0000-0000-000034980000}"/>
    <cellStyle name="常规 3 4 2 4 2 2" xfId="38965" xr:uid="{00000000-0005-0000-0000-000035980000}"/>
    <cellStyle name="常规 3 4 2 4 2 3" xfId="38966" xr:uid="{00000000-0005-0000-0000-000036980000}"/>
    <cellStyle name="常规 3 4 2 4 2 4" xfId="38967" xr:uid="{00000000-0005-0000-0000-000037980000}"/>
    <cellStyle name="常规 3 4 2 4 2 5" xfId="38968" xr:uid="{00000000-0005-0000-0000-000038980000}"/>
    <cellStyle name="常规 3 4 2 4 2 5 2" xfId="38969" xr:uid="{00000000-0005-0000-0000-000039980000}"/>
    <cellStyle name="常规 3 4 2 4 3" xfId="38970" xr:uid="{00000000-0005-0000-0000-00003A980000}"/>
    <cellStyle name="常规 3 4 2 4 3 2" xfId="38971" xr:uid="{00000000-0005-0000-0000-00003B980000}"/>
    <cellStyle name="常规 3 4 2 4 3 2 2" xfId="38972" xr:uid="{00000000-0005-0000-0000-00003C980000}"/>
    <cellStyle name="常规 3 4 2 4 4" xfId="38973" xr:uid="{00000000-0005-0000-0000-00003D980000}"/>
    <cellStyle name="常规 3 4 2 4 4 2" xfId="38974" xr:uid="{00000000-0005-0000-0000-00003E980000}"/>
    <cellStyle name="常规 3 4 2 4 4 2 2" xfId="38975" xr:uid="{00000000-0005-0000-0000-00003F980000}"/>
    <cellStyle name="常规 3 4 2 4 5" xfId="38976" xr:uid="{00000000-0005-0000-0000-000040980000}"/>
    <cellStyle name="常规 3 4 2 4 5 2" xfId="38977" xr:uid="{00000000-0005-0000-0000-000041980000}"/>
    <cellStyle name="常规 3 4 2 4 5 3" xfId="38978" xr:uid="{00000000-0005-0000-0000-000042980000}"/>
    <cellStyle name="常规 3 4 2 4 6" xfId="38979" xr:uid="{00000000-0005-0000-0000-000043980000}"/>
    <cellStyle name="常规 3 4 2 4 6 2" xfId="38980" xr:uid="{00000000-0005-0000-0000-000044980000}"/>
    <cellStyle name="常规 3 4 2 4 7" xfId="38981" xr:uid="{00000000-0005-0000-0000-000045980000}"/>
    <cellStyle name="常规 3 4 2 5" xfId="38982" xr:uid="{00000000-0005-0000-0000-000046980000}"/>
    <cellStyle name="常规 3 4 2 5 2" xfId="38983" xr:uid="{00000000-0005-0000-0000-000047980000}"/>
    <cellStyle name="常规 3 4 2 5 3" xfId="38984" xr:uid="{00000000-0005-0000-0000-000048980000}"/>
    <cellStyle name="常规 3 4 2 5 4" xfId="38985" xr:uid="{00000000-0005-0000-0000-000049980000}"/>
    <cellStyle name="常规 3 4 2 5 5" xfId="38986" xr:uid="{00000000-0005-0000-0000-00004A980000}"/>
    <cellStyle name="常规 3 4 2 5 5 2" xfId="38987" xr:uid="{00000000-0005-0000-0000-00004B980000}"/>
    <cellStyle name="常规 3 4 2 6" xfId="38988" xr:uid="{00000000-0005-0000-0000-00004C980000}"/>
    <cellStyle name="常规 3 4 2 6 2" xfId="38989" xr:uid="{00000000-0005-0000-0000-00004D980000}"/>
    <cellStyle name="常规 3 4 2 6 2 2" xfId="38990" xr:uid="{00000000-0005-0000-0000-00004E980000}"/>
    <cellStyle name="常规 3 4 2 7" xfId="38991" xr:uid="{00000000-0005-0000-0000-00004F980000}"/>
    <cellStyle name="常规 3 4 2 7 2" xfId="38992" xr:uid="{00000000-0005-0000-0000-000050980000}"/>
    <cellStyle name="常规 3 4 2 7 2 2" xfId="38993" xr:uid="{00000000-0005-0000-0000-000051980000}"/>
    <cellStyle name="常规 3 4 2 8" xfId="38994" xr:uid="{00000000-0005-0000-0000-000052980000}"/>
    <cellStyle name="常规 3 4 2 8 2" xfId="38995" xr:uid="{00000000-0005-0000-0000-000053980000}"/>
    <cellStyle name="常规 3 4 2 8 2 2" xfId="38996" xr:uid="{00000000-0005-0000-0000-000054980000}"/>
    <cellStyle name="常规 3 4 2 9" xfId="38997" xr:uid="{00000000-0005-0000-0000-000055980000}"/>
    <cellStyle name="常规 3 4 2 9 2" xfId="38998" xr:uid="{00000000-0005-0000-0000-000056980000}"/>
    <cellStyle name="常规 3 4 2 9 3" xfId="38999" xr:uid="{00000000-0005-0000-0000-000057980000}"/>
    <cellStyle name="常规 3 4 3" xfId="39000" xr:uid="{00000000-0005-0000-0000-000058980000}"/>
    <cellStyle name="常规 3 4 3 2" xfId="39001" xr:uid="{00000000-0005-0000-0000-000059980000}"/>
    <cellStyle name="常规 3 4 3 2 2" xfId="39002" xr:uid="{00000000-0005-0000-0000-00005A980000}"/>
    <cellStyle name="常规 3 4 3 2 2 2" xfId="39003" xr:uid="{00000000-0005-0000-0000-00005B980000}"/>
    <cellStyle name="常规 3 4 3 2 2 2 2" xfId="39004" xr:uid="{00000000-0005-0000-0000-00005C980000}"/>
    <cellStyle name="常规 3 4 3 2 3" xfId="39005" xr:uid="{00000000-0005-0000-0000-00005D980000}"/>
    <cellStyle name="常规 3 4 3 2 3 2" xfId="39006" xr:uid="{00000000-0005-0000-0000-00005E980000}"/>
    <cellStyle name="常规 3 4 3 2 3 2 2" xfId="39007" xr:uid="{00000000-0005-0000-0000-00005F980000}"/>
    <cellStyle name="常规 3 4 3 2 4" xfId="39008" xr:uid="{00000000-0005-0000-0000-000060980000}"/>
    <cellStyle name="常规 3 4 3 2 4 2" xfId="39009" xr:uid="{00000000-0005-0000-0000-000061980000}"/>
    <cellStyle name="常规 3 4 3 2 4 2 2" xfId="39010" xr:uid="{00000000-0005-0000-0000-000062980000}"/>
    <cellStyle name="常规 3 4 3 2 5" xfId="39011" xr:uid="{00000000-0005-0000-0000-000063980000}"/>
    <cellStyle name="常规 3 4 3 2 5 2" xfId="39012" xr:uid="{00000000-0005-0000-0000-000064980000}"/>
    <cellStyle name="常规 3 4 3 2 5 3" xfId="39013" xr:uid="{00000000-0005-0000-0000-000065980000}"/>
    <cellStyle name="常规 3 4 3 2 6" xfId="39014" xr:uid="{00000000-0005-0000-0000-000066980000}"/>
    <cellStyle name="常规 3 4 3 3" xfId="39015" xr:uid="{00000000-0005-0000-0000-000067980000}"/>
    <cellStyle name="常规 3 4 3 3 2" xfId="39016" xr:uid="{00000000-0005-0000-0000-000068980000}"/>
    <cellStyle name="常规 3 4 3 3 2 2" xfId="39017" xr:uid="{00000000-0005-0000-0000-000069980000}"/>
    <cellStyle name="常规 3 4 3 3 2 2 2" xfId="39018" xr:uid="{00000000-0005-0000-0000-00006A980000}"/>
    <cellStyle name="常规 3 4 3 3 3" xfId="39019" xr:uid="{00000000-0005-0000-0000-00006B980000}"/>
    <cellStyle name="常规 3 4 3 3 3 2" xfId="39020" xr:uid="{00000000-0005-0000-0000-00006C980000}"/>
    <cellStyle name="常规 3 4 3 3 3 2 2" xfId="39021" xr:uid="{00000000-0005-0000-0000-00006D980000}"/>
    <cellStyle name="常规 3 4 3 3 4" xfId="39022" xr:uid="{00000000-0005-0000-0000-00006E980000}"/>
    <cellStyle name="常规 3 4 3 3 4 2" xfId="39023" xr:uid="{00000000-0005-0000-0000-00006F980000}"/>
    <cellStyle name="常规 3 4 3 3 5" xfId="39024" xr:uid="{00000000-0005-0000-0000-000070980000}"/>
    <cellStyle name="常规 3 4 3 4" xfId="39025" xr:uid="{00000000-0005-0000-0000-000071980000}"/>
    <cellStyle name="常规 3 4 3 4 2" xfId="39026" xr:uid="{00000000-0005-0000-0000-000072980000}"/>
    <cellStyle name="常规 3 4 3 4 2 2" xfId="39027" xr:uid="{00000000-0005-0000-0000-000073980000}"/>
    <cellStyle name="常规 3 4 3 5" xfId="39028" xr:uid="{00000000-0005-0000-0000-000074980000}"/>
    <cellStyle name="常规 3 4 3 5 2" xfId="39029" xr:uid="{00000000-0005-0000-0000-000075980000}"/>
    <cellStyle name="常规 3 4 3 5 2 2" xfId="39030" xr:uid="{00000000-0005-0000-0000-000076980000}"/>
    <cellStyle name="常规 3 4 3 6" xfId="39031" xr:uid="{00000000-0005-0000-0000-000077980000}"/>
    <cellStyle name="常规 3 4 3 7" xfId="39032" xr:uid="{00000000-0005-0000-0000-000078980000}"/>
    <cellStyle name="常规 3 4 3 7 2" xfId="39033" xr:uid="{00000000-0005-0000-0000-000079980000}"/>
    <cellStyle name="常规 3 4 3 7 3" xfId="39034" xr:uid="{00000000-0005-0000-0000-00007A980000}"/>
    <cellStyle name="常规 3 4 3 8" xfId="39035" xr:uid="{00000000-0005-0000-0000-00007B980000}"/>
    <cellStyle name="常规 3 4 3 8 2" xfId="39036" xr:uid="{00000000-0005-0000-0000-00007C980000}"/>
    <cellStyle name="常规 3 4 4" xfId="39037" xr:uid="{00000000-0005-0000-0000-00007D980000}"/>
    <cellStyle name="常规 3 4 4 2" xfId="39038" xr:uid="{00000000-0005-0000-0000-00007E980000}"/>
    <cellStyle name="常规 3 4 4 2 2" xfId="39039" xr:uid="{00000000-0005-0000-0000-00007F980000}"/>
    <cellStyle name="常规 3 4 4 2 2 2" xfId="39040" xr:uid="{00000000-0005-0000-0000-000080980000}"/>
    <cellStyle name="常规 3 4 4 2 2 2 2" xfId="39041" xr:uid="{00000000-0005-0000-0000-000081980000}"/>
    <cellStyle name="常规 3 4 4 2 3" xfId="39042" xr:uid="{00000000-0005-0000-0000-000082980000}"/>
    <cellStyle name="常规 3 4 4 2 3 2" xfId="39043" xr:uid="{00000000-0005-0000-0000-000083980000}"/>
    <cellStyle name="常规 3 4 4 2 3 2 2" xfId="39044" xr:uid="{00000000-0005-0000-0000-000084980000}"/>
    <cellStyle name="常规 3 4 4 2 4" xfId="39045" xr:uid="{00000000-0005-0000-0000-000085980000}"/>
    <cellStyle name="常规 3 4 4 2 4 2" xfId="39046" xr:uid="{00000000-0005-0000-0000-000086980000}"/>
    <cellStyle name="常规 3 4 4 2 4 2 2" xfId="39047" xr:uid="{00000000-0005-0000-0000-000087980000}"/>
    <cellStyle name="常规 3 4 4 2 5" xfId="39048" xr:uid="{00000000-0005-0000-0000-000088980000}"/>
    <cellStyle name="常规 3 4 4 2 5 2" xfId="39049" xr:uid="{00000000-0005-0000-0000-000089980000}"/>
    <cellStyle name="常规 3 4 4 2 5 3" xfId="39050" xr:uid="{00000000-0005-0000-0000-00008A980000}"/>
    <cellStyle name="常规 3 4 4 2 6" xfId="39051" xr:uid="{00000000-0005-0000-0000-00008B980000}"/>
    <cellStyle name="常规 3 4 4 3" xfId="39052" xr:uid="{00000000-0005-0000-0000-00008C980000}"/>
    <cellStyle name="常规 3 4 4 3 2" xfId="39053" xr:uid="{00000000-0005-0000-0000-00008D980000}"/>
    <cellStyle name="常规 3 4 4 3 2 2" xfId="39054" xr:uid="{00000000-0005-0000-0000-00008E980000}"/>
    <cellStyle name="常规 3 4 4 4" xfId="39055" xr:uid="{00000000-0005-0000-0000-00008F980000}"/>
    <cellStyle name="常规 3 4 4 4 2" xfId="39056" xr:uid="{00000000-0005-0000-0000-000090980000}"/>
    <cellStyle name="常规 3 4 4 4 2 2" xfId="39057" xr:uid="{00000000-0005-0000-0000-000091980000}"/>
    <cellStyle name="常规 3 4 4 5" xfId="39058" xr:uid="{00000000-0005-0000-0000-000092980000}"/>
    <cellStyle name="常规 3 4 4 5 2" xfId="39059" xr:uid="{00000000-0005-0000-0000-000093980000}"/>
    <cellStyle name="常规 3 4 4 5 2 2" xfId="39060" xr:uid="{00000000-0005-0000-0000-000094980000}"/>
    <cellStyle name="常规 3 4 4 6" xfId="39061" xr:uid="{00000000-0005-0000-0000-000095980000}"/>
    <cellStyle name="常规 3 4 4 7" xfId="39062" xr:uid="{00000000-0005-0000-0000-000096980000}"/>
    <cellStyle name="常规 3 4 4 7 2" xfId="39063" xr:uid="{00000000-0005-0000-0000-000097980000}"/>
    <cellStyle name="常规 3 4 4 7 3" xfId="39064" xr:uid="{00000000-0005-0000-0000-000098980000}"/>
    <cellStyle name="常规 3 4 4 8" xfId="39065" xr:uid="{00000000-0005-0000-0000-000099980000}"/>
    <cellStyle name="常规 3 4 4 8 2" xfId="39066" xr:uid="{00000000-0005-0000-0000-00009A980000}"/>
    <cellStyle name="常规 3 4 5" xfId="39067" xr:uid="{00000000-0005-0000-0000-00009B980000}"/>
    <cellStyle name="常规 3 4 5 2" xfId="39068" xr:uid="{00000000-0005-0000-0000-00009C980000}"/>
    <cellStyle name="常规 3 4 5 2 2" xfId="39069" xr:uid="{00000000-0005-0000-0000-00009D980000}"/>
    <cellStyle name="常规 3 4 5 2 2 2" xfId="39070" xr:uid="{00000000-0005-0000-0000-00009E980000}"/>
    <cellStyle name="常规 3 4 5 2 2 2 2" xfId="39071" xr:uid="{00000000-0005-0000-0000-00009F980000}"/>
    <cellStyle name="常规 3 4 5 2 3" xfId="39072" xr:uid="{00000000-0005-0000-0000-0000A0980000}"/>
    <cellStyle name="常规 3 4 5 2 3 2" xfId="39073" xr:uid="{00000000-0005-0000-0000-0000A1980000}"/>
    <cellStyle name="常规 3 4 5 2 3 2 2" xfId="39074" xr:uid="{00000000-0005-0000-0000-0000A2980000}"/>
    <cellStyle name="常规 3 4 5 2 4" xfId="39075" xr:uid="{00000000-0005-0000-0000-0000A3980000}"/>
    <cellStyle name="常规 3 4 5 2 4 2" xfId="39076" xr:uid="{00000000-0005-0000-0000-0000A4980000}"/>
    <cellStyle name="常规 3 4 5 2 5" xfId="39077" xr:uid="{00000000-0005-0000-0000-0000A5980000}"/>
    <cellStyle name="常规 3 4 5 3" xfId="39078" xr:uid="{00000000-0005-0000-0000-0000A6980000}"/>
    <cellStyle name="常规 3 4 5 3 2" xfId="39079" xr:uid="{00000000-0005-0000-0000-0000A7980000}"/>
    <cellStyle name="常规 3 4 5 3 2 2" xfId="39080" xr:uid="{00000000-0005-0000-0000-0000A8980000}"/>
    <cellStyle name="常规 3 4 5 4" xfId="39081" xr:uid="{00000000-0005-0000-0000-0000A9980000}"/>
    <cellStyle name="常规 3 4 5 4 2" xfId="39082" xr:uid="{00000000-0005-0000-0000-0000AA980000}"/>
    <cellStyle name="常规 3 4 5 4 2 2" xfId="39083" xr:uid="{00000000-0005-0000-0000-0000AB980000}"/>
    <cellStyle name="常规 3 4 5 5" xfId="39084" xr:uid="{00000000-0005-0000-0000-0000AC980000}"/>
    <cellStyle name="常规 3 4 5 5 2" xfId="39085" xr:uid="{00000000-0005-0000-0000-0000AD980000}"/>
    <cellStyle name="常规 3 4 5 5 3" xfId="39086" xr:uid="{00000000-0005-0000-0000-0000AE980000}"/>
    <cellStyle name="常规 3 4 5 6" xfId="39087" xr:uid="{00000000-0005-0000-0000-0000AF980000}"/>
    <cellStyle name="常规 3 4 6" xfId="39088" xr:uid="{00000000-0005-0000-0000-0000B0980000}"/>
    <cellStyle name="常规 3 4 6 2" xfId="39089" xr:uid="{00000000-0005-0000-0000-0000B1980000}"/>
    <cellStyle name="常规 3 4 6 2 2" xfId="39090" xr:uid="{00000000-0005-0000-0000-0000B2980000}"/>
    <cellStyle name="常规 3 4 6 2 2 2" xfId="39091" xr:uid="{00000000-0005-0000-0000-0000B3980000}"/>
    <cellStyle name="常规 3 4 6 3" xfId="39092" xr:uid="{00000000-0005-0000-0000-0000B4980000}"/>
    <cellStyle name="常规 3 4 6 3 2" xfId="39093" xr:uid="{00000000-0005-0000-0000-0000B5980000}"/>
    <cellStyle name="常规 3 4 6 3 2 2" xfId="39094" xr:uid="{00000000-0005-0000-0000-0000B6980000}"/>
    <cellStyle name="常规 3 4 6 4" xfId="39095" xr:uid="{00000000-0005-0000-0000-0000B7980000}"/>
    <cellStyle name="常规 3 4 6 4 2" xfId="39096" xr:uid="{00000000-0005-0000-0000-0000B8980000}"/>
    <cellStyle name="常规 3 4 6 5" xfId="39097" xr:uid="{00000000-0005-0000-0000-0000B9980000}"/>
    <cellStyle name="常规 3 4 7" xfId="39098" xr:uid="{00000000-0005-0000-0000-0000BA980000}"/>
    <cellStyle name="常规 3 4 7 2" xfId="39099" xr:uid="{00000000-0005-0000-0000-0000BB980000}"/>
    <cellStyle name="常规 3 4 7 2 2" xfId="39100" xr:uid="{00000000-0005-0000-0000-0000BC980000}"/>
    <cellStyle name="常规 3 4 8" xfId="39101" xr:uid="{00000000-0005-0000-0000-0000BD980000}"/>
    <cellStyle name="常规 3 4 8 2" xfId="39102" xr:uid="{00000000-0005-0000-0000-0000BE980000}"/>
    <cellStyle name="常规 3 4 8 2 2" xfId="39103" xr:uid="{00000000-0005-0000-0000-0000BF980000}"/>
    <cellStyle name="常规 3 4 9" xfId="39104" xr:uid="{00000000-0005-0000-0000-0000C0980000}"/>
    <cellStyle name="常规 3 5" xfId="39105" xr:uid="{00000000-0005-0000-0000-0000C1980000}"/>
    <cellStyle name="常规 3 5 10" xfId="39106" xr:uid="{00000000-0005-0000-0000-0000C2980000}"/>
    <cellStyle name="常规 3 5 10 2" xfId="39107" xr:uid="{00000000-0005-0000-0000-0000C3980000}"/>
    <cellStyle name="常规 3 5 2" xfId="39108" xr:uid="{00000000-0005-0000-0000-0000C4980000}"/>
    <cellStyle name="常规 3 5 2 10" xfId="39109" xr:uid="{00000000-0005-0000-0000-0000C5980000}"/>
    <cellStyle name="常规 3 5 2 10 2" xfId="39110" xr:uid="{00000000-0005-0000-0000-0000C6980000}"/>
    <cellStyle name="常规 3 5 2 2" xfId="39111" xr:uid="{00000000-0005-0000-0000-0000C7980000}"/>
    <cellStyle name="常规 3 5 2 2 2" xfId="39112" xr:uid="{00000000-0005-0000-0000-0000C8980000}"/>
    <cellStyle name="常规 3 5 2 2 2 2" xfId="39113" xr:uid="{00000000-0005-0000-0000-0000C9980000}"/>
    <cellStyle name="常规 3 5 2 2 2 2 2" xfId="39114" xr:uid="{00000000-0005-0000-0000-0000CA980000}"/>
    <cellStyle name="常规 3 5 2 2 2 2 2 2" xfId="39115" xr:uid="{00000000-0005-0000-0000-0000CB980000}"/>
    <cellStyle name="常规 3 5 2 2 2 2 2 2 2" xfId="39116" xr:uid="{00000000-0005-0000-0000-0000CC980000}"/>
    <cellStyle name="常规 3 5 2 2 2 2 3" xfId="39117" xr:uid="{00000000-0005-0000-0000-0000CD980000}"/>
    <cellStyle name="常规 3 5 2 2 2 2 3 2" xfId="39118" xr:uid="{00000000-0005-0000-0000-0000CE980000}"/>
    <cellStyle name="常规 3 5 2 2 2 2 3 2 2" xfId="39119" xr:uid="{00000000-0005-0000-0000-0000CF980000}"/>
    <cellStyle name="常规 3 5 2 2 2 2 4" xfId="39120" xr:uid="{00000000-0005-0000-0000-0000D0980000}"/>
    <cellStyle name="常规 3 5 2 2 2 2 4 2" xfId="39121" xr:uid="{00000000-0005-0000-0000-0000D1980000}"/>
    <cellStyle name="常规 3 5 2 2 2 2 4 2 2" xfId="39122" xr:uid="{00000000-0005-0000-0000-0000D2980000}"/>
    <cellStyle name="常规 3 5 2 2 2 2 5" xfId="39123" xr:uid="{00000000-0005-0000-0000-0000D3980000}"/>
    <cellStyle name="常规 3 5 2 2 2 2 5 2" xfId="39124" xr:uid="{00000000-0005-0000-0000-0000D4980000}"/>
    <cellStyle name="常规 3 5 2 2 2 2 5 3" xfId="39125" xr:uid="{00000000-0005-0000-0000-0000D5980000}"/>
    <cellStyle name="常规 3 5 2 2 2 2 6" xfId="39126" xr:uid="{00000000-0005-0000-0000-0000D6980000}"/>
    <cellStyle name="常规 3 5 2 2 2 3" xfId="39127" xr:uid="{00000000-0005-0000-0000-0000D7980000}"/>
    <cellStyle name="常规 3 5 2 2 2 3 2" xfId="39128" xr:uid="{00000000-0005-0000-0000-0000D8980000}"/>
    <cellStyle name="常规 3 5 2 2 2 3 2 2" xfId="39129" xr:uid="{00000000-0005-0000-0000-0000D9980000}"/>
    <cellStyle name="常规 3 5 2 2 2 3 2 2 2" xfId="39130" xr:uid="{00000000-0005-0000-0000-0000DA980000}"/>
    <cellStyle name="常规 3 5 2 2 2 3 3" xfId="39131" xr:uid="{00000000-0005-0000-0000-0000DB980000}"/>
    <cellStyle name="常规 3 5 2 2 2 3 3 2" xfId="39132" xr:uid="{00000000-0005-0000-0000-0000DC980000}"/>
    <cellStyle name="常规 3 5 2 2 2 3 3 2 2" xfId="39133" xr:uid="{00000000-0005-0000-0000-0000DD980000}"/>
    <cellStyle name="常规 3 5 2 2 2 3 4" xfId="39134" xr:uid="{00000000-0005-0000-0000-0000DE980000}"/>
    <cellStyle name="常规 3 5 2 2 2 3 4 2" xfId="39135" xr:uid="{00000000-0005-0000-0000-0000DF980000}"/>
    <cellStyle name="常规 3 5 2 2 2 3 5" xfId="39136" xr:uid="{00000000-0005-0000-0000-0000E0980000}"/>
    <cellStyle name="常规 3 5 2 2 2 4" xfId="39137" xr:uid="{00000000-0005-0000-0000-0000E1980000}"/>
    <cellStyle name="常规 3 5 2 2 2 4 2" xfId="39138" xr:uid="{00000000-0005-0000-0000-0000E2980000}"/>
    <cellStyle name="常规 3 5 2 2 2 4 2 2" xfId="39139" xr:uid="{00000000-0005-0000-0000-0000E3980000}"/>
    <cellStyle name="常规 3 5 2 2 2 5" xfId="39140" xr:uid="{00000000-0005-0000-0000-0000E4980000}"/>
    <cellStyle name="常规 3 5 2 2 2 5 2" xfId="39141" xr:uid="{00000000-0005-0000-0000-0000E5980000}"/>
    <cellStyle name="常规 3 5 2 2 2 5 2 2" xfId="39142" xr:uid="{00000000-0005-0000-0000-0000E6980000}"/>
    <cellStyle name="常规 3 5 2 2 2 6" xfId="39143" xr:uid="{00000000-0005-0000-0000-0000E7980000}"/>
    <cellStyle name="常规 3 5 2 2 2 7" xfId="39144" xr:uid="{00000000-0005-0000-0000-0000E8980000}"/>
    <cellStyle name="常规 3 5 2 2 2 7 2" xfId="39145" xr:uid="{00000000-0005-0000-0000-0000E9980000}"/>
    <cellStyle name="常规 3 5 2 2 2 7 3" xfId="39146" xr:uid="{00000000-0005-0000-0000-0000EA980000}"/>
    <cellStyle name="常规 3 5 2 2 2 8" xfId="39147" xr:uid="{00000000-0005-0000-0000-0000EB980000}"/>
    <cellStyle name="常规 3 5 2 2 2 8 2" xfId="39148" xr:uid="{00000000-0005-0000-0000-0000EC980000}"/>
    <cellStyle name="常规 3 5 2 2 3" xfId="39149" xr:uid="{00000000-0005-0000-0000-0000ED980000}"/>
    <cellStyle name="常规 3 5 2 2 3 2" xfId="39150" xr:uid="{00000000-0005-0000-0000-0000EE980000}"/>
    <cellStyle name="常规 3 5 2 2 3 2 2" xfId="39151" xr:uid="{00000000-0005-0000-0000-0000EF980000}"/>
    <cellStyle name="常规 3 5 2 2 3 2 3" xfId="39152" xr:uid="{00000000-0005-0000-0000-0000F0980000}"/>
    <cellStyle name="常规 3 5 2 2 3 2 4" xfId="39153" xr:uid="{00000000-0005-0000-0000-0000F1980000}"/>
    <cellStyle name="常规 3 5 2 2 3 2 5" xfId="39154" xr:uid="{00000000-0005-0000-0000-0000F2980000}"/>
    <cellStyle name="常规 3 5 2 2 3 2 5 2" xfId="39155" xr:uid="{00000000-0005-0000-0000-0000F3980000}"/>
    <cellStyle name="常规 3 5 2 2 3 3" xfId="39156" xr:uid="{00000000-0005-0000-0000-0000F4980000}"/>
    <cellStyle name="常规 3 5 2 2 3 3 2" xfId="39157" xr:uid="{00000000-0005-0000-0000-0000F5980000}"/>
    <cellStyle name="常规 3 5 2 2 3 3 2 2" xfId="39158" xr:uid="{00000000-0005-0000-0000-0000F6980000}"/>
    <cellStyle name="常规 3 5 2 2 3 4" xfId="39159" xr:uid="{00000000-0005-0000-0000-0000F7980000}"/>
    <cellStyle name="常规 3 5 2 2 3 4 2" xfId="39160" xr:uid="{00000000-0005-0000-0000-0000F8980000}"/>
    <cellStyle name="常规 3 5 2 2 3 4 2 2" xfId="39161" xr:uid="{00000000-0005-0000-0000-0000F9980000}"/>
    <cellStyle name="常规 3 5 2 2 3 5" xfId="39162" xr:uid="{00000000-0005-0000-0000-0000FA980000}"/>
    <cellStyle name="常规 3 5 2 2 3 5 2" xfId="39163" xr:uid="{00000000-0005-0000-0000-0000FB980000}"/>
    <cellStyle name="常规 3 5 2 2 3 5 3" xfId="39164" xr:uid="{00000000-0005-0000-0000-0000FC980000}"/>
    <cellStyle name="常规 3 5 2 2 3 6" xfId="39165" xr:uid="{00000000-0005-0000-0000-0000FD980000}"/>
    <cellStyle name="常规 3 5 2 2 3 6 2" xfId="39166" xr:uid="{00000000-0005-0000-0000-0000FE980000}"/>
    <cellStyle name="常规 3 5 2 2 3 7" xfId="39167" xr:uid="{00000000-0005-0000-0000-0000FF980000}"/>
    <cellStyle name="常规 3 5 2 2 4" xfId="39168" xr:uid="{00000000-0005-0000-0000-000000990000}"/>
    <cellStyle name="常规 3 5 2 2 4 2" xfId="39169" xr:uid="{00000000-0005-0000-0000-000001990000}"/>
    <cellStyle name="常规 3 5 2 2 4 3" xfId="39170" xr:uid="{00000000-0005-0000-0000-000002990000}"/>
    <cellStyle name="常规 3 5 2 2 4 4" xfId="39171" xr:uid="{00000000-0005-0000-0000-000003990000}"/>
    <cellStyle name="常规 3 5 2 2 4 5" xfId="39172" xr:uid="{00000000-0005-0000-0000-000004990000}"/>
    <cellStyle name="常规 3 5 2 2 4 5 2" xfId="39173" xr:uid="{00000000-0005-0000-0000-000005990000}"/>
    <cellStyle name="常规 3 5 2 2 5" xfId="39174" xr:uid="{00000000-0005-0000-0000-000006990000}"/>
    <cellStyle name="常规 3 5 2 2 5 2" xfId="39175" xr:uid="{00000000-0005-0000-0000-000007990000}"/>
    <cellStyle name="常规 3 5 2 2 5 2 2" xfId="39176" xr:uid="{00000000-0005-0000-0000-000008990000}"/>
    <cellStyle name="常规 3 5 2 2 6" xfId="39177" xr:uid="{00000000-0005-0000-0000-000009990000}"/>
    <cellStyle name="常规 3 5 2 2 6 2" xfId="39178" xr:uid="{00000000-0005-0000-0000-00000A990000}"/>
    <cellStyle name="常规 3 5 2 2 6 2 2" xfId="39179" xr:uid="{00000000-0005-0000-0000-00000B990000}"/>
    <cellStyle name="常规 3 5 2 2 7" xfId="39180" xr:uid="{00000000-0005-0000-0000-00000C990000}"/>
    <cellStyle name="常规 3 5 2 2 7 2" xfId="39181" xr:uid="{00000000-0005-0000-0000-00000D990000}"/>
    <cellStyle name="常规 3 5 2 2 7 2 2" xfId="39182" xr:uid="{00000000-0005-0000-0000-00000E990000}"/>
    <cellStyle name="常规 3 5 2 2 8" xfId="39183" xr:uid="{00000000-0005-0000-0000-00000F990000}"/>
    <cellStyle name="常规 3 5 2 2 8 2" xfId="39184" xr:uid="{00000000-0005-0000-0000-000010990000}"/>
    <cellStyle name="常规 3 5 2 2 8 3" xfId="39185" xr:uid="{00000000-0005-0000-0000-000011990000}"/>
    <cellStyle name="常规 3 5 2 2 9" xfId="39186" xr:uid="{00000000-0005-0000-0000-000012990000}"/>
    <cellStyle name="常规 3 5 2 2 9 2" xfId="39187" xr:uid="{00000000-0005-0000-0000-000013990000}"/>
    <cellStyle name="常规 3 5 2 3" xfId="39188" xr:uid="{00000000-0005-0000-0000-000014990000}"/>
    <cellStyle name="常规 3 5 2 3 2" xfId="39189" xr:uid="{00000000-0005-0000-0000-000015990000}"/>
    <cellStyle name="常规 3 5 2 3 2 2" xfId="39190" xr:uid="{00000000-0005-0000-0000-000016990000}"/>
    <cellStyle name="常规 3 5 2 3 2 2 2" xfId="39191" xr:uid="{00000000-0005-0000-0000-000017990000}"/>
    <cellStyle name="常规 3 5 2 3 2 2 2 2" xfId="39192" xr:uid="{00000000-0005-0000-0000-000018990000}"/>
    <cellStyle name="常规 3 5 2 3 2 3" xfId="39193" xr:uid="{00000000-0005-0000-0000-000019990000}"/>
    <cellStyle name="常规 3 5 2 3 2 3 2" xfId="39194" xr:uid="{00000000-0005-0000-0000-00001A990000}"/>
    <cellStyle name="常规 3 5 2 3 2 3 2 2" xfId="39195" xr:uid="{00000000-0005-0000-0000-00001B990000}"/>
    <cellStyle name="常规 3 5 2 3 2 4" xfId="39196" xr:uid="{00000000-0005-0000-0000-00001C990000}"/>
    <cellStyle name="常规 3 5 2 3 2 4 2" xfId="39197" xr:uid="{00000000-0005-0000-0000-00001D990000}"/>
    <cellStyle name="常规 3 5 2 3 2 4 2 2" xfId="39198" xr:uid="{00000000-0005-0000-0000-00001E990000}"/>
    <cellStyle name="常规 3 5 2 3 2 5" xfId="39199" xr:uid="{00000000-0005-0000-0000-00001F990000}"/>
    <cellStyle name="常规 3 5 2 3 2 5 2" xfId="39200" xr:uid="{00000000-0005-0000-0000-000020990000}"/>
    <cellStyle name="常规 3 5 2 3 2 5 3" xfId="39201" xr:uid="{00000000-0005-0000-0000-000021990000}"/>
    <cellStyle name="常规 3 5 2 3 2 6" xfId="39202" xr:uid="{00000000-0005-0000-0000-000022990000}"/>
    <cellStyle name="常规 3 5 2 3 3" xfId="39203" xr:uid="{00000000-0005-0000-0000-000023990000}"/>
    <cellStyle name="常规 3 5 2 3 3 2" xfId="39204" xr:uid="{00000000-0005-0000-0000-000024990000}"/>
    <cellStyle name="常规 3 5 2 3 3 2 2" xfId="39205" xr:uid="{00000000-0005-0000-0000-000025990000}"/>
    <cellStyle name="常规 3 5 2 3 3 2 2 2" xfId="39206" xr:uid="{00000000-0005-0000-0000-000026990000}"/>
    <cellStyle name="常规 3 5 2 3 3 3" xfId="39207" xr:uid="{00000000-0005-0000-0000-000027990000}"/>
    <cellStyle name="常规 3 5 2 3 3 3 2" xfId="39208" xr:uid="{00000000-0005-0000-0000-000028990000}"/>
    <cellStyle name="常规 3 5 2 3 3 3 2 2" xfId="39209" xr:uid="{00000000-0005-0000-0000-000029990000}"/>
    <cellStyle name="常规 3 5 2 3 3 4" xfId="39210" xr:uid="{00000000-0005-0000-0000-00002A990000}"/>
    <cellStyle name="常规 3 5 2 3 3 4 2" xfId="39211" xr:uid="{00000000-0005-0000-0000-00002B990000}"/>
    <cellStyle name="常规 3 5 2 3 3 5" xfId="39212" xr:uid="{00000000-0005-0000-0000-00002C990000}"/>
    <cellStyle name="常规 3 5 2 3 4" xfId="39213" xr:uid="{00000000-0005-0000-0000-00002D990000}"/>
    <cellStyle name="常规 3 5 2 3 4 2" xfId="39214" xr:uid="{00000000-0005-0000-0000-00002E990000}"/>
    <cellStyle name="常规 3 5 2 3 4 2 2" xfId="39215" xr:uid="{00000000-0005-0000-0000-00002F990000}"/>
    <cellStyle name="常规 3 5 2 3 5" xfId="39216" xr:uid="{00000000-0005-0000-0000-000030990000}"/>
    <cellStyle name="常规 3 5 2 3 5 2" xfId="39217" xr:uid="{00000000-0005-0000-0000-000031990000}"/>
    <cellStyle name="常规 3 5 2 3 5 2 2" xfId="39218" xr:uid="{00000000-0005-0000-0000-000032990000}"/>
    <cellStyle name="常规 3 5 2 3 6" xfId="39219" xr:uid="{00000000-0005-0000-0000-000033990000}"/>
    <cellStyle name="常规 3 5 2 3 7" xfId="39220" xr:uid="{00000000-0005-0000-0000-000034990000}"/>
    <cellStyle name="常规 3 5 2 3 7 2" xfId="39221" xr:uid="{00000000-0005-0000-0000-000035990000}"/>
    <cellStyle name="常规 3 5 2 3 7 3" xfId="39222" xr:uid="{00000000-0005-0000-0000-000036990000}"/>
    <cellStyle name="常规 3 5 2 3 8" xfId="39223" xr:uid="{00000000-0005-0000-0000-000037990000}"/>
    <cellStyle name="常规 3 5 2 3 8 2" xfId="39224" xr:uid="{00000000-0005-0000-0000-000038990000}"/>
    <cellStyle name="常规 3 5 2 4" xfId="39225" xr:uid="{00000000-0005-0000-0000-000039990000}"/>
    <cellStyle name="常规 3 5 2 4 2" xfId="39226" xr:uid="{00000000-0005-0000-0000-00003A990000}"/>
    <cellStyle name="常规 3 5 2 4 2 2" xfId="39227" xr:uid="{00000000-0005-0000-0000-00003B990000}"/>
    <cellStyle name="常规 3 5 2 4 2 3" xfId="39228" xr:uid="{00000000-0005-0000-0000-00003C990000}"/>
    <cellStyle name="常规 3 5 2 4 2 4" xfId="39229" xr:uid="{00000000-0005-0000-0000-00003D990000}"/>
    <cellStyle name="常规 3 5 2 4 2 5" xfId="39230" xr:uid="{00000000-0005-0000-0000-00003E990000}"/>
    <cellStyle name="常规 3 5 2 4 2 5 2" xfId="39231" xr:uid="{00000000-0005-0000-0000-00003F990000}"/>
    <cellStyle name="常规 3 5 2 4 3" xfId="39232" xr:uid="{00000000-0005-0000-0000-000040990000}"/>
    <cellStyle name="常规 3 5 2 4 3 2" xfId="39233" xr:uid="{00000000-0005-0000-0000-000041990000}"/>
    <cellStyle name="常规 3 5 2 4 3 2 2" xfId="39234" xr:uid="{00000000-0005-0000-0000-000042990000}"/>
    <cellStyle name="常规 3 5 2 4 4" xfId="39235" xr:uid="{00000000-0005-0000-0000-000043990000}"/>
    <cellStyle name="常规 3 5 2 4 4 2" xfId="39236" xr:uid="{00000000-0005-0000-0000-000044990000}"/>
    <cellStyle name="常规 3 5 2 4 4 2 2" xfId="39237" xr:uid="{00000000-0005-0000-0000-000045990000}"/>
    <cellStyle name="常规 3 5 2 4 5" xfId="39238" xr:uid="{00000000-0005-0000-0000-000046990000}"/>
    <cellStyle name="常规 3 5 2 4 5 2" xfId="39239" xr:uid="{00000000-0005-0000-0000-000047990000}"/>
    <cellStyle name="常规 3 5 2 4 5 3" xfId="39240" xr:uid="{00000000-0005-0000-0000-000048990000}"/>
    <cellStyle name="常规 3 5 2 4 6" xfId="39241" xr:uid="{00000000-0005-0000-0000-000049990000}"/>
    <cellStyle name="常规 3 5 2 4 6 2" xfId="39242" xr:uid="{00000000-0005-0000-0000-00004A990000}"/>
    <cellStyle name="常规 3 5 2 4 7" xfId="39243" xr:uid="{00000000-0005-0000-0000-00004B990000}"/>
    <cellStyle name="常规 3 5 2 5" xfId="39244" xr:uid="{00000000-0005-0000-0000-00004C990000}"/>
    <cellStyle name="常规 3 5 2 5 2" xfId="39245" xr:uid="{00000000-0005-0000-0000-00004D990000}"/>
    <cellStyle name="常规 3 5 2 5 3" xfId="39246" xr:uid="{00000000-0005-0000-0000-00004E990000}"/>
    <cellStyle name="常规 3 5 2 5 4" xfId="39247" xr:uid="{00000000-0005-0000-0000-00004F990000}"/>
    <cellStyle name="常规 3 5 2 5 5" xfId="39248" xr:uid="{00000000-0005-0000-0000-000050990000}"/>
    <cellStyle name="常规 3 5 2 5 5 2" xfId="39249" xr:uid="{00000000-0005-0000-0000-000051990000}"/>
    <cellStyle name="常规 3 5 2 6" xfId="39250" xr:uid="{00000000-0005-0000-0000-000052990000}"/>
    <cellStyle name="常规 3 5 2 6 2" xfId="39251" xr:uid="{00000000-0005-0000-0000-000053990000}"/>
    <cellStyle name="常规 3 5 2 6 2 2" xfId="39252" xr:uid="{00000000-0005-0000-0000-000054990000}"/>
    <cellStyle name="常规 3 5 2 7" xfId="39253" xr:uid="{00000000-0005-0000-0000-000055990000}"/>
    <cellStyle name="常规 3 5 2 7 2" xfId="39254" xr:uid="{00000000-0005-0000-0000-000056990000}"/>
    <cellStyle name="常规 3 5 2 7 2 2" xfId="39255" xr:uid="{00000000-0005-0000-0000-000057990000}"/>
    <cellStyle name="常规 3 5 2 8" xfId="39256" xr:uid="{00000000-0005-0000-0000-000058990000}"/>
    <cellStyle name="常规 3 5 2 8 2" xfId="39257" xr:uid="{00000000-0005-0000-0000-000059990000}"/>
    <cellStyle name="常规 3 5 2 8 2 2" xfId="39258" xr:uid="{00000000-0005-0000-0000-00005A990000}"/>
    <cellStyle name="常规 3 5 2 9" xfId="39259" xr:uid="{00000000-0005-0000-0000-00005B990000}"/>
    <cellStyle name="常规 3 5 2 9 2" xfId="39260" xr:uid="{00000000-0005-0000-0000-00005C990000}"/>
    <cellStyle name="常规 3 5 2 9 3" xfId="39261" xr:uid="{00000000-0005-0000-0000-00005D990000}"/>
    <cellStyle name="常规 3 5 3" xfId="39262" xr:uid="{00000000-0005-0000-0000-00005E990000}"/>
    <cellStyle name="常规 3 5 3 2" xfId="39263" xr:uid="{00000000-0005-0000-0000-00005F990000}"/>
    <cellStyle name="常规 3 5 3 2 2" xfId="39264" xr:uid="{00000000-0005-0000-0000-000060990000}"/>
    <cellStyle name="常规 3 5 3 2 2 2" xfId="39265" xr:uid="{00000000-0005-0000-0000-000061990000}"/>
    <cellStyle name="常规 3 5 3 2 2 2 2" xfId="39266" xr:uid="{00000000-0005-0000-0000-000062990000}"/>
    <cellStyle name="常规 3 5 3 2 3" xfId="39267" xr:uid="{00000000-0005-0000-0000-000063990000}"/>
    <cellStyle name="常规 3 5 3 2 3 2" xfId="39268" xr:uid="{00000000-0005-0000-0000-000064990000}"/>
    <cellStyle name="常规 3 5 3 2 3 2 2" xfId="39269" xr:uid="{00000000-0005-0000-0000-000065990000}"/>
    <cellStyle name="常规 3 5 3 2 4" xfId="39270" xr:uid="{00000000-0005-0000-0000-000066990000}"/>
    <cellStyle name="常规 3 5 3 2 4 2" xfId="39271" xr:uid="{00000000-0005-0000-0000-000067990000}"/>
    <cellStyle name="常规 3 5 3 2 4 2 2" xfId="39272" xr:uid="{00000000-0005-0000-0000-000068990000}"/>
    <cellStyle name="常规 3 5 3 2 5" xfId="39273" xr:uid="{00000000-0005-0000-0000-000069990000}"/>
    <cellStyle name="常规 3 5 3 2 5 2" xfId="39274" xr:uid="{00000000-0005-0000-0000-00006A990000}"/>
    <cellStyle name="常规 3 5 3 2 5 3" xfId="39275" xr:uid="{00000000-0005-0000-0000-00006B990000}"/>
    <cellStyle name="常规 3 5 3 2 6" xfId="39276" xr:uid="{00000000-0005-0000-0000-00006C990000}"/>
    <cellStyle name="常规 3 5 3 3" xfId="39277" xr:uid="{00000000-0005-0000-0000-00006D990000}"/>
    <cellStyle name="常规 3 5 3 3 2" xfId="39278" xr:uid="{00000000-0005-0000-0000-00006E990000}"/>
    <cellStyle name="常规 3 5 3 3 2 2" xfId="39279" xr:uid="{00000000-0005-0000-0000-00006F990000}"/>
    <cellStyle name="常规 3 5 3 3 2 2 2" xfId="39280" xr:uid="{00000000-0005-0000-0000-000070990000}"/>
    <cellStyle name="常规 3 5 3 3 3" xfId="39281" xr:uid="{00000000-0005-0000-0000-000071990000}"/>
    <cellStyle name="常规 3 5 3 3 3 2" xfId="39282" xr:uid="{00000000-0005-0000-0000-000072990000}"/>
    <cellStyle name="常规 3 5 3 3 3 2 2" xfId="39283" xr:uid="{00000000-0005-0000-0000-000073990000}"/>
    <cellStyle name="常规 3 5 3 3 4" xfId="39284" xr:uid="{00000000-0005-0000-0000-000074990000}"/>
    <cellStyle name="常规 3 5 3 3 4 2" xfId="39285" xr:uid="{00000000-0005-0000-0000-000075990000}"/>
    <cellStyle name="常规 3 5 3 3 5" xfId="39286" xr:uid="{00000000-0005-0000-0000-000076990000}"/>
    <cellStyle name="常规 3 5 3 4" xfId="39287" xr:uid="{00000000-0005-0000-0000-000077990000}"/>
    <cellStyle name="常规 3 5 3 4 2" xfId="39288" xr:uid="{00000000-0005-0000-0000-000078990000}"/>
    <cellStyle name="常规 3 5 3 4 2 2" xfId="39289" xr:uid="{00000000-0005-0000-0000-000079990000}"/>
    <cellStyle name="常规 3 5 3 5" xfId="39290" xr:uid="{00000000-0005-0000-0000-00007A990000}"/>
    <cellStyle name="常规 3 5 3 5 2" xfId="39291" xr:uid="{00000000-0005-0000-0000-00007B990000}"/>
    <cellStyle name="常规 3 5 3 5 2 2" xfId="39292" xr:uid="{00000000-0005-0000-0000-00007C990000}"/>
    <cellStyle name="常规 3 5 3 6" xfId="39293" xr:uid="{00000000-0005-0000-0000-00007D990000}"/>
    <cellStyle name="常规 3 5 3 7" xfId="39294" xr:uid="{00000000-0005-0000-0000-00007E990000}"/>
    <cellStyle name="常规 3 5 3 7 2" xfId="39295" xr:uid="{00000000-0005-0000-0000-00007F990000}"/>
    <cellStyle name="常规 3 5 3 7 3" xfId="39296" xr:uid="{00000000-0005-0000-0000-000080990000}"/>
    <cellStyle name="常规 3 5 3 8" xfId="39297" xr:uid="{00000000-0005-0000-0000-000081990000}"/>
    <cellStyle name="常规 3 5 3 8 2" xfId="39298" xr:uid="{00000000-0005-0000-0000-000082990000}"/>
    <cellStyle name="常规 3 5 4" xfId="39299" xr:uid="{00000000-0005-0000-0000-000083990000}"/>
    <cellStyle name="常规 3 5 4 2" xfId="39300" xr:uid="{00000000-0005-0000-0000-000084990000}"/>
    <cellStyle name="常规 3 5 4 2 2" xfId="39301" xr:uid="{00000000-0005-0000-0000-000085990000}"/>
    <cellStyle name="常规 3 5 4 2 2 2" xfId="39302" xr:uid="{00000000-0005-0000-0000-000086990000}"/>
    <cellStyle name="常规 3 5 4 2 2 2 2" xfId="39303" xr:uid="{00000000-0005-0000-0000-000087990000}"/>
    <cellStyle name="常规 3 5 4 2 3" xfId="39304" xr:uid="{00000000-0005-0000-0000-000088990000}"/>
    <cellStyle name="常规 3 5 4 2 3 2" xfId="39305" xr:uid="{00000000-0005-0000-0000-000089990000}"/>
    <cellStyle name="常规 3 5 4 2 3 2 2" xfId="39306" xr:uid="{00000000-0005-0000-0000-00008A990000}"/>
    <cellStyle name="常规 3 5 4 2 4" xfId="39307" xr:uid="{00000000-0005-0000-0000-00008B990000}"/>
    <cellStyle name="常规 3 5 4 2 4 2" xfId="39308" xr:uid="{00000000-0005-0000-0000-00008C990000}"/>
    <cellStyle name="常规 3 5 4 2 4 2 2" xfId="39309" xr:uid="{00000000-0005-0000-0000-00008D990000}"/>
    <cellStyle name="常规 3 5 4 2 5" xfId="39310" xr:uid="{00000000-0005-0000-0000-00008E990000}"/>
    <cellStyle name="常规 3 5 4 2 5 2" xfId="39311" xr:uid="{00000000-0005-0000-0000-00008F990000}"/>
    <cellStyle name="常规 3 5 4 2 5 3" xfId="39312" xr:uid="{00000000-0005-0000-0000-000090990000}"/>
    <cellStyle name="常规 3 5 4 2 6" xfId="39313" xr:uid="{00000000-0005-0000-0000-000091990000}"/>
    <cellStyle name="常规 3 5 4 3" xfId="39314" xr:uid="{00000000-0005-0000-0000-000092990000}"/>
    <cellStyle name="常规 3 5 4 3 2" xfId="39315" xr:uid="{00000000-0005-0000-0000-000093990000}"/>
    <cellStyle name="常规 3 5 4 3 2 2" xfId="39316" xr:uid="{00000000-0005-0000-0000-000094990000}"/>
    <cellStyle name="常规 3 5 4 4" xfId="39317" xr:uid="{00000000-0005-0000-0000-000095990000}"/>
    <cellStyle name="常规 3 5 4 4 2" xfId="39318" xr:uid="{00000000-0005-0000-0000-000096990000}"/>
    <cellStyle name="常规 3 5 4 4 2 2" xfId="39319" xr:uid="{00000000-0005-0000-0000-000097990000}"/>
    <cellStyle name="常规 3 5 4 5" xfId="39320" xr:uid="{00000000-0005-0000-0000-000098990000}"/>
    <cellStyle name="常规 3 5 4 5 2" xfId="39321" xr:uid="{00000000-0005-0000-0000-000099990000}"/>
    <cellStyle name="常规 3 5 4 5 2 2" xfId="39322" xr:uid="{00000000-0005-0000-0000-00009A990000}"/>
    <cellStyle name="常规 3 5 4 6" xfId="39323" xr:uid="{00000000-0005-0000-0000-00009B990000}"/>
    <cellStyle name="常规 3 5 4 7" xfId="39324" xr:uid="{00000000-0005-0000-0000-00009C990000}"/>
    <cellStyle name="常规 3 5 4 7 2" xfId="39325" xr:uid="{00000000-0005-0000-0000-00009D990000}"/>
    <cellStyle name="常规 3 5 4 7 3" xfId="39326" xr:uid="{00000000-0005-0000-0000-00009E990000}"/>
    <cellStyle name="常规 3 5 4 8" xfId="39327" xr:uid="{00000000-0005-0000-0000-00009F990000}"/>
    <cellStyle name="常规 3 5 4 8 2" xfId="39328" xr:uid="{00000000-0005-0000-0000-0000A0990000}"/>
    <cellStyle name="常规 3 5 5" xfId="39329" xr:uid="{00000000-0005-0000-0000-0000A1990000}"/>
    <cellStyle name="常规 3 5 5 2" xfId="39330" xr:uid="{00000000-0005-0000-0000-0000A2990000}"/>
    <cellStyle name="常规 3 5 5 2 2" xfId="39331" xr:uid="{00000000-0005-0000-0000-0000A3990000}"/>
    <cellStyle name="常规 3 5 5 2 2 2" xfId="39332" xr:uid="{00000000-0005-0000-0000-0000A4990000}"/>
    <cellStyle name="常规 3 5 5 2 2 2 2" xfId="39333" xr:uid="{00000000-0005-0000-0000-0000A5990000}"/>
    <cellStyle name="常规 3 5 5 2 3" xfId="39334" xr:uid="{00000000-0005-0000-0000-0000A6990000}"/>
    <cellStyle name="常规 3 5 5 2 3 2" xfId="39335" xr:uid="{00000000-0005-0000-0000-0000A7990000}"/>
    <cellStyle name="常规 3 5 5 2 3 2 2" xfId="39336" xr:uid="{00000000-0005-0000-0000-0000A8990000}"/>
    <cellStyle name="常规 3 5 5 2 4" xfId="39337" xr:uid="{00000000-0005-0000-0000-0000A9990000}"/>
    <cellStyle name="常规 3 5 5 2 4 2" xfId="39338" xr:uid="{00000000-0005-0000-0000-0000AA990000}"/>
    <cellStyle name="常规 3 5 5 2 5" xfId="39339" xr:uid="{00000000-0005-0000-0000-0000AB990000}"/>
    <cellStyle name="常规 3 5 5 3" xfId="39340" xr:uid="{00000000-0005-0000-0000-0000AC990000}"/>
    <cellStyle name="常规 3 5 5 3 2" xfId="39341" xr:uid="{00000000-0005-0000-0000-0000AD990000}"/>
    <cellStyle name="常规 3 5 5 3 2 2" xfId="39342" xr:uid="{00000000-0005-0000-0000-0000AE990000}"/>
    <cellStyle name="常规 3 5 5 4" xfId="39343" xr:uid="{00000000-0005-0000-0000-0000AF990000}"/>
    <cellStyle name="常规 3 5 5 4 2" xfId="39344" xr:uid="{00000000-0005-0000-0000-0000B0990000}"/>
    <cellStyle name="常规 3 5 5 4 2 2" xfId="39345" xr:uid="{00000000-0005-0000-0000-0000B1990000}"/>
    <cellStyle name="常规 3 5 5 5" xfId="39346" xr:uid="{00000000-0005-0000-0000-0000B2990000}"/>
    <cellStyle name="常规 3 5 5 5 2" xfId="39347" xr:uid="{00000000-0005-0000-0000-0000B3990000}"/>
    <cellStyle name="常规 3 5 5 5 3" xfId="39348" xr:uid="{00000000-0005-0000-0000-0000B4990000}"/>
    <cellStyle name="常规 3 5 5 6" xfId="39349" xr:uid="{00000000-0005-0000-0000-0000B5990000}"/>
    <cellStyle name="常规 3 5 6" xfId="39350" xr:uid="{00000000-0005-0000-0000-0000B6990000}"/>
    <cellStyle name="常规 3 5 6 2" xfId="39351" xr:uid="{00000000-0005-0000-0000-0000B7990000}"/>
    <cellStyle name="常规 3 5 6 2 2" xfId="39352" xr:uid="{00000000-0005-0000-0000-0000B8990000}"/>
    <cellStyle name="常规 3 5 6 2 2 2" xfId="39353" xr:uid="{00000000-0005-0000-0000-0000B9990000}"/>
    <cellStyle name="常规 3 5 6 3" xfId="39354" xr:uid="{00000000-0005-0000-0000-0000BA990000}"/>
    <cellStyle name="常规 3 5 6 3 2" xfId="39355" xr:uid="{00000000-0005-0000-0000-0000BB990000}"/>
    <cellStyle name="常规 3 5 6 3 2 2" xfId="39356" xr:uid="{00000000-0005-0000-0000-0000BC990000}"/>
    <cellStyle name="常规 3 5 6 4" xfId="39357" xr:uid="{00000000-0005-0000-0000-0000BD990000}"/>
    <cellStyle name="常规 3 5 6 4 2" xfId="39358" xr:uid="{00000000-0005-0000-0000-0000BE990000}"/>
    <cellStyle name="常规 3 5 6 5" xfId="39359" xr:uid="{00000000-0005-0000-0000-0000BF990000}"/>
    <cellStyle name="常规 3 5 7" xfId="39360" xr:uid="{00000000-0005-0000-0000-0000C0990000}"/>
    <cellStyle name="常规 3 5 7 2" xfId="39361" xr:uid="{00000000-0005-0000-0000-0000C1990000}"/>
    <cellStyle name="常规 3 5 7 2 2" xfId="39362" xr:uid="{00000000-0005-0000-0000-0000C2990000}"/>
    <cellStyle name="常规 3 5 8" xfId="39363" xr:uid="{00000000-0005-0000-0000-0000C3990000}"/>
    <cellStyle name="常规 3 5 8 2" xfId="39364" xr:uid="{00000000-0005-0000-0000-0000C4990000}"/>
    <cellStyle name="常规 3 5 8 2 2" xfId="39365" xr:uid="{00000000-0005-0000-0000-0000C5990000}"/>
    <cellStyle name="常规 3 5 9" xfId="39366" xr:uid="{00000000-0005-0000-0000-0000C6990000}"/>
    <cellStyle name="常规 3 5 9 2" xfId="39367" xr:uid="{00000000-0005-0000-0000-0000C7990000}"/>
    <cellStyle name="常规 3 5 9 3" xfId="39368" xr:uid="{00000000-0005-0000-0000-0000C8990000}"/>
    <cellStyle name="常规 3 6" xfId="39369" xr:uid="{00000000-0005-0000-0000-0000C9990000}"/>
    <cellStyle name="常规 3 6 10" xfId="39370" xr:uid="{00000000-0005-0000-0000-0000CA990000}"/>
    <cellStyle name="常规 3 6 10 2" xfId="39371" xr:uid="{00000000-0005-0000-0000-0000CB990000}"/>
    <cellStyle name="常规 3 6 10 3" xfId="39372" xr:uid="{00000000-0005-0000-0000-0000CC990000}"/>
    <cellStyle name="常规 3 6 11" xfId="39373" xr:uid="{00000000-0005-0000-0000-0000CD990000}"/>
    <cellStyle name="常规 3 6 11 2" xfId="39374" xr:uid="{00000000-0005-0000-0000-0000CE990000}"/>
    <cellStyle name="常规 3 6 2" xfId="39375" xr:uid="{00000000-0005-0000-0000-0000CF990000}"/>
    <cellStyle name="常规 3 6 2 10" xfId="39376" xr:uid="{00000000-0005-0000-0000-0000D0990000}"/>
    <cellStyle name="常规 3 6 2 10 2" xfId="39377" xr:uid="{00000000-0005-0000-0000-0000D1990000}"/>
    <cellStyle name="常规 3 6 2 2" xfId="39378" xr:uid="{00000000-0005-0000-0000-0000D2990000}"/>
    <cellStyle name="常规 3 6 2 2 2" xfId="39379" xr:uid="{00000000-0005-0000-0000-0000D3990000}"/>
    <cellStyle name="常规 3 6 2 2 2 2" xfId="39380" xr:uid="{00000000-0005-0000-0000-0000D4990000}"/>
    <cellStyle name="常规 3 6 2 2 2 2 2" xfId="39381" xr:uid="{00000000-0005-0000-0000-0000D5990000}"/>
    <cellStyle name="常规 3 6 2 2 2 2 2 2" xfId="39382" xr:uid="{00000000-0005-0000-0000-0000D6990000}"/>
    <cellStyle name="常规 3 6 2 2 2 2 2 2 2" xfId="39383" xr:uid="{00000000-0005-0000-0000-0000D7990000}"/>
    <cellStyle name="常规 3 6 2 2 2 2 3" xfId="39384" xr:uid="{00000000-0005-0000-0000-0000D8990000}"/>
    <cellStyle name="常规 3 6 2 2 2 2 3 2" xfId="39385" xr:uid="{00000000-0005-0000-0000-0000D9990000}"/>
    <cellStyle name="常规 3 6 2 2 2 2 3 2 2" xfId="39386" xr:uid="{00000000-0005-0000-0000-0000DA990000}"/>
    <cellStyle name="常规 3 6 2 2 2 2 4" xfId="39387" xr:uid="{00000000-0005-0000-0000-0000DB990000}"/>
    <cellStyle name="常规 3 6 2 2 2 2 4 2" xfId="39388" xr:uid="{00000000-0005-0000-0000-0000DC990000}"/>
    <cellStyle name="常规 3 6 2 2 2 2 4 2 2" xfId="39389" xr:uid="{00000000-0005-0000-0000-0000DD990000}"/>
    <cellStyle name="常规 3 6 2 2 2 2 5" xfId="39390" xr:uid="{00000000-0005-0000-0000-0000DE990000}"/>
    <cellStyle name="常规 3 6 2 2 2 2 5 2" xfId="39391" xr:uid="{00000000-0005-0000-0000-0000DF990000}"/>
    <cellStyle name="常规 3 6 2 2 2 2 5 3" xfId="39392" xr:uid="{00000000-0005-0000-0000-0000E0990000}"/>
    <cellStyle name="常规 3 6 2 2 2 2 6" xfId="39393" xr:uid="{00000000-0005-0000-0000-0000E1990000}"/>
    <cellStyle name="常规 3 6 2 2 2 3" xfId="39394" xr:uid="{00000000-0005-0000-0000-0000E2990000}"/>
    <cellStyle name="常规 3 6 2 2 2 3 2" xfId="39395" xr:uid="{00000000-0005-0000-0000-0000E3990000}"/>
    <cellStyle name="常规 3 6 2 2 2 3 2 2" xfId="39396" xr:uid="{00000000-0005-0000-0000-0000E4990000}"/>
    <cellStyle name="常规 3 6 2 2 2 3 2 2 2" xfId="39397" xr:uid="{00000000-0005-0000-0000-0000E5990000}"/>
    <cellStyle name="常规 3 6 2 2 2 3 3" xfId="39398" xr:uid="{00000000-0005-0000-0000-0000E6990000}"/>
    <cellStyle name="常规 3 6 2 2 2 3 3 2" xfId="39399" xr:uid="{00000000-0005-0000-0000-0000E7990000}"/>
    <cellStyle name="常规 3 6 2 2 2 3 3 2 2" xfId="39400" xr:uid="{00000000-0005-0000-0000-0000E8990000}"/>
    <cellStyle name="常规 3 6 2 2 2 3 4" xfId="39401" xr:uid="{00000000-0005-0000-0000-0000E9990000}"/>
    <cellStyle name="常规 3 6 2 2 2 3 4 2" xfId="39402" xr:uid="{00000000-0005-0000-0000-0000EA990000}"/>
    <cellStyle name="常规 3 6 2 2 2 3 5" xfId="39403" xr:uid="{00000000-0005-0000-0000-0000EB990000}"/>
    <cellStyle name="常规 3 6 2 2 2 4" xfId="39404" xr:uid="{00000000-0005-0000-0000-0000EC990000}"/>
    <cellStyle name="常规 3 6 2 2 2 4 2" xfId="39405" xr:uid="{00000000-0005-0000-0000-0000ED990000}"/>
    <cellStyle name="常规 3 6 2 2 2 4 2 2" xfId="39406" xr:uid="{00000000-0005-0000-0000-0000EE990000}"/>
    <cellStyle name="常规 3 6 2 2 2 5" xfId="39407" xr:uid="{00000000-0005-0000-0000-0000EF990000}"/>
    <cellStyle name="常规 3 6 2 2 2 5 2" xfId="39408" xr:uid="{00000000-0005-0000-0000-0000F0990000}"/>
    <cellStyle name="常规 3 6 2 2 2 5 2 2" xfId="39409" xr:uid="{00000000-0005-0000-0000-0000F1990000}"/>
    <cellStyle name="常规 3 6 2 2 2 6" xfId="39410" xr:uid="{00000000-0005-0000-0000-0000F2990000}"/>
    <cellStyle name="常规 3 6 2 2 2 7" xfId="39411" xr:uid="{00000000-0005-0000-0000-0000F3990000}"/>
    <cellStyle name="常规 3 6 2 2 2 7 2" xfId="39412" xr:uid="{00000000-0005-0000-0000-0000F4990000}"/>
    <cellStyle name="常规 3 6 2 2 2 7 3" xfId="39413" xr:uid="{00000000-0005-0000-0000-0000F5990000}"/>
    <cellStyle name="常规 3 6 2 2 2 8" xfId="39414" xr:uid="{00000000-0005-0000-0000-0000F6990000}"/>
    <cellStyle name="常规 3 6 2 2 2 8 2" xfId="39415" xr:uid="{00000000-0005-0000-0000-0000F7990000}"/>
    <cellStyle name="常规 3 6 2 2 3" xfId="39416" xr:uid="{00000000-0005-0000-0000-0000F8990000}"/>
    <cellStyle name="常规 3 6 2 2 3 2" xfId="39417" xr:uid="{00000000-0005-0000-0000-0000F9990000}"/>
    <cellStyle name="常规 3 6 2 2 3 2 2" xfId="39418" xr:uid="{00000000-0005-0000-0000-0000FA990000}"/>
    <cellStyle name="常规 3 6 2 2 3 2 3" xfId="39419" xr:uid="{00000000-0005-0000-0000-0000FB990000}"/>
    <cellStyle name="常规 3 6 2 2 3 2 4" xfId="39420" xr:uid="{00000000-0005-0000-0000-0000FC990000}"/>
    <cellStyle name="常规 3 6 2 2 3 2 5" xfId="39421" xr:uid="{00000000-0005-0000-0000-0000FD990000}"/>
    <cellStyle name="常规 3 6 2 2 3 2 5 2" xfId="39422" xr:uid="{00000000-0005-0000-0000-0000FE990000}"/>
    <cellStyle name="常规 3 6 2 2 3 3" xfId="39423" xr:uid="{00000000-0005-0000-0000-0000FF990000}"/>
    <cellStyle name="常规 3 6 2 2 3 3 2" xfId="39424" xr:uid="{00000000-0005-0000-0000-0000009A0000}"/>
    <cellStyle name="常规 3 6 2 2 3 3 2 2" xfId="39425" xr:uid="{00000000-0005-0000-0000-0000019A0000}"/>
    <cellStyle name="常规 3 6 2 2 3 4" xfId="39426" xr:uid="{00000000-0005-0000-0000-0000029A0000}"/>
    <cellStyle name="常规 3 6 2 2 3 4 2" xfId="39427" xr:uid="{00000000-0005-0000-0000-0000039A0000}"/>
    <cellStyle name="常规 3 6 2 2 3 4 2 2" xfId="39428" xr:uid="{00000000-0005-0000-0000-0000049A0000}"/>
    <cellStyle name="常规 3 6 2 2 3 5" xfId="39429" xr:uid="{00000000-0005-0000-0000-0000059A0000}"/>
    <cellStyle name="常规 3 6 2 2 3 5 2" xfId="39430" xr:uid="{00000000-0005-0000-0000-0000069A0000}"/>
    <cellStyle name="常规 3 6 2 2 3 5 3" xfId="39431" xr:uid="{00000000-0005-0000-0000-0000079A0000}"/>
    <cellStyle name="常规 3 6 2 2 3 6" xfId="39432" xr:uid="{00000000-0005-0000-0000-0000089A0000}"/>
    <cellStyle name="常规 3 6 2 2 3 6 2" xfId="39433" xr:uid="{00000000-0005-0000-0000-0000099A0000}"/>
    <cellStyle name="常规 3 6 2 2 3 7" xfId="39434" xr:uid="{00000000-0005-0000-0000-00000A9A0000}"/>
    <cellStyle name="常规 3 6 2 2 4" xfId="39435" xr:uid="{00000000-0005-0000-0000-00000B9A0000}"/>
    <cellStyle name="常规 3 6 2 2 4 2" xfId="39436" xr:uid="{00000000-0005-0000-0000-00000C9A0000}"/>
    <cellStyle name="常规 3 6 2 2 4 3" xfId="39437" xr:uid="{00000000-0005-0000-0000-00000D9A0000}"/>
    <cellStyle name="常规 3 6 2 2 4 4" xfId="39438" xr:uid="{00000000-0005-0000-0000-00000E9A0000}"/>
    <cellStyle name="常规 3 6 2 2 4 5" xfId="39439" xr:uid="{00000000-0005-0000-0000-00000F9A0000}"/>
    <cellStyle name="常规 3 6 2 2 4 5 2" xfId="39440" xr:uid="{00000000-0005-0000-0000-0000109A0000}"/>
    <cellStyle name="常规 3 6 2 2 5" xfId="39441" xr:uid="{00000000-0005-0000-0000-0000119A0000}"/>
    <cellStyle name="常规 3 6 2 2 5 2" xfId="39442" xr:uid="{00000000-0005-0000-0000-0000129A0000}"/>
    <cellStyle name="常规 3 6 2 2 5 2 2" xfId="39443" xr:uid="{00000000-0005-0000-0000-0000139A0000}"/>
    <cellStyle name="常规 3 6 2 2 6" xfId="39444" xr:uid="{00000000-0005-0000-0000-0000149A0000}"/>
    <cellStyle name="常规 3 6 2 2 6 2" xfId="39445" xr:uid="{00000000-0005-0000-0000-0000159A0000}"/>
    <cellStyle name="常规 3 6 2 2 6 2 2" xfId="39446" xr:uid="{00000000-0005-0000-0000-0000169A0000}"/>
    <cellStyle name="常规 3 6 2 2 7" xfId="39447" xr:uid="{00000000-0005-0000-0000-0000179A0000}"/>
    <cellStyle name="常规 3 6 2 2 7 2" xfId="39448" xr:uid="{00000000-0005-0000-0000-0000189A0000}"/>
    <cellStyle name="常规 3 6 2 2 7 2 2" xfId="39449" xr:uid="{00000000-0005-0000-0000-0000199A0000}"/>
    <cellStyle name="常规 3 6 2 2 8" xfId="39450" xr:uid="{00000000-0005-0000-0000-00001A9A0000}"/>
    <cellStyle name="常规 3 6 2 2 8 2" xfId="39451" xr:uid="{00000000-0005-0000-0000-00001B9A0000}"/>
    <cellStyle name="常规 3 6 2 2 8 3" xfId="39452" xr:uid="{00000000-0005-0000-0000-00001C9A0000}"/>
    <cellStyle name="常规 3 6 2 2 9" xfId="39453" xr:uid="{00000000-0005-0000-0000-00001D9A0000}"/>
    <cellStyle name="常规 3 6 2 2 9 2" xfId="39454" xr:uid="{00000000-0005-0000-0000-00001E9A0000}"/>
    <cellStyle name="常规 3 6 2 3" xfId="39455" xr:uid="{00000000-0005-0000-0000-00001F9A0000}"/>
    <cellStyle name="常规 3 6 2 3 2" xfId="39456" xr:uid="{00000000-0005-0000-0000-0000209A0000}"/>
    <cellStyle name="常规 3 6 2 3 2 2" xfId="39457" xr:uid="{00000000-0005-0000-0000-0000219A0000}"/>
    <cellStyle name="常规 3 6 2 3 2 2 2" xfId="39458" xr:uid="{00000000-0005-0000-0000-0000229A0000}"/>
    <cellStyle name="常规 3 6 2 3 2 2 2 2" xfId="39459" xr:uid="{00000000-0005-0000-0000-0000239A0000}"/>
    <cellStyle name="常规 3 6 2 3 2 3" xfId="39460" xr:uid="{00000000-0005-0000-0000-0000249A0000}"/>
    <cellStyle name="常规 3 6 2 3 2 3 2" xfId="39461" xr:uid="{00000000-0005-0000-0000-0000259A0000}"/>
    <cellStyle name="常规 3 6 2 3 2 3 2 2" xfId="39462" xr:uid="{00000000-0005-0000-0000-0000269A0000}"/>
    <cellStyle name="常规 3 6 2 3 2 4" xfId="39463" xr:uid="{00000000-0005-0000-0000-0000279A0000}"/>
    <cellStyle name="常规 3 6 2 3 2 4 2" xfId="39464" xr:uid="{00000000-0005-0000-0000-0000289A0000}"/>
    <cellStyle name="常规 3 6 2 3 2 4 2 2" xfId="39465" xr:uid="{00000000-0005-0000-0000-0000299A0000}"/>
    <cellStyle name="常规 3 6 2 3 2 5" xfId="39466" xr:uid="{00000000-0005-0000-0000-00002A9A0000}"/>
    <cellStyle name="常规 3 6 2 3 2 5 2" xfId="39467" xr:uid="{00000000-0005-0000-0000-00002B9A0000}"/>
    <cellStyle name="常规 3 6 2 3 2 5 3" xfId="39468" xr:uid="{00000000-0005-0000-0000-00002C9A0000}"/>
    <cellStyle name="常规 3 6 2 3 2 6" xfId="39469" xr:uid="{00000000-0005-0000-0000-00002D9A0000}"/>
    <cellStyle name="常规 3 6 2 3 3" xfId="39470" xr:uid="{00000000-0005-0000-0000-00002E9A0000}"/>
    <cellStyle name="常规 3 6 2 3 3 2" xfId="39471" xr:uid="{00000000-0005-0000-0000-00002F9A0000}"/>
    <cellStyle name="常规 3 6 2 3 3 2 2" xfId="39472" xr:uid="{00000000-0005-0000-0000-0000309A0000}"/>
    <cellStyle name="常规 3 6 2 3 3 2 2 2" xfId="39473" xr:uid="{00000000-0005-0000-0000-0000319A0000}"/>
    <cellStyle name="常规 3 6 2 3 3 3" xfId="39474" xr:uid="{00000000-0005-0000-0000-0000329A0000}"/>
    <cellStyle name="常规 3 6 2 3 3 3 2" xfId="39475" xr:uid="{00000000-0005-0000-0000-0000339A0000}"/>
    <cellStyle name="常规 3 6 2 3 3 3 2 2" xfId="39476" xr:uid="{00000000-0005-0000-0000-0000349A0000}"/>
    <cellStyle name="常规 3 6 2 3 3 4" xfId="39477" xr:uid="{00000000-0005-0000-0000-0000359A0000}"/>
    <cellStyle name="常规 3 6 2 3 3 4 2" xfId="39478" xr:uid="{00000000-0005-0000-0000-0000369A0000}"/>
    <cellStyle name="常规 3 6 2 3 3 5" xfId="39479" xr:uid="{00000000-0005-0000-0000-0000379A0000}"/>
    <cellStyle name="常规 3 6 2 3 4" xfId="39480" xr:uid="{00000000-0005-0000-0000-0000389A0000}"/>
    <cellStyle name="常规 3 6 2 3 4 2" xfId="39481" xr:uid="{00000000-0005-0000-0000-0000399A0000}"/>
    <cellStyle name="常规 3 6 2 3 4 2 2" xfId="39482" xr:uid="{00000000-0005-0000-0000-00003A9A0000}"/>
    <cellStyle name="常规 3 6 2 3 5" xfId="39483" xr:uid="{00000000-0005-0000-0000-00003B9A0000}"/>
    <cellStyle name="常规 3 6 2 3 5 2" xfId="39484" xr:uid="{00000000-0005-0000-0000-00003C9A0000}"/>
    <cellStyle name="常规 3 6 2 3 5 2 2" xfId="39485" xr:uid="{00000000-0005-0000-0000-00003D9A0000}"/>
    <cellStyle name="常规 3 6 2 3 6" xfId="39486" xr:uid="{00000000-0005-0000-0000-00003E9A0000}"/>
    <cellStyle name="常规 3 6 2 3 7" xfId="39487" xr:uid="{00000000-0005-0000-0000-00003F9A0000}"/>
    <cellStyle name="常规 3 6 2 3 7 2" xfId="39488" xr:uid="{00000000-0005-0000-0000-0000409A0000}"/>
    <cellStyle name="常规 3 6 2 3 7 3" xfId="39489" xr:uid="{00000000-0005-0000-0000-0000419A0000}"/>
    <cellStyle name="常规 3 6 2 3 8" xfId="39490" xr:uid="{00000000-0005-0000-0000-0000429A0000}"/>
    <cellStyle name="常规 3 6 2 3 8 2" xfId="39491" xr:uid="{00000000-0005-0000-0000-0000439A0000}"/>
    <cellStyle name="常规 3 6 2 4" xfId="39492" xr:uid="{00000000-0005-0000-0000-0000449A0000}"/>
    <cellStyle name="常规 3 6 2 4 2" xfId="39493" xr:uid="{00000000-0005-0000-0000-0000459A0000}"/>
    <cellStyle name="常规 3 6 2 4 2 2" xfId="39494" xr:uid="{00000000-0005-0000-0000-0000469A0000}"/>
    <cellStyle name="常规 3 6 2 4 2 3" xfId="39495" xr:uid="{00000000-0005-0000-0000-0000479A0000}"/>
    <cellStyle name="常规 3 6 2 4 2 4" xfId="39496" xr:uid="{00000000-0005-0000-0000-0000489A0000}"/>
    <cellStyle name="常规 3 6 2 4 2 5" xfId="39497" xr:uid="{00000000-0005-0000-0000-0000499A0000}"/>
    <cellStyle name="常规 3 6 2 4 2 5 2" xfId="39498" xr:uid="{00000000-0005-0000-0000-00004A9A0000}"/>
    <cellStyle name="常规 3 6 2 4 3" xfId="39499" xr:uid="{00000000-0005-0000-0000-00004B9A0000}"/>
    <cellStyle name="常规 3 6 2 4 3 2" xfId="39500" xr:uid="{00000000-0005-0000-0000-00004C9A0000}"/>
    <cellStyle name="常规 3 6 2 4 3 2 2" xfId="39501" xr:uid="{00000000-0005-0000-0000-00004D9A0000}"/>
    <cellStyle name="常规 3 6 2 4 4" xfId="39502" xr:uid="{00000000-0005-0000-0000-00004E9A0000}"/>
    <cellStyle name="常规 3 6 2 4 4 2" xfId="39503" xr:uid="{00000000-0005-0000-0000-00004F9A0000}"/>
    <cellStyle name="常规 3 6 2 4 4 2 2" xfId="39504" xr:uid="{00000000-0005-0000-0000-0000509A0000}"/>
    <cellStyle name="常规 3 6 2 4 5" xfId="39505" xr:uid="{00000000-0005-0000-0000-0000519A0000}"/>
    <cellStyle name="常规 3 6 2 4 5 2" xfId="39506" xr:uid="{00000000-0005-0000-0000-0000529A0000}"/>
    <cellStyle name="常规 3 6 2 4 5 3" xfId="39507" xr:uid="{00000000-0005-0000-0000-0000539A0000}"/>
    <cellStyle name="常规 3 6 2 4 6" xfId="39508" xr:uid="{00000000-0005-0000-0000-0000549A0000}"/>
    <cellStyle name="常规 3 6 2 4 6 2" xfId="39509" xr:uid="{00000000-0005-0000-0000-0000559A0000}"/>
    <cellStyle name="常规 3 6 2 4 7" xfId="39510" xr:uid="{00000000-0005-0000-0000-0000569A0000}"/>
    <cellStyle name="常规 3 6 2 5" xfId="39511" xr:uid="{00000000-0005-0000-0000-0000579A0000}"/>
    <cellStyle name="常规 3 6 2 5 2" xfId="39512" xr:uid="{00000000-0005-0000-0000-0000589A0000}"/>
    <cellStyle name="常规 3 6 2 5 3" xfId="39513" xr:uid="{00000000-0005-0000-0000-0000599A0000}"/>
    <cellStyle name="常规 3 6 2 5 4" xfId="39514" xr:uid="{00000000-0005-0000-0000-00005A9A0000}"/>
    <cellStyle name="常规 3 6 2 5 5" xfId="39515" xr:uid="{00000000-0005-0000-0000-00005B9A0000}"/>
    <cellStyle name="常规 3 6 2 5 5 2" xfId="39516" xr:uid="{00000000-0005-0000-0000-00005C9A0000}"/>
    <cellStyle name="常规 3 6 2 6" xfId="39517" xr:uid="{00000000-0005-0000-0000-00005D9A0000}"/>
    <cellStyle name="常规 3 6 2 6 2" xfId="39518" xr:uid="{00000000-0005-0000-0000-00005E9A0000}"/>
    <cellStyle name="常规 3 6 2 6 2 2" xfId="39519" xr:uid="{00000000-0005-0000-0000-00005F9A0000}"/>
    <cellStyle name="常规 3 6 2 7" xfId="39520" xr:uid="{00000000-0005-0000-0000-0000609A0000}"/>
    <cellStyle name="常规 3 6 2 7 2" xfId="39521" xr:uid="{00000000-0005-0000-0000-0000619A0000}"/>
    <cellStyle name="常规 3 6 2 7 2 2" xfId="39522" xr:uid="{00000000-0005-0000-0000-0000629A0000}"/>
    <cellStyle name="常规 3 6 2 8" xfId="39523" xr:uid="{00000000-0005-0000-0000-0000639A0000}"/>
    <cellStyle name="常规 3 6 2 8 2" xfId="39524" xr:uid="{00000000-0005-0000-0000-0000649A0000}"/>
    <cellStyle name="常规 3 6 2 8 2 2" xfId="39525" xr:uid="{00000000-0005-0000-0000-0000659A0000}"/>
    <cellStyle name="常规 3 6 2 9" xfId="39526" xr:uid="{00000000-0005-0000-0000-0000669A0000}"/>
    <cellStyle name="常规 3 6 2 9 2" xfId="39527" xr:uid="{00000000-0005-0000-0000-0000679A0000}"/>
    <cellStyle name="常规 3 6 2 9 3" xfId="39528" xr:uid="{00000000-0005-0000-0000-0000689A0000}"/>
    <cellStyle name="常规 3 6 3" xfId="39529" xr:uid="{00000000-0005-0000-0000-0000699A0000}"/>
    <cellStyle name="常规 3 6 3 2" xfId="39530" xr:uid="{00000000-0005-0000-0000-00006A9A0000}"/>
    <cellStyle name="常规 3 6 3 2 2" xfId="39531" xr:uid="{00000000-0005-0000-0000-00006B9A0000}"/>
    <cellStyle name="常规 3 6 3 2 2 2" xfId="39532" xr:uid="{00000000-0005-0000-0000-00006C9A0000}"/>
    <cellStyle name="常规 3 6 3 2 2 2 2" xfId="39533" xr:uid="{00000000-0005-0000-0000-00006D9A0000}"/>
    <cellStyle name="常规 3 6 3 2 3" xfId="39534" xr:uid="{00000000-0005-0000-0000-00006E9A0000}"/>
    <cellStyle name="常规 3 6 3 2 3 2" xfId="39535" xr:uid="{00000000-0005-0000-0000-00006F9A0000}"/>
    <cellStyle name="常规 3 6 3 2 3 2 2" xfId="39536" xr:uid="{00000000-0005-0000-0000-0000709A0000}"/>
    <cellStyle name="常规 3 6 3 2 4" xfId="39537" xr:uid="{00000000-0005-0000-0000-0000719A0000}"/>
    <cellStyle name="常规 3 6 3 2 4 2" xfId="39538" xr:uid="{00000000-0005-0000-0000-0000729A0000}"/>
    <cellStyle name="常规 3 6 3 2 4 2 2" xfId="39539" xr:uid="{00000000-0005-0000-0000-0000739A0000}"/>
    <cellStyle name="常规 3 6 3 2 5" xfId="39540" xr:uid="{00000000-0005-0000-0000-0000749A0000}"/>
    <cellStyle name="常规 3 6 3 2 5 2" xfId="39541" xr:uid="{00000000-0005-0000-0000-0000759A0000}"/>
    <cellStyle name="常规 3 6 3 2 5 3" xfId="39542" xr:uid="{00000000-0005-0000-0000-0000769A0000}"/>
    <cellStyle name="常规 3 6 3 2 6" xfId="39543" xr:uid="{00000000-0005-0000-0000-0000779A0000}"/>
    <cellStyle name="常规 3 6 3 3" xfId="39544" xr:uid="{00000000-0005-0000-0000-0000789A0000}"/>
    <cellStyle name="常规 3 6 3 3 2" xfId="39545" xr:uid="{00000000-0005-0000-0000-0000799A0000}"/>
    <cellStyle name="常规 3 6 3 3 2 2" xfId="39546" xr:uid="{00000000-0005-0000-0000-00007A9A0000}"/>
    <cellStyle name="常规 3 6 3 3 2 2 2" xfId="39547" xr:uid="{00000000-0005-0000-0000-00007B9A0000}"/>
    <cellStyle name="常规 3 6 3 3 3" xfId="39548" xr:uid="{00000000-0005-0000-0000-00007C9A0000}"/>
    <cellStyle name="常规 3 6 3 3 3 2" xfId="39549" xr:uid="{00000000-0005-0000-0000-00007D9A0000}"/>
    <cellStyle name="常规 3 6 3 3 3 2 2" xfId="39550" xr:uid="{00000000-0005-0000-0000-00007E9A0000}"/>
    <cellStyle name="常规 3 6 3 3 4" xfId="39551" xr:uid="{00000000-0005-0000-0000-00007F9A0000}"/>
    <cellStyle name="常规 3 6 3 3 4 2" xfId="39552" xr:uid="{00000000-0005-0000-0000-0000809A0000}"/>
    <cellStyle name="常规 3 6 3 3 5" xfId="39553" xr:uid="{00000000-0005-0000-0000-0000819A0000}"/>
    <cellStyle name="常规 3 6 3 4" xfId="39554" xr:uid="{00000000-0005-0000-0000-0000829A0000}"/>
    <cellStyle name="常规 3 6 3 4 2" xfId="39555" xr:uid="{00000000-0005-0000-0000-0000839A0000}"/>
    <cellStyle name="常规 3 6 3 4 2 2" xfId="39556" xr:uid="{00000000-0005-0000-0000-0000849A0000}"/>
    <cellStyle name="常规 3 6 3 5" xfId="39557" xr:uid="{00000000-0005-0000-0000-0000859A0000}"/>
    <cellStyle name="常规 3 6 3 5 2" xfId="39558" xr:uid="{00000000-0005-0000-0000-0000869A0000}"/>
    <cellStyle name="常规 3 6 3 5 2 2" xfId="39559" xr:uid="{00000000-0005-0000-0000-0000879A0000}"/>
    <cellStyle name="常规 3 6 3 6" xfId="39560" xr:uid="{00000000-0005-0000-0000-0000889A0000}"/>
    <cellStyle name="常规 3 6 3 7" xfId="39561" xr:uid="{00000000-0005-0000-0000-0000899A0000}"/>
    <cellStyle name="常规 3 6 3 7 2" xfId="39562" xr:uid="{00000000-0005-0000-0000-00008A9A0000}"/>
    <cellStyle name="常规 3 6 3 7 3" xfId="39563" xr:uid="{00000000-0005-0000-0000-00008B9A0000}"/>
    <cellStyle name="常规 3 6 3 8" xfId="39564" xr:uid="{00000000-0005-0000-0000-00008C9A0000}"/>
    <cellStyle name="常规 3 6 3 8 2" xfId="39565" xr:uid="{00000000-0005-0000-0000-00008D9A0000}"/>
    <cellStyle name="常规 3 6 4" xfId="39566" xr:uid="{00000000-0005-0000-0000-00008E9A0000}"/>
    <cellStyle name="常规 3 6 4 2" xfId="39567" xr:uid="{00000000-0005-0000-0000-00008F9A0000}"/>
    <cellStyle name="常规 3 6 4 2 2" xfId="39568" xr:uid="{00000000-0005-0000-0000-0000909A0000}"/>
    <cellStyle name="常规 3 6 4 2 2 2" xfId="39569" xr:uid="{00000000-0005-0000-0000-0000919A0000}"/>
    <cellStyle name="常规 3 6 4 2 2 2 2" xfId="39570" xr:uid="{00000000-0005-0000-0000-0000929A0000}"/>
    <cellStyle name="常规 3 6 4 2 3" xfId="39571" xr:uid="{00000000-0005-0000-0000-0000939A0000}"/>
    <cellStyle name="常规 3 6 4 2 3 2" xfId="39572" xr:uid="{00000000-0005-0000-0000-0000949A0000}"/>
    <cellStyle name="常规 3 6 4 2 3 2 2" xfId="39573" xr:uid="{00000000-0005-0000-0000-0000959A0000}"/>
    <cellStyle name="常规 3 6 4 2 4" xfId="39574" xr:uid="{00000000-0005-0000-0000-0000969A0000}"/>
    <cellStyle name="常规 3 6 4 2 4 2" xfId="39575" xr:uid="{00000000-0005-0000-0000-0000979A0000}"/>
    <cellStyle name="常规 3 6 4 2 4 2 2" xfId="39576" xr:uid="{00000000-0005-0000-0000-0000989A0000}"/>
    <cellStyle name="常规 3 6 4 2 5" xfId="39577" xr:uid="{00000000-0005-0000-0000-0000999A0000}"/>
    <cellStyle name="常规 3 6 4 2 5 2" xfId="39578" xr:uid="{00000000-0005-0000-0000-00009A9A0000}"/>
    <cellStyle name="常规 3 6 4 2 5 3" xfId="39579" xr:uid="{00000000-0005-0000-0000-00009B9A0000}"/>
    <cellStyle name="常规 3 6 4 2 6" xfId="39580" xr:uid="{00000000-0005-0000-0000-00009C9A0000}"/>
    <cellStyle name="常规 3 6 4 3" xfId="39581" xr:uid="{00000000-0005-0000-0000-00009D9A0000}"/>
    <cellStyle name="常规 3 6 4 3 2" xfId="39582" xr:uid="{00000000-0005-0000-0000-00009E9A0000}"/>
    <cellStyle name="常规 3 6 4 3 2 2" xfId="39583" xr:uid="{00000000-0005-0000-0000-00009F9A0000}"/>
    <cellStyle name="常规 3 6 4 4" xfId="39584" xr:uid="{00000000-0005-0000-0000-0000A09A0000}"/>
    <cellStyle name="常规 3 6 4 4 2" xfId="39585" xr:uid="{00000000-0005-0000-0000-0000A19A0000}"/>
    <cellStyle name="常规 3 6 4 4 2 2" xfId="39586" xr:uid="{00000000-0005-0000-0000-0000A29A0000}"/>
    <cellStyle name="常规 3 6 4 5" xfId="39587" xr:uid="{00000000-0005-0000-0000-0000A39A0000}"/>
    <cellStyle name="常规 3 6 4 5 2" xfId="39588" xr:uid="{00000000-0005-0000-0000-0000A49A0000}"/>
    <cellStyle name="常规 3 6 4 5 2 2" xfId="39589" xr:uid="{00000000-0005-0000-0000-0000A59A0000}"/>
    <cellStyle name="常规 3 6 4 6" xfId="39590" xr:uid="{00000000-0005-0000-0000-0000A69A0000}"/>
    <cellStyle name="常规 3 6 4 7" xfId="39591" xr:uid="{00000000-0005-0000-0000-0000A79A0000}"/>
    <cellStyle name="常规 3 6 4 7 2" xfId="39592" xr:uid="{00000000-0005-0000-0000-0000A89A0000}"/>
    <cellStyle name="常规 3 6 4 7 3" xfId="39593" xr:uid="{00000000-0005-0000-0000-0000A99A0000}"/>
    <cellStyle name="常规 3 6 4 8" xfId="39594" xr:uid="{00000000-0005-0000-0000-0000AA9A0000}"/>
    <cellStyle name="常规 3 6 4 8 2" xfId="39595" xr:uid="{00000000-0005-0000-0000-0000AB9A0000}"/>
    <cellStyle name="常规 3 6 5" xfId="39596" xr:uid="{00000000-0005-0000-0000-0000AC9A0000}"/>
    <cellStyle name="常规 3 6 5 2" xfId="39597" xr:uid="{00000000-0005-0000-0000-0000AD9A0000}"/>
    <cellStyle name="常规 3 6 5 2 2" xfId="39598" xr:uid="{00000000-0005-0000-0000-0000AE9A0000}"/>
    <cellStyle name="常规 3 6 5 2 2 2" xfId="39599" xr:uid="{00000000-0005-0000-0000-0000AF9A0000}"/>
    <cellStyle name="常规 3 6 5 2 2 2 2" xfId="39600" xr:uid="{00000000-0005-0000-0000-0000B09A0000}"/>
    <cellStyle name="常规 3 6 5 2 3" xfId="39601" xr:uid="{00000000-0005-0000-0000-0000B19A0000}"/>
    <cellStyle name="常规 3 6 5 2 3 2" xfId="39602" xr:uid="{00000000-0005-0000-0000-0000B29A0000}"/>
    <cellStyle name="常规 3 6 5 2 3 2 2" xfId="39603" xr:uid="{00000000-0005-0000-0000-0000B39A0000}"/>
    <cellStyle name="常规 3 6 5 2 4" xfId="39604" xr:uid="{00000000-0005-0000-0000-0000B49A0000}"/>
    <cellStyle name="常规 3 6 5 2 4 2" xfId="39605" xr:uid="{00000000-0005-0000-0000-0000B59A0000}"/>
    <cellStyle name="常规 3 6 5 2 5" xfId="39606" xr:uid="{00000000-0005-0000-0000-0000B69A0000}"/>
    <cellStyle name="常规 3 6 5 3" xfId="39607" xr:uid="{00000000-0005-0000-0000-0000B79A0000}"/>
    <cellStyle name="常规 3 6 5 3 2" xfId="39608" xr:uid="{00000000-0005-0000-0000-0000B89A0000}"/>
    <cellStyle name="常规 3 6 5 3 2 2" xfId="39609" xr:uid="{00000000-0005-0000-0000-0000B99A0000}"/>
    <cellStyle name="常规 3 6 5 4" xfId="39610" xr:uid="{00000000-0005-0000-0000-0000BA9A0000}"/>
    <cellStyle name="常规 3 6 5 4 2" xfId="39611" xr:uid="{00000000-0005-0000-0000-0000BB9A0000}"/>
    <cellStyle name="常规 3 6 5 4 2 2" xfId="39612" xr:uid="{00000000-0005-0000-0000-0000BC9A0000}"/>
    <cellStyle name="常规 3 6 5 5" xfId="39613" xr:uid="{00000000-0005-0000-0000-0000BD9A0000}"/>
    <cellStyle name="常规 3 6 5 5 2" xfId="39614" xr:uid="{00000000-0005-0000-0000-0000BE9A0000}"/>
    <cellStyle name="常规 3 6 5 5 3" xfId="39615" xr:uid="{00000000-0005-0000-0000-0000BF9A0000}"/>
    <cellStyle name="常规 3 6 5 6" xfId="39616" xr:uid="{00000000-0005-0000-0000-0000C09A0000}"/>
    <cellStyle name="常规 3 6 6" xfId="39617" xr:uid="{00000000-0005-0000-0000-0000C19A0000}"/>
    <cellStyle name="常规 3 6 6 2" xfId="39618" xr:uid="{00000000-0005-0000-0000-0000C29A0000}"/>
    <cellStyle name="常规 3 6 6 2 2" xfId="39619" xr:uid="{00000000-0005-0000-0000-0000C39A0000}"/>
    <cellStyle name="常规 3 6 6 2 2 2" xfId="39620" xr:uid="{00000000-0005-0000-0000-0000C49A0000}"/>
    <cellStyle name="常规 3 6 6 3" xfId="39621" xr:uid="{00000000-0005-0000-0000-0000C59A0000}"/>
    <cellStyle name="常规 3 6 6 3 2" xfId="39622" xr:uid="{00000000-0005-0000-0000-0000C69A0000}"/>
    <cellStyle name="常规 3 6 6 3 2 2" xfId="39623" xr:uid="{00000000-0005-0000-0000-0000C79A0000}"/>
    <cellStyle name="常规 3 6 6 4" xfId="39624" xr:uid="{00000000-0005-0000-0000-0000C89A0000}"/>
    <cellStyle name="常规 3 6 6 4 2" xfId="39625" xr:uid="{00000000-0005-0000-0000-0000C99A0000}"/>
    <cellStyle name="常规 3 6 6 5" xfId="39626" xr:uid="{00000000-0005-0000-0000-0000CA9A0000}"/>
    <cellStyle name="常规 3 6 7" xfId="39627" xr:uid="{00000000-0005-0000-0000-0000CB9A0000}"/>
    <cellStyle name="常规 3 6 7 2" xfId="39628" xr:uid="{00000000-0005-0000-0000-0000CC9A0000}"/>
    <cellStyle name="常规 3 6 7 2 2" xfId="39629" xr:uid="{00000000-0005-0000-0000-0000CD9A0000}"/>
    <cellStyle name="常规 3 6 8" xfId="39630" xr:uid="{00000000-0005-0000-0000-0000CE9A0000}"/>
    <cellStyle name="常规 3 6 8 2" xfId="39631" xr:uid="{00000000-0005-0000-0000-0000CF9A0000}"/>
    <cellStyle name="常规 3 6 8 2 2" xfId="39632" xr:uid="{00000000-0005-0000-0000-0000D09A0000}"/>
    <cellStyle name="常规 3 6 9" xfId="39633" xr:uid="{00000000-0005-0000-0000-0000D19A0000}"/>
    <cellStyle name="常规 3 7" xfId="39634" xr:uid="{00000000-0005-0000-0000-0000D29A0000}"/>
    <cellStyle name="常规 3 7 10" xfId="39635" xr:uid="{00000000-0005-0000-0000-0000D39A0000}"/>
    <cellStyle name="常规 3 7 10 2" xfId="39636" xr:uid="{00000000-0005-0000-0000-0000D49A0000}"/>
    <cellStyle name="常规 3 7 2" xfId="39637" xr:uid="{00000000-0005-0000-0000-0000D59A0000}"/>
    <cellStyle name="常规 3 7 2 2" xfId="39638" xr:uid="{00000000-0005-0000-0000-0000D69A0000}"/>
    <cellStyle name="常规 3 7 2 2 2" xfId="39639" xr:uid="{00000000-0005-0000-0000-0000D79A0000}"/>
    <cellStyle name="常规 3 7 2 2 2 2" xfId="39640" xr:uid="{00000000-0005-0000-0000-0000D89A0000}"/>
    <cellStyle name="常规 3 7 2 2 2 2 2" xfId="39641" xr:uid="{00000000-0005-0000-0000-0000D99A0000}"/>
    <cellStyle name="常规 3 7 2 2 3" xfId="39642" xr:uid="{00000000-0005-0000-0000-0000DA9A0000}"/>
    <cellStyle name="常规 3 7 2 2 3 2" xfId="39643" xr:uid="{00000000-0005-0000-0000-0000DB9A0000}"/>
    <cellStyle name="常规 3 7 2 2 3 2 2" xfId="39644" xr:uid="{00000000-0005-0000-0000-0000DC9A0000}"/>
    <cellStyle name="常规 3 7 2 2 4" xfId="39645" xr:uid="{00000000-0005-0000-0000-0000DD9A0000}"/>
    <cellStyle name="常规 3 7 2 2 4 2" xfId="39646" xr:uid="{00000000-0005-0000-0000-0000DE9A0000}"/>
    <cellStyle name="常规 3 7 2 2 4 2 2" xfId="39647" xr:uid="{00000000-0005-0000-0000-0000DF9A0000}"/>
    <cellStyle name="常规 3 7 2 2 5" xfId="39648" xr:uid="{00000000-0005-0000-0000-0000E09A0000}"/>
    <cellStyle name="常规 3 7 2 2 5 2" xfId="39649" xr:uid="{00000000-0005-0000-0000-0000E19A0000}"/>
    <cellStyle name="常规 3 7 2 2 5 3" xfId="39650" xr:uid="{00000000-0005-0000-0000-0000E29A0000}"/>
    <cellStyle name="常规 3 7 2 2 6" xfId="39651" xr:uid="{00000000-0005-0000-0000-0000E39A0000}"/>
    <cellStyle name="常规 3 7 2 3" xfId="39652" xr:uid="{00000000-0005-0000-0000-0000E49A0000}"/>
    <cellStyle name="常规 3 7 2 3 2" xfId="39653" xr:uid="{00000000-0005-0000-0000-0000E59A0000}"/>
    <cellStyle name="常规 3 7 2 3 2 2" xfId="39654" xr:uid="{00000000-0005-0000-0000-0000E69A0000}"/>
    <cellStyle name="常规 3 7 2 4" xfId="39655" xr:uid="{00000000-0005-0000-0000-0000E79A0000}"/>
    <cellStyle name="常规 3 7 2 4 2" xfId="39656" xr:uid="{00000000-0005-0000-0000-0000E89A0000}"/>
    <cellStyle name="常规 3 7 2 4 2 2" xfId="39657" xr:uid="{00000000-0005-0000-0000-0000E99A0000}"/>
    <cellStyle name="常规 3 7 2 5" xfId="39658" xr:uid="{00000000-0005-0000-0000-0000EA9A0000}"/>
    <cellStyle name="常规 3 7 2 5 2" xfId="39659" xr:uid="{00000000-0005-0000-0000-0000EB9A0000}"/>
    <cellStyle name="常规 3 7 2 5 2 2" xfId="39660" xr:uid="{00000000-0005-0000-0000-0000EC9A0000}"/>
    <cellStyle name="常规 3 7 2 6" xfId="39661" xr:uid="{00000000-0005-0000-0000-0000ED9A0000}"/>
    <cellStyle name="常规 3 7 2 7" xfId="39662" xr:uid="{00000000-0005-0000-0000-0000EE9A0000}"/>
    <cellStyle name="常规 3 7 2 7 2" xfId="39663" xr:uid="{00000000-0005-0000-0000-0000EF9A0000}"/>
    <cellStyle name="常规 3 7 2 7 3" xfId="39664" xr:uid="{00000000-0005-0000-0000-0000F09A0000}"/>
    <cellStyle name="常规 3 7 2 8" xfId="39665" xr:uid="{00000000-0005-0000-0000-0000F19A0000}"/>
    <cellStyle name="常规 3 7 2 8 2" xfId="39666" xr:uid="{00000000-0005-0000-0000-0000F29A0000}"/>
    <cellStyle name="常规 3 7 3" xfId="39667" xr:uid="{00000000-0005-0000-0000-0000F39A0000}"/>
    <cellStyle name="常规 3 7 3 2" xfId="39668" xr:uid="{00000000-0005-0000-0000-0000F49A0000}"/>
    <cellStyle name="常规 3 7 3 2 2" xfId="39669" xr:uid="{00000000-0005-0000-0000-0000F59A0000}"/>
    <cellStyle name="常规 3 7 3 2 2 2" xfId="39670" xr:uid="{00000000-0005-0000-0000-0000F69A0000}"/>
    <cellStyle name="常规 3 7 3 2 2 2 2" xfId="39671" xr:uid="{00000000-0005-0000-0000-0000F79A0000}"/>
    <cellStyle name="常规 3 7 3 2 3" xfId="39672" xr:uid="{00000000-0005-0000-0000-0000F89A0000}"/>
    <cellStyle name="常规 3 7 3 2 3 2" xfId="39673" xr:uid="{00000000-0005-0000-0000-0000F99A0000}"/>
    <cellStyle name="常规 3 7 3 2 3 2 2" xfId="39674" xr:uid="{00000000-0005-0000-0000-0000FA9A0000}"/>
    <cellStyle name="常规 3 7 3 2 4" xfId="39675" xr:uid="{00000000-0005-0000-0000-0000FB9A0000}"/>
    <cellStyle name="常规 3 7 3 2 4 2" xfId="39676" xr:uid="{00000000-0005-0000-0000-0000FC9A0000}"/>
    <cellStyle name="常规 3 7 3 2 4 2 2" xfId="39677" xr:uid="{00000000-0005-0000-0000-0000FD9A0000}"/>
    <cellStyle name="常规 3 7 3 2 5" xfId="39678" xr:uid="{00000000-0005-0000-0000-0000FE9A0000}"/>
    <cellStyle name="常规 3 7 3 2 5 2" xfId="39679" xr:uid="{00000000-0005-0000-0000-0000FF9A0000}"/>
    <cellStyle name="常规 3 7 3 2 5 3" xfId="39680" xr:uid="{00000000-0005-0000-0000-0000009B0000}"/>
    <cellStyle name="常规 3 7 3 2 6" xfId="39681" xr:uid="{00000000-0005-0000-0000-0000019B0000}"/>
    <cellStyle name="常规 3 7 3 3" xfId="39682" xr:uid="{00000000-0005-0000-0000-0000029B0000}"/>
    <cellStyle name="常规 3 7 3 3 2" xfId="39683" xr:uid="{00000000-0005-0000-0000-0000039B0000}"/>
    <cellStyle name="常规 3 7 3 3 2 2" xfId="39684" xr:uid="{00000000-0005-0000-0000-0000049B0000}"/>
    <cellStyle name="常规 3 7 3 3 2 2 2" xfId="39685" xr:uid="{00000000-0005-0000-0000-0000059B0000}"/>
    <cellStyle name="常规 3 7 3 3 3" xfId="39686" xr:uid="{00000000-0005-0000-0000-0000069B0000}"/>
    <cellStyle name="常规 3 7 3 3 3 2" xfId="39687" xr:uid="{00000000-0005-0000-0000-0000079B0000}"/>
    <cellStyle name="常规 3 7 3 3 3 2 2" xfId="39688" xr:uid="{00000000-0005-0000-0000-0000089B0000}"/>
    <cellStyle name="常规 3 7 3 3 4" xfId="39689" xr:uid="{00000000-0005-0000-0000-0000099B0000}"/>
    <cellStyle name="常规 3 7 3 3 4 2" xfId="39690" xr:uid="{00000000-0005-0000-0000-00000A9B0000}"/>
    <cellStyle name="常规 3 7 3 3 5" xfId="39691" xr:uid="{00000000-0005-0000-0000-00000B9B0000}"/>
    <cellStyle name="常规 3 7 3 4" xfId="39692" xr:uid="{00000000-0005-0000-0000-00000C9B0000}"/>
    <cellStyle name="常规 3 7 3 4 2" xfId="39693" xr:uid="{00000000-0005-0000-0000-00000D9B0000}"/>
    <cellStyle name="常规 3 7 3 4 2 2" xfId="39694" xr:uid="{00000000-0005-0000-0000-00000E9B0000}"/>
    <cellStyle name="常规 3 7 3 5" xfId="39695" xr:uid="{00000000-0005-0000-0000-00000F9B0000}"/>
    <cellStyle name="常规 3 7 3 5 2" xfId="39696" xr:uid="{00000000-0005-0000-0000-0000109B0000}"/>
    <cellStyle name="常规 3 7 3 5 2 2" xfId="39697" xr:uid="{00000000-0005-0000-0000-0000119B0000}"/>
    <cellStyle name="常规 3 7 3 6" xfId="39698" xr:uid="{00000000-0005-0000-0000-0000129B0000}"/>
    <cellStyle name="常规 3 7 3 7" xfId="39699" xr:uid="{00000000-0005-0000-0000-0000139B0000}"/>
    <cellStyle name="常规 3 7 3 7 2" xfId="39700" xr:uid="{00000000-0005-0000-0000-0000149B0000}"/>
    <cellStyle name="常规 3 7 3 7 3" xfId="39701" xr:uid="{00000000-0005-0000-0000-0000159B0000}"/>
    <cellStyle name="常规 3 7 3 8" xfId="39702" xr:uid="{00000000-0005-0000-0000-0000169B0000}"/>
    <cellStyle name="常规 3 7 3 8 2" xfId="39703" xr:uid="{00000000-0005-0000-0000-0000179B0000}"/>
    <cellStyle name="常规 3 7 4" xfId="39704" xr:uid="{00000000-0005-0000-0000-0000189B0000}"/>
    <cellStyle name="常规 3 7 4 2" xfId="39705" xr:uid="{00000000-0005-0000-0000-0000199B0000}"/>
    <cellStyle name="常规 3 7 4 2 2" xfId="39706" xr:uid="{00000000-0005-0000-0000-00001A9B0000}"/>
    <cellStyle name="常规 3 7 4 2 2 2" xfId="39707" xr:uid="{00000000-0005-0000-0000-00001B9B0000}"/>
    <cellStyle name="常规 3 7 4 3" xfId="39708" xr:uid="{00000000-0005-0000-0000-00001C9B0000}"/>
    <cellStyle name="常规 3 7 4 3 2" xfId="39709" xr:uid="{00000000-0005-0000-0000-00001D9B0000}"/>
    <cellStyle name="常规 3 7 4 3 2 2" xfId="39710" xr:uid="{00000000-0005-0000-0000-00001E9B0000}"/>
    <cellStyle name="常规 3 7 4 4" xfId="39711" xr:uid="{00000000-0005-0000-0000-00001F9B0000}"/>
    <cellStyle name="常规 3 7 4 4 2" xfId="39712" xr:uid="{00000000-0005-0000-0000-0000209B0000}"/>
    <cellStyle name="常规 3 7 4 4 2 2" xfId="39713" xr:uid="{00000000-0005-0000-0000-0000219B0000}"/>
    <cellStyle name="常规 3 7 4 5" xfId="39714" xr:uid="{00000000-0005-0000-0000-0000229B0000}"/>
    <cellStyle name="常规 3 7 4 5 2" xfId="39715" xr:uid="{00000000-0005-0000-0000-0000239B0000}"/>
    <cellStyle name="常规 3 7 4 5 3" xfId="39716" xr:uid="{00000000-0005-0000-0000-0000249B0000}"/>
    <cellStyle name="常规 3 7 4 6" xfId="39717" xr:uid="{00000000-0005-0000-0000-0000259B0000}"/>
    <cellStyle name="常规 3 7 5" xfId="39718" xr:uid="{00000000-0005-0000-0000-0000269B0000}"/>
    <cellStyle name="常规 3 7 5 2" xfId="39719" xr:uid="{00000000-0005-0000-0000-0000279B0000}"/>
    <cellStyle name="常规 3 7 5 2 2" xfId="39720" xr:uid="{00000000-0005-0000-0000-0000289B0000}"/>
    <cellStyle name="常规 3 7 6" xfId="39721" xr:uid="{00000000-0005-0000-0000-0000299B0000}"/>
    <cellStyle name="常规 3 7 6 2" xfId="39722" xr:uid="{00000000-0005-0000-0000-00002A9B0000}"/>
    <cellStyle name="常规 3 7 6 2 2" xfId="39723" xr:uid="{00000000-0005-0000-0000-00002B9B0000}"/>
    <cellStyle name="常规 3 7 7" xfId="39724" xr:uid="{00000000-0005-0000-0000-00002C9B0000}"/>
    <cellStyle name="常规 3 7 7 2" xfId="39725" xr:uid="{00000000-0005-0000-0000-00002D9B0000}"/>
    <cellStyle name="常规 3 7 7 2 2" xfId="39726" xr:uid="{00000000-0005-0000-0000-00002E9B0000}"/>
    <cellStyle name="常规 3 7 8" xfId="39727" xr:uid="{00000000-0005-0000-0000-00002F9B0000}"/>
    <cellStyle name="常规 3 7 9" xfId="39728" xr:uid="{00000000-0005-0000-0000-0000309B0000}"/>
    <cellStyle name="常规 3 7 9 2" xfId="39729" xr:uid="{00000000-0005-0000-0000-0000319B0000}"/>
    <cellStyle name="常规 3 7 9 3" xfId="39730" xr:uid="{00000000-0005-0000-0000-0000329B0000}"/>
    <cellStyle name="常规 3 8" xfId="39731" xr:uid="{00000000-0005-0000-0000-0000339B0000}"/>
    <cellStyle name="常规 3 8 2" xfId="39732" xr:uid="{00000000-0005-0000-0000-0000349B0000}"/>
    <cellStyle name="常规 3 8 2 2" xfId="39733" xr:uid="{00000000-0005-0000-0000-0000359B0000}"/>
    <cellStyle name="常规 3 8 2 2 2" xfId="39734" xr:uid="{00000000-0005-0000-0000-0000369B0000}"/>
    <cellStyle name="常规 3 8 2 2 3" xfId="39735" xr:uid="{00000000-0005-0000-0000-0000379B0000}"/>
    <cellStyle name="常规 3 8 2 2 4" xfId="39736" xr:uid="{00000000-0005-0000-0000-0000389B0000}"/>
    <cellStyle name="常规 3 8 2 2 4 2" xfId="39737" xr:uid="{00000000-0005-0000-0000-0000399B0000}"/>
    <cellStyle name="常规 3 8 2 2 4 3" xfId="39738" xr:uid="{00000000-0005-0000-0000-00003A9B0000}"/>
    <cellStyle name="常规 3 8 2 2 5" xfId="39739" xr:uid="{00000000-0005-0000-0000-00003B9B0000}"/>
    <cellStyle name="常规 3 8 2 2 5 2" xfId="39740" xr:uid="{00000000-0005-0000-0000-00003C9B0000}"/>
    <cellStyle name="常规 3 8 2 3" xfId="39741" xr:uid="{00000000-0005-0000-0000-00003D9B0000}"/>
    <cellStyle name="常规 3 8 2 3 2" xfId="39742" xr:uid="{00000000-0005-0000-0000-00003E9B0000}"/>
    <cellStyle name="常规 3 8 2 3 2 2" xfId="39743" xr:uid="{00000000-0005-0000-0000-00003F9B0000}"/>
    <cellStyle name="常规 3 8 2 3 2 2 2" xfId="39744" xr:uid="{00000000-0005-0000-0000-0000409B0000}"/>
    <cellStyle name="常规 3 8 2 3 3" xfId="39745" xr:uid="{00000000-0005-0000-0000-0000419B0000}"/>
    <cellStyle name="常规 3 8 2 3 3 2" xfId="39746" xr:uid="{00000000-0005-0000-0000-0000429B0000}"/>
    <cellStyle name="常规 3 8 2 3 3 2 2" xfId="39747" xr:uid="{00000000-0005-0000-0000-0000439B0000}"/>
    <cellStyle name="常规 3 8 2 3 4" xfId="39748" xr:uid="{00000000-0005-0000-0000-0000449B0000}"/>
    <cellStyle name="常规 3 8 2 3 4 2" xfId="39749" xr:uid="{00000000-0005-0000-0000-0000459B0000}"/>
    <cellStyle name="常规 3 8 2 3 5" xfId="39750" xr:uid="{00000000-0005-0000-0000-0000469B0000}"/>
    <cellStyle name="常规 3 8 2 4" xfId="39751" xr:uid="{00000000-0005-0000-0000-0000479B0000}"/>
    <cellStyle name="常规 3 8 2 4 2" xfId="39752" xr:uid="{00000000-0005-0000-0000-0000489B0000}"/>
    <cellStyle name="常规 3 8 2 4 2 2" xfId="39753" xr:uid="{00000000-0005-0000-0000-0000499B0000}"/>
    <cellStyle name="常规 3 8 2 5" xfId="39754" xr:uid="{00000000-0005-0000-0000-00004A9B0000}"/>
    <cellStyle name="常规 3 8 2 6" xfId="39755" xr:uid="{00000000-0005-0000-0000-00004B9B0000}"/>
    <cellStyle name="常规 3 8 2 7" xfId="39756" xr:uid="{00000000-0005-0000-0000-00004C9B0000}"/>
    <cellStyle name="常规 3 8 2 7 2" xfId="39757" xr:uid="{00000000-0005-0000-0000-00004D9B0000}"/>
    <cellStyle name="常规 3 8 2 7 3" xfId="39758" xr:uid="{00000000-0005-0000-0000-00004E9B0000}"/>
    <cellStyle name="常规 3 8 2 8" xfId="39759" xr:uid="{00000000-0005-0000-0000-00004F9B0000}"/>
    <cellStyle name="常规 3 8 2 8 2" xfId="39760" xr:uid="{00000000-0005-0000-0000-0000509B0000}"/>
    <cellStyle name="常规 3 8 3" xfId="39761" xr:uid="{00000000-0005-0000-0000-0000519B0000}"/>
    <cellStyle name="常规 3 8 3 2" xfId="39762" xr:uid="{00000000-0005-0000-0000-0000529B0000}"/>
    <cellStyle name="常规 3 8 3 3" xfId="39763" xr:uid="{00000000-0005-0000-0000-0000539B0000}"/>
    <cellStyle name="常规 3 8 3 4" xfId="39764" xr:uid="{00000000-0005-0000-0000-0000549B0000}"/>
    <cellStyle name="常规 3 8 3 4 2" xfId="39765" xr:uid="{00000000-0005-0000-0000-0000559B0000}"/>
    <cellStyle name="常规 3 8 3 4 3" xfId="39766" xr:uid="{00000000-0005-0000-0000-0000569B0000}"/>
    <cellStyle name="常规 3 8 3 5" xfId="39767" xr:uid="{00000000-0005-0000-0000-0000579B0000}"/>
    <cellStyle name="常规 3 8 3 5 2" xfId="39768" xr:uid="{00000000-0005-0000-0000-0000589B0000}"/>
    <cellStyle name="常规 3 8 4" xfId="39769" xr:uid="{00000000-0005-0000-0000-0000599B0000}"/>
    <cellStyle name="常规 3 8 4 2" xfId="39770" xr:uid="{00000000-0005-0000-0000-00005A9B0000}"/>
    <cellStyle name="常规 3 8 4 2 2" xfId="39771" xr:uid="{00000000-0005-0000-0000-00005B9B0000}"/>
    <cellStyle name="常规 3 8 5" xfId="39772" xr:uid="{00000000-0005-0000-0000-00005C9B0000}"/>
    <cellStyle name="常规 3 8 5 2" xfId="39773" xr:uid="{00000000-0005-0000-0000-00005D9B0000}"/>
    <cellStyle name="常规 3 8 5 2 2" xfId="39774" xr:uid="{00000000-0005-0000-0000-00005E9B0000}"/>
    <cellStyle name="常规 3 8 6" xfId="39775" xr:uid="{00000000-0005-0000-0000-00005F9B0000}"/>
    <cellStyle name="常规 3 8 7" xfId="39776" xr:uid="{00000000-0005-0000-0000-0000609B0000}"/>
    <cellStyle name="常规 3 8 8" xfId="39777" xr:uid="{00000000-0005-0000-0000-0000619B0000}"/>
    <cellStyle name="常规 3 8 8 2" xfId="39778" xr:uid="{00000000-0005-0000-0000-0000629B0000}"/>
    <cellStyle name="常规 3 8 8 3" xfId="39779" xr:uid="{00000000-0005-0000-0000-0000639B0000}"/>
    <cellStyle name="常规 3 8 9" xfId="39780" xr:uid="{00000000-0005-0000-0000-0000649B0000}"/>
    <cellStyle name="常规 3 8 9 2" xfId="39781" xr:uid="{00000000-0005-0000-0000-0000659B0000}"/>
    <cellStyle name="常规 3 9" xfId="39782" xr:uid="{00000000-0005-0000-0000-0000669B0000}"/>
    <cellStyle name="常规 3 9 2" xfId="39783" xr:uid="{00000000-0005-0000-0000-0000679B0000}"/>
    <cellStyle name="常规 3 9 2 2" xfId="39784" xr:uid="{00000000-0005-0000-0000-0000689B0000}"/>
    <cellStyle name="常规 3 9 2 2 2" xfId="39785" xr:uid="{00000000-0005-0000-0000-0000699B0000}"/>
    <cellStyle name="常规 3 9 2 2 2 2" xfId="39786" xr:uid="{00000000-0005-0000-0000-00006A9B0000}"/>
    <cellStyle name="常规 3 9 2 3" xfId="39787" xr:uid="{00000000-0005-0000-0000-00006B9B0000}"/>
    <cellStyle name="常规 3 9 2 3 2" xfId="39788" xr:uid="{00000000-0005-0000-0000-00006C9B0000}"/>
    <cellStyle name="常规 3 9 2 3 2 2" xfId="39789" xr:uid="{00000000-0005-0000-0000-00006D9B0000}"/>
    <cellStyle name="常规 3 9 2 4" xfId="39790" xr:uid="{00000000-0005-0000-0000-00006E9B0000}"/>
    <cellStyle name="常规 3 9 2 4 2" xfId="39791" xr:uid="{00000000-0005-0000-0000-00006F9B0000}"/>
    <cellStyle name="常规 3 9 2 4 2 2" xfId="39792" xr:uid="{00000000-0005-0000-0000-0000709B0000}"/>
    <cellStyle name="常规 3 9 2 5" xfId="39793" xr:uid="{00000000-0005-0000-0000-0000719B0000}"/>
    <cellStyle name="常规 3 9 2 5 2" xfId="39794" xr:uid="{00000000-0005-0000-0000-0000729B0000}"/>
    <cellStyle name="常规 3 9 2 5 3" xfId="39795" xr:uid="{00000000-0005-0000-0000-0000739B0000}"/>
    <cellStyle name="常规 3 9 2 6" xfId="39796" xr:uid="{00000000-0005-0000-0000-0000749B0000}"/>
    <cellStyle name="常规 3 9 3" xfId="39797" xr:uid="{00000000-0005-0000-0000-0000759B0000}"/>
    <cellStyle name="常规 3 9 3 2" xfId="39798" xr:uid="{00000000-0005-0000-0000-0000769B0000}"/>
    <cellStyle name="常规 3 9 3 2 2" xfId="39799" xr:uid="{00000000-0005-0000-0000-0000779B0000}"/>
    <cellStyle name="常规 3 9 3 2 2 2" xfId="39800" xr:uid="{00000000-0005-0000-0000-0000789B0000}"/>
    <cellStyle name="常规 3 9 3 3" xfId="39801" xr:uid="{00000000-0005-0000-0000-0000799B0000}"/>
    <cellStyle name="常规 3 9 3 3 2" xfId="39802" xr:uid="{00000000-0005-0000-0000-00007A9B0000}"/>
    <cellStyle name="常规 3 9 3 3 2 2" xfId="39803" xr:uid="{00000000-0005-0000-0000-00007B9B0000}"/>
    <cellStyle name="常规 3 9 3 4" xfId="39804" xr:uid="{00000000-0005-0000-0000-00007C9B0000}"/>
    <cellStyle name="常规 3 9 3 4 2" xfId="39805" xr:uid="{00000000-0005-0000-0000-00007D9B0000}"/>
    <cellStyle name="常规 3 9 3 5" xfId="39806" xr:uid="{00000000-0005-0000-0000-00007E9B0000}"/>
    <cellStyle name="常规 3 9 4" xfId="39807" xr:uid="{00000000-0005-0000-0000-00007F9B0000}"/>
    <cellStyle name="常规 3 9 4 2" xfId="39808" xr:uid="{00000000-0005-0000-0000-0000809B0000}"/>
    <cellStyle name="常规 3 9 4 2 2" xfId="39809" xr:uid="{00000000-0005-0000-0000-0000819B0000}"/>
    <cellStyle name="常规 3 9 5" xfId="39810" xr:uid="{00000000-0005-0000-0000-0000829B0000}"/>
    <cellStyle name="常规 3 9 5 2" xfId="39811" xr:uid="{00000000-0005-0000-0000-0000839B0000}"/>
    <cellStyle name="常规 3 9 5 2 2" xfId="39812" xr:uid="{00000000-0005-0000-0000-0000849B0000}"/>
    <cellStyle name="常规 3 9 6" xfId="39813" xr:uid="{00000000-0005-0000-0000-0000859B0000}"/>
    <cellStyle name="常规 3 9 7" xfId="39814" xr:uid="{00000000-0005-0000-0000-0000869B0000}"/>
    <cellStyle name="常规 3 9 7 2" xfId="39815" xr:uid="{00000000-0005-0000-0000-0000879B0000}"/>
    <cellStyle name="常规 3 9 7 3" xfId="39816" xr:uid="{00000000-0005-0000-0000-0000889B0000}"/>
    <cellStyle name="常规 3 9 8" xfId="39817" xr:uid="{00000000-0005-0000-0000-0000899B0000}"/>
    <cellStyle name="常规 3 9 8 2" xfId="39818" xr:uid="{00000000-0005-0000-0000-00008A9B0000}"/>
    <cellStyle name="常规 4" xfId="39819" xr:uid="{00000000-0005-0000-0000-00008B9B0000}"/>
    <cellStyle name="常规 4 10" xfId="39820" xr:uid="{00000000-0005-0000-0000-00008C9B0000}"/>
    <cellStyle name="常规 4 10 2" xfId="39821" xr:uid="{00000000-0005-0000-0000-00008D9B0000}"/>
    <cellStyle name="常规 4 10 2 2" xfId="39822" xr:uid="{00000000-0005-0000-0000-00008E9B0000}"/>
    <cellStyle name="常规 4 10 2 2 2" xfId="39823" xr:uid="{00000000-0005-0000-0000-00008F9B0000}"/>
    <cellStyle name="常规 4 10 2 2 2 2" xfId="39824" xr:uid="{00000000-0005-0000-0000-0000909B0000}"/>
    <cellStyle name="常规 4 10 2 2 3" xfId="39825" xr:uid="{00000000-0005-0000-0000-0000919B0000}"/>
    <cellStyle name="常规 4 10 2 3" xfId="39826" xr:uid="{00000000-0005-0000-0000-0000929B0000}"/>
    <cellStyle name="常规 4 10 2 3 2" xfId="39827" xr:uid="{00000000-0005-0000-0000-0000939B0000}"/>
    <cellStyle name="常规 4 10 2 3 2 2" xfId="39828" xr:uid="{00000000-0005-0000-0000-0000949B0000}"/>
    <cellStyle name="常规 4 10 2 4" xfId="39829" xr:uid="{00000000-0005-0000-0000-0000959B0000}"/>
    <cellStyle name="常规 4 10 2 4 2" xfId="39830" xr:uid="{00000000-0005-0000-0000-0000969B0000}"/>
    <cellStyle name="常规 4 10 2 4 3" xfId="39831" xr:uid="{00000000-0005-0000-0000-0000979B0000}"/>
    <cellStyle name="常规 4 10 2 5" xfId="39832" xr:uid="{00000000-0005-0000-0000-0000989B0000}"/>
    <cellStyle name="常规 4 10 2 5 2" xfId="39833" xr:uid="{00000000-0005-0000-0000-0000999B0000}"/>
    <cellStyle name="常规 4 10 2 6" xfId="39834" xr:uid="{00000000-0005-0000-0000-00009A9B0000}"/>
    <cellStyle name="常规 4 10 3" xfId="39835" xr:uid="{00000000-0005-0000-0000-00009B9B0000}"/>
    <cellStyle name="常规 4 10 3 2" xfId="39836" xr:uid="{00000000-0005-0000-0000-00009C9B0000}"/>
    <cellStyle name="常规 4 10 3 2 2" xfId="39837" xr:uid="{00000000-0005-0000-0000-00009D9B0000}"/>
    <cellStyle name="常规 4 10 3 3" xfId="39838" xr:uid="{00000000-0005-0000-0000-00009E9B0000}"/>
    <cellStyle name="常规 4 10 4" xfId="39839" xr:uid="{00000000-0005-0000-0000-00009F9B0000}"/>
    <cellStyle name="常规 4 10 4 2" xfId="39840" xr:uid="{00000000-0005-0000-0000-0000A09B0000}"/>
    <cellStyle name="常规 4 10 4 2 2" xfId="39841" xr:uid="{00000000-0005-0000-0000-0000A19B0000}"/>
    <cellStyle name="常规 4 10 5" xfId="39842" xr:uid="{00000000-0005-0000-0000-0000A29B0000}"/>
    <cellStyle name="常规 4 10 5 2" xfId="39843" xr:uid="{00000000-0005-0000-0000-0000A39B0000}"/>
    <cellStyle name="常规 4 10 5 3" xfId="39844" xr:uid="{00000000-0005-0000-0000-0000A49B0000}"/>
    <cellStyle name="常规 4 10 6" xfId="39845" xr:uid="{00000000-0005-0000-0000-0000A59B0000}"/>
    <cellStyle name="常规 4 10 6 2" xfId="39846" xr:uid="{00000000-0005-0000-0000-0000A69B0000}"/>
    <cellStyle name="常规 4 10 7" xfId="39847" xr:uid="{00000000-0005-0000-0000-0000A79B0000}"/>
    <cellStyle name="常规 4 11" xfId="39848" xr:uid="{00000000-0005-0000-0000-0000A89B0000}"/>
    <cellStyle name="常规 4 11 2" xfId="39849" xr:uid="{00000000-0005-0000-0000-0000A99B0000}"/>
    <cellStyle name="常规 4 11 2 2" xfId="39850" xr:uid="{00000000-0005-0000-0000-0000AA9B0000}"/>
    <cellStyle name="常规 4 11 2 2 2" xfId="39851" xr:uid="{00000000-0005-0000-0000-0000AB9B0000}"/>
    <cellStyle name="常规 4 11 2 2 2 2" xfId="39852" xr:uid="{00000000-0005-0000-0000-0000AC9B0000}"/>
    <cellStyle name="常规 4 11 2 2 3" xfId="39853" xr:uid="{00000000-0005-0000-0000-0000AD9B0000}"/>
    <cellStyle name="常规 4 11 2 3" xfId="39854" xr:uid="{00000000-0005-0000-0000-0000AE9B0000}"/>
    <cellStyle name="常规 4 11 2 3 2" xfId="39855" xr:uid="{00000000-0005-0000-0000-0000AF9B0000}"/>
    <cellStyle name="常规 4 11 2 3 2 2" xfId="39856" xr:uid="{00000000-0005-0000-0000-0000B09B0000}"/>
    <cellStyle name="常规 4 11 2 4" xfId="39857" xr:uid="{00000000-0005-0000-0000-0000B19B0000}"/>
    <cellStyle name="常规 4 11 2 4 2" xfId="39858" xr:uid="{00000000-0005-0000-0000-0000B29B0000}"/>
    <cellStyle name="常规 4 11 2 4 3" xfId="39859" xr:uid="{00000000-0005-0000-0000-0000B39B0000}"/>
    <cellStyle name="常规 4 11 2 5" xfId="39860" xr:uid="{00000000-0005-0000-0000-0000B49B0000}"/>
    <cellStyle name="常规 4 11 2 5 2" xfId="39861" xr:uid="{00000000-0005-0000-0000-0000B59B0000}"/>
    <cellStyle name="常规 4 11 2 6" xfId="39862" xr:uid="{00000000-0005-0000-0000-0000B69B0000}"/>
    <cellStyle name="常规 4 11 3" xfId="39863" xr:uid="{00000000-0005-0000-0000-0000B79B0000}"/>
    <cellStyle name="常规 4 11 3 2" xfId="39864" xr:uid="{00000000-0005-0000-0000-0000B89B0000}"/>
    <cellStyle name="常规 4 11 3 2 2" xfId="39865" xr:uid="{00000000-0005-0000-0000-0000B99B0000}"/>
    <cellStyle name="常规 4 11 3 3" xfId="39866" xr:uid="{00000000-0005-0000-0000-0000BA9B0000}"/>
    <cellStyle name="常规 4 11 4" xfId="39867" xr:uid="{00000000-0005-0000-0000-0000BB9B0000}"/>
    <cellStyle name="常规 4 11 4 2" xfId="39868" xr:uid="{00000000-0005-0000-0000-0000BC9B0000}"/>
    <cellStyle name="常规 4 11 4 2 2" xfId="39869" xr:uid="{00000000-0005-0000-0000-0000BD9B0000}"/>
    <cellStyle name="常规 4 11 5" xfId="39870" xr:uid="{00000000-0005-0000-0000-0000BE9B0000}"/>
    <cellStyle name="常规 4 11 5 2" xfId="39871" xr:uid="{00000000-0005-0000-0000-0000BF9B0000}"/>
    <cellStyle name="常规 4 11 5 3" xfId="39872" xr:uid="{00000000-0005-0000-0000-0000C09B0000}"/>
    <cellStyle name="常规 4 11 6" xfId="39873" xr:uid="{00000000-0005-0000-0000-0000C19B0000}"/>
    <cellStyle name="常规 4 11 6 2" xfId="39874" xr:uid="{00000000-0005-0000-0000-0000C29B0000}"/>
    <cellStyle name="常规 4 11 7" xfId="39875" xr:uid="{00000000-0005-0000-0000-0000C39B0000}"/>
    <cellStyle name="常规 4 12" xfId="39876" xr:uid="{00000000-0005-0000-0000-0000C49B0000}"/>
    <cellStyle name="常规 4 12 2" xfId="39877" xr:uid="{00000000-0005-0000-0000-0000C59B0000}"/>
    <cellStyle name="常规 4 12 2 2" xfId="39878" xr:uid="{00000000-0005-0000-0000-0000C69B0000}"/>
    <cellStyle name="常规 4 12 2 2 2" xfId="39879" xr:uid="{00000000-0005-0000-0000-0000C79B0000}"/>
    <cellStyle name="常规 4 12 2 2 2 2" xfId="39880" xr:uid="{00000000-0005-0000-0000-0000C89B0000}"/>
    <cellStyle name="常规 4 12 2 3" xfId="39881" xr:uid="{00000000-0005-0000-0000-0000C99B0000}"/>
    <cellStyle name="常规 4 12 2 3 2" xfId="39882" xr:uid="{00000000-0005-0000-0000-0000CA9B0000}"/>
    <cellStyle name="常规 4 12 2 3 2 2" xfId="39883" xr:uid="{00000000-0005-0000-0000-0000CB9B0000}"/>
    <cellStyle name="常规 4 12 2 4" xfId="39884" xr:uid="{00000000-0005-0000-0000-0000CC9B0000}"/>
    <cellStyle name="常规 4 12 2 4 2" xfId="39885" xr:uid="{00000000-0005-0000-0000-0000CD9B0000}"/>
    <cellStyle name="常规 4 12 2 5" xfId="39886" xr:uid="{00000000-0005-0000-0000-0000CE9B0000}"/>
    <cellStyle name="常规 4 12 3" xfId="39887" xr:uid="{00000000-0005-0000-0000-0000CF9B0000}"/>
    <cellStyle name="常规 4 12 3 2" xfId="39888" xr:uid="{00000000-0005-0000-0000-0000D09B0000}"/>
    <cellStyle name="常规 4 12 3 2 2" xfId="39889" xr:uid="{00000000-0005-0000-0000-0000D19B0000}"/>
    <cellStyle name="常规 4 12 3 3" xfId="39890" xr:uid="{00000000-0005-0000-0000-0000D29B0000}"/>
    <cellStyle name="常规 4 12 4" xfId="39891" xr:uid="{00000000-0005-0000-0000-0000D39B0000}"/>
    <cellStyle name="常规 4 12 4 2" xfId="39892" xr:uid="{00000000-0005-0000-0000-0000D49B0000}"/>
    <cellStyle name="常规 4 12 4 2 2" xfId="39893" xr:uid="{00000000-0005-0000-0000-0000D59B0000}"/>
    <cellStyle name="常规 4 12 5" xfId="39894" xr:uid="{00000000-0005-0000-0000-0000D69B0000}"/>
    <cellStyle name="常规 4 12 5 2" xfId="39895" xr:uid="{00000000-0005-0000-0000-0000D79B0000}"/>
    <cellStyle name="常规 4 12 5 3" xfId="39896" xr:uid="{00000000-0005-0000-0000-0000D89B0000}"/>
    <cellStyle name="常规 4 12 6" xfId="39897" xr:uid="{00000000-0005-0000-0000-0000D99B0000}"/>
    <cellStyle name="常规 4 12 6 2" xfId="39898" xr:uid="{00000000-0005-0000-0000-0000DA9B0000}"/>
    <cellStyle name="常规 4 13" xfId="39899" xr:uid="{00000000-0005-0000-0000-0000DB9B0000}"/>
    <cellStyle name="常规 4 13 2" xfId="39900" xr:uid="{00000000-0005-0000-0000-0000DC9B0000}"/>
    <cellStyle name="常规 4 13 2 2" xfId="39901" xr:uid="{00000000-0005-0000-0000-0000DD9B0000}"/>
    <cellStyle name="常规 4 13 2 2 2" xfId="39902" xr:uid="{00000000-0005-0000-0000-0000DE9B0000}"/>
    <cellStyle name="常规 4 13 3" xfId="39903" xr:uid="{00000000-0005-0000-0000-0000DF9B0000}"/>
    <cellStyle name="常规 4 13 3 2" xfId="39904" xr:uid="{00000000-0005-0000-0000-0000E09B0000}"/>
    <cellStyle name="常规 4 13 3 2 2" xfId="39905" xr:uid="{00000000-0005-0000-0000-0000E19B0000}"/>
    <cellStyle name="常规 4 13 4" xfId="39906" xr:uid="{00000000-0005-0000-0000-0000E29B0000}"/>
    <cellStyle name="常规 4 13 4 2" xfId="39907" xr:uid="{00000000-0005-0000-0000-0000E39B0000}"/>
    <cellStyle name="常规 4 13 5" xfId="39908" xr:uid="{00000000-0005-0000-0000-0000E49B0000}"/>
    <cellStyle name="常规 4 14" xfId="39909" xr:uid="{00000000-0005-0000-0000-0000E59B0000}"/>
    <cellStyle name="常规 4 14 2" xfId="39910" xr:uid="{00000000-0005-0000-0000-0000E69B0000}"/>
    <cellStyle name="常规 4 14 2 2" xfId="39911" xr:uid="{00000000-0005-0000-0000-0000E79B0000}"/>
    <cellStyle name="常规 4 14 2 2 2" xfId="39912" xr:uid="{00000000-0005-0000-0000-0000E89B0000}"/>
    <cellStyle name="常规 4 14 3" xfId="39913" xr:uid="{00000000-0005-0000-0000-0000E99B0000}"/>
    <cellStyle name="常规 4 14 3 2" xfId="39914" xr:uid="{00000000-0005-0000-0000-0000EA9B0000}"/>
    <cellStyle name="常规 4 14 3 2 2" xfId="39915" xr:uid="{00000000-0005-0000-0000-0000EB9B0000}"/>
    <cellStyle name="常规 4 14 4" xfId="39916" xr:uid="{00000000-0005-0000-0000-0000EC9B0000}"/>
    <cellStyle name="常规 4 14 4 2" xfId="39917" xr:uid="{00000000-0005-0000-0000-0000ED9B0000}"/>
    <cellStyle name="常规 4 14 5" xfId="39918" xr:uid="{00000000-0005-0000-0000-0000EE9B0000}"/>
    <cellStyle name="常规 4 15" xfId="39919" xr:uid="{00000000-0005-0000-0000-0000EF9B0000}"/>
    <cellStyle name="常规 4 15 2" xfId="39920" xr:uid="{00000000-0005-0000-0000-0000F09B0000}"/>
    <cellStyle name="常规 4 15 2 2" xfId="39921" xr:uid="{00000000-0005-0000-0000-0000F19B0000}"/>
    <cellStyle name="常规 4 15 2 3" xfId="39922" xr:uid="{00000000-0005-0000-0000-0000F29B0000}"/>
    <cellStyle name="常规 4 15 3" xfId="39923" xr:uid="{00000000-0005-0000-0000-0000F39B0000}"/>
    <cellStyle name="常规 4 15 3 2" xfId="39924" xr:uid="{00000000-0005-0000-0000-0000F49B0000}"/>
    <cellStyle name="常规 4 15 4" xfId="39925" xr:uid="{00000000-0005-0000-0000-0000F59B0000}"/>
    <cellStyle name="常规 4 15 5" xfId="39926" xr:uid="{00000000-0005-0000-0000-0000F69B0000}"/>
    <cellStyle name="常规 4 16" xfId="39927" xr:uid="{00000000-0005-0000-0000-0000F79B0000}"/>
    <cellStyle name="常规 4 16 2" xfId="39928" xr:uid="{00000000-0005-0000-0000-0000F89B0000}"/>
    <cellStyle name="常规 4 16 2 2" xfId="39929" xr:uid="{00000000-0005-0000-0000-0000F99B0000}"/>
    <cellStyle name="常规 4 16 3" xfId="39930" xr:uid="{00000000-0005-0000-0000-0000FA9B0000}"/>
    <cellStyle name="常规 4 17" xfId="39931" xr:uid="{00000000-0005-0000-0000-0000FB9B0000}"/>
    <cellStyle name="常规 4 17 2" xfId="39932" xr:uid="{00000000-0005-0000-0000-0000FC9B0000}"/>
    <cellStyle name="常规 4 18" xfId="39933" xr:uid="{00000000-0005-0000-0000-0000FD9B0000}"/>
    <cellStyle name="常规 4 2" xfId="39934" xr:uid="{00000000-0005-0000-0000-0000FE9B0000}"/>
    <cellStyle name="常规 4 2 10" xfId="39935" xr:uid="{00000000-0005-0000-0000-0000FF9B0000}"/>
    <cellStyle name="常规 4 2 10 2" xfId="39936" xr:uid="{00000000-0005-0000-0000-0000009C0000}"/>
    <cellStyle name="常规 4 2 10 2 2" xfId="39937" xr:uid="{00000000-0005-0000-0000-0000019C0000}"/>
    <cellStyle name="常规 4 2 11" xfId="39938" xr:uid="{00000000-0005-0000-0000-0000029C0000}"/>
    <cellStyle name="常规 4 2 11 2" xfId="39939" xr:uid="{00000000-0005-0000-0000-0000039C0000}"/>
    <cellStyle name="常规 4 2 11 3" xfId="39940" xr:uid="{00000000-0005-0000-0000-0000049C0000}"/>
    <cellStyle name="常规 4 2 12" xfId="39941" xr:uid="{00000000-0005-0000-0000-0000059C0000}"/>
    <cellStyle name="常规 4 2 2" xfId="39942" xr:uid="{00000000-0005-0000-0000-0000069C0000}"/>
    <cellStyle name="常规 4 2 2 10" xfId="39943" xr:uid="{00000000-0005-0000-0000-0000079C0000}"/>
    <cellStyle name="常规 4 2 2 10 2" xfId="39944" xr:uid="{00000000-0005-0000-0000-0000089C0000}"/>
    <cellStyle name="常规 4 2 2 2" xfId="39945" xr:uid="{00000000-0005-0000-0000-0000099C0000}"/>
    <cellStyle name="常规 4 2 2 2 2" xfId="39946" xr:uid="{00000000-0005-0000-0000-00000A9C0000}"/>
    <cellStyle name="常规 4 2 2 2 2 2" xfId="39947" xr:uid="{00000000-0005-0000-0000-00000B9C0000}"/>
    <cellStyle name="常规 4 2 2 2 2 2 2" xfId="39948" xr:uid="{00000000-0005-0000-0000-00000C9C0000}"/>
    <cellStyle name="常规 4 2 2 2 2 2 3" xfId="39949" xr:uid="{00000000-0005-0000-0000-00000D9C0000}"/>
    <cellStyle name="常规 4 2 2 2 2 2 4" xfId="39950" xr:uid="{00000000-0005-0000-0000-00000E9C0000}"/>
    <cellStyle name="常规 4 2 2 2 2 2 4 2" xfId="39951" xr:uid="{00000000-0005-0000-0000-00000F9C0000}"/>
    <cellStyle name="常规 4 2 2 2 2 2 4 3" xfId="39952" xr:uid="{00000000-0005-0000-0000-0000109C0000}"/>
    <cellStyle name="常规 4 2 2 2 2 2 5" xfId="39953" xr:uid="{00000000-0005-0000-0000-0000119C0000}"/>
    <cellStyle name="常规 4 2 2 2 2 2 5 2" xfId="39954" xr:uid="{00000000-0005-0000-0000-0000129C0000}"/>
    <cellStyle name="常规 4 2 2 2 2 3" xfId="39955" xr:uid="{00000000-0005-0000-0000-0000139C0000}"/>
    <cellStyle name="常规 4 2 2 2 2 3 2" xfId="39956" xr:uid="{00000000-0005-0000-0000-0000149C0000}"/>
    <cellStyle name="常规 4 2 2 2 2 3 2 2" xfId="39957" xr:uid="{00000000-0005-0000-0000-0000159C0000}"/>
    <cellStyle name="常规 4 2 2 2 2 3 2 2 2" xfId="39958" xr:uid="{00000000-0005-0000-0000-0000169C0000}"/>
    <cellStyle name="常规 4 2 2 2 2 3 3" xfId="39959" xr:uid="{00000000-0005-0000-0000-0000179C0000}"/>
    <cellStyle name="常规 4 2 2 2 2 3 3 2" xfId="39960" xr:uid="{00000000-0005-0000-0000-0000189C0000}"/>
    <cellStyle name="常规 4 2 2 2 2 3 3 2 2" xfId="39961" xr:uid="{00000000-0005-0000-0000-0000199C0000}"/>
    <cellStyle name="常规 4 2 2 2 2 3 4" xfId="39962" xr:uid="{00000000-0005-0000-0000-00001A9C0000}"/>
    <cellStyle name="常规 4 2 2 2 2 3 4 2" xfId="39963" xr:uid="{00000000-0005-0000-0000-00001B9C0000}"/>
    <cellStyle name="常规 4 2 2 2 2 3 5" xfId="39964" xr:uid="{00000000-0005-0000-0000-00001C9C0000}"/>
    <cellStyle name="常规 4 2 2 2 2 4" xfId="39965" xr:uid="{00000000-0005-0000-0000-00001D9C0000}"/>
    <cellStyle name="常规 4 2 2 2 2 4 2" xfId="39966" xr:uid="{00000000-0005-0000-0000-00001E9C0000}"/>
    <cellStyle name="常规 4 2 2 2 2 4 2 2" xfId="39967" xr:uid="{00000000-0005-0000-0000-00001F9C0000}"/>
    <cellStyle name="常规 4 2 2 2 2 5" xfId="39968" xr:uid="{00000000-0005-0000-0000-0000209C0000}"/>
    <cellStyle name="常规 4 2 2 2 2 6" xfId="39969" xr:uid="{00000000-0005-0000-0000-0000219C0000}"/>
    <cellStyle name="常规 4 2 2 2 2 7" xfId="39970" xr:uid="{00000000-0005-0000-0000-0000229C0000}"/>
    <cellStyle name="常规 4 2 2 2 2 7 2" xfId="39971" xr:uid="{00000000-0005-0000-0000-0000239C0000}"/>
    <cellStyle name="常规 4 2 2 2 2 7 3" xfId="39972" xr:uid="{00000000-0005-0000-0000-0000249C0000}"/>
    <cellStyle name="常规 4 2 2 2 2 8" xfId="39973" xr:uid="{00000000-0005-0000-0000-0000259C0000}"/>
    <cellStyle name="常规 4 2 2 2 2 8 2" xfId="39974" xr:uid="{00000000-0005-0000-0000-0000269C0000}"/>
    <cellStyle name="常规 4 2 2 2 3" xfId="39975" xr:uid="{00000000-0005-0000-0000-0000279C0000}"/>
    <cellStyle name="常规 4 2 2 2 3 2" xfId="39976" xr:uid="{00000000-0005-0000-0000-0000289C0000}"/>
    <cellStyle name="常规 4 2 2 2 3 3" xfId="39977" xr:uid="{00000000-0005-0000-0000-0000299C0000}"/>
    <cellStyle name="常规 4 2 2 2 3 4" xfId="39978" xr:uid="{00000000-0005-0000-0000-00002A9C0000}"/>
    <cellStyle name="常规 4 2 2 2 3 4 2" xfId="39979" xr:uid="{00000000-0005-0000-0000-00002B9C0000}"/>
    <cellStyle name="常规 4 2 2 2 3 4 3" xfId="39980" xr:uid="{00000000-0005-0000-0000-00002C9C0000}"/>
    <cellStyle name="常规 4 2 2 2 3 5" xfId="39981" xr:uid="{00000000-0005-0000-0000-00002D9C0000}"/>
    <cellStyle name="常规 4 2 2 2 3 5 2" xfId="39982" xr:uid="{00000000-0005-0000-0000-00002E9C0000}"/>
    <cellStyle name="常规 4 2 2 2 4" xfId="39983" xr:uid="{00000000-0005-0000-0000-00002F9C0000}"/>
    <cellStyle name="常规 4 2 2 2 4 2" xfId="39984" xr:uid="{00000000-0005-0000-0000-0000309C0000}"/>
    <cellStyle name="常规 4 2 2 2 4 2 2" xfId="39985" xr:uid="{00000000-0005-0000-0000-0000319C0000}"/>
    <cellStyle name="常规 4 2 2 2 5" xfId="39986" xr:uid="{00000000-0005-0000-0000-0000329C0000}"/>
    <cellStyle name="常规 4 2 2 2 5 2" xfId="39987" xr:uid="{00000000-0005-0000-0000-0000339C0000}"/>
    <cellStyle name="常规 4 2 2 2 5 2 2" xfId="39988" xr:uid="{00000000-0005-0000-0000-0000349C0000}"/>
    <cellStyle name="常规 4 2 2 2 6" xfId="39989" xr:uid="{00000000-0005-0000-0000-0000359C0000}"/>
    <cellStyle name="常规 4 2 2 2 7" xfId="39990" xr:uid="{00000000-0005-0000-0000-0000369C0000}"/>
    <cellStyle name="常规 4 2 2 2 8" xfId="39991" xr:uid="{00000000-0005-0000-0000-0000379C0000}"/>
    <cellStyle name="常规 4 2 2 2 8 2" xfId="39992" xr:uid="{00000000-0005-0000-0000-0000389C0000}"/>
    <cellStyle name="常规 4 2 2 2 8 3" xfId="39993" xr:uid="{00000000-0005-0000-0000-0000399C0000}"/>
    <cellStyle name="常规 4 2 2 2 9" xfId="39994" xr:uid="{00000000-0005-0000-0000-00003A9C0000}"/>
    <cellStyle name="常规 4 2 2 2 9 2" xfId="39995" xr:uid="{00000000-0005-0000-0000-00003B9C0000}"/>
    <cellStyle name="常规 4 2 2 3" xfId="39996" xr:uid="{00000000-0005-0000-0000-00003C9C0000}"/>
    <cellStyle name="常规 4 2 2 3 2" xfId="39997" xr:uid="{00000000-0005-0000-0000-00003D9C0000}"/>
    <cellStyle name="常规 4 2 2 3 2 2" xfId="39998" xr:uid="{00000000-0005-0000-0000-00003E9C0000}"/>
    <cellStyle name="常规 4 2 2 3 2 2 2" xfId="39999" xr:uid="{00000000-0005-0000-0000-00003F9C0000}"/>
    <cellStyle name="常规 4 2 2 3 2 2 2 2" xfId="40000" xr:uid="{00000000-0005-0000-0000-0000409C0000}"/>
    <cellStyle name="常规 4 2 2 3 2 3" xfId="40001" xr:uid="{00000000-0005-0000-0000-0000419C0000}"/>
    <cellStyle name="常规 4 2 2 3 2 3 2" xfId="40002" xr:uid="{00000000-0005-0000-0000-0000429C0000}"/>
    <cellStyle name="常规 4 2 2 3 2 3 2 2" xfId="40003" xr:uid="{00000000-0005-0000-0000-0000439C0000}"/>
    <cellStyle name="常规 4 2 2 3 2 4" xfId="40004" xr:uid="{00000000-0005-0000-0000-0000449C0000}"/>
    <cellStyle name="常规 4 2 2 3 2 4 2" xfId="40005" xr:uid="{00000000-0005-0000-0000-0000459C0000}"/>
    <cellStyle name="常规 4 2 2 3 2 4 2 2" xfId="40006" xr:uid="{00000000-0005-0000-0000-0000469C0000}"/>
    <cellStyle name="常规 4 2 2 3 2 5" xfId="40007" xr:uid="{00000000-0005-0000-0000-0000479C0000}"/>
    <cellStyle name="常规 4 2 2 3 2 5 2" xfId="40008" xr:uid="{00000000-0005-0000-0000-0000489C0000}"/>
    <cellStyle name="常规 4 2 2 3 2 5 3" xfId="40009" xr:uid="{00000000-0005-0000-0000-0000499C0000}"/>
    <cellStyle name="常规 4 2 2 3 2 6" xfId="40010" xr:uid="{00000000-0005-0000-0000-00004A9C0000}"/>
    <cellStyle name="常规 4 2 2 3 3" xfId="40011" xr:uid="{00000000-0005-0000-0000-00004B9C0000}"/>
    <cellStyle name="常规 4 2 2 3 3 2" xfId="40012" xr:uid="{00000000-0005-0000-0000-00004C9C0000}"/>
    <cellStyle name="常规 4 2 2 3 3 2 2" xfId="40013" xr:uid="{00000000-0005-0000-0000-00004D9C0000}"/>
    <cellStyle name="常规 4 2 2 3 3 2 2 2" xfId="40014" xr:uid="{00000000-0005-0000-0000-00004E9C0000}"/>
    <cellStyle name="常规 4 2 2 3 3 3" xfId="40015" xr:uid="{00000000-0005-0000-0000-00004F9C0000}"/>
    <cellStyle name="常规 4 2 2 3 3 3 2" xfId="40016" xr:uid="{00000000-0005-0000-0000-0000509C0000}"/>
    <cellStyle name="常规 4 2 2 3 3 3 2 2" xfId="40017" xr:uid="{00000000-0005-0000-0000-0000519C0000}"/>
    <cellStyle name="常规 4 2 2 3 3 4" xfId="40018" xr:uid="{00000000-0005-0000-0000-0000529C0000}"/>
    <cellStyle name="常规 4 2 2 3 3 4 2" xfId="40019" xr:uid="{00000000-0005-0000-0000-0000539C0000}"/>
    <cellStyle name="常规 4 2 2 3 3 5" xfId="40020" xr:uid="{00000000-0005-0000-0000-0000549C0000}"/>
    <cellStyle name="常规 4 2 2 3 4" xfId="40021" xr:uid="{00000000-0005-0000-0000-0000559C0000}"/>
    <cellStyle name="常规 4 2 2 3 4 2" xfId="40022" xr:uid="{00000000-0005-0000-0000-0000569C0000}"/>
    <cellStyle name="常规 4 2 2 3 4 2 2" xfId="40023" xr:uid="{00000000-0005-0000-0000-0000579C0000}"/>
    <cellStyle name="常规 4 2 2 3 5" xfId="40024" xr:uid="{00000000-0005-0000-0000-0000589C0000}"/>
    <cellStyle name="常规 4 2 2 3 5 2" xfId="40025" xr:uid="{00000000-0005-0000-0000-0000599C0000}"/>
    <cellStyle name="常规 4 2 2 3 5 2 2" xfId="40026" xr:uid="{00000000-0005-0000-0000-00005A9C0000}"/>
    <cellStyle name="常规 4 2 2 3 6" xfId="40027" xr:uid="{00000000-0005-0000-0000-00005B9C0000}"/>
    <cellStyle name="常规 4 2 2 3 7" xfId="40028" xr:uid="{00000000-0005-0000-0000-00005C9C0000}"/>
    <cellStyle name="常规 4 2 2 3 7 2" xfId="40029" xr:uid="{00000000-0005-0000-0000-00005D9C0000}"/>
    <cellStyle name="常规 4 2 2 3 7 3" xfId="40030" xr:uid="{00000000-0005-0000-0000-00005E9C0000}"/>
    <cellStyle name="常规 4 2 2 3 8" xfId="40031" xr:uid="{00000000-0005-0000-0000-00005F9C0000}"/>
    <cellStyle name="常规 4 2 2 3 8 2" xfId="40032" xr:uid="{00000000-0005-0000-0000-0000609C0000}"/>
    <cellStyle name="常规 4 2 2 4" xfId="40033" xr:uid="{00000000-0005-0000-0000-0000619C0000}"/>
    <cellStyle name="常规 4 2 2 4 2" xfId="40034" xr:uid="{00000000-0005-0000-0000-0000629C0000}"/>
    <cellStyle name="常规 4 2 2 4 2 2" xfId="40035" xr:uid="{00000000-0005-0000-0000-0000639C0000}"/>
    <cellStyle name="常规 4 2 2 4 2 2 2" xfId="40036" xr:uid="{00000000-0005-0000-0000-0000649C0000}"/>
    <cellStyle name="常规 4 2 2 4 3" xfId="40037" xr:uid="{00000000-0005-0000-0000-0000659C0000}"/>
    <cellStyle name="常规 4 2 2 4 3 2" xfId="40038" xr:uid="{00000000-0005-0000-0000-0000669C0000}"/>
    <cellStyle name="常规 4 2 2 4 3 2 2" xfId="40039" xr:uid="{00000000-0005-0000-0000-0000679C0000}"/>
    <cellStyle name="常规 4 2 2 4 4" xfId="40040" xr:uid="{00000000-0005-0000-0000-0000689C0000}"/>
    <cellStyle name="常规 4 2 2 4 4 2" xfId="40041" xr:uid="{00000000-0005-0000-0000-0000699C0000}"/>
    <cellStyle name="常规 4 2 2 4 4 2 2" xfId="40042" xr:uid="{00000000-0005-0000-0000-00006A9C0000}"/>
    <cellStyle name="常规 4 2 2 4 5" xfId="40043" xr:uid="{00000000-0005-0000-0000-00006B9C0000}"/>
    <cellStyle name="常规 4 2 2 4 5 2" xfId="40044" xr:uid="{00000000-0005-0000-0000-00006C9C0000}"/>
    <cellStyle name="常规 4 2 2 4 5 3" xfId="40045" xr:uid="{00000000-0005-0000-0000-00006D9C0000}"/>
    <cellStyle name="常规 4 2 2 4 6" xfId="40046" xr:uid="{00000000-0005-0000-0000-00006E9C0000}"/>
    <cellStyle name="常规 4 2 2 5" xfId="40047" xr:uid="{00000000-0005-0000-0000-00006F9C0000}"/>
    <cellStyle name="常规 4 2 2 5 2" xfId="40048" xr:uid="{00000000-0005-0000-0000-0000709C0000}"/>
    <cellStyle name="常规 4 2 2 5 2 2" xfId="40049" xr:uid="{00000000-0005-0000-0000-0000719C0000}"/>
    <cellStyle name="常规 4 2 2 6" xfId="40050" xr:uid="{00000000-0005-0000-0000-0000729C0000}"/>
    <cellStyle name="常规 4 2 2 6 2" xfId="40051" xr:uid="{00000000-0005-0000-0000-0000739C0000}"/>
    <cellStyle name="常规 4 2 2 6 2 2" xfId="40052" xr:uid="{00000000-0005-0000-0000-0000749C0000}"/>
    <cellStyle name="常规 4 2 2 7" xfId="40053" xr:uid="{00000000-0005-0000-0000-0000759C0000}"/>
    <cellStyle name="常规 4 2 2 7 2" xfId="40054" xr:uid="{00000000-0005-0000-0000-0000769C0000}"/>
    <cellStyle name="常规 4 2 2 7 2 2" xfId="40055" xr:uid="{00000000-0005-0000-0000-0000779C0000}"/>
    <cellStyle name="常规 4 2 2 8" xfId="40056" xr:uid="{00000000-0005-0000-0000-0000789C0000}"/>
    <cellStyle name="常规 4 2 2 9" xfId="40057" xr:uid="{00000000-0005-0000-0000-0000799C0000}"/>
    <cellStyle name="常规 4 2 2 9 2" xfId="40058" xr:uid="{00000000-0005-0000-0000-00007A9C0000}"/>
    <cellStyle name="常规 4 2 2 9 3" xfId="40059" xr:uid="{00000000-0005-0000-0000-00007B9C0000}"/>
    <cellStyle name="常规 4 2 3" xfId="40060" xr:uid="{00000000-0005-0000-0000-00007C9C0000}"/>
    <cellStyle name="常规 4 2 3 2" xfId="40061" xr:uid="{00000000-0005-0000-0000-00007D9C0000}"/>
    <cellStyle name="常规 4 2 3 2 2" xfId="40062" xr:uid="{00000000-0005-0000-0000-00007E9C0000}"/>
    <cellStyle name="常规 4 2 3 2 2 2" xfId="40063" xr:uid="{00000000-0005-0000-0000-00007F9C0000}"/>
    <cellStyle name="常规 4 2 3 2 2 3" xfId="40064" xr:uid="{00000000-0005-0000-0000-0000809C0000}"/>
    <cellStyle name="常规 4 2 3 2 2 4" xfId="40065" xr:uid="{00000000-0005-0000-0000-0000819C0000}"/>
    <cellStyle name="常规 4 2 3 2 2 5" xfId="40066" xr:uid="{00000000-0005-0000-0000-0000829C0000}"/>
    <cellStyle name="常规 4 2 3 2 2 5 2" xfId="40067" xr:uid="{00000000-0005-0000-0000-0000839C0000}"/>
    <cellStyle name="常规 4 2 3 2 3" xfId="40068" xr:uid="{00000000-0005-0000-0000-0000849C0000}"/>
    <cellStyle name="常规 4 2 3 2 3 2" xfId="40069" xr:uid="{00000000-0005-0000-0000-0000859C0000}"/>
    <cellStyle name="常规 4 2 3 2 3 2 2" xfId="40070" xr:uid="{00000000-0005-0000-0000-0000869C0000}"/>
    <cellStyle name="常规 4 2 3 2 4" xfId="40071" xr:uid="{00000000-0005-0000-0000-0000879C0000}"/>
    <cellStyle name="常规 4 2 3 2 4 2" xfId="40072" xr:uid="{00000000-0005-0000-0000-0000889C0000}"/>
    <cellStyle name="常规 4 2 3 2 4 2 2" xfId="40073" xr:uid="{00000000-0005-0000-0000-0000899C0000}"/>
    <cellStyle name="常规 4 2 3 2 5" xfId="40074" xr:uid="{00000000-0005-0000-0000-00008A9C0000}"/>
    <cellStyle name="常规 4 2 3 2 5 2" xfId="40075" xr:uid="{00000000-0005-0000-0000-00008B9C0000}"/>
    <cellStyle name="常规 4 2 3 2 5 3" xfId="40076" xr:uid="{00000000-0005-0000-0000-00008C9C0000}"/>
    <cellStyle name="常规 4 2 3 2 6" xfId="40077" xr:uid="{00000000-0005-0000-0000-00008D9C0000}"/>
    <cellStyle name="常规 4 2 3 2 6 2" xfId="40078" xr:uid="{00000000-0005-0000-0000-00008E9C0000}"/>
    <cellStyle name="常规 4 2 3 2 7" xfId="40079" xr:uid="{00000000-0005-0000-0000-00008F9C0000}"/>
    <cellStyle name="常规 4 2 3 3" xfId="40080" xr:uid="{00000000-0005-0000-0000-0000909C0000}"/>
    <cellStyle name="常规 4 2 3 3 2" xfId="40081" xr:uid="{00000000-0005-0000-0000-0000919C0000}"/>
    <cellStyle name="常规 4 2 3 3 2 2" xfId="40082" xr:uid="{00000000-0005-0000-0000-0000929C0000}"/>
    <cellStyle name="常规 4 2 3 3 2 2 2" xfId="40083" xr:uid="{00000000-0005-0000-0000-0000939C0000}"/>
    <cellStyle name="常规 4 2 3 3 2 3" xfId="40084" xr:uid="{00000000-0005-0000-0000-0000949C0000}"/>
    <cellStyle name="常规 4 2 3 3 2 4" xfId="40085" xr:uid="{00000000-0005-0000-0000-0000959C0000}"/>
    <cellStyle name="常规 4 2 3 3 2 5" xfId="40086" xr:uid="{00000000-0005-0000-0000-0000969C0000}"/>
    <cellStyle name="常规 4 2 3 3 2 5 2" xfId="40087" xr:uid="{00000000-0005-0000-0000-0000979C0000}"/>
    <cellStyle name="常规 4 2 3 3 2 6" xfId="40088" xr:uid="{00000000-0005-0000-0000-0000989C0000}"/>
    <cellStyle name="常规 4 2 3 3 3" xfId="40089" xr:uid="{00000000-0005-0000-0000-0000999C0000}"/>
    <cellStyle name="常规 4 2 3 3 3 2" xfId="40090" xr:uid="{00000000-0005-0000-0000-00009A9C0000}"/>
    <cellStyle name="常规 4 2 3 3 3 2 2" xfId="40091" xr:uid="{00000000-0005-0000-0000-00009B9C0000}"/>
    <cellStyle name="常规 4 2 3 3 4" xfId="40092" xr:uid="{00000000-0005-0000-0000-00009C9C0000}"/>
    <cellStyle name="常规 4 2 3 3 4 2" xfId="40093" xr:uid="{00000000-0005-0000-0000-00009D9C0000}"/>
    <cellStyle name="常规 4 2 3 3 4 3" xfId="40094" xr:uid="{00000000-0005-0000-0000-00009E9C0000}"/>
    <cellStyle name="常规 4 2 3 3 5" xfId="40095" xr:uid="{00000000-0005-0000-0000-00009F9C0000}"/>
    <cellStyle name="常规 4 2 3 3 5 2" xfId="40096" xr:uid="{00000000-0005-0000-0000-0000A09C0000}"/>
    <cellStyle name="常规 4 2 3 3 6" xfId="40097" xr:uid="{00000000-0005-0000-0000-0000A19C0000}"/>
    <cellStyle name="常规 4 2 3 3 6 2" xfId="40098" xr:uid="{00000000-0005-0000-0000-0000A29C0000}"/>
    <cellStyle name="常规 4 2 3 3 7" xfId="40099" xr:uid="{00000000-0005-0000-0000-0000A39C0000}"/>
    <cellStyle name="常规 4 2 3 4" xfId="40100" xr:uid="{00000000-0005-0000-0000-0000A49C0000}"/>
    <cellStyle name="常规 4 2 3 4 2" xfId="40101" xr:uid="{00000000-0005-0000-0000-0000A59C0000}"/>
    <cellStyle name="常规 4 2 3 4 3" xfId="40102" xr:uid="{00000000-0005-0000-0000-0000A69C0000}"/>
    <cellStyle name="常规 4 2 3 4 4" xfId="40103" xr:uid="{00000000-0005-0000-0000-0000A79C0000}"/>
    <cellStyle name="常规 4 2 3 4 5" xfId="40104" xr:uid="{00000000-0005-0000-0000-0000A89C0000}"/>
    <cellStyle name="常规 4 2 3 4 5 2" xfId="40105" xr:uid="{00000000-0005-0000-0000-0000A99C0000}"/>
    <cellStyle name="常规 4 2 3 5" xfId="40106" xr:uid="{00000000-0005-0000-0000-0000AA9C0000}"/>
    <cellStyle name="常规 4 2 3 5 2" xfId="40107" xr:uid="{00000000-0005-0000-0000-0000AB9C0000}"/>
    <cellStyle name="常规 4 2 3 5 2 2" xfId="40108" xr:uid="{00000000-0005-0000-0000-0000AC9C0000}"/>
    <cellStyle name="常规 4 2 3 6" xfId="40109" xr:uid="{00000000-0005-0000-0000-0000AD9C0000}"/>
    <cellStyle name="常规 4 2 3 6 2" xfId="40110" xr:uid="{00000000-0005-0000-0000-0000AE9C0000}"/>
    <cellStyle name="常规 4 2 3 6 2 2" xfId="40111" xr:uid="{00000000-0005-0000-0000-0000AF9C0000}"/>
    <cellStyle name="常规 4 2 3 7" xfId="40112" xr:uid="{00000000-0005-0000-0000-0000B09C0000}"/>
    <cellStyle name="常规 4 2 3 7 2" xfId="40113" xr:uid="{00000000-0005-0000-0000-0000B19C0000}"/>
    <cellStyle name="常规 4 2 3 7 2 2" xfId="40114" xr:uid="{00000000-0005-0000-0000-0000B29C0000}"/>
    <cellStyle name="常规 4 2 3 8" xfId="40115" xr:uid="{00000000-0005-0000-0000-0000B39C0000}"/>
    <cellStyle name="常规 4 2 3 8 2" xfId="40116" xr:uid="{00000000-0005-0000-0000-0000B49C0000}"/>
    <cellStyle name="常规 4 2 3 8 3" xfId="40117" xr:uid="{00000000-0005-0000-0000-0000B59C0000}"/>
    <cellStyle name="常规 4 2 3 9" xfId="40118" xr:uid="{00000000-0005-0000-0000-0000B69C0000}"/>
    <cellStyle name="常规 4 2 4" xfId="40119" xr:uid="{00000000-0005-0000-0000-0000B79C0000}"/>
    <cellStyle name="常规 4 2 4 10" xfId="40120" xr:uid="{00000000-0005-0000-0000-0000B89C0000}"/>
    <cellStyle name="常规 4 2 4 2" xfId="40121" xr:uid="{00000000-0005-0000-0000-0000B99C0000}"/>
    <cellStyle name="常规 4 2 4 2 2" xfId="40122" xr:uid="{00000000-0005-0000-0000-0000BA9C0000}"/>
    <cellStyle name="常规 4 2 4 2 2 2" xfId="40123" xr:uid="{00000000-0005-0000-0000-0000BB9C0000}"/>
    <cellStyle name="常规 4 2 4 2 2 2 2" xfId="40124" xr:uid="{00000000-0005-0000-0000-0000BC9C0000}"/>
    <cellStyle name="常规 4 2 4 2 2 2 3" xfId="40125" xr:uid="{00000000-0005-0000-0000-0000BD9C0000}"/>
    <cellStyle name="常规 4 2 4 2 2 2 4" xfId="40126" xr:uid="{00000000-0005-0000-0000-0000BE9C0000}"/>
    <cellStyle name="常规 4 2 4 2 2 3" xfId="40127" xr:uid="{00000000-0005-0000-0000-0000BF9C0000}"/>
    <cellStyle name="常规 4 2 4 2 2 4" xfId="40128" xr:uid="{00000000-0005-0000-0000-0000C09C0000}"/>
    <cellStyle name="常规 4 2 4 2 2 5" xfId="40129" xr:uid="{00000000-0005-0000-0000-0000C19C0000}"/>
    <cellStyle name="常规 4 2 4 2 2 6" xfId="40130" xr:uid="{00000000-0005-0000-0000-0000C29C0000}"/>
    <cellStyle name="常规 4 2 4 2 2 6 2" xfId="40131" xr:uid="{00000000-0005-0000-0000-0000C39C0000}"/>
    <cellStyle name="常规 4 2 4 2 3" xfId="40132" xr:uid="{00000000-0005-0000-0000-0000C49C0000}"/>
    <cellStyle name="常规 4 2 4 2 3 2" xfId="40133" xr:uid="{00000000-0005-0000-0000-0000C59C0000}"/>
    <cellStyle name="常规 4 2 4 2 3 2 2" xfId="40134" xr:uid="{00000000-0005-0000-0000-0000C69C0000}"/>
    <cellStyle name="常规 4 2 4 2 3 2 3" xfId="40135" xr:uid="{00000000-0005-0000-0000-0000C79C0000}"/>
    <cellStyle name="常规 4 2 4 2 3 2 4" xfId="40136" xr:uid="{00000000-0005-0000-0000-0000C89C0000}"/>
    <cellStyle name="常规 4 2 4 2 3 3" xfId="40137" xr:uid="{00000000-0005-0000-0000-0000C99C0000}"/>
    <cellStyle name="常规 4 2 4 2 3 4" xfId="40138" xr:uid="{00000000-0005-0000-0000-0000CA9C0000}"/>
    <cellStyle name="常规 4 2 4 2 3 5" xfId="40139" xr:uid="{00000000-0005-0000-0000-0000CB9C0000}"/>
    <cellStyle name="常规 4 2 4 2 3 6" xfId="40140" xr:uid="{00000000-0005-0000-0000-0000CC9C0000}"/>
    <cellStyle name="常规 4 2 4 2 3 6 2" xfId="40141" xr:uid="{00000000-0005-0000-0000-0000CD9C0000}"/>
    <cellStyle name="常规 4 2 4 2 4" xfId="40142" xr:uid="{00000000-0005-0000-0000-0000CE9C0000}"/>
    <cellStyle name="常规 4 2 4 2 4 2" xfId="40143" xr:uid="{00000000-0005-0000-0000-0000CF9C0000}"/>
    <cellStyle name="常规 4 2 4 2 4 2 2" xfId="40144" xr:uid="{00000000-0005-0000-0000-0000D09C0000}"/>
    <cellStyle name="常规 4 2 4 2 4 3" xfId="40145" xr:uid="{00000000-0005-0000-0000-0000D19C0000}"/>
    <cellStyle name="常规 4 2 4 2 4 4" xfId="40146" xr:uid="{00000000-0005-0000-0000-0000D29C0000}"/>
    <cellStyle name="常规 4 2 4 2 4 5" xfId="40147" xr:uid="{00000000-0005-0000-0000-0000D39C0000}"/>
    <cellStyle name="常规 4 2 4 2 5" xfId="40148" xr:uid="{00000000-0005-0000-0000-0000D49C0000}"/>
    <cellStyle name="常规 4 2 4 2 5 2" xfId="40149" xr:uid="{00000000-0005-0000-0000-0000D59C0000}"/>
    <cellStyle name="常规 4 2 4 2 5 3" xfId="40150" xr:uid="{00000000-0005-0000-0000-0000D69C0000}"/>
    <cellStyle name="常规 4 2 4 2 6" xfId="40151" xr:uid="{00000000-0005-0000-0000-0000D79C0000}"/>
    <cellStyle name="常规 4 2 4 2 7" xfId="40152" xr:uid="{00000000-0005-0000-0000-0000D89C0000}"/>
    <cellStyle name="常规 4 2 4 2 8" xfId="40153" xr:uid="{00000000-0005-0000-0000-0000D99C0000}"/>
    <cellStyle name="常规 4 2 4 2 8 2" xfId="40154" xr:uid="{00000000-0005-0000-0000-0000DA9C0000}"/>
    <cellStyle name="常规 4 2 4 2 9" xfId="40155" xr:uid="{00000000-0005-0000-0000-0000DB9C0000}"/>
    <cellStyle name="常规 4 2 4 3" xfId="40156" xr:uid="{00000000-0005-0000-0000-0000DC9C0000}"/>
    <cellStyle name="常规 4 2 4 3 2" xfId="40157" xr:uid="{00000000-0005-0000-0000-0000DD9C0000}"/>
    <cellStyle name="常规 4 2 4 3 2 2" xfId="40158" xr:uid="{00000000-0005-0000-0000-0000DE9C0000}"/>
    <cellStyle name="常规 4 2 4 3 2 3" xfId="40159" xr:uid="{00000000-0005-0000-0000-0000DF9C0000}"/>
    <cellStyle name="常规 4 2 4 3 2 4" xfId="40160" xr:uid="{00000000-0005-0000-0000-0000E09C0000}"/>
    <cellStyle name="常规 4 2 4 3 3" xfId="40161" xr:uid="{00000000-0005-0000-0000-0000E19C0000}"/>
    <cellStyle name="常规 4 2 4 3 4" xfId="40162" xr:uid="{00000000-0005-0000-0000-0000E29C0000}"/>
    <cellStyle name="常规 4 2 4 3 5" xfId="40163" xr:uid="{00000000-0005-0000-0000-0000E39C0000}"/>
    <cellStyle name="常规 4 2 4 3 6" xfId="40164" xr:uid="{00000000-0005-0000-0000-0000E49C0000}"/>
    <cellStyle name="常规 4 2 4 3 6 2" xfId="40165" xr:uid="{00000000-0005-0000-0000-0000E59C0000}"/>
    <cellStyle name="常规 4 2 4 4" xfId="40166" xr:uid="{00000000-0005-0000-0000-0000E69C0000}"/>
    <cellStyle name="常规 4 2 4 4 2" xfId="40167" xr:uid="{00000000-0005-0000-0000-0000E79C0000}"/>
    <cellStyle name="常规 4 2 4 4 2 2" xfId="40168" xr:uid="{00000000-0005-0000-0000-0000E89C0000}"/>
    <cellStyle name="常规 4 2 4 4 2 3" xfId="40169" xr:uid="{00000000-0005-0000-0000-0000E99C0000}"/>
    <cellStyle name="常规 4 2 4 4 2 4" xfId="40170" xr:uid="{00000000-0005-0000-0000-0000EA9C0000}"/>
    <cellStyle name="常规 4 2 4 4 3" xfId="40171" xr:uid="{00000000-0005-0000-0000-0000EB9C0000}"/>
    <cellStyle name="常规 4 2 4 4 4" xfId="40172" xr:uid="{00000000-0005-0000-0000-0000EC9C0000}"/>
    <cellStyle name="常规 4 2 4 4 5" xfId="40173" xr:uid="{00000000-0005-0000-0000-0000ED9C0000}"/>
    <cellStyle name="常规 4 2 4 4 6" xfId="40174" xr:uid="{00000000-0005-0000-0000-0000EE9C0000}"/>
    <cellStyle name="常规 4 2 4 4 6 2" xfId="40175" xr:uid="{00000000-0005-0000-0000-0000EF9C0000}"/>
    <cellStyle name="常规 4 2 4 5" xfId="40176" xr:uid="{00000000-0005-0000-0000-0000F09C0000}"/>
    <cellStyle name="常规 4 2 4 5 2" xfId="40177" xr:uid="{00000000-0005-0000-0000-0000F19C0000}"/>
    <cellStyle name="常规 4 2 4 5 3" xfId="40178" xr:uid="{00000000-0005-0000-0000-0000F29C0000}"/>
    <cellStyle name="常规 4 2 4 5 4" xfId="40179" xr:uid="{00000000-0005-0000-0000-0000F39C0000}"/>
    <cellStyle name="常规 4 2 4 5 5" xfId="40180" xr:uid="{00000000-0005-0000-0000-0000F49C0000}"/>
    <cellStyle name="常规 4 2 4 5 5 2" xfId="40181" xr:uid="{00000000-0005-0000-0000-0000F59C0000}"/>
    <cellStyle name="常规 4 2 4 6" xfId="40182" xr:uid="{00000000-0005-0000-0000-0000F69C0000}"/>
    <cellStyle name="常规 4 2 4 6 2" xfId="40183" xr:uid="{00000000-0005-0000-0000-0000F79C0000}"/>
    <cellStyle name="常规 4 2 4 6 2 2" xfId="40184" xr:uid="{00000000-0005-0000-0000-0000F89C0000}"/>
    <cellStyle name="常规 4 2 4 7" xfId="40185" xr:uid="{00000000-0005-0000-0000-0000F99C0000}"/>
    <cellStyle name="常规 4 2 4 7 2" xfId="40186" xr:uid="{00000000-0005-0000-0000-0000FA9C0000}"/>
    <cellStyle name="常规 4 2 4 7 2 2" xfId="40187" xr:uid="{00000000-0005-0000-0000-0000FB9C0000}"/>
    <cellStyle name="常规 4 2 4 8" xfId="40188" xr:uid="{00000000-0005-0000-0000-0000FC9C0000}"/>
    <cellStyle name="常规 4 2 4 8 2" xfId="40189" xr:uid="{00000000-0005-0000-0000-0000FD9C0000}"/>
    <cellStyle name="常规 4 2 4 8 3" xfId="40190" xr:uid="{00000000-0005-0000-0000-0000FE9C0000}"/>
    <cellStyle name="常规 4 2 4 9" xfId="40191" xr:uid="{00000000-0005-0000-0000-0000FF9C0000}"/>
    <cellStyle name="常规 4 2 4 9 2" xfId="40192" xr:uid="{00000000-0005-0000-0000-0000009D0000}"/>
    <cellStyle name="常规 4 2 5" xfId="40193" xr:uid="{00000000-0005-0000-0000-0000019D0000}"/>
    <cellStyle name="常规 4 2 5 2" xfId="40194" xr:uid="{00000000-0005-0000-0000-0000029D0000}"/>
    <cellStyle name="常规 4 2 5 2 2" xfId="40195" xr:uid="{00000000-0005-0000-0000-0000039D0000}"/>
    <cellStyle name="常规 4 2 5 2 2 2" xfId="40196" xr:uid="{00000000-0005-0000-0000-0000049D0000}"/>
    <cellStyle name="常规 4 2 5 2 2 2 2" xfId="40197" xr:uid="{00000000-0005-0000-0000-0000059D0000}"/>
    <cellStyle name="常规 4 2 5 2 2 3" xfId="40198" xr:uid="{00000000-0005-0000-0000-0000069D0000}"/>
    <cellStyle name="常规 4 2 5 2 3" xfId="40199" xr:uid="{00000000-0005-0000-0000-0000079D0000}"/>
    <cellStyle name="常规 4 2 5 2 3 2" xfId="40200" xr:uid="{00000000-0005-0000-0000-0000089D0000}"/>
    <cellStyle name="常规 4 2 5 2 3 2 2" xfId="40201" xr:uid="{00000000-0005-0000-0000-0000099D0000}"/>
    <cellStyle name="常规 4 2 5 2 4" xfId="40202" xr:uid="{00000000-0005-0000-0000-00000A9D0000}"/>
    <cellStyle name="常规 4 2 5 2 4 2" xfId="40203" xr:uid="{00000000-0005-0000-0000-00000B9D0000}"/>
    <cellStyle name="常规 4 2 5 2 4 3" xfId="40204" xr:uid="{00000000-0005-0000-0000-00000C9D0000}"/>
    <cellStyle name="常规 4 2 5 2 5" xfId="40205" xr:uid="{00000000-0005-0000-0000-00000D9D0000}"/>
    <cellStyle name="常规 4 2 5 2 5 2" xfId="40206" xr:uid="{00000000-0005-0000-0000-00000E9D0000}"/>
    <cellStyle name="常规 4 2 5 2 6" xfId="40207" xr:uid="{00000000-0005-0000-0000-00000F9D0000}"/>
    <cellStyle name="常规 4 2 5 3" xfId="40208" xr:uid="{00000000-0005-0000-0000-0000109D0000}"/>
    <cellStyle name="常规 4 2 5 3 2" xfId="40209" xr:uid="{00000000-0005-0000-0000-0000119D0000}"/>
    <cellStyle name="常规 4 2 5 3 2 2" xfId="40210" xr:uid="{00000000-0005-0000-0000-0000129D0000}"/>
    <cellStyle name="常规 4 2 5 4" xfId="40211" xr:uid="{00000000-0005-0000-0000-0000139D0000}"/>
    <cellStyle name="常规 4 2 5 4 2" xfId="40212" xr:uid="{00000000-0005-0000-0000-0000149D0000}"/>
    <cellStyle name="常规 4 2 5 4 2 2" xfId="40213" xr:uid="{00000000-0005-0000-0000-0000159D0000}"/>
    <cellStyle name="常规 4 2 5 5" xfId="40214" xr:uid="{00000000-0005-0000-0000-0000169D0000}"/>
    <cellStyle name="常规 4 2 5 5 2" xfId="40215" xr:uid="{00000000-0005-0000-0000-0000179D0000}"/>
    <cellStyle name="常规 4 2 5 5 3" xfId="40216" xr:uid="{00000000-0005-0000-0000-0000189D0000}"/>
    <cellStyle name="常规 4 2 5 6" xfId="40217" xr:uid="{00000000-0005-0000-0000-0000199D0000}"/>
    <cellStyle name="常规 4 2 5 6 2" xfId="40218" xr:uid="{00000000-0005-0000-0000-00001A9D0000}"/>
    <cellStyle name="常规 4 2 5 7" xfId="40219" xr:uid="{00000000-0005-0000-0000-00001B9D0000}"/>
    <cellStyle name="常规 4 2 6" xfId="40220" xr:uid="{00000000-0005-0000-0000-00001C9D0000}"/>
    <cellStyle name="常规 4 2 6 2" xfId="40221" xr:uid="{00000000-0005-0000-0000-00001D9D0000}"/>
    <cellStyle name="常规 4 2 6 2 2" xfId="40222" xr:uid="{00000000-0005-0000-0000-00001E9D0000}"/>
    <cellStyle name="常规 4 2 6 2 2 2" xfId="40223" xr:uid="{00000000-0005-0000-0000-00001F9D0000}"/>
    <cellStyle name="常规 4 2 6 2 2 2 2" xfId="40224" xr:uid="{00000000-0005-0000-0000-0000209D0000}"/>
    <cellStyle name="常规 4 2 6 2 2 3" xfId="40225" xr:uid="{00000000-0005-0000-0000-0000219D0000}"/>
    <cellStyle name="常规 4 2 6 2 3" xfId="40226" xr:uid="{00000000-0005-0000-0000-0000229D0000}"/>
    <cellStyle name="常规 4 2 6 2 3 2" xfId="40227" xr:uid="{00000000-0005-0000-0000-0000239D0000}"/>
    <cellStyle name="常规 4 2 6 2 3 2 2" xfId="40228" xr:uid="{00000000-0005-0000-0000-0000249D0000}"/>
    <cellStyle name="常规 4 2 6 2 4" xfId="40229" xr:uid="{00000000-0005-0000-0000-0000259D0000}"/>
    <cellStyle name="常规 4 2 6 2 4 2" xfId="40230" xr:uid="{00000000-0005-0000-0000-0000269D0000}"/>
    <cellStyle name="常规 4 2 6 2 4 3" xfId="40231" xr:uid="{00000000-0005-0000-0000-0000279D0000}"/>
    <cellStyle name="常规 4 2 6 2 5" xfId="40232" xr:uid="{00000000-0005-0000-0000-0000289D0000}"/>
    <cellStyle name="常规 4 2 6 2 5 2" xfId="40233" xr:uid="{00000000-0005-0000-0000-0000299D0000}"/>
    <cellStyle name="常规 4 2 6 2 6" xfId="40234" xr:uid="{00000000-0005-0000-0000-00002A9D0000}"/>
    <cellStyle name="常规 4 2 6 3" xfId="40235" xr:uid="{00000000-0005-0000-0000-00002B9D0000}"/>
    <cellStyle name="常规 4 2 6 3 2" xfId="40236" xr:uid="{00000000-0005-0000-0000-00002C9D0000}"/>
    <cellStyle name="常规 4 2 6 3 2 2" xfId="40237" xr:uid="{00000000-0005-0000-0000-00002D9D0000}"/>
    <cellStyle name="常规 4 2 6 3 3" xfId="40238" xr:uid="{00000000-0005-0000-0000-00002E9D0000}"/>
    <cellStyle name="常规 4 2 6 4" xfId="40239" xr:uid="{00000000-0005-0000-0000-00002F9D0000}"/>
    <cellStyle name="常规 4 2 6 4 2" xfId="40240" xr:uid="{00000000-0005-0000-0000-0000309D0000}"/>
    <cellStyle name="常规 4 2 6 4 2 2" xfId="40241" xr:uid="{00000000-0005-0000-0000-0000319D0000}"/>
    <cellStyle name="常规 4 2 6 5" xfId="40242" xr:uid="{00000000-0005-0000-0000-0000329D0000}"/>
    <cellStyle name="常规 4 2 6 5 2" xfId="40243" xr:uid="{00000000-0005-0000-0000-0000339D0000}"/>
    <cellStyle name="常规 4 2 6 5 3" xfId="40244" xr:uid="{00000000-0005-0000-0000-0000349D0000}"/>
    <cellStyle name="常规 4 2 6 6" xfId="40245" xr:uid="{00000000-0005-0000-0000-0000359D0000}"/>
    <cellStyle name="常规 4 2 6 6 2" xfId="40246" xr:uid="{00000000-0005-0000-0000-0000369D0000}"/>
    <cellStyle name="常规 4 2 6 7" xfId="40247" xr:uid="{00000000-0005-0000-0000-0000379D0000}"/>
    <cellStyle name="常规 4 2 7" xfId="40248" xr:uid="{00000000-0005-0000-0000-0000389D0000}"/>
    <cellStyle name="常规 4 2 7 2" xfId="40249" xr:uid="{00000000-0005-0000-0000-0000399D0000}"/>
    <cellStyle name="常规 4 2 7 2 2" xfId="40250" xr:uid="{00000000-0005-0000-0000-00003A9D0000}"/>
    <cellStyle name="常规 4 2 7 2 2 2" xfId="40251" xr:uid="{00000000-0005-0000-0000-00003B9D0000}"/>
    <cellStyle name="常规 4 2 7 2 2 2 2" xfId="40252" xr:uid="{00000000-0005-0000-0000-00003C9D0000}"/>
    <cellStyle name="常规 4 2 7 2 3" xfId="40253" xr:uid="{00000000-0005-0000-0000-00003D9D0000}"/>
    <cellStyle name="常规 4 2 7 2 3 2" xfId="40254" xr:uid="{00000000-0005-0000-0000-00003E9D0000}"/>
    <cellStyle name="常规 4 2 7 2 3 2 2" xfId="40255" xr:uid="{00000000-0005-0000-0000-00003F9D0000}"/>
    <cellStyle name="常规 4 2 7 2 4" xfId="40256" xr:uid="{00000000-0005-0000-0000-0000409D0000}"/>
    <cellStyle name="常规 4 2 7 2 4 2" xfId="40257" xr:uid="{00000000-0005-0000-0000-0000419D0000}"/>
    <cellStyle name="常规 4 2 7 2 5" xfId="40258" xr:uid="{00000000-0005-0000-0000-0000429D0000}"/>
    <cellStyle name="常规 4 2 7 3" xfId="40259" xr:uid="{00000000-0005-0000-0000-0000439D0000}"/>
    <cellStyle name="常规 4 2 7 3 2" xfId="40260" xr:uid="{00000000-0005-0000-0000-0000449D0000}"/>
    <cellStyle name="常规 4 2 7 3 2 2" xfId="40261" xr:uid="{00000000-0005-0000-0000-0000459D0000}"/>
    <cellStyle name="常规 4 2 7 3 3" xfId="40262" xr:uid="{00000000-0005-0000-0000-0000469D0000}"/>
    <cellStyle name="常规 4 2 7 4" xfId="40263" xr:uid="{00000000-0005-0000-0000-0000479D0000}"/>
    <cellStyle name="常规 4 2 7 4 2" xfId="40264" xr:uid="{00000000-0005-0000-0000-0000489D0000}"/>
    <cellStyle name="常规 4 2 7 4 2 2" xfId="40265" xr:uid="{00000000-0005-0000-0000-0000499D0000}"/>
    <cellStyle name="常规 4 2 7 5" xfId="40266" xr:uid="{00000000-0005-0000-0000-00004A9D0000}"/>
    <cellStyle name="常规 4 2 7 5 2" xfId="40267" xr:uid="{00000000-0005-0000-0000-00004B9D0000}"/>
    <cellStyle name="常规 4 2 7 5 3" xfId="40268" xr:uid="{00000000-0005-0000-0000-00004C9D0000}"/>
    <cellStyle name="常规 4 2 7 6" xfId="40269" xr:uid="{00000000-0005-0000-0000-00004D9D0000}"/>
    <cellStyle name="常规 4 2 7 6 2" xfId="40270" xr:uid="{00000000-0005-0000-0000-00004E9D0000}"/>
    <cellStyle name="常规 4 2 8" xfId="40271" xr:uid="{00000000-0005-0000-0000-00004F9D0000}"/>
    <cellStyle name="常规 4 2 8 2" xfId="40272" xr:uid="{00000000-0005-0000-0000-0000509D0000}"/>
    <cellStyle name="常规 4 2 8 2 2" xfId="40273" xr:uid="{00000000-0005-0000-0000-0000519D0000}"/>
    <cellStyle name="常规 4 2 8 2 2 2" xfId="40274" xr:uid="{00000000-0005-0000-0000-0000529D0000}"/>
    <cellStyle name="常规 4 2 8 3" xfId="40275" xr:uid="{00000000-0005-0000-0000-0000539D0000}"/>
    <cellStyle name="常规 4 2 8 3 2" xfId="40276" xr:uid="{00000000-0005-0000-0000-0000549D0000}"/>
    <cellStyle name="常规 4 2 8 3 2 2" xfId="40277" xr:uid="{00000000-0005-0000-0000-0000559D0000}"/>
    <cellStyle name="常规 4 2 8 4" xfId="40278" xr:uid="{00000000-0005-0000-0000-0000569D0000}"/>
    <cellStyle name="常规 4 2 8 4 2" xfId="40279" xr:uid="{00000000-0005-0000-0000-0000579D0000}"/>
    <cellStyle name="常规 4 2 8 5" xfId="40280" xr:uid="{00000000-0005-0000-0000-0000589D0000}"/>
    <cellStyle name="常规 4 2 9" xfId="40281" xr:uid="{00000000-0005-0000-0000-0000599D0000}"/>
    <cellStyle name="常规 4 2 9 2" xfId="40282" xr:uid="{00000000-0005-0000-0000-00005A9D0000}"/>
    <cellStyle name="常规 4 2 9 2 2" xfId="40283" xr:uid="{00000000-0005-0000-0000-00005B9D0000}"/>
    <cellStyle name="常规 4 3" xfId="40284" xr:uid="{00000000-0005-0000-0000-00005C9D0000}"/>
    <cellStyle name="常规 4 3 10" xfId="40285" xr:uid="{00000000-0005-0000-0000-00005D9D0000}"/>
    <cellStyle name="常规 4 3 10 2" xfId="40286" xr:uid="{00000000-0005-0000-0000-00005E9D0000}"/>
    <cellStyle name="常规 4 3 10 3" xfId="40287" xr:uid="{00000000-0005-0000-0000-00005F9D0000}"/>
    <cellStyle name="常规 4 3 10 4" xfId="40288" xr:uid="{00000000-0005-0000-0000-0000609D0000}"/>
    <cellStyle name="常规 4 3 11" xfId="40289" xr:uid="{00000000-0005-0000-0000-0000619D0000}"/>
    <cellStyle name="常规 4 3 12" xfId="40290" xr:uid="{00000000-0005-0000-0000-0000629D0000}"/>
    <cellStyle name="常规 4 3 13" xfId="40291" xr:uid="{00000000-0005-0000-0000-0000639D0000}"/>
    <cellStyle name="常规 4 3 14" xfId="40292" xr:uid="{00000000-0005-0000-0000-0000649D0000}"/>
    <cellStyle name="常规 4 3 14 2" xfId="40293" xr:uid="{00000000-0005-0000-0000-0000659D0000}"/>
    <cellStyle name="常规 4 3 2" xfId="40294" xr:uid="{00000000-0005-0000-0000-0000669D0000}"/>
    <cellStyle name="常规 4 3 2 2" xfId="40295" xr:uid="{00000000-0005-0000-0000-0000679D0000}"/>
    <cellStyle name="常规 4 3 2 2 2" xfId="40296" xr:uid="{00000000-0005-0000-0000-0000689D0000}"/>
    <cellStyle name="常规 4 3 2 2 2 2" xfId="40297" xr:uid="{00000000-0005-0000-0000-0000699D0000}"/>
    <cellStyle name="常规 4 3 2 2 2 3" xfId="40298" xr:uid="{00000000-0005-0000-0000-00006A9D0000}"/>
    <cellStyle name="常规 4 3 2 2 2 4" xfId="40299" xr:uid="{00000000-0005-0000-0000-00006B9D0000}"/>
    <cellStyle name="常规 4 3 2 2 3" xfId="40300" xr:uid="{00000000-0005-0000-0000-00006C9D0000}"/>
    <cellStyle name="常规 4 3 2 2 4" xfId="40301" xr:uid="{00000000-0005-0000-0000-00006D9D0000}"/>
    <cellStyle name="常规 4 3 2 2 5" xfId="40302" xr:uid="{00000000-0005-0000-0000-00006E9D0000}"/>
    <cellStyle name="常规 4 3 2 3" xfId="40303" xr:uid="{00000000-0005-0000-0000-00006F9D0000}"/>
    <cellStyle name="常规 4 3 2 3 2" xfId="40304" xr:uid="{00000000-0005-0000-0000-0000709D0000}"/>
    <cellStyle name="常规 4 3 2 3 2 2" xfId="40305" xr:uid="{00000000-0005-0000-0000-0000719D0000}"/>
    <cellStyle name="常规 4 3 2 3 2 3" xfId="40306" xr:uid="{00000000-0005-0000-0000-0000729D0000}"/>
    <cellStyle name="常规 4 3 2 3 2 4" xfId="40307" xr:uid="{00000000-0005-0000-0000-0000739D0000}"/>
    <cellStyle name="常规 4 3 2 3 3" xfId="40308" xr:uid="{00000000-0005-0000-0000-0000749D0000}"/>
    <cellStyle name="常规 4 3 2 3 4" xfId="40309" xr:uid="{00000000-0005-0000-0000-0000759D0000}"/>
    <cellStyle name="常规 4 3 2 3 5" xfId="40310" xr:uid="{00000000-0005-0000-0000-0000769D0000}"/>
    <cellStyle name="常规 4 3 2 4" xfId="40311" xr:uid="{00000000-0005-0000-0000-0000779D0000}"/>
    <cellStyle name="常规 4 3 2 4 2" xfId="40312" xr:uid="{00000000-0005-0000-0000-0000789D0000}"/>
    <cellStyle name="常规 4 3 2 4 3" xfId="40313" xr:uid="{00000000-0005-0000-0000-0000799D0000}"/>
    <cellStyle name="常规 4 3 2 4 4" xfId="40314" xr:uid="{00000000-0005-0000-0000-00007A9D0000}"/>
    <cellStyle name="常规 4 3 2 5" xfId="40315" xr:uid="{00000000-0005-0000-0000-00007B9D0000}"/>
    <cellStyle name="常规 4 3 2 6" xfId="40316" xr:uid="{00000000-0005-0000-0000-00007C9D0000}"/>
    <cellStyle name="常规 4 3 2 7" xfId="40317" xr:uid="{00000000-0005-0000-0000-00007D9D0000}"/>
    <cellStyle name="常规 4 3 3" xfId="40318" xr:uid="{00000000-0005-0000-0000-00007E9D0000}"/>
    <cellStyle name="常规 4 3 3 2" xfId="40319" xr:uid="{00000000-0005-0000-0000-00007F9D0000}"/>
    <cellStyle name="常规 4 3 3 2 2" xfId="40320" xr:uid="{00000000-0005-0000-0000-0000809D0000}"/>
    <cellStyle name="常规 4 3 3 2 2 2" xfId="40321" xr:uid="{00000000-0005-0000-0000-0000819D0000}"/>
    <cellStyle name="常规 4 3 3 2 2 3" xfId="40322" xr:uid="{00000000-0005-0000-0000-0000829D0000}"/>
    <cellStyle name="常规 4 3 3 2 2 4" xfId="40323" xr:uid="{00000000-0005-0000-0000-0000839D0000}"/>
    <cellStyle name="常规 4 3 3 2 3" xfId="40324" xr:uid="{00000000-0005-0000-0000-0000849D0000}"/>
    <cellStyle name="常规 4 3 3 2 4" xfId="40325" xr:uid="{00000000-0005-0000-0000-0000859D0000}"/>
    <cellStyle name="常规 4 3 3 2 5" xfId="40326" xr:uid="{00000000-0005-0000-0000-0000869D0000}"/>
    <cellStyle name="常规 4 3 3 3" xfId="40327" xr:uid="{00000000-0005-0000-0000-0000879D0000}"/>
    <cellStyle name="常规 4 3 3 3 2" xfId="40328" xr:uid="{00000000-0005-0000-0000-0000889D0000}"/>
    <cellStyle name="常规 4 3 3 3 2 2" xfId="40329" xr:uid="{00000000-0005-0000-0000-0000899D0000}"/>
    <cellStyle name="常规 4 3 3 3 2 3" xfId="40330" xr:uid="{00000000-0005-0000-0000-00008A9D0000}"/>
    <cellStyle name="常规 4 3 3 3 2 4" xfId="40331" xr:uid="{00000000-0005-0000-0000-00008B9D0000}"/>
    <cellStyle name="常规 4 3 3 3 3" xfId="40332" xr:uid="{00000000-0005-0000-0000-00008C9D0000}"/>
    <cellStyle name="常规 4 3 3 3 4" xfId="40333" xr:uid="{00000000-0005-0000-0000-00008D9D0000}"/>
    <cellStyle name="常规 4 3 3 3 5" xfId="40334" xr:uid="{00000000-0005-0000-0000-00008E9D0000}"/>
    <cellStyle name="常规 4 3 3 4" xfId="40335" xr:uid="{00000000-0005-0000-0000-00008F9D0000}"/>
    <cellStyle name="常规 4 3 3 4 2" xfId="40336" xr:uid="{00000000-0005-0000-0000-0000909D0000}"/>
    <cellStyle name="常规 4 3 3 4 3" xfId="40337" xr:uid="{00000000-0005-0000-0000-0000919D0000}"/>
    <cellStyle name="常规 4 3 3 4 4" xfId="40338" xr:uid="{00000000-0005-0000-0000-0000929D0000}"/>
    <cellStyle name="常规 4 3 3 5" xfId="40339" xr:uid="{00000000-0005-0000-0000-0000939D0000}"/>
    <cellStyle name="常规 4 3 3 6" xfId="40340" xr:uid="{00000000-0005-0000-0000-0000949D0000}"/>
    <cellStyle name="常规 4 3 3 7" xfId="40341" xr:uid="{00000000-0005-0000-0000-0000959D0000}"/>
    <cellStyle name="常规 4 3 4" xfId="40342" xr:uid="{00000000-0005-0000-0000-0000969D0000}"/>
    <cellStyle name="常规 4 3 4 2" xfId="40343" xr:uid="{00000000-0005-0000-0000-0000979D0000}"/>
    <cellStyle name="常规 4 3 4 2 2" xfId="40344" xr:uid="{00000000-0005-0000-0000-0000989D0000}"/>
    <cellStyle name="常规 4 3 4 2 2 2" xfId="40345" xr:uid="{00000000-0005-0000-0000-0000999D0000}"/>
    <cellStyle name="常规 4 3 4 2 2 3" xfId="40346" xr:uid="{00000000-0005-0000-0000-00009A9D0000}"/>
    <cellStyle name="常规 4 3 4 2 2 4" xfId="40347" xr:uid="{00000000-0005-0000-0000-00009B9D0000}"/>
    <cellStyle name="常规 4 3 4 2 3" xfId="40348" xr:uid="{00000000-0005-0000-0000-00009C9D0000}"/>
    <cellStyle name="常规 4 3 4 2 4" xfId="40349" xr:uid="{00000000-0005-0000-0000-00009D9D0000}"/>
    <cellStyle name="常规 4 3 4 2 5" xfId="40350" xr:uid="{00000000-0005-0000-0000-00009E9D0000}"/>
    <cellStyle name="常规 4 3 4 3" xfId="40351" xr:uid="{00000000-0005-0000-0000-00009F9D0000}"/>
    <cellStyle name="常规 4 3 4 3 2" xfId="40352" xr:uid="{00000000-0005-0000-0000-0000A09D0000}"/>
    <cellStyle name="常规 4 3 4 3 2 2" xfId="40353" xr:uid="{00000000-0005-0000-0000-0000A19D0000}"/>
    <cellStyle name="常规 4 3 4 3 2 3" xfId="40354" xr:uid="{00000000-0005-0000-0000-0000A29D0000}"/>
    <cellStyle name="常规 4 3 4 3 2 4" xfId="40355" xr:uid="{00000000-0005-0000-0000-0000A39D0000}"/>
    <cellStyle name="常规 4 3 4 3 3" xfId="40356" xr:uid="{00000000-0005-0000-0000-0000A49D0000}"/>
    <cellStyle name="常规 4 3 4 3 4" xfId="40357" xr:uid="{00000000-0005-0000-0000-0000A59D0000}"/>
    <cellStyle name="常规 4 3 4 3 5" xfId="40358" xr:uid="{00000000-0005-0000-0000-0000A69D0000}"/>
    <cellStyle name="常规 4 3 4 4" xfId="40359" xr:uid="{00000000-0005-0000-0000-0000A79D0000}"/>
    <cellStyle name="常规 4 3 4 4 2" xfId="40360" xr:uid="{00000000-0005-0000-0000-0000A89D0000}"/>
    <cellStyle name="常规 4 3 4 4 3" xfId="40361" xr:uid="{00000000-0005-0000-0000-0000A99D0000}"/>
    <cellStyle name="常规 4 3 4 4 4" xfId="40362" xr:uid="{00000000-0005-0000-0000-0000AA9D0000}"/>
    <cellStyle name="常规 4 3 4 5" xfId="40363" xr:uid="{00000000-0005-0000-0000-0000AB9D0000}"/>
    <cellStyle name="常规 4 3 4 6" xfId="40364" xr:uid="{00000000-0005-0000-0000-0000AC9D0000}"/>
    <cellStyle name="常规 4 3 4 7" xfId="40365" xr:uid="{00000000-0005-0000-0000-0000AD9D0000}"/>
    <cellStyle name="常规 4 3 5" xfId="40366" xr:uid="{00000000-0005-0000-0000-0000AE9D0000}"/>
    <cellStyle name="常规 4 3 5 2" xfId="40367" xr:uid="{00000000-0005-0000-0000-0000AF9D0000}"/>
    <cellStyle name="常规 4 3 5 2 2" xfId="40368" xr:uid="{00000000-0005-0000-0000-0000B09D0000}"/>
    <cellStyle name="常规 4 3 5 2 2 2" xfId="40369" xr:uid="{00000000-0005-0000-0000-0000B19D0000}"/>
    <cellStyle name="常规 4 3 5 2 2 3" xfId="40370" xr:uid="{00000000-0005-0000-0000-0000B29D0000}"/>
    <cellStyle name="常规 4 3 5 2 2 4" xfId="40371" xr:uid="{00000000-0005-0000-0000-0000B39D0000}"/>
    <cellStyle name="常规 4 3 5 2 3" xfId="40372" xr:uid="{00000000-0005-0000-0000-0000B49D0000}"/>
    <cellStyle name="常规 4 3 5 2 4" xfId="40373" xr:uid="{00000000-0005-0000-0000-0000B59D0000}"/>
    <cellStyle name="常规 4 3 5 2 5" xfId="40374" xr:uid="{00000000-0005-0000-0000-0000B69D0000}"/>
    <cellStyle name="常规 4 3 5 3" xfId="40375" xr:uid="{00000000-0005-0000-0000-0000B79D0000}"/>
    <cellStyle name="常规 4 3 5 3 2" xfId="40376" xr:uid="{00000000-0005-0000-0000-0000B89D0000}"/>
    <cellStyle name="常规 4 3 5 3 2 2" xfId="40377" xr:uid="{00000000-0005-0000-0000-0000B99D0000}"/>
    <cellStyle name="常规 4 3 5 3 2 3" xfId="40378" xr:uid="{00000000-0005-0000-0000-0000BA9D0000}"/>
    <cellStyle name="常规 4 3 5 3 2 4" xfId="40379" xr:uid="{00000000-0005-0000-0000-0000BB9D0000}"/>
    <cellStyle name="常规 4 3 5 3 3" xfId="40380" xr:uid="{00000000-0005-0000-0000-0000BC9D0000}"/>
    <cellStyle name="常规 4 3 5 3 4" xfId="40381" xr:uid="{00000000-0005-0000-0000-0000BD9D0000}"/>
    <cellStyle name="常规 4 3 5 3 5" xfId="40382" xr:uid="{00000000-0005-0000-0000-0000BE9D0000}"/>
    <cellStyle name="常规 4 3 5 4" xfId="40383" xr:uid="{00000000-0005-0000-0000-0000BF9D0000}"/>
    <cellStyle name="常规 4 3 5 4 2" xfId="40384" xr:uid="{00000000-0005-0000-0000-0000C09D0000}"/>
    <cellStyle name="常规 4 3 5 4 3" xfId="40385" xr:uid="{00000000-0005-0000-0000-0000C19D0000}"/>
    <cellStyle name="常规 4 3 5 4 4" xfId="40386" xr:uid="{00000000-0005-0000-0000-0000C29D0000}"/>
    <cellStyle name="常规 4 3 5 5" xfId="40387" xr:uid="{00000000-0005-0000-0000-0000C39D0000}"/>
    <cellStyle name="常规 4 3 5 6" xfId="40388" xr:uid="{00000000-0005-0000-0000-0000C49D0000}"/>
    <cellStyle name="常规 4 3 5 7" xfId="40389" xr:uid="{00000000-0005-0000-0000-0000C59D0000}"/>
    <cellStyle name="常规 4 3 6" xfId="40390" xr:uid="{00000000-0005-0000-0000-0000C69D0000}"/>
    <cellStyle name="常规 4 3 6 2" xfId="40391" xr:uid="{00000000-0005-0000-0000-0000C79D0000}"/>
    <cellStyle name="常规 4 3 6 2 2" xfId="40392" xr:uid="{00000000-0005-0000-0000-0000C89D0000}"/>
    <cellStyle name="常规 4 3 6 2 2 2" xfId="40393" xr:uid="{00000000-0005-0000-0000-0000C99D0000}"/>
    <cellStyle name="常规 4 3 6 2 2 3" xfId="40394" xr:uid="{00000000-0005-0000-0000-0000CA9D0000}"/>
    <cellStyle name="常规 4 3 6 2 2 4" xfId="40395" xr:uid="{00000000-0005-0000-0000-0000CB9D0000}"/>
    <cellStyle name="常规 4 3 6 2 3" xfId="40396" xr:uid="{00000000-0005-0000-0000-0000CC9D0000}"/>
    <cellStyle name="常规 4 3 6 2 4" xfId="40397" xr:uid="{00000000-0005-0000-0000-0000CD9D0000}"/>
    <cellStyle name="常规 4 3 6 2 5" xfId="40398" xr:uid="{00000000-0005-0000-0000-0000CE9D0000}"/>
    <cellStyle name="常规 4 3 6 3" xfId="40399" xr:uid="{00000000-0005-0000-0000-0000CF9D0000}"/>
    <cellStyle name="常规 4 3 6 3 2" xfId="40400" xr:uid="{00000000-0005-0000-0000-0000D09D0000}"/>
    <cellStyle name="常规 4 3 6 3 2 2" xfId="40401" xr:uid="{00000000-0005-0000-0000-0000D19D0000}"/>
    <cellStyle name="常规 4 3 6 3 2 3" xfId="40402" xr:uid="{00000000-0005-0000-0000-0000D29D0000}"/>
    <cellStyle name="常规 4 3 6 3 2 4" xfId="40403" xr:uid="{00000000-0005-0000-0000-0000D39D0000}"/>
    <cellStyle name="常规 4 3 6 3 3" xfId="40404" xr:uid="{00000000-0005-0000-0000-0000D49D0000}"/>
    <cellStyle name="常规 4 3 6 3 4" xfId="40405" xr:uid="{00000000-0005-0000-0000-0000D59D0000}"/>
    <cellStyle name="常规 4 3 6 3 5" xfId="40406" xr:uid="{00000000-0005-0000-0000-0000D69D0000}"/>
    <cellStyle name="常规 4 3 6 4" xfId="40407" xr:uid="{00000000-0005-0000-0000-0000D79D0000}"/>
    <cellStyle name="常规 4 3 6 4 2" xfId="40408" xr:uid="{00000000-0005-0000-0000-0000D89D0000}"/>
    <cellStyle name="常规 4 3 6 4 3" xfId="40409" xr:uid="{00000000-0005-0000-0000-0000D99D0000}"/>
    <cellStyle name="常规 4 3 6 4 4" xfId="40410" xr:uid="{00000000-0005-0000-0000-0000DA9D0000}"/>
    <cellStyle name="常规 4 3 6 5" xfId="40411" xr:uid="{00000000-0005-0000-0000-0000DB9D0000}"/>
    <cellStyle name="常规 4 3 6 6" xfId="40412" xr:uid="{00000000-0005-0000-0000-0000DC9D0000}"/>
    <cellStyle name="常规 4 3 6 7" xfId="40413" xr:uid="{00000000-0005-0000-0000-0000DD9D0000}"/>
    <cellStyle name="常规 4 3 7" xfId="40414" xr:uid="{00000000-0005-0000-0000-0000DE9D0000}"/>
    <cellStyle name="常规 4 3 7 2" xfId="40415" xr:uid="{00000000-0005-0000-0000-0000DF9D0000}"/>
    <cellStyle name="常规 4 3 7 2 2" xfId="40416" xr:uid="{00000000-0005-0000-0000-0000E09D0000}"/>
    <cellStyle name="常规 4 3 7 2 2 2" xfId="40417" xr:uid="{00000000-0005-0000-0000-0000E19D0000}"/>
    <cellStyle name="常规 4 3 7 2 2 2 2" xfId="40418" xr:uid="{00000000-0005-0000-0000-0000E29D0000}"/>
    <cellStyle name="常规 4 3 7 2 2 2 3" xfId="40419" xr:uid="{00000000-0005-0000-0000-0000E39D0000}"/>
    <cellStyle name="常规 4 3 7 2 2 2 4" xfId="40420" xr:uid="{00000000-0005-0000-0000-0000E49D0000}"/>
    <cellStyle name="常规 4 3 7 2 2 3" xfId="40421" xr:uid="{00000000-0005-0000-0000-0000E59D0000}"/>
    <cellStyle name="常规 4 3 7 2 2 4" xfId="40422" xr:uid="{00000000-0005-0000-0000-0000E69D0000}"/>
    <cellStyle name="常规 4 3 7 2 2 5" xfId="40423" xr:uid="{00000000-0005-0000-0000-0000E79D0000}"/>
    <cellStyle name="常规 4 3 7 2 3" xfId="40424" xr:uid="{00000000-0005-0000-0000-0000E89D0000}"/>
    <cellStyle name="常规 4 3 7 2 3 2" xfId="40425" xr:uid="{00000000-0005-0000-0000-0000E99D0000}"/>
    <cellStyle name="常规 4 3 7 2 3 2 2" xfId="40426" xr:uid="{00000000-0005-0000-0000-0000EA9D0000}"/>
    <cellStyle name="常规 4 3 7 2 3 2 3" xfId="40427" xr:uid="{00000000-0005-0000-0000-0000EB9D0000}"/>
    <cellStyle name="常规 4 3 7 2 3 2 4" xfId="40428" xr:uid="{00000000-0005-0000-0000-0000EC9D0000}"/>
    <cellStyle name="常规 4 3 7 2 3 3" xfId="40429" xr:uid="{00000000-0005-0000-0000-0000ED9D0000}"/>
    <cellStyle name="常规 4 3 7 2 3 4" xfId="40430" xr:uid="{00000000-0005-0000-0000-0000EE9D0000}"/>
    <cellStyle name="常规 4 3 7 2 3 5" xfId="40431" xr:uid="{00000000-0005-0000-0000-0000EF9D0000}"/>
    <cellStyle name="常规 4 3 7 2 4" xfId="40432" xr:uid="{00000000-0005-0000-0000-0000F09D0000}"/>
    <cellStyle name="常规 4 3 7 2 4 2" xfId="40433" xr:uid="{00000000-0005-0000-0000-0000F19D0000}"/>
    <cellStyle name="常规 4 3 7 2 4 3" xfId="40434" xr:uid="{00000000-0005-0000-0000-0000F29D0000}"/>
    <cellStyle name="常规 4 3 7 2 4 4" xfId="40435" xr:uid="{00000000-0005-0000-0000-0000F39D0000}"/>
    <cellStyle name="常规 4 3 7 2 5" xfId="40436" xr:uid="{00000000-0005-0000-0000-0000F49D0000}"/>
    <cellStyle name="常规 4 3 7 2 6" xfId="40437" xr:uid="{00000000-0005-0000-0000-0000F59D0000}"/>
    <cellStyle name="常规 4 3 7 2 7" xfId="40438" xr:uid="{00000000-0005-0000-0000-0000F69D0000}"/>
    <cellStyle name="常规 4 3 7 3" xfId="40439" xr:uid="{00000000-0005-0000-0000-0000F79D0000}"/>
    <cellStyle name="常规 4 3 7 3 2" xfId="40440" xr:uid="{00000000-0005-0000-0000-0000F89D0000}"/>
    <cellStyle name="常规 4 3 7 3 2 2" xfId="40441" xr:uid="{00000000-0005-0000-0000-0000F99D0000}"/>
    <cellStyle name="常规 4 3 7 3 2 3" xfId="40442" xr:uid="{00000000-0005-0000-0000-0000FA9D0000}"/>
    <cellStyle name="常规 4 3 7 3 2 4" xfId="40443" xr:uid="{00000000-0005-0000-0000-0000FB9D0000}"/>
    <cellStyle name="常规 4 3 7 3 3" xfId="40444" xr:uid="{00000000-0005-0000-0000-0000FC9D0000}"/>
    <cellStyle name="常规 4 3 7 3 4" xfId="40445" xr:uid="{00000000-0005-0000-0000-0000FD9D0000}"/>
    <cellStyle name="常规 4 3 7 3 5" xfId="40446" xr:uid="{00000000-0005-0000-0000-0000FE9D0000}"/>
    <cellStyle name="常规 4 3 7 4" xfId="40447" xr:uid="{00000000-0005-0000-0000-0000FF9D0000}"/>
    <cellStyle name="常规 4 3 7 4 2" xfId="40448" xr:uid="{00000000-0005-0000-0000-0000009E0000}"/>
    <cellStyle name="常规 4 3 7 4 2 2" xfId="40449" xr:uid="{00000000-0005-0000-0000-0000019E0000}"/>
    <cellStyle name="常规 4 3 7 4 2 3" xfId="40450" xr:uid="{00000000-0005-0000-0000-0000029E0000}"/>
    <cellStyle name="常规 4 3 7 4 2 4" xfId="40451" xr:uid="{00000000-0005-0000-0000-0000039E0000}"/>
    <cellStyle name="常规 4 3 7 4 3" xfId="40452" xr:uid="{00000000-0005-0000-0000-0000049E0000}"/>
    <cellStyle name="常规 4 3 7 4 4" xfId="40453" xr:uid="{00000000-0005-0000-0000-0000059E0000}"/>
    <cellStyle name="常规 4 3 7 4 5" xfId="40454" xr:uid="{00000000-0005-0000-0000-0000069E0000}"/>
    <cellStyle name="常规 4 3 7 5" xfId="40455" xr:uid="{00000000-0005-0000-0000-0000079E0000}"/>
    <cellStyle name="常规 4 3 7 5 2" xfId="40456" xr:uid="{00000000-0005-0000-0000-0000089E0000}"/>
    <cellStyle name="常规 4 3 7 5 3" xfId="40457" xr:uid="{00000000-0005-0000-0000-0000099E0000}"/>
    <cellStyle name="常规 4 3 7 5 4" xfId="40458" xr:uid="{00000000-0005-0000-0000-00000A9E0000}"/>
    <cellStyle name="常规 4 3 7 6" xfId="40459" xr:uid="{00000000-0005-0000-0000-00000B9E0000}"/>
    <cellStyle name="常规 4 3 7 7" xfId="40460" xr:uid="{00000000-0005-0000-0000-00000C9E0000}"/>
    <cellStyle name="常规 4 3 7 8" xfId="40461" xr:uid="{00000000-0005-0000-0000-00000D9E0000}"/>
    <cellStyle name="常规 4 3 8" xfId="40462" xr:uid="{00000000-0005-0000-0000-00000E9E0000}"/>
    <cellStyle name="常规 4 3 8 2" xfId="40463" xr:uid="{00000000-0005-0000-0000-00000F9E0000}"/>
    <cellStyle name="常规 4 3 8 2 2" xfId="40464" xr:uid="{00000000-0005-0000-0000-0000109E0000}"/>
    <cellStyle name="常规 4 3 8 2 3" xfId="40465" xr:uid="{00000000-0005-0000-0000-0000119E0000}"/>
    <cellStyle name="常规 4 3 8 2 4" xfId="40466" xr:uid="{00000000-0005-0000-0000-0000129E0000}"/>
    <cellStyle name="常规 4 3 8 3" xfId="40467" xr:uid="{00000000-0005-0000-0000-0000139E0000}"/>
    <cellStyle name="常规 4 3 8 4" xfId="40468" xr:uid="{00000000-0005-0000-0000-0000149E0000}"/>
    <cellStyle name="常规 4 3 8 5" xfId="40469" xr:uid="{00000000-0005-0000-0000-0000159E0000}"/>
    <cellStyle name="常规 4 3 9" xfId="40470" xr:uid="{00000000-0005-0000-0000-0000169E0000}"/>
    <cellStyle name="常规 4 3 9 2" xfId="40471" xr:uid="{00000000-0005-0000-0000-0000179E0000}"/>
    <cellStyle name="常规 4 3 9 2 2" xfId="40472" xr:uid="{00000000-0005-0000-0000-0000189E0000}"/>
    <cellStyle name="常规 4 3 9 2 3" xfId="40473" xr:uid="{00000000-0005-0000-0000-0000199E0000}"/>
    <cellStyle name="常规 4 3 9 2 4" xfId="40474" xr:uid="{00000000-0005-0000-0000-00001A9E0000}"/>
    <cellStyle name="常规 4 3 9 3" xfId="40475" xr:uid="{00000000-0005-0000-0000-00001B9E0000}"/>
    <cellStyle name="常规 4 3 9 4" xfId="40476" xr:uid="{00000000-0005-0000-0000-00001C9E0000}"/>
    <cellStyle name="常规 4 3 9 5" xfId="40477" xr:uid="{00000000-0005-0000-0000-00001D9E0000}"/>
    <cellStyle name="常规 4 4" xfId="40478" xr:uid="{00000000-0005-0000-0000-00001E9E0000}"/>
    <cellStyle name="常规 4 4 10" xfId="40479" xr:uid="{00000000-0005-0000-0000-00001F9E0000}"/>
    <cellStyle name="常规 4 4 10 2" xfId="40480" xr:uid="{00000000-0005-0000-0000-0000209E0000}"/>
    <cellStyle name="常规 4 4 10 3" xfId="40481" xr:uid="{00000000-0005-0000-0000-0000219E0000}"/>
    <cellStyle name="常规 4 4 11" xfId="40482" xr:uid="{00000000-0005-0000-0000-0000229E0000}"/>
    <cellStyle name="常规 4 4 2" xfId="40483" xr:uid="{00000000-0005-0000-0000-0000239E0000}"/>
    <cellStyle name="常规 4 4 2 2" xfId="40484" xr:uid="{00000000-0005-0000-0000-0000249E0000}"/>
    <cellStyle name="常规 4 4 2 2 2" xfId="40485" xr:uid="{00000000-0005-0000-0000-0000259E0000}"/>
    <cellStyle name="常规 4 4 2 2 2 2" xfId="40486" xr:uid="{00000000-0005-0000-0000-0000269E0000}"/>
    <cellStyle name="常规 4 4 2 2 2 2 2" xfId="40487" xr:uid="{00000000-0005-0000-0000-0000279E0000}"/>
    <cellStyle name="常规 4 4 2 2 2 2 2 2" xfId="40488" xr:uid="{00000000-0005-0000-0000-0000289E0000}"/>
    <cellStyle name="常规 4 4 2 2 2 3" xfId="40489" xr:uid="{00000000-0005-0000-0000-0000299E0000}"/>
    <cellStyle name="常规 4 4 2 2 2 3 2" xfId="40490" xr:uid="{00000000-0005-0000-0000-00002A9E0000}"/>
    <cellStyle name="常规 4 4 2 2 2 3 2 2" xfId="40491" xr:uid="{00000000-0005-0000-0000-00002B9E0000}"/>
    <cellStyle name="常规 4 4 2 2 2 4" xfId="40492" xr:uid="{00000000-0005-0000-0000-00002C9E0000}"/>
    <cellStyle name="常规 4 4 2 2 2 4 2" xfId="40493" xr:uid="{00000000-0005-0000-0000-00002D9E0000}"/>
    <cellStyle name="常规 4 4 2 2 2 4 2 2" xfId="40494" xr:uid="{00000000-0005-0000-0000-00002E9E0000}"/>
    <cellStyle name="常规 4 4 2 2 2 5" xfId="40495" xr:uid="{00000000-0005-0000-0000-00002F9E0000}"/>
    <cellStyle name="常规 4 4 2 2 2 5 2" xfId="40496" xr:uid="{00000000-0005-0000-0000-0000309E0000}"/>
    <cellStyle name="常规 4 4 2 2 2 5 3" xfId="40497" xr:uid="{00000000-0005-0000-0000-0000319E0000}"/>
    <cellStyle name="常规 4 4 2 2 2 6" xfId="40498" xr:uid="{00000000-0005-0000-0000-0000329E0000}"/>
    <cellStyle name="常规 4 4 2 2 3" xfId="40499" xr:uid="{00000000-0005-0000-0000-0000339E0000}"/>
    <cellStyle name="常规 4 4 2 2 3 2" xfId="40500" xr:uid="{00000000-0005-0000-0000-0000349E0000}"/>
    <cellStyle name="常规 4 4 2 2 3 2 2" xfId="40501" xr:uid="{00000000-0005-0000-0000-0000359E0000}"/>
    <cellStyle name="常规 4 4 2 2 3 2 2 2" xfId="40502" xr:uid="{00000000-0005-0000-0000-0000369E0000}"/>
    <cellStyle name="常规 4 4 2 2 3 3" xfId="40503" xr:uid="{00000000-0005-0000-0000-0000379E0000}"/>
    <cellStyle name="常规 4 4 2 2 3 3 2" xfId="40504" xr:uid="{00000000-0005-0000-0000-0000389E0000}"/>
    <cellStyle name="常规 4 4 2 2 3 3 2 2" xfId="40505" xr:uid="{00000000-0005-0000-0000-0000399E0000}"/>
    <cellStyle name="常规 4 4 2 2 3 4" xfId="40506" xr:uid="{00000000-0005-0000-0000-00003A9E0000}"/>
    <cellStyle name="常规 4 4 2 2 3 4 2" xfId="40507" xr:uid="{00000000-0005-0000-0000-00003B9E0000}"/>
    <cellStyle name="常规 4 4 2 2 3 5" xfId="40508" xr:uid="{00000000-0005-0000-0000-00003C9E0000}"/>
    <cellStyle name="常规 4 4 2 2 4" xfId="40509" xr:uid="{00000000-0005-0000-0000-00003D9E0000}"/>
    <cellStyle name="常规 4 4 2 2 4 2" xfId="40510" xr:uid="{00000000-0005-0000-0000-00003E9E0000}"/>
    <cellStyle name="常规 4 4 2 2 4 2 2" xfId="40511" xr:uid="{00000000-0005-0000-0000-00003F9E0000}"/>
    <cellStyle name="常规 4 4 2 2 5" xfId="40512" xr:uid="{00000000-0005-0000-0000-0000409E0000}"/>
    <cellStyle name="常规 4 4 2 2 5 2" xfId="40513" xr:uid="{00000000-0005-0000-0000-0000419E0000}"/>
    <cellStyle name="常规 4 4 2 2 5 2 2" xfId="40514" xr:uid="{00000000-0005-0000-0000-0000429E0000}"/>
    <cellStyle name="常规 4 4 2 2 6" xfId="40515" xr:uid="{00000000-0005-0000-0000-0000439E0000}"/>
    <cellStyle name="常规 4 4 2 2 7" xfId="40516" xr:uid="{00000000-0005-0000-0000-0000449E0000}"/>
    <cellStyle name="常规 4 4 2 2 7 2" xfId="40517" xr:uid="{00000000-0005-0000-0000-0000459E0000}"/>
    <cellStyle name="常规 4 4 2 2 7 3" xfId="40518" xr:uid="{00000000-0005-0000-0000-0000469E0000}"/>
    <cellStyle name="常规 4 4 2 2 8" xfId="40519" xr:uid="{00000000-0005-0000-0000-0000479E0000}"/>
    <cellStyle name="常规 4 4 2 2 8 2" xfId="40520" xr:uid="{00000000-0005-0000-0000-0000489E0000}"/>
    <cellStyle name="常规 4 4 2 3" xfId="40521" xr:uid="{00000000-0005-0000-0000-0000499E0000}"/>
    <cellStyle name="常规 4 4 2 3 2" xfId="40522" xr:uid="{00000000-0005-0000-0000-00004A9E0000}"/>
    <cellStyle name="常规 4 4 2 3 2 2" xfId="40523" xr:uid="{00000000-0005-0000-0000-00004B9E0000}"/>
    <cellStyle name="常规 4 4 2 3 2 3" xfId="40524" xr:uid="{00000000-0005-0000-0000-00004C9E0000}"/>
    <cellStyle name="常规 4 4 2 3 2 4" xfId="40525" xr:uid="{00000000-0005-0000-0000-00004D9E0000}"/>
    <cellStyle name="常规 4 4 2 3 2 5" xfId="40526" xr:uid="{00000000-0005-0000-0000-00004E9E0000}"/>
    <cellStyle name="常规 4 4 2 3 2 5 2" xfId="40527" xr:uid="{00000000-0005-0000-0000-00004F9E0000}"/>
    <cellStyle name="常规 4 4 2 3 3" xfId="40528" xr:uid="{00000000-0005-0000-0000-0000509E0000}"/>
    <cellStyle name="常规 4 4 2 3 3 2" xfId="40529" xr:uid="{00000000-0005-0000-0000-0000519E0000}"/>
    <cellStyle name="常规 4 4 2 3 3 2 2" xfId="40530" xr:uid="{00000000-0005-0000-0000-0000529E0000}"/>
    <cellStyle name="常规 4 4 2 3 4" xfId="40531" xr:uid="{00000000-0005-0000-0000-0000539E0000}"/>
    <cellStyle name="常规 4 4 2 3 4 2" xfId="40532" xr:uid="{00000000-0005-0000-0000-0000549E0000}"/>
    <cellStyle name="常规 4 4 2 3 4 2 2" xfId="40533" xr:uid="{00000000-0005-0000-0000-0000559E0000}"/>
    <cellStyle name="常规 4 4 2 3 5" xfId="40534" xr:uid="{00000000-0005-0000-0000-0000569E0000}"/>
    <cellStyle name="常规 4 4 2 3 5 2" xfId="40535" xr:uid="{00000000-0005-0000-0000-0000579E0000}"/>
    <cellStyle name="常规 4 4 2 3 5 3" xfId="40536" xr:uid="{00000000-0005-0000-0000-0000589E0000}"/>
    <cellStyle name="常规 4 4 2 3 6" xfId="40537" xr:uid="{00000000-0005-0000-0000-0000599E0000}"/>
    <cellStyle name="常规 4 4 2 3 6 2" xfId="40538" xr:uid="{00000000-0005-0000-0000-00005A9E0000}"/>
    <cellStyle name="常规 4 4 2 3 7" xfId="40539" xr:uid="{00000000-0005-0000-0000-00005B9E0000}"/>
    <cellStyle name="常规 4 4 2 4" xfId="40540" xr:uid="{00000000-0005-0000-0000-00005C9E0000}"/>
    <cellStyle name="常规 4 4 2 4 2" xfId="40541" xr:uid="{00000000-0005-0000-0000-00005D9E0000}"/>
    <cellStyle name="常规 4 4 2 4 3" xfId="40542" xr:uid="{00000000-0005-0000-0000-00005E9E0000}"/>
    <cellStyle name="常规 4 4 2 4 4" xfId="40543" xr:uid="{00000000-0005-0000-0000-00005F9E0000}"/>
    <cellStyle name="常规 4 4 2 4 5" xfId="40544" xr:uid="{00000000-0005-0000-0000-0000609E0000}"/>
    <cellStyle name="常规 4 4 2 4 5 2" xfId="40545" xr:uid="{00000000-0005-0000-0000-0000619E0000}"/>
    <cellStyle name="常规 4 4 2 5" xfId="40546" xr:uid="{00000000-0005-0000-0000-0000629E0000}"/>
    <cellStyle name="常规 4 4 2 5 2" xfId="40547" xr:uid="{00000000-0005-0000-0000-0000639E0000}"/>
    <cellStyle name="常规 4 4 2 5 2 2" xfId="40548" xr:uid="{00000000-0005-0000-0000-0000649E0000}"/>
    <cellStyle name="常规 4 4 2 6" xfId="40549" xr:uid="{00000000-0005-0000-0000-0000659E0000}"/>
    <cellStyle name="常规 4 4 2 6 2" xfId="40550" xr:uid="{00000000-0005-0000-0000-0000669E0000}"/>
    <cellStyle name="常规 4 4 2 6 2 2" xfId="40551" xr:uid="{00000000-0005-0000-0000-0000679E0000}"/>
    <cellStyle name="常规 4 4 2 7" xfId="40552" xr:uid="{00000000-0005-0000-0000-0000689E0000}"/>
    <cellStyle name="常规 4 4 2 7 2" xfId="40553" xr:uid="{00000000-0005-0000-0000-0000699E0000}"/>
    <cellStyle name="常规 4 4 2 7 2 2" xfId="40554" xr:uid="{00000000-0005-0000-0000-00006A9E0000}"/>
    <cellStyle name="常规 4 4 2 8" xfId="40555" xr:uid="{00000000-0005-0000-0000-00006B9E0000}"/>
    <cellStyle name="常规 4 4 2 8 2" xfId="40556" xr:uid="{00000000-0005-0000-0000-00006C9E0000}"/>
    <cellStyle name="常规 4 4 2 8 3" xfId="40557" xr:uid="{00000000-0005-0000-0000-00006D9E0000}"/>
    <cellStyle name="常规 4 4 2 9" xfId="40558" xr:uid="{00000000-0005-0000-0000-00006E9E0000}"/>
    <cellStyle name="常规 4 4 2 9 2" xfId="40559" xr:uid="{00000000-0005-0000-0000-00006F9E0000}"/>
    <cellStyle name="常规 4 4 3" xfId="40560" xr:uid="{00000000-0005-0000-0000-0000709E0000}"/>
    <cellStyle name="常规 4 4 3 10" xfId="40561" xr:uid="{00000000-0005-0000-0000-0000719E0000}"/>
    <cellStyle name="常规 4 4 3 2" xfId="40562" xr:uid="{00000000-0005-0000-0000-0000729E0000}"/>
    <cellStyle name="常规 4 4 3 2 2" xfId="40563" xr:uid="{00000000-0005-0000-0000-0000739E0000}"/>
    <cellStyle name="常规 4 4 3 2 2 2" xfId="40564" xr:uid="{00000000-0005-0000-0000-0000749E0000}"/>
    <cellStyle name="常规 4 4 3 2 2 2 2" xfId="40565" xr:uid="{00000000-0005-0000-0000-0000759E0000}"/>
    <cellStyle name="常规 4 4 3 2 2 2 3" xfId="40566" xr:uid="{00000000-0005-0000-0000-0000769E0000}"/>
    <cellStyle name="常规 4 4 3 2 2 2 4" xfId="40567" xr:uid="{00000000-0005-0000-0000-0000779E0000}"/>
    <cellStyle name="常规 4 4 3 2 2 3" xfId="40568" xr:uid="{00000000-0005-0000-0000-0000789E0000}"/>
    <cellStyle name="常规 4 4 3 2 2 4" xfId="40569" xr:uid="{00000000-0005-0000-0000-0000799E0000}"/>
    <cellStyle name="常规 4 4 3 2 2 5" xfId="40570" xr:uid="{00000000-0005-0000-0000-00007A9E0000}"/>
    <cellStyle name="常规 4 4 3 2 2 6" xfId="40571" xr:uid="{00000000-0005-0000-0000-00007B9E0000}"/>
    <cellStyle name="常规 4 4 3 2 2 6 2" xfId="40572" xr:uid="{00000000-0005-0000-0000-00007C9E0000}"/>
    <cellStyle name="常规 4 4 3 2 3" xfId="40573" xr:uid="{00000000-0005-0000-0000-00007D9E0000}"/>
    <cellStyle name="常规 4 4 3 2 3 2" xfId="40574" xr:uid="{00000000-0005-0000-0000-00007E9E0000}"/>
    <cellStyle name="常规 4 4 3 2 3 2 2" xfId="40575" xr:uid="{00000000-0005-0000-0000-00007F9E0000}"/>
    <cellStyle name="常规 4 4 3 2 3 2 3" xfId="40576" xr:uid="{00000000-0005-0000-0000-0000809E0000}"/>
    <cellStyle name="常规 4 4 3 2 3 2 4" xfId="40577" xr:uid="{00000000-0005-0000-0000-0000819E0000}"/>
    <cellStyle name="常规 4 4 3 2 3 3" xfId="40578" xr:uid="{00000000-0005-0000-0000-0000829E0000}"/>
    <cellStyle name="常规 4 4 3 2 3 4" xfId="40579" xr:uid="{00000000-0005-0000-0000-0000839E0000}"/>
    <cellStyle name="常规 4 4 3 2 3 5" xfId="40580" xr:uid="{00000000-0005-0000-0000-0000849E0000}"/>
    <cellStyle name="常规 4 4 3 2 3 6" xfId="40581" xr:uid="{00000000-0005-0000-0000-0000859E0000}"/>
    <cellStyle name="常规 4 4 3 2 3 6 2" xfId="40582" xr:uid="{00000000-0005-0000-0000-0000869E0000}"/>
    <cellStyle name="常规 4 4 3 2 4" xfId="40583" xr:uid="{00000000-0005-0000-0000-0000879E0000}"/>
    <cellStyle name="常规 4 4 3 2 4 2" xfId="40584" xr:uid="{00000000-0005-0000-0000-0000889E0000}"/>
    <cellStyle name="常规 4 4 3 2 4 2 2" xfId="40585" xr:uid="{00000000-0005-0000-0000-0000899E0000}"/>
    <cellStyle name="常规 4 4 3 2 4 3" xfId="40586" xr:uid="{00000000-0005-0000-0000-00008A9E0000}"/>
    <cellStyle name="常规 4 4 3 2 4 4" xfId="40587" xr:uid="{00000000-0005-0000-0000-00008B9E0000}"/>
    <cellStyle name="常规 4 4 3 2 4 5" xfId="40588" xr:uid="{00000000-0005-0000-0000-00008C9E0000}"/>
    <cellStyle name="常规 4 4 3 2 5" xfId="40589" xr:uid="{00000000-0005-0000-0000-00008D9E0000}"/>
    <cellStyle name="常规 4 4 3 2 5 2" xfId="40590" xr:uid="{00000000-0005-0000-0000-00008E9E0000}"/>
    <cellStyle name="常规 4 4 3 2 5 3" xfId="40591" xr:uid="{00000000-0005-0000-0000-00008F9E0000}"/>
    <cellStyle name="常规 4 4 3 2 6" xfId="40592" xr:uid="{00000000-0005-0000-0000-0000909E0000}"/>
    <cellStyle name="常规 4 4 3 2 7" xfId="40593" xr:uid="{00000000-0005-0000-0000-0000919E0000}"/>
    <cellStyle name="常规 4 4 3 2 8" xfId="40594" xr:uid="{00000000-0005-0000-0000-0000929E0000}"/>
    <cellStyle name="常规 4 4 3 2 8 2" xfId="40595" xr:uid="{00000000-0005-0000-0000-0000939E0000}"/>
    <cellStyle name="常规 4 4 3 2 9" xfId="40596" xr:uid="{00000000-0005-0000-0000-0000949E0000}"/>
    <cellStyle name="常规 4 4 3 3" xfId="40597" xr:uid="{00000000-0005-0000-0000-0000959E0000}"/>
    <cellStyle name="常规 4 4 3 3 2" xfId="40598" xr:uid="{00000000-0005-0000-0000-0000969E0000}"/>
    <cellStyle name="常规 4 4 3 3 2 2" xfId="40599" xr:uid="{00000000-0005-0000-0000-0000979E0000}"/>
    <cellStyle name="常规 4 4 3 3 2 2 2" xfId="40600" xr:uid="{00000000-0005-0000-0000-0000989E0000}"/>
    <cellStyle name="常规 4 4 3 3 2 3" xfId="40601" xr:uid="{00000000-0005-0000-0000-0000999E0000}"/>
    <cellStyle name="常规 4 4 3 3 2 4" xfId="40602" xr:uid="{00000000-0005-0000-0000-00009A9E0000}"/>
    <cellStyle name="常规 4 4 3 3 2 5" xfId="40603" xr:uid="{00000000-0005-0000-0000-00009B9E0000}"/>
    <cellStyle name="常规 4 4 3 3 2 5 2" xfId="40604" xr:uid="{00000000-0005-0000-0000-00009C9E0000}"/>
    <cellStyle name="常规 4 4 3 3 2 6" xfId="40605" xr:uid="{00000000-0005-0000-0000-00009D9E0000}"/>
    <cellStyle name="常规 4 4 3 3 3" xfId="40606" xr:uid="{00000000-0005-0000-0000-00009E9E0000}"/>
    <cellStyle name="常规 4 4 3 3 3 2" xfId="40607" xr:uid="{00000000-0005-0000-0000-00009F9E0000}"/>
    <cellStyle name="常规 4 4 3 3 3 2 2" xfId="40608" xr:uid="{00000000-0005-0000-0000-0000A09E0000}"/>
    <cellStyle name="常规 4 4 3 3 4" xfId="40609" xr:uid="{00000000-0005-0000-0000-0000A19E0000}"/>
    <cellStyle name="常规 4 4 3 3 4 2" xfId="40610" xr:uid="{00000000-0005-0000-0000-0000A29E0000}"/>
    <cellStyle name="常规 4 4 3 3 4 3" xfId="40611" xr:uid="{00000000-0005-0000-0000-0000A39E0000}"/>
    <cellStyle name="常规 4 4 3 3 5" xfId="40612" xr:uid="{00000000-0005-0000-0000-0000A49E0000}"/>
    <cellStyle name="常规 4 4 3 3 5 2" xfId="40613" xr:uid="{00000000-0005-0000-0000-0000A59E0000}"/>
    <cellStyle name="常规 4 4 3 3 6" xfId="40614" xr:uid="{00000000-0005-0000-0000-0000A69E0000}"/>
    <cellStyle name="常规 4 4 3 3 6 2" xfId="40615" xr:uid="{00000000-0005-0000-0000-0000A79E0000}"/>
    <cellStyle name="常规 4 4 3 3 7" xfId="40616" xr:uid="{00000000-0005-0000-0000-0000A89E0000}"/>
    <cellStyle name="常规 4 4 3 4" xfId="40617" xr:uid="{00000000-0005-0000-0000-0000A99E0000}"/>
    <cellStyle name="常规 4 4 3 4 2" xfId="40618" xr:uid="{00000000-0005-0000-0000-0000AA9E0000}"/>
    <cellStyle name="常规 4 4 3 4 2 2" xfId="40619" xr:uid="{00000000-0005-0000-0000-0000AB9E0000}"/>
    <cellStyle name="常规 4 4 3 4 2 3" xfId="40620" xr:uid="{00000000-0005-0000-0000-0000AC9E0000}"/>
    <cellStyle name="常规 4 4 3 4 2 4" xfId="40621" xr:uid="{00000000-0005-0000-0000-0000AD9E0000}"/>
    <cellStyle name="常规 4 4 3 4 3" xfId="40622" xr:uid="{00000000-0005-0000-0000-0000AE9E0000}"/>
    <cellStyle name="常规 4 4 3 4 4" xfId="40623" xr:uid="{00000000-0005-0000-0000-0000AF9E0000}"/>
    <cellStyle name="常规 4 4 3 4 5" xfId="40624" xr:uid="{00000000-0005-0000-0000-0000B09E0000}"/>
    <cellStyle name="常规 4 4 3 4 6" xfId="40625" xr:uid="{00000000-0005-0000-0000-0000B19E0000}"/>
    <cellStyle name="常规 4 4 3 4 6 2" xfId="40626" xr:uid="{00000000-0005-0000-0000-0000B29E0000}"/>
    <cellStyle name="常规 4 4 3 5" xfId="40627" xr:uid="{00000000-0005-0000-0000-0000B39E0000}"/>
    <cellStyle name="常规 4 4 3 5 2" xfId="40628" xr:uid="{00000000-0005-0000-0000-0000B49E0000}"/>
    <cellStyle name="常规 4 4 3 5 3" xfId="40629" xr:uid="{00000000-0005-0000-0000-0000B59E0000}"/>
    <cellStyle name="常规 4 4 3 5 4" xfId="40630" xr:uid="{00000000-0005-0000-0000-0000B69E0000}"/>
    <cellStyle name="常规 4 4 3 5 5" xfId="40631" xr:uid="{00000000-0005-0000-0000-0000B79E0000}"/>
    <cellStyle name="常规 4 4 3 5 5 2" xfId="40632" xr:uid="{00000000-0005-0000-0000-0000B89E0000}"/>
    <cellStyle name="常规 4 4 3 6" xfId="40633" xr:uid="{00000000-0005-0000-0000-0000B99E0000}"/>
    <cellStyle name="常规 4 4 3 6 2" xfId="40634" xr:uid="{00000000-0005-0000-0000-0000BA9E0000}"/>
    <cellStyle name="常规 4 4 3 6 2 2" xfId="40635" xr:uid="{00000000-0005-0000-0000-0000BB9E0000}"/>
    <cellStyle name="常规 4 4 3 7" xfId="40636" xr:uid="{00000000-0005-0000-0000-0000BC9E0000}"/>
    <cellStyle name="常规 4 4 3 7 2" xfId="40637" xr:uid="{00000000-0005-0000-0000-0000BD9E0000}"/>
    <cellStyle name="常规 4 4 3 7 2 2" xfId="40638" xr:uid="{00000000-0005-0000-0000-0000BE9E0000}"/>
    <cellStyle name="常规 4 4 3 8" xfId="40639" xr:uid="{00000000-0005-0000-0000-0000BF9E0000}"/>
    <cellStyle name="常规 4 4 3 8 2" xfId="40640" xr:uid="{00000000-0005-0000-0000-0000C09E0000}"/>
    <cellStyle name="常规 4 4 3 8 3" xfId="40641" xr:uid="{00000000-0005-0000-0000-0000C19E0000}"/>
    <cellStyle name="常规 4 4 3 9" xfId="40642" xr:uid="{00000000-0005-0000-0000-0000C29E0000}"/>
    <cellStyle name="常规 4 4 3 9 2" xfId="40643" xr:uid="{00000000-0005-0000-0000-0000C39E0000}"/>
    <cellStyle name="常规 4 4 4" xfId="40644" xr:uid="{00000000-0005-0000-0000-0000C49E0000}"/>
    <cellStyle name="常规 4 4 4 2" xfId="40645" xr:uid="{00000000-0005-0000-0000-0000C59E0000}"/>
    <cellStyle name="常规 4 4 4 2 2" xfId="40646" xr:uid="{00000000-0005-0000-0000-0000C69E0000}"/>
    <cellStyle name="常规 4 4 4 2 3" xfId="40647" xr:uid="{00000000-0005-0000-0000-0000C79E0000}"/>
    <cellStyle name="常规 4 4 4 2 4" xfId="40648" xr:uid="{00000000-0005-0000-0000-0000C89E0000}"/>
    <cellStyle name="常规 4 4 4 2 5" xfId="40649" xr:uid="{00000000-0005-0000-0000-0000C99E0000}"/>
    <cellStyle name="常规 4 4 4 2 5 2" xfId="40650" xr:uid="{00000000-0005-0000-0000-0000CA9E0000}"/>
    <cellStyle name="常规 4 4 4 3" xfId="40651" xr:uid="{00000000-0005-0000-0000-0000CB9E0000}"/>
    <cellStyle name="常规 4 4 4 3 2" xfId="40652" xr:uid="{00000000-0005-0000-0000-0000CC9E0000}"/>
    <cellStyle name="常规 4 4 4 3 2 2" xfId="40653" xr:uid="{00000000-0005-0000-0000-0000CD9E0000}"/>
    <cellStyle name="常规 4 4 4 4" xfId="40654" xr:uid="{00000000-0005-0000-0000-0000CE9E0000}"/>
    <cellStyle name="常规 4 4 4 4 2" xfId="40655" xr:uid="{00000000-0005-0000-0000-0000CF9E0000}"/>
    <cellStyle name="常规 4 4 4 4 2 2" xfId="40656" xr:uid="{00000000-0005-0000-0000-0000D09E0000}"/>
    <cellStyle name="常规 4 4 4 5" xfId="40657" xr:uid="{00000000-0005-0000-0000-0000D19E0000}"/>
    <cellStyle name="常规 4 4 4 5 2" xfId="40658" xr:uid="{00000000-0005-0000-0000-0000D29E0000}"/>
    <cellStyle name="常规 4 4 4 5 3" xfId="40659" xr:uid="{00000000-0005-0000-0000-0000D39E0000}"/>
    <cellStyle name="常规 4 4 4 6" xfId="40660" xr:uid="{00000000-0005-0000-0000-0000D49E0000}"/>
    <cellStyle name="常规 4 4 4 6 2" xfId="40661" xr:uid="{00000000-0005-0000-0000-0000D59E0000}"/>
    <cellStyle name="常规 4 4 4 7" xfId="40662" xr:uid="{00000000-0005-0000-0000-0000D69E0000}"/>
    <cellStyle name="常规 4 4 5" xfId="40663" xr:uid="{00000000-0005-0000-0000-0000D79E0000}"/>
    <cellStyle name="常规 4 4 5 2" xfId="40664" xr:uid="{00000000-0005-0000-0000-0000D89E0000}"/>
    <cellStyle name="常规 4 4 5 2 2" xfId="40665" xr:uid="{00000000-0005-0000-0000-0000D99E0000}"/>
    <cellStyle name="常规 4 4 5 2 3" xfId="40666" xr:uid="{00000000-0005-0000-0000-0000DA9E0000}"/>
    <cellStyle name="常规 4 4 5 2 4" xfId="40667" xr:uid="{00000000-0005-0000-0000-0000DB9E0000}"/>
    <cellStyle name="常规 4 4 5 3" xfId="40668" xr:uid="{00000000-0005-0000-0000-0000DC9E0000}"/>
    <cellStyle name="常规 4 4 5 4" xfId="40669" xr:uid="{00000000-0005-0000-0000-0000DD9E0000}"/>
    <cellStyle name="常规 4 4 5 5" xfId="40670" xr:uid="{00000000-0005-0000-0000-0000DE9E0000}"/>
    <cellStyle name="常规 4 4 5 6" xfId="40671" xr:uid="{00000000-0005-0000-0000-0000DF9E0000}"/>
    <cellStyle name="常规 4 4 5 6 2" xfId="40672" xr:uid="{00000000-0005-0000-0000-0000E09E0000}"/>
    <cellStyle name="常规 4 4 6" xfId="40673" xr:uid="{00000000-0005-0000-0000-0000E19E0000}"/>
    <cellStyle name="常规 4 4 6 2" xfId="40674" xr:uid="{00000000-0005-0000-0000-0000E29E0000}"/>
    <cellStyle name="常规 4 4 6 3" xfId="40675" xr:uid="{00000000-0005-0000-0000-0000E39E0000}"/>
    <cellStyle name="常规 4 4 6 4" xfId="40676" xr:uid="{00000000-0005-0000-0000-0000E49E0000}"/>
    <cellStyle name="常规 4 4 6 5" xfId="40677" xr:uid="{00000000-0005-0000-0000-0000E59E0000}"/>
    <cellStyle name="常规 4 4 6 5 2" xfId="40678" xr:uid="{00000000-0005-0000-0000-0000E69E0000}"/>
    <cellStyle name="常规 4 4 7" xfId="40679" xr:uid="{00000000-0005-0000-0000-0000E79E0000}"/>
    <cellStyle name="常规 4 4 7 2" xfId="40680" xr:uid="{00000000-0005-0000-0000-0000E89E0000}"/>
    <cellStyle name="常规 4 4 7 2 2" xfId="40681" xr:uid="{00000000-0005-0000-0000-0000E99E0000}"/>
    <cellStyle name="常规 4 4 8" xfId="40682" xr:uid="{00000000-0005-0000-0000-0000EA9E0000}"/>
    <cellStyle name="常规 4 4 8 2" xfId="40683" xr:uid="{00000000-0005-0000-0000-0000EB9E0000}"/>
    <cellStyle name="常规 4 4 8 2 2" xfId="40684" xr:uid="{00000000-0005-0000-0000-0000EC9E0000}"/>
    <cellStyle name="常规 4 4 9" xfId="40685" xr:uid="{00000000-0005-0000-0000-0000ED9E0000}"/>
    <cellStyle name="常规 4 4 9 2" xfId="40686" xr:uid="{00000000-0005-0000-0000-0000EE9E0000}"/>
    <cellStyle name="常规 4 4 9 2 2" xfId="40687" xr:uid="{00000000-0005-0000-0000-0000EF9E0000}"/>
    <cellStyle name="常规 4 5" xfId="40688" xr:uid="{00000000-0005-0000-0000-0000F09E0000}"/>
    <cellStyle name="常规 4 5 10" xfId="40689" xr:uid="{00000000-0005-0000-0000-0000F19E0000}"/>
    <cellStyle name="常规 4 5 10 2" xfId="40690" xr:uid="{00000000-0005-0000-0000-0000F29E0000}"/>
    <cellStyle name="常规 4 5 2" xfId="40691" xr:uid="{00000000-0005-0000-0000-0000F39E0000}"/>
    <cellStyle name="常规 4 5 2 10" xfId="40692" xr:uid="{00000000-0005-0000-0000-0000F49E0000}"/>
    <cellStyle name="常规 4 5 2 2" xfId="40693" xr:uid="{00000000-0005-0000-0000-0000F59E0000}"/>
    <cellStyle name="常规 4 5 2 2 2" xfId="40694" xr:uid="{00000000-0005-0000-0000-0000F69E0000}"/>
    <cellStyle name="常规 4 5 2 2 2 2" xfId="40695" xr:uid="{00000000-0005-0000-0000-0000F79E0000}"/>
    <cellStyle name="常规 4 5 2 2 2 2 2" xfId="40696" xr:uid="{00000000-0005-0000-0000-0000F89E0000}"/>
    <cellStyle name="常规 4 5 2 2 2 2 3" xfId="40697" xr:uid="{00000000-0005-0000-0000-0000F99E0000}"/>
    <cellStyle name="常规 4 5 2 2 2 2 4" xfId="40698" xr:uid="{00000000-0005-0000-0000-0000FA9E0000}"/>
    <cellStyle name="常规 4 5 2 2 2 3" xfId="40699" xr:uid="{00000000-0005-0000-0000-0000FB9E0000}"/>
    <cellStyle name="常规 4 5 2 2 2 4" xfId="40700" xr:uid="{00000000-0005-0000-0000-0000FC9E0000}"/>
    <cellStyle name="常规 4 5 2 2 2 5" xfId="40701" xr:uid="{00000000-0005-0000-0000-0000FD9E0000}"/>
    <cellStyle name="常规 4 5 2 2 2 6" xfId="40702" xr:uid="{00000000-0005-0000-0000-0000FE9E0000}"/>
    <cellStyle name="常规 4 5 2 2 2 6 2" xfId="40703" xr:uid="{00000000-0005-0000-0000-0000FF9E0000}"/>
    <cellStyle name="常规 4 5 2 2 3" xfId="40704" xr:uid="{00000000-0005-0000-0000-0000009F0000}"/>
    <cellStyle name="常规 4 5 2 2 3 2" xfId="40705" xr:uid="{00000000-0005-0000-0000-0000019F0000}"/>
    <cellStyle name="常规 4 5 2 2 3 2 2" xfId="40706" xr:uid="{00000000-0005-0000-0000-0000029F0000}"/>
    <cellStyle name="常规 4 5 2 2 3 2 3" xfId="40707" xr:uid="{00000000-0005-0000-0000-0000039F0000}"/>
    <cellStyle name="常规 4 5 2 2 3 2 4" xfId="40708" xr:uid="{00000000-0005-0000-0000-0000049F0000}"/>
    <cellStyle name="常规 4 5 2 2 3 3" xfId="40709" xr:uid="{00000000-0005-0000-0000-0000059F0000}"/>
    <cellStyle name="常规 4 5 2 2 3 4" xfId="40710" xr:uid="{00000000-0005-0000-0000-0000069F0000}"/>
    <cellStyle name="常规 4 5 2 2 3 5" xfId="40711" xr:uid="{00000000-0005-0000-0000-0000079F0000}"/>
    <cellStyle name="常规 4 5 2 2 3 6" xfId="40712" xr:uid="{00000000-0005-0000-0000-0000089F0000}"/>
    <cellStyle name="常规 4 5 2 2 3 6 2" xfId="40713" xr:uid="{00000000-0005-0000-0000-0000099F0000}"/>
    <cellStyle name="常规 4 5 2 2 4" xfId="40714" xr:uid="{00000000-0005-0000-0000-00000A9F0000}"/>
    <cellStyle name="常规 4 5 2 2 4 2" xfId="40715" xr:uid="{00000000-0005-0000-0000-00000B9F0000}"/>
    <cellStyle name="常规 4 5 2 2 4 2 2" xfId="40716" xr:uid="{00000000-0005-0000-0000-00000C9F0000}"/>
    <cellStyle name="常规 4 5 2 2 4 3" xfId="40717" xr:uid="{00000000-0005-0000-0000-00000D9F0000}"/>
    <cellStyle name="常规 4 5 2 2 4 4" xfId="40718" xr:uid="{00000000-0005-0000-0000-00000E9F0000}"/>
    <cellStyle name="常规 4 5 2 2 4 5" xfId="40719" xr:uid="{00000000-0005-0000-0000-00000F9F0000}"/>
    <cellStyle name="常规 4 5 2 2 5" xfId="40720" xr:uid="{00000000-0005-0000-0000-0000109F0000}"/>
    <cellStyle name="常规 4 5 2 2 5 2" xfId="40721" xr:uid="{00000000-0005-0000-0000-0000119F0000}"/>
    <cellStyle name="常规 4 5 2 2 5 3" xfId="40722" xr:uid="{00000000-0005-0000-0000-0000129F0000}"/>
    <cellStyle name="常规 4 5 2 2 6" xfId="40723" xr:uid="{00000000-0005-0000-0000-0000139F0000}"/>
    <cellStyle name="常规 4 5 2 2 7" xfId="40724" xr:uid="{00000000-0005-0000-0000-0000149F0000}"/>
    <cellStyle name="常规 4 5 2 2 8" xfId="40725" xr:uid="{00000000-0005-0000-0000-0000159F0000}"/>
    <cellStyle name="常规 4 5 2 2 8 2" xfId="40726" xr:uid="{00000000-0005-0000-0000-0000169F0000}"/>
    <cellStyle name="常规 4 5 2 2 9" xfId="40727" xr:uid="{00000000-0005-0000-0000-0000179F0000}"/>
    <cellStyle name="常规 4 5 2 3" xfId="40728" xr:uid="{00000000-0005-0000-0000-0000189F0000}"/>
    <cellStyle name="常规 4 5 2 3 2" xfId="40729" xr:uid="{00000000-0005-0000-0000-0000199F0000}"/>
    <cellStyle name="常规 4 5 2 3 2 2" xfId="40730" xr:uid="{00000000-0005-0000-0000-00001A9F0000}"/>
    <cellStyle name="常规 4 5 2 3 2 3" xfId="40731" xr:uid="{00000000-0005-0000-0000-00001B9F0000}"/>
    <cellStyle name="常规 4 5 2 3 2 4" xfId="40732" xr:uid="{00000000-0005-0000-0000-00001C9F0000}"/>
    <cellStyle name="常规 4 5 2 3 3" xfId="40733" xr:uid="{00000000-0005-0000-0000-00001D9F0000}"/>
    <cellStyle name="常规 4 5 2 3 4" xfId="40734" xr:uid="{00000000-0005-0000-0000-00001E9F0000}"/>
    <cellStyle name="常规 4 5 2 3 5" xfId="40735" xr:uid="{00000000-0005-0000-0000-00001F9F0000}"/>
    <cellStyle name="常规 4 5 2 3 6" xfId="40736" xr:uid="{00000000-0005-0000-0000-0000209F0000}"/>
    <cellStyle name="常规 4 5 2 3 6 2" xfId="40737" xr:uid="{00000000-0005-0000-0000-0000219F0000}"/>
    <cellStyle name="常规 4 5 2 4" xfId="40738" xr:uid="{00000000-0005-0000-0000-0000229F0000}"/>
    <cellStyle name="常规 4 5 2 4 2" xfId="40739" xr:uid="{00000000-0005-0000-0000-0000239F0000}"/>
    <cellStyle name="常规 4 5 2 4 2 2" xfId="40740" xr:uid="{00000000-0005-0000-0000-0000249F0000}"/>
    <cellStyle name="常规 4 5 2 4 2 3" xfId="40741" xr:uid="{00000000-0005-0000-0000-0000259F0000}"/>
    <cellStyle name="常规 4 5 2 4 2 4" xfId="40742" xr:uid="{00000000-0005-0000-0000-0000269F0000}"/>
    <cellStyle name="常规 4 5 2 4 3" xfId="40743" xr:uid="{00000000-0005-0000-0000-0000279F0000}"/>
    <cellStyle name="常规 4 5 2 4 4" xfId="40744" xr:uid="{00000000-0005-0000-0000-0000289F0000}"/>
    <cellStyle name="常规 4 5 2 4 5" xfId="40745" xr:uid="{00000000-0005-0000-0000-0000299F0000}"/>
    <cellStyle name="常规 4 5 2 4 6" xfId="40746" xr:uid="{00000000-0005-0000-0000-00002A9F0000}"/>
    <cellStyle name="常规 4 5 2 4 6 2" xfId="40747" xr:uid="{00000000-0005-0000-0000-00002B9F0000}"/>
    <cellStyle name="常规 4 5 2 5" xfId="40748" xr:uid="{00000000-0005-0000-0000-00002C9F0000}"/>
    <cellStyle name="常规 4 5 2 5 2" xfId="40749" xr:uid="{00000000-0005-0000-0000-00002D9F0000}"/>
    <cellStyle name="常规 4 5 2 5 3" xfId="40750" xr:uid="{00000000-0005-0000-0000-00002E9F0000}"/>
    <cellStyle name="常规 4 5 2 5 4" xfId="40751" xr:uid="{00000000-0005-0000-0000-00002F9F0000}"/>
    <cellStyle name="常规 4 5 2 5 5" xfId="40752" xr:uid="{00000000-0005-0000-0000-0000309F0000}"/>
    <cellStyle name="常规 4 5 2 5 5 2" xfId="40753" xr:uid="{00000000-0005-0000-0000-0000319F0000}"/>
    <cellStyle name="常规 4 5 2 6" xfId="40754" xr:uid="{00000000-0005-0000-0000-0000329F0000}"/>
    <cellStyle name="常规 4 5 2 6 2" xfId="40755" xr:uid="{00000000-0005-0000-0000-0000339F0000}"/>
    <cellStyle name="常规 4 5 2 6 2 2" xfId="40756" xr:uid="{00000000-0005-0000-0000-0000349F0000}"/>
    <cellStyle name="常规 4 5 2 7" xfId="40757" xr:uid="{00000000-0005-0000-0000-0000359F0000}"/>
    <cellStyle name="常规 4 5 2 7 2" xfId="40758" xr:uid="{00000000-0005-0000-0000-0000369F0000}"/>
    <cellStyle name="常规 4 5 2 7 2 2" xfId="40759" xr:uid="{00000000-0005-0000-0000-0000379F0000}"/>
    <cellStyle name="常规 4 5 2 8" xfId="40760" xr:uid="{00000000-0005-0000-0000-0000389F0000}"/>
    <cellStyle name="常规 4 5 2 8 2" xfId="40761" xr:uid="{00000000-0005-0000-0000-0000399F0000}"/>
    <cellStyle name="常规 4 5 2 8 3" xfId="40762" xr:uid="{00000000-0005-0000-0000-00003A9F0000}"/>
    <cellStyle name="常规 4 5 2 9" xfId="40763" xr:uid="{00000000-0005-0000-0000-00003B9F0000}"/>
    <cellStyle name="常规 4 5 2 9 2" xfId="40764" xr:uid="{00000000-0005-0000-0000-00003C9F0000}"/>
    <cellStyle name="常规 4 5 3" xfId="40765" xr:uid="{00000000-0005-0000-0000-00003D9F0000}"/>
    <cellStyle name="常规 4 5 3 2" xfId="40766" xr:uid="{00000000-0005-0000-0000-00003E9F0000}"/>
    <cellStyle name="常规 4 5 3 2 2" xfId="40767" xr:uid="{00000000-0005-0000-0000-00003F9F0000}"/>
    <cellStyle name="常规 4 5 3 2 2 2" xfId="40768" xr:uid="{00000000-0005-0000-0000-0000409F0000}"/>
    <cellStyle name="常规 4 5 3 2 2 2 2" xfId="40769" xr:uid="{00000000-0005-0000-0000-0000419F0000}"/>
    <cellStyle name="常规 4 5 3 2 3" xfId="40770" xr:uid="{00000000-0005-0000-0000-0000429F0000}"/>
    <cellStyle name="常规 4 5 3 2 3 2" xfId="40771" xr:uid="{00000000-0005-0000-0000-0000439F0000}"/>
    <cellStyle name="常规 4 5 3 2 3 2 2" xfId="40772" xr:uid="{00000000-0005-0000-0000-0000449F0000}"/>
    <cellStyle name="常规 4 5 3 2 4" xfId="40773" xr:uid="{00000000-0005-0000-0000-0000459F0000}"/>
    <cellStyle name="常规 4 5 3 2 4 2" xfId="40774" xr:uid="{00000000-0005-0000-0000-0000469F0000}"/>
    <cellStyle name="常规 4 5 3 2 4 2 2" xfId="40775" xr:uid="{00000000-0005-0000-0000-0000479F0000}"/>
    <cellStyle name="常规 4 5 3 2 5" xfId="40776" xr:uid="{00000000-0005-0000-0000-0000489F0000}"/>
    <cellStyle name="常规 4 5 3 2 5 2" xfId="40777" xr:uid="{00000000-0005-0000-0000-0000499F0000}"/>
    <cellStyle name="常规 4 5 3 2 5 3" xfId="40778" xr:uid="{00000000-0005-0000-0000-00004A9F0000}"/>
    <cellStyle name="常规 4 5 3 2 6" xfId="40779" xr:uid="{00000000-0005-0000-0000-00004B9F0000}"/>
    <cellStyle name="常规 4 5 3 3" xfId="40780" xr:uid="{00000000-0005-0000-0000-00004C9F0000}"/>
    <cellStyle name="常规 4 5 3 3 2" xfId="40781" xr:uid="{00000000-0005-0000-0000-00004D9F0000}"/>
    <cellStyle name="常规 4 5 3 3 2 2" xfId="40782" xr:uid="{00000000-0005-0000-0000-00004E9F0000}"/>
    <cellStyle name="常规 4 5 3 3 2 2 2" xfId="40783" xr:uid="{00000000-0005-0000-0000-00004F9F0000}"/>
    <cellStyle name="常规 4 5 3 3 3" xfId="40784" xr:uid="{00000000-0005-0000-0000-0000509F0000}"/>
    <cellStyle name="常规 4 5 3 3 3 2" xfId="40785" xr:uid="{00000000-0005-0000-0000-0000519F0000}"/>
    <cellStyle name="常规 4 5 3 3 3 2 2" xfId="40786" xr:uid="{00000000-0005-0000-0000-0000529F0000}"/>
    <cellStyle name="常规 4 5 3 3 4" xfId="40787" xr:uid="{00000000-0005-0000-0000-0000539F0000}"/>
    <cellStyle name="常规 4 5 3 3 4 2" xfId="40788" xr:uid="{00000000-0005-0000-0000-0000549F0000}"/>
    <cellStyle name="常规 4 5 3 3 5" xfId="40789" xr:uid="{00000000-0005-0000-0000-0000559F0000}"/>
    <cellStyle name="常规 4 5 3 4" xfId="40790" xr:uid="{00000000-0005-0000-0000-0000569F0000}"/>
    <cellStyle name="常规 4 5 3 4 2" xfId="40791" xr:uid="{00000000-0005-0000-0000-0000579F0000}"/>
    <cellStyle name="常规 4 5 3 4 2 2" xfId="40792" xr:uid="{00000000-0005-0000-0000-0000589F0000}"/>
    <cellStyle name="常规 4 5 3 5" xfId="40793" xr:uid="{00000000-0005-0000-0000-0000599F0000}"/>
    <cellStyle name="常规 4 5 3 5 2" xfId="40794" xr:uid="{00000000-0005-0000-0000-00005A9F0000}"/>
    <cellStyle name="常规 4 5 3 5 2 2" xfId="40795" xr:uid="{00000000-0005-0000-0000-00005B9F0000}"/>
    <cellStyle name="常规 4 5 3 6" xfId="40796" xr:uid="{00000000-0005-0000-0000-00005C9F0000}"/>
    <cellStyle name="常规 4 5 3 7" xfId="40797" xr:uid="{00000000-0005-0000-0000-00005D9F0000}"/>
    <cellStyle name="常规 4 5 3 7 2" xfId="40798" xr:uid="{00000000-0005-0000-0000-00005E9F0000}"/>
    <cellStyle name="常规 4 5 3 7 3" xfId="40799" xr:uid="{00000000-0005-0000-0000-00005F9F0000}"/>
    <cellStyle name="常规 4 5 3 8" xfId="40800" xr:uid="{00000000-0005-0000-0000-0000609F0000}"/>
    <cellStyle name="常规 4 5 3 8 2" xfId="40801" xr:uid="{00000000-0005-0000-0000-0000619F0000}"/>
    <cellStyle name="常规 4 5 4" xfId="40802" xr:uid="{00000000-0005-0000-0000-0000629F0000}"/>
    <cellStyle name="常规 4 5 4 2" xfId="40803" xr:uid="{00000000-0005-0000-0000-0000639F0000}"/>
    <cellStyle name="常规 4 5 4 2 2" xfId="40804" xr:uid="{00000000-0005-0000-0000-0000649F0000}"/>
    <cellStyle name="常规 4 5 4 2 3" xfId="40805" xr:uid="{00000000-0005-0000-0000-0000659F0000}"/>
    <cellStyle name="常规 4 5 4 2 4" xfId="40806" xr:uid="{00000000-0005-0000-0000-0000669F0000}"/>
    <cellStyle name="常规 4 5 4 2 5" xfId="40807" xr:uid="{00000000-0005-0000-0000-0000679F0000}"/>
    <cellStyle name="常规 4 5 4 2 5 2" xfId="40808" xr:uid="{00000000-0005-0000-0000-0000689F0000}"/>
    <cellStyle name="常规 4 5 4 3" xfId="40809" xr:uid="{00000000-0005-0000-0000-0000699F0000}"/>
    <cellStyle name="常规 4 5 4 3 2" xfId="40810" xr:uid="{00000000-0005-0000-0000-00006A9F0000}"/>
    <cellStyle name="常规 4 5 4 3 2 2" xfId="40811" xr:uid="{00000000-0005-0000-0000-00006B9F0000}"/>
    <cellStyle name="常规 4 5 4 4" xfId="40812" xr:uid="{00000000-0005-0000-0000-00006C9F0000}"/>
    <cellStyle name="常规 4 5 4 4 2" xfId="40813" xr:uid="{00000000-0005-0000-0000-00006D9F0000}"/>
    <cellStyle name="常规 4 5 4 4 2 2" xfId="40814" xr:uid="{00000000-0005-0000-0000-00006E9F0000}"/>
    <cellStyle name="常规 4 5 4 5" xfId="40815" xr:uid="{00000000-0005-0000-0000-00006F9F0000}"/>
    <cellStyle name="常规 4 5 4 5 2" xfId="40816" xr:uid="{00000000-0005-0000-0000-0000709F0000}"/>
    <cellStyle name="常规 4 5 4 5 3" xfId="40817" xr:uid="{00000000-0005-0000-0000-0000719F0000}"/>
    <cellStyle name="常规 4 5 4 6" xfId="40818" xr:uid="{00000000-0005-0000-0000-0000729F0000}"/>
    <cellStyle name="常规 4 5 4 6 2" xfId="40819" xr:uid="{00000000-0005-0000-0000-0000739F0000}"/>
    <cellStyle name="常规 4 5 4 7" xfId="40820" xr:uid="{00000000-0005-0000-0000-0000749F0000}"/>
    <cellStyle name="常规 4 5 5" xfId="40821" xr:uid="{00000000-0005-0000-0000-0000759F0000}"/>
    <cellStyle name="常规 4 5 5 2" xfId="40822" xr:uid="{00000000-0005-0000-0000-0000769F0000}"/>
    <cellStyle name="常规 4 5 5 3" xfId="40823" xr:uid="{00000000-0005-0000-0000-0000779F0000}"/>
    <cellStyle name="常规 4 5 5 4" xfId="40824" xr:uid="{00000000-0005-0000-0000-0000789F0000}"/>
    <cellStyle name="常规 4 5 5 5" xfId="40825" xr:uid="{00000000-0005-0000-0000-0000799F0000}"/>
    <cellStyle name="常规 4 5 5 5 2" xfId="40826" xr:uid="{00000000-0005-0000-0000-00007A9F0000}"/>
    <cellStyle name="常规 4 5 6" xfId="40827" xr:uid="{00000000-0005-0000-0000-00007B9F0000}"/>
    <cellStyle name="常规 4 5 6 2" xfId="40828" xr:uid="{00000000-0005-0000-0000-00007C9F0000}"/>
    <cellStyle name="常规 4 5 6 2 2" xfId="40829" xr:uid="{00000000-0005-0000-0000-00007D9F0000}"/>
    <cellStyle name="常规 4 5 7" xfId="40830" xr:uid="{00000000-0005-0000-0000-00007E9F0000}"/>
    <cellStyle name="常规 4 5 7 2" xfId="40831" xr:uid="{00000000-0005-0000-0000-00007F9F0000}"/>
    <cellStyle name="常规 4 5 7 2 2" xfId="40832" xr:uid="{00000000-0005-0000-0000-0000809F0000}"/>
    <cellStyle name="常规 4 5 8" xfId="40833" xr:uid="{00000000-0005-0000-0000-0000819F0000}"/>
    <cellStyle name="常规 4 5 8 2" xfId="40834" xr:uid="{00000000-0005-0000-0000-0000829F0000}"/>
    <cellStyle name="常规 4 5 8 2 2" xfId="40835" xr:uid="{00000000-0005-0000-0000-0000839F0000}"/>
    <cellStyle name="常规 4 5 9" xfId="40836" xr:uid="{00000000-0005-0000-0000-0000849F0000}"/>
    <cellStyle name="常规 4 5 9 2" xfId="40837" xr:uid="{00000000-0005-0000-0000-0000859F0000}"/>
    <cellStyle name="常规 4 5 9 3" xfId="40838" xr:uid="{00000000-0005-0000-0000-0000869F0000}"/>
    <cellStyle name="常规 4 6" xfId="40839" xr:uid="{00000000-0005-0000-0000-0000879F0000}"/>
    <cellStyle name="常规 4 6 10" xfId="40840" xr:uid="{00000000-0005-0000-0000-0000889F0000}"/>
    <cellStyle name="常规 4 6 2" xfId="40841" xr:uid="{00000000-0005-0000-0000-0000899F0000}"/>
    <cellStyle name="常规 4 6 2 10" xfId="40842" xr:uid="{00000000-0005-0000-0000-00008A9F0000}"/>
    <cellStyle name="常规 4 6 2 2" xfId="40843" xr:uid="{00000000-0005-0000-0000-00008B9F0000}"/>
    <cellStyle name="常规 4 6 2 2 2" xfId="40844" xr:uid="{00000000-0005-0000-0000-00008C9F0000}"/>
    <cellStyle name="常规 4 6 2 2 2 2" xfId="40845" xr:uid="{00000000-0005-0000-0000-00008D9F0000}"/>
    <cellStyle name="常规 4 6 2 2 2 2 2" xfId="40846" xr:uid="{00000000-0005-0000-0000-00008E9F0000}"/>
    <cellStyle name="常规 4 6 2 2 2 2 3" xfId="40847" xr:uid="{00000000-0005-0000-0000-00008F9F0000}"/>
    <cellStyle name="常规 4 6 2 2 2 2 4" xfId="40848" xr:uid="{00000000-0005-0000-0000-0000909F0000}"/>
    <cellStyle name="常规 4 6 2 2 2 3" xfId="40849" xr:uid="{00000000-0005-0000-0000-0000919F0000}"/>
    <cellStyle name="常规 4 6 2 2 2 4" xfId="40850" xr:uid="{00000000-0005-0000-0000-0000929F0000}"/>
    <cellStyle name="常规 4 6 2 2 2 5" xfId="40851" xr:uid="{00000000-0005-0000-0000-0000939F0000}"/>
    <cellStyle name="常规 4 6 2 2 3" xfId="40852" xr:uid="{00000000-0005-0000-0000-0000949F0000}"/>
    <cellStyle name="常规 4 6 2 2 3 2" xfId="40853" xr:uid="{00000000-0005-0000-0000-0000959F0000}"/>
    <cellStyle name="常规 4 6 2 2 3 2 2" xfId="40854" xr:uid="{00000000-0005-0000-0000-0000969F0000}"/>
    <cellStyle name="常规 4 6 2 2 3 2 3" xfId="40855" xr:uid="{00000000-0005-0000-0000-0000979F0000}"/>
    <cellStyle name="常规 4 6 2 2 3 2 4" xfId="40856" xr:uid="{00000000-0005-0000-0000-0000989F0000}"/>
    <cellStyle name="常规 4 6 2 2 3 3" xfId="40857" xr:uid="{00000000-0005-0000-0000-0000999F0000}"/>
    <cellStyle name="常规 4 6 2 2 3 4" xfId="40858" xr:uid="{00000000-0005-0000-0000-00009A9F0000}"/>
    <cellStyle name="常规 4 6 2 2 3 5" xfId="40859" xr:uid="{00000000-0005-0000-0000-00009B9F0000}"/>
    <cellStyle name="常规 4 6 2 2 4" xfId="40860" xr:uid="{00000000-0005-0000-0000-00009C9F0000}"/>
    <cellStyle name="常规 4 6 2 2 4 2" xfId="40861" xr:uid="{00000000-0005-0000-0000-00009D9F0000}"/>
    <cellStyle name="常规 4 6 2 2 4 3" xfId="40862" xr:uid="{00000000-0005-0000-0000-00009E9F0000}"/>
    <cellStyle name="常规 4 6 2 2 4 4" xfId="40863" xr:uid="{00000000-0005-0000-0000-00009F9F0000}"/>
    <cellStyle name="常规 4 6 2 2 5" xfId="40864" xr:uid="{00000000-0005-0000-0000-0000A09F0000}"/>
    <cellStyle name="常规 4 6 2 2 6" xfId="40865" xr:uid="{00000000-0005-0000-0000-0000A19F0000}"/>
    <cellStyle name="常规 4 6 2 2 7" xfId="40866" xr:uid="{00000000-0005-0000-0000-0000A29F0000}"/>
    <cellStyle name="常规 4 6 2 2 8" xfId="40867" xr:uid="{00000000-0005-0000-0000-0000A39F0000}"/>
    <cellStyle name="常规 4 6 2 2 8 2" xfId="40868" xr:uid="{00000000-0005-0000-0000-0000A49F0000}"/>
    <cellStyle name="常规 4 6 2 3" xfId="40869" xr:uid="{00000000-0005-0000-0000-0000A59F0000}"/>
    <cellStyle name="常规 4 6 2 3 2" xfId="40870" xr:uid="{00000000-0005-0000-0000-0000A69F0000}"/>
    <cellStyle name="常规 4 6 2 3 2 2" xfId="40871" xr:uid="{00000000-0005-0000-0000-0000A79F0000}"/>
    <cellStyle name="常规 4 6 2 3 2 3" xfId="40872" xr:uid="{00000000-0005-0000-0000-0000A89F0000}"/>
    <cellStyle name="常规 4 6 2 3 2 4" xfId="40873" xr:uid="{00000000-0005-0000-0000-0000A99F0000}"/>
    <cellStyle name="常规 4 6 2 3 3" xfId="40874" xr:uid="{00000000-0005-0000-0000-0000AA9F0000}"/>
    <cellStyle name="常规 4 6 2 3 4" xfId="40875" xr:uid="{00000000-0005-0000-0000-0000AB9F0000}"/>
    <cellStyle name="常规 4 6 2 3 5" xfId="40876" xr:uid="{00000000-0005-0000-0000-0000AC9F0000}"/>
    <cellStyle name="常规 4 6 2 3 6" xfId="40877" xr:uid="{00000000-0005-0000-0000-0000AD9F0000}"/>
    <cellStyle name="常规 4 6 2 3 6 2" xfId="40878" xr:uid="{00000000-0005-0000-0000-0000AE9F0000}"/>
    <cellStyle name="常规 4 6 2 4" xfId="40879" xr:uid="{00000000-0005-0000-0000-0000AF9F0000}"/>
    <cellStyle name="常规 4 6 2 4 2" xfId="40880" xr:uid="{00000000-0005-0000-0000-0000B09F0000}"/>
    <cellStyle name="常规 4 6 2 4 2 2" xfId="40881" xr:uid="{00000000-0005-0000-0000-0000B19F0000}"/>
    <cellStyle name="常规 4 6 2 4 2 3" xfId="40882" xr:uid="{00000000-0005-0000-0000-0000B29F0000}"/>
    <cellStyle name="常规 4 6 2 4 2 4" xfId="40883" xr:uid="{00000000-0005-0000-0000-0000B39F0000}"/>
    <cellStyle name="常规 4 6 2 4 2 5" xfId="40884" xr:uid="{00000000-0005-0000-0000-0000B49F0000}"/>
    <cellStyle name="常规 4 6 2 4 3" xfId="40885" xr:uid="{00000000-0005-0000-0000-0000B59F0000}"/>
    <cellStyle name="常规 4 6 2 4 4" xfId="40886" xr:uid="{00000000-0005-0000-0000-0000B69F0000}"/>
    <cellStyle name="常规 4 6 2 4 5" xfId="40887" xr:uid="{00000000-0005-0000-0000-0000B79F0000}"/>
    <cellStyle name="常规 4 6 2 4 6" xfId="40888" xr:uid="{00000000-0005-0000-0000-0000B89F0000}"/>
    <cellStyle name="常规 4 6 2 5" xfId="40889" xr:uid="{00000000-0005-0000-0000-0000B99F0000}"/>
    <cellStyle name="常规 4 6 2 5 2" xfId="40890" xr:uid="{00000000-0005-0000-0000-0000BA9F0000}"/>
    <cellStyle name="常规 4 6 2 5 2 2" xfId="40891" xr:uid="{00000000-0005-0000-0000-0000BB9F0000}"/>
    <cellStyle name="常规 4 6 2 5 3" xfId="40892" xr:uid="{00000000-0005-0000-0000-0000BC9F0000}"/>
    <cellStyle name="常规 4 6 2 5 4" xfId="40893" xr:uid="{00000000-0005-0000-0000-0000BD9F0000}"/>
    <cellStyle name="常规 4 6 2 5 5" xfId="40894" xr:uid="{00000000-0005-0000-0000-0000BE9F0000}"/>
    <cellStyle name="常规 4 6 2 6" xfId="40895" xr:uid="{00000000-0005-0000-0000-0000BF9F0000}"/>
    <cellStyle name="常规 4 6 2 7" xfId="40896" xr:uid="{00000000-0005-0000-0000-0000C09F0000}"/>
    <cellStyle name="常规 4 6 2 8" xfId="40897" xr:uid="{00000000-0005-0000-0000-0000C19F0000}"/>
    <cellStyle name="常规 4 6 2 9" xfId="40898" xr:uid="{00000000-0005-0000-0000-0000C29F0000}"/>
    <cellStyle name="常规 4 6 2 9 2" xfId="40899" xr:uid="{00000000-0005-0000-0000-0000C39F0000}"/>
    <cellStyle name="常规 4 6 3" xfId="40900" xr:uid="{00000000-0005-0000-0000-0000C49F0000}"/>
    <cellStyle name="常规 4 6 3 2" xfId="40901" xr:uid="{00000000-0005-0000-0000-0000C59F0000}"/>
    <cellStyle name="常规 4 6 3 2 2" xfId="40902" xr:uid="{00000000-0005-0000-0000-0000C69F0000}"/>
    <cellStyle name="常规 4 6 3 2 2 2" xfId="40903" xr:uid="{00000000-0005-0000-0000-0000C79F0000}"/>
    <cellStyle name="常规 4 6 3 2 3" xfId="40904" xr:uid="{00000000-0005-0000-0000-0000C89F0000}"/>
    <cellStyle name="常规 4 6 3 2 4" xfId="40905" xr:uid="{00000000-0005-0000-0000-0000C99F0000}"/>
    <cellStyle name="常规 4 6 3 2 5" xfId="40906" xr:uid="{00000000-0005-0000-0000-0000CA9F0000}"/>
    <cellStyle name="常规 4 6 3 2 5 2" xfId="40907" xr:uid="{00000000-0005-0000-0000-0000CB9F0000}"/>
    <cellStyle name="常规 4 6 3 2 6" xfId="40908" xr:uid="{00000000-0005-0000-0000-0000CC9F0000}"/>
    <cellStyle name="常规 4 6 3 3" xfId="40909" xr:uid="{00000000-0005-0000-0000-0000CD9F0000}"/>
    <cellStyle name="常规 4 6 3 3 2" xfId="40910" xr:uid="{00000000-0005-0000-0000-0000CE9F0000}"/>
    <cellStyle name="常规 4 6 3 3 2 2" xfId="40911" xr:uid="{00000000-0005-0000-0000-0000CF9F0000}"/>
    <cellStyle name="常规 4 6 3 4" xfId="40912" xr:uid="{00000000-0005-0000-0000-0000D09F0000}"/>
    <cellStyle name="常规 4 6 3 4 2" xfId="40913" xr:uid="{00000000-0005-0000-0000-0000D19F0000}"/>
    <cellStyle name="常规 4 6 3 4 3" xfId="40914" xr:uid="{00000000-0005-0000-0000-0000D29F0000}"/>
    <cellStyle name="常规 4 6 3 5" xfId="40915" xr:uid="{00000000-0005-0000-0000-0000D39F0000}"/>
    <cellStyle name="常规 4 6 3 5 2" xfId="40916" xr:uid="{00000000-0005-0000-0000-0000D49F0000}"/>
    <cellStyle name="常规 4 6 3 6" xfId="40917" xr:uid="{00000000-0005-0000-0000-0000D59F0000}"/>
    <cellStyle name="常规 4 6 3 6 2" xfId="40918" xr:uid="{00000000-0005-0000-0000-0000D69F0000}"/>
    <cellStyle name="常规 4 6 3 7" xfId="40919" xr:uid="{00000000-0005-0000-0000-0000D79F0000}"/>
    <cellStyle name="常规 4 6 4" xfId="40920" xr:uid="{00000000-0005-0000-0000-0000D89F0000}"/>
    <cellStyle name="常规 4 6 4 2" xfId="40921" xr:uid="{00000000-0005-0000-0000-0000D99F0000}"/>
    <cellStyle name="常规 4 6 4 2 2" xfId="40922" xr:uid="{00000000-0005-0000-0000-0000DA9F0000}"/>
    <cellStyle name="常规 4 6 4 2 3" xfId="40923" xr:uid="{00000000-0005-0000-0000-0000DB9F0000}"/>
    <cellStyle name="常规 4 6 4 2 4" xfId="40924" xr:uid="{00000000-0005-0000-0000-0000DC9F0000}"/>
    <cellStyle name="常规 4 6 4 3" xfId="40925" xr:uid="{00000000-0005-0000-0000-0000DD9F0000}"/>
    <cellStyle name="常规 4 6 4 4" xfId="40926" xr:uid="{00000000-0005-0000-0000-0000DE9F0000}"/>
    <cellStyle name="常规 4 6 4 5" xfId="40927" xr:uid="{00000000-0005-0000-0000-0000DF9F0000}"/>
    <cellStyle name="常规 4 6 4 6" xfId="40928" xr:uid="{00000000-0005-0000-0000-0000E09F0000}"/>
    <cellStyle name="常规 4 6 4 6 2" xfId="40929" xr:uid="{00000000-0005-0000-0000-0000E19F0000}"/>
    <cellStyle name="常规 4 6 5" xfId="40930" xr:uid="{00000000-0005-0000-0000-0000E29F0000}"/>
    <cellStyle name="常规 4 6 5 2" xfId="40931" xr:uid="{00000000-0005-0000-0000-0000E39F0000}"/>
    <cellStyle name="常规 4 6 5 3" xfId="40932" xr:uid="{00000000-0005-0000-0000-0000E49F0000}"/>
    <cellStyle name="常规 4 6 5 4" xfId="40933" xr:uid="{00000000-0005-0000-0000-0000E59F0000}"/>
    <cellStyle name="常规 4 6 5 5" xfId="40934" xr:uid="{00000000-0005-0000-0000-0000E69F0000}"/>
    <cellStyle name="常规 4 6 5 5 2" xfId="40935" xr:uid="{00000000-0005-0000-0000-0000E79F0000}"/>
    <cellStyle name="常规 4 6 6" xfId="40936" xr:uid="{00000000-0005-0000-0000-0000E89F0000}"/>
    <cellStyle name="常规 4 6 6 2" xfId="40937" xr:uid="{00000000-0005-0000-0000-0000E99F0000}"/>
    <cellStyle name="常规 4 6 6 2 2" xfId="40938" xr:uid="{00000000-0005-0000-0000-0000EA9F0000}"/>
    <cellStyle name="常规 4 6 7" xfId="40939" xr:uid="{00000000-0005-0000-0000-0000EB9F0000}"/>
    <cellStyle name="常规 4 6 7 2" xfId="40940" xr:uid="{00000000-0005-0000-0000-0000EC9F0000}"/>
    <cellStyle name="常规 4 6 7 2 2" xfId="40941" xr:uid="{00000000-0005-0000-0000-0000ED9F0000}"/>
    <cellStyle name="常规 4 6 8" xfId="40942" xr:uid="{00000000-0005-0000-0000-0000EE9F0000}"/>
    <cellStyle name="常规 4 6 8 2" xfId="40943" xr:uid="{00000000-0005-0000-0000-0000EF9F0000}"/>
    <cellStyle name="常规 4 6 8 3" xfId="40944" xr:uid="{00000000-0005-0000-0000-0000F09F0000}"/>
    <cellStyle name="常规 4 6 9" xfId="40945" xr:uid="{00000000-0005-0000-0000-0000F19F0000}"/>
    <cellStyle name="常规 4 6 9 2" xfId="40946" xr:uid="{00000000-0005-0000-0000-0000F29F0000}"/>
    <cellStyle name="常规 4 7" xfId="40947" xr:uid="{00000000-0005-0000-0000-0000F39F0000}"/>
    <cellStyle name="常规 4 7 10" xfId="40948" xr:uid="{00000000-0005-0000-0000-0000F49F0000}"/>
    <cellStyle name="常规 4 7 2" xfId="40949" xr:uid="{00000000-0005-0000-0000-0000F59F0000}"/>
    <cellStyle name="常规 4 7 2 2" xfId="40950" xr:uid="{00000000-0005-0000-0000-0000F69F0000}"/>
    <cellStyle name="常规 4 7 2 2 2" xfId="40951" xr:uid="{00000000-0005-0000-0000-0000F79F0000}"/>
    <cellStyle name="常规 4 7 2 2 2 2" xfId="40952" xr:uid="{00000000-0005-0000-0000-0000F89F0000}"/>
    <cellStyle name="常规 4 7 2 2 2 3" xfId="40953" xr:uid="{00000000-0005-0000-0000-0000F99F0000}"/>
    <cellStyle name="常规 4 7 2 2 2 4" xfId="40954" xr:uid="{00000000-0005-0000-0000-0000FA9F0000}"/>
    <cellStyle name="常规 4 7 2 2 3" xfId="40955" xr:uid="{00000000-0005-0000-0000-0000FB9F0000}"/>
    <cellStyle name="常规 4 7 2 2 4" xfId="40956" xr:uid="{00000000-0005-0000-0000-0000FC9F0000}"/>
    <cellStyle name="常规 4 7 2 2 5" xfId="40957" xr:uid="{00000000-0005-0000-0000-0000FD9F0000}"/>
    <cellStyle name="常规 4 7 2 2 6" xfId="40958" xr:uid="{00000000-0005-0000-0000-0000FE9F0000}"/>
    <cellStyle name="常规 4 7 2 2 6 2" xfId="40959" xr:uid="{00000000-0005-0000-0000-0000FF9F0000}"/>
    <cellStyle name="常规 4 7 2 3" xfId="40960" xr:uid="{00000000-0005-0000-0000-000000A00000}"/>
    <cellStyle name="常规 4 7 2 3 2" xfId="40961" xr:uid="{00000000-0005-0000-0000-000001A00000}"/>
    <cellStyle name="常规 4 7 2 3 2 2" xfId="40962" xr:uid="{00000000-0005-0000-0000-000002A00000}"/>
    <cellStyle name="常规 4 7 2 3 2 3" xfId="40963" xr:uid="{00000000-0005-0000-0000-000003A00000}"/>
    <cellStyle name="常规 4 7 2 3 2 4" xfId="40964" xr:uid="{00000000-0005-0000-0000-000004A00000}"/>
    <cellStyle name="常规 4 7 2 3 3" xfId="40965" xr:uid="{00000000-0005-0000-0000-000005A00000}"/>
    <cellStyle name="常规 4 7 2 3 4" xfId="40966" xr:uid="{00000000-0005-0000-0000-000006A00000}"/>
    <cellStyle name="常规 4 7 2 3 5" xfId="40967" xr:uid="{00000000-0005-0000-0000-000007A00000}"/>
    <cellStyle name="常规 4 7 2 3 6" xfId="40968" xr:uid="{00000000-0005-0000-0000-000008A00000}"/>
    <cellStyle name="常规 4 7 2 3 6 2" xfId="40969" xr:uid="{00000000-0005-0000-0000-000009A00000}"/>
    <cellStyle name="常规 4 7 2 4" xfId="40970" xr:uid="{00000000-0005-0000-0000-00000AA00000}"/>
    <cellStyle name="常规 4 7 2 4 2" xfId="40971" xr:uid="{00000000-0005-0000-0000-00000BA00000}"/>
    <cellStyle name="常规 4 7 2 4 2 2" xfId="40972" xr:uid="{00000000-0005-0000-0000-00000CA00000}"/>
    <cellStyle name="常规 4 7 2 4 3" xfId="40973" xr:uid="{00000000-0005-0000-0000-00000DA00000}"/>
    <cellStyle name="常规 4 7 2 4 4" xfId="40974" xr:uid="{00000000-0005-0000-0000-00000EA00000}"/>
    <cellStyle name="常规 4 7 2 4 5" xfId="40975" xr:uid="{00000000-0005-0000-0000-00000FA00000}"/>
    <cellStyle name="常规 4 7 2 5" xfId="40976" xr:uid="{00000000-0005-0000-0000-000010A00000}"/>
    <cellStyle name="常规 4 7 2 5 2" xfId="40977" xr:uid="{00000000-0005-0000-0000-000011A00000}"/>
    <cellStyle name="常规 4 7 2 5 3" xfId="40978" xr:uid="{00000000-0005-0000-0000-000012A00000}"/>
    <cellStyle name="常规 4 7 2 6" xfId="40979" xr:uid="{00000000-0005-0000-0000-000013A00000}"/>
    <cellStyle name="常规 4 7 2 7" xfId="40980" xr:uid="{00000000-0005-0000-0000-000014A00000}"/>
    <cellStyle name="常规 4 7 2 8" xfId="40981" xr:uid="{00000000-0005-0000-0000-000015A00000}"/>
    <cellStyle name="常规 4 7 2 8 2" xfId="40982" xr:uid="{00000000-0005-0000-0000-000016A00000}"/>
    <cellStyle name="常规 4 7 2 9" xfId="40983" xr:uid="{00000000-0005-0000-0000-000017A00000}"/>
    <cellStyle name="常规 4 7 3" xfId="40984" xr:uid="{00000000-0005-0000-0000-000018A00000}"/>
    <cellStyle name="常规 4 7 3 2" xfId="40985" xr:uid="{00000000-0005-0000-0000-000019A00000}"/>
    <cellStyle name="常规 4 7 3 2 2" xfId="40986" xr:uid="{00000000-0005-0000-0000-00001AA00000}"/>
    <cellStyle name="常规 4 7 3 2 3" xfId="40987" xr:uid="{00000000-0005-0000-0000-00001BA00000}"/>
    <cellStyle name="常规 4 7 3 2 4" xfId="40988" xr:uid="{00000000-0005-0000-0000-00001CA00000}"/>
    <cellStyle name="常规 4 7 3 3" xfId="40989" xr:uid="{00000000-0005-0000-0000-00001DA00000}"/>
    <cellStyle name="常规 4 7 3 4" xfId="40990" xr:uid="{00000000-0005-0000-0000-00001EA00000}"/>
    <cellStyle name="常规 4 7 3 5" xfId="40991" xr:uid="{00000000-0005-0000-0000-00001FA00000}"/>
    <cellStyle name="常规 4 7 3 6" xfId="40992" xr:uid="{00000000-0005-0000-0000-000020A00000}"/>
    <cellStyle name="常规 4 7 3 6 2" xfId="40993" xr:uid="{00000000-0005-0000-0000-000021A00000}"/>
    <cellStyle name="常规 4 7 4" xfId="40994" xr:uid="{00000000-0005-0000-0000-000022A00000}"/>
    <cellStyle name="常规 4 7 4 2" xfId="40995" xr:uid="{00000000-0005-0000-0000-000023A00000}"/>
    <cellStyle name="常规 4 7 4 2 2" xfId="40996" xr:uid="{00000000-0005-0000-0000-000024A00000}"/>
    <cellStyle name="常规 4 7 4 2 3" xfId="40997" xr:uid="{00000000-0005-0000-0000-000025A00000}"/>
    <cellStyle name="常规 4 7 4 2 4" xfId="40998" xr:uid="{00000000-0005-0000-0000-000026A00000}"/>
    <cellStyle name="常规 4 7 4 3" xfId="40999" xr:uid="{00000000-0005-0000-0000-000027A00000}"/>
    <cellStyle name="常规 4 7 4 4" xfId="41000" xr:uid="{00000000-0005-0000-0000-000028A00000}"/>
    <cellStyle name="常规 4 7 4 5" xfId="41001" xr:uid="{00000000-0005-0000-0000-000029A00000}"/>
    <cellStyle name="常规 4 7 4 6" xfId="41002" xr:uid="{00000000-0005-0000-0000-00002AA00000}"/>
    <cellStyle name="常规 4 7 4 6 2" xfId="41003" xr:uid="{00000000-0005-0000-0000-00002BA00000}"/>
    <cellStyle name="常规 4 7 5" xfId="41004" xr:uid="{00000000-0005-0000-0000-00002CA00000}"/>
    <cellStyle name="常规 4 7 5 2" xfId="41005" xr:uid="{00000000-0005-0000-0000-00002DA00000}"/>
    <cellStyle name="常规 4 7 5 3" xfId="41006" xr:uid="{00000000-0005-0000-0000-00002EA00000}"/>
    <cellStyle name="常规 4 7 5 4" xfId="41007" xr:uid="{00000000-0005-0000-0000-00002FA00000}"/>
    <cellStyle name="常规 4 7 5 5" xfId="41008" xr:uid="{00000000-0005-0000-0000-000030A00000}"/>
    <cellStyle name="常规 4 7 5 5 2" xfId="41009" xr:uid="{00000000-0005-0000-0000-000031A00000}"/>
    <cellStyle name="常规 4 7 6" xfId="41010" xr:uid="{00000000-0005-0000-0000-000032A00000}"/>
    <cellStyle name="常规 4 7 6 2" xfId="41011" xr:uid="{00000000-0005-0000-0000-000033A00000}"/>
    <cellStyle name="常规 4 7 6 2 2" xfId="41012" xr:uid="{00000000-0005-0000-0000-000034A00000}"/>
    <cellStyle name="常规 4 7 7" xfId="41013" xr:uid="{00000000-0005-0000-0000-000035A00000}"/>
    <cellStyle name="常规 4 7 7 2" xfId="41014" xr:uid="{00000000-0005-0000-0000-000036A00000}"/>
    <cellStyle name="常规 4 7 7 2 2" xfId="41015" xr:uid="{00000000-0005-0000-0000-000037A00000}"/>
    <cellStyle name="常规 4 7 8" xfId="41016" xr:uid="{00000000-0005-0000-0000-000038A00000}"/>
    <cellStyle name="常规 4 7 8 2" xfId="41017" xr:uid="{00000000-0005-0000-0000-000039A00000}"/>
    <cellStyle name="常规 4 7 8 3" xfId="41018" xr:uid="{00000000-0005-0000-0000-00003AA00000}"/>
    <cellStyle name="常规 4 7 9" xfId="41019" xr:uid="{00000000-0005-0000-0000-00003BA00000}"/>
    <cellStyle name="常规 4 7 9 2" xfId="41020" xr:uid="{00000000-0005-0000-0000-00003CA00000}"/>
    <cellStyle name="常规 4 8" xfId="41021" xr:uid="{00000000-0005-0000-0000-00003DA00000}"/>
    <cellStyle name="常规 4 8 2" xfId="41022" xr:uid="{00000000-0005-0000-0000-00003EA00000}"/>
    <cellStyle name="常规 4 8 2 2" xfId="41023" xr:uid="{00000000-0005-0000-0000-00003FA00000}"/>
    <cellStyle name="常规 4 8 2 2 2" xfId="41024" xr:uid="{00000000-0005-0000-0000-000040A00000}"/>
    <cellStyle name="常规 4 8 2 2 3" xfId="41025" xr:uid="{00000000-0005-0000-0000-000041A00000}"/>
    <cellStyle name="常规 4 8 2 2 4" xfId="41026" xr:uid="{00000000-0005-0000-0000-000042A00000}"/>
    <cellStyle name="常规 4 8 2 2 5" xfId="41027" xr:uid="{00000000-0005-0000-0000-000043A00000}"/>
    <cellStyle name="常规 4 8 2 2 5 2" xfId="41028" xr:uid="{00000000-0005-0000-0000-000044A00000}"/>
    <cellStyle name="常规 4 8 2 3" xfId="41029" xr:uid="{00000000-0005-0000-0000-000045A00000}"/>
    <cellStyle name="常规 4 8 2 3 2" xfId="41030" xr:uid="{00000000-0005-0000-0000-000046A00000}"/>
    <cellStyle name="常规 4 8 2 3 2 2" xfId="41031" xr:uid="{00000000-0005-0000-0000-000047A00000}"/>
    <cellStyle name="常规 4 8 2 4" xfId="41032" xr:uid="{00000000-0005-0000-0000-000048A00000}"/>
    <cellStyle name="常规 4 8 2 4 2" xfId="41033" xr:uid="{00000000-0005-0000-0000-000049A00000}"/>
    <cellStyle name="常规 4 8 2 4 2 2" xfId="41034" xr:uid="{00000000-0005-0000-0000-00004AA00000}"/>
    <cellStyle name="常规 4 8 2 5" xfId="41035" xr:uid="{00000000-0005-0000-0000-00004BA00000}"/>
    <cellStyle name="常规 4 8 2 5 2" xfId="41036" xr:uid="{00000000-0005-0000-0000-00004CA00000}"/>
    <cellStyle name="常规 4 8 2 5 3" xfId="41037" xr:uid="{00000000-0005-0000-0000-00004DA00000}"/>
    <cellStyle name="常规 4 8 2 6" xfId="41038" xr:uid="{00000000-0005-0000-0000-00004EA00000}"/>
    <cellStyle name="常规 4 8 2 6 2" xfId="41039" xr:uid="{00000000-0005-0000-0000-00004FA00000}"/>
    <cellStyle name="常规 4 8 2 7" xfId="41040" xr:uid="{00000000-0005-0000-0000-000050A00000}"/>
    <cellStyle name="常规 4 8 3" xfId="41041" xr:uid="{00000000-0005-0000-0000-000051A00000}"/>
    <cellStyle name="常规 4 8 3 2" xfId="41042" xr:uid="{00000000-0005-0000-0000-000052A00000}"/>
    <cellStyle name="常规 4 8 3 2 2" xfId="41043" xr:uid="{00000000-0005-0000-0000-000053A00000}"/>
    <cellStyle name="常规 4 8 3 2 3" xfId="41044" xr:uid="{00000000-0005-0000-0000-000054A00000}"/>
    <cellStyle name="常规 4 8 3 2 4" xfId="41045" xr:uid="{00000000-0005-0000-0000-000055A00000}"/>
    <cellStyle name="常规 4 8 3 3" xfId="41046" xr:uid="{00000000-0005-0000-0000-000056A00000}"/>
    <cellStyle name="常规 4 8 3 4" xfId="41047" xr:uid="{00000000-0005-0000-0000-000057A00000}"/>
    <cellStyle name="常规 4 8 3 5" xfId="41048" xr:uid="{00000000-0005-0000-0000-000058A00000}"/>
    <cellStyle name="常规 4 8 3 6" xfId="41049" xr:uid="{00000000-0005-0000-0000-000059A00000}"/>
    <cellStyle name="常规 4 8 3 6 2" xfId="41050" xr:uid="{00000000-0005-0000-0000-00005AA00000}"/>
    <cellStyle name="常规 4 8 4" xfId="41051" xr:uid="{00000000-0005-0000-0000-00005BA00000}"/>
    <cellStyle name="常规 4 8 4 2" xfId="41052" xr:uid="{00000000-0005-0000-0000-00005CA00000}"/>
    <cellStyle name="常规 4 8 4 3" xfId="41053" xr:uid="{00000000-0005-0000-0000-00005DA00000}"/>
    <cellStyle name="常规 4 8 4 4" xfId="41054" xr:uid="{00000000-0005-0000-0000-00005EA00000}"/>
    <cellStyle name="常规 4 8 4 5" xfId="41055" xr:uid="{00000000-0005-0000-0000-00005FA00000}"/>
    <cellStyle name="常规 4 8 4 5 2" xfId="41056" xr:uid="{00000000-0005-0000-0000-000060A00000}"/>
    <cellStyle name="常规 4 8 5" xfId="41057" xr:uid="{00000000-0005-0000-0000-000061A00000}"/>
    <cellStyle name="常规 4 8 5 2" xfId="41058" xr:uid="{00000000-0005-0000-0000-000062A00000}"/>
    <cellStyle name="常规 4 8 5 2 2" xfId="41059" xr:uid="{00000000-0005-0000-0000-000063A00000}"/>
    <cellStyle name="常规 4 8 6" xfId="41060" xr:uid="{00000000-0005-0000-0000-000064A00000}"/>
    <cellStyle name="常规 4 8 6 2" xfId="41061" xr:uid="{00000000-0005-0000-0000-000065A00000}"/>
    <cellStyle name="常规 4 8 6 2 2" xfId="41062" xr:uid="{00000000-0005-0000-0000-000066A00000}"/>
    <cellStyle name="常规 4 8 7" xfId="41063" xr:uid="{00000000-0005-0000-0000-000067A00000}"/>
    <cellStyle name="常规 4 8 7 2" xfId="41064" xr:uid="{00000000-0005-0000-0000-000068A00000}"/>
    <cellStyle name="常规 4 8 7 3" xfId="41065" xr:uid="{00000000-0005-0000-0000-000069A00000}"/>
    <cellStyle name="常规 4 8 8" xfId="41066" xr:uid="{00000000-0005-0000-0000-00006AA00000}"/>
    <cellStyle name="常规 4 8 8 2" xfId="41067" xr:uid="{00000000-0005-0000-0000-00006BA00000}"/>
    <cellStyle name="常规 4 8 9" xfId="41068" xr:uid="{00000000-0005-0000-0000-00006CA00000}"/>
    <cellStyle name="常规 4 9" xfId="41069" xr:uid="{00000000-0005-0000-0000-00006DA00000}"/>
    <cellStyle name="常规 4 9 2" xfId="41070" xr:uid="{00000000-0005-0000-0000-00006EA00000}"/>
    <cellStyle name="常规 4 9 2 2" xfId="41071" xr:uid="{00000000-0005-0000-0000-00006FA00000}"/>
    <cellStyle name="常规 4 9 2 2 2" xfId="41072" xr:uid="{00000000-0005-0000-0000-000070A00000}"/>
    <cellStyle name="常规 4 9 2 2 2 2" xfId="41073" xr:uid="{00000000-0005-0000-0000-000071A00000}"/>
    <cellStyle name="常规 4 9 2 2 3" xfId="41074" xr:uid="{00000000-0005-0000-0000-000072A00000}"/>
    <cellStyle name="常规 4 9 2 2 4" xfId="41075" xr:uid="{00000000-0005-0000-0000-000073A00000}"/>
    <cellStyle name="常规 4 9 2 2 5" xfId="41076" xr:uid="{00000000-0005-0000-0000-000074A00000}"/>
    <cellStyle name="常规 4 9 2 2 5 2" xfId="41077" xr:uid="{00000000-0005-0000-0000-000075A00000}"/>
    <cellStyle name="常规 4 9 2 2 6" xfId="41078" xr:uid="{00000000-0005-0000-0000-000076A00000}"/>
    <cellStyle name="常规 4 9 2 3" xfId="41079" xr:uid="{00000000-0005-0000-0000-000077A00000}"/>
    <cellStyle name="常规 4 9 2 3 2" xfId="41080" xr:uid="{00000000-0005-0000-0000-000078A00000}"/>
    <cellStyle name="常规 4 9 2 3 2 2" xfId="41081" xr:uid="{00000000-0005-0000-0000-000079A00000}"/>
    <cellStyle name="常规 4 9 2 4" xfId="41082" xr:uid="{00000000-0005-0000-0000-00007AA00000}"/>
    <cellStyle name="常规 4 9 2 4 2" xfId="41083" xr:uid="{00000000-0005-0000-0000-00007BA00000}"/>
    <cellStyle name="常规 4 9 2 4 3" xfId="41084" xr:uid="{00000000-0005-0000-0000-00007CA00000}"/>
    <cellStyle name="常规 4 9 2 5" xfId="41085" xr:uid="{00000000-0005-0000-0000-00007DA00000}"/>
    <cellStyle name="常规 4 9 2 5 2" xfId="41086" xr:uid="{00000000-0005-0000-0000-00007EA00000}"/>
    <cellStyle name="常规 4 9 2 6" xfId="41087" xr:uid="{00000000-0005-0000-0000-00007FA00000}"/>
    <cellStyle name="常规 4 9 2 6 2" xfId="41088" xr:uid="{00000000-0005-0000-0000-000080A00000}"/>
    <cellStyle name="常规 4 9 2 7" xfId="41089" xr:uid="{00000000-0005-0000-0000-000081A00000}"/>
    <cellStyle name="常规 4 9 3" xfId="41090" xr:uid="{00000000-0005-0000-0000-000082A00000}"/>
    <cellStyle name="常规 4 9 3 2" xfId="41091" xr:uid="{00000000-0005-0000-0000-000083A00000}"/>
    <cellStyle name="常规 4 9 3 2 2" xfId="41092" xr:uid="{00000000-0005-0000-0000-000084A00000}"/>
    <cellStyle name="常规 4 9 3 2 3" xfId="41093" xr:uid="{00000000-0005-0000-0000-000085A00000}"/>
    <cellStyle name="常规 4 9 3 2 4" xfId="41094" xr:uid="{00000000-0005-0000-0000-000086A00000}"/>
    <cellStyle name="常规 4 9 3 3" xfId="41095" xr:uid="{00000000-0005-0000-0000-000087A00000}"/>
    <cellStyle name="常规 4 9 3 4" xfId="41096" xr:uid="{00000000-0005-0000-0000-000088A00000}"/>
    <cellStyle name="常规 4 9 3 5" xfId="41097" xr:uid="{00000000-0005-0000-0000-000089A00000}"/>
    <cellStyle name="常规 4 9 3 6" xfId="41098" xr:uid="{00000000-0005-0000-0000-00008AA00000}"/>
    <cellStyle name="常规 4 9 3 6 2" xfId="41099" xr:uid="{00000000-0005-0000-0000-00008BA00000}"/>
    <cellStyle name="常规 4 9 4" xfId="41100" xr:uid="{00000000-0005-0000-0000-00008CA00000}"/>
    <cellStyle name="常规 4 9 4 2" xfId="41101" xr:uid="{00000000-0005-0000-0000-00008DA00000}"/>
    <cellStyle name="常规 4 9 4 2 2" xfId="41102" xr:uid="{00000000-0005-0000-0000-00008EA00000}"/>
    <cellStyle name="常规 4 9 4 3" xfId="41103" xr:uid="{00000000-0005-0000-0000-00008FA00000}"/>
    <cellStyle name="常规 4 9 4 4" xfId="41104" xr:uid="{00000000-0005-0000-0000-000090A00000}"/>
    <cellStyle name="常规 4 9 4 5" xfId="41105" xr:uid="{00000000-0005-0000-0000-000091A00000}"/>
    <cellStyle name="常规 4 9 5" xfId="41106" xr:uid="{00000000-0005-0000-0000-000092A00000}"/>
    <cellStyle name="常规 4 9 5 2" xfId="41107" xr:uid="{00000000-0005-0000-0000-000093A00000}"/>
    <cellStyle name="常规 4 9 5 3" xfId="41108" xr:uid="{00000000-0005-0000-0000-000094A00000}"/>
    <cellStyle name="常规 4 9 6" xfId="41109" xr:uid="{00000000-0005-0000-0000-000095A00000}"/>
    <cellStyle name="常规 4 9 7" xfId="41110" xr:uid="{00000000-0005-0000-0000-000096A00000}"/>
    <cellStyle name="常规 4 9 8" xfId="41111" xr:uid="{00000000-0005-0000-0000-000097A00000}"/>
    <cellStyle name="常规 4 9 8 2" xfId="41112" xr:uid="{00000000-0005-0000-0000-000098A00000}"/>
    <cellStyle name="常规 4 9 9" xfId="41113" xr:uid="{00000000-0005-0000-0000-000099A00000}"/>
    <cellStyle name="常规 5" xfId="41114" xr:uid="{00000000-0005-0000-0000-00009AA00000}"/>
    <cellStyle name="常规 5 10" xfId="41115" xr:uid="{00000000-0005-0000-0000-00009BA00000}"/>
    <cellStyle name="常规 5 10 2" xfId="41116" xr:uid="{00000000-0005-0000-0000-00009CA00000}"/>
    <cellStyle name="常规 5 10 2 2" xfId="41117" xr:uid="{00000000-0005-0000-0000-00009DA00000}"/>
    <cellStyle name="常规 5 10 2 2 2" xfId="41118" xr:uid="{00000000-0005-0000-0000-00009EA00000}"/>
    <cellStyle name="常规 5 10 3" xfId="41119" xr:uid="{00000000-0005-0000-0000-00009FA00000}"/>
    <cellStyle name="常规 5 10 3 2" xfId="41120" xr:uid="{00000000-0005-0000-0000-0000A0A00000}"/>
    <cellStyle name="常规 5 10 4" xfId="41121" xr:uid="{00000000-0005-0000-0000-0000A1A00000}"/>
    <cellStyle name="常规 5 10 4 2" xfId="41122" xr:uid="{00000000-0005-0000-0000-0000A2A00000}"/>
    <cellStyle name="常规 5 10 5" xfId="41123" xr:uid="{00000000-0005-0000-0000-0000A3A00000}"/>
    <cellStyle name="常规 5 11" xfId="41124" xr:uid="{00000000-0005-0000-0000-0000A4A00000}"/>
    <cellStyle name="常规 5 12" xfId="41125" xr:uid="{00000000-0005-0000-0000-0000A5A00000}"/>
    <cellStyle name="常规 5 12 2" xfId="41126" xr:uid="{00000000-0005-0000-0000-0000A6A00000}"/>
    <cellStyle name="常规 5 12 2 2" xfId="41127" xr:uid="{00000000-0005-0000-0000-0000A7A00000}"/>
    <cellStyle name="常规 5 12 3" xfId="41128" xr:uid="{00000000-0005-0000-0000-0000A8A00000}"/>
    <cellStyle name="常规 5 12 3 2" xfId="41129" xr:uid="{00000000-0005-0000-0000-0000A9A00000}"/>
    <cellStyle name="常规 5 13" xfId="41130" xr:uid="{00000000-0005-0000-0000-0000AAA00000}"/>
    <cellStyle name="常规 5 13 2" xfId="41131" xr:uid="{00000000-0005-0000-0000-0000ABA00000}"/>
    <cellStyle name="常规 5 2" xfId="41132" xr:uid="{00000000-0005-0000-0000-0000ACA00000}"/>
    <cellStyle name="常规 5 2 10" xfId="41133" xr:uid="{00000000-0005-0000-0000-0000ADA00000}"/>
    <cellStyle name="常规 5 2 10 2" xfId="41134" xr:uid="{00000000-0005-0000-0000-0000AEA00000}"/>
    <cellStyle name="常规 5 2 2" xfId="41135" xr:uid="{00000000-0005-0000-0000-0000AFA00000}"/>
    <cellStyle name="常规 5 2 2 2" xfId="41136" xr:uid="{00000000-0005-0000-0000-0000B0A00000}"/>
    <cellStyle name="常规 5 2 2 2 2" xfId="41137" xr:uid="{00000000-0005-0000-0000-0000B1A00000}"/>
    <cellStyle name="常规 5 2 2 2 2 2" xfId="41138" xr:uid="{00000000-0005-0000-0000-0000B2A00000}"/>
    <cellStyle name="常规 5 2 2 2 2 2 2" xfId="41139" xr:uid="{00000000-0005-0000-0000-0000B3A00000}"/>
    <cellStyle name="常规 5 2 2 2 2 2 2 2" xfId="41140" xr:uid="{00000000-0005-0000-0000-0000B4A00000}"/>
    <cellStyle name="常规 5 2 2 2 2 3" xfId="41141" xr:uid="{00000000-0005-0000-0000-0000B5A00000}"/>
    <cellStyle name="常规 5 2 2 2 2 3 2" xfId="41142" xr:uid="{00000000-0005-0000-0000-0000B6A00000}"/>
    <cellStyle name="常规 5 2 2 2 2 3 2 2" xfId="41143" xr:uid="{00000000-0005-0000-0000-0000B7A00000}"/>
    <cellStyle name="常规 5 2 2 2 2 4" xfId="41144" xr:uid="{00000000-0005-0000-0000-0000B8A00000}"/>
    <cellStyle name="常规 5 2 2 2 2 4 2" xfId="41145" xr:uid="{00000000-0005-0000-0000-0000B9A00000}"/>
    <cellStyle name="常规 5 2 2 2 2 4 2 2" xfId="41146" xr:uid="{00000000-0005-0000-0000-0000BAA00000}"/>
    <cellStyle name="常规 5 2 2 2 2 5" xfId="41147" xr:uid="{00000000-0005-0000-0000-0000BBA00000}"/>
    <cellStyle name="常规 5 2 2 2 2 5 2" xfId="41148" xr:uid="{00000000-0005-0000-0000-0000BCA00000}"/>
    <cellStyle name="常规 5 2 2 2 2 5 3" xfId="41149" xr:uid="{00000000-0005-0000-0000-0000BDA00000}"/>
    <cellStyle name="常规 5 2 2 2 2 6" xfId="41150" xr:uid="{00000000-0005-0000-0000-0000BEA00000}"/>
    <cellStyle name="常规 5 2 2 2 3" xfId="41151" xr:uid="{00000000-0005-0000-0000-0000BFA00000}"/>
    <cellStyle name="常规 5 2 2 2 3 2" xfId="41152" xr:uid="{00000000-0005-0000-0000-0000C0A00000}"/>
    <cellStyle name="常规 5 2 2 2 3 2 2" xfId="41153" xr:uid="{00000000-0005-0000-0000-0000C1A00000}"/>
    <cellStyle name="常规 5 2 2 2 3 2 2 2" xfId="41154" xr:uid="{00000000-0005-0000-0000-0000C2A00000}"/>
    <cellStyle name="常规 5 2 2 2 3 3" xfId="41155" xr:uid="{00000000-0005-0000-0000-0000C3A00000}"/>
    <cellStyle name="常规 5 2 2 2 3 3 2" xfId="41156" xr:uid="{00000000-0005-0000-0000-0000C4A00000}"/>
    <cellStyle name="常规 5 2 2 2 3 3 2 2" xfId="41157" xr:uid="{00000000-0005-0000-0000-0000C5A00000}"/>
    <cellStyle name="常规 5 2 2 2 3 4" xfId="41158" xr:uid="{00000000-0005-0000-0000-0000C6A00000}"/>
    <cellStyle name="常规 5 2 2 2 3 4 2" xfId="41159" xr:uid="{00000000-0005-0000-0000-0000C7A00000}"/>
    <cellStyle name="常规 5 2 2 2 3 5" xfId="41160" xr:uid="{00000000-0005-0000-0000-0000C8A00000}"/>
    <cellStyle name="常规 5 2 2 2 4" xfId="41161" xr:uid="{00000000-0005-0000-0000-0000C9A00000}"/>
    <cellStyle name="常规 5 2 2 2 4 2" xfId="41162" xr:uid="{00000000-0005-0000-0000-0000CAA00000}"/>
    <cellStyle name="常规 5 2 2 2 4 2 2" xfId="41163" xr:uid="{00000000-0005-0000-0000-0000CBA00000}"/>
    <cellStyle name="常规 5 2 2 2 5" xfId="41164" xr:uid="{00000000-0005-0000-0000-0000CCA00000}"/>
    <cellStyle name="常规 5 2 2 2 5 2" xfId="41165" xr:uid="{00000000-0005-0000-0000-0000CDA00000}"/>
    <cellStyle name="常规 5 2 2 2 5 2 2" xfId="41166" xr:uid="{00000000-0005-0000-0000-0000CEA00000}"/>
    <cellStyle name="常规 5 2 2 2 6" xfId="41167" xr:uid="{00000000-0005-0000-0000-0000CFA00000}"/>
    <cellStyle name="常规 5 2 2 2 7" xfId="41168" xr:uid="{00000000-0005-0000-0000-0000D0A00000}"/>
    <cellStyle name="常规 5 2 2 2 7 2" xfId="41169" xr:uid="{00000000-0005-0000-0000-0000D1A00000}"/>
    <cellStyle name="常规 5 2 2 2 7 3" xfId="41170" xr:uid="{00000000-0005-0000-0000-0000D2A00000}"/>
    <cellStyle name="常规 5 2 2 2 8" xfId="41171" xr:uid="{00000000-0005-0000-0000-0000D3A00000}"/>
    <cellStyle name="常规 5 2 2 2 8 2" xfId="41172" xr:uid="{00000000-0005-0000-0000-0000D4A00000}"/>
    <cellStyle name="常规 5 2 2 3" xfId="41173" xr:uid="{00000000-0005-0000-0000-0000D5A00000}"/>
    <cellStyle name="常规 5 2 2 3 2" xfId="41174" xr:uid="{00000000-0005-0000-0000-0000D6A00000}"/>
    <cellStyle name="常规 5 2 2 3 2 2" xfId="41175" xr:uid="{00000000-0005-0000-0000-0000D7A00000}"/>
    <cellStyle name="常规 5 2 2 3 2 3" xfId="41176" xr:uid="{00000000-0005-0000-0000-0000D8A00000}"/>
    <cellStyle name="常规 5 2 2 3 2 4" xfId="41177" xr:uid="{00000000-0005-0000-0000-0000D9A00000}"/>
    <cellStyle name="常规 5 2 2 3 2 5" xfId="41178" xr:uid="{00000000-0005-0000-0000-0000DAA00000}"/>
    <cellStyle name="常规 5 2 2 3 2 5 2" xfId="41179" xr:uid="{00000000-0005-0000-0000-0000DBA00000}"/>
    <cellStyle name="常规 5 2 2 3 3" xfId="41180" xr:uid="{00000000-0005-0000-0000-0000DCA00000}"/>
    <cellStyle name="常规 5 2 2 3 3 2" xfId="41181" xr:uid="{00000000-0005-0000-0000-0000DDA00000}"/>
    <cellStyle name="常规 5 2 2 3 3 2 2" xfId="41182" xr:uid="{00000000-0005-0000-0000-0000DEA00000}"/>
    <cellStyle name="常规 5 2 2 3 4" xfId="41183" xr:uid="{00000000-0005-0000-0000-0000DFA00000}"/>
    <cellStyle name="常规 5 2 2 3 4 2" xfId="41184" xr:uid="{00000000-0005-0000-0000-0000E0A00000}"/>
    <cellStyle name="常规 5 2 2 3 4 2 2" xfId="41185" xr:uid="{00000000-0005-0000-0000-0000E1A00000}"/>
    <cellStyle name="常规 5 2 2 3 5" xfId="41186" xr:uid="{00000000-0005-0000-0000-0000E2A00000}"/>
    <cellStyle name="常规 5 2 2 3 5 2" xfId="41187" xr:uid="{00000000-0005-0000-0000-0000E3A00000}"/>
    <cellStyle name="常规 5 2 2 3 5 3" xfId="41188" xr:uid="{00000000-0005-0000-0000-0000E4A00000}"/>
    <cellStyle name="常规 5 2 2 3 6" xfId="41189" xr:uid="{00000000-0005-0000-0000-0000E5A00000}"/>
    <cellStyle name="常规 5 2 2 3 6 2" xfId="41190" xr:uid="{00000000-0005-0000-0000-0000E6A00000}"/>
    <cellStyle name="常规 5 2 2 3 7" xfId="41191" xr:uid="{00000000-0005-0000-0000-0000E7A00000}"/>
    <cellStyle name="常规 5 2 2 4" xfId="41192" xr:uid="{00000000-0005-0000-0000-0000E8A00000}"/>
    <cellStyle name="常规 5 2 2 4 2" xfId="41193" xr:uid="{00000000-0005-0000-0000-0000E9A00000}"/>
    <cellStyle name="常规 5 2 2 4 3" xfId="41194" xr:uid="{00000000-0005-0000-0000-0000EAA00000}"/>
    <cellStyle name="常规 5 2 2 4 4" xfId="41195" xr:uid="{00000000-0005-0000-0000-0000EBA00000}"/>
    <cellStyle name="常规 5 2 2 4 5" xfId="41196" xr:uid="{00000000-0005-0000-0000-0000ECA00000}"/>
    <cellStyle name="常规 5 2 2 4 5 2" xfId="41197" xr:uid="{00000000-0005-0000-0000-0000EDA00000}"/>
    <cellStyle name="常规 5 2 2 5" xfId="41198" xr:uid="{00000000-0005-0000-0000-0000EEA00000}"/>
    <cellStyle name="常规 5 2 2 5 2" xfId="41199" xr:uid="{00000000-0005-0000-0000-0000EFA00000}"/>
    <cellStyle name="常规 5 2 2 5 2 2" xfId="41200" xr:uid="{00000000-0005-0000-0000-0000F0A00000}"/>
    <cellStyle name="常规 5 2 2 6" xfId="41201" xr:uid="{00000000-0005-0000-0000-0000F1A00000}"/>
    <cellStyle name="常规 5 2 2 6 2" xfId="41202" xr:uid="{00000000-0005-0000-0000-0000F2A00000}"/>
    <cellStyle name="常规 5 2 2 6 2 2" xfId="41203" xr:uid="{00000000-0005-0000-0000-0000F3A00000}"/>
    <cellStyle name="常规 5 2 2 7" xfId="41204" xr:uid="{00000000-0005-0000-0000-0000F4A00000}"/>
    <cellStyle name="常规 5 2 2 7 2" xfId="41205" xr:uid="{00000000-0005-0000-0000-0000F5A00000}"/>
    <cellStyle name="常规 5 2 2 7 2 2" xfId="41206" xr:uid="{00000000-0005-0000-0000-0000F6A00000}"/>
    <cellStyle name="常规 5 2 2 8" xfId="41207" xr:uid="{00000000-0005-0000-0000-0000F7A00000}"/>
    <cellStyle name="常规 5 2 2 8 2" xfId="41208" xr:uid="{00000000-0005-0000-0000-0000F8A00000}"/>
    <cellStyle name="常规 5 2 2 8 3" xfId="41209" xr:uid="{00000000-0005-0000-0000-0000F9A00000}"/>
    <cellStyle name="常规 5 2 2 9" xfId="41210" xr:uid="{00000000-0005-0000-0000-0000FAA00000}"/>
    <cellStyle name="常规 5 2 2 9 2" xfId="41211" xr:uid="{00000000-0005-0000-0000-0000FBA00000}"/>
    <cellStyle name="常规 5 2 3" xfId="41212" xr:uid="{00000000-0005-0000-0000-0000FCA00000}"/>
    <cellStyle name="常规 5 2 3 2" xfId="41213" xr:uid="{00000000-0005-0000-0000-0000FDA00000}"/>
    <cellStyle name="常规 5 2 3 2 2" xfId="41214" xr:uid="{00000000-0005-0000-0000-0000FEA00000}"/>
    <cellStyle name="常规 5 2 3 2 2 2" xfId="41215" xr:uid="{00000000-0005-0000-0000-0000FFA00000}"/>
    <cellStyle name="常规 5 2 3 2 2 2 2" xfId="41216" xr:uid="{00000000-0005-0000-0000-000000A10000}"/>
    <cellStyle name="常规 5 2 3 2 3" xfId="41217" xr:uid="{00000000-0005-0000-0000-000001A10000}"/>
    <cellStyle name="常规 5 2 3 2 3 2" xfId="41218" xr:uid="{00000000-0005-0000-0000-000002A10000}"/>
    <cellStyle name="常规 5 2 3 2 3 2 2" xfId="41219" xr:uid="{00000000-0005-0000-0000-000003A10000}"/>
    <cellStyle name="常规 5 2 3 2 4" xfId="41220" xr:uid="{00000000-0005-0000-0000-000004A10000}"/>
    <cellStyle name="常规 5 2 3 2 4 2" xfId="41221" xr:uid="{00000000-0005-0000-0000-000005A10000}"/>
    <cellStyle name="常规 5 2 3 2 4 2 2" xfId="41222" xr:uid="{00000000-0005-0000-0000-000006A10000}"/>
    <cellStyle name="常规 5 2 3 2 5" xfId="41223" xr:uid="{00000000-0005-0000-0000-000007A10000}"/>
    <cellStyle name="常规 5 2 3 2 5 2" xfId="41224" xr:uid="{00000000-0005-0000-0000-000008A10000}"/>
    <cellStyle name="常规 5 2 3 2 5 3" xfId="41225" xr:uid="{00000000-0005-0000-0000-000009A10000}"/>
    <cellStyle name="常规 5 2 3 2 6" xfId="41226" xr:uid="{00000000-0005-0000-0000-00000AA10000}"/>
    <cellStyle name="常规 5 2 3 3" xfId="41227" xr:uid="{00000000-0005-0000-0000-00000BA10000}"/>
    <cellStyle name="常规 5 2 3 3 2" xfId="41228" xr:uid="{00000000-0005-0000-0000-00000CA10000}"/>
    <cellStyle name="常规 5 2 3 3 2 2" xfId="41229" xr:uid="{00000000-0005-0000-0000-00000DA10000}"/>
    <cellStyle name="常规 5 2 3 3 2 2 2" xfId="41230" xr:uid="{00000000-0005-0000-0000-00000EA10000}"/>
    <cellStyle name="常规 5 2 3 3 3" xfId="41231" xr:uid="{00000000-0005-0000-0000-00000FA10000}"/>
    <cellStyle name="常规 5 2 3 3 3 2" xfId="41232" xr:uid="{00000000-0005-0000-0000-000010A10000}"/>
    <cellStyle name="常规 5 2 3 3 3 2 2" xfId="41233" xr:uid="{00000000-0005-0000-0000-000011A10000}"/>
    <cellStyle name="常规 5 2 3 3 4" xfId="41234" xr:uid="{00000000-0005-0000-0000-000012A10000}"/>
    <cellStyle name="常规 5 2 3 3 4 2" xfId="41235" xr:uid="{00000000-0005-0000-0000-000013A10000}"/>
    <cellStyle name="常规 5 2 3 3 5" xfId="41236" xr:uid="{00000000-0005-0000-0000-000014A10000}"/>
    <cellStyle name="常规 5 2 3 4" xfId="41237" xr:uid="{00000000-0005-0000-0000-000015A10000}"/>
    <cellStyle name="常规 5 2 3 4 2" xfId="41238" xr:uid="{00000000-0005-0000-0000-000016A10000}"/>
    <cellStyle name="常规 5 2 3 4 2 2" xfId="41239" xr:uid="{00000000-0005-0000-0000-000017A10000}"/>
    <cellStyle name="常规 5 2 3 5" xfId="41240" xr:uid="{00000000-0005-0000-0000-000018A10000}"/>
    <cellStyle name="常规 5 2 3 5 2" xfId="41241" xr:uid="{00000000-0005-0000-0000-000019A10000}"/>
    <cellStyle name="常规 5 2 3 5 2 2" xfId="41242" xr:uid="{00000000-0005-0000-0000-00001AA10000}"/>
    <cellStyle name="常规 5 2 3 6" xfId="41243" xr:uid="{00000000-0005-0000-0000-00001BA10000}"/>
    <cellStyle name="常规 5 2 3 7" xfId="41244" xr:uid="{00000000-0005-0000-0000-00001CA10000}"/>
    <cellStyle name="常规 5 2 3 7 2" xfId="41245" xr:uid="{00000000-0005-0000-0000-00001DA10000}"/>
    <cellStyle name="常规 5 2 3 7 3" xfId="41246" xr:uid="{00000000-0005-0000-0000-00001EA10000}"/>
    <cellStyle name="常规 5 2 3 8" xfId="41247" xr:uid="{00000000-0005-0000-0000-00001FA10000}"/>
    <cellStyle name="常规 5 2 3 8 2" xfId="41248" xr:uid="{00000000-0005-0000-0000-000020A10000}"/>
    <cellStyle name="常规 5 2 4" xfId="41249" xr:uid="{00000000-0005-0000-0000-000021A10000}"/>
    <cellStyle name="常规 5 2 4 2" xfId="41250" xr:uid="{00000000-0005-0000-0000-000022A10000}"/>
    <cellStyle name="常规 5 2 4 2 2" xfId="41251" xr:uid="{00000000-0005-0000-0000-000023A10000}"/>
    <cellStyle name="常规 5 2 4 2 3" xfId="41252" xr:uid="{00000000-0005-0000-0000-000024A10000}"/>
    <cellStyle name="常规 5 2 4 2 4" xfId="41253" xr:uid="{00000000-0005-0000-0000-000025A10000}"/>
    <cellStyle name="常规 5 2 4 2 5" xfId="41254" xr:uid="{00000000-0005-0000-0000-000026A10000}"/>
    <cellStyle name="常规 5 2 4 2 5 2" xfId="41255" xr:uid="{00000000-0005-0000-0000-000027A10000}"/>
    <cellStyle name="常规 5 2 4 3" xfId="41256" xr:uid="{00000000-0005-0000-0000-000028A10000}"/>
    <cellStyle name="常规 5 2 4 3 2" xfId="41257" xr:uid="{00000000-0005-0000-0000-000029A10000}"/>
    <cellStyle name="常规 5 2 4 3 2 2" xfId="41258" xr:uid="{00000000-0005-0000-0000-00002AA10000}"/>
    <cellStyle name="常规 5 2 4 4" xfId="41259" xr:uid="{00000000-0005-0000-0000-00002BA10000}"/>
    <cellStyle name="常规 5 2 4 4 2" xfId="41260" xr:uid="{00000000-0005-0000-0000-00002CA10000}"/>
    <cellStyle name="常规 5 2 4 4 2 2" xfId="41261" xr:uid="{00000000-0005-0000-0000-00002DA10000}"/>
    <cellStyle name="常规 5 2 4 5" xfId="41262" xr:uid="{00000000-0005-0000-0000-00002EA10000}"/>
    <cellStyle name="常规 5 2 4 5 2" xfId="41263" xr:uid="{00000000-0005-0000-0000-00002FA10000}"/>
    <cellStyle name="常规 5 2 4 5 3" xfId="41264" xr:uid="{00000000-0005-0000-0000-000030A10000}"/>
    <cellStyle name="常规 5 2 4 6" xfId="41265" xr:uid="{00000000-0005-0000-0000-000031A10000}"/>
    <cellStyle name="常规 5 2 4 6 2" xfId="41266" xr:uid="{00000000-0005-0000-0000-000032A10000}"/>
    <cellStyle name="常规 5 2 4 7" xfId="41267" xr:uid="{00000000-0005-0000-0000-000033A10000}"/>
    <cellStyle name="常规 5 2 5" xfId="41268" xr:uid="{00000000-0005-0000-0000-000034A10000}"/>
    <cellStyle name="常规 5 2 5 2" xfId="41269" xr:uid="{00000000-0005-0000-0000-000035A10000}"/>
    <cellStyle name="常规 5 2 5 3" xfId="41270" xr:uid="{00000000-0005-0000-0000-000036A10000}"/>
    <cellStyle name="常规 5 2 5 4" xfId="41271" xr:uid="{00000000-0005-0000-0000-000037A10000}"/>
    <cellStyle name="常规 5 2 5 5" xfId="41272" xr:uid="{00000000-0005-0000-0000-000038A10000}"/>
    <cellStyle name="常规 5 2 5 5 2" xfId="41273" xr:uid="{00000000-0005-0000-0000-000039A10000}"/>
    <cellStyle name="常规 5 2 6" xfId="41274" xr:uid="{00000000-0005-0000-0000-00003AA10000}"/>
    <cellStyle name="常规 5 2 6 2" xfId="41275" xr:uid="{00000000-0005-0000-0000-00003BA10000}"/>
    <cellStyle name="常规 5 2 6 2 2" xfId="41276" xr:uid="{00000000-0005-0000-0000-00003CA10000}"/>
    <cellStyle name="常规 5 2 7" xfId="41277" xr:uid="{00000000-0005-0000-0000-00003DA10000}"/>
    <cellStyle name="常规 5 2 7 2" xfId="41278" xr:uid="{00000000-0005-0000-0000-00003EA10000}"/>
    <cellStyle name="常规 5 2 7 2 2" xfId="41279" xr:uid="{00000000-0005-0000-0000-00003FA10000}"/>
    <cellStyle name="常规 5 2 8" xfId="41280" xr:uid="{00000000-0005-0000-0000-000040A10000}"/>
    <cellStyle name="常规 5 2 8 2" xfId="41281" xr:uid="{00000000-0005-0000-0000-000041A10000}"/>
    <cellStyle name="常规 5 2 8 2 2" xfId="41282" xr:uid="{00000000-0005-0000-0000-000042A10000}"/>
    <cellStyle name="常规 5 2 9" xfId="41283" xr:uid="{00000000-0005-0000-0000-000043A10000}"/>
    <cellStyle name="常规 5 2 9 2" xfId="41284" xr:uid="{00000000-0005-0000-0000-000044A10000}"/>
    <cellStyle name="常规 5 2 9 3" xfId="41285" xr:uid="{00000000-0005-0000-0000-000045A10000}"/>
    <cellStyle name="常规 5 3" xfId="41286" xr:uid="{00000000-0005-0000-0000-000046A10000}"/>
    <cellStyle name="常规 5 3 2" xfId="41287" xr:uid="{00000000-0005-0000-0000-000047A10000}"/>
    <cellStyle name="常规 5 3 2 2" xfId="41288" xr:uid="{00000000-0005-0000-0000-000048A10000}"/>
    <cellStyle name="常规 5 3 2 2 2" xfId="41289" xr:uid="{00000000-0005-0000-0000-000049A10000}"/>
    <cellStyle name="常规 5 3 2 2 2 2" xfId="41290" xr:uid="{00000000-0005-0000-0000-00004AA10000}"/>
    <cellStyle name="常规 5 3 2 3" xfId="41291" xr:uid="{00000000-0005-0000-0000-00004BA10000}"/>
    <cellStyle name="常规 5 3 2 3 2" xfId="41292" xr:uid="{00000000-0005-0000-0000-00004CA10000}"/>
    <cellStyle name="常规 5 3 2 3 2 2" xfId="41293" xr:uid="{00000000-0005-0000-0000-00004DA10000}"/>
    <cellStyle name="常规 5 3 2 4" xfId="41294" xr:uid="{00000000-0005-0000-0000-00004EA10000}"/>
    <cellStyle name="常规 5 3 2 4 2" xfId="41295" xr:uid="{00000000-0005-0000-0000-00004FA10000}"/>
    <cellStyle name="常规 5 3 2 4 2 2" xfId="41296" xr:uid="{00000000-0005-0000-0000-000050A10000}"/>
    <cellStyle name="常规 5 3 2 5" xfId="41297" xr:uid="{00000000-0005-0000-0000-000051A10000}"/>
    <cellStyle name="常规 5 3 2 5 2" xfId="41298" xr:uid="{00000000-0005-0000-0000-000052A10000}"/>
    <cellStyle name="常规 5 3 2 5 3" xfId="41299" xr:uid="{00000000-0005-0000-0000-000053A10000}"/>
    <cellStyle name="常规 5 3 2 6" xfId="41300" xr:uid="{00000000-0005-0000-0000-000054A10000}"/>
    <cellStyle name="常规 5 3 3" xfId="41301" xr:uid="{00000000-0005-0000-0000-000055A10000}"/>
    <cellStyle name="常规 5 3 3 2" xfId="41302" xr:uid="{00000000-0005-0000-0000-000056A10000}"/>
    <cellStyle name="常规 5 3 3 2 2" xfId="41303" xr:uid="{00000000-0005-0000-0000-000057A10000}"/>
    <cellStyle name="常规 5 3 3 2 2 2" xfId="41304" xr:uid="{00000000-0005-0000-0000-000058A10000}"/>
    <cellStyle name="常规 5 3 3 3" xfId="41305" xr:uid="{00000000-0005-0000-0000-000059A10000}"/>
    <cellStyle name="常规 5 3 3 3 2" xfId="41306" xr:uid="{00000000-0005-0000-0000-00005AA10000}"/>
    <cellStyle name="常规 5 3 3 3 2 2" xfId="41307" xr:uid="{00000000-0005-0000-0000-00005BA10000}"/>
    <cellStyle name="常规 5 3 3 4" xfId="41308" xr:uid="{00000000-0005-0000-0000-00005CA10000}"/>
    <cellStyle name="常规 5 3 3 4 2" xfId="41309" xr:uid="{00000000-0005-0000-0000-00005DA10000}"/>
    <cellStyle name="常规 5 3 3 5" xfId="41310" xr:uid="{00000000-0005-0000-0000-00005EA10000}"/>
    <cellStyle name="常规 5 3 4" xfId="41311" xr:uid="{00000000-0005-0000-0000-00005FA10000}"/>
    <cellStyle name="常规 5 3 4 2" xfId="41312" xr:uid="{00000000-0005-0000-0000-000060A10000}"/>
    <cellStyle name="常规 5 3 4 2 2" xfId="41313" xr:uid="{00000000-0005-0000-0000-000061A10000}"/>
    <cellStyle name="常规 5 3 5" xfId="41314" xr:uid="{00000000-0005-0000-0000-000062A10000}"/>
    <cellStyle name="常规 5 3 5 2" xfId="41315" xr:uid="{00000000-0005-0000-0000-000063A10000}"/>
    <cellStyle name="常规 5 3 5 2 2" xfId="41316" xr:uid="{00000000-0005-0000-0000-000064A10000}"/>
    <cellStyle name="常规 5 3 6" xfId="41317" xr:uid="{00000000-0005-0000-0000-000065A10000}"/>
    <cellStyle name="常规 5 3 7" xfId="41318" xr:uid="{00000000-0005-0000-0000-000066A10000}"/>
    <cellStyle name="常规 5 3 7 2" xfId="41319" xr:uid="{00000000-0005-0000-0000-000067A10000}"/>
    <cellStyle name="常规 5 3 7 3" xfId="41320" xr:uid="{00000000-0005-0000-0000-000068A10000}"/>
    <cellStyle name="常规 5 3 8" xfId="41321" xr:uid="{00000000-0005-0000-0000-000069A10000}"/>
    <cellStyle name="常规 5 3 8 2" xfId="41322" xr:uid="{00000000-0005-0000-0000-00006AA10000}"/>
    <cellStyle name="常规 5 4" xfId="41323" xr:uid="{00000000-0005-0000-0000-00006BA10000}"/>
    <cellStyle name="常规 5 4 2" xfId="41324" xr:uid="{00000000-0005-0000-0000-00006CA10000}"/>
    <cellStyle name="常规 5 4 2 2" xfId="41325" xr:uid="{00000000-0005-0000-0000-00006DA10000}"/>
    <cellStyle name="常规 5 4 2 2 2" xfId="41326" xr:uid="{00000000-0005-0000-0000-00006EA10000}"/>
    <cellStyle name="常规 5 4 2 2 2 2" xfId="41327" xr:uid="{00000000-0005-0000-0000-00006FA10000}"/>
    <cellStyle name="常规 5 4 2 3" xfId="41328" xr:uid="{00000000-0005-0000-0000-000070A10000}"/>
    <cellStyle name="常规 5 4 2 3 2" xfId="41329" xr:uid="{00000000-0005-0000-0000-000071A10000}"/>
    <cellStyle name="常规 5 4 2 3 2 2" xfId="41330" xr:uid="{00000000-0005-0000-0000-000072A10000}"/>
    <cellStyle name="常规 5 4 2 4" xfId="41331" xr:uid="{00000000-0005-0000-0000-000073A10000}"/>
    <cellStyle name="常规 5 4 2 4 2" xfId="41332" xr:uid="{00000000-0005-0000-0000-000074A10000}"/>
    <cellStyle name="常规 5 4 2 4 2 2" xfId="41333" xr:uid="{00000000-0005-0000-0000-000075A10000}"/>
    <cellStyle name="常规 5 4 2 5" xfId="41334" xr:uid="{00000000-0005-0000-0000-000076A10000}"/>
    <cellStyle name="常规 5 4 2 5 2" xfId="41335" xr:uid="{00000000-0005-0000-0000-000077A10000}"/>
    <cellStyle name="常规 5 4 2 5 3" xfId="41336" xr:uid="{00000000-0005-0000-0000-000078A10000}"/>
    <cellStyle name="常规 5 4 2 6" xfId="41337" xr:uid="{00000000-0005-0000-0000-000079A10000}"/>
    <cellStyle name="常规 5 4 3" xfId="41338" xr:uid="{00000000-0005-0000-0000-00007AA10000}"/>
    <cellStyle name="常规 5 4 3 2" xfId="41339" xr:uid="{00000000-0005-0000-0000-00007BA10000}"/>
    <cellStyle name="常规 5 4 3 2 2" xfId="41340" xr:uid="{00000000-0005-0000-0000-00007CA10000}"/>
    <cellStyle name="常规 5 4 4" xfId="41341" xr:uid="{00000000-0005-0000-0000-00007DA10000}"/>
    <cellStyle name="常规 5 4 4 2" xfId="41342" xr:uid="{00000000-0005-0000-0000-00007EA10000}"/>
    <cellStyle name="常规 5 4 4 2 2" xfId="41343" xr:uid="{00000000-0005-0000-0000-00007FA10000}"/>
    <cellStyle name="常规 5 4 5" xfId="41344" xr:uid="{00000000-0005-0000-0000-000080A10000}"/>
    <cellStyle name="常规 5 4 5 2" xfId="41345" xr:uid="{00000000-0005-0000-0000-000081A10000}"/>
    <cellStyle name="常规 5 4 5 2 2" xfId="41346" xr:uid="{00000000-0005-0000-0000-000082A10000}"/>
    <cellStyle name="常规 5 4 6" xfId="41347" xr:uid="{00000000-0005-0000-0000-000083A10000}"/>
    <cellStyle name="常规 5 4 7" xfId="41348" xr:uid="{00000000-0005-0000-0000-000084A10000}"/>
    <cellStyle name="常规 5 4 7 2" xfId="41349" xr:uid="{00000000-0005-0000-0000-000085A10000}"/>
    <cellStyle name="常规 5 4 7 3" xfId="41350" xr:uid="{00000000-0005-0000-0000-000086A10000}"/>
    <cellStyle name="常规 5 4 8" xfId="41351" xr:uid="{00000000-0005-0000-0000-000087A10000}"/>
    <cellStyle name="常规 5 4 8 2" xfId="41352" xr:uid="{00000000-0005-0000-0000-000088A10000}"/>
    <cellStyle name="常规 5 5" xfId="41353" xr:uid="{00000000-0005-0000-0000-000089A10000}"/>
    <cellStyle name="常规 5 5 2" xfId="41354" xr:uid="{00000000-0005-0000-0000-00008AA10000}"/>
    <cellStyle name="常规 5 5 2 2" xfId="41355" xr:uid="{00000000-0005-0000-0000-00008BA10000}"/>
    <cellStyle name="常规 5 5 2 3" xfId="41356" xr:uid="{00000000-0005-0000-0000-00008CA10000}"/>
    <cellStyle name="常规 5 5 2 3 2" xfId="41357" xr:uid="{00000000-0005-0000-0000-00008DA10000}"/>
    <cellStyle name="常规 5 5 3" xfId="41358" xr:uid="{00000000-0005-0000-0000-00008EA10000}"/>
    <cellStyle name="常规 5 5 3 2" xfId="41359" xr:uid="{00000000-0005-0000-0000-00008FA10000}"/>
    <cellStyle name="常规 5 5 3 2 2" xfId="41360" xr:uid="{00000000-0005-0000-0000-000090A10000}"/>
    <cellStyle name="常规 5 5 4" xfId="41361" xr:uid="{00000000-0005-0000-0000-000091A10000}"/>
    <cellStyle name="常规 5 5 4 2" xfId="41362" xr:uid="{00000000-0005-0000-0000-000092A10000}"/>
    <cellStyle name="常规 5 5 4 2 2" xfId="41363" xr:uid="{00000000-0005-0000-0000-000093A10000}"/>
    <cellStyle name="常规 5 5 5" xfId="41364" xr:uid="{00000000-0005-0000-0000-000094A10000}"/>
    <cellStyle name="常规 5 5 5 2" xfId="41365" xr:uid="{00000000-0005-0000-0000-000095A10000}"/>
    <cellStyle name="常规 5 5 6" xfId="41366" xr:uid="{00000000-0005-0000-0000-000096A10000}"/>
    <cellStyle name="常规 5 6" xfId="41367" xr:uid="{00000000-0005-0000-0000-000097A10000}"/>
    <cellStyle name="常规 5 6 2" xfId="41368" xr:uid="{00000000-0005-0000-0000-000098A10000}"/>
    <cellStyle name="常规 5 6 2 2" xfId="41369" xr:uid="{00000000-0005-0000-0000-000099A10000}"/>
    <cellStyle name="常规 5 6 3" xfId="41370" xr:uid="{00000000-0005-0000-0000-00009AA10000}"/>
    <cellStyle name="常规 5 6 4" xfId="41371" xr:uid="{00000000-0005-0000-0000-00009BA10000}"/>
    <cellStyle name="常规 5 6 5" xfId="41372" xr:uid="{00000000-0005-0000-0000-00009CA10000}"/>
    <cellStyle name="常规 5 6 5 2" xfId="41373" xr:uid="{00000000-0005-0000-0000-00009DA10000}"/>
    <cellStyle name="常规 5 6 6" xfId="41374" xr:uid="{00000000-0005-0000-0000-00009EA10000}"/>
    <cellStyle name="常规 5 7" xfId="41375" xr:uid="{00000000-0005-0000-0000-00009FA10000}"/>
    <cellStyle name="常规 5 7 2" xfId="41376" xr:uid="{00000000-0005-0000-0000-0000A0A10000}"/>
    <cellStyle name="常规 5 7 2 2" xfId="41377" xr:uid="{00000000-0005-0000-0000-0000A1A10000}"/>
    <cellStyle name="常规 5 7 2 2 2" xfId="41378" xr:uid="{00000000-0005-0000-0000-0000A2A10000}"/>
    <cellStyle name="常规 5 7 2 2 2 2" xfId="41379" xr:uid="{00000000-0005-0000-0000-0000A3A10000}"/>
    <cellStyle name="常规 5 7 2 3" xfId="41380" xr:uid="{00000000-0005-0000-0000-0000A4A10000}"/>
    <cellStyle name="常规 5 7 2 3 2" xfId="41381" xr:uid="{00000000-0005-0000-0000-0000A5A10000}"/>
    <cellStyle name="常规 5 7 2 4" xfId="41382" xr:uid="{00000000-0005-0000-0000-0000A6A10000}"/>
    <cellStyle name="常规 5 7 2 4 2" xfId="41383" xr:uid="{00000000-0005-0000-0000-0000A7A10000}"/>
    <cellStyle name="常规 5 7 2 5" xfId="41384" xr:uid="{00000000-0005-0000-0000-0000A8A10000}"/>
    <cellStyle name="常规 5 7 3" xfId="41385" xr:uid="{00000000-0005-0000-0000-0000A9A10000}"/>
    <cellStyle name="常规 5 7 4" xfId="41386" xr:uid="{00000000-0005-0000-0000-0000AAA10000}"/>
    <cellStyle name="常规 5 7 4 2" xfId="41387" xr:uid="{00000000-0005-0000-0000-0000ABA10000}"/>
    <cellStyle name="常规 5 7 4 3" xfId="41388" xr:uid="{00000000-0005-0000-0000-0000ACA10000}"/>
    <cellStyle name="常规 5 7 5" xfId="41389" xr:uid="{00000000-0005-0000-0000-0000ADA10000}"/>
    <cellStyle name="常规 5 7 5 2" xfId="41390" xr:uid="{00000000-0005-0000-0000-0000AEA10000}"/>
    <cellStyle name="常规 5 8" xfId="41391" xr:uid="{00000000-0005-0000-0000-0000AFA10000}"/>
    <cellStyle name="常规 5 8 2" xfId="41392" xr:uid="{00000000-0005-0000-0000-0000B0A10000}"/>
    <cellStyle name="常规 5 8 2 2" xfId="41393" xr:uid="{00000000-0005-0000-0000-0000B1A10000}"/>
    <cellStyle name="常规 5 8 2 2 2" xfId="41394" xr:uid="{00000000-0005-0000-0000-0000B2A10000}"/>
    <cellStyle name="常规 5 8 2 2 2 2" xfId="41395" xr:uid="{00000000-0005-0000-0000-0000B3A10000}"/>
    <cellStyle name="常规 5 8 2 3" xfId="41396" xr:uid="{00000000-0005-0000-0000-0000B4A10000}"/>
    <cellStyle name="常规 5 8 2 3 2" xfId="41397" xr:uid="{00000000-0005-0000-0000-0000B5A10000}"/>
    <cellStyle name="常规 5 8 2 4" xfId="41398" xr:uid="{00000000-0005-0000-0000-0000B6A10000}"/>
    <cellStyle name="常规 5 8 2 4 2" xfId="41399" xr:uid="{00000000-0005-0000-0000-0000B7A10000}"/>
    <cellStyle name="常规 5 8 2 5" xfId="41400" xr:uid="{00000000-0005-0000-0000-0000B8A10000}"/>
    <cellStyle name="常规 5 8 3" xfId="41401" xr:uid="{00000000-0005-0000-0000-0000B9A10000}"/>
    <cellStyle name="常规 5 8 3 2" xfId="41402" xr:uid="{00000000-0005-0000-0000-0000BAA10000}"/>
    <cellStyle name="常规 5 8 3 2 2" xfId="41403" xr:uid="{00000000-0005-0000-0000-0000BBA10000}"/>
    <cellStyle name="常规 5 8 4" xfId="41404" xr:uid="{00000000-0005-0000-0000-0000BCA10000}"/>
    <cellStyle name="常规 5 8 4 2" xfId="41405" xr:uid="{00000000-0005-0000-0000-0000BDA10000}"/>
    <cellStyle name="常规 5 8 4 2 2" xfId="41406" xr:uid="{00000000-0005-0000-0000-0000BEA10000}"/>
    <cellStyle name="常规 5 8 5" xfId="41407" xr:uid="{00000000-0005-0000-0000-0000BFA10000}"/>
    <cellStyle name="常规 5 8 5 2" xfId="41408" xr:uid="{00000000-0005-0000-0000-0000C0A10000}"/>
    <cellStyle name="常规 5 8 6" xfId="41409" xr:uid="{00000000-0005-0000-0000-0000C1A10000}"/>
    <cellStyle name="常规 5 9" xfId="41410" xr:uid="{00000000-0005-0000-0000-0000C2A10000}"/>
    <cellStyle name="常规 5 9 2" xfId="41411" xr:uid="{00000000-0005-0000-0000-0000C3A10000}"/>
    <cellStyle name="常规 5 9 2 2" xfId="41412" xr:uid="{00000000-0005-0000-0000-0000C4A10000}"/>
    <cellStyle name="常规 5 9 2 2 2" xfId="41413" xr:uid="{00000000-0005-0000-0000-0000C5A10000}"/>
    <cellStyle name="常规 5 9 2 2 2 2" xfId="41414" xr:uid="{00000000-0005-0000-0000-0000C6A10000}"/>
    <cellStyle name="常规 5 9 2 3" xfId="41415" xr:uid="{00000000-0005-0000-0000-0000C7A10000}"/>
    <cellStyle name="常规 5 9 2 3 2" xfId="41416" xr:uid="{00000000-0005-0000-0000-0000C8A10000}"/>
    <cellStyle name="常规 5 9 2 4" xfId="41417" xr:uid="{00000000-0005-0000-0000-0000C9A10000}"/>
    <cellStyle name="常规 5 9 2 4 2" xfId="41418" xr:uid="{00000000-0005-0000-0000-0000CAA10000}"/>
    <cellStyle name="常规 5 9 2 5" xfId="41419" xr:uid="{00000000-0005-0000-0000-0000CBA10000}"/>
    <cellStyle name="常规 5 9 3" xfId="41420" xr:uid="{00000000-0005-0000-0000-0000CCA10000}"/>
    <cellStyle name="常规 5 9 3 2" xfId="41421" xr:uid="{00000000-0005-0000-0000-0000CDA10000}"/>
    <cellStyle name="常规 5 9 3 2 2" xfId="41422" xr:uid="{00000000-0005-0000-0000-0000CEA10000}"/>
    <cellStyle name="常规 5 9 4" xfId="41423" xr:uid="{00000000-0005-0000-0000-0000CFA10000}"/>
    <cellStyle name="常规 5 9 4 2" xfId="41424" xr:uid="{00000000-0005-0000-0000-0000D0A10000}"/>
    <cellStyle name="常规 5 9 5" xfId="41425" xr:uid="{00000000-0005-0000-0000-0000D1A10000}"/>
    <cellStyle name="常规 5 9 5 2" xfId="41426" xr:uid="{00000000-0005-0000-0000-0000D2A10000}"/>
    <cellStyle name="常规 5 9 6" xfId="41427" xr:uid="{00000000-0005-0000-0000-0000D3A10000}"/>
    <cellStyle name="常规 5_Profit Statement  072610" xfId="41428" xr:uid="{00000000-0005-0000-0000-0000D4A10000}"/>
    <cellStyle name="常规 6" xfId="41429" xr:uid="{00000000-0005-0000-0000-0000D5A10000}"/>
    <cellStyle name="常规 6 10" xfId="41430" xr:uid="{00000000-0005-0000-0000-0000D6A10000}"/>
    <cellStyle name="常规 6 10 2" xfId="41431" xr:uid="{00000000-0005-0000-0000-0000D7A10000}"/>
    <cellStyle name="常规 6 2" xfId="41432" xr:uid="{00000000-0005-0000-0000-0000D8A10000}"/>
    <cellStyle name="常规 6 2 10" xfId="41433" xr:uid="{00000000-0005-0000-0000-0000D9A10000}"/>
    <cellStyle name="常规 6 2 10 2" xfId="41434" xr:uid="{00000000-0005-0000-0000-0000DAA10000}"/>
    <cellStyle name="常规 6 2 2" xfId="41435" xr:uid="{00000000-0005-0000-0000-0000DBA10000}"/>
    <cellStyle name="常规 6 2 2 2" xfId="41436" xr:uid="{00000000-0005-0000-0000-0000DCA10000}"/>
    <cellStyle name="常规 6 2 2 2 2" xfId="41437" xr:uid="{00000000-0005-0000-0000-0000DDA10000}"/>
    <cellStyle name="常规 6 2 2 2 2 2" xfId="41438" xr:uid="{00000000-0005-0000-0000-0000DEA10000}"/>
    <cellStyle name="常规 6 2 2 2 2 3" xfId="41439" xr:uid="{00000000-0005-0000-0000-0000DFA10000}"/>
    <cellStyle name="常规 6 2 2 2 2 4" xfId="41440" xr:uid="{00000000-0005-0000-0000-0000E0A10000}"/>
    <cellStyle name="常规 6 2 2 2 2 4 2" xfId="41441" xr:uid="{00000000-0005-0000-0000-0000E1A10000}"/>
    <cellStyle name="常规 6 2 2 2 2 4 3" xfId="41442" xr:uid="{00000000-0005-0000-0000-0000E2A10000}"/>
    <cellStyle name="常规 6 2 2 2 2 5" xfId="41443" xr:uid="{00000000-0005-0000-0000-0000E3A10000}"/>
    <cellStyle name="常规 6 2 2 2 2 5 2" xfId="41444" xr:uid="{00000000-0005-0000-0000-0000E4A10000}"/>
    <cellStyle name="常规 6 2 2 2 3" xfId="41445" xr:uid="{00000000-0005-0000-0000-0000E5A10000}"/>
    <cellStyle name="常规 6 2 2 2 3 2" xfId="41446" xr:uid="{00000000-0005-0000-0000-0000E6A10000}"/>
    <cellStyle name="常规 6 2 2 2 3 2 2" xfId="41447" xr:uid="{00000000-0005-0000-0000-0000E7A10000}"/>
    <cellStyle name="常规 6 2 2 2 3 2 2 2" xfId="41448" xr:uid="{00000000-0005-0000-0000-0000E8A10000}"/>
    <cellStyle name="常规 6 2 2 2 3 3" xfId="41449" xr:uid="{00000000-0005-0000-0000-0000E9A10000}"/>
    <cellStyle name="常规 6 2 2 2 3 3 2" xfId="41450" xr:uid="{00000000-0005-0000-0000-0000EAA10000}"/>
    <cellStyle name="常规 6 2 2 2 3 3 2 2" xfId="41451" xr:uid="{00000000-0005-0000-0000-0000EBA10000}"/>
    <cellStyle name="常规 6 2 2 2 3 4" xfId="41452" xr:uid="{00000000-0005-0000-0000-0000ECA10000}"/>
    <cellStyle name="常规 6 2 2 2 3 4 2" xfId="41453" xr:uid="{00000000-0005-0000-0000-0000EDA10000}"/>
    <cellStyle name="常规 6 2 2 2 3 5" xfId="41454" xr:uid="{00000000-0005-0000-0000-0000EEA10000}"/>
    <cellStyle name="常规 6 2 2 2 4" xfId="41455" xr:uid="{00000000-0005-0000-0000-0000EFA10000}"/>
    <cellStyle name="常规 6 2 2 2 5" xfId="41456" xr:uid="{00000000-0005-0000-0000-0000F0A10000}"/>
    <cellStyle name="常规 6 2 2 2 6" xfId="41457" xr:uid="{00000000-0005-0000-0000-0000F1A10000}"/>
    <cellStyle name="常规 6 2 2 2 7" xfId="41458" xr:uid="{00000000-0005-0000-0000-0000F2A10000}"/>
    <cellStyle name="常规 6 2 2 2 7 2" xfId="41459" xr:uid="{00000000-0005-0000-0000-0000F3A10000}"/>
    <cellStyle name="常规 6 2 2 2 7 3" xfId="41460" xr:uid="{00000000-0005-0000-0000-0000F4A10000}"/>
    <cellStyle name="常规 6 2 2 2 8" xfId="41461" xr:uid="{00000000-0005-0000-0000-0000F5A10000}"/>
    <cellStyle name="常规 6 2 2 2 8 2" xfId="41462" xr:uid="{00000000-0005-0000-0000-0000F6A10000}"/>
    <cellStyle name="常规 6 2 2 3" xfId="41463" xr:uid="{00000000-0005-0000-0000-0000F7A10000}"/>
    <cellStyle name="常规 6 2 2 3 2" xfId="41464" xr:uid="{00000000-0005-0000-0000-0000F8A10000}"/>
    <cellStyle name="常规 6 2 2 3 3" xfId="41465" xr:uid="{00000000-0005-0000-0000-0000F9A10000}"/>
    <cellStyle name="常规 6 2 2 3 4" xfId="41466" xr:uid="{00000000-0005-0000-0000-0000FAA10000}"/>
    <cellStyle name="常规 6 2 2 3 4 2" xfId="41467" xr:uid="{00000000-0005-0000-0000-0000FBA10000}"/>
    <cellStyle name="常规 6 2 2 3 4 3" xfId="41468" xr:uid="{00000000-0005-0000-0000-0000FCA10000}"/>
    <cellStyle name="常规 6 2 2 3 5" xfId="41469" xr:uid="{00000000-0005-0000-0000-0000FDA10000}"/>
    <cellStyle name="常规 6 2 2 3 5 2" xfId="41470" xr:uid="{00000000-0005-0000-0000-0000FEA10000}"/>
    <cellStyle name="常规 6 2 2 4" xfId="41471" xr:uid="{00000000-0005-0000-0000-0000FFA10000}"/>
    <cellStyle name="常规 6 2 2 4 2" xfId="41472" xr:uid="{00000000-0005-0000-0000-000000A20000}"/>
    <cellStyle name="常规 6 2 2 4 2 2" xfId="41473" xr:uid="{00000000-0005-0000-0000-000001A20000}"/>
    <cellStyle name="常规 6 2 2 5" xfId="41474" xr:uid="{00000000-0005-0000-0000-000002A20000}"/>
    <cellStyle name="常规 6 2 2 6" xfId="41475" xr:uid="{00000000-0005-0000-0000-000003A20000}"/>
    <cellStyle name="常规 6 2 2 7" xfId="41476" xr:uid="{00000000-0005-0000-0000-000004A20000}"/>
    <cellStyle name="常规 6 2 2 8" xfId="41477" xr:uid="{00000000-0005-0000-0000-000005A20000}"/>
    <cellStyle name="常规 6 2 2 8 2" xfId="41478" xr:uid="{00000000-0005-0000-0000-000006A20000}"/>
    <cellStyle name="常规 6 2 2 8 3" xfId="41479" xr:uid="{00000000-0005-0000-0000-000007A20000}"/>
    <cellStyle name="常规 6 2 2 9" xfId="41480" xr:uid="{00000000-0005-0000-0000-000008A20000}"/>
    <cellStyle name="常规 6 2 2 9 2" xfId="41481" xr:uid="{00000000-0005-0000-0000-000009A20000}"/>
    <cellStyle name="常规 6 2 3" xfId="41482" xr:uid="{00000000-0005-0000-0000-00000AA20000}"/>
    <cellStyle name="常规 6 2 3 2" xfId="41483" xr:uid="{00000000-0005-0000-0000-00000BA20000}"/>
    <cellStyle name="常规 6 2 3 2 2" xfId="41484" xr:uid="{00000000-0005-0000-0000-00000CA20000}"/>
    <cellStyle name="常规 6 2 3 2 3" xfId="41485" xr:uid="{00000000-0005-0000-0000-00000DA20000}"/>
    <cellStyle name="常规 6 2 3 2 4" xfId="41486" xr:uid="{00000000-0005-0000-0000-00000EA20000}"/>
    <cellStyle name="常规 6 2 3 2 4 2" xfId="41487" xr:uid="{00000000-0005-0000-0000-00000FA20000}"/>
    <cellStyle name="常规 6 2 3 2 4 3" xfId="41488" xr:uid="{00000000-0005-0000-0000-000010A20000}"/>
    <cellStyle name="常规 6 2 3 2 5" xfId="41489" xr:uid="{00000000-0005-0000-0000-000011A20000}"/>
    <cellStyle name="常规 6 2 3 2 5 2" xfId="41490" xr:uid="{00000000-0005-0000-0000-000012A20000}"/>
    <cellStyle name="常规 6 2 3 3" xfId="41491" xr:uid="{00000000-0005-0000-0000-000013A20000}"/>
    <cellStyle name="常规 6 2 3 3 2" xfId="41492" xr:uid="{00000000-0005-0000-0000-000014A20000}"/>
    <cellStyle name="常规 6 2 3 3 2 2" xfId="41493" xr:uid="{00000000-0005-0000-0000-000015A20000}"/>
    <cellStyle name="常规 6 2 3 3 2 2 2" xfId="41494" xr:uid="{00000000-0005-0000-0000-000016A20000}"/>
    <cellStyle name="常规 6 2 3 3 3" xfId="41495" xr:uid="{00000000-0005-0000-0000-000017A20000}"/>
    <cellStyle name="常规 6 2 3 3 3 2" xfId="41496" xr:uid="{00000000-0005-0000-0000-000018A20000}"/>
    <cellStyle name="常规 6 2 3 3 3 2 2" xfId="41497" xr:uid="{00000000-0005-0000-0000-000019A20000}"/>
    <cellStyle name="常规 6 2 3 3 4" xfId="41498" xr:uid="{00000000-0005-0000-0000-00001AA20000}"/>
    <cellStyle name="常规 6 2 3 3 4 2" xfId="41499" xr:uid="{00000000-0005-0000-0000-00001BA20000}"/>
    <cellStyle name="常规 6 2 3 3 5" xfId="41500" xr:uid="{00000000-0005-0000-0000-00001CA20000}"/>
    <cellStyle name="常规 6 2 3 4" xfId="41501" xr:uid="{00000000-0005-0000-0000-00001DA20000}"/>
    <cellStyle name="常规 6 2 3 5" xfId="41502" xr:uid="{00000000-0005-0000-0000-00001EA20000}"/>
    <cellStyle name="常规 6 2 3 6" xfId="41503" xr:uid="{00000000-0005-0000-0000-00001FA20000}"/>
    <cellStyle name="常规 6 2 3 7" xfId="41504" xr:uid="{00000000-0005-0000-0000-000020A20000}"/>
    <cellStyle name="常规 6 2 3 7 2" xfId="41505" xr:uid="{00000000-0005-0000-0000-000021A20000}"/>
    <cellStyle name="常规 6 2 3 7 3" xfId="41506" xr:uid="{00000000-0005-0000-0000-000022A20000}"/>
    <cellStyle name="常规 6 2 3 8" xfId="41507" xr:uid="{00000000-0005-0000-0000-000023A20000}"/>
    <cellStyle name="常规 6 2 3 8 2" xfId="41508" xr:uid="{00000000-0005-0000-0000-000024A20000}"/>
    <cellStyle name="常规 6 2 4" xfId="41509" xr:uid="{00000000-0005-0000-0000-000025A20000}"/>
    <cellStyle name="常规 6 2 4 2" xfId="41510" xr:uid="{00000000-0005-0000-0000-000026A20000}"/>
    <cellStyle name="常规 6 2 4 3" xfId="41511" xr:uid="{00000000-0005-0000-0000-000027A20000}"/>
    <cellStyle name="常规 6 2 4 4" xfId="41512" xr:uid="{00000000-0005-0000-0000-000028A20000}"/>
    <cellStyle name="常规 6 2 4 4 2" xfId="41513" xr:uid="{00000000-0005-0000-0000-000029A20000}"/>
    <cellStyle name="常规 6 2 4 4 3" xfId="41514" xr:uid="{00000000-0005-0000-0000-00002AA20000}"/>
    <cellStyle name="常规 6 2 4 5" xfId="41515" xr:uid="{00000000-0005-0000-0000-00002BA20000}"/>
    <cellStyle name="常规 6 2 4 5 2" xfId="41516" xr:uid="{00000000-0005-0000-0000-00002CA20000}"/>
    <cellStyle name="常规 6 2 5" xfId="41517" xr:uid="{00000000-0005-0000-0000-00002DA20000}"/>
    <cellStyle name="常规 6 2 5 2" xfId="41518" xr:uid="{00000000-0005-0000-0000-00002EA20000}"/>
    <cellStyle name="常规 6 2 5 2 2" xfId="41519" xr:uid="{00000000-0005-0000-0000-00002FA20000}"/>
    <cellStyle name="常规 6 2 6" xfId="41520" xr:uid="{00000000-0005-0000-0000-000030A20000}"/>
    <cellStyle name="常规 6 2 7" xfId="41521" xr:uid="{00000000-0005-0000-0000-000031A20000}"/>
    <cellStyle name="常规 6 2 8" xfId="41522" xr:uid="{00000000-0005-0000-0000-000032A20000}"/>
    <cellStyle name="常规 6 2 9" xfId="41523" xr:uid="{00000000-0005-0000-0000-000033A20000}"/>
    <cellStyle name="常规 6 2 9 2" xfId="41524" xr:uid="{00000000-0005-0000-0000-000034A20000}"/>
    <cellStyle name="常规 6 2 9 3" xfId="41525" xr:uid="{00000000-0005-0000-0000-000035A20000}"/>
    <cellStyle name="常规 6 3" xfId="41526" xr:uid="{00000000-0005-0000-0000-000036A20000}"/>
    <cellStyle name="常规 6 3 2" xfId="41527" xr:uid="{00000000-0005-0000-0000-000037A20000}"/>
    <cellStyle name="常规 6 3 2 2" xfId="41528" xr:uid="{00000000-0005-0000-0000-000038A20000}"/>
    <cellStyle name="常规 6 3 2 2 2" xfId="41529" xr:uid="{00000000-0005-0000-0000-000039A20000}"/>
    <cellStyle name="常规 6 3 2 2 3" xfId="41530" xr:uid="{00000000-0005-0000-0000-00003AA20000}"/>
    <cellStyle name="常规 6 3 2 2 4" xfId="41531" xr:uid="{00000000-0005-0000-0000-00003BA20000}"/>
    <cellStyle name="常规 6 3 2 2 4 2" xfId="41532" xr:uid="{00000000-0005-0000-0000-00003CA20000}"/>
    <cellStyle name="常规 6 3 2 3" xfId="41533" xr:uid="{00000000-0005-0000-0000-00003DA20000}"/>
    <cellStyle name="常规 6 3 2 3 2" xfId="41534" xr:uid="{00000000-0005-0000-0000-00003EA20000}"/>
    <cellStyle name="常规 6 3 2 3 2 2" xfId="41535" xr:uid="{00000000-0005-0000-0000-00003FA20000}"/>
    <cellStyle name="常规 6 3 2 4" xfId="41536" xr:uid="{00000000-0005-0000-0000-000040A20000}"/>
    <cellStyle name="常规 6 3 2 4 2" xfId="41537" xr:uid="{00000000-0005-0000-0000-000041A20000}"/>
    <cellStyle name="常规 6 3 2 4 2 2" xfId="41538" xr:uid="{00000000-0005-0000-0000-000042A20000}"/>
    <cellStyle name="常规 6 3 2 5" xfId="41539" xr:uid="{00000000-0005-0000-0000-000043A20000}"/>
    <cellStyle name="常规 6 3 2 5 2" xfId="41540" xr:uid="{00000000-0005-0000-0000-000044A20000}"/>
    <cellStyle name="常规 6 3 2 5 3" xfId="41541" xr:uid="{00000000-0005-0000-0000-000045A20000}"/>
    <cellStyle name="常规 6 3 2 6" xfId="41542" xr:uid="{00000000-0005-0000-0000-000046A20000}"/>
    <cellStyle name="常规 6 3 2 7" xfId="41543" xr:uid="{00000000-0005-0000-0000-000047A20000}"/>
    <cellStyle name="常规 6 3 2 7 2" xfId="41544" xr:uid="{00000000-0005-0000-0000-000048A20000}"/>
    <cellStyle name="常规 6 3 2 8" xfId="41545" xr:uid="{00000000-0005-0000-0000-000049A20000}"/>
    <cellStyle name="常规 6 3 3" xfId="41546" xr:uid="{00000000-0005-0000-0000-00004AA20000}"/>
    <cellStyle name="常规 6 3 3 2" xfId="41547" xr:uid="{00000000-0005-0000-0000-00004BA20000}"/>
    <cellStyle name="常规 6 3 3 2 2" xfId="41548" xr:uid="{00000000-0005-0000-0000-00004CA20000}"/>
    <cellStyle name="常规 6 3 3 2 2 2" xfId="41549" xr:uid="{00000000-0005-0000-0000-00004DA20000}"/>
    <cellStyle name="常规 6 3 3 2 3" xfId="41550" xr:uid="{00000000-0005-0000-0000-00004EA20000}"/>
    <cellStyle name="常规 6 3 3 3" xfId="41551" xr:uid="{00000000-0005-0000-0000-00004FA20000}"/>
    <cellStyle name="常规 6 3 3 3 2" xfId="41552" xr:uid="{00000000-0005-0000-0000-000050A20000}"/>
    <cellStyle name="常规 6 3 3 3 2 2" xfId="41553" xr:uid="{00000000-0005-0000-0000-000051A20000}"/>
    <cellStyle name="常规 6 3 3 4" xfId="41554" xr:uid="{00000000-0005-0000-0000-000052A20000}"/>
    <cellStyle name="常规 6 3 3 4 2" xfId="41555" xr:uid="{00000000-0005-0000-0000-000053A20000}"/>
    <cellStyle name="常规 6 3 3 4 3" xfId="41556" xr:uid="{00000000-0005-0000-0000-000054A20000}"/>
    <cellStyle name="常规 6 3 3 5" xfId="41557" xr:uid="{00000000-0005-0000-0000-000055A20000}"/>
    <cellStyle name="常规 6 3 3 5 2" xfId="41558" xr:uid="{00000000-0005-0000-0000-000056A20000}"/>
    <cellStyle name="常规 6 3 4" xfId="41559" xr:uid="{00000000-0005-0000-0000-000057A20000}"/>
    <cellStyle name="常规 6 3 4 2" xfId="41560" xr:uid="{00000000-0005-0000-0000-000058A20000}"/>
    <cellStyle name="常规 6 3 4 2 2" xfId="41561" xr:uid="{00000000-0005-0000-0000-000059A20000}"/>
    <cellStyle name="常规 6 3 5" xfId="41562" xr:uid="{00000000-0005-0000-0000-00005AA20000}"/>
    <cellStyle name="常规 6 3 5 2" xfId="41563" xr:uid="{00000000-0005-0000-0000-00005BA20000}"/>
    <cellStyle name="常规 6 3 5 2 2" xfId="41564" xr:uid="{00000000-0005-0000-0000-00005CA20000}"/>
    <cellStyle name="常规 6 3 6" xfId="41565" xr:uid="{00000000-0005-0000-0000-00005DA20000}"/>
    <cellStyle name="常规 6 3 6 2" xfId="41566" xr:uid="{00000000-0005-0000-0000-00005EA20000}"/>
    <cellStyle name="常规 6 3 6 2 2" xfId="41567" xr:uid="{00000000-0005-0000-0000-00005FA20000}"/>
    <cellStyle name="常规 6 3 7" xfId="41568" xr:uid="{00000000-0005-0000-0000-000060A20000}"/>
    <cellStyle name="常规 6 3 7 2" xfId="41569" xr:uid="{00000000-0005-0000-0000-000061A20000}"/>
    <cellStyle name="常规 6 3 7 2 2" xfId="41570" xr:uid="{00000000-0005-0000-0000-000062A20000}"/>
    <cellStyle name="常规 6 3 8" xfId="41571" xr:uid="{00000000-0005-0000-0000-000063A20000}"/>
    <cellStyle name="常规 6 3 8 2" xfId="41572" xr:uid="{00000000-0005-0000-0000-000064A20000}"/>
    <cellStyle name="常规 6 3 8 3" xfId="41573" xr:uid="{00000000-0005-0000-0000-000065A20000}"/>
    <cellStyle name="常规 6 3 9" xfId="41574" xr:uid="{00000000-0005-0000-0000-000066A20000}"/>
    <cellStyle name="常规 6 4" xfId="41575" xr:uid="{00000000-0005-0000-0000-000067A20000}"/>
    <cellStyle name="常规 6 4 2" xfId="41576" xr:uid="{00000000-0005-0000-0000-000068A20000}"/>
    <cellStyle name="常规 6 4 2 2" xfId="41577" xr:uid="{00000000-0005-0000-0000-000069A20000}"/>
    <cellStyle name="常规 6 4 2 2 2" xfId="41578" xr:uid="{00000000-0005-0000-0000-00006AA20000}"/>
    <cellStyle name="常规 6 4 2 2 2 2" xfId="41579" xr:uid="{00000000-0005-0000-0000-00006BA20000}"/>
    <cellStyle name="常规 6 4 2 3" xfId="41580" xr:uid="{00000000-0005-0000-0000-00006CA20000}"/>
    <cellStyle name="常规 6 4 2 3 2" xfId="41581" xr:uid="{00000000-0005-0000-0000-00006DA20000}"/>
    <cellStyle name="常规 6 4 2 3 2 2" xfId="41582" xr:uid="{00000000-0005-0000-0000-00006EA20000}"/>
    <cellStyle name="常规 6 4 2 4" xfId="41583" xr:uid="{00000000-0005-0000-0000-00006FA20000}"/>
    <cellStyle name="常规 6 4 2 4 2" xfId="41584" xr:uid="{00000000-0005-0000-0000-000070A20000}"/>
    <cellStyle name="常规 6 4 2 4 3" xfId="41585" xr:uid="{00000000-0005-0000-0000-000071A20000}"/>
    <cellStyle name="常规 6 4 2 5" xfId="41586" xr:uid="{00000000-0005-0000-0000-000072A20000}"/>
    <cellStyle name="常规 6 4 2 5 2" xfId="41587" xr:uid="{00000000-0005-0000-0000-000073A20000}"/>
    <cellStyle name="常规 6 4 3" xfId="41588" xr:uid="{00000000-0005-0000-0000-000074A20000}"/>
    <cellStyle name="常规 6 4 3 2" xfId="41589" xr:uid="{00000000-0005-0000-0000-000075A20000}"/>
    <cellStyle name="常规 6 4 3 2 2" xfId="41590" xr:uid="{00000000-0005-0000-0000-000076A20000}"/>
    <cellStyle name="常规 6 4 4" xfId="41591" xr:uid="{00000000-0005-0000-0000-000077A20000}"/>
    <cellStyle name="常规 6 4 4 2" xfId="41592" xr:uid="{00000000-0005-0000-0000-000078A20000}"/>
    <cellStyle name="常规 6 4 4 2 2" xfId="41593" xr:uid="{00000000-0005-0000-0000-000079A20000}"/>
    <cellStyle name="常规 6 4 5" xfId="41594" xr:uid="{00000000-0005-0000-0000-00007AA20000}"/>
    <cellStyle name="常规 6 4 5 2" xfId="41595" xr:uid="{00000000-0005-0000-0000-00007BA20000}"/>
    <cellStyle name="常规 6 4 5 2 2" xfId="41596" xr:uid="{00000000-0005-0000-0000-00007CA20000}"/>
    <cellStyle name="常规 6 4 6" xfId="41597" xr:uid="{00000000-0005-0000-0000-00007DA20000}"/>
    <cellStyle name="常规 6 4 6 2" xfId="41598" xr:uid="{00000000-0005-0000-0000-00007EA20000}"/>
    <cellStyle name="常规 6 4 6 2 2" xfId="41599" xr:uid="{00000000-0005-0000-0000-00007FA20000}"/>
    <cellStyle name="常规 6 4 7" xfId="41600" xr:uid="{00000000-0005-0000-0000-000080A20000}"/>
    <cellStyle name="常规 6 4 7 2" xfId="41601" xr:uid="{00000000-0005-0000-0000-000081A20000}"/>
    <cellStyle name="常规 6 4 7 3" xfId="41602" xr:uid="{00000000-0005-0000-0000-000082A20000}"/>
    <cellStyle name="常规 6 4 8" xfId="41603" xr:uid="{00000000-0005-0000-0000-000083A20000}"/>
    <cellStyle name="常规 6 4 8 2" xfId="41604" xr:uid="{00000000-0005-0000-0000-000084A20000}"/>
    <cellStyle name="常规 6 5" xfId="41605" xr:uid="{00000000-0005-0000-0000-000085A20000}"/>
    <cellStyle name="常规 6 5 2" xfId="41606" xr:uid="{00000000-0005-0000-0000-000086A20000}"/>
    <cellStyle name="常规 6 5 2 2" xfId="41607" xr:uid="{00000000-0005-0000-0000-000087A20000}"/>
    <cellStyle name="常规 6 5 2 2 2" xfId="41608" xr:uid="{00000000-0005-0000-0000-000088A20000}"/>
    <cellStyle name="常规 6 5 2 2 2 2" xfId="41609" xr:uid="{00000000-0005-0000-0000-000089A20000}"/>
    <cellStyle name="常规 6 5 2 3" xfId="41610" xr:uid="{00000000-0005-0000-0000-00008AA20000}"/>
    <cellStyle name="常规 6 5 2 3 2" xfId="41611" xr:uid="{00000000-0005-0000-0000-00008BA20000}"/>
    <cellStyle name="常规 6 5 2 3 2 2" xfId="41612" xr:uid="{00000000-0005-0000-0000-00008CA20000}"/>
    <cellStyle name="常规 6 5 2 4" xfId="41613" xr:uid="{00000000-0005-0000-0000-00008DA20000}"/>
    <cellStyle name="常规 6 5 2 4 2" xfId="41614" xr:uid="{00000000-0005-0000-0000-00008EA20000}"/>
    <cellStyle name="常规 6 5 2 5" xfId="41615" xr:uid="{00000000-0005-0000-0000-00008FA20000}"/>
    <cellStyle name="常规 6 5 3" xfId="41616" xr:uid="{00000000-0005-0000-0000-000090A20000}"/>
    <cellStyle name="常规 6 5 3 2" xfId="41617" xr:uid="{00000000-0005-0000-0000-000091A20000}"/>
    <cellStyle name="常规 6 5 3 2 2" xfId="41618" xr:uid="{00000000-0005-0000-0000-000092A20000}"/>
    <cellStyle name="常规 6 5 4" xfId="41619" xr:uid="{00000000-0005-0000-0000-000093A20000}"/>
    <cellStyle name="常规 6 5 4 2" xfId="41620" xr:uid="{00000000-0005-0000-0000-000094A20000}"/>
    <cellStyle name="常规 6 5 4 3" xfId="41621" xr:uid="{00000000-0005-0000-0000-000095A20000}"/>
    <cellStyle name="常规 6 5 5" xfId="41622" xr:uid="{00000000-0005-0000-0000-000096A20000}"/>
    <cellStyle name="常规 6 5 5 2" xfId="41623" xr:uid="{00000000-0005-0000-0000-000097A20000}"/>
    <cellStyle name="常规 6 6" xfId="41624" xr:uid="{00000000-0005-0000-0000-000098A20000}"/>
    <cellStyle name="常规 6 6 2" xfId="41625" xr:uid="{00000000-0005-0000-0000-000099A20000}"/>
    <cellStyle name="常规 6 6 2 2" xfId="41626" xr:uid="{00000000-0005-0000-0000-00009AA20000}"/>
    <cellStyle name="常规 6 6 2 2 2" xfId="41627" xr:uid="{00000000-0005-0000-0000-00009BA20000}"/>
    <cellStyle name="常规 6 6 3" xfId="41628" xr:uid="{00000000-0005-0000-0000-00009CA20000}"/>
    <cellStyle name="常规 6 6 3 2" xfId="41629" xr:uid="{00000000-0005-0000-0000-00009DA20000}"/>
    <cellStyle name="常规 6 6 3 2 2" xfId="41630" xr:uid="{00000000-0005-0000-0000-00009EA20000}"/>
    <cellStyle name="常规 6 6 4" xfId="41631" xr:uid="{00000000-0005-0000-0000-00009FA20000}"/>
    <cellStyle name="常规 6 6 4 2" xfId="41632" xr:uid="{00000000-0005-0000-0000-0000A0A20000}"/>
    <cellStyle name="常规 6 6 5" xfId="41633" xr:uid="{00000000-0005-0000-0000-0000A1A20000}"/>
    <cellStyle name="常规 6 7" xfId="41634" xr:uid="{00000000-0005-0000-0000-0000A2A20000}"/>
    <cellStyle name="常规 6 7 2" xfId="41635" xr:uid="{00000000-0005-0000-0000-0000A3A20000}"/>
    <cellStyle name="常规 6 7 2 2" xfId="41636" xr:uid="{00000000-0005-0000-0000-0000A4A20000}"/>
    <cellStyle name="常规 6 8" xfId="41637" xr:uid="{00000000-0005-0000-0000-0000A5A20000}"/>
    <cellStyle name="常规 6 9" xfId="41638" xr:uid="{00000000-0005-0000-0000-0000A6A20000}"/>
    <cellStyle name="常规 6 9 2" xfId="41639" xr:uid="{00000000-0005-0000-0000-0000A7A20000}"/>
    <cellStyle name="常规 6 9 2 2" xfId="41640" xr:uid="{00000000-0005-0000-0000-0000A8A20000}"/>
    <cellStyle name="常规 6 9 3" xfId="41641" xr:uid="{00000000-0005-0000-0000-0000A9A20000}"/>
    <cellStyle name="常规 6 9 3 2" xfId="41642" xr:uid="{00000000-0005-0000-0000-0000AAA20000}"/>
    <cellStyle name="常规 7" xfId="41643" xr:uid="{00000000-0005-0000-0000-0000ABA20000}"/>
    <cellStyle name="常规 7 10" xfId="41644" xr:uid="{00000000-0005-0000-0000-0000ACA20000}"/>
    <cellStyle name="常规 7 10 2" xfId="41645" xr:uid="{00000000-0005-0000-0000-0000ADA20000}"/>
    <cellStyle name="常规 7 10 3" xfId="41646" xr:uid="{00000000-0005-0000-0000-0000AEA20000}"/>
    <cellStyle name="常规 7 11" xfId="41647" xr:uid="{00000000-0005-0000-0000-0000AFA20000}"/>
    <cellStyle name="常规 7 2" xfId="41648" xr:uid="{00000000-0005-0000-0000-0000B0A20000}"/>
    <cellStyle name="常规 7 2 10" xfId="41649" xr:uid="{00000000-0005-0000-0000-0000B1A20000}"/>
    <cellStyle name="常规 7 2 10 2" xfId="41650" xr:uid="{00000000-0005-0000-0000-0000B2A20000}"/>
    <cellStyle name="常规 7 2 2" xfId="41651" xr:uid="{00000000-0005-0000-0000-0000B3A20000}"/>
    <cellStyle name="常规 7 2 2 2" xfId="41652" xr:uid="{00000000-0005-0000-0000-0000B4A20000}"/>
    <cellStyle name="常规 7 2 2 2 2" xfId="41653" xr:uid="{00000000-0005-0000-0000-0000B5A20000}"/>
    <cellStyle name="常规 7 2 2 2 2 2" xfId="41654" xr:uid="{00000000-0005-0000-0000-0000B6A20000}"/>
    <cellStyle name="常规 7 2 2 2 2 3" xfId="41655" xr:uid="{00000000-0005-0000-0000-0000B7A20000}"/>
    <cellStyle name="常规 7 2 2 2 2 4" xfId="41656" xr:uid="{00000000-0005-0000-0000-0000B8A20000}"/>
    <cellStyle name="常规 7 2 2 2 2 4 2" xfId="41657" xr:uid="{00000000-0005-0000-0000-0000B9A20000}"/>
    <cellStyle name="常规 7 2 2 2 2 4 3" xfId="41658" xr:uid="{00000000-0005-0000-0000-0000BAA20000}"/>
    <cellStyle name="常规 7 2 2 2 2 5" xfId="41659" xr:uid="{00000000-0005-0000-0000-0000BBA20000}"/>
    <cellStyle name="常规 7 2 2 2 2 5 2" xfId="41660" xr:uid="{00000000-0005-0000-0000-0000BCA20000}"/>
    <cellStyle name="常规 7 2 2 2 3" xfId="41661" xr:uid="{00000000-0005-0000-0000-0000BDA20000}"/>
    <cellStyle name="常规 7 2 2 2 3 2" xfId="41662" xr:uid="{00000000-0005-0000-0000-0000BEA20000}"/>
    <cellStyle name="常规 7 2 2 2 3 2 2" xfId="41663" xr:uid="{00000000-0005-0000-0000-0000BFA20000}"/>
    <cellStyle name="常规 7 2 2 2 3 2 2 2" xfId="41664" xr:uid="{00000000-0005-0000-0000-0000C0A20000}"/>
    <cellStyle name="常规 7 2 2 2 3 3" xfId="41665" xr:uid="{00000000-0005-0000-0000-0000C1A20000}"/>
    <cellStyle name="常规 7 2 2 2 3 3 2" xfId="41666" xr:uid="{00000000-0005-0000-0000-0000C2A20000}"/>
    <cellStyle name="常规 7 2 2 2 3 3 2 2" xfId="41667" xr:uid="{00000000-0005-0000-0000-0000C3A20000}"/>
    <cellStyle name="常规 7 2 2 2 3 4" xfId="41668" xr:uid="{00000000-0005-0000-0000-0000C4A20000}"/>
    <cellStyle name="常规 7 2 2 2 3 4 2" xfId="41669" xr:uid="{00000000-0005-0000-0000-0000C5A20000}"/>
    <cellStyle name="常规 7 2 2 2 3 5" xfId="41670" xr:uid="{00000000-0005-0000-0000-0000C6A20000}"/>
    <cellStyle name="常规 7 2 2 2 4" xfId="41671" xr:uid="{00000000-0005-0000-0000-0000C7A20000}"/>
    <cellStyle name="常规 7 2 2 2 5" xfId="41672" xr:uid="{00000000-0005-0000-0000-0000C8A20000}"/>
    <cellStyle name="常规 7 2 2 2 6" xfId="41673" xr:uid="{00000000-0005-0000-0000-0000C9A20000}"/>
    <cellStyle name="常规 7 2 2 2 7" xfId="41674" xr:uid="{00000000-0005-0000-0000-0000CAA20000}"/>
    <cellStyle name="常规 7 2 2 2 7 2" xfId="41675" xr:uid="{00000000-0005-0000-0000-0000CBA20000}"/>
    <cellStyle name="常规 7 2 2 2 7 3" xfId="41676" xr:uid="{00000000-0005-0000-0000-0000CCA20000}"/>
    <cellStyle name="常规 7 2 2 2 8" xfId="41677" xr:uid="{00000000-0005-0000-0000-0000CDA20000}"/>
    <cellStyle name="常规 7 2 2 2 8 2" xfId="41678" xr:uid="{00000000-0005-0000-0000-0000CEA20000}"/>
    <cellStyle name="常规 7 2 2 3" xfId="41679" xr:uid="{00000000-0005-0000-0000-0000CFA20000}"/>
    <cellStyle name="常规 7 2 2 3 2" xfId="41680" xr:uid="{00000000-0005-0000-0000-0000D0A20000}"/>
    <cellStyle name="常规 7 2 2 3 3" xfId="41681" xr:uid="{00000000-0005-0000-0000-0000D1A20000}"/>
    <cellStyle name="常规 7 2 2 3 4" xfId="41682" xr:uid="{00000000-0005-0000-0000-0000D2A20000}"/>
    <cellStyle name="常规 7 2 2 3 4 2" xfId="41683" xr:uid="{00000000-0005-0000-0000-0000D3A20000}"/>
    <cellStyle name="常规 7 2 2 3 4 3" xfId="41684" xr:uid="{00000000-0005-0000-0000-0000D4A20000}"/>
    <cellStyle name="常规 7 2 2 3 5" xfId="41685" xr:uid="{00000000-0005-0000-0000-0000D5A20000}"/>
    <cellStyle name="常规 7 2 2 3 5 2" xfId="41686" xr:uid="{00000000-0005-0000-0000-0000D6A20000}"/>
    <cellStyle name="常规 7 2 2 4" xfId="41687" xr:uid="{00000000-0005-0000-0000-0000D7A20000}"/>
    <cellStyle name="常规 7 2 2 4 2" xfId="41688" xr:uid="{00000000-0005-0000-0000-0000D8A20000}"/>
    <cellStyle name="常规 7 2 2 4 2 2" xfId="41689" xr:uid="{00000000-0005-0000-0000-0000D9A20000}"/>
    <cellStyle name="常规 7 2 2 5" xfId="41690" xr:uid="{00000000-0005-0000-0000-0000DAA20000}"/>
    <cellStyle name="常规 7 2 2 5 2" xfId="41691" xr:uid="{00000000-0005-0000-0000-0000DBA20000}"/>
    <cellStyle name="常规 7 2 2 5 2 2" xfId="41692" xr:uid="{00000000-0005-0000-0000-0000DCA20000}"/>
    <cellStyle name="常规 7 2 2 6" xfId="41693" xr:uid="{00000000-0005-0000-0000-0000DDA20000}"/>
    <cellStyle name="常规 7 2 2 6 2" xfId="41694" xr:uid="{00000000-0005-0000-0000-0000DEA20000}"/>
    <cellStyle name="常规 7 2 2 6 2 2" xfId="41695" xr:uid="{00000000-0005-0000-0000-0000DFA20000}"/>
    <cellStyle name="常规 7 2 2 7" xfId="41696" xr:uid="{00000000-0005-0000-0000-0000E0A20000}"/>
    <cellStyle name="常规 7 2 2 8" xfId="41697" xr:uid="{00000000-0005-0000-0000-0000E1A20000}"/>
    <cellStyle name="常规 7 2 2 8 2" xfId="41698" xr:uid="{00000000-0005-0000-0000-0000E2A20000}"/>
    <cellStyle name="常规 7 2 2 8 3" xfId="41699" xr:uid="{00000000-0005-0000-0000-0000E3A20000}"/>
    <cellStyle name="常规 7 2 2 9" xfId="41700" xr:uid="{00000000-0005-0000-0000-0000E4A20000}"/>
    <cellStyle name="常规 7 2 2 9 2" xfId="41701" xr:uid="{00000000-0005-0000-0000-0000E5A20000}"/>
    <cellStyle name="常规 7 2 3" xfId="41702" xr:uid="{00000000-0005-0000-0000-0000E6A20000}"/>
    <cellStyle name="常规 7 2 3 2" xfId="41703" xr:uid="{00000000-0005-0000-0000-0000E7A20000}"/>
    <cellStyle name="常规 7 2 3 2 2" xfId="41704" xr:uid="{00000000-0005-0000-0000-0000E8A20000}"/>
    <cellStyle name="常规 7 2 3 2 3" xfId="41705" xr:uid="{00000000-0005-0000-0000-0000E9A20000}"/>
    <cellStyle name="常规 7 2 3 2 4" xfId="41706" xr:uid="{00000000-0005-0000-0000-0000EAA20000}"/>
    <cellStyle name="常规 7 2 3 2 4 2" xfId="41707" xr:uid="{00000000-0005-0000-0000-0000EBA20000}"/>
    <cellStyle name="常规 7 2 3 2 4 3" xfId="41708" xr:uid="{00000000-0005-0000-0000-0000ECA20000}"/>
    <cellStyle name="常规 7 2 3 2 5" xfId="41709" xr:uid="{00000000-0005-0000-0000-0000EDA20000}"/>
    <cellStyle name="常规 7 2 3 2 5 2" xfId="41710" xr:uid="{00000000-0005-0000-0000-0000EEA20000}"/>
    <cellStyle name="常规 7 2 3 3" xfId="41711" xr:uid="{00000000-0005-0000-0000-0000EFA20000}"/>
    <cellStyle name="常规 7 2 3 3 2" xfId="41712" xr:uid="{00000000-0005-0000-0000-0000F0A20000}"/>
    <cellStyle name="常规 7 2 3 3 2 2" xfId="41713" xr:uid="{00000000-0005-0000-0000-0000F1A20000}"/>
    <cellStyle name="常规 7 2 3 3 2 2 2" xfId="41714" xr:uid="{00000000-0005-0000-0000-0000F2A20000}"/>
    <cellStyle name="常规 7 2 3 3 3" xfId="41715" xr:uid="{00000000-0005-0000-0000-0000F3A20000}"/>
    <cellStyle name="常规 7 2 3 3 3 2" xfId="41716" xr:uid="{00000000-0005-0000-0000-0000F4A20000}"/>
    <cellStyle name="常规 7 2 3 3 3 2 2" xfId="41717" xr:uid="{00000000-0005-0000-0000-0000F5A20000}"/>
    <cellStyle name="常规 7 2 3 3 4" xfId="41718" xr:uid="{00000000-0005-0000-0000-0000F6A20000}"/>
    <cellStyle name="常规 7 2 3 3 4 2" xfId="41719" xr:uid="{00000000-0005-0000-0000-0000F7A20000}"/>
    <cellStyle name="常规 7 2 3 3 5" xfId="41720" xr:uid="{00000000-0005-0000-0000-0000F8A20000}"/>
    <cellStyle name="常规 7 2 3 4" xfId="41721" xr:uid="{00000000-0005-0000-0000-0000F9A20000}"/>
    <cellStyle name="常规 7 2 3 5" xfId="41722" xr:uid="{00000000-0005-0000-0000-0000FAA20000}"/>
    <cellStyle name="常规 7 2 3 6" xfId="41723" xr:uid="{00000000-0005-0000-0000-0000FBA20000}"/>
    <cellStyle name="常规 7 2 3 7" xfId="41724" xr:uid="{00000000-0005-0000-0000-0000FCA20000}"/>
    <cellStyle name="常规 7 2 3 7 2" xfId="41725" xr:uid="{00000000-0005-0000-0000-0000FDA20000}"/>
    <cellStyle name="常规 7 2 3 7 3" xfId="41726" xr:uid="{00000000-0005-0000-0000-0000FEA20000}"/>
    <cellStyle name="常规 7 2 3 8" xfId="41727" xr:uid="{00000000-0005-0000-0000-0000FFA20000}"/>
    <cellStyle name="常规 7 2 3 8 2" xfId="41728" xr:uid="{00000000-0005-0000-0000-000000A30000}"/>
    <cellStyle name="常规 7 2 4" xfId="41729" xr:uid="{00000000-0005-0000-0000-000001A30000}"/>
    <cellStyle name="常规 7 2 4 2" xfId="41730" xr:uid="{00000000-0005-0000-0000-000002A30000}"/>
    <cellStyle name="常规 7 2 4 3" xfId="41731" xr:uid="{00000000-0005-0000-0000-000003A30000}"/>
    <cellStyle name="常规 7 2 4 4" xfId="41732" xr:uid="{00000000-0005-0000-0000-000004A30000}"/>
    <cellStyle name="常规 7 2 4 4 2" xfId="41733" xr:uid="{00000000-0005-0000-0000-000005A30000}"/>
    <cellStyle name="常规 7 2 4 4 3" xfId="41734" xr:uid="{00000000-0005-0000-0000-000006A30000}"/>
    <cellStyle name="常规 7 2 4 5" xfId="41735" xr:uid="{00000000-0005-0000-0000-000007A30000}"/>
    <cellStyle name="常规 7 2 4 5 2" xfId="41736" xr:uid="{00000000-0005-0000-0000-000008A30000}"/>
    <cellStyle name="常规 7 2 5" xfId="41737" xr:uid="{00000000-0005-0000-0000-000009A30000}"/>
    <cellStyle name="常规 7 2 5 2" xfId="41738" xr:uid="{00000000-0005-0000-0000-00000AA30000}"/>
    <cellStyle name="常规 7 2 5 2 2" xfId="41739" xr:uid="{00000000-0005-0000-0000-00000BA30000}"/>
    <cellStyle name="常规 7 2 6" xfId="41740" xr:uid="{00000000-0005-0000-0000-00000CA30000}"/>
    <cellStyle name="常规 7 2 6 2" xfId="41741" xr:uid="{00000000-0005-0000-0000-00000DA30000}"/>
    <cellStyle name="常规 7 2 6 2 2" xfId="41742" xr:uid="{00000000-0005-0000-0000-00000EA30000}"/>
    <cellStyle name="常规 7 2 7" xfId="41743" xr:uid="{00000000-0005-0000-0000-00000FA30000}"/>
    <cellStyle name="常规 7 2 7 2" xfId="41744" xr:uid="{00000000-0005-0000-0000-000010A30000}"/>
    <cellStyle name="常规 7 2 7 2 2" xfId="41745" xr:uid="{00000000-0005-0000-0000-000011A30000}"/>
    <cellStyle name="常规 7 2 8" xfId="41746" xr:uid="{00000000-0005-0000-0000-000012A30000}"/>
    <cellStyle name="常规 7 2 9" xfId="41747" xr:uid="{00000000-0005-0000-0000-000013A30000}"/>
    <cellStyle name="常规 7 2 9 2" xfId="41748" xr:uid="{00000000-0005-0000-0000-000014A30000}"/>
    <cellStyle name="常规 7 2 9 3" xfId="41749" xr:uid="{00000000-0005-0000-0000-000015A30000}"/>
    <cellStyle name="常规 7 3" xfId="41750" xr:uid="{00000000-0005-0000-0000-000016A30000}"/>
    <cellStyle name="常规 7 3 2" xfId="41751" xr:uid="{00000000-0005-0000-0000-000017A30000}"/>
    <cellStyle name="常规 7 3 2 2" xfId="41752" xr:uid="{00000000-0005-0000-0000-000018A30000}"/>
    <cellStyle name="常规 7 3 2 2 2" xfId="41753" xr:uid="{00000000-0005-0000-0000-000019A30000}"/>
    <cellStyle name="常规 7 3 2 2 3" xfId="41754" xr:uid="{00000000-0005-0000-0000-00001AA30000}"/>
    <cellStyle name="常规 7 3 2 2 4" xfId="41755" xr:uid="{00000000-0005-0000-0000-00001BA30000}"/>
    <cellStyle name="常规 7 3 2 2 4 2" xfId="41756" xr:uid="{00000000-0005-0000-0000-00001CA30000}"/>
    <cellStyle name="常规 7 3 2 3" xfId="41757" xr:uid="{00000000-0005-0000-0000-00001DA30000}"/>
    <cellStyle name="常规 7 3 2 3 2" xfId="41758" xr:uid="{00000000-0005-0000-0000-00001EA30000}"/>
    <cellStyle name="常规 7 3 2 3 2 2" xfId="41759" xr:uid="{00000000-0005-0000-0000-00001FA30000}"/>
    <cellStyle name="常规 7 3 2 4" xfId="41760" xr:uid="{00000000-0005-0000-0000-000020A30000}"/>
    <cellStyle name="常规 7 3 2 4 2" xfId="41761" xr:uid="{00000000-0005-0000-0000-000021A30000}"/>
    <cellStyle name="常规 7 3 2 4 2 2" xfId="41762" xr:uid="{00000000-0005-0000-0000-000022A30000}"/>
    <cellStyle name="常规 7 3 2 5" xfId="41763" xr:uid="{00000000-0005-0000-0000-000023A30000}"/>
    <cellStyle name="常规 7 3 2 5 2" xfId="41764" xr:uid="{00000000-0005-0000-0000-000024A30000}"/>
    <cellStyle name="常规 7 3 2 5 3" xfId="41765" xr:uid="{00000000-0005-0000-0000-000025A30000}"/>
    <cellStyle name="常规 7 3 2 6" xfId="41766" xr:uid="{00000000-0005-0000-0000-000026A30000}"/>
    <cellStyle name="常规 7 3 2 7" xfId="41767" xr:uid="{00000000-0005-0000-0000-000027A30000}"/>
    <cellStyle name="常规 7 3 2 7 2" xfId="41768" xr:uid="{00000000-0005-0000-0000-000028A30000}"/>
    <cellStyle name="常规 7 3 2 8" xfId="41769" xr:uid="{00000000-0005-0000-0000-000029A30000}"/>
    <cellStyle name="常规 7 3 3" xfId="41770" xr:uid="{00000000-0005-0000-0000-00002AA30000}"/>
    <cellStyle name="常规 7 3 3 2" xfId="41771" xr:uid="{00000000-0005-0000-0000-00002BA30000}"/>
    <cellStyle name="常规 7 3 3 2 2" xfId="41772" xr:uid="{00000000-0005-0000-0000-00002CA30000}"/>
    <cellStyle name="常规 7 3 3 2 2 2" xfId="41773" xr:uid="{00000000-0005-0000-0000-00002DA30000}"/>
    <cellStyle name="常规 7 3 3 2 3" xfId="41774" xr:uid="{00000000-0005-0000-0000-00002EA30000}"/>
    <cellStyle name="常规 7 3 3 3" xfId="41775" xr:uid="{00000000-0005-0000-0000-00002FA30000}"/>
    <cellStyle name="常规 7 3 3 3 2" xfId="41776" xr:uid="{00000000-0005-0000-0000-000030A30000}"/>
    <cellStyle name="常规 7 3 3 3 2 2" xfId="41777" xr:uid="{00000000-0005-0000-0000-000031A30000}"/>
    <cellStyle name="常规 7 3 3 4" xfId="41778" xr:uid="{00000000-0005-0000-0000-000032A30000}"/>
    <cellStyle name="常规 7 3 3 4 2" xfId="41779" xr:uid="{00000000-0005-0000-0000-000033A30000}"/>
    <cellStyle name="常规 7 3 3 4 3" xfId="41780" xr:uid="{00000000-0005-0000-0000-000034A30000}"/>
    <cellStyle name="常规 7 3 3 5" xfId="41781" xr:uid="{00000000-0005-0000-0000-000035A30000}"/>
    <cellStyle name="常规 7 3 3 5 2" xfId="41782" xr:uid="{00000000-0005-0000-0000-000036A30000}"/>
    <cellStyle name="常规 7 3 4" xfId="41783" xr:uid="{00000000-0005-0000-0000-000037A30000}"/>
    <cellStyle name="常规 7 3 4 2" xfId="41784" xr:uid="{00000000-0005-0000-0000-000038A30000}"/>
    <cellStyle name="常规 7 3 4 2 2" xfId="41785" xr:uid="{00000000-0005-0000-0000-000039A30000}"/>
    <cellStyle name="常规 7 3 5" xfId="41786" xr:uid="{00000000-0005-0000-0000-00003AA30000}"/>
    <cellStyle name="常规 7 3 5 2" xfId="41787" xr:uid="{00000000-0005-0000-0000-00003BA30000}"/>
    <cellStyle name="常规 7 3 5 2 2" xfId="41788" xr:uid="{00000000-0005-0000-0000-00003CA30000}"/>
    <cellStyle name="常规 7 3 6" xfId="41789" xr:uid="{00000000-0005-0000-0000-00003DA30000}"/>
    <cellStyle name="常规 7 3 6 2" xfId="41790" xr:uid="{00000000-0005-0000-0000-00003EA30000}"/>
    <cellStyle name="常规 7 3 6 2 2" xfId="41791" xr:uid="{00000000-0005-0000-0000-00003FA30000}"/>
    <cellStyle name="常规 7 3 7" xfId="41792" xr:uid="{00000000-0005-0000-0000-000040A30000}"/>
    <cellStyle name="常规 7 3 7 2" xfId="41793" xr:uid="{00000000-0005-0000-0000-000041A30000}"/>
    <cellStyle name="常规 7 3 7 2 2" xfId="41794" xr:uid="{00000000-0005-0000-0000-000042A30000}"/>
    <cellStyle name="常规 7 3 8" xfId="41795" xr:uid="{00000000-0005-0000-0000-000043A30000}"/>
    <cellStyle name="常规 7 3 8 2" xfId="41796" xr:uid="{00000000-0005-0000-0000-000044A30000}"/>
    <cellStyle name="常规 7 3 8 3" xfId="41797" xr:uid="{00000000-0005-0000-0000-000045A30000}"/>
    <cellStyle name="常规 7 3 9" xfId="41798" xr:uid="{00000000-0005-0000-0000-000046A30000}"/>
    <cellStyle name="常规 7 4" xfId="41799" xr:uid="{00000000-0005-0000-0000-000047A30000}"/>
    <cellStyle name="常规 7 4 2" xfId="41800" xr:uid="{00000000-0005-0000-0000-000048A30000}"/>
    <cellStyle name="常规 7 4 2 2" xfId="41801" xr:uid="{00000000-0005-0000-0000-000049A30000}"/>
    <cellStyle name="常规 7 4 2 2 2" xfId="41802" xr:uid="{00000000-0005-0000-0000-00004AA30000}"/>
    <cellStyle name="常规 7 4 2 2 2 2" xfId="41803" xr:uid="{00000000-0005-0000-0000-00004BA30000}"/>
    <cellStyle name="常规 7 4 2 3" xfId="41804" xr:uid="{00000000-0005-0000-0000-00004CA30000}"/>
    <cellStyle name="常规 7 4 2 3 2" xfId="41805" xr:uid="{00000000-0005-0000-0000-00004DA30000}"/>
    <cellStyle name="常规 7 4 2 3 2 2" xfId="41806" xr:uid="{00000000-0005-0000-0000-00004EA30000}"/>
    <cellStyle name="常规 7 4 2 4" xfId="41807" xr:uid="{00000000-0005-0000-0000-00004FA30000}"/>
    <cellStyle name="常规 7 4 2 4 2" xfId="41808" xr:uid="{00000000-0005-0000-0000-000050A30000}"/>
    <cellStyle name="常规 7 4 2 4 3" xfId="41809" xr:uid="{00000000-0005-0000-0000-000051A30000}"/>
    <cellStyle name="常规 7 4 2 5" xfId="41810" xr:uid="{00000000-0005-0000-0000-000052A30000}"/>
    <cellStyle name="常规 7 4 2 5 2" xfId="41811" xr:uid="{00000000-0005-0000-0000-000053A30000}"/>
    <cellStyle name="常规 7 4 3" xfId="41812" xr:uid="{00000000-0005-0000-0000-000054A30000}"/>
    <cellStyle name="常规 7 4 3 2" xfId="41813" xr:uid="{00000000-0005-0000-0000-000055A30000}"/>
    <cellStyle name="常规 7 4 3 2 2" xfId="41814" xr:uid="{00000000-0005-0000-0000-000056A30000}"/>
    <cellStyle name="常规 7 4 4" xfId="41815" xr:uid="{00000000-0005-0000-0000-000057A30000}"/>
    <cellStyle name="常规 7 4 4 2" xfId="41816" xr:uid="{00000000-0005-0000-0000-000058A30000}"/>
    <cellStyle name="常规 7 4 4 2 2" xfId="41817" xr:uid="{00000000-0005-0000-0000-000059A30000}"/>
    <cellStyle name="常规 7 4 5" xfId="41818" xr:uid="{00000000-0005-0000-0000-00005AA30000}"/>
    <cellStyle name="常规 7 4 5 2" xfId="41819" xr:uid="{00000000-0005-0000-0000-00005BA30000}"/>
    <cellStyle name="常规 7 4 5 2 2" xfId="41820" xr:uid="{00000000-0005-0000-0000-00005CA30000}"/>
    <cellStyle name="常规 7 4 6" xfId="41821" xr:uid="{00000000-0005-0000-0000-00005DA30000}"/>
    <cellStyle name="常规 7 4 6 2" xfId="41822" xr:uid="{00000000-0005-0000-0000-00005EA30000}"/>
    <cellStyle name="常规 7 4 6 2 2" xfId="41823" xr:uid="{00000000-0005-0000-0000-00005FA30000}"/>
    <cellStyle name="常规 7 4 7" xfId="41824" xr:uid="{00000000-0005-0000-0000-000060A30000}"/>
    <cellStyle name="常规 7 4 7 2" xfId="41825" xr:uid="{00000000-0005-0000-0000-000061A30000}"/>
    <cellStyle name="常规 7 4 7 3" xfId="41826" xr:uid="{00000000-0005-0000-0000-000062A30000}"/>
    <cellStyle name="常规 7 4 8" xfId="41827" xr:uid="{00000000-0005-0000-0000-000063A30000}"/>
    <cellStyle name="常规 7 4 8 2" xfId="41828" xr:uid="{00000000-0005-0000-0000-000064A30000}"/>
    <cellStyle name="常规 7 5" xfId="41829" xr:uid="{00000000-0005-0000-0000-000065A30000}"/>
    <cellStyle name="常规 7 5 2" xfId="41830" xr:uid="{00000000-0005-0000-0000-000066A30000}"/>
    <cellStyle name="常规 7 5 2 2" xfId="41831" xr:uid="{00000000-0005-0000-0000-000067A30000}"/>
    <cellStyle name="常规 7 5 2 2 2" xfId="41832" xr:uid="{00000000-0005-0000-0000-000068A30000}"/>
    <cellStyle name="常规 7 5 2 2 2 2" xfId="41833" xr:uid="{00000000-0005-0000-0000-000069A30000}"/>
    <cellStyle name="常规 7 5 2 3" xfId="41834" xr:uid="{00000000-0005-0000-0000-00006AA30000}"/>
    <cellStyle name="常规 7 5 2 3 2" xfId="41835" xr:uid="{00000000-0005-0000-0000-00006BA30000}"/>
    <cellStyle name="常规 7 5 2 3 2 2" xfId="41836" xr:uid="{00000000-0005-0000-0000-00006CA30000}"/>
    <cellStyle name="常规 7 5 2 4" xfId="41837" xr:uid="{00000000-0005-0000-0000-00006DA30000}"/>
    <cellStyle name="常规 7 5 2 4 2" xfId="41838" xr:uid="{00000000-0005-0000-0000-00006EA30000}"/>
    <cellStyle name="常规 7 5 2 5" xfId="41839" xr:uid="{00000000-0005-0000-0000-00006FA30000}"/>
    <cellStyle name="常规 7 5 3" xfId="41840" xr:uid="{00000000-0005-0000-0000-000070A30000}"/>
    <cellStyle name="常规 7 5 3 2" xfId="41841" xr:uid="{00000000-0005-0000-0000-000071A30000}"/>
    <cellStyle name="常规 7 5 3 2 2" xfId="41842" xr:uid="{00000000-0005-0000-0000-000072A30000}"/>
    <cellStyle name="常规 7 5 4" xfId="41843" xr:uid="{00000000-0005-0000-0000-000073A30000}"/>
    <cellStyle name="常规 7 5 4 2" xfId="41844" xr:uid="{00000000-0005-0000-0000-000074A30000}"/>
    <cellStyle name="常规 7 5 4 3" xfId="41845" xr:uid="{00000000-0005-0000-0000-000075A30000}"/>
    <cellStyle name="常规 7 5 5" xfId="41846" xr:uid="{00000000-0005-0000-0000-000076A30000}"/>
    <cellStyle name="常规 7 5 5 2" xfId="41847" xr:uid="{00000000-0005-0000-0000-000077A30000}"/>
    <cellStyle name="常规 7 6" xfId="41848" xr:uid="{00000000-0005-0000-0000-000078A30000}"/>
    <cellStyle name="常规 7 6 2" xfId="41849" xr:uid="{00000000-0005-0000-0000-000079A30000}"/>
    <cellStyle name="常规 7 6 2 2" xfId="41850" xr:uid="{00000000-0005-0000-0000-00007AA30000}"/>
    <cellStyle name="常规 7 6 2 2 2" xfId="41851" xr:uid="{00000000-0005-0000-0000-00007BA30000}"/>
    <cellStyle name="常规 7 6 3" xfId="41852" xr:uid="{00000000-0005-0000-0000-00007CA30000}"/>
    <cellStyle name="常规 7 6 3 2" xfId="41853" xr:uid="{00000000-0005-0000-0000-00007DA30000}"/>
    <cellStyle name="常规 7 6 3 2 2" xfId="41854" xr:uid="{00000000-0005-0000-0000-00007EA30000}"/>
    <cellStyle name="常规 7 6 4" xfId="41855" xr:uid="{00000000-0005-0000-0000-00007FA30000}"/>
    <cellStyle name="常规 7 6 4 2" xfId="41856" xr:uid="{00000000-0005-0000-0000-000080A30000}"/>
    <cellStyle name="常规 7 6 5" xfId="41857" xr:uid="{00000000-0005-0000-0000-000081A30000}"/>
    <cellStyle name="常规 7 7" xfId="41858" xr:uid="{00000000-0005-0000-0000-000082A30000}"/>
    <cellStyle name="常规 7 7 2" xfId="41859" xr:uid="{00000000-0005-0000-0000-000083A30000}"/>
    <cellStyle name="常规 7 7 2 2" xfId="41860" xr:uid="{00000000-0005-0000-0000-000084A30000}"/>
    <cellStyle name="常规 7 8" xfId="41861" xr:uid="{00000000-0005-0000-0000-000085A30000}"/>
    <cellStyle name="常规 7 8 2" xfId="41862" xr:uid="{00000000-0005-0000-0000-000086A30000}"/>
    <cellStyle name="常规 7 8 2 2" xfId="41863" xr:uid="{00000000-0005-0000-0000-000087A30000}"/>
    <cellStyle name="常规 7 9" xfId="41864" xr:uid="{00000000-0005-0000-0000-000088A30000}"/>
    <cellStyle name="常规 7 9 2" xfId="41865" xr:uid="{00000000-0005-0000-0000-000089A30000}"/>
    <cellStyle name="常规 7 9 2 2" xfId="41866" xr:uid="{00000000-0005-0000-0000-00008AA30000}"/>
    <cellStyle name="常规 8" xfId="41867" xr:uid="{00000000-0005-0000-0000-00008BA30000}"/>
    <cellStyle name="常规 8 10" xfId="41868" xr:uid="{00000000-0005-0000-0000-00008CA30000}"/>
    <cellStyle name="常规 8 10 2" xfId="41869" xr:uid="{00000000-0005-0000-0000-00008DA30000}"/>
    <cellStyle name="常规 8 10 2 2" xfId="41870" xr:uid="{00000000-0005-0000-0000-00008EA30000}"/>
    <cellStyle name="常规 8 11" xfId="41871" xr:uid="{00000000-0005-0000-0000-00008FA30000}"/>
    <cellStyle name="常规 8 11 2" xfId="41872" xr:uid="{00000000-0005-0000-0000-000090A30000}"/>
    <cellStyle name="常规 8 11 3" xfId="41873" xr:uid="{00000000-0005-0000-0000-000091A30000}"/>
    <cellStyle name="常规 8 12" xfId="41874" xr:uid="{00000000-0005-0000-0000-000092A30000}"/>
    <cellStyle name="常规 8 2" xfId="41875" xr:uid="{00000000-0005-0000-0000-000093A30000}"/>
    <cellStyle name="常规 8 2 10" xfId="41876" xr:uid="{00000000-0005-0000-0000-000094A30000}"/>
    <cellStyle name="常规 8 2 10 2" xfId="41877" xr:uid="{00000000-0005-0000-0000-000095A30000}"/>
    <cellStyle name="常规 8 2 10 3" xfId="41878" xr:uid="{00000000-0005-0000-0000-000096A30000}"/>
    <cellStyle name="常规 8 2 11" xfId="41879" xr:uid="{00000000-0005-0000-0000-000097A30000}"/>
    <cellStyle name="常规 8 2 2" xfId="41880" xr:uid="{00000000-0005-0000-0000-000098A30000}"/>
    <cellStyle name="常规 8 2 2 2" xfId="41881" xr:uid="{00000000-0005-0000-0000-000099A30000}"/>
    <cellStyle name="常规 8 2 2 2 2" xfId="41882" xr:uid="{00000000-0005-0000-0000-00009AA30000}"/>
    <cellStyle name="常规 8 2 2 2 2 2" xfId="41883" xr:uid="{00000000-0005-0000-0000-00009BA30000}"/>
    <cellStyle name="常规 8 2 2 2 2 2 2" xfId="41884" xr:uid="{00000000-0005-0000-0000-00009CA30000}"/>
    <cellStyle name="常规 8 2 2 2 2 2 2 2" xfId="41885" xr:uid="{00000000-0005-0000-0000-00009DA30000}"/>
    <cellStyle name="常规 8 2 2 2 2 3" xfId="41886" xr:uid="{00000000-0005-0000-0000-00009EA30000}"/>
    <cellStyle name="常规 8 2 2 2 2 3 2" xfId="41887" xr:uid="{00000000-0005-0000-0000-00009FA30000}"/>
    <cellStyle name="常规 8 2 2 2 2 3 2 2" xfId="41888" xr:uid="{00000000-0005-0000-0000-0000A0A30000}"/>
    <cellStyle name="常规 8 2 2 2 2 4" xfId="41889" xr:uid="{00000000-0005-0000-0000-0000A1A30000}"/>
    <cellStyle name="常规 8 2 2 2 2 4 2" xfId="41890" xr:uid="{00000000-0005-0000-0000-0000A2A30000}"/>
    <cellStyle name="常规 8 2 2 2 2 4 3" xfId="41891" xr:uid="{00000000-0005-0000-0000-0000A3A30000}"/>
    <cellStyle name="常规 8 2 2 2 2 5" xfId="41892" xr:uid="{00000000-0005-0000-0000-0000A4A30000}"/>
    <cellStyle name="常规 8 2 2 2 2 5 2" xfId="41893" xr:uid="{00000000-0005-0000-0000-0000A5A30000}"/>
    <cellStyle name="常规 8 2 2 2 3" xfId="41894" xr:uid="{00000000-0005-0000-0000-0000A6A30000}"/>
    <cellStyle name="常规 8 2 2 2 3 2" xfId="41895" xr:uid="{00000000-0005-0000-0000-0000A7A30000}"/>
    <cellStyle name="常规 8 2 2 2 3 2 2" xfId="41896" xr:uid="{00000000-0005-0000-0000-0000A8A30000}"/>
    <cellStyle name="常规 8 2 2 2 3 2 2 2" xfId="41897" xr:uid="{00000000-0005-0000-0000-0000A9A30000}"/>
    <cellStyle name="常规 8 2 2 2 3 3" xfId="41898" xr:uid="{00000000-0005-0000-0000-0000AAA30000}"/>
    <cellStyle name="常规 8 2 2 2 3 3 2" xfId="41899" xr:uid="{00000000-0005-0000-0000-0000ABA30000}"/>
    <cellStyle name="常规 8 2 2 2 3 3 2 2" xfId="41900" xr:uid="{00000000-0005-0000-0000-0000ACA30000}"/>
    <cellStyle name="常规 8 2 2 2 3 4" xfId="41901" xr:uid="{00000000-0005-0000-0000-0000ADA30000}"/>
    <cellStyle name="常规 8 2 2 2 3 4 2" xfId="41902" xr:uid="{00000000-0005-0000-0000-0000AEA30000}"/>
    <cellStyle name="常规 8 2 2 2 3 5" xfId="41903" xr:uid="{00000000-0005-0000-0000-0000AFA30000}"/>
    <cellStyle name="常规 8 2 2 2 4" xfId="41904" xr:uid="{00000000-0005-0000-0000-0000B0A30000}"/>
    <cellStyle name="常规 8 2 2 2 4 2" xfId="41905" xr:uid="{00000000-0005-0000-0000-0000B1A30000}"/>
    <cellStyle name="常规 8 2 2 2 4 2 2" xfId="41906" xr:uid="{00000000-0005-0000-0000-0000B2A30000}"/>
    <cellStyle name="常规 8 2 2 2 5" xfId="41907" xr:uid="{00000000-0005-0000-0000-0000B3A30000}"/>
    <cellStyle name="常规 8 2 2 2 5 2" xfId="41908" xr:uid="{00000000-0005-0000-0000-0000B4A30000}"/>
    <cellStyle name="常规 8 2 2 2 5 2 2" xfId="41909" xr:uid="{00000000-0005-0000-0000-0000B5A30000}"/>
    <cellStyle name="常规 8 2 2 2 6" xfId="41910" xr:uid="{00000000-0005-0000-0000-0000B6A30000}"/>
    <cellStyle name="常规 8 2 2 2 6 2" xfId="41911" xr:uid="{00000000-0005-0000-0000-0000B7A30000}"/>
    <cellStyle name="常规 8 2 2 2 6 2 2" xfId="41912" xr:uid="{00000000-0005-0000-0000-0000B8A30000}"/>
    <cellStyle name="常规 8 2 2 2 7" xfId="41913" xr:uid="{00000000-0005-0000-0000-0000B9A30000}"/>
    <cellStyle name="常规 8 2 2 2 7 2" xfId="41914" xr:uid="{00000000-0005-0000-0000-0000BAA30000}"/>
    <cellStyle name="常规 8 2 2 2 7 3" xfId="41915" xr:uid="{00000000-0005-0000-0000-0000BBA30000}"/>
    <cellStyle name="常规 8 2 2 2 8" xfId="41916" xr:uid="{00000000-0005-0000-0000-0000BCA30000}"/>
    <cellStyle name="常规 8 2 2 2 8 2" xfId="41917" xr:uid="{00000000-0005-0000-0000-0000BDA30000}"/>
    <cellStyle name="常规 8 2 2 3" xfId="41918" xr:uid="{00000000-0005-0000-0000-0000BEA30000}"/>
    <cellStyle name="常规 8 2 2 3 2" xfId="41919" xr:uid="{00000000-0005-0000-0000-0000BFA30000}"/>
    <cellStyle name="常规 8 2 2 3 2 2" xfId="41920" xr:uid="{00000000-0005-0000-0000-0000C0A30000}"/>
    <cellStyle name="常规 8 2 2 3 2 2 2" xfId="41921" xr:uid="{00000000-0005-0000-0000-0000C1A30000}"/>
    <cellStyle name="常规 8 2 2 3 3" xfId="41922" xr:uid="{00000000-0005-0000-0000-0000C2A30000}"/>
    <cellStyle name="常规 8 2 2 3 3 2" xfId="41923" xr:uid="{00000000-0005-0000-0000-0000C3A30000}"/>
    <cellStyle name="常规 8 2 2 3 3 2 2" xfId="41924" xr:uid="{00000000-0005-0000-0000-0000C4A30000}"/>
    <cellStyle name="常规 8 2 2 3 4" xfId="41925" xr:uid="{00000000-0005-0000-0000-0000C5A30000}"/>
    <cellStyle name="常规 8 2 2 3 4 2" xfId="41926" xr:uid="{00000000-0005-0000-0000-0000C6A30000}"/>
    <cellStyle name="常规 8 2 2 3 4 3" xfId="41927" xr:uid="{00000000-0005-0000-0000-0000C7A30000}"/>
    <cellStyle name="常规 8 2 2 3 5" xfId="41928" xr:uid="{00000000-0005-0000-0000-0000C8A30000}"/>
    <cellStyle name="常规 8 2 2 3 5 2" xfId="41929" xr:uid="{00000000-0005-0000-0000-0000C9A30000}"/>
    <cellStyle name="常规 8 2 2 4" xfId="41930" xr:uid="{00000000-0005-0000-0000-0000CAA30000}"/>
    <cellStyle name="常规 8 2 2 4 2" xfId="41931" xr:uid="{00000000-0005-0000-0000-0000CBA30000}"/>
    <cellStyle name="常规 8 2 2 4 2 2" xfId="41932" xr:uid="{00000000-0005-0000-0000-0000CCA30000}"/>
    <cellStyle name="常规 8 2 2 5" xfId="41933" xr:uid="{00000000-0005-0000-0000-0000CDA30000}"/>
    <cellStyle name="常规 8 2 2 5 2" xfId="41934" xr:uid="{00000000-0005-0000-0000-0000CEA30000}"/>
    <cellStyle name="常规 8 2 2 5 2 2" xfId="41935" xr:uid="{00000000-0005-0000-0000-0000CFA30000}"/>
    <cellStyle name="常规 8 2 2 6" xfId="41936" xr:uid="{00000000-0005-0000-0000-0000D0A30000}"/>
    <cellStyle name="常规 8 2 2 6 2" xfId="41937" xr:uid="{00000000-0005-0000-0000-0000D1A30000}"/>
    <cellStyle name="常规 8 2 2 6 2 2" xfId="41938" xr:uid="{00000000-0005-0000-0000-0000D2A30000}"/>
    <cellStyle name="常规 8 2 2 7" xfId="41939" xr:uid="{00000000-0005-0000-0000-0000D3A30000}"/>
    <cellStyle name="常规 8 2 2 7 2" xfId="41940" xr:uid="{00000000-0005-0000-0000-0000D4A30000}"/>
    <cellStyle name="常规 8 2 2 7 2 2" xfId="41941" xr:uid="{00000000-0005-0000-0000-0000D5A30000}"/>
    <cellStyle name="常规 8 2 2 8" xfId="41942" xr:uid="{00000000-0005-0000-0000-0000D6A30000}"/>
    <cellStyle name="常规 8 2 2 8 2" xfId="41943" xr:uid="{00000000-0005-0000-0000-0000D7A30000}"/>
    <cellStyle name="常规 8 2 2 8 3" xfId="41944" xr:uid="{00000000-0005-0000-0000-0000D8A30000}"/>
    <cellStyle name="常规 8 2 2 9" xfId="41945" xr:uid="{00000000-0005-0000-0000-0000D9A30000}"/>
    <cellStyle name="常规 8 2 2 9 2" xfId="41946" xr:uid="{00000000-0005-0000-0000-0000DAA30000}"/>
    <cellStyle name="常规 8 2 3" xfId="41947" xr:uid="{00000000-0005-0000-0000-0000DBA30000}"/>
    <cellStyle name="常规 8 2 3 2" xfId="41948" xr:uid="{00000000-0005-0000-0000-0000DCA30000}"/>
    <cellStyle name="常规 8 2 3 2 2" xfId="41949" xr:uid="{00000000-0005-0000-0000-0000DDA30000}"/>
    <cellStyle name="常规 8 2 3 2 2 2" xfId="41950" xr:uid="{00000000-0005-0000-0000-0000DEA30000}"/>
    <cellStyle name="常规 8 2 3 2 2 3" xfId="41951" xr:uid="{00000000-0005-0000-0000-0000DFA30000}"/>
    <cellStyle name="常规 8 2 3 2 2 4" xfId="41952" xr:uid="{00000000-0005-0000-0000-0000E0A30000}"/>
    <cellStyle name="常规 8 2 3 2 2 4 2" xfId="41953" xr:uid="{00000000-0005-0000-0000-0000E1A30000}"/>
    <cellStyle name="常规 8 2 3 2 3" xfId="41954" xr:uid="{00000000-0005-0000-0000-0000E2A30000}"/>
    <cellStyle name="常规 8 2 3 2 3 2" xfId="41955" xr:uid="{00000000-0005-0000-0000-0000E3A30000}"/>
    <cellStyle name="常规 8 2 3 2 3 2 2" xfId="41956" xr:uid="{00000000-0005-0000-0000-0000E4A30000}"/>
    <cellStyle name="常规 8 2 3 2 4" xfId="41957" xr:uid="{00000000-0005-0000-0000-0000E5A30000}"/>
    <cellStyle name="常规 8 2 3 2 4 2" xfId="41958" xr:uid="{00000000-0005-0000-0000-0000E6A30000}"/>
    <cellStyle name="常规 8 2 3 2 4 2 2" xfId="41959" xr:uid="{00000000-0005-0000-0000-0000E7A30000}"/>
    <cellStyle name="常规 8 2 3 2 5" xfId="41960" xr:uid="{00000000-0005-0000-0000-0000E8A30000}"/>
    <cellStyle name="常规 8 2 3 2 5 2" xfId="41961" xr:uid="{00000000-0005-0000-0000-0000E9A30000}"/>
    <cellStyle name="常规 8 2 3 2 5 3" xfId="41962" xr:uid="{00000000-0005-0000-0000-0000EAA30000}"/>
    <cellStyle name="常规 8 2 3 2 6" xfId="41963" xr:uid="{00000000-0005-0000-0000-0000EBA30000}"/>
    <cellStyle name="常规 8 2 3 2 7" xfId="41964" xr:uid="{00000000-0005-0000-0000-0000ECA30000}"/>
    <cellStyle name="常规 8 2 3 2 7 2" xfId="41965" xr:uid="{00000000-0005-0000-0000-0000EDA30000}"/>
    <cellStyle name="常规 8 2 3 2 8" xfId="41966" xr:uid="{00000000-0005-0000-0000-0000EEA30000}"/>
    <cellStyle name="常规 8 2 3 3" xfId="41967" xr:uid="{00000000-0005-0000-0000-0000EFA30000}"/>
    <cellStyle name="常规 8 2 3 3 2" xfId="41968" xr:uid="{00000000-0005-0000-0000-0000F0A30000}"/>
    <cellStyle name="常规 8 2 3 3 2 2" xfId="41969" xr:uid="{00000000-0005-0000-0000-0000F1A30000}"/>
    <cellStyle name="常规 8 2 3 3 2 2 2" xfId="41970" xr:uid="{00000000-0005-0000-0000-0000F2A30000}"/>
    <cellStyle name="常规 8 2 3 3 2 3" xfId="41971" xr:uid="{00000000-0005-0000-0000-0000F3A30000}"/>
    <cellStyle name="常规 8 2 3 3 3" xfId="41972" xr:uid="{00000000-0005-0000-0000-0000F4A30000}"/>
    <cellStyle name="常规 8 2 3 3 3 2" xfId="41973" xr:uid="{00000000-0005-0000-0000-0000F5A30000}"/>
    <cellStyle name="常规 8 2 3 3 3 2 2" xfId="41974" xr:uid="{00000000-0005-0000-0000-0000F6A30000}"/>
    <cellStyle name="常规 8 2 3 3 4" xfId="41975" xr:uid="{00000000-0005-0000-0000-0000F7A30000}"/>
    <cellStyle name="常规 8 2 3 3 4 2" xfId="41976" xr:uid="{00000000-0005-0000-0000-0000F8A30000}"/>
    <cellStyle name="常规 8 2 3 3 4 3" xfId="41977" xr:uid="{00000000-0005-0000-0000-0000F9A30000}"/>
    <cellStyle name="常规 8 2 3 3 5" xfId="41978" xr:uid="{00000000-0005-0000-0000-0000FAA30000}"/>
    <cellStyle name="常规 8 2 3 3 5 2" xfId="41979" xr:uid="{00000000-0005-0000-0000-0000FBA30000}"/>
    <cellStyle name="常规 8 2 3 4" xfId="41980" xr:uid="{00000000-0005-0000-0000-0000FCA30000}"/>
    <cellStyle name="常规 8 2 3 4 2" xfId="41981" xr:uid="{00000000-0005-0000-0000-0000FDA30000}"/>
    <cellStyle name="常规 8 2 3 4 2 2" xfId="41982" xr:uid="{00000000-0005-0000-0000-0000FEA30000}"/>
    <cellStyle name="常规 8 2 3 5" xfId="41983" xr:uid="{00000000-0005-0000-0000-0000FFA30000}"/>
    <cellStyle name="常规 8 2 3 5 2" xfId="41984" xr:uid="{00000000-0005-0000-0000-000000A40000}"/>
    <cellStyle name="常规 8 2 3 5 2 2" xfId="41985" xr:uid="{00000000-0005-0000-0000-000001A40000}"/>
    <cellStyle name="常规 8 2 3 6" xfId="41986" xr:uid="{00000000-0005-0000-0000-000002A40000}"/>
    <cellStyle name="常规 8 2 3 6 2" xfId="41987" xr:uid="{00000000-0005-0000-0000-000003A40000}"/>
    <cellStyle name="常规 8 2 3 6 2 2" xfId="41988" xr:uid="{00000000-0005-0000-0000-000004A40000}"/>
    <cellStyle name="常规 8 2 3 7" xfId="41989" xr:uid="{00000000-0005-0000-0000-000005A40000}"/>
    <cellStyle name="常规 8 2 3 7 2" xfId="41990" xr:uid="{00000000-0005-0000-0000-000006A40000}"/>
    <cellStyle name="常规 8 2 3 7 2 2" xfId="41991" xr:uid="{00000000-0005-0000-0000-000007A40000}"/>
    <cellStyle name="常规 8 2 3 8" xfId="41992" xr:uid="{00000000-0005-0000-0000-000008A40000}"/>
    <cellStyle name="常规 8 2 3 8 2" xfId="41993" xr:uid="{00000000-0005-0000-0000-000009A40000}"/>
    <cellStyle name="常规 8 2 3 8 3" xfId="41994" xr:uid="{00000000-0005-0000-0000-00000AA40000}"/>
    <cellStyle name="常规 8 2 3 9" xfId="41995" xr:uid="{00000000-0005-0000-0000-00000BA40000}"/>
    <cellStyle name="常规 8 2 4" xfId="41996" xr:uid="{00000000-0005-0000-0000-00000CA40000}"/>
    <cellStyle name="常规 8 2 4 2" xfId="41997" xr:uid="{00000000-0005-0000-0000-00000DA40000}"/>
    <cellStyle name="常规 8 2 4 2 2" xfId="41998" xr:uid="{00000000-0005-0000-0000-00000EA40000}"/>
    <cellStyle name="常规 8 2 4 2 3" xfId="41999" xr:uid="{00000000-0005-0000-0000-00000FA40000}"/>
    <cellStyle name="常规 8 2 4 2 4" xfId="42000" xr:uid="{00000000-0005-0000-0000-000010A40000}"/>
    <cellStyle name="常规 8 2 4 2 4 2" xfId="42001" xr:uid="{00000000-0005-0000-0000-000011A40000}"/>
    <cellStyle name="常规 8 2 4 3" xfId="42002" xr:uid="{00000000-0005-0000-0000-000012A40000}"/>
    <cellStyle name="常规 8 2 4 3 2" xfId="42003" xr:uid="{00000000-0005-0000-0000-000013A40000}"/>
    <cellStyle name="常规 8 2 4 3 2 2" xfId="42004" xr:uid="{00000000-0005-0000-0000-000014A40000}"/>
    <cellStyle name="常规 8 2 4 4" xfId="42005" xr:uid="{00000000-0005-0000-0000-000015A40000}"/>
    <cellStyle name="常规 8 2 4 4 2" xfId="42006" xr:uid="{00000000-0005-0000-0000-000016A40000}"/>
    <cellStyle name="常规 8 2 4 4 2 2" xfId="42007" xr:uid="{00000000-0005-0000-0000-000017A40000}"/>
    <cellStyle name="常规 8 2 4 5" xfId="42008" xr:uid="{00000000-0005-0000-0000-000018A40000}"/>
    <cellStyle name="常规 8 2 4 5 2" xfId="42009" xr:uid="{00000000-0005-0000-0000-000019A40000}"/>
    <cellStyle name="常规 8 2 4 5 3" xfId="42010" xr:uid="{00000000-0005-0000-0000-00001AA40000}"/>
    <cellStyle name="常规 8 2 4 6" xfId="42011" xr:uid="{00000000-0005-0000-0000-00001BA40000}"/>
    <cellStyle name="常规 8 2 4 7" xfId="42012" xr:uid="{00000000-0005-0000-0000-00001CA40000}"/>
    <cellStyle name="常规 8 2 4 7 2" xfId="42013" xr:uid="{00000000-0005-0000-0000-00001DA40000}"/>
    <cellStyle name="常规 8 2 4 8" xfId="42014" xr:uid="{00000000-0005-0000-0000-00001EA40000}"/>
    <cellStyle name="常规 8 2 5" xfId="42015" xr:uid="{00000000-0005-0000-0000-00001FA40000}"/>
    <cellStyle name="常规 8 2 5 2" xfId="42016" xr:uid="{00000000-0005-0000-0000-000020A40000}"/>
    <cellStyle name="常规 8 2 5 3" xfId="42017" xr:uid="{00000000-0005-0000-0000-000021A40000}"/>
    <cellStyle name="常规 8 2 5 4" xfId="42018" xr:uid="{00000000-0005-0000-0000-000022A40000}"/>
    <cellStyle name="常规 8 2 5 4 2" xfId="42019" xr:uid="{00000000-0005-0000-0000-000023A40000}"/>
    <cellStyle name="常规 8 2 6" xfId="42020" xr:uid="{00000000-0005-0000-0000-000024A40000}"/>
    <cellStyle name="常规 8 2 6 2" xfId="42021" xr:uid="{00000000-0005-0000-0000-000025A40000}"/>
    <cellStyle name="常规 8 2 6 2 2" xfId="42022" xr:uid="{00000000-0005-0000-0000-000026A40000}"/>
    <cellStyle name="常规 8 2 7" xfId="42023" xr:uid="{00000000-0005-0000-0000-000027A40000}"/>
    <cellStyle name="常规 8 2 7 2" xfId="42024" xr:uid="{00000000-0005-0000-0000-000028A40000}"/>
    <cellStyle name="常规 8 2 7 2 2" xfId="42025" xr:uid="{00000000-0005-0000-0000-000029A40000}"/>
    <cellStyle name="常规 8 2 8" xfId="42026" xr:uid="{00000000-0005-0000-0000-00002AA40000}"/>
    <cellStyle name="常规 8 2 8 2" xfId="42027" xr:uid="{00000000-0005-0000-0000-00002BA40000}"/>
    <cellStyle name="常规 8 2 8 2 2" xfId="42028" xr:uid="{00000000-0005-0000-0000-00002CA40000}"/>
    <cellStyle name="常规 8 2 9" xfId="42029" xr:uid="{00000000-0005-0000-0000-00002DA40000}"/>
    <cellStyle name="常规 8 2 9 2" xfId="42030" xr:uid="{00000000-0005-0000-0000-00002EA40000}"/>
    <cellStyle name="常规 8 2 9 2 2" xfId="42031" xr:uid="{00000000-0005-0000-0000-00002FA40000}"/>
    <cellStyle name="常规 8 3" xfId="42032" xr:uid="{00000000-0005-0000-0000-000030A40000}"/>
    <cellStyle name="常规 8 3 2" xfId="42033" xr:uid="{00000000-0005-0000-0000-000031A40000}"/>
    <cellStyle name="常规 8 3 2 2" xfId="42034" xr:uid="{00000000-0005-0000-0000-000032A40000}"/>
    <cellStyle name="常规 8 3 2 2 2" xfId="42035" xr:uid="{00000000-0005-0000-0000-000033A40000}"/>
    <cellStyle name="常规 8 3 2 2 3" xfId="42036" xr:uid="{00000000-0005-0000-0000-000034A40000}"/>
    <cellStyle name="常规 8 3 2 2 4" xfId="42037" xr:uid="{00000000-0005-0000-0000-000035A40000}"/>
    <cellStyle name="常规 8 3 2 2 4 2" xfId="42038" xr:uid="{00000000-0005-0000-0000-000036A40000}"/>
    <cellStyle name="常规 8 3 2 3" xfId="42039" xr:uid="{00000000-0005-0000-0000-000037A40000}"/>
    <cellStyle name="常规 8 3 2 3 2" xfId="42040" xr:uid="{00000000-0005-0000-0000-000038A40000}"/>
    <cellStyle name="常规 8 3 2 3 2 2" xfId="42041" xr:uid="{00000000-0005-0000-0000-000039A40000}"/>
    <cellStyle name="常规 8 3 2 4" xfId="42042" xr:uid="{00000000-0005-0000-0000-00003AA40000}"/>
    <cellStyle name="常规 8 3 2 4 2" xfId="42043" xr:uid="{00000000-0005-0000-0000-00003BA40000}"/>
    <cellStyle name="常规 8 3 2 4 2 2" xfId="42044" xr:uid="{00000000-0005-0000-0000-00003CA40000}"/>
    <cellStyle name="常规 8 3 2 5" xfId="42045" xr:uid="{00000000-0005-0000-0000-00003DA40000}"/>
    <cellStyle name="常规 8 3 2 5 2" xfId="42046" xr:uid="{00000000-0005-0000-0000-00003EA40000}"/>
    <cellStyle name="常规 8 3 2 5 3" xfId="42047" xr:uid="{00000000-0005-0000-0000-00003FA40000}"/>
    <cellStyle name="常规 8 3 2 6" xfId="42048" xr:uid="{00000000-0005-0000-0000-000040A40000}"/>
    <cellStyle name="常规 8 3 2 7" xfId="42049" xr:uid="{00000000-0005-0000-0000-000041A40000}"/>
    <cellStyle name="常规 8 3 2 7 2" xfId="42050" xr:uid="{00000000-0005-0000-0000-000042A40000}"/>
    <cellStyle name="常规 8 3 2 8" xfId="42051" xr:uid="{00000000-0005-0000-0000-000043A40000}"/>
    <cellStyle name="常规 8 3 3" xfId="42052" xr:uid="{00000000-0005-0000-0000-000044A40000}"/>
    <cellStyle name="常规 8 3 3 2" xfId="42053" xr:uid="{00000000-0005-0000-0000-000045A40000}"/>
    <cellStyle name="常规 8 3 3 2 2" xfId="42054" xr:uid="{00000000-0005-0000-0000-000046A40000}"/>
    <cellStyle name="常规 8 3 3 2 2 2" xfId="42055" xr:uid="{00000000-0005-0000-0000-000047A40000}"/>
    <cellStyle name="常规 8 3 3 2 3" xfId="42056" xr:uid="{00000000-0005-0000-0000-000048A40000}"/>
    <cellStyle name="常规 8 3 3 3" xfId="42057" xr:uid="{00000000-0005-0000-0000-000049A40000}"/>
    <cellStyle name="常规 8 3 3 3 2" xfId="42058" xr:uid="{00000000-0005-0000-0000-00004AA40000}"/>
    <cellStyle name="常规 8 3 3 3 2 2" xfId="42059" xr:uid="{00000000-0005-0000-0000-00004BA40000}"/>
    <cellStyle name="常规 8 3 3 4" xfId="42060" xr:uid="{00000000-0005-0000-0000-00004CA40000}"/>
    <cellStyle name="常规 8 3 3 4 2" xfId="42061" xr:uid="{00000000-0005-0000-0000-00004DA40000}"/>
    <cellStyle name="常规 8 3 3 4 3" xfId="42062" xr:uid="{00000000-0005-0000-0000-00004EA40000}"/>
    <cellStyle name="常规 8 3 3 5" xfId="42063" xr:uid="{00000000-0005-0000-0000-00004FA40000}"/>
    <cellStyle name="常规 8 3 3 5 2" xfId="42064" xr:uid="{00000000-0005-0000-0000-000050A40000}"/>
    <cellStyle name="常规 8 3 4" xfId="42065" xr:uid="{00000000-0005-0000-0000-000051A40000}"/>
    <cellStyle name="常规 8 3 4 2" xfId="42066" xr:uid="{00000000-0005-0000-0000-000052A40000}"/>
    <cellStyle name="常规 8 3 4 2 2" xfId="42067" xr:uid="{00000000-0005-0000-0000-000053A40000}"/>
    <cellStyle name="常规 8 3 5" xfId="42068" xr:uid="{00000000-0005-0000-0000-000054A40000}"/>
    <cellStyle name="常规 8 3 5 2" xfId="42069" xr:uid="{00000000-0005-0000-0000-000055A40000}"/>
    <cellStyle name="常规 8 3 5 2 2" xfId="42070" xr:uid="{00000000-0005-0000-0000-000056A40000}"/>
    <cellStyle name="常规 8 3 6" xfId="42071" xr:uid="{00000000-0005-0000-0000-000057A40000}"/>
    <cellStyle name="常规 8 3 6 2" xfId="42072" xr:uid="{00000000-0005-0000-0000-000058A40000}"/>
    <cellStyle name="常规 8 3 6 2 2" xfId="42073" xr:uid="{00000000-0005-0000-0000-000059A40000}"/>
    <cellStyle name="常规 8 3 7" xfId="42074" xr:uid="{00000000-0005-0000-0000-00005AA40000}"/>
    <cellStyle name="常规 8 3 7 2" xfId="42075" xr:uid="{00000000-0005-0000-0000-00005BA40000}"/>
    <cellStyle name="常规 8 3 7 2 2" xfId="42076" xr:uid="{00000000-0005-0000-0000-00005CA40000}"/>
    <cellStyle name="常规 8 3 8" xfId="42077" xr:uid="{00000000-0005-0000-0000-00005DA40000}"/>
    <cellStyle name="常规 8 3 8 2" xfId="42078" xr:uid="{00000000-0005-0000-0000-00005EA40000}"/>
    <cellStyle name="常规 8 3 8 3" xfId="42079" xr:uid="{00000000-0005-0000-0000-00005FA40000}"/>
    <cellStyle name="常规 8 3 9" xfId="42080" xr:uid="{00000000-0005-0000-0000-000060A40000}"/>
    <cellStyle name="常规 8 4" xfId="42081" xr:uid="{00000000-0005-0000-0000-000061A40000}"/>
    <cellStyle name="常规 8 4 2" xfId="42082" xr:uid="{00000000-0005-0000-0000-000062A40000}"/>
    <cellStyle name="常规 8 4 2 2" xfId="42083" xr:uid="{00000000-0005-0000-0000-000063A40000}"/>
    <cellStyle name="常规 8 4 2 2 2" xfId="42084" xr:uid="{00000000-0005-0000-0000-000064A40000}"/>
    <cellStyle name="常规 8 4 2 2 3" xfId="42085" xr:uid="{00000000-0005-0000-0000-000065A40000}"/>
    <cellStyle name="常规 8 4 2 2 4" xfId="42086" xr:uid="{00000000-0005-0000-0000-000066A40000}"/>
    <cellStyle name="常规 8 4 2 2 4 2" xfId="42087" xr:uid="{00000000-0005-0000-0000-000067A40000}"/>
    <cellStyle name="常规 8 4 2 3" xfId="42088" xr:uid="{00000000-0005-0000-0000-000068A40000}"/>
    <cellStyle name="常规 8 4 2 3 2" xfId="42089" xr:uid="{00000000-0005-0000-0000-000069A40000}"/>
    <cellStyle name="常规 8 4 2 3 2 2" xfId="42090" xr:uid="{00000000-0005-0000-0000-00006AA40000}"/>
    <cellStyle name="常规 8 4 2 4" xfId="42091" xr:uid="{00000000-0005-0000-0000-00006BA40000}"/>
    <cellStyle name="常规 8 4 2 4 2" xfId="42092" xr:uid="{00000000-0005-0000-0000-00006CA40000}"/>
    <cellStyle name="常规 8 4 2 4 2 2" xfId="42093" xr:uid="{00000000-0005-0000-0000-00006DA40000}"/>
    <cellStyle name="常规 8 4 2 5" xfId="42094" xr:uid="{00000000-0005-0000-0000-00006EA40000}"/>
    <cellStyle name="常规 8 4 2 5 2" xfId="42095" xr:uid="{00000000-0005-0000-0000-00006FA40000}"/>
    <cellStyle name="常规 8 4 2 5 3" xfId="42096" xr:uid="{00000000-0005-0000-0000-000070A40000}"/>
    <cellStyle name="常规 8 4 2 6" xfId="42097" xr:uid="{00000000-0005-0000-0000-000071A40000}"/>
    <cellStyle name="常规 8 4 2 7" xfId="42098" xr:uid="{00000000-0005-0000-0000-000072A40000}"/>
    <cellStyle name="常规 8 4 2 7 2" xfId="42099" xr:uid="{00000000-0005-0000-0000-000073A40000}"/>
    <cellStyle name="常规 8 4 2 8" xfId="42100" xr:uid="{00000000-0005-0000-0000-000074A40000}"/>
    <cellStyle name="常规 8 4 3" xfId="42101" xr:uid="{00000000-0005-0000-0000-000075A40000}"/>
    <cellStyle name="常规 8 4 3 2" xfId="42102" xr:uid="{00000000-0005-0000-0000-000076A40000}"/>
    <cellStyle name="常规 8 4 3 3" xfId="42103" xr:uid="{00000000-0005-0000-0000-000077A40000}"/>
    <cellStyle name="常规 8 4 3 4" xfId="42104" xr:uid="{00000000-0005-0000-0000-000078A40000}"/>
    <cellStyle name="常规 8 4 3 4 2" xfId="42105" xr:uid="{00000000-0005-0000-0000-000079A40000}"/>
    <cellStyle name="常规 8 4 4" xfId="42106" xr:uid="{00000000-0005-0000-0000-00007AA40000}"/>
    <cellStyle name="常规 8 4 4 2" xfId="42107" xr:uid="{00000000-0005-0000-0000-00007BA40000}"/>
    <cellStyle name="常规 8 4 4 2 2" xfId="42108" xr:uid="{00000000-0005-0000-0000-00007CA40000}"/>
    <cellStyle name="常规 8 4 5" xfId="42109" xr:uid="{00000000-0005-0000-0000-00007DA40000}"/>
    <cellStyle name="常规 8 4 5 2" xfId="42110" xr:uid="{00000000-0005-0000-0000-00007EA40000}"/>
    <cellStyle name="常规 8 4 5 2 2" xfId="42111" xr:uid="{00000000-0005-0000-0000-00007FA40000}"/>
    <cellStyle name="常规 8 4 6" xfId="42112" xr:uid="{00000000-0005-0000-0000-000080A40000}"/>
    <cellStyle name="常规 8 4 6 2" xfId="42113" xr:uid="{00000000-0005-0000-0000-000081A40000}"/>
    <cellStyle name="常规 8 4 6 2 2" xfId="42114" xr:uid="{00000000-0005-0000-0000-000082A40000}"/>
    <cellStyle name="常规 8 4 7" xfId="42115" xr:uid="{00000000-0005-0000-0000-000083A40000}"/>
    <cellStyle name="常规 8 4 7 2" xfId="42116" xr:uid="{00000000-0005-0000-0000-000084A40000}"/>
    <cellStyle name="常规 8 4 7 2 2" xfId="42117" xr:uid="{00000000-0005-0000-0000-000085A40000}"/>
    <cellStyle name="常规 8 4 8" xfId="42118" xr:uid="{00000000-0005-0000-0000-000086A40000}"/>
    <cellStyle name="常规 8 4 8 2" xfId="42119" xr:uid="{00000000-0005-0000-0000-000087A40000}"/>
    <cellStyle name="常规 8 4 8 3" xfId="42120" xr:uid="{00000000-0005-0000-0000-000088A40000}"/>
    <cellStyle name="常规 8 4 9" xfId="42121" xr:uid="{00000000-0005-0000-0000-000089A40000}"/>
    <cellStyle name="常规 8 5" xfId="42122" xr:uid="{00000000-0005-0000-0000-00008AA40000}"/>
    <cellStyle name="常规 8 5 2" xfId="42123" xr:uid="{00000000-0005-0000-0000-00008BA40000}"/>
    <cellStyle name="常规 8 5 2 2" xfId="42124" xr:uid="{00000000-0005-0000-0000-00008CA40000}"/>
    <cellStyle name="常规 8 5 2 2 2" xfId="42125" xr:uid="{00000000-0005-0000-0000-00008DA40000}"/>
    <cellStyle name="常规 8 5 2 2 2 2" xfId="42126" xr:uid="{00000000-0005-0000-0000-00008EA40000}"/>
    <cellStyle name="常规 8 5 2 2 3" xfId="42127" xr:uid="{00000000-0005-0000-0000-00008FA40000}"/>
    <cellStyle name="常规 8 5 2 3" xfId="42128" xr:uid="{00000000-0005-0000-0000-000090A40000}"/>
    <cellStyle name="常规 8 5 2 3 2" xfId="42129" xr:uid="{00000000-0005-0000-0000-000091A40000}"/>
    <cellStyle name="常规 8 5 2 3 2 2" xfId="42130" xr:uid="{00000000-0005-0000-0000-000092A40000}"/>
    <cellStyle name="常规 8 5 2 4" xfId="42131" xr:uid="{00000000-0005-0000-0000-000093A40000}"/>
    <cellStyle name="常规 8 5 2 4 2" xfId="42132" xr:uid="{00000000-0005-0000-0000-000094A40000}"/>
    <cellStyle name="常规 8 5 2 4 3" xfId="42133" xr:uid="{00000000-0005-0000-0000-000095A40000}"/>
    <cellStyle name="常规 8 5 2 5" xfId="42134" xr:uid="{00000000-0005-0000-0000-000096A40000}"/>
    <cellStyle name="常规 8 5 2 5 2" xfId="42135" xr:uid="{00000000-0005-0000-0000-000097A40000}"/>
    <cellStyle name="常规 8 5 3" xfId="42136" xr:uid="{00000000-0005-0000-0000-000098A40000}"/>
    <cellStyle name="常规 8 5 3 2" xfId="42137" xr:uid="{00000000-0005-0000-0000-000099A40000}"/>
    <cellStyle name="常规 8 5 3 2 2" xfId="42138" xr:uid="{00000000-0005-0000-0000-00009AA40000}"/>
    <cellStyle name="常规 8 5 4" xfId="42139" xr:uid="{00000000-0005-0000-0000-00009BA40000}"/>
    <cellStyle name="常规 8 5 4 2" xfId="42140" xr:uid="{00000000-0005-0000-0000-00009CA40000}"/>
    <cellStyle name="常规 8 5 4 2 2" xfId="42141" xr:uid="{00000000-0005-0000-0000-00009DA40000}"/>
    <cellStyle name="常规 8 5 5" xfId="42142" xr:uid="{00000000-0005-0000-0000-00009EA40000}"/>
    <cellStyle name="常规 8 5 5 2" xfId="42143" xr:uid="{00000000-0005-0000-0000-00009FA40000}"/>
    <cellStyle name="常规 8 5 5 3" xfId="42144" xr:uid="{00000000-0005-0000-0000-0000A0A40000}"/>
    <cellStyle name="常规 8 5 6" xfId="42145" xr:uid="{00000000-0005-0000-0000-0000A1A40000}"/>
    <cellStyle name="常规 8 5 7" xfId="42146" xr:uid="{00000000-0005-0000-0000-0000A2A40000}"/>
    <cellStyle name="常规 8 5 7 2" xfId="42147" xr:uid="{00000000-0005-0000-0000-0000A3A40000}"/>
    <cellStyle name="常规 8 5 8" xfId="42148" xr:uid="{00000000-0005-0000-0000-0000A4A40000}"/>
    <cellStyle name="常规 8 6" xfId="42149" xr:uid="{00000000-0005-0000-0000-0000A5A40000}"/>
    <cellStyle name="常规 8 6 2" xfId="42150" xr:uid="{00000000-0005-0000-0000-0000A6A40000}"/>
    <cellStyle name="常规 8 6 2 2" xfId="42151" xr:uid="{00000000-0005-0000-0000-0000A7A40000}"/>
    <cellStyle name="常规 8 6 2 2 2" xfId="42152" xr:uid="{00000000-0005-0000-0000-0000A8A40000}"/>
    <cellStyle name="常规 8 6 2 3" xfId="42153" xr:uid="{00000000-0005-0000-0000-0000A9A40000}"/>
    <cellStyle name="常规 8 6 3" xfId="42154" xr:uid="{00000000-0005-0000-0000-0000AAA40000}"/>
    <cellStyle name="常规 8 6 3 2" xfId="42155" xr:uid="{00000000-0005-0000-0000-0000ABA40000}"/>
    <cellStyle name="常规 8 6 3 2 2" xfId="42156" xr:uid="{00000000-0005-0000-0000-0000ACA40000}"/>
    <cellStyle name="常规 8 6 4" xfId="42157" xr:uid="{00000000-0005-0000-0000-0000ADA40000}"/>
    <cellStyle name="常规 8 6 4 2" xfId="42158" xr:uid="{00000000-0005-0000-0000-0000AEA40000}"/>
    <cellStyle name="常规 8 6 4 3" xfId="42159" xr:uid="{00000000-0005-0000-0000-0000AFA40000}"/>
    <cellStyle name="常规 8 6 5" xfId="42160" xr:uid="{00000000-0005-0000-0000-0000B0A40000}"/>
    <cellStyle name="常规 8 6 5 2" xfId="42161" xr:uid="{00000000-0005-0000-0000-0000B1A40000}"/>
    <cellStyle name="常规 8 7" xfId="42162" xr:uid="{00000000-0005-0000-0000-0000B2A40000}"/>
    <cellStyle name="常规 8 7 2" xfId="42163" xr:uid="{00000000-0005-0000-0000-0000B3A40000}"/>
    <cellStyle name="常规 8 7 2 2" xfId="42164" xr:uid="{00000000-0005-0000-0000-0000B4A40000}"/>
    <cellStyle name="常规 8 8" xfId="42165" xr:uid="{00000000-0005-0000-0000-0000B5A40000}"/>
    <cellStyle name="常规 8 8 2" xfId="42166" xr:uid="{00000000-0005-0000-0000-0000B6A40000}"/>
    <cellStyle name="常规 8 8 2 2" xfId="42167" xr:uid="{00000000-0005-0000-0000-0000B7A40000}"/>
    <cellStyle name="常规 8 9" xfId="42168" xr:uid="{00000000-0005-0000-0000-0000B8A40000}"/>
    <cellStyle name="常规 8 9 2" xfId="42169" xr:uid="{00000000-0005-0000-0000-0000B9A40000}"/>
    <cellStyle name="常规 8 9 2 2" xfId="42170" xr:uid="{00000000-0005-0000-0000-0000BAA40000}"/>
    <cellStyle name="常规 9" xfId="42171" xr:uid="{00000000-0005-0000-0000-0000BBA40000}"/>
    <cellStyle name="常规 9 10" xfId="42172" xr:uid="{00000000-0005-0000-0000-0000BCA40000}"/>
    <cellStyle name="常规 9 10 2" xfId="42173" xr:uid="{00000000-0005-0000-0000-0000BDA40000}"/>
    <cellStyle name="常规 9 10 3" xfId="42174" xr:uid="{00000000-0005-0000-0000-0000BEA40000}"/>
    <cellStyle name="常规 9 11" xfId="42175" xr:uid="{00000000-0005-0000-0000-0000BFA40000}"/>
    <cellStyle name="常规 9 11 2" xfId="42176" xr:uid="{00000000-0005-0000-0000-0000C0A40000}"/>
    <cellStyle name="常规 9 12" xfId="42177" xr:uid="{00000000-0005-0000-0000-0000C1A40000}"/>
    <cellStyle name="常规 9 2" xfId="42178" xr:uid="{00000000-0005-0000-0000-0000C2A40000}"/>
    <cellStyle name="常规 9 2 10" xfId="42179" xr:uid="{00000000-0005-0000-0000-0000C3A40000}"/>
    <cellStyle name="常规 9 2 10 2" xfId="42180" xr:uid="{00000000-0005-0000-0000-0000C4A40000}"/>
    <cellStyle name="常规 9 2 11" xfId="42181" xr:uid="{00000000-0005-0000-0000-0000C5A40000}"/>
    <cellStyle name="常规 9 2 2" xfId="42182" xr:uid="{00000000-0005-0000-0000-0000C6A40000}"/>
    <cellStyle name="常规 9 2 2 2" xfId="42183" xr:uid="{00000000-0005-0000-0000-0000C7A40000}"/>
    <cellStyle name="常规 9 2 2 2 2" xfId="42184" xr:uid="{00000000-0005-0000-0000-0000C8A40000}"/>
    <cellStyle name="常规 9 2 2 2 2 2" xfId="42185" xr:uid="{00000000-0005-0000-0000-0000C9A40000}"/>
    <cellStyle name="常规 9 2 2 2 2 3" xfId="42186" xr:uid="{00000000-0005-0000-0000-0000CAA40000}"/>
    <cellStyle name="常规 9 2 2 2 3" xfId="42187" xr:uid="{00000000-0005-0000-0000-0000CBA40000}"/>
    <cellStyle name="常规 9 2 2 2 4" xfId="42188" xr:uid="{00000000-0005-0000-0000-0000CCA40000}"/>
    <cellStyle name="常规 9 2 2 2 5" xfId="42189" xr:uid="{00000000-0005-0000-0000-0000CDA40000}"/>
    <cellStyle name="常规 9 2 2 2 6" xfId="42190" xr:uid="{00000000-0005-0000-0000-0000CEA40000}"/>
    <cellStyle name="常规 9 2 2 2 7" xfId="42191" xr:uid="{00000000-0005-0000-0000-0000CFA40000}"/>
    <cellStyle name="常规 9 2 2 2 7 2" xfId="42192" xr:uid="{00000000-0005-0000-0000-0000D0A40000}"/>
    <cellStyle name="常规 9 2 2 3" xfId="42193" xr:uid="{00000000-0005-0000-0000-0000D1A40000}"/>
    <cellStyle name="常规 9 2 2 3 2" xfId="42194" xr:uid="{00000000-0005-0000-0000-0000D2A40000}"/>
    <cellStyle name="常规 9 2 2 3 3" xfId="42195" xr:uid="{00000000-0005-0000-0000-0000D3A40000}"/>
    <cellStyle name="常规 9 2 2 3 4" xfId="42196" xr:uid="{00000000-0005-0000-0000-0000D4A40000}"/>
    <cellStyle name="常规 9 2 2 3 4 2" xfId="42197" xr:uid="{00000000-0005-0000-0000-0000D5A40000}"/>
    <cellStyle name="常规 9 2 2 4" xfId="42198" xr:uid="{00000000-0005-0000-0000-0000D6A40000}"/>
    <cellStyle name="常规 9 2 2 4 2" xfId="42199" xr:uid="{00000000-0005-0000-0000-0000D7A40000}"/>
    <cellStyle name="常规 9 2 2 4 2 2" xfId="42200" xr:uid="{00000000-0005-0000-0000-0000D8A40000}"/>
    <cellStyle name="常规 9 2 2 5" xfId="42201" xr:uid="{00000000-0005-0000-0000-0000D9A40000}"/>
    <cellStyle name="常规 9 2 2 5 2" xfId="42202" xr:uid="{00000000-0005-0000-0000-0000DAA40000}"/>
    <cellStyle name="常规 9 2 2 5 3" xfId="42203" xr:uid="{00000000-0005-0000-0000-0000DBA40000}"/>
    <cellStyle name="常规 9 2 2 6" xfId="42204" xr:uid="{00000000-0005-0000-0000-0000DCA40000}"/>
    <cellStyle name="常规 9 2 2 7" xfId="42205" xr:uid="{00000000-0005-0000-0000-0000DDA40000}"/>
    <cellStyle name="常规 9 2 2 8" xfId="42206" xr:uid="{00000000-0005-0000-0000-0000DEA40000}"/>
    <cellStyle name="常规 9 2 2 8 2" xfId="42207" xr:uid="{00000000-0005-0000-0000-0000DFA40000}"/>
    <cellStyle name="常规 9 2 2 9" xfId="42208" xr:uid="{00000000-0005-0000-0000-0000E0A40000}"/>
    <cellStyle name="常规 9 2 3" xfId="42209" xr:uid="{00000000-0005-0000-0000-0000E1A40000}"/>
    <cellStyle name="常规 9 2 3 2" xfId="42210" xr:uid="{00000000-0005-0000-0000-0000E2A40000}"/>
    <cellStyle name="常规 9 2 3 2 2" xfId="42211" xr:uid="{00000000-0005-0000-0000-0000E3A40000}"/>
    <cellStyle name="常规 9 2 3 2 2 2" xfId="42212" xr:uid="{00000000-0005-0000-0000-0000E4A40000}"/>
    <cellStyle name="常规 9 2 3 2 2 3" xfId="42213" xr:uid="{00000000-0005-0000-0000-0000E5A40000}"/>
    <cellStyle name="常规 9 2 3 2 3" xfId="42214" xr:uid="{00000000-0005-0000-0000-0000E6A40000}"/>
    <cellStyle name="常规 9 2 3 2 4" xfId="42215" xr:uid="{00000000-0005-0000-0000-0000E7A40000}"/>
    <cellStyle name="常规 9 2 3 2 5" xfId="42216" xr:uid="{00000000-0005-0000-0000-0000E8A40000}"/>
    <cellStyle name="常规 9 2 3 2 6" xfId="42217" xr:uid="{00000000-0005-0000-0000-0000E9A40000}"/>
    <cellStyle name="常规 9 2 3 3" xfId="42218" xr:uid="{00000000-0005-0000-0000-0000EAA40000}"/>
    <cellStyle name="常规 9 2 3 3 2" xfId="42219" xr:uid="{00000000-0005-0000-0000-0000EBA40000}"/>
    <cellStyle name="常规 9 2 3 3 3" xfId="42220" xr:uid="{00000000-0005-0000-0000-0000ECA40000}"/>
    <cellStyle name="常规 9 2 3 4" xfId="42221" xr:uid="{00000000-0005-0000-0000-0000EDA40000}"/>
    <cellStyle name="常规 9 2 3 5" xfId="42222" xr:uid="{00000000-0005-0000-0000-0000EEA40000}"/>
    <cellStyle name="常规 9 2 3 6" xfId="42223" xr:uid="{00000000-0005-0000-0000-0000EFA40000}"/>
    <cellStyle name="常规 9 2 3 7" xfId="42224" xr:uid="{00000000-0005-0000-0000-0000F0A40000}"/>
    <cellStyle name="常规 9 2 3 8" xfId="42225" xr:uid="{00000000-0005-0000-0000-0000F1A40000}"/>
    <cellStyle name="常规 9 2 3 8 2" xfId="42226" xr:uid="{00000000-0005-0000-0000-0000F2A40000}"/>
    <cellStyle name="常规 9 2 4" xfId="42227" xr:uid="{00000000-0005-0000-0000-0000F3A40000}"/>
    <cellStyle name="常规 9 2 4 2" xfId="42228" xr:uid="{00000000-0005-0000-0000-0000F4A40000}"/>
    <cellStyle name="常规 9 2 4 2 2" xfId="42229" xr:uid="{00000000-0005-0000-0000-0000F5A40000}"/>
    <cellStyle name="常规 9 2 4 2 3" xfId="42230" xr:uid="{00000000-0005-0000-0000-0000F6A40000}"/>
    <cellStyle name="常规 9 2 4 3" xfId="42231" xr:uid="{00000000-0005-0000-0000-0000F7A40000}"/>
    <cellStyle name="常规 9 2 4 4" xfId="42232" xr:uid="{00000000-0005-0000-0000-0000F8A40000}"/>
    <cellStyle name="常规 9 2 4 5" xfId="42233" xr:uid="{00000000-0005-0000-0000-0000F9A40000}"/>
    <cellStyle name="常规 9 2 4 6" xfId="42234" xr:uid="{00000000-0005-0000-0000-0000FAA40000}"/>
    <cellStyle name="常规 9 2 4 7" xfId="42235" xr:uid="{00000000-0005-0000-0000-0000FBA40000}"/>
    <cellStyle name="常规 9 2 4 7 2" xfId="42236" xr:uid="{00000000-0005-0000-0000-0000FCA40000}"/>
    <cellStyle name="常规 9 2 5" xfId="42237" xr:uid="{00000000-0005-0000-0000-0000FDA40000}"/>
    <cellStyle name="常规 9 2 5 2" xfId="42238" xr:uid="{00000000-0005-0000-0000-0000FEA40000}"/>
    <cellStyle name="常规 9 2 5 3" xfId="42239" xr:uid="{00000000-0005-0000-0000-0000FFA40000}"/>
    <cellStyle name="常规 9 2 5 4" xfId="42240" xr:uid="{00000000-0005-0000-0000-000000A50000}"/>
    <cellStyle name="常规 9 2 5 4 2" xfId="42241" xr:uid="{00000000-0005-0000-0000-000001A50000}"/>
    <cellStyle name="常规 9 2 6" xfId="42242" xr:uid="{00000000-0005-0000-0000-000002A50000}"/>
    <cellStyle name="常规 9 2 6 2" xfId="42243" xr:uid="{00000000-0005-0000-0000-000003A50000}"/>
    <cellStyle name="常规 9 2 6 2 2" xfId="42244" xr:uid="{00000000-0005-0000-0000-000004A50000}"/>
    <cellStyle name="常规 9 2 7" xfId="42245" xr:uid="{00000000-0005-0000-0000-000005A50000}"/>
    <cellStyle name="常规 9 2 7 2" xfId="42246" xr:uid="{00000000-0005-0000-0000-000006A50000}"/>
    <cellStyle name="常规 9 2 7 2 2" xfId="42247" xr:uid="{00000000-0005-0000-0000-000007A50000}"/>
    <cellStyle name="常规 9 2 8" xfId="42248" xr:uid="{00000000-0005-0000-0000-000008A50000}"/>
    <cellStyle name="常规 9 2 8 2" xfId="42249" xr:uid="{00000000-0005-0000-0000-000009A50000}"/>
    <cellStyle name="常规 9 2 8 3" xfId="42250" xr:uid="{00000000-0005-0000-0000-00000AA50000}"/>
    <cellStyle name="常规 9 2 9" xfId="42251" xr:uid="{00000000-0005-0000-0000-00000BA50000}"/>
    <cellStyle name="常规 9 3" xfId="42252" xr:uid="{00000000-0005-0000-0000-00000CA50000}"/>
    <cellStyle name="常规 9 3 2" xfId="42253" xr:uid="{00000000-0005-0000-0000-00000DA50000}"/>
    <cellStyle name="常规 9 3 2 2" xfId="42254" xr:uid="{00000000-0005-0000-0000-00000EA50000}"/>
    <cellStyle name="常规 9 3 2 2 2" xfId="42255" xr:uid="{00000000-0005-0000-0000-00000FA50000}"/>
    <cellStyle name="常规 9 3 2 2 3" xfId="42256" xr:uid="{00000000-0005-0000-0000-000010A50000}"/>
    <cellStyle name="常规 9 3 2 2 4" xfId="42257" xr:uid="{00000000-0005-0000-0000-000011A50000}"/>
    <cellStyle name="常规 9 3 2 2 4 2" xfId="42258" xr:uid="{00000000-0005-0000-0000-000012A50000}"/>
    <cellStyle name="常规 9 3 2 3" xfId="42259" xr:uid="{00000000-0005-0000-0000-000013A50000}"/>
    <cellStyle name="常规 9 3 2 3 2" xfId="42260" xr:uid="{00000000-0005-0000-0000-000014A50000}"/>
    <cellStyle name="常规 9 3 2 3 2 2" xfId="42261" xr:uid="{00000000-0005-0000-0000-000015A50000}"/>
    <cellStyle name="常规 9 3 2 4" xfId="42262" xr:uid="{00000000-0005-0000-0000-000016A50000}"/>
    <cellStyle name="常规 9 3 2 4 2" xfId="42263" xr:uid="{00000000-0005-0000-0000-000017A50000}"/>
    <cellStyle name="常规 9 3 2 4 2 2" xfId="42264" xr:uid="{00000000-0005-0000-0000-000018A50000}"/>
    <cellStyle name="常规 9 3 2 5" xfId="42265" xr:uid="{00000000-0005-0000-0000-000019A50000}"/>
    <cellStyle name="常规 9 3 2 5 2" xfId="42266" xr:uid="{00000000-0005-0000-0000-00001AA50000}"/>
    <cellStyle name="常规 9 3 2 5 3" xfId="42267" xr:uid="{00000000-0005-0000-0000-00001BA50000}"/>
    <cellStyle name="常规 9 3 2 6" xfId="42268" xr:uid="{00000000-0005-0000-0000-00001CA50000}"/>
    <cellStyle name="常规 9 3 2 7" xfId="42269" xr:uid="{00000000-0005-0000-0000-00001DA50000}"/>
    <cellStyle name="常规 9 3 2 7 2" xfId="42270" xr:uid="{00000000-0005-0000-0000-00001EA50000}"/>
    <cellStyle name="常规 9 3 2 8" xfId="42271" xr:uid="{00000000-0005-0000-0000-00001FA50000}"/>
    <cellStyle name="常规 9 3 3" xfId="42272" xr:uid="{00000000-0005-0000-0000-000020A50000}"/>
    <cellStyle name="常规 9 3 3 2" xfId="42273" xr:uid="{00000000-0005-0000-0000-000021A50000}"/>
    <cellStyle name="常规 9 3 3 2 2" xfId="42274" xr:uid="{00000000-0005-0000-0000-000022A50000}"/>
    <cellStyle name="常规 9 3 3 2 2 2" xfId="42275" xr:uid="{00000000-0005-0000-0000-000023A50000}"/>
    <cellStyle name="常规 9 3 3 2 3" xfId="42276" xr:uid="{00000000-0005-0000-0000-000024A50000}"/>
    <cellStyle name="常规 9 3 3 3" xfId="42277" xr:uid="{00000000-0005-0000-0000-000025A50000}"/>
    <cellStyle name="常规 9 3 3 3 2" xfId="42278" xr:uid="{00000000-0005-0000-0000-000026A50000}"/>
    <cellStyle name="常规 9 3 3 3 2 2" xfId="42279" xr:uid="{00000000-0005-0000-0000-000027A50000}"/>
    <cellStyle name="常规 9 3 3 4" xfId="42280" xr:uid="{00000000-0005-0000-0000-000028A50000}"/>
    <cellStyle name="常规 9 3 3 4 2" xfId="42281" xr:uid="{00000000-0005-0000-0000-000029A50000}"/>
    <cellStyle name="常规 9 3 3 4 3" xfId="42282" xr:uid="{00000000-0005-0000-0000-00002AA50000}"/>
    <cellStyle name="常规 9 3 3 5" xfId="42283" xr:uid="{00000000-0005-0000-0000-00002BA50000}"/>
    <cellStyle name="常规 9 3 3 5 2" xfId="42284" xr:uid="{00000000-0005-0000-0000-00002CA50000}"/>
    <cellStyle name="常规 9 3 4" xfId="42285" xr:uid="{00000000-0005-0000-0000-00002DA50000}"/>
    <cellStyle name="常规 9 3 4 2" xfId="42286" xr:uid="{00000000-0005-0000-0000-00002EA50000}"/>
    <cellStyle name="常规 9 3 4 2 2" xfId="42287" xr:uid="{00000000-0005-0000-0000-00002FA50000}"/>
    <cellStyle name="常规 9 3 5" xfId="42288" xr:uid="{00000000-0005-0000-0000-000030A50000}"/>
    <cellStyle name="常规 9 3 5 2" xfId="42289" xr:uid="{00000000-0005-0000-0000-000031A50000}"/>
    <cellStyle name="常规 9 3 5 2 2" xfId="42290" xr:uid="{00000000-0005-0000-0000-000032A50000}"/>
    <cellStyle name="常规 9 3 6" xfId="42291" xr:uid="{00000000-0005-0000-0000-000033A50000}"/>
    <cellStyle name="常规 9 3 6 2" xfId="42292" xr:uid="{00000000-0005-0000-0000-000034A50000}"/>
    <cellStyle name="常规 9 3 6 2 2" xfId="42293" xr:uid="{00000000-0005-0000-0000-000035A50000}"/>
    <cellStyle name="常规 9 3 7" xfId="42294" xr:uid="{00000000-0005-0000-0000-000036A50000}"/>
    <cellStyle name="常规 9 3 7 2" xfId="42295" xr:uid="{00000000-0005-0000-0000-000037A50000}"/>
    <cellStyle name="常规 9 3 7 2 2" xfId="42296" xr:uid="{00000000-0005-0000-0000-000038A50000}"/>
    <cellStyle name="常规 9 3 8" xfId="42297" xr:uid="{00000000-0005-0000-0000-000039A50000}"/>
    <cellStyle name="常规 9 3 8 2" xfId="42298" xr:uid="{00000000-0005-0000-0000-00003AA50000}"/>
    <cellStyle name="常规 9 3 8 3" xfId="42299" xr:uid="{00000000-0005-0000-0000-00003BA50000}"/>
    <cellStyle name="常规 9 3 9" xfId="42300" xr:uid="{00000000-0005-0000-0000-00003CA50000}"/>
    <cellStyle name="常规 9 4" xfId="42301" xr:uid="{00000000-0005-0000-0000-00003DA50000}"/>
    <cellStyle name="常规 9 4 2" xfId="42302" xr:uid="{00000000-0005-0000-0000-00003EA50000}"/>
    <cellStyle name="常规 9 4 2 2" xfId="42303" xr:uid="{00000000-0005-0000-0000-00003FA50000}"/>
    <cellStyle name="常规 9 4 2 2 2" xfId="42304" xr:uid="{00000000-0005-0000-0000-000040A50000}"/>
    <cellStyle name="常规 9 4 2 2 3" xfId="42305" xr:uid="{00000000-0005-0000-0000-000041A50000}"/>
    <cellStyle name="常规 9 4 2 3" xfId="42306" xr:uid="{00000000-0005-0000-0000-000042A50000}"/>
    <cellStyle name="常规 9 4 2 4" xfId="42307" xr:uid="{00000000-0005-0000-0000-000043A50000}"/>
    <cellStyle name="常规 9 4 2 5" xfId="42308" xr:uid="{00000000-0005-0000-0000-000044A50000}"/>
    <cellStyle name="常规 9 4 2 6" xfId="42309" xr:uid="{00000000-0005-0000-0000-000045A50000}"/>
    <cellStyle name="常规 9 4 2 7" xfId="42310" xr:uid="{00000000-0005-0000-0000-000046A50000}"/>
    <cellStyle name="常规 9 4 2 7 2" xfId="42311" xr:uid="{00000000-0005-0000-0000-000047A50000}"/>
    <cellStyle name="常规 9 4 3" xfId="42312" xr:uid="{00000000-0005-0000-0000-000048A50000}"/>
    <cellStyle name="常规 9 4 3 2" xfId="42313" xr:uid="{00000000-0005-0000-0000-000049A50000}"/>
    <cellStyle name="常规 9 4 3 3" xfId="42314" xr:uid="{00000000-0005-0000-0000-00004AA50000}"/>
    <cellStyle name="常规 9 4 3 4" xfId="42315" xr:uid="{00000000-0005-0000-0000-00004BA50000}"/>
    <cellStyle name="常规 9 4 3 4 2" xfId="42316" xr:uid="{00000000-0005-0000-0000-00004CA50000}"/>
    <cellStyle name="常规 9 4 4" xfId="42317" xr:uid="{00000000-0005-0000-0000-00004DA50000}"/>
    <cellStyle name="常规 9 4 4 2" xfId="42318" xr:uid="{00000000-0005-0000-0000-00004EA50000}"/>
    <cellStyle name="常规 9 4 4 2 2" xfId="42319" xr:uid="{00000000-0005-0000-0000-00004FA50000}"/>
    <cellStyle name="常规 9 4 5" xfId="42320" xr:uid="{00000000-0005-0000-0000-000050A50000}"/>
    <cellStyle name="常规 9 4 5 2" xfId="42321" xr:uid="{00000000-0005-0000-0000-000051A50000}"/>
    <cellStyle name="常规 9 4 5 3" xfId="42322" xr:uid="{00000000-0005-0000-0000-000052A50000}"/>
    <cellStyle name="常规 9 4 6" xfId="42323" xr:uid="{00000000-0005-0000-0000-000053A50000}"/>
    <cellStyle name="常规 9 4 7" xfId="42324" xr:uid="{00000000-0005-0000-0000-000054A50000}"/>
    <cellStyle name="常规 9 4 8" xfId="42325" xr:uid="{00000000-0005-0000-0000-000055A50000}"/>
    <cellStyle name="常规 9 4 8 2" xfId="42326" xr:uid="{00000000-0005-0000-0000-000056A50000}"/>
    <cellStyle name="常规 9 4 9" xfId="42327" xr:uid="{00000000-0005-0000-0000-000057A50000}"/>
    <cellStyle name="常规 9 5" xfId="42328" xr:uid="{00000000-0005-0000-0000-000058A50000}"/>
    <cellStyle name="常规 9 5 2" xfId="42329" xr:uid="{00000000-0005-0000-0000-000059A50000}"/>
    <cellStyle name="常规 9 5 2 2" xfId="42330" xr:uid="{00000000-0005-0000-0000-00005AA50000}"/>
    <cellStyle name="常规 9 5 2 3" xfId="42331" xr:uid="{00000000-0005-0000-0000-00005BA50000}"/>
    <cellStyle name="常规 9 5 3" xfId="42332" xr:uid="{00000000-0005-0000-0000-00005CA50000}"/>
    <cellStyle name="常规 9 5 4" xfId="42333" xr:uid="{00000000-0005-0000-0000-00005DA50000}"/>
    <cellStyle name="常规 9 5 5" xfId="42334" xr:uid="{00000000-0005-0000-0000-00005EA50000}"/>
    <cellStyle name="常规 9 5 6" xfId="42335" xr:uid="{00000000-0005-0000-0000-00005FA50000}"/>
    <cellStyle name="常规 9 5 7" xfId="42336" xr:uid="{00000000-0005-0000-0000-000060A50000}"/>
    <cellStyle name="常规 9 5 7 2" xfId="42337" xr:uid="{00000000-0005-0000-0000-000061A50000}"/>
    <cellStyle name="常规 9 6" xfId="42338" xr:uid="{00000000-0005-0000-0000-000062A50000}"/>
    <cellStyle name="常规 9 6 2" xfId="42339" xr:uid="{00000000-0005-0000-0000-000063A50000}"/>
    <cellStyle name="常规 9 6 3" xfId="42340" xr:uid="{00000000-0005-0000-0000-000064A50000}"/>
    <cellStyle name="常规 9 6 4" xfId="42341" xr:uid="{00000000-0005-0000-0000-000065A50000}"/>
    <cellStyle name="常规 9 6 4 2" xfId="42342" xr:uid="{00000000-0005-0000-0000-000066A50000}"/>
    <cellStyle name="常规 9 7" xfId="42343" xr:uid="{00000000-0005-0000-0000-000067A50000}"/>
    <cellStyle name="常规 9 7 2" xfId="42344" xr:uid="{00000000-0005-0000-0000-000068A50000}"/>
    <cellStyle name="常规 9 7 2 2" xfId="42345" xr:uid="{00000000-0005-0000-0000-000069A50000}"/>
    <cellStyle name="常规 9 8" xfId="42346" xr:uid="{00000000-0005-0000-0000-00006AA50000}"/>
    <cellStyle name="常规 9 8 2" xfId="42347" xr:uid="{00000000-0005-0000-0000-00006BA50000}"/>
    <cellStyle name="常规 9 8 2 2" xfId="42348" xr:uid="{00000000-0005-0000-0000-00006CA50000}"/>
    <cellStyle name="常规 9 9" xfId="42349" xr:uid="{00000000-0005-0000-0000-00006DA50000}"/>
    <cellStyle name="常规 9 9 2" xfId="42350" xr:uid="{00000000-0005-0000-0000-00006EA50000}"/>
    <cellStyle name="常规 9 9 2 2" xfId="42351" xr:uid="{00000000-0005-0000-0000-00006FA50000}"/>
    <cellStyle name="常规_061 explanation" xfId="42352" xr:uid="{00000000-0005-0000-0000-000070A50000}"/>
    <cellStyle name="强调文字颜色 1 2" xfId="42353" xr:uid="{00000000-0005-0000-0000-000071A50000}"/>
    <cellStyle name="强调文字颜色 1 2 10" xfId="42354" xr:uid="{00000000-0005-0000-0000-000072A50000}"/>
    <cellStyle name="强调文字颜色 1 2 11" xfId="42355" xr:uid="{00000000-0005-0000-0000-000073A50000}"/>
    <cellStyle name="强调文字颜色 1 2 2" xfId="42356" xr:uid="{00000000-0005-0000-0000-000074A50000}"/>
    <cellStyle name="强调文字颜色 1 2 2 10" xfId="42357" xr:uid="{00000000-0005-0000-0000-000075A50000}"/>
    <cellStyle name="强调文字颜色 1 2 2 11" xfId="42358" xr:uid="{00000000-0005-0000-0000-000076A50000}"/>
    <cellStyle name="强调文字颜色 1 2 2 2" xfId="42359" xr:uid="{00000000-0005-0000-0000-000077A50000}"/>
    <cellStyle name="强调文字颜色 1 2 2 2 2" xfId="42360" xr:uid="{00000000-0005-0000-0000-000078A50000}"/>
    <cellStyle name="强调文字颜色 1 2 2 2 2 2" xfId="42361" xr:uid="{00000000-0005-0000-0000-000079A50000}"/>
    <cellStyle name="强调文字颜色 1 2 2 2 2 2 2" xfId="42362" xr:uid="{00000000-0005-0000-0000-00007AA50000}"/>
    <cellStyle name="强调文字颜色 1 2 2 2 2 2 3" xfId="42363" xr:uid="{00000000-0005-0000-0000-00007BA50000}"/>
    <cellStyle name="强调文字颜色 1 2 2 2 2 2 3 2" xfId="42364" xr:uid="{00000000-0005-0000-0000-00007CA50000}"/>
    <cellStyle name="强调文字颜色 1 2 2 2 2 2 3 2 2" xfId="42365" xr:uid="{00000000-0005-0000-0000-00007DA50000}"/>
    <cellStyle name="强调文字颜色 1 2 2 2 2 2 4" xfId="42366" xr:uid="{00000000-0005-0000-0000-00007EA50000}"/>
    <cellStyle name="强调文字颜色 1 2 2 2 2 2 4 2" xfId="42367" xr:uid="{00000000-0005-0000-0000-00007FA50000}"/>
    <cellStyle name="强调文字颜色 1 2 2 2 2 3" xfId="42368" xr:uid="{00000000-0005-0000-0000-000080A50000}"/>
    <cellStyle name="强调文字颜色 1 2 2 2 2 3 2" xfId="42369" xr:uid="{00000000-0005-0000-0000-000081A50000}"/>
    <cellStyle name="强调文字颜色 1 2 2 2 2 3 2 2" xfId="42370" xr:uid="{00000000-0005-0000-0000-000082A50000}"/>
    <cellStyle name="强调文字颜色 1 2 2 2 2 3 2 2 2" xfId="42371" xr:uid="{00000000-0005-0000-0000-000083A50000}"/>
    <cellStyle name="强调文字颜色 1 2 2 2 2 3 3" xfId="42372" xr:uid="{00000000-0005-0000-0000-000084A50000}"/>
    <cellStyle name="强调文字颜色 1 2 2 2 2 3 3 2" xfId="42373" xr:uid="{00000000-0005-0000-0000-000085A50000}"/>
    <cellStyle name="强调文字颜色 1 2 2 2 2 4" xfId="42374" xr:uid="{00000000-0005-0000-0000-000086A50000}"/>
    <cellStyle name="强调文字颜色 1 2 2 2 2 5" xfId="42375" xr:uid="{00000000-0005-0000-0000-000087A50000}"/>
    <cellStyle name="强调文字颜色 1 2 2 2 2 6" xfId="42376" xr:uid="{00000000-0005-0000-0000-000088A50000}"/>
    <cellStyle name="强调文字颜色 1 2 2 2 3" xfId="42377" xr:uid="{00000000-0005-0000-0000-000089A50000}"/>
    <cellStyle name="强调文字颜色 1 2 2 2 3 2" xfId="42378" xr:uid="{00000000-0005-0000-0000-00008AA50000}"/>
    <cellStyle name="强调文字颜色 1 2 2 2 3 3" xfId="42379" xr:uid="{00000000-0005-0000-0000-00008BA50000}"/>
    <cellStyle name="强调文字颜色 1 2 2 2 3 3 2" xfId="42380" xr:uid="{00000000-0005-0000-0000-00008CA50000}"/>
    <cellStyle name="强调文字颜色 1 2 2 2 3 3 2 2" xfId="42381" xr:uid="{00000000-0005-0000-0000-00008DA50000}"/>
    <cellStyle name="强调文字颜色 1 2 2 2 3 4" xfId="42382" xr:uid="{00000000-0005-0000-0000-00008EA50000}"/>
    <cellStyle name="强调文字颜色 1 2 2 2 3 4 2" xfId="42383" xr:uid="{00000000-0005-0000-0000-00008FA50000}"/>
    <cellStyle name="强调文字颜色 1 2 2 2 4" xfId="42384" xr:uid="{00000000-0005-0000-0000-000090A50000}"/>
    <cellStyle name="强调文字颜色 1 2 2 2 4 2" xfId="42385" xr:uid="{00000000-0005-0000-0000-000091A50000}"/>
    <cellStyle name="强调文字颜色 1 2 2 2 4 2 2" xfId="42386" xr:uid="{00000000-0005-0000-0000-000092A50000}"/>
    <cellStyle name="强调文字颜色 1 2 2 2 4 2 2 2" xfId="42387" xr:uid="{00000000-0005-0000-0000-000093A50000}"/>
    <cellStyle name="强调文字颜色 1 2 2 2 4 3" xfId="42388" xr:uid="{00000000-0005-0000-0000-000094A50000}"/>
    <cellStyle name="强调文字颜色 1 2 2 2 4 3 2" xfId="42389" xr:uid="{00000000-0005-0000-0000-000095A50000}"/>
    <cellStyle name="强调文字颜色 1 2 2 2 5" xfId="42390" xr:uid="{00000000-0005-0000-0000-000096A50000}"/>
    <cellStyle name="强调文字颜色 1 2 2 2 6" xfId="42391" xr:uid="{00000000-0005-0000-0000-000097A50000}"/>
    <cellStyle name="强调文字颜色 1 2 2 2 7" xfId="42392" xr:uid="{00000000-0005-0000-0000-000098A50000}"/>
    <cellStyle name="强调文字颜色 1 2 2 3" xfId="42393" xr:uid="{00000000-0005-0000-0000-000099A50000}"/>
    <cellStyle name="强调文字颜色 1 2 2 3 2" xfId="42394" xr:uid="{00000000-0005-0000-0000-00009AA50000}"/>
    <cellStyle name="强调文字颜色 1 2 2 3 2 2" xfId="42395" xr:uid="{00000000-0005-0000-0000-00009BA50000}"/>
    <cellStyle name="强调文字颜色 1 2 2 3 2 3" xfId="42396" xr:uid="{00000000-0005-0000-0000-00009CA50000}"/>
    <cellStyle name="强调文字颜色 1 2 2 3 2 3 2" xfId="42397" xr:uid="{00000000-0005-0000-0000-00009DA50000}"/>
    <cellStyle name="强调文字颜色 1 2 2 3 2 3 2 2" xfId="42398" xr:uid="{00000000-0005-0000-0000-00009EA50000}"/>
    <cellStyle name="强调文字颜色 1 2 2 3 2 4" xfId="42399" xr:uid="{00000000-0005-0000-0000-00009FA50000}"/>
    <cellStyle name="强调文字颜色 1 2 2 3 2 4 2" xfId="42400" xr:uid="{00000000-0005-0000-0000-0000A0A50000}"/>
    <cellStyle name="强调文字颜色 1 2 2 3 3" xfId="42401" xr:uid="{00000000-0005-0000-0000-0000A1A50000}"/>
    <cellStyle name="强调文字颜色 1 2 2 3 3 2" xfId="42402" xr:uid="{00000000-0005-0000-0000-0000A2A50000}"/>
    <cellStyle name="强调文字颜色 1 2 2 3 3 2 2" xfId="42403" xr:uid="{00000000-0005-0000-0000-0000A3A50000}"/>
    <cellStyle name="强调文字颜色 1 2 2 3 3 2 2 2" xfId="42404" xr:uid="{00000000-0005-0000-0000-0000A4A50000}"/>
    <cellStyle name="强调文字颜色 1 2 2 3 3 3" xfId="42405" xr:uid="{00000000-0005-0000-0000-0000A5A50000}"/>
    <cellStyle name="强调文字颜色 1 2 2 3 3 3 2" xfId="42406" xr:uid="{00000000-0005-0000-0000-0000A6A50000}"/>
    <cellStyle name="强调文字颜色 1 2 2 3 4" xfId="42407" xr:uid="{00000000-0005-0000-0000-0000A7A50000}"/>
    <cellStyle name="强调文字颜色 1 2 2 3 5" xfId="42408" xr:uid="{00000000-0005-0000-0000-0000A8A50000}"/>
    <cellStyle name="强调文字颜色 1 2 2 3 6" xfId="42409" xr:uid="{00000000-0005-0000-0000-0000A9A50000}"/>
    <cellStyle name="强调文字颜色 1 2 2 4" xfId="42410" xr:uid="{00000000-0005-0000-0000-0000AAA50000}"/>
    <cellStyle name="强调文字颜色 1 2 2 4 2" xfId="42411" xr:uid="{00000000-0005-0000-0000-0000ABA50000}"/>
    <cellStyle name="强调文字颜色 1 2 2 4 2 2" xfId="42412" xr:uid="{00000000-0005-0000-0000-0000ACA50000}"/>
    <cellStyle name="强调文字颜色 1 2 2 4 2 3" xfId="42413" xr:uid="{00000000-0005-0000-0000-0000ADA50000}"/>
    <cellStyle name="强调文字颜色 1 2 2 4 2 3 2" xfId="42414" xr:uid="{00000000-0005-0000-0000-0000AEA50000}"/>
    <cellStyle name="强调文字颜色 1 2 2 4 2 3 2 2" xfId="42415" xr:uid="{00000000-0005-0000-0000-0000AFA50000}"/>
    <cellStyle name="强调文字颜色 1 2 2 4 2 4" xfId="42416" xr:uid="{00000000-0005-0000-0000-0000B0A50000}"/>
    <cellStyle name="强调文字颜色 1 2 2 4 2 4 2" xfId="42417" xr:uid="{00000000-0005-0000-0000-0000B1A50000}"/>
    <cellStyle name="强调文字颜色 1 2 2 4 3" xfId="42418" xr:uid="{00000000-0005-0000-0000-0000B2A50000}"/>
    <cellStyle name="强调文字颜色 1 2 2 4 4" xfId="42419" xr:uid="{00000000-0005-0000-0000-0000B3A50000}"/>
    <cellStyle name="强调文字颜色 1 2 2 4 5" xfId="42420" xr:uid="{00000000-0005-0000-0000-0000B4A50000}"/>
    <cellStyle name="强调文字颜色 1 2 2 4 6" xfId="42421" xr:uid="{00000000-0005-0000-0000-0000B5A50000}"/>
    <cellStyle name="强调文字颜色 1 2 2 5" xfId="42422" xr:uid="{00000000-0005-0000-0000-0000B6A50000}"/>
    <cellStyle name="强调文字颜色 1 2 2 5 2" xfId="42423" xr:uid="{00000000-0005-0000-0000-0000B7A50000}"/>
    <cellStyle name="强调文字颜色 1 2 2 5 2 2" xfId="42424" xr:uid="{00000000-0005-0000-0000-0000B8A50000}"/>
    <cellStyle name="强调文字颜色 1 2 2 5 2 2 2" xfId="42425" xr:uid="{00000000-0005-0000-0000-0000B9A50000}"/>
    <cellStyle name="强调文字颜色 1 2 2 5 2 2 2 2" xfId="42426" xr:uid="{00000000-0005-0000-0000-0000BAA50000}"/>
    <cellStyle name="强调文字颜色 1 2 2 5 2 3" xfId="42427" xr:uid="{00000000-0005-0000-0000-0000BBA50000}"/>
    <cellStyle name="强调文字颜色 1 2 2 5 2 3 2" xfId="42428" xr:uid="{00000000-0005-0000-0000-0000BCA50000}"/>
    <cellStyle name="强调文字颜色 1 2 2 5 3" xfId="42429" xr:uid="{00000000-0005-0000-0000-0000BDA50000}"/>
    <cellStyle name="强调文字颜色 1 2 2 5 3 2" xfId="42430" xr:uid="{00000000-0005-0000-0000-0000BEA50000}"/>
    <cellStyle name="强调文字颜色 1 2 2 5 3 2 2" xfId="42431" xr:uid="{00000000-0005-0000-0000-0000BFA50000}"/>
    <cellStyle name="强调文字颜色 1 2 2 5 4" xfId="42432" xr:uid="{00000000-0005-0000-0000-0000C0A50000}"/>
    <cellStyle name="强调文字颜色 1 2 2 5 4 2" xfId="42433" xr:uid="{00000000-0005-0000-0000-0000C1A50000}"/>
    <cellStyle name="强调文字颜色 1 2 2 6" xfId="42434" xr:uid="{00000000-0005-0000-0000-0000C2A50000}"/>
    <cellStyle name="强调文字颜色 1 2 2 6 2" xfId="42435" xr:uid="{00000000-0005-0000-0000-0000C3A50000}"/>
    <cellStyle name="强调文字颜色 1 2 2 6 2 2" xfId="42436" xr:uid="{00000000-0005-0000-0000-0000C4A50000}"/>
    <cellStyle name="强调文字颜色 1 2 2 6 2 2 2" xfId="42437" xr:uid="{00000000-0005-0000-0000-0000C5A50000}"/>
    <cellStyle name="强调文字颜色 1 2 2 6 2 2 2 2" xfId="42438" xr:uid="{00000000-0005-0000-0000-0000C6A50000}"/>
    <cellStyle name="强调文字颜色 1 2 2 6 2 3" xfId="42439" xr:uid="{00000000-0005-0000-0000-0000C7A50000}"/>
    <cellStyle name="强调文字颜色 1 2 2 6 2 3 2" xfId="42440" xr:uid="{00000000-0005-0000-0000-0000C8A50000}"/>
    <cellStyle name="强调文字颜色 1 2 2 6 3" xfId="42441" xr:uid="{00000000-0005-0000-0000-0000C9A50000}"/>
    <cellStyle name="强调文字颜色 1 2 2 6 3 2" xfId="42442" xr:uid="{00000000-0005-0000-0000-0000CAA50000}"/>
    <cellStyle name="强调文字颜色 1 2 2 6 3 2 2" xfId="42443" xr:uid="{00000000-0005-0000-0000-0000CBA50000}"/>
    <cellStyle name="强调文字颜色 1 2 2 6 4" xfId="42444" xr:uid="{00000000-0005-0000-0000-0000CCA50000}"/>
    <cellStyle name="强调文字颜色 1 2 2 6 4 2" xfId="42445" xr:uid="{00000000-0005-0000-0000-0000CDA50000}"/>
    <cellStyle name="强调文字颜色 1 2 2 7" xfId="42446" xr:uid="{00000000-0005-0000-0000-0000CEA50000}"/>
    <cellStyle name="强调文字颜色 1 2 2 7 2" xfId="42447" xr:uid="{00000000-0005-0000-0000-0000CFA50000}"/>
    <cellStyle name="强调文字颜色 1 2 2 7 2 2" xfId="42448" xr:uid="{00000000-0005-0000-0000-0000D0A50000}"/>
    <cellStyle name="强调文字颜色 1 2 2 7 2 2 2" xfId="42449" xr:uid="{00000000-0005-0000-0000-0000D1A50000}"/>
    <cellStyle name="强调文字颜色 1 2 2 7 2 2 2 2" xfId="42450" xr:uid="{00000000-0005-0000-0000-0000D2A50000}"/>
    <cellStyle name="强调文字颜色 1 2 2 7 2 3" xfId="42451" xr:uid="{00000000-0005-0000-0000-0000D3A50000}"/>
    <cellStyle name="强调文字颜色 1 2 2 7 2 3 2" xfId="42452" xr:uid="{00000000-0005-0000-0000-0000D4A50000}"/>
    <cellStyle name="强调文字颜色 1 2 2 7 3" xfId="42453" xr:uid="{00000000-0005-0000-0000-0000D5A50000}"/>
    <cellStyle name="强调文字颜色 1 2 2 7 3 2" xfId="42454" xr:uid="{00000000-0005-0000-0000-0000D6A50000}"/>
    <cellStyle name="强调文字颜色 1 2 2 7 3 2 2" xfId="42455" xr:uid="{00000000-0005-0000-0000-0000D7A50000}"/>
    <cellStyle name="强调文字颜色 1 2 2 7 4" xfId="42456" xr:uid="{00000000-0005-0000-0000-0000D8A50000}"/>
    <cellStyle name="强调文字颜色 1 2 2 7 4 2" xfId="42457" xr:uid="{00000000-0005-0000-0000-0000D9A50000}"/>
    <cellStyle name="强调文字颜色 1 2 2 8" xfId="42458" xr:uid="{00000000-0005-0000-0000-0000DAA50000}"/>
    <cellStyle name="强调文字颜色 1 2 2 8 2" xfId="42459" xr:uid="{00000000-0005-0000-0000-0000DBA50000}"/>
    <cellStyle name="强调文字颜色 1 2 2 8 2 2" xfId="42460" xr:uid="{00000000-0005-0000-0000-0000DCA50000}"/>
    <cellStyle name="强调文字颜色 1 2 2 8 2 2 2" xfId="42461" xr:uid="{00000000-0005-0000-0000-0000DDA50000}"/>
    <cellStyle name="强调文字颜色 1 2 2 8 3" xfId="42462" xr:uid="{00000000-0005-0000-0000-0000DEA50000}"/>
    <cellStyle name="强调文字颜色 1 2 2 8 3 2" xfId="42463" xr:uid="{00000000-0005-0000-0000-0000DFA50000}"/>
    <cellStyle name="强调文字颜色 1 2 2 9" xfId="42464" xr:uid="{00000000-0005-0000-0000-0000E0A50000}"/>
    <cellStyle name="强调文字颜色 1 2 2 9 2" xfId="42465" xr:uid="{00000000-0005-0000-0000-0000E1A50000}"/>
    <cellStyle name="强调文字颜色 1 2 2 9 2 2" xfId="42466" xr:uid="{00000000-0005-0000-0000-0000E2A50000}"/>
    <cellStyle name="强调文字颜色 1 2 2 9 2 2 2" xfId="42467" xr:uid="{00000000-0005-0000-0000-0000E3A50000}"/>
    <cellStyle name="强调文字颜色 1 2 2 9 3" xfId="42468" xr:uid="{00000000-0005-0000-0000-0000E4A50000}"/>
    <cellStyle name="强调文字颜色 1 2 2 9 3 2" xfId="42469" xr:uid="{00000000-0005-0000-0000-0000E5A50000}"/>
    <cellStyle name="强调文字颜色 1 2 3" xfId="42470" xr:uid="{00000000-0005-0000-0000-0000E6A50000}"/>
    <cellStyle name="强调文字颜色 1 2 3 2" xfId="42471" xr:uid="{00000000-0005-0000-0000-0000E7A50000}"/>
    <cellStyle name="强调文字颜色 1 2 3 2 2" xfId="42472" xr:uid="{00000000-0005-0000-0000-0000E8A50000}"/>
    <cellStyle name="强调文字颜色 1 2 3 2 2 2" xfId="42473" xr:uid="{00000000-0005-0000-0000-0000E9A50000}"/>
    <cellStyle name="强调文字颜色 1 2 3 2 2 2 2" xfId="42474" xr:uid="{00000000-0005-0000-0000-0000EAA50000}"/>
    <cellStyle name="强调文字颜色 1 2 3 2 2 2 3" xfId="42475" xr:uid="{00000000-0005-0000-0000-0000EBA50000}"/>
    <cellStyle name="强调文字颜色 1 2 3 2 2 2 3 2" xfId="42476" xr:uid="{00000000-0005-0000-0000-0000ECA50000}"/>
    <cellStyle name="强调文字颜色 1 2 3 2 2 2 3 2 2" xfId="42477" xr:uid="{00000000-0005-0000-0000-0000EDA50000}"/>
    <cellStyle name="强调文字颜色 1 2 3 2 2 2 4" xfId="42478" xr:uid="{00000000-0005-0000-0000-0000EEA50000}"/>
    <cellStyle name="强调文字颜色 1 2 3 2 2 2 4 2" xfId="42479" xr:uid="{00000000-0005-0000-0000-0000EFA50000}"/>
    <cellStyle name="强调文字颜色 1 2 3 2 2 3" xfId="42480" xr:uid="{00000000-0005-0000-0000-0000F0A50000}"/>
    <cellStyle name="强调文字颜色 1 2 3 2 2 3 2" xfId="42481" xr:uid="{00000000-0005-0000-0000-0000F1A50000}"/>
    <cellStyle name="强调文字颜色 1 2 3 2 2 3 2 2" xfId="42482" xr:uid="{00000000-0005-0000-0000-0000F2A50000}"/>
    <cellStyle name="强调文字颜色 1 2 3 2 2 3 2 2 2" xfId="42483" xr:uid="{00000000-0005-0000-0000-0000F3A50000}"/>
    <cellStyle name="强调文字颜色 1 2 3 2 2 3 3" xfId="42484" xr:uid="{00000000-0005-0000-0000-0000F4A50000}"/>
    <cellStyle name="强调文字颜色 1 2 3 2 2 3 3 2" xfId="42485" xr:uid="{00000000-0005-0000-0000-0000F5A50000}"/>
    <cellStyle name="强调文字颜色 1 2 3 2 2 4" xfId="42486" xr:uid="{00000000-0005-0000-0000-0000F6A50000}"/>
    <cellStyle name="强调文字颜色 1 2 3 2 2 5" xfId="42487" xr:uid="{00000000-0005-0000-0000-0000F7A50000}"/>
    <cellStyle name="强调文字颜色 1 2 3 2 2 6" xfId="42488" xr:uid="{00000000-0005-0000-0000-0000F8A50000}"/>
    <cellStyle name="强调文字颜色 1 2 3 2 3" xfId="42489" xr:uid="{00000000-0005-0000-0000-0000F9A50000}"/>
    <cellStyle name="强调文字颜色 1 2 3 2 3 2" xfId="42490" xr:uid="{00000000-0005-0000-0000-0000FAA50000}"/>
    <cellStyle name="强调文字颜色 1 2 3 2 3 3" xfId="42491" xr:uid="{00000000-0005-0000-0000-0000FBA50000}"/>
    <cellStyle name="强调文字颜色 1 2 3 2 3 3 2" xfId="42492" xr:uid="{00000000-0005-0000-0000-0000FCA50000}"/>
    <cellStyle name="强调文字颜色 1 2 3 2 3 3 2 2" xfId="42493" xr:uid="{00000000-0005-0000-0000-0000FDA50000}"/>
    <cellStyle name="强调文字颜色 1 2 3 2 3 4" xfId="42494" xr:uid="{00000000-0005-0000-0000-0000FEA50000}"/>
    <cellStyle name="强调文字颜色 1 2 3 2 3 4 2" xfId="42495" xr:uid="{00000000-0005-0000-0000-0000FFA50000}"/>
    <cellStyle name="强调文字颜色 1 2 3 2 4" xfId="42496" xr:uid="{00000000-0005-0000-0000-000000A60000}"/>
    <cellStyle name="强调文字颜色 1 2 3 2 4 2" xfId="42497" xr:uid="{00000000-0005-0000-0000-000001A60000}"/>
    <cellStyle name="强调文字颜色 1 2 3 2 4 2 2" xfId="42498" xr:uid="{00000000-0005-0000-0000-000002A60000}"/>
    <cellStyle name="强调文字颜色 1 2 3 2 4 2 2 2" xfId="42499" xr:uid="{00000000-0005-0000-0000-000003A60000}"/>
    <cellStyle name="强调文字颜色 1 2 3 2 4 3" xfId="42500" xr:uid="{00000000-0005-0000-0000-000004A60000}"/>
    <cellStyle name="强调文字颜色 1 2 3 2 4 3 2" xfId="42501" xr:uid="{00000000-0005-0000-0000-000005A60000}"/>
    <cellStyle name="强调文字颜色 1 2 3 2 5" xfId="42502" xr:uid="{00000000-0005-0000-0000-000006A60000}"/>
    <cellStyle name="强调文字颜色 1 2 3 2 6" xfId="42503" xr:uid="{00000000-0005-0000-0000-000007A60000}"/>
    <cellStyle name="强调文字颜色 1 2 3 2 7" xfId="42504" xr:uid="{00000000-0005-0000-0000-000008A60000}"/>
    <cellStyle name="强调文字颜色 1 2 3 3" xfId="42505" xr:uid="{00000000-0005-0000-0000-000009A60000}"/>
    <cellStyle name="强调文字颜色 1 2 3 3 2" xfId="42506" xr:uid="{00000000-0005-0000-0000-00000AA60000}"/>
    <cellStyle name="强调文字颜色 1 2 3 3 2 2" xfId="42507" xr:uid="{00000000-0005-0000-0000-00000BA60000}"/>
    <cellStyle name="强调文字颜色 1 2 3 3 2 3" xfId="42508" xr:uid="{00000000-0005-0000-0000-00000CA60000}"/>
    <cellStyle name="强调文字颜色 1 2 3 3 2 3 2" xfId="42509" xr:uid="{00000000-0005-0000-0000-00000DA60000}"/>
    <cellStyle name="强调文字颜色 1 2 3 3 2 3 2 2" xfId="42510" xr:uid="{00000000-0005-0000-0000-00000EA60000}"/>
    <cellStyle name="强调文字颜色 1 2 3 3 2 4" xfId="42511" xr:uid="{00000000-0005-0000-0000-00000FA60000}"/>
    <cellStyle name="强调文字颜色 1 2 3 3 2 4 2" xfId="42512" xr:uid="{00000000-0005-0000-0000-000010A60000}"/>
    <cellStyle name="强调文字颜色 1 2 3 3 3" xfId="42513" xr:uid="{00000000-0005-0000-0000-000011A60000}"/>
    <cellStyle name="强调文字颜色 1 2 3 3 3 2" xfId="42514" xr:uid="{00000000-0005-0000-0000-000012A60000}"/>
    <cellStyle name="强调文字颜色 1 2 3 3 3 2 2" xfId="42515" xr:uid="{00000000-0005-0000-0000-000013A60000}"/>
    <cellStyle name="强调文字颜色 1 2 3 3 3 2 2 2" xfId="42516" xr:uid="{00000000-0005-0000-0000-000014A60000}"/>
    <cellStyle name="强调文字颜色 1 2 3 3 3 3" xfId="42517" xr:uid="{00000000-0005-0000-0000-000015A60000}"/>
    <cellStyle name="强调文字颜色 1 2 3 3 3 3 2" xfId="42518" xr:uid="{00000000-0005-0000-0000-000016A60000}"/>
    <cellStyle name="强调文字颜色 1 2 3 3 4" xfId="42519" xr:uid="{00000000-0005-0000-0000-000017A60000}"/>
    <cellStyle name="强调文字颜色 1 2 3 3 5" xfId="42520" xr:uid="{00000000-0005-0000-0000-000018A60000}"/>
    <cellStyle name="强调文字颜色 1 2 3 3 6" xfId="42521" xr:uid="{00000000-0005-0000-0000-000019A60000}"/>
    <cellStyle name="强调文字颜色 1 2 3 4" xfId="42522" xr:uid="{00000000-0005-0000-0000-00001AA60000}"/>
    <cellStyle name="强调文字颜色 1 2 3 4 2" xfId="42523" xr:uid="{00000000-0005-0000-0000-00001BA60000}"/>
    <cellStyle name="强调文字颜色 1 2 3 4 2 2" xfId="42524" xr:uid="{00000000-0005-0000-0000-00001CA60000}"/>
    <cellStyle name="强调文字颜色 1 2 3 4 2 3" xfId="42525" xr:uid="{00000000-0005-0000-0000-00001DA60000}"/>
    <cellStyle name="强调文字颜色 1 2 3 4 2 3 2" xfId="42526" xr:uid="{00000000-0005-0000-0000-00001EA60000}"/>
    <cellStyle name="强调文字颜色 1 2 3 4 2 3 2 2" xfId="42527" xr:uid="{00000000-0005-0000-0000-00001FA60000}"/>
    <cellStyle name="强调文字颜色 1 2 3 4 2 4" xfId="42528" xr:uid="{00000000-0005-0000-0000-000020A60000}"/>
    <cellStyle name="强调文字颜色 1 2 3 4 2 4 2" xfId="42529" xr:uid="{00000000-0005-0000-0000-000021A60000}"/>
    <cellStyle name="强调文字颜色 1 2 3 4 3" xfId="42530" xr:uid="{00000000-0005-0000-0000-000022A60000}"/>
    <cellStyle name="强调文字颜色 1 2 3 4 4" xfId="42531" xr:uid="{00000000-0005-0000-0000-000023A60000}"/>
    <cellStyle name="强调文字颜色 1 2 3 4 5" xfId="42532" xr:uid="{00000000-0005-0000-0000-000024A60000}"/>
    <cellStyle name="强调文字颜色 1 2 3 4 6" xfId="42533" xr:uid="{00000000-0005-0000-0000-000025A60000}"/>
    <cellStyle name="强调文字颜色 1 2 3 5" xfId="42534" xr:uid="{00000000-0005-0000-0000-000026A60000}"/>
    <cellStyle name="强调文字颜色 1 2 3 5 2" xfId="42535" xr:uid="{00000000-0005-0000-0000-000027A60000}"/>
    <cellStyle name="强调文字颜色 1 2 3 5 2 2" xfId="42536" xr:uid="{00000000-0005-0000-0000-000028A60000}"/>
    <cellStyle name="强调文字颜色 1 2 3 5 2 2 2" xfId="42537" xr:uid="{00000000-0005-0000-0000-000029A60000}"/>
    <cellStyle name="强调文字颜色 1 2 3 5 2 2 2 2" xfId="42538" xr:uid="{00000000-0005-0000-0000-00002AA60000}"/>
    <cellStyle name="强调文字颜色 1 2 3 5 2 3" xfId="42539" xr:uid="{00000000-0005-0000-0000-00002BA60000}"/>
    <cellStyle name="强调文字颜色 1 2 3 5 2 3 2" xfId="42540" xr:uid="{00000000-0005-0000-0000-00002CA60000}"/>
    <cellStyle name="强调文字颜色 1 2 3 5 3" xfId="42541" xr:uid="{00000000-0005-0000-0000-00002DA60000}"/>
    <cellStyle name="强调文字颜色 1 2 3 5 3 2" xfId="42542" xr:uid="{00000000-0005-0000-0000-00002EA60000}"/>
    <cellStyle name="强调文字颜色 1 2 3 5 3 2 2" xfId="42543" xr:uid="{00000000-0005-0000-0000-00002FA60000}"/>
    <cellStyle name="强调文字颜色 1 2 3 5 4" xfId="42544" xr:uid="{00000000-0005-0000-0000-000030A60000}"/>
    <cellStyle name="强调文字颜色 1 2 3 5 4 2" xfId="42545" xr:uid="{00000000-0005-0000-0000-000031A60000}"/>
    <cellStyle name="强调文字颜色 1 2 3 6" xfId="42546" xr:uid="{00000000-0005-0000-0000-000032A60000}"/>
    <cellStyle name="强调文字颜色 1 2 3 6 2" xfId="42547" xr:uid="{00000000-0005-0000-0000-000033A60000}"/>
    <cellStyle name="强调文字颜色 1 2 3 6 2 2" xfId="42548" xr:uid="{00000000-0005-0000-0000-000034A60000}"/>
    <cellStyle name="强调文字颜色 1 2 3 6 2 2 2" xfId="42549" xr:uid="{00000000-0005-0000-0000-000035A60000}"/>
    <cellStyle name="强调文字颜色 1 2 3 6 3" xfId="42550" xr:uid="{00000000-0005-0000-0000-000036A60000}"/>
    <cellStyle name="强调文字颜色 1 2 3 6 3 2" xfId="42551" xr:uid="{00000000-0005-0000-0000-000037A60000}"/>
    <cellStyle name="强调文字颜色 1 2 3 7" xfId="42552" xr:uid="{00000000-0005-0000-0000-000038A60000}"/>
    <cellStyle name="强调文字颜色 1 2 3 7 2" xfId="42553" xr:uid="{00000000-0005-0000-0000-000039A60000}"/>
    <cellStyle name="强调文字颜色 1 2 3 7 2 2" xfId="42554" xr:uid="{00000000-0005-0000-0000-00003AA60000}"/>
    <cellStyle name="强调文字颜色 1 2 3 7 2 2 2" xfId="42555" xr:uid="{00000000-0005-0000-0000-00003BA60000}"/>
    <cellStyle name="强调文字颜色 1 2 3 7 3" xfId="42556" xr:uid="{00000000-0005-0000-0000-00003CA60000}"/>
    <cellStyle name="强调文字颜色 1 2 3 7 3 2" xfId="42557" xr:uid="{00000000-0005-0000-0000-00003DA60000}"/>
    <cellStyle name="强调文字颜色 1 2 3 8" xfId="42558" xr:uid="{00000000-0005-0000-0000-00003EA60000}"/>
    <cellStyle name="强调文字颜色 1 2 3 9" xfId="42559" xr:uid="{00000000-0005-0000-0000-00003FA60000}"/>
    <cellStyle name="强调文字颜色 1 2 4" xfId="42560" xr:uid="{00000000-0005-0000-0000-000040A60000}"/>
    <cellStyle name="强调文字颜色 1 2 4 2" xfId="42561" xr:uid="{00000000-0005-0000-0000-000041A60000}"/>
    <cellStyle name="强调文字颜色 1 2 4 2 2" xfId="42562" xr:uid="{00000000-0005-0000-0000-000042A60000}"/>
    <cellStyle name="强调文字颜色 1 2 4 2 3" xfId="42563" xr:uid="{00000000-0005-0000-0000-000043A60000}"/>
    <cellStyle name="强调文字颜色 1 2 4 2 3 2" xfId="42564" xr:uid="{00000000-0005-0000-0000-000044A60000}"/>
    <cellStyle name="强调文字颜色 1 2 4 2 3 2 2" xfId="42565" xr:uid="{00000000-0005-0000-0000-000045A60000}"/>
    <cellStyle name="强调文字颜色 1 2 4 2 4" xfId="42566" xr:uid="{00000000-0005-0000-0000-000046A60000}"/>
    <cellStyle name="强调文字颜色 1 2 4 2 4 2" xfId="42567" xr:uid="{00000000-0005-0000-0000-000047A60000}"/>
    <cellStyle name="强调文字颜色 1 2 4 3" xfId="42568" xr:uid="{00000000-0005-0000-0000-000048A60000}"/>
    <cellStyle name="强调文字颜色 1 2 4 3 2" xfId="42569" xr:uid="{00000000-0005-0000-0000-000049A60000}"/>
    <cellStyle name="强调文字颜色 1 2 4 3 2 2" xfId="42570" xr:uid="{00000000-0005-0000-0000-00004AA60000}"/>
    <cellStyle name="强调文字颜色 1 2 4 3 2 2 2" xfId="42571" xr:uid="{00000000-0005-0000-0000-00004BA60000}"/>
    <cellStyle name="强调文字颜色 1 2 4 3 3" xfId="42572" xr:uid="{00000000-0005-0000-0000-00004CA60000}"/>
    <cellStyle name="强调文字颜色 1 2 4 3 3 2" xfId="42573" xr:uid="{00000000-0005-0000-0000-00004DA60000}"/>
    <cellStyle name="强调文字颜色 1 2 4 4" xfId="42574" xr:uid="{00000000-0005-0000-0000-00004EA60000}"/>
    <cellStyle name="强调文字颜色 1 2 4 5" xfId="42575" xr:uid="{00000000-0005-0000-0000-00004FA60000}"/>
    <cellStyle name="强调文字颜色 1 2 4 6" xfId="42576" xr:uid="{00000000-0005-0000-0000-000050A60000}"/>
    <cellStyle name="强调文字颜色 1 2 5" xfId="42577" xr:uid="{00000000-0005-0000-0000-000051A60000}"/>
    <cellStyle name="强调文字颜色 1 2 5 2" xfId="42578" xr:uid="{00000000-0005-0000-0000-000052A60000}"/>
    <cellStyle name="强调文字颜色 1 2 5 2 2" xfId="42579" xr:uid="{00000000-0005-0000-0000-000053A60000}"/>
    <cellStyle name="强调文字颜色 1 2 5 2 3" xfId="42580" xr:uid="{00000000-0005-0000-0000-000054A60000}"/>
    <cellStyle name="强调文字颜色 1 2 5 2 3 2" xfId="42581" xr:uid="{00000000-0005-0000-0000-000055A60000}"/>
    <cellStyle name="强调文字颜色 1 2 5 2 3 2 2" xfId="42582" xr:uid="{00000000-0005-0000-0000-000056A60000}"/>
    <cellStyle name="强调文字颜色 1 2 5 2 4" xfId="42583" xr:uid="{00000000-0005-0000-0000-000057A60000}"/>
    <cellStyle name="强调文字颜色 1 2 5 2 4 2" xfId="42584" xr:uid="{00000000-0005-0000-0000-000058A60000}"/>
    <cellStyle name="强调文字颜色 1 2 5 3" xfId="42585" xr:uid="{00000000-0005-0000-0000-000059A60000}"/>
    <cellStyle name="强调文字颜色 1 2 5 4" xfId="42586" xr:uid="{00000000-0005-0000-0000-00005AA60000}"/>
    <cellStyle name="强调文字颜色 1 2 5 5" xfId="42587" xr:uid="{00000000-0005-0000-0000-00005BA60000}"/>
    <cellStyle name="强调文字颜色 1 2 5 6" xfId="42588" xr:uid="{00000000-0005-0000-0000-00005CA60000}"/>
    <cellStyle name="强调文字颜色 1 2 6" xfId="42589" xr:uid="{00000000-0005-0000-0000-00005DA60000}"/>
    <cellStyle name="强调文字颜色 1 2 6 2" xfId="42590" xr:uid="{00000000-0005-0000-0000-00005EA60000}"/>
    <cellStyle name="强调文字颜色 1 2 6 2 2" xfId="42591" xr:uid="{00000000-0005-0000-0000-00005FA60000}"/>
    <cellStyle name="强调文字颜色 1 2 6 2 2 2" xfId="42592" xr:uid="{00000000-0005-0000-0000-000060A60000}"/>
    <cellStyle name="强调文字颜色 1 2 6 2 2 2 2" xfId="42593" xr:uid="{00000000-0005-0000-0000-000061A60000}"/>
    <cellStyle name="强调文字颜色 1 2 6 2 3" xfId="42594" xr:uid="{00000000-0005-0000-0000-000062A60000}"/>
    <cellStyle name="强调文字颜色 1 2 6 2 3 2" xfId="42595" xr:uid="{00000000-0005-0000-0000-000063A60000}"/>
    <cellStyle name="强调文字颜色 1 2 6 3" xfId="42596" xr:uid="{00000000-0005-0000-0000-000064A60000}"/>
    <cellStyle name="强调文字颜色 1 2 6 3 2" xfId="42597" xr:uid="{00000000-0005-0000-0000-000065A60000}"/>
    <cellStyle name="强调文字颜色 1 2 6 3 2 2" xfId="42598" xr:uid="{00000000-0005-0000-0000-000066A60000}"/>
    <cellStyle name="强调文字颜色 1 2 6 4" xfId="42599" xr:uid="{00000000-0005-0000-0000-000067A60000}"/>
    <cellStyle name="强调文字颜色 1 2 6 4 2" xfId="42600" xr:uid="{00000000-0005-0000-0000-000068A60000}"/>
    <cellStyle name="强调文字颜色 1 2 7" xfId="42601" xr:uid="{00000000-0005-0000-0000-000069A60000}"/>
    <cellStyle name="强调文字颜色 1 2 7 2" xfId="42602" xr:uid="{00000000-0005-0000-0000-00006AA60000}"/>
    <cellStyle name="强调文字颜色 1 2 7 2 2" xfId="42603" xr:uid="{00000000-0005-0000-0000-00006BA60000}"/>
    <cellStyle name="强调文字颜色 1 2 7 2 2 2" xfId="42604" xr:uid="{00000000-0005-0000-0000-00006CA60000}"/>
    <cellStyle name="强调文字颜色 1 2 7 2 2 2 2" xfId="42605" xr:uid="{00000000-0005-0000-0000-00006DA60000}"/>
    <cellStyle name="强调文字颜色 1 2 7 2 3" xfId="42606" xr:uid="{00000000-0005-0000-0000-00006EA60000}"/>
    <cellStyle name="强调文字颜色 1 2 7 2 3 2" xfId="42607" xr:uid="{00000000-0005-0000-0000-00006FA60000}"/>
    <cellStyle name="强调文字颜色 1 2 7 3" xfId="42608" xr:uid="{00000000-0005-0000-0000-000070A60000}"/>
    <cellStyle name="强调文字颜色 1 2 7 3 2" xfId="42609" xr:uid="{00000000-0005-0000-0000-000071A60000}"/>
    <cellStyle name="强调文字颜色 1 2 7 3 2 2" xfId="42610" xr:uid="{00000000-0005-0000-0000-000072A60000}"/>
    <cellStyle name="强调文字颜色 1 2 7 4" xfId="42611" xr:uid="{00000000-0005-0000-0000-000073A60000}"/>
    <cellStyle name="强调文字颜色 1 2 7 4 2" xfId="42612" xr:uid="{00000000-0005-0000-0000-000074A60000}"/>
    <cellStyle name="强调文字颜色 1 2 8" xfId="42613" xr:uid="{00000000-0005-0000-0000-000075A60000}"/>
    <cellStyle name="强调文字颜色 1 2 8 2" xfId="42614" xr:uid="{00000000-0005-0000-0000-000076A60000}"/>
    <cellStyle name="强调文字颜色 1 2 8 2 2" xfId="42615" xr:uid="{00000000-0005-0000-0000-000077A60000}"/>
    <cellStyle name="强调文字颜色 1 2 8 2 2 2" xfId="42616" xr:uid="{00000000-0005-0000-0000-000078A60000}"/>
    <cellStyle name="强调文字颜色 1 2 8 2 2 2 2" xfId="42617" xr:uid="{00000000-0005-0000-0000-000079A60000}"/>
    <cellStyle name="强调文字颜色 1 2 8 2 3" xfId="42618" xr:uid="{00000000-0005-0000-0000-00007AA60000}"/>
    <cellStyle name="强调文字颜色 1 2 8 2 3 2" xfId="42619" xr:uid="{00000000-0005-0000-0000-00007BA60000}"/>
    <cellStyle name="强调文字颜色 1 2 8 3" xfId="42620" xr:uid="{00000000-0005-0000-0000-00007CA60000}"/>
    <cellStyle name="强调文字颜色 1 2 8 3 2" xfId="42621" xr:uid="{00000000-0005-0000-0000-00007DA60000}"/>
    <cellStyle name="强调文字颜色 1 2 8 3 2 2" xfId="42622" xr:uid="{00000000-0005-0000-0000-00007EA60000}"/>
    <cellStyle name="强调文字颜色 1 2 8 4" xfId="42623" xr:uid="{00000000-0005-0000-0000-00007FA60000}"/>
    <cellStyle name="强调文字颜色 1 2 8 4 2" xfId="42624" xr:uid="{00000000-0005-0000-0000-000080A60000}"/>
    <cellStyle name="强调文字颜色 1 2 9" xfId="42625" xr:uid="{00000000-0005-0000-0000-000081A60000}"/>
    <cellStyle name="强调文字颜色 1 2 9 2" xfId="42626" xr:uid="{00000000-0005-0000-0000-000082A60000}"/>
    <cellStyle name="强调文字颜色 1 2 9 2 2" xfId="42627" xr:uid="{00000000-0005-0000-0000-000083A60000}"/>
    <cellStyle name="强调文字颜色 1 2 9 2 2 2" xfId="42628" xr:uid="{00000000-0005-0000-0000-000084A60000}"/>
    <cellStyle name="强调文字颜色 1 2 9 3" xfId="42629" xr:uid="{00000000-0005-0000-0000-000085A60000}"/>
    <cellStyle name="强调文字颜色 1 2 9 3 2" xfId="42630" xr:uid="{00000000-0005-0000-0000-000086A60000}"/>
    <cellStyle name="强调文字颜色 1 3" xfId="42631" xr:uid="{00000000-0005-0000-0000-000087A60000}"/>
    <cellStyle name="强调文字颜色 1 3 2" xfId="42632" xr:uid="{00000000-0005-0000-0000-000088A60000}"/>
    <cellStyle name="强调文字颜色 1 3 2 2" xfId="42633" xr:uid="{00000000-0005-0000-0000-000089A60000}"/>
    <cellStyle name="强调文字颜色 1 3 2 2 2" xfId="42634" xr:uid="{00000000-0005-0000-0000-00008AA60000}"/>
    <cellStyle name="强调文字颜色 1 3 2 2 2 2" xfId="42635" xr:uid="{00000000-0005-0000-0000-00008BA60000}"/>
    <cellStyle name="强调文字颜色 1 3 2 2 2 3" xfId="42636" xr:uid="{00000000-0005-0000-0000-00008CA60000}"/>
    <cellStyle name="强调文字颜色 1 3 2 2 2 3 2" xfId="42637" xr:uid="{00000000-0005-0000-0000-00008DA60000}"/>
    <cellStyle name="强调文字颜色 1 3 2 2 2 3 2 2" xfId="42638" xr:uid="{00000000-0005-0000-0000-00008EA60000}"/>
    <cellStyle name="强调文字颜色 1 3 2 2 2 4" xfId="42639" xr:uid="{00000000-0005-0000-0000-00008FA60000}"/>
    <cellStyle name="强调文字颜色 1 3 2 2 2 4 2" xfId="42640" xr:uid="{00000000-0005-0000-0000-000090A60000}"/>
    <cellStyle name="强调文字颜色 1 3 2 2 3" xfId="42641" xr:uid="{00000000-0005-0000-0000-000091A60000}"/>
    <cellStyle name="强调文字颜色 1 3 2 2 3 2" xfId="42642" xr:uid="{00000000-0005-0000-0000-000092A60000}"/>
    <cellStyle name="强调文字颜色 1 3 2 2 3 2 2" xfId="42643" xr:uid="{00000000-0005-0000-0000-000093A60000}"/>
    <cellStyle name="强调文字颜色 1 3 2 2 3 2 2 2" xfId="42644" xr:uid="{00000000-0005-0000-0000-000094A60000}"/>
    <cellStyle name="强调文字颜色 1 3 2 2 3 3" xfId="42645" xr:uid="{00000000-0005-0000-0000-000095A60000}"/>
    <cellStyle name="强调文字颜色 1 3 2 2 3 3 2" xfId="42646" xr:uid="{00000000-0005-0000-0000-000096A60000}"/>
    <cellStyle name="强调文字颜色 1 3 2 2 4" xfId="42647" xr:uid="{00000000-0005-0000-0000-000097A60000}"/>
    <cellStyle name="强调文字颜色 1 3 2 2 5" xfId="42648" xr:uid="{00000000-0005-0000-0000-000098A60000}"/>
    <cellStyle name="强调文字颜色 1 3 2 2 6" xfId="42649" xr:uid="{00000000-0005-0000-0000-000099A60000}"/>
    <cellStyle name="强调文字颜色 1 3 2 3" xfId="42650" xr:uid="{00000000-0005-0000-0000-00009AA60000}"/>
    <cellStyle name="强调文字颜色 1 3 2 3 2" xfId="42651" xr:uid="{00000000-0005-0000-0000-00009BA60000}"/>
    <cellStyle name="强调文字颜色 1 3 2 3 3" xfId="42652" xr:uid="{00000000-0005-0000-0000-00009CA60000}"/>
    <cellStyle name="强调文字颜色 1 3 2 3 3 2" xfId="42653" xr:uid="{00000000-0005-0000-0000-00009DA60000}"/>
    <cellStyle name="强调文字颜色 1 3 2 3 3 2 2" xfId="42654" xr:uid="{00000000-0005-0000-0000-00009EA60000}"/>
    <cellStyle name="强调文字颜色 1 3 2 3 4" xfId="42655" xr:uid="{00000000-0005-0000-0000-00009FA60000}"/>
    <cellStyle name="强调文字颜色 1 3 2 3 4 2" xfId="42656" xr:uid="{00000000-0005-0000-0000-0000A0A60000}"/>
    <cellStyle name="强调文字颜色 1 3 2 4" xfId="42657" xr:uid="{00000000-0005-0000-0000-0000A1A60000}"/>
    <cellStyle name="强调文字颜色 1 3 2 4 2" xfId="42658" xr:uid="{00000000-0005-0000-0000-0000A2A60000}"/>
    <cellStyle name="强调文字颜色 1 3 2 4 2 2" xfId="42659" xr:uid="{00000000-0005-0000-0000-0000A3A60000}"/>
    <cellStyle name="强调文字颜色 1 3 2 4 2 2 2" xfId="42660" xr:uid="{00000000-0005-0000-0000-0000A4A60000}"/>
    <cellStyle name="强调文字颜色 1 3 2 4 3" xfId="42661" xr:uid="{00000000-0005-0000-0000-0000A5A60000}"/>
    <cellStyle name="强调文字颜色 1 3 2 4 3 2" xfId="42662" xr:uid="{00000000-0005-0000-0000-0000A6A60000}"/>
    <cellStyle name="强调文字颜色 1 3 2 5" xfId="42663" xr:uid="{00000000-0005-0000-0000-0000A7A60000}"/>
    <cellStyle name="强调文字颜色 1 3 2 6" xfId="42664" xr:uid="{00000000-0005-0000-0000-0000A8A60000}"/>
    <cellStyle name="强调文字颜色 1 3 2 7" xfId="42665" xr:uid="{00000000-0005-0000-0000-0000A9A60000}"/>
    <cellStyle name="强调文字颜色 1 3 3" xfId="42666" xr:uid="{00000000-0005-0000-0000-0000AAA60000}"/>
    <cellStyle name="强调文字颜色 1 3 3 2" xfId="42667" xr:uid="{00000000-0005-0000-0000-0000ABA60000}"/>
    <cellStyle name="强调文字颜色 1 3 3 2 2" xfId="42668" xr:uid="{00000000-0005-0000-0000-0000ACA60000}"/>
    <cellStyle name="强调文字颜色 1 3 3 2 3" xfId="42669" xr:uid="{00000000-0005-0000-0000-0000ADA60000}"/>
    <cellStyle name="强调文字颜色 1 3 3 2 3 2" xfId="42670" xr:uid="{00000000-0005-0000-0000-0000AEA60000}"/>
    <cellStyle name="强调文字颜色 1 3 3 2 3 2 2" xfId="42671" xr:uid="{00000000-0005-0000-0000-0000AFA60000}"/>
    <cellStyle name="强调文字颜色 1 3 3 2 4" xfId="42672" xr:uid="{00000000-0005-0000-0000-0000B0A60000}"/>
    <cellStyle name="强调文字颜色 1 3 3 2 4 2" xfId="42673" xr:uid="{00000000-0005-0000-0000-0000B1A60000}"/>
    <cellStyle name="强调文字颜色 1 3 3 3" xfId="42674" xr:uid="{00000000-0005-0000-0000-0000B2A60000}"/>
    <cellStyle name="强调文字颜色 1 3 3 3 2" xfId="42675" xr:uid="{00000000-0005-0000-0000-0000B3A60000}"/>
    <cellStyle name="强调文字颜色 1 3 3 3 2 2" xfId="42676" xr:uid="{00000000-0005-0000-0000-0000B4A60000}"/>
    <cellStyle name="强调文字颜色 1 3 3 3 2 2 2" xfId="42677" xr:uid="{00000000-0005-0000-0000-0000B5A60000}"/>
    <cellStyle name="强调文字颜色 1 3 3 3 3" xfId="42678" xr:uid="{00000000-0005-0000-0000-0000B6A60000}"/>
    <cellStyle name="强调文字颜色 1 3 3 3 3 2" xfId="42679" xr:uid="{00000000-0005-0000-0000-0000B7A60000}"/>
    <cellStyle name="强调文字颜色 1 3 3 4" xfId="42680" xr:uid="{00000000-0005-0000-0000-0000B8A60000}"/>
    <cellStyle name="强调文字颜色 1 3 3 5" xfId="42681" xr:uid="{00000000-0005-0000-0000-0000B9A60000}"/>
    <cellStyle name="强调文字颜色 1 3 3 6" xfId="42682" xr:uid="{00000000-0005-0000-0000-0000BAA60000}"/>
    <cellStyle name="强调文字颜色 1 3 4" xfId="42683" xr:uid="{00000000-0005-0000-0000-0000BBA60000}"/>
    <cellStyle name="强调文字颜色 1 3 4 2" xfId="42684" xr:uid="{00000000-0005-0000-0000-0000BCA60000}"/>
    <cellStyle name="强调文字颜色 1 3 4 2 2" xfId="42685" xr:uid="{00000000-0005-0000-0000-0000BDA60000}"/>
    <cellStyle name="强调文字颜色 1 3 4 2 3" xfId="42686" xr:uid="{00000000-0005-0000-0000-0000BEA60000}"/>
    <cellStyle name="强调文字颜色 1 3 4 2 3 2" xfId="42687" xr:uid="{00000000-0005-0000-0000-0000BFA60000}"/>
    <cellStyle name="强调文字颜色 1 3 4 2 3 2 2" xfId="42688" xr:uid="{00000000-0005-0000-0000-0000C0A60000}"/>
    <cellStyle name="强调文字颜色 1 3 4 2 4" xfId="42689" xr:uid="{00000000-0005-0000-0000-0000C1A60000}"/>
    <cellStyle name="强调文字颜色 1 3 4 2 4 2" xfId="42690" xr:uid="{00000000-0005-0000-0000-0000C2A60000}"/>
    <cellStyle name="强调文字颜色 1 3 4 3" xfId="42691" xr:uid="{00000000-0005-0000-0000-0000C3A60000}"/>
    <cellStyle name="强调文字颜色 1 3 4 4" xfId="42692" xr:uid="{00000000-0005-0000-0000-0000C4A60000}"/>
    <cellStyle name="强调文字颜色 1 3 4 5" xfId="42693" xr:uid="{00000000-0005-0000-0000-0000C5A60000}"/>
    <cellStyle name="强调文字颜色 1 3 4 6" xfId="42694" xr:uid="{00000000-0005-0000-0000-0000C6A60000}"/>
    <cellStyle name="强调文字颜色 1 3 5" xfId="42695" xr:uid="{00000000-0005-0000-0000-0000C7A60000}"/>
    <cellStyle name="强调文字颜色 1 3 5 2" xfId="42696" xr:uid="{00000000-0005-0000-0000-0000C8A60000}"/>
    <cellStyle name="强调文字颜色 1 3 5 2 2" xfId="42697" xr:uid="{00000000-0005-0000-0000-0000C9A60000}"/>
    <cellStyle name="强调文字颜色 1 3 5 2 2 2" xfId="42698" xr:uid="{00000000-0005-0000-0000-0000CAA60000}"/>
    <cellStyle name="强调文字颜色 1 3 5 2 2 2 2" xfId="42699" xr:uid="{00000000-0005-0000-0000-0000CBA60000}"/>
    <cellStyle name="强调文字颜色 1 3 5 2 3" xfId="42700" xr:uid="{00000000-0005-0000-0000-0000CCA60000}"/>
    <cellStyle name="强调文字颜色 1 3 5 2 3 2" xfId="42701" xr:uid="{00000000-0005-0000-0000-0000CDA60000}"/>
    <cellStyle name="强调文字颜色 1 3 5 3" xfId="42702" xr:uid="{00000000-0005-0000-0000-0000CEA60000}"/>
    <cellStyle name="强调文字颜色 1 3 5 3 2" xfId="42703" xr:uid="{00000000-0005-0000-0000-0000CFA60000}"/>
    <cellStyle name="强调文字颜色 1 3 5 3 2 2" xfId="42704" xr:uid="{00000000-0005-0000-0000-0000D0A60000}"/>
    <cellStyle name="强调文字颜色 1 3 5 4" xfId="42705" xr:uid="{00000000-0005-0000-0000-0000D1A60000}"/>
    <cellStyle name="强调文字颜色 1 3 5 4 2" xfId="42706" xr:uid="{00000000-0005-0000-0000-0000D2A60000}"/>
    <cellStyle name="强调文字颜色 1 3 6" xfId="42707" xr:uid="{00000000-0005-0000-0000-0000D3A60000}"/>
    <cellStyle name="强调文字颜色 1 3 6 2" xfId="42708" xr:uid="{00000000-0005-0000-0000-0000D4A60000}"/>
    <cellStyle name="强调文字颜色 1 3 6 2 2" xfId="42709" xr:uid="{00000000-0005-0000-0000-0000D5A60000}"/>
    <cellStyle name="强调文字颜色 1 3 6 2 2 2" xfId="42710" xr:uid="{00000000-0005-0000-0000-0000D6A60000}"/>
    <cellStyle name="强调文字颜色 1 3 6 3" xfId="42711" xr:uid="{00000000-0005-0000-0000-0000D7A60000}"/>
    <cellStyle name="强调文字颜色 1 3 6 3 2" xfId="42712" xr:uid="{00000000-0005-0000-0000-0000D8A60000}"/>
    <cellStyle name="强调文字颜色 1 3 7" xfId="42713" xr:uid="{00000000-0005-0000-0000-0000D9A60000}"/>
    <cellStyle name="强调文字颜色 1 3 8" xfId="42714" xr:uid="{00000000-0005-0000-0000-0000DAA60000}"/>
    <cellStyle name="强调文字颜色 2 2" xfId="42715" xr:uid="{00000000-0005-0000-0000-0000DBA60000}"/>
    <cellStyle name="强调文字颜色 2 2 10" xfId="42716" xr:uid="{00000000-0005-0000-0000-0000DCA60000}"/>
    <cellStyle name="强调文字颜色 2 2 11" xfId="42717" xr:uid="{00000000-0005-0000-0000-0000DDA60000}"/>
    <cellStyle name="强调文字颜色 2 2 2" xfId="42718" xr:uid="{00000000-0005-0000-0000-0000DEA60000}"/>
    <cellStyle name="强调文字颜色 2 2 2 10" xfId="42719" xr:uid="{00000000-0005-0000-0000-0000DFA60000}"/>
    <cellStyle name="强调文字颜色 2 2 2 11" xfId="42720" xr:uid="{00000000-0005-0000-0000-0000E0A60000}"/>
    <cellStyle name="强调文字颜色 2 2 2 2" xfId="42721" xr:uid="{00000000-0005-0000-0000-0000E1A60000}"/>
    <cellStyle name="强调文字颜色 2 2 2 2 2" xfId="42722" xr:uid="{00000000-0005-0000-0000-0000E2A60000}"/>
    <cellStyle name="强调文字颜色 2 2 2 2 2 2" xfId="42723" xr:uid="{00000000-0005-0000-0000-0000E3A60000}"/>
    <cellStyle name="强调文字颜色 2 2 2 2 2 2 2" xfId="42724" xr:uid="{00000000-0005-0000-0000-0000E4A60000}"/>
    <cellStyle name="强调文字颜色 2 2 2 2 2 2 3" xfId="42725" xr:uid="{00000000-0005-0000-0000-0000E5A60000}"/>
    <cellStyle name="强调文字颜色 2 2 2 2 2 2 3 2" xfId="42726" xr:uid="{00000000-0005-0000-0000-0000E6A60000}"/>
    <cellStyle name="强调文字颜色 2 2 2 2 2 2 3 2 2" xfId="42727" xr:uid="{00000000-0005-0000-0000-0000E7A60000}"/>
    <cellStyle name="强调文字颜色 2 2 2 2 2 2 4" xfId="42728" xr:uid="{00000000-0005-0000-0000-0000E8A60000}"/>
    <cellStyle name="强调文字颜色 2 2 2 2 2 2 4 2" xfId="42729" xr:uid="{00000000-0005-0000-0000-0000E9A60000}"/>
    <cellStyle name="强调文字颜色 2 2 2 2 2 3" xfId="42730" xr:uid="{00000000-0005-0000-0000-0000EAA60000}"/>
    <cellStyle name="强调文字颜色 2 2 2 2 2 3 2" xfId="42731" xr:uid="{00000000-0005-0000-0000-0000EBA60000}"/>
    <cellStyle name="强调文字颜色 2 2 2 2 2 3 2 2" xfId="42732" xr:uid="{00000000-0005-0000-0000-0000ECA60000}"/>
    <cellStyle name="强调文字颜色 2 2 2 2 2 3 2 2 2" xfId="42733" xr:uid="{00000000-0005-0000-0000-0000EDA60000}"/>
    <cellStyle name="强调文字颜色 2 2 2 2 2 3 3" xfId="42734" xr:uid="{00000000-0005-0000-0000-0000EEA60000}"/>
    <cellStyle name="强调文字颜色 2 2 2 2 2 3 3 2" xfId="42735" xr:uid="{00000000-0005-0000-0000-0000EFA60000}"/>
    <cellStyle name="强调文字颜色 2 2 2 2 2 4" xfId="42736" xr:uid="{00000000-0005-0000-0000-0000F0A60000}"/>
    <cellStyle name="强调文字颜色 2 2 2 2 2 5" xfId="42737" xr:uid="{00000000-0005-0000-0000-0000F1A60000}"/>
    <cellStyle name="强调文字颜色 2 2 2 2 2 6" xfId="42738" xr:uid="{00000000-0005-0000-0000-0000F2A60000}"/>
    <cellStyle name="强调文字颜色 2 2 2 2 3" xfId="42739" xr:uid="{00000000-0005-0000-0000-0000F3A60000}"/>
    <cellStyle name="强调文字颜色 2 2 2 2 3 2" xfId="42740" xr:uid="{00000000-0005-0000-0000-0000F4A60000}"/>
    <cellStyle name="强调文字颜色 2 2 2 2 3 3" xfId="42741" xr:uid="{00000000-0005-0000-0000-0000F5A60000}"/>
    <cellStyle name="强调文字颜色 2 2 2 2 3 3 2" xfId="42742" xr:uid="{00000000-0005-0000-0000-0000F6A60000}"/>
    <cellStyle name="强调文字颜色 2 2 2 2 3 3 2 2" xfId="42743" xr:uid="{00000000-0005-0000-0000-0000F7A60000}"/>
    <cellStyle name="强调文字颜色 2 2 2 2 3 4" xfId="42744" xr:uid="{00000000-0005-0000-0000-0000F8A60000}"/>
    <cellStyle name="强调文字颜色 2 2 2 2 3 4 2" xfId="42745" xr:uid="{00000000-0005-0000-0000-0000F9A60000}"/>
    <cellStyle name="强调文字颜色 2 2 2 2 4" xfId="42746" xr:uid="{00000000-0005-0000-0000-0000FAA60000}"/>
    <cellStyle name="强调文字颜色 2 2 2 2 4 2" xfId="42747" xr:uid="{00000000-0005-0000-0000-0000FBA60000}"/>
    <cellStyle name="强调文字颜色 2 2 2 2 4 2 2" xfId="42748" xr:uid="{00000000-0005-0000-0000-0000FCA60000}"/>
    <cellStyle name="强调文字颜色 2 2 2 2 4 2 2 2" xfId="42749" xr:uid="{00000000-0005-0000-0000-0000FDA60000}"/>
    <cellStyle name="强调文字颜色 2 2 2 2 4 3" xfId="42750" xr:uid="{00000000-0005-0000-0000-0000FEA60000}"/>
    <cellStyle name="强调文字颜色 2 2 2 2 4 3 2" xfId="42751" xr:uid="{00000000-0005-0000-0000-0000FFA60000}"/>
    <cellStyle name="强调文字颜色 2 2 2 2 5" xfId="42752" xr:uid="{00000000-0005-0000-0000-000000A70000}"/>
    <cellStyle name="强调文字颜色 2 2 2 2 6" xfId="42753" xr:uid="{00000000-0005-0000-0000-000001A70000}"/>
    <cellStyle name="强调文字颜色 2 2 2 2 7" xfId="42754" xr:uid="{00000000-0005-0000-0000-000002A70000}"/>
    <cellStyle name="强调文字颜色 2 2 2 3" xfId="42755" xr:uid="{00000000-0005-0000-0000-000003A70000}"/>
    <cellStyle name="强调文字颜色 2 2 2 3 2" xfId="42756" xr:uid="{00000000-0005-0000-0000-000004A70000}"/>
    <cellStyle name="强调文字颜色 2 2 2 3 2 2" xfId="42757" xr:uid="{00000000-0005-0000-0000-000005A70000}"/>
    <cellStyle name="强调文字颜色 2 2 2 3 2 3" xfId="42758" xr:uid="{00000000-0005-0000-0000-000006A70000}"/>
    <cellStyle name="强调文字颜色 2 2 2 3 2 3 2" xfId="42759" xr:uid="{00000000-0005-0000-0000-000007A70000}"/>
    <cellStyle name="强调文字颜色 2 2 2 3 2 3 2 2" xfId="42760" xr:uid="{00000000-0005-0000-0000-000008A70000}"/>
    <cellStyle name="强调文字颜色 2 2 2 3 2 4" xfId="42761" xr:uid="{00000000-0005-0000-0000-000009A70000}"/>
    <cellStyle name="强调文字颜色 2 2 2 3 2 4 2" xfId="42762" xr:uid="{00000000-0005-0000-0000-00000AA70000}"/>
    <cellStyle name="强调文字颜色 2 2 2 3 3" xfId="42763" xr:uid="{00000000-0005-0000-0000-00000BA70000}"/>
    <cellStyle name="强调文字颜色 2 2 2 3 3 2" xfId="42764" xr:uid="{00000000-0005-0000-0000-00000CA70000}"/>
    <cellStyle name="强调文字颜色 2 2 2 3 3 2 2" xfId="42765" xr:uid="{00000000-0005-0000-0000-00000DA70000}"/>
    <cellStyle name="强调文字颜色 2 2 2 3 3 2 2 2" xfId="42766" xr:uid="{00000000-0005-0000-0000-00000EA70000}"/>
    <cellStyle name="强调文字颜色 2 2 2 3 3 3" xfId="42767" xr:uid="{00000000-0005-0000-0000-00000FA70000}"/>
    <cellStyle name="强调文字颜色 2 2 2 3 3 3 2" xfId="42768" xr:uid="{00000000-0005-0000-0000-000010A70000}"/>
    <cellStyle name="强调文字颜色 2 2 2 3 4" xfId="42769" xr:uid="{00000000-0005-0000-0000-000011A70000}"/>
    <cellStyle name="强调文字颜色 2 2 2 3 5" xfId="42770" xr:uid="{00000000-0005-0000-0000-000012A70000}"/>
    <cellStyle name="强调文字颜色 2 2 2 3 6" xfId="42771" xr:uid="{00000000-0005-0000-0000-000013A70000}"/>
    <cellStyle name="强调文字颜色 2 2 2 4" xfId="42772" xr:uid="{00000000-0005-0000-0000-000014A70000}"/>
    <cellStyle name="强调文字颜色 2 2 2 4 2" xfId="42773" xr:uid="{00000000-0005-0000-0000-000015A70000}"/>
    <cellStyle name="强调文字颜色 2 2 2 4 2 2" xfId="42774" xr:uid="{00000000-0005-0000-0000-000016A70000}"/>
    <cellStyle name="强调文字颜色 2 2 2 4 2 3" xfId="42775" xr:uid="{00000000-0005-0000-0000-000017A70000}"/>
    <cellStyle name="强调文字颜色 2 2 2 4 2 3 2" xfId="42776" xr:uid="{00000000-0005-0000-0000-000018A70000}"/>
    <cellStyle name="强调文字颜色 2 2 2 4 2 3 2 2" xfId="42777" xr:uid="{00000000-0005-0000-0000-000019A70000}"/>
    <cellStyle name="强调文字颜色 2 2 2 4 2 4" xfId="42778" xr:uid="{00000000-0005-0000-0000-00001AA70000}"/>
    <cellStyle name="强调文字颜色 2 2 2 4 2 4 2" xfId="42779" xr:uid="{00000000-0005-0000-0000-00001BA70000}"/>
    <cellStyle name="强调文字颜色 2 2 2 4 3" xfId="42780" xr:uid="{00000000-0005-0000-0000-00001CA70000}"/>
    <cellStyle name="强调文字颜色 2 2 2 4 4" xfId="42781" xr:uid="{00000000-0005-0000-0000-00001DA70000}"/>
    <cellStyle name="强调文字颜色 2 2 2 4 5" xfId="42782" xr:uid="{00000000-0005-0000-0000-00001EA70000}"/>
    <cellStyle name="强调文字颜色 2 2 2 4 6" xfId="42783" xr:uid="{00000000-0005-0000-0000-00001FA70000}"/>
    <cellStyle name="强调文字颜色 2 2 2 5" xfId="42784" xr:uid="{00000000-0005-0000-0000-000020A70000}"/>
    <cellStyle name="强调文字颜色 2 2 2 5 2" xfId="42785" xr:uid="{00000000-0005-0000-0000-000021A70000}"/>
    <cellStyle name="强调文字颜色 2 2 2 5 2 2" xfId="42786" xr:uid="{00000000-0005-0000-0000-000022A70000}"/>
    <cellStyle name="强调文字颜色 2 2 2 5 2 2 2" xfId="42787" xr:uid="{00000000-0005-0000-0000-000023A70000}"/>
    <cellStyle name="强调文字颜色 2 2 2 5 2 2 2 2" xfId="42788" xr:uid="{00000000-0005-0000-0000-000024A70000}"/>
    <cellStyle name="强调文字颜色 2 2 2 5 2 3" xfId="42789" xr:uid="{00000000-0005-0000-0000-000025A70000}"/>
    <cellStyle name="强调文字颜色 2 2 2 5 2 3 2" xfId="42790" xr:uid="{00000000-0005-0000-0000-000026A70000}"/>
    <cellStyle name="强调文字颜色 2 2 2 5 3" xfId="42791" xr:uid="{00000000-0005-0000-0000-000027A70000}"/>
    <cellStyle name="强调文字颜色 2 2 2 5 3 2" xfId="42792" xr:uid="{00000000-0005-0000-0000-000028A70000}"/>
    <cellStyle name="强调文字颜色 2 2 2 5 3 2 2" xfId="42793" xr:uid="{00000000-0005-0000-0000-000029A70000}"/>
    <cellStyle name="强调文字颜色 2 2 2 5 4" xfId="42794" xr:uid="{00000000-0005-0000-0000-00002AA70000}"/>
    <cellStyle name="强调文字颜色 2 2 2 5 4 2" xfId="42795" xr:uid="{00000000-0005-0000-0000-00002BA70000}"/>
    <cellStyle name="强调文字颜色 2 2 2 6" xfId="42796" xr:uid="{00000000-0005-0000-0000-00002CA70000}"/>
    <cellStyle name="强调文字颜色 2 2 2 6 2" xfId="42797" xr:uid="{00000000-0005-0000-0000-00002DA70000}"/>
    <cellStyle name="强调文字颜色 2 2 2 6 2 2" xfId="42798" xr:uid="{00000000-0005-0000-0000-00002EA70000}"/>
    <cellStyle name="强调文字颜色 2 2 2 6 2 2 2" xfId="42799" xr:uid="{00000000-0005-0000-0000-00002FA70000}"/>
    <cellStyle name="强调文字颜色 2 2 2 6 2 2 2 2" xfId="42800" xr:uid="{00000000-0005-0000-0000-000030A70000}"/>
    <cellStyle name="强调文字颜色 2 2 2 6 2 3" xfId="42801" xr:uid="{00000000-0005-0000-0000-000031A70000}"/>
    <cellStyle name="强调文字颜色 2 2 2 6 2 3 2" xfId="42802" xr:uid="{00000000-0005-0000-0000-000032A70000}"/>
    <cellStyle name="强调文字颜色 2 2 2 6 3" xfId="42803" xr:uid="{00000000-0005-0000-0000-000033A70000}"/>
    <cellStyle name="强调文字颜色 2 2 2 6 3 2" xfId="42804" xr:uid="{00000000-0005-0000-0000-000034A70000}"/>
    <cellStyle name="强调文字颜色 2 2 2 6 3 2 2" xfId="42805" xr:uid="{00000000-0005-0000-0000-000035A70000}"/>
    <cellStyle name="强调文字颜色 2 2 2 6 4" xfId="42806" xr:uid="{00000000-0005-0000-0000-000036A70000}"/>
    <cellStyle name="强调文字颜色 2 2 2 6 4 2" xfId="42807" xr:uid="{00000000-0005-0000-0000-000037A70000}"/>
    <cellStyle name="强调文字颜色 2 2 2 7" xfId="42808" xr:uid="{00000000-0005-0000-0000-000038A70000}"/>
    <cellStyle name="强调文字颜色 2 2 2 7 2" xfId="42809" xr:uid="{00000000-0005-0000-0000-000039A70000}"/>
    <cellStyle name="强调文字颜色 2 2 2 7 2 2" xfId="42810" xr:uid="{00000000-0005-0000-0000-00003AA70000}"/>
    <cellStyle name="强调文字颜色 2 2 2 7 2 2 2" xfId="42811" xr:uid="{00000000-0005-0000-0000-00003BA70000}"/>
    <cellStyle name="强调文字颜色 2 2 2 7 2 2 2 2" xfId="42812" xr:uid="{00000000-0005-0000-0000-00003CA70000}"/>
    <cellStyle name="强调文字颜色 2 2 2 7 2 3" xfId="42813" xr:uid="{00000000-0005-0000-0000-00003DA70000}"/>
    <cellStyle name="强调文字颜色 2 2 2 7 2 3 2" xfId="42814" xr:uid="{00000000-0005-0000-0000-00003EA70000}"/>
    <cellStyle name="强调文字颜色 2 2 2 7 3" xfId="42815" xr:uid="{00000000-0005-0000-0000-00003FA70000}"/>
    <cellStyle name="强调文字颜色 2 2 2 7 3 2" xfId="42816" xr:uid="{00000000-0005-0000-0000-000040A70000}"/>
    <cellStyle name="强调文字颜色 2 2 2 7 3 2 2" xfId="42817" xr:uid="{00000000-0005-0000-0000-000041A70000}"/>
    <cellStyle name="强调文字颜色 2 2 2 7 4" xfId="42818" xr:uid="{00000000-0005-0000-0000-000042A70000}"/>
    <cellStyle name="强调文字颜色 2 2 2 7 4 2" xfId="42819" xr:uid="{00000000-0005-0000-0000-000043A70000}"/>
    <cellStyle name="强调文字颜色 2 2 2 8" xfId="42820" xr:uid="{00000000-0005-0000-0000-000044A70000}"/>
    <cellStyle name="强调文字颜色 2 2 2 8 2" xfId="42821" xr:uid="{00000000-0005-0000-0000-000045A70000}"/>
    <cellStyle name="强调文字颜色 2 2 2 8 2 2" xfId="42822" xr:uid="{00000000-0005-0000-0000-000046A70000}"/>
    <cellStyle name="强调文字颜色 2 2 2 8 2 2 2" xfId="42823" xr:uid="{00000000-0005-0000-0000-000047A70000}"/>
    <cellStyle name="强调文字颜色 2 2 2 8 3" xfId="42824" xr:uid="{00000000-0005-0000-0000-000048A70000}"/>
    <cellStyle name="强调文字颜色 2 2 2 8 3 2" xfId="42825" xr:uid="{00000000-0005-0000-0000-000049A70000}"/>
    <cellStyle name="强调文字颜色 2 2 2 9" xfId="42826" xr:uid="{00000000-0005-0000-0000-00004AA70000}"/>
    <cellStyle name="强调文字颜色 2 2 2 9 2" xfId="42827" xr:uid="{00000000-0005-0000-0000-00004BA70000}"/>
    <cellStyle name="强调文字颜色 2 2 2 9 2 2" xfId="42828" xr:uid="{00000000-0005-0000-0000-00004CA70000}"/>
    <cellStyle name="强调文字颜色 2 2 2 9 2 2 2" xfId="42829" xr:uid="{00000000-0005-0000-0000-00004DA70000}"/>
    <cellStyle name="强调文字颜色 2 2 2 9 3" xfId="42830" xr:uid="{00000000-0005-0000-0000-00004EA70000}"/>
    <cellStyle name="强调文字颜色 2 2 2 9 3 2" xfId="42831" xr:uid="{00000000-0005-0000-0000-00004FA70000}"/>
    <cellStyle name="强调文字颜色 2 2 3" xfId="42832" xr:uid="{00000000-0005-0000-0000-000050A70000}"/>
    <cellStyle name="强调文字颜色 2 2 3 2" xfId="42833" xr:uid="{00000000-0005-0000-0000-000051A70000}"/>
    <cellStyle name="强调文字颜色 2 2 3 2 2" xfId="42834" xr:uid="{00000000-0005-0000-0000-000052A70000}"/>
    <cellStyle name="强调文字颜色 2 2 3 2 2 2" xfId="42835" xr:uid="{00000000-0005-0000-0000-000053A70000}"/>
    <cellStyle name="强调文字颜色 2 2 3 2 2 2 2" xfId="42836" xr:uid="{00000000-0005-0000-0000-000054A70000}"/>
    <cellStyle name="强调文字颜色 2 2 3 2 2 2 3" xfId="42837" xr:uid="{00000000-0005-0000-0000-000055A70000}"/>
    <cellStyle name="强调文字颜色 2 2 3 2 2 2 3 2" xfId="42838" xr:uid="{00000000-0005-0000-0000-000056A70000}"/>
    <cellStyle name="强调文字颜色 2 2 3 2 2 2 3 2 2" xfId="42839" xr:uid="{00000000-0005-0000-0000-000057A70000}"/>
    <cellStyle name="强调文字颜色 2 2 3 2 2 2 4" xfId="42840" xr:uid="{00000000-0005-0000-0000-000058A70000}"/>
    <cellStyle name="强调文字颜色 2 2 3 2 2 2 4 2" xfId="42841" xr:uid="{00000000-0005-0000-0000-000059A70000}"/>
    <cellStyle name="强调文字颜色 2 2 3 2 2 3" xfId="42842" xr:uid="{00000000-0005-0000-0000-00005AA70000}"/>
    <cellStyle name="强调文字颜色 2 2 3 2 2 3 2" xfId="42843" xr:uid="{00000000-0005-0000-0000-00005BA70000}"/>
    <cellStyle name="强调文字颜色 2 2 3 2 2 3 2 2" xfId="42844" xr:uid="{00000000-0005-0000-0000-00005CA70000}"/>
    <cellStyle name="强调文字颜色 2 2 3 2 2 3 2 2 2" xfId="42845" xr:uid="{00000000-0005-0000-0000-00005DA70000}"/>
    <cellStyle name="强调文字颜色 2 2 3 2 2 3 3" xfId="42846" xr:uid="{00000000-0005-0000-0000-00005EA70000}"/>
    <cellStyle name="强调文字颜色 2 2 3 2 2 3 3 2" xfId="42847" xr:uid="{00000000-0005-0000-0000-00005FA70000}"/>
    <cellStyle name="强调文字颜色 2 2 3 2 2 4" xfId="42848" xr:uid="{00000000-0005-0000-0000-000060A70000}"/>
    <cellStyle name="强调文字颜色 2 2 3 2 2 5" xfId="42849" xr:uid="{00000000-0005-0000-0000-000061A70000}"/>
    <cellStyle name="强调文字颜色 2 2 3 2 2 6" xfId="42850" xr:uid="{00000000-0005-0000-0000-000062A70000}"/>
    <cellStyle name="强调文字颜色 2 2 3 2 3" xfId="42851" xr:uid="{00000000-0005-0000-0000-000063A70000}"/>
    <cellStyle name="强调文字颜色 2 2 3 2 3 2" xfId="42852" xr:uid="{00000000-0005-0000-0000-000064A70000}"/>
    <cellStyle name="强调文字颜色 2 2 3 2 3 3" xfId="42853" xr:uid="{00000000-0005-0000-0000-000065A70000}"/>
    <cellStyle name="强调文字颜色 2 2 3 2 3 3 2" xfId="42854" xr:uid="{00000000-0005-0000-0000-000066A70000}"/>
    <cellStyle name="强调文字颜色 2 2 3 2 3 3 2 2" xfId="42855" xr:uid="{00000000-0005-0000-0000-000067A70000}"/>
    <cellStyle name="强调文字颜色 2 2 3 2 3 4" xfId="42856" xr:uid="{00000000-0005-0000-0000-000068A70000}"/>
    <cellStyle name="强调文字颜色 2 2 3 2 3 4 2" xfId="42857" xr:uid="{00000000-0005-0000-0000-000069A70000}"/>
    <cellStyle name="强调文字颜色 2 2 3 2 4" xfId="42858" xr:uid="{00000000-0005-0000-0000-00006AA70000}"/>
    <cellStyle name="强调文字颜色 2 2 3 2 4 2" xfId="42859" xr:uid="{00000000-0005-0000-0000-00006BA70000}"/>
    <cellStyle name="强调文字颜色 2 2 3 2 4 2 2" xfId="42860" xr:uid="{00000000-0005-0000-0000-00006CA70000}"/>
    <cellStyle name="强调文字颜色 2 2 3 2 4 2 2 2" xfId="42861" xr:uid="{00000000-0005-0000-0000-00006DA70000}"/>
    <cellStyle name="强调文字颜色 2 2 3 2 4 3" xfId="42862" xr:uid="{00000000-0005-0000-0000-00006EA70000}"/>
    <cellStyle name="强调文字颜色 2 2 3 2 4 3 2" xfId="42863" xr:uid="{00000000-0005-0000-0000-00006FA70000}"/>
    <cellStyle name="强调文字颜色 2 2 3 2 5" xfId="42864" xr:uid="{00000000-0005-0000-0000-000070A70000}"/>
    <cellStyle name="强调文字颜色 2 2 3 2 6" xfId="42865" xr:uid="{00000000-0005-0000-0000-000071A70000}"/>
    <cellStyle name="强调文字颜色 2 2 3 2 7" xfId="42866" xr:uid="{00000000-0005-0000-0000-000072A70000}"/>
    <cellStyle name="强调文字颜色 2 2 3 3" xfId="42867" xr:uid="{00000000-0005-0000-0000-000073A70000}"/>
    <cellStyle name="强调文字颜色 2 2 3 3 2" xfId="42868" xr:uid="{00000000-0005-0000-0000-000074A70000}"/>
    <cellStyle name="强调文字颜色 2 2 3 3 2 2" xfId="42869" xr:uid="{00000000-0005-0000-0000-000075A70000}"/>
    <cellStyle name="强调文字颜色 2 2 3 3 2 3" xfId="42870" xr:uid="{00000000-0005-0000-0000-000076A70000}"/>
    <cellStyle name="强调文字颜色 2 2 3 3 2 3 2" xfId="42871" xr:uid="{00000000-0005-0000-0000-000077A70000}"/>
    <cellStyle name="强调文字颜色 2 2 3 3 2 3 2 2" xfId="42872" xr:uid="{00000000-0005-0000-0000-000078A70000}"/>
    <cellStyle name="强调文字颜色 2 2 3 3 2 4" xfId="42873" xr:uid="{00000000-0005-0000-0000-000079A70000}"/>
    <cellStyle name="强调文字颜色 2 2 3 3 2 4 2" xfId="42874" xr:uid="{00000000-0005-0000-0000-00007AA70000}"/>
    <cellStyle name="强调文字颜色 2 2 3 3 3" xfId="42875" xr:uid="{00000000-0005-0000-0000-00007BA70000}"/>
    <cellStyle name="强调文字颜色 2 2 3 3 3 2" xfId="42876" xr:uid="{00000000-0005-0000-0000-00007CA70000}"/>
    <cellStyle name="强调文字颜色 2 2 3 3 3 2 2" xfId="42877" xr:uid="{00000000-0005-0000-0000-00007DA70000}"/>
    <cellStyle name="强调文字颜色 2 2 3 3 3 2 2 2" xfId="42878" xr:uid="{00000000-0005-0000-0000-00007EA70000}"/>
    <cellStyle name="强调文字颜色 2 2 3 3 3 3" xfId="42879" xr:uid="{00000000-0005-0000-0000-00007FA70000}"/>
    <cellStyle name="强调文字颜色 2 2 3 3 3 3 2" xfId="42880" xr:uid="{00000000-0005-0000-0000-000080A70000}"/>
    <cellStyle name="强调文字颜色 2 2 3 3 4" xfId="42881" xr:uid="{00000000-0005-0000-0000-000081A70000}"/>
    <cellStyle name="强调文字颜色 2 2 3 3 5" xfId="42882" xr:uid="{00000000-0005-0000-0000-000082A70000}"/>
    <cellStyle name="强调文字颜色 2 2 3 3 6" xfId="42883" xr:uid="{00000000-0005-0000-0000-000083A70000}"/>
    <cellStyle name="强调文字颜色 2 2 3 4" xfId="42884" xr:uid="{00000000-0005-0000-0000-000084A70000}"/>
    <cellStyle name="强调文字颜色 2 2 3 4 2" xfId="42885" xr:uid="{00000000-0005-0000-0000-000085A70000}"/>
    <cellStyle name="强调文字颜色 2 2 3 4 2 2" xfId="42886" xr:uid="{00000000-0005-0000-0000-000086A70000}"/>
    <cellStyle name="强调文字颜色 2 2 3 4 2 3" xfId="42887" xr:uid="{00000000-0005-0000-0000-000087A70000}"/>
    <cellStyle name="强调文字颜色 2 2 3 4 2 3 2" xfId="42888" xr:uid="{00000000-0005-0000-0000-000088A70000}"/>
    <cellStyle name="强调文字颜色 2 2 3 4 2 3 2 2" xfId="42889" xr:uid="{00000000-0005-0000-0000-000089A70000}"/>
    <cellStyle name="强调文字颜色 2 2 3 4 2 4" xfId="42890" xr:uid="{00000000-0005-0000-0000-00008AA70000}"/>
    <cellStyle name="强调文字颜色 2 2 3 4 2 4 2" xfId="42891" xr:uid="{00000000-0005-0000-0000-00008BA70000}"/>
    <cellStyle name="强调文字颜色 2 2 3 4 3" xfId="42892" xr:uid="{00000000-0005-0000-0000-00008CA70000}"/>
    <cellStyle name="强调文字颜色 2 2 3 4 4" xfId="42893" xr:uid="{00000000-0005-0000-0000-00008DA70000}"/>
    <cellStyle name="强调文字颜色 2 2 3 4 5" xfId="42894" xr:uid="{00000000-0005-0000-0000-00008EA70000}"/>
    <cellStyle name="强调文字颜色 2 2 3 4 6" xfId="42895" xr:uid="{00000000-0005-0000-0000-00008FA70000}"/>
    <cellStyle name="强调文字颜色 2 2 3 5" xfId="42896" xr:uid="{00000000-0005-0000-0000-000090A70000}"/>
    <cellStyle name="强调文字颜色 2 2 3 5 2" xfId="42897" xr:uid="{00000000-0005-0000-0000-000091A70000}"/>
    <cellStyle name="强调文字颜色 2 2 3 5 2 2" xfId="42898" xr:uid="{00000000-0005-0000-0000-000092A70000}"/>
    <cellStyle name="强调文字颜色 2 2 3 5 2 2 2" xfId="42899" xr:uid="{00000000-0005-0000-0000-000093A70000}"/>
    <cellStyle name="强调文字颜色 2 2 3 5 2 2 2 2" xfId="42900" xr:uid="{00000000-0005-0000-0000-000094A70000}"/>
    <cellStyle name="强调文字颜色 2 2 3 5 2 3" xfId="42901" xr:uid="{00000000-0005-0000-0000-000095A70000}"/>
    <cellStyle name="强调文字颜色 2 2 3 5 2 3 2" xfId="42902" xr:uid="{00000000-0005-0000-0000-000096A70000}"/>
    <cellStyle name="强调文字颜色 2 2 3 5 3" xfId="42903" xr:uid="{00000000-0005-0000-0000-000097A70000}"/>
    <cellStyle name="强调文字颜色 2 2 3 5 3 2" xfId="42904" xr:uid="{00000000-0005-0000-0000-000098A70000}"/>
    <cellStyle name="强调文字颜色 2 2 3 5 3 2 2" xfId="42905" xr:uid="{00000000-0005-0000-0000-000099A70000}"/>
    <cellStyle name="强调文字颜色 2 2 3 5 4" xfId="42906" xr:uid="{00000000-0005-0000-0000-00009AA70000}"/>
    <cellStyle name="强调文字颜色 2 2 3 5 4 2" xfId="42907" xr:uid="{00000000-0005-0000-0000-00009BA70000}"/>
    <cellStyle name="强调文字颜色 2 2 3 6" xfId="42908" xr:uid="{00000000-0005-0000-0000-00009CA70000}"/>
    <cellStyle name="强调文字颜色 2 2 3 6 2" xfId="42909" xr:uid="{00000000-0005-0000-0000-00009DA70000}"/>
    <cellStyle name="强调文字颜色 2 2 3 6 2 2" xfId="42910" xr:uid="{00000000-0005-0000-0000-00009EA70000}"/>
    <cellStyle name="强调文字颜色 2 2 3 6 2 2 2" xfId="42911" xr:uid="{00000000-0005-0000-0000-00009FA70000}"/>
    <cellStyle name="强调文字颜色 2 2 3 6 3" xfId="42912" xr:uid="{00000000-0005-0000-0000-0000A0A70000}"/>
    <cellStyle name="强调文字颜色 2 2 3 6 3 2" xfId="42913" xr:uid="{00000000-0005-0000-0000-0000A1A70000}"/>
    <cellStyle name="强调文字颜色 2 2 3 7" xfId="42914" xr:uid="{00000000-0005-0000-0000-0000A2A70000}"/>
    <cellStyle name="强调文字颜色 2 2 3 7 2" xfId="42915" xr:uid="{00000000-0005-0000-0000-0000A3A70000}"/>
    <cellStyle name="强调文字颜色 2 2 3 7 2 2" xfId="42916" xr:uid="{00000000-0005-0000-0000-0000A4A70000}"/>
    <cellStyle name="强调文字颜色 2 2 3 7 2 2 2" xfId="42917" xr:uid="{00000000-0005-0000-0000-0000A5A70000}"/>
    <cellStyle name="强调文字颜色 2 2 3 7 3" xfId="42918" xr:uid="{00000000-0005-0000-0000-0000A6A70000}"/>
    <cellStyle name="强调文字颜色 2 2 3 7 3 2" xfId="42919" xr:uid="{00000000-0005-0000-0000-0000A7A70000}"/>
    <cellStyle name="强调文字颜色 2 2 3 8" xfId="42920" xr:uid="{00000000-0005-0000-0000-0000A8A70000}"/>
    <cellStyle name="强调文字颜色 2 2 3 9" xfId="42921" xr:uid="{00000000-0005-0000-0000-0000A9A70000}"/>
    <cellStyle name="强调文字颜色 2 2 4" xfId="42922" xr:uid="{00000000-0005-0000-0000-0000AAA70000}"/>
    <cellStyle name="强调文字颜色 2 2 4 2" xfId="42923" xr:uid="{00000000-0005-0000-0000-0000ABA70000}"/>
    <cellStyle name="强调文字颜色 2 2 4 2 2" xfId="42924" xr:uid="{00000000-0005-0000-0000-0000ACA70000}"/>
    <cellStyle name="强调文字颜色 2 2 4 2 3" xfId="42925" xr:uid="{00000000-0005-0000-0000-0000ADA70000}"/>
    <cellStyle name="强调文字颜色 2 2 4 2 3 2" xfId="42926" xr:uid="{00000000-0005-0000-0000-0000AEA70000}"/>
    <cellStyle name="强调文字颜色 2 2 4 2 3 2 2" xfId="42927" xr:uid="{00000000-0005-0000-0000-0000AFA70000}"/>
    <cellStyle name="强调文字颜色 2 2 4 2 4" xfId="42928" xr:uid="{00000000-0005-0000-0000-0000B0A70000}"/>
    <cellStyle name="强调文字颜色 2 2 4 2 4 2" xfId="42929" xr:uid="{00000000-0005-0000-0000-0000B1A70000}"/>
    <cellStyle name="强调文字颜色 2 2 4 3" xfId="42930" xr:uid="{00000000-0005-0000-0000-0000B2A70000}"/>
    <cellStyle name="强调文字颜色 2 2 4 3 2" xfId="42931" xr:uid="{00000000-0005-0000-0000-0000B3A70000}"/>
    <cellStyle name="强调文字颜色 2 2 4 3 2 2" xfId="42932" xr:uid="{00000000-0005-0000-0000-0000B4A70000}"/>
    <cellStyle name="强调文字颜色 2 2 4 3 2 2 2" xfId="42933" xr:uid="{00000000-0005-0000-0000-0000B5A70000}"/>
    <cellStyle name="强调文字颜色 2 2 4 3 3" xfId="42934" xr:uid="{00000000-0005-0000-0000-0000B6A70000}"/>
    <cellStyle name="强调文字颜色 2 2 4 3 3 2" xfId="42935" xr:uid="{00000000-0005-0000-0000-0000B7A70000}"/>
    <cellStyle name="强调文字颜色 2 2 4 4" xfId="42936" xr:uid="{00000000-0005-0000-0000-0000B8A70000}"/>
    <cellStyle name="强调文字颜色 2 2 4 5" xfId="42937" xr:uid="{00000000-0005-0000-0000-0000B9A70000}"/>
    <cellStyle name="强调文字颜色 2 2 4 6" xfId="42938" xr:uid="{00000000-0005-0000-0000-0000BAA70000}"/>
    <cellStyle name="强调文字颜色 2 2 5" xfId="42939" xr:uid="{00000000-0005-0000-0000-0000BBA70000}"/>
    <cellStyle name="强调文字颜色 2 2 5 2" xfId="42940" xr:uid="{00000000-0005-0000-0000-0000BCA70000}"/>
    <cellStyle name="强调文字颜色 2 2 5 2 2" xfId="42941" xr:uid="{00000000-0005-0000-0000-0000BDA70000}"/>
    <cellStyle name="强调文字颜色 2 2 5 2 3" xfId="42942" xr:uid="{00000000-0005-0000-0000-0000BEA70000}"/>
    <cellStyle name="强调文字颜色 2 2 5 2 3 2" xfId="42943" xr:uid="{00000000-0005-0000-0000-0000BFA70000}"/>
    <cellStyle name="强调文字颜色 2 2 5 2 3 2 2" xfId="42944" xr:uid="{00000000-0005-0000-0000-0000C0A70000}"/>
    <cellStyle name="强调文字颜色 2 2 5 2 4" xfId="42945" xr:uid="{00000000-0005-0000-0000-0000C1A70000}"/>
    <cellStyle name="强调文字颜色 2 2 5 2 4 2" xfId="42946" xr:uid="{00000000-0005-0000-0000-0000C2A70000}"/>
    <cellStyle name="强调文字颜色 2 2 5 3" xfId="42947" xr:uid="{00000000-0005-0000-0000-0000C3A70000}"/>
    <cellStyle name="强调文字颜色 2 2 5 4" xfId="42948" xr:uid="{00000000-0005-0000-0000-0000C4A70000}"/>
    <cellStyle name="强调文字颜色 2 2 5 5" xfId="42949" xr:uid="{00000000-0005-0000-0000-0000C5A70000}"/>
    <cellStyle name="强调文字颜色 2 2 5 6" xfId="42950" xr:uid="{00000000-0005-0000-0000-0000C6A70000}"/>
    <cellStyle name="强调文字颜色 2 2 6" xfId="42951" xr:uid="{00000000-0005-0000-0000-0000C7A70000}"/>
    <cellStyle name="强调文字颜色 2 2 6 2" xfId="42952" xr:uid="{00000000-0005-0000-0000-0000C8A70000}"/>
    <cellStyle name="强调文字颜色 2 2 6 2 2" xfId="42953" xr:uid="{00000000-0005-0000-0000-0000C9A70000}"/>
    <cellStyle name="强调文字颜色 2 2 6 2 2 2" xfId="42954" xr:uid="{00000000-0005-0000-0000-0000CAA70000}"/>
    <cellStyle name="强调文字颜色 2 2 6 2 2 2 2" xfId="42955" xr:uid="{00000000-0005-0000-0000-0000CBA70000}"/>
    <cellStyle name="强调文字颜色 2 2 6 2 3" xfId="42956" xr:uid="{00000000-0005-0000-0000-0000CCA70000}"/>
    <cellStyle name="强调文字颜色 2 2 6 2 3 2" xfId="42957" xr:uid="{00000000-0005-0000-0000-0000CDA70000}"/>
    <cellStyle name="强调文字颜色 2 2 6 3" xfId="42958" xr:uid="{00000000-0005-0000-0000-0000CEA70000}"/>
    <cellStyle name="强调文字颜色 2 2 6 3 2" xfId="42959" xr:uid="{00000000-0005-0000-0000-0000CFA70000}"/>
    <cellStyle name="强调文字颜色 2 2 6 3 2 2" xfId="42960" xr:uid="{00000000-0005-0000-0000-0000D0A70000}"/>
    <cellStyle name="强调文字颜色 2 2 6 4" xfId="42961" xr:uid="{00000000-0005-0000-0000-0000D1A70000}"/>
    <cellStyle name="强调文字颜色 2 2 6 4 2" xfId="42962" xr:uid="{00000000-0005-0000-0000-0000D2A70000}"/>
    <cellStyle name="强调文字颜色 2 2 7" xfId="42963" xr:uid="{00000000-0005-0000-0000-0000D3A70000}"/>
    <cellStyle name="强调文字颜色 2 2 7 2" xfId="42964" xr:uid="{00000000-0005-0000-0000-0000D4A70000}"/>
    <cellStyle name="强调文字颜色 2 2 7 2 2" xfId="42965" xr:uid="{00000000-0005-0000-0000-0000D5A70000}"/>
    <cellStyle name="强调文字颜色 2 2 7 2 2 2" xfId="42966" xr:uid="{00000000-0005-0000-0000-0000D6A70000}"/>
    <cellStyle name="强调文字颜色 2 2 7 2 2 2 2" xfId="42967" xr:uid="{00000000-0005-0000-0000-0000D7A70000}"/>
    <cellStyle name="强调文字颜色 2 2 7 2 3" xfId="42968" xr:uid="{00000000-0005-0000-0000-0000D8A70000}"/>
    <cellStyle name="强调文字颜色 2 2 7 2 3 2" xfId="42969" xr:uid="{00000000-0005-0000-0000-0000D9A70000}"/>
    <cellStyle name="强调文字颜色 2 2 7 3" xfId="42970" xr:uid="{00000000-0005-0000-0000-0000DAA70000}"/>
    <cellStyle name="强调文字颜色 2 2 7 3 2" xfId="42971" xr:uid="{00000000-0005-0000-0000-0000DBA70000}"/>
    <cellStyle name="强调文字颜色 2 2 7 3 2 2" xfId="42972" xr:uid="{00000000-0005-0000-0000-0000DCA70000}"/>
    <cellStyle name="强调文字颜色 2 2 7 4" xfId="42973" xr:uid="{00000000-0005-0000-0000-0000DDA70000}"/>
    <cellStyle name="强调文字颜色 2 2 7 4 2" xfId="42974" xr:uid="{00000000-0005-0000-0000-0000DEA70000}"/>
    <cellStyle name="强调文字颜色 2 2 8" xfId="42975" xr:uid="{00000000-0005-0000-0000-0000DFA70000}"/>
    <cellStyle name="强调文字颜色 2 2 8 2" xfId="42976" xr:uid="{00000000-0005-0000-0000-0000E0A70000}"/>
    <cellStyle name="强调文字颜色 2 2 8 2 2" xfId="42977" xr:uid="{00000000-0005-0000-0000-0000E1A70000}"/>
    <cellStyle name="强调文字颜色 2 2 8 2 2 2" xfId="42978" xr:uid="{00000000-0005-0000-0000-0000E2A70000}"/>
    <cellStyle name="强调文字颜色 2 2 8 2 2 2 2" xfId="42979" xr:uid="{00000000-0005-0000-0000-0000E3A70000}"/>
    <cellStyle name="强调文字颜色 2 2 8 2 3" xfId="42980" xr:uid="{00000000-0005-0000-0000-0000E4A70000}"/>
    <cellStyle name="强调文字颜色 2 2 8 2 3 2" xfId="42981" xr:uid="{00000000-0005-0000-0000-0000E5A70000}"/>
    <cellStyle name="强调文字颜色 2 2 8 3" xfId="42982" xr:uid="{00000000-0005-0000-0000-0000E6A70000}"/>
    <cellStyle name="强调文字颜色 2 2 8 3 2" xfId="42983" xr:uid="{00000000-0005-0000-0000-0000E7A70000}"/>
    <cellStyle name="强调文字颜色 2 2 8 3 2 2" xfId="42984" xr:uid="{00000000-0005-0000-0000-0000E8A70000}"/>
    <cellStyle name="强调文字颜色 2 2 8 4" xfId="42985" xr:uid="{00000000-0005-0000-0000-0000E9A70000}"/>
    <cellStyle name="强调文字颜色 2 2 8 4 2" xfId="42986" xr:uid="{00000000-0005-0000-0000-0000EAA70000}"/>
    <cellStyle name="强调文字颜色 2 2 9" xfId="42987" xr:uid="{00000000-0005-0000-0000-0000EBA70000}"/>
    <cellStyle name="强调文字颜色 2 2 9 2" xfId="42988" xr:uid="{00000000-0005-0000-0000-0000ECA70000}"/>
    <cellStyle name="强调文字颜色 2 2 9 2 2" xfId="42989" xr:uid="{00000000-0005-0000-0000-0000EDA70000}"/>
    <cellStyle name="强调文字颜色 2 2 9 2 2 2" xfId="42990" xr:uid="{00000000-0005-0000-0000-0000EEA70000}"/>
    <cellStyle name="强调文字颜色 2 2 9 3" xfId="42991" xr:uid="{00000000-0005-0000-0000-0000EFA70000}"/>
    <cellStyle name="强调文字颜色 2 2 9 3 2" xfId="42992" xr:uid="{00000000-0005-0000-0000-0000F0A70000}"/>
    <cellStyle name="强调文字颜色 2 3" xfId="42993" xr:uid="{00000000-0005-0000-0000-0000F1A70000}"/>
    <cellStyle name="强调文字颜色 2 3 2" xfId="42994" xr:uid="{00000000-0005-0000-0000-0000F2A70000}"/>
    <cellStyle name="强调文字颜色 2 3 2 2" xfId="42995" xr:uid="{00000000-0005-0000-0000-0000F3A70000}"/>
    <cellStyle name="强调文字颜色 2 3 2 2 2" xfId="42996" xr:uid="{00000000-0005-0000-0000-0000F4A70000}"/>
    <cellStyle name="强调文字颜色 2 3 2 2 2 2" xfId="42997" xr:uid="{00000000-0005-0000-0000-0000F5A70000}"/>
    <cellStyle name="强调文字颜色 2 3 2 2 2 3" xfId="42998" xr:uid="{00000000-0005-0000-0000-0000F6A70000}"/>
    <cellStyle name="强调文字颜色 2 3 2 2 2 3 2" xfId="42999" xr:uid="{00000000-0005-0000-0000-0000F7A70000}"/>
    <cellStyle name="强调文字颜色 2 3 2 2 2 3 2 2" xfId="43000" xr:uid="{00000000-0005-0000-0000-0000F8A70000}"/>
    <cellStyle name="强调文字颜色 2 3 2 2 2 4" xfId="43001" xr:uid="{00000000-0005-0000-0000-0000F9A70000}"/>
    <cellStyle name="强调文字颜色 2 3 2 2 2 4 2" xfId="43002" xr:uid="{00000000-0005-0000-0000-0000FAA70000}"/>
    <cellStyle name="强调文字颜色 2 3 2 2 3" xfId="43003" xr:uid="{00000000-0005-0000-0000-0000FBA70000}"/>
    <cellStyle name="强调文字颜色 2 3 2 2 3 2" xfId="43004" xr:uid="{00000000-0005-0000-0000-0000FCA70000}"/>
    <cellStyle name="强调文字颜色 2 3 2 2 3 2 2" xfId="43005" xr:uid="{00000000-0005-0000-0000-0000FDA70000}"/>
    <cellStyle name="强调文字颜色 2 3 2 2 3 2 2 2" xfId="43006" xr:uid="{00000000-0005-0000-0000-0000FEA70000}"/>
    <cellStyle name="强调文字颜色 2 3 2 2 3 3" xfId="43007" xr:uid="{00000000-0005-0000-0000-0000FFA70000}"/>
    <cellStyle name="强调文字颜色 2 3 2 2 3 3 2" xfId="43008" xr:uid="{00000000-0005-0000-0000-000000A80000}"/>
    <cellStyle name="强调文字颜色 2 3 2 2 4" xfId="43009" xr:uid="{00000000-0005-0000-0000-000001A80000}"/>
    <cellStyle name="强调文字颜色 2 3 2 2 5" xfId="43010" xr:uid="{00000000-0005-0000-0000-000002A80000}"/>
    <cellStyle name="强调文字颜色 2 3 2 2 6" xfId="43011" xr:uid="{00000000-0005-0000-0000-000003A80000}"/>
    <cellStyle name="强调文字颜色 2 3 2 3" xfId="43012" xr:uid="{00000000-0005-0000-0000-000004A80000}"/>
    <cellStyle name="强调文字颜色 2 3 2 3 2" xfId="43013" xr:uid="{00000000-0005-0000-0000-000005A80000}"/>
    <cellStyle name="强调文字颜色 2 3 2 3 3" xfId="43014" xr:uid="{00000000-0005-0000-0000-000006A80000}"/>
    <cellStyle name="强调文字颜色 2 3 2 3 3 2" xfId="43015" xr:uid="{00000000-0005-0000-0000-000007A80000}"/>
    <cellStyle name="强调文字颜色 2 3 2 3 3 2 2" xfId="43016" xr:uid="{00000000-0005-0000-0000-000008A80000}"/>
    <cellStyle name="强调文字颜色 2 3 2 3 4" xfId="43017" xr:uid="{00000000-0005-0000-0000-000009A80000}"/>
    <cellStyle name="强调文字颜色 2 3 2 3 4 2" xfId="43018" xr:uid="{00000000-0005-0000-0000-00000AA80000}"/>
    <cellStyle name="强调文字颜色 2 3 2 4" xfId="43019" xr:uid="{00000000-0005-0000-0000-00000BA80000}"/>
    <cellStyle name="强调文字颜色 2 3 2 4 2" xfId="43020" xr:uid="{00000000-0005-0000-0000-00000CA80000}"/>
    <cellStyle name="强调文字颜色 2 3 2 4 2 2" xfId="43021" xr:uid="{00000000-0005-0000-0000-00000DA80000}"/>
    <cellStyle name="强调文字颜色 2 3 2 4 2 2 2" xfId="43022" xr:uid="{00000000-0005-0000-0000-00000EA80000}"/>
    <cellStyle name="强调文字颜色 2 3 2 4 3" xfId="43023" xr:uid="{00000000-0005-0000-0000-00000FA80000}"/>
    <cellStyle name="强调文字颜色 2 3 2 4 3 2" xfId="43024" xr:uid="{00000000-0005-0000-0000-000010A80000}"/>
    <cellStyle name="强调文字颜色 2 3 2 5" xfId="43025" xr:uid="{00000000-0005-0000-0000-000011A80000}"/>
    <cellStyle name="强调文字颜色 2 3 2 6" xfId="43026" xr:uid="{00000000-0005-0000-0000-000012A80000}"/>
    <cellStyle name="强调文字颜色 2 3 2 7" xfId="43027" xr:uid="{00000000-0005-0000-0000-000013A80000}"/>
    <cellStyle name="强调文字颜色 2 3 3" xfId="43028" xr:uid="{00000000-0005-0000-0000-000014A80000}"/>
    <cellStyle name="强调文字颜色 2 3 3 2" xfId="43029" xr:uid="{00000000-0005-0000-0000-000015A80000}"/>
    <cellStyle name="强调文字颜色 2 3 3 2 2" xfId="43030" xr:uid="{00000000-0005-0000-0000-000016A80000}"/>
    <cellStyle name="强调文字颜色 2 3 3 2 3" xfId="43031" xr:uid="{00000000-0005-0000-0000-000017A80000}"/>
    <cellStyle name="强调文字颜色 2 3 3 2 3 2" xfId="43032" xr:uid="{00000000-0005-0000-0000-000018A80000}"/>
    <cellStyle name="强调文字颜色 2 3 3 2 3 2 2" xfId="43033" xr:uid="{00000000-0005-0000-0000-000019A80000}"/>
    <cellStyle name="强调文字颜色 2 3 3 2 4" xfId="43034" xr:uid="{00000000-0005-0000-0000-00001AA80000}"/>
    <cellStyle name="强调文字颜色 2 3 3 2 4 2" xfId="43035" xr:uid="{00000000-0005-0000-0000-00001BA80000}"/>
    <cellStyle name="强调文字颜色 2 3 3 3" xfId="43036" xr:uid="{00000000-0005-0000-0000-00001CA80000}"/>
    <cellStyle name="强调文字颜色 2 3 3 3 2" xfId="43037" xr:uid="{00000000-0005-0000-0000-00001DA80000}"/>
    <cellStyle name="强调文字颜色 2 3 3 3 2 2" xfId="43038" xr:uid="{00000000-0005-0000-0000-00001EA80000}"/>
    <cellStyle name="强调文字颜色 2 3 3 3 2 2 2" xfId="43039" xr:uid="{00000000-0005-0000-0000-00001FA80000}"/>
    <cellStyle name="强调文字颜色 2 3 3 3 3" xfId="43040" xr:uid="{00000000-0005-0000-0000-000020A80000}"/>
    <cellStyle name="强调文字颜色 2 3 3 3 3 2" xfId="43041" xr:uid="{00000000-0005-0000-0000-000021A80000}"/>
    <cellStyle name="强调文字颜色 2 3 3 4" xfId="43042" xr:uid="{00000000-0005-0000-0000-000022A80000}"/>
    <cellStyle name="强调文字颜色 2 3 3 5" xfId="43043" xr:uid="{00000000-0005-0000-0000-000023A80000}"/>
    <cellStyle name="强调文字颜色 2 3 3 6" xfId="43044" xr:uid="{00000000-0005-0000-0000-000024A80000}"/>
    <cellStyle name="强调文字颜色 2 3 4" xfId="43045" xr:uid="{00000000-0005-0000-0000-000025A80000}"/>
    <cellStyle name="强调文字颜色 2 3 4 2" xfId="43046" xr:uid="{00000000-0005-0000-0000-000026A80000}"/>
    <cellStyle name="强调文字颜色 2 3 4 2 2" xfId="43047" xr:uid="{00000000-0005-0000-0000-000027A80000}"/>
    <cellStyle name="强调文字颜色 2 3 4 2 3" xfId="43048" xr:uid="{00000000-0005-0000-0000-000028A80000}"/>
    <cellStyle name="强调文字颜色 2 3 4 2 3 2" xfId="43049" xr:uid="{00000000-0005-0000-0000-000029A80000}"/>
    <cellStyle name="强调文字颜色 2 3 4 2 3 2 2" xfId="43050" xr:uid="{00000000-0005-0000-0000-00002AA80000}"/>
    <cellStyle name="强调文字颜色 2 3 4 2 4" xfId="43051" xr:uid="{00000000-0005-0000-0000-00002BA80000}"/>
    <cellStyle name="强调文字颜色 2 3 4 2 4 2" xfId="43052" xr:uid="{00000000-0005-0000-0000-00002CA80000}"/>
    <cellStyle name="强调文字颜色 2 3 4 3" xfId="43053" xr:uid="{00000000-0005-0000-0000-00002DA80000}"/>
    <cellStyle name="强调文字颜色 2 3 4 4" xfId="43054" xr:uid="{00000000-0005-0000-0000-00002EA80000}"/>
    <cellStyle name="强调文字颜色 2 3 4 5" xfId="43055" xr:uid="{00000000-0005-0000-0000-00002FA80000}"/>
    <cellStyle name="强调文字颜色 2 3 4 6" xfId="43056" xr:uid="{00000000-0005-0000-0000-000030A80000}"/>
    <cellStyle name="强调文字颜色 2 3 5" xfId="43057" xr:uid="{00000000-0005-0000-0000-000031A80000}"/>
    <cellStyle name="强调文字颜色 2 3 5 2" xfId="43058" xr:uid="{00000000-0005-0000-0000-000032A80000}"/>
    <cellStyle name="强调文字颜色 2 3 5 2 2" xfId="43059" xr:uid="{00000000-0005-0000-0000-000033A80000}"/>
    <cellStyle name="强调文字颜色 2 3 5 2 2 2" xfId="43060" xr:uid="{00000000-0005-0000-0000-000034A80000}"/>
    <cellStyle name="强调文字颜色 2 3 5 2 2 2 2" xfId="43061" xr:uid="{00000000-0005-0000-0000-000035A80000}"/>
    <cellStyle name="强调文字颜色 2 3 5 2 3" xfId="43062" xr:uid="{00000000-0005-0000-0000-000036A80000}"/>
    <cellStyle name="强调文字颜色 2 3 5 2 3 2" xfId="43063" xr:uid="{00000000-0005-0000-0000-000037A80000}"/>
    <cellStyle name="强调文字颜色 2 3 5 3" xfId="43064" xr:uid="{00000000-0005-0000-0000-000038A80000}"/>
    <cellStyle name="强调文字颜色 2 3 5 3 2" xfId="43065" xr:uid="{00000000-0005-0000-0000-000039A80000}"/>
    <cellStyle name="强调文字颜色 2 3 5 3 2 2" xfId="43066" xr:uid="{00000000-0005-0000-0000-00003AA80000}"/>
    <cellStyle name="强调文字颜色 2 3 5 4" xfId="43067" xr:uid="{00000000-0005-0000-0000-00003BA80000}"/>
    <cellStyle name="强调文字颜色 2 3 5 4 2" xfId="43068" xr:uid="{00000000-0005-0000-0000-00003CA80000}"/>
    <cellStyle name="强调文字颜色 2 3 6" xfId="43069" xr:uid="{00000000-0005-0000-0000-00003DA80000}"/>
    <cellStyle name="强调文字颜色 2 3 6 2" xfId="43070" xr:uid="{00000000-0005-0000-0000-00003EA80000}"/>
    <cellStyle name="强调文字颜色 2 3 6 2 2" xfId="43071" xr:uid="{00000000-0005-0000-0000-00003FA80000}"/>
    <cellStyle name="强调文字颜色 2 3 6 2 2 2" xfId="43072" xr:uid="{00000000-0005-0000-0000-000040A80000}"/>
    <cellStyle name="强调文字颜色 2 3 6 3" xfId="43073" xr:uid="{00000000-0005-0000-0000-000041A80000}"/>
    <cellStyle name="强调文字颜色 2 3 6 3 2" xfId="43074" xr:uid="{00000000-0005-0000-0000-000042A80000}"/>
    <cellStyle name="强调文字颜色 2 3 7" xfId="43075" xr:uid="{00000000-0005-0000-0000-000043A80000}"/>
    <cellStyle name="强调文字颜色 2 3 8" xfId="43076" xr:uid="{00000000-0005-0000-0000-000044A80000}"/>
    <cellStyle name="强调文字颜色 3 2" xfId="43077" xr:uid="{00000000-0005-0000-0000-000045A80000}"/>
    <cellStyle name="强调文字颜色 3 2 10" xfId="43078" xr:uid="{00000000-0005-0000-0000-000046A80000}"/>
    <cellStyle name="强调文字颜色 3 2 11" xfId="43079" xr:uid="{00000000-0005-0000-0000-000047A80000}"/>
    <cellStyle name="强调文字颜色 3 2 2" xfId="43080" xr:uid="{00000000-0005-0000-0000-000048A80000}"/>
    <cellStyle name="强调文字颜色 3 2 2 10" xfId="43081" xr:uid="{00000000-0005-0000-0000-000049A80000}"/>
    <cellStyle name="强调文字颜色 3 2 2 11" xfId="43082" xr:uid="{00000000-0005-0000-0000-00004AA80000}"/>
    <cellStyle name="强调文字颜色 3 2 2 2" xfId="43083" xr:uid="{00000000-0005-0000-0000-00004BA80000}"/>
    <cellStyle name="强调文字颜色 3 2 2 2 2" xfId="43084" xr:uid="{00000000-0005-0000-0000-00004CA80000}"/>
    <cellStyle name="强调文字颜色 3 2 2 2 2 2" xfId="43085" xr:uid="{00000000-0005-0000-0000-00004DA80000}"/>
    <cellStyle name="强调文字颜色 3 2 2 2 2 2 2" xfId="43086" xr:uid="{00000000-0005-0000-0000-00004EA80000}"/>
    <cellStyle name="强调文字颜色 3 2 2 2 2 2 3" xfId="43087" xr:uid="{00000000-0005-0000-0000-00004FA80000}"/>
    <cellStyle name="强调文字颜色 3 2 2 2 2 2 3 2" xfId="43088" xr:uid="{00000000-0005-0000-0000-000050A80000}"/>
    <cellStyle name="强调文字颜色 3 2 2 2 2 2 3 2 2" xfId="43089" xr:uid="{00000000-0005-0000-0000-000051A80000}"/>
    <cellStyle name="强调文字颜色 3 2 2 2 2 2 4" xfId="43090" xr:uid="{00000000-0005-0000-0000-000052A80000}"/>
    <cellStyle name="强调文字颜色 3 2 2 2 2 2 4 2" xfId="43091" xr:uid="{00000000-0005-0000-0000-000053A80000}"/>
    <cellStyle name="强调文字颜色 3 2 2 2 2 3" xfId="43092" xr:uid="{00000000-0005-0000-0000-000054A80000}"/>
    <cellStyle name="强调文字颜色 3 2 2 2 2 3 2" xfId="43093" xr:uid="{00000000-0005-0000-0000-000055A80000}"/>
    <cellStyle name="强调文字颜色 3 2 2 2 2 3 2 2" xfId="43094" xr:uid="{00000000-0005-0000-0000-000056A80000}"/>
    <cellStyle name="强调文字颜色 3 2 2 2 2 3 2 2 2" xfId="43095" xr:uid="{00000000-0005-0000-0000-000057A80000}"/>
    <cellStyle name="强调文字颜色 3 2 2 2 2 3 3" xfId="43096" xr:uid="{00000000-0005-0000-0000-000058A80000}"/>
    <cellStyle name="强调文字颜色 3 2 2 2 2 3 3 2" xfId="43097" xr:uid="{00000000-0005-0000-0000-000059A80000}"/>
    <cellStyle name="强调文字颜色 3 2 2 2 2 4" xfId="43098" xr:uid="{00000000-0005-0000-0000-00005AA80000}"/>
    <cellStyle name="强调文字颜色 3 2 2 2 2 5" xfId="43099" xr:uid="{00000000-0005-0000-0000-00005BA80000}"/>
    <cellStyle name="强调文字颜色 3 2 2 2 2 6" xfId="43100" xr:uid="{00000000-0005-0000-0000-00005CA80000}"/>
    <cellStyle name="强调文字颜色 3 2 2 2 3" xfId="43101" xr:uid="{00000000-0005-0000-0000-00005DA80000}"/>
    <cellStyle name="强调文字颜色 3 2 2 2 3 2" xfId="43102" xr:uid="{00000000-0005-0000-0000-00005EA80000}"/>
    <cellStyle name="强调文字颜色 3 2 2 2 3 3" xfId="43103" xr:uid="{00000000-0005-0000-0000-00005FA80000}"/>
    <cellStyle name="强调文字颜色 3 2 2 2 3 3 2" xfId="43104" xr:uid="{00000000-0005-0000-0000-000060A80000}"/>
    <cellStyle name="强调文字颜色 3 2 2 2 3 3 2 2" xfId="43105" xr:uid="{00000000-0005-0000-0000-000061A80000}"/>
    <cellStyle name="强调文字颜色 3 2 2 2 3 4" xfId="43106" xr:uid="{00000000-0005-0000-0000-000062A80000}"/>
    <cellStyle name="强调文字颜色 3 2 2 2 3 4 2" xfId="43107" xr:uid="{00000000-0005-0000-0000-000063A80000}"/>
    <cellStyle name="强调文字颜色 3 2 2 2 4" xfId="43108" xr:uid="{00000000-0005-0000-0000-000064A80000}"/>
    <cellStyle name="强调文字颜色 3 2 2 2 4 2" xfId="43109" xr:uid="{00000000-0005-0000-0000-000065A80000}"/>
    <cellStyle name="强调文字颜色 3 2 2 2 4 2 2" xfId="43110" xr:uid="{00000000-0005-0000-0000-000066A80000}"/>
    <cellStyle name="强调文字颜色 3 2 2 2 4 2 2 2" xfId="43111" xr:uid="{00000000-0005-0000-0000-000067A80000}"/>
    <cellStyle name="强调文字颜色 3 2 2 2 4 3" xfId="43112" xr:uid="{00000000-0005-0000-0000-000068A80000}"/>
    <cellStyle name="强调文字颜色 3 2 2 2 4 3 2" xfId="43113" xr:uid="{00000000-0005-0000-0000-000069A80000}"/>
    <cellStyle name="强调文字颜色 3 2 2 2 5" xfId="43114" xr:uid="{00000000-0005-0000-0000-00006AA80000}"/>
    <cellStyle name="强调文字颜色 3 2 2 2 6" xfId="43115" xr:uid="{00000000-0005-0000-0000-00006BA80000}"/>
    <cellStyle name="强调文字颜色 3 2 2 2 7" xfId="43116" xr:uid="{00000000-0005-0000-0000-00006CA80000}"/>
    <cellStyle name="强调文字颜色 3 2 2 3" xfId="43117" xr:uid="{00000000-0005-0000-0000-00006DA80000}"/>
    <cellStyle name="强调文字颜色 3 2 2 3 2" xfId="43118" xr:uid="{00000000-0005-0000-0000-00006EA80000}"/>
    <cellStyle name="强调文字颜色 3 2 2 3 2 2" xfId="43119" xr:uid="{00000000-0005-0000-0000-00006FA80000}"/>
    <cellStyle name="强调文字颜色 3 2 2 3 2 3" xfId="43120" xr:uid="{00000000-0005-0000-0000-000070A80000}"/>
    <cellStyle name="强调文字颜色 3 2 2 3 2 3 2" xfId="43121" xr:uid="{00000000-0005-0000-0000-000071A80000}"/>
    <cellStyle name="强调文字颜色 3 2 2 3 2 3 2 2" xfId="43122" xr:uid="{00000000-0005-0000-0000-000072A80000}"/>
    <cellStyle name="强调文字颜色 3 2 2 3 2 4" xfId="43123" xr:uid="{00000000-0005-0000-0000-000073A80000}"/>
    <cellStyle name="强调文字颜色 3 2 2 3 2 4 2" xfId="43124" xr:uid="{00000000-0005-0000-0000-000074A80000}"/>
    <cellStyle name="强调文字颜色 3 2 2 3 3" xfId="43125" xr:uid="{00000000-0005-0000-0000-000075A80000}"/>
    <cellStyle name="强调文字颜色 3 2 2 3 3 2" xfId="43126" xr:uid="{00000000-0005-0000-0000-000076A80000}"/>
    <cellStyle name="强调文字颜色 3 2 2 3 3 2 2" xfId="43127" xr:uid="{00000000-0005-0000-0000-000077A80000}"/>
    <cellStyle name="强调文字颜色 3 2 2 3 3 2 2 2" xfId="43128" xr:uid="{00000000-0005-0000-0000-000078A80000}"/>
    <cellStyle name="强调文字颜色 3 2 2 3 3 3" xfId="43129" xr:uid="{00000000-0005-0000-0000-000079A80000}"/>
    <cellStyle name="强调文字颜色 3 2 2 3 3 3 2" xfId="43130" xr:uid="{00000000-0005-0000-0000-00007AA80000}"/>
    <cellStyle name="强调文字颜色 3 2 2 3 4" xfId="43131" xr:uid="{00000000-0005-0000-0000-00007BA80000}"/>
    <cellStyle name="强调文字颜色 3 2 2 3 5" xfId="43132" xr:uid="{00000000-0005-0000-0000-00007CA80000}"/>
    <cellStyle name="强调文字颜色 3 2 2 3 6" xfId="43133" xr:uid="{00000000-0005-0000-0000-00007DA80000}"/>
    <cellStyle name="强调文字颜色 3 2 2 4" xfId="43134" xr:uid="{00000000-0005-0000-0000-00007EA80000}"/>
    <cellStyle name="强调文字颜色 3 2 2 4 2" xfId="43135" xr:uid="{00000000-0005-0000-0000-00007FA80000}"/>
    <cellStyle name="强调文字颜色 3 2 2 4 2 2" xfId="43136" xr:uid="{00000000-0005-0000-0000-000080A80000}"/>
    <cellStyle name="强调文字颜色 3 2 2 4 2 3" xfId="43137" xr:uid="{00000000-0005-0000-0000-000081A80000}"/>
    <cellStyle name="强调文字颜色 3 2 2 4 2 3 2" xfId="43138" xr:uid="{00000000-0005-0000-0000-000082A80000}"/>
    <cellStyle name="强调文字颜色 3 2 2 4 2 3 2 2" xfId="43139" xr:uid="{00000000-0005-0000-0000-000083A80000}"/>
    <cellStyle name="强调文字颜色 3 2 2 4 2 4" xfId="43140" xr:uid="{00000000-0005-0000-0000-000084A80000}"/>
    <cellStyle name="强调文字颜色 3 2 2 4 2 4 2" xfId="43141" xr:uid="{00000000-0005-0000-0000-000085A80000}"/>
    <cellStyle name="强调文字颜色 3 2 2 4 3" xfId="43142" xr:uid="{00000000-0005-0000-0000-000086A80000}"/>
    <cellStyle name="强调文字颜色 3 2 2 4 4" xfId="43143" xr:uid="{00000000-0005-0000-0000-000087A80000}"/>
    <cellStyle name="强调文字颜色 3 2 2 4 5" xfId="43144" xr:uid="{00000000-0005-0000-0000-000088A80000}"/>
    <cellStyle name="强调文字颜色 3 2 2 4 6" xfId="43145" xr:uid="{00000000-0005-0000-0000-000089A80000}"/>
    <cellStyle name="强调文字颜色 3 2 2 5" xfId="43146" xr:uid="{00000000-0005-0000-0000-00008AA80000}"/>
    <cellStyle name="强调文字颜色 3 2 2 5 2" xfId="43147" xr:uid="{00000000-0005-0000-0000-00008BA80000}"/>
    <cellStyle name="强调文字颜色 3 2 2 5 2 2" xfId="43148" xr:uid="{00000000-0005-0000-0000-00008CA80000}"/>
    <cellStyle name="强调文字颜色 3 2 2 5 2 2 2" xfId="43149" xr:uid="{00000000-0005-0000-0000-00008DA80000}"/>
    <cellStyle name="强调文字颜色 3 2 2 5 2 2 2 2" xfId="43150" xr:uid="{00000000-0005-0000-0000-00008EA80000}"/>
    <cellStyle name="强调文字颜色 3 2 2 5 2 3" xfId="43151" xr:uid="{00000000-0005-0000-0000-00008FA80000}"/>
    <cellStyle name="强调文字颜色 3 2 2 5 2 3 2" xfId="43152" xr:uid="{00000000-0005-0000-0000-000090A80000}"/>
    <cellStyle name="强调文字颜色 3 2 2 5 3" xfId="43153" xr:uid="{00000000-0005-0000-0000-000091A80000}"/>
    <cellStyle name="强调文字颜色 3 2 2 5 3 2" xfId="43154" xr:uid="{00000000-0005-0000-0000-000092A80000}"/>
    <cellStyle name="强调文字颜色 3 2 2 5 3 2 2" xfId="43155" xr:uid="{00000000-0005-0000-0000-000093A80000}"/>
    <cellStyle name="强调文字颜色 3 2 2 5 4" xfId="43156" xr:uid="{00000000-0005-0000-0000-000094A80000}"/>
    <cellStyle name="强调文字颜色 3 2 2 5 4 2" xfId="43157" xr:uid="{00000000-0005-0000-0000-000095A80000}"/>
    <cellStyle name="强调文字颜色 3 2 2 6" xfId="43158" xr:uid="{00000000-0005-0000-0000-000096A80000}"/>
    <cellStyle name="强调文字颜色 3 2 2 6 2" xfId="43159" xr:uid="{00000000-0005-0000-0000-000097A80000}"/>
    <cellStyle name="强调文字颜色 3 2 2 6 2 2" xfId="43160" xr:uid="{00000000-0005-0000-0000-000098A80000}"/>
    <cellStyle name="强调文字颜色 3 2 2 6 2 2 2" xfId="43161" xr:uid="{00000000-0005-0000-0000-000099A80000}"/>
    <cellStyle name="强调文字颜色 3 2 2 6 2 2 2 2" xfId="43162" xr:uid="{00000000-0005-0000-0000-00009AA80000}"/>
    <cellStyle name="强调文字颜色 3 2 2 6 2 3" xfId="43163" xr:uid="{00000000-0005-0000-0000-00009BA80000}"/>
    <cellStyle name="强调文字颜色 3 2 2 6 2 3 2" xfId="43164" xr:uid="{00000000-0005-0000-0000-00009CA80000}"/>
    <cellStyle name="强调文字颜色 3 2 2 6 3" xfId="43165" xr:uid="{00000000-0005-0000-0000-00009DA80000}"/>
    <cellStyle name="强调文字颜色 3 2 2 6 3 2" xfId="43166" xr:uid="{00000000-0005-0000-0000-00009EA80000}"/>
    <cellStyle name="强调文字颜色 3 2 2 6 3 2 2" xfId="43167" xr:uid="{00000000-0005-0000-0000-00009FA80000}"/>
    <cellStyle name="强调文字颜色 3 2 2 6 4" xfId="43168" xr:uid="{00000000-0005-0000-0000-0000A0A80000}"/>
    <cellStyle name="强调文字颜色 3 2 2 6 4 2" xfId="43169" xr:uid="{00000000-0005-0000-0000-0000A1A80000}"/>
    <cellStyle name="强调文字颜色 3 2 2 7" xfId="43170" xr:uid="{00000000-0005-0000-0000-0000A2A80000}"/>
    <cellStyle name="强调文字颜色 3 2 2 7 2" xfId="43171" xr:uid="{00000000-0005-0000-0000-0000A3A80000}"/>
    <cellStyle name="强调文字颜色 3 2 2 7 2 2" xfId="43172" xr:uid="{00000000-0005-0000-0000-0000A4A80000}"/>
    <cellStyle name="强调文字颜色 3 2 2 7 2 2 2" xfId="43173" xr:uid="{00000000-0005-0000-0000-0000A5A80000}"/>
    <cellStyle name="强调文字颜色 3 2 2 7 2 2 2 2" xfId="43174" xr:uid="{00000000-0005-0000-0000-0000A6A80000}"/>
    <cellStyle name="强调文字颜色 3 2 2 7 2 3" xfId="43175" xr:uid="{00000000-0005-0000-0000-0000A7A80000}"/>
    <cellStyle name="强调文字颜色 3 2 2 7 2 3 2" xfId="43176" xr:uid="{00000000-0005-0000-0000-0000A8A80000}"/>
    <cellStyle name="强调文字颜色 3 2 2 7 3" xfId="43177" xr:uid="{00000000-0005-0000-0000-0000A9A80000}"/>
    <cellStyle name="强调文字颜色 3 2 2 7 3 2" xfId="43178" xr:uid="{00000000-0005-0000-0000-0000AAA80000}"/>
    <cellStyle name="强调文字颜色 3 2 2 7 3 2 2" xfId="43179" xr:uid="{00000000-0005-0000-0000-0000ABA80000}"/>
    <cellStyle name="强调文字颜色 3 2 2 7 4" xfId="43180" xr:uid="{00000000-0005-0000-0000-0000ACA80000}"/>
    <cellStyle name="强调文字颜色 3 2 2 7 4 2" xfId="43181" xr:uid="{00000000-0005-0000-0000-0000ADA80000}"/>
    <cellStyle name="强调文字颜色 3 2 2 8" xfId="43182" xr:uid="{00000000-0005-0000-0000-0000AEA80000}"/>
    <cellStyle name="强调文字颜色 3 2 2 8 2" xfId="43183" xr:uid="{00000000-0005-0000-0000-0000AFA80000}"/>
    <cellStyle name="强调文字颜色 3 2 2 8 2 2" xfId="43184" xr:uid="{00000000-0005-0000-0000-0000B0A80000}"/>
    <cellStyle name="强调文字颜色 3 2 2 8 2 2 2" xfId="43185" xr:uid="{00000000-0005-0000-0000-0000B1A80000}"/>
    <cellStyle name="强调文字颜色 3 2 2 8 3" xfId="43186" xr:uid="{00000000-0005-0000-0000-0000B2A80000}"/>
    <cellStyle name="强调文字颜色 3 2 2 8 3 2" xfId="43187" xr:uid="{00000000-0005-0000-0000-0000B3A80000}"/>
    <cellStyle name="强调文字颜色 3 2 2 9" xfId="43188" xr:uid="{00000000-0005-0000-0000-0000B4A80000}"/>
    <cellStyle name="强调文字颜色 3 2 2 9 2" xfId="43189" xr:uid="{00000000-0005-0000-0000-0000B5A80000}"/>
    <cellStyle name="强调文字颜色 3 2 2 9 2 2" xfId="43190" xr:uid="{00000000-0005-0000-0000-0000B6A80000}"/>
    <cellStyle name="强调文字颜色 3 2 2 9 2 2 2" xfId="43191" xr:uid="{00000000-0005-0000-0000-0000B7A80000}"/>
    <cellStyle name="强调文字颜色 3 2 2 9 3" xfId="43192" xr:uid="{00000000-0005-0000-0000-0000B8A80000}"/>
    <cellStyle name="强调文字颜色 3 2 2 9 3 2" xfId="43193" xr:uid="{00000000-0005-0000-0000-0000B9A80000}"/>
    <cellStyle name="强调文字颜色 3 2 3" xfId="43194" xr:uid="{00000000-0005-0000-0000-0000BAA80000}"/>
    <cellStyle name="强调文字颜色 3 2 3 2" xfId="43195" xr:uid="{00000000-0005-0000-0000-0000BBA80000}"/>
    <cellStyle name="强调文字颜色 3 2 3 2 2" xfId="43196" xr:uid="{00000000-0005-0000-0000-0000BCA80000}"/>
    <cellStyle name="强调文字颜色 3 2 3 2 2 2" xfId="43197" xr:uid="{00000000-0005-0000-0000-0000BDA80000}"/>
    <cellStyle name="强调文字颜色 3 2 3 2 2 2 2" xfId="43198" xr:uid="{00000000-0005-0000-0000-0000BEA80000}"/>
    <cellStyle name="强调文字颜色 3 2 3 2 2 2 3" xfId="43199" xr:uid="{00000000-0005-0000-0000-0000BFA80000}"/>
    <cellStyle name="强调文字颜色 3 2 3 2 2 2 3 2" xfId="43200" xr:uid="{00000000-0005-0000-0000-0000C0A80000}"/>
    <cellStyle name="强调文字颜色 3 2 3 2 2 2 3 2 2" xfId="43201" xr:uid="{00000000-0005-0000-0000-0000C1A80000}"/>
    <cellStyle name="强调文字颜色 3 2 3 2 2 2 4" xfId="43202" xr:uid="{00000000-0005-0000-0000-0000C2A80000}"/>
    <cellStyle name="强调文字颜色 3 2 3 2 2 2 4 2" xfId="43203" xr:uid="{00000000-0005-0000-0000-0000C3A80000}"/>
    <cellStyle name="强调文字颜色 3 2 3 2 2 3" xfId="43204" xr:uid="{00000000-0005-0000-0000-0000C4A80000}"/>
    <cellStyle name="强调文字颜色 3 2 3 2 2 3 2" xfId="43205" xr:uid="{00000000-0005-0000-0000-0000C5A80000}"/>
    <cellStyle name="强调文字颜色 3 2 3 2 2 3 2 2" xfId="43206" xr:uid="{00000000-0005-0000-0000-0000C6A80000}"/>
    <cellStyle name="强调文字颜色 3 2 3 2 2 3 2 2 2" xfId="43207" xr:uid="{00000000-0005-0000-0000-0000C7A80000}"/>
    <cellStyle name="强调文字颜色 3 2 3 2 2 3 3" xfId="43208" xr:uid="{00000000-0005-0000-0000-0000C8A80000}"/>
    <cellStyle name="强调文字颜色 3 2 3 2 2 3 3 2" xfId="43209" xr:uid="{00000000-0005-0000-0000-0000C9A80000}"/>
    <cellStyle name="强调文字颜色 3 2 3 2 2 4" xfId="43210" xr:uid="{00000000-0005-0000-0000-0000CAA80000}"/>
    <cellStyle name="强调文字颜色 3 2 3 2 2 5" xfId="43211" xr:uid="{00000000-0005-0000-0000-0000CBA80000}"/>
    <cellStyle name="强调文字颜色 3 2 3 2 2 6" xfId="43212" xr:uid="{00000000-0005-0000-0000-0000CCA80000}"/>
    <cellStyle name="强调文字颜色 3 2 3 2 3" xfId="43213" xr:uid="{00000000-0005-0000-0000-0000CDA80000}"/>
    <cellStyle name="强调文字颜色 3 2 3 2 3 2" xfId="43214" xr:uid="{00000000-0005-0000-0000-0000CEA80000}"/>
    <cellStyle name="强调文字颜色 3 2 3 2 3 3" xfId="43215" xr:uid="{00000000-0005-0000-0000-0000CFA80000}"/>
    <cellStyle name="强调文字颜色 3 2 3 2 3 3 2" xfId="43216" xr:uid="{00000000-0005-0000-0000-0000D0A80000}"/>
    <cellStyle name="强调文字颜色 3 2 3 2 3 3 2 2" xfId="43217" xr:uid="{00000000-0005-0000-0000-0000D1A80000}"/>
    <cellStyle name="强调文字颜色 3 2 3 2 3 4" xfId="43218" xr:uid="{00000000-0005-0000-0000-0000D2A80000}"/>
    <cellStyle name="强调文字颜色 3 2 3 2 3 4 2" xfId="43219" xr:uid="{00000000-0005-0000-0000-0000D3A80000}"/>
    <cellStyle name="强调文字颜色 3 2 3 2 4" xfId="43220" xr:uid="{00000000-0005-0000-0000-0000D4A80000}"/>
    <cellStyle name="强调文字颜色 3 2 3 2 4 2" xfId="43221" xr:uid="{00000000-0005-0000-0000-0000D5A80000}"/>
    <cellStyle name="强调文字颜色 3 2 3 2 4 2 2" xfId="43222" xr:uid="{00000000-0005-0000-0000-0000D6A80000}"/>
    <cellStyle name="强调文字颜色 3 2 3 2 4 2 2 2" xfId="43223" xr:uid="{00000000-0005-0000-0000-0000D7A80000}"/>
    <cellStyle name="强调文字颜色 3 2 3 2 4 3" xfId="43224" xr:uid="{00000000-0005-0000-0000-0000D8A80000}"/>
    <cellStyle name="强调文字颜色 3 2 3 2 4 3 2" xfId="43225" xr:uid="{00000000-0005-0000-0000-0000D9A80000}"/>
    <cellStyle name="强调文字颜色 3 2 3 2 5" xfId="43226" xr:uid="{00000000-0005-0000-0000-0000DAA80000}"/>
    <cellStyle name="强调文字颜色 3 2 3 2 6" xfId="43227" xr:uid="{00000000-0005-0000-0000-0000DBA80000}"/>
    <cellStyle name="强调文字颜色 3 2 3 2 7" xfId="43228" xr:uid="{00000000-0005-0000-0000-0000DCA80000}"/>
    <cellStyle name="强调文字颜色 3 2 3 3" xfId="43229" xr:uid="{00000000-0005-0000-0000-0000DDA80000}"/>
    <cellStyle name="强调文字颜色 3 2 3 3 2" xfId="43230" xr:uid="{00000000-0005-0000-0000-0000DEA80000}"/>
    <cellStyle name="强调文字颜色 3 2 3 3 2 2" xfId="43231" xr:uid="{00000000-0005-0000-0000-0000DFA80000}"/>
    <cellStyle name="强调文字颜色 3 2 3 3 2 3" xfId="43232" xr:uid="{00000000-0005-0000-0000-0000E0A80000}"/>
    <cellStyle name="强调文字颜色 3 2 3 3 2 3 2" xfId="43233" xr:uid="{00000000-0005-0000-0000-0000E1A80000}"/>
    <cellStyle name="强调文字颜色 3 2 3 3 2 3 2 2" xfId="43234" xr:uid="{00000000-0005-0000-0000-0000E2A80000}"/>
    <cellStyle name="强调文字颜色 3 2 3 3 2 4" xfId="43235" xr:uid="{00000000-0005-0000-0000-0000E3A80000}"/>
    <cellStyle name="强调文字颜色 3 2 3 3 2 4 2" xfId="43236" xr:uid="{00000000-0005-0000-0000-0000E4A80000}"/>
    <cellStyle name="强调文字颜色 3 2 3 3 3" xfId="43237" xr:uid="{00000000-0005-0000-0000-0000E5A80000}"/>
    <cellStyle name="强调文字颜色 3 2 3 3 3 2" xfId="43238" xr:uid="{00000000-0005-0000-0000-0000E6A80000}"/>
    <cellStyle name="强调文字颜色 3 2 3 3 3 2 2" xfId="43239" xr:uid="{00000000-0005-0000-0000-0000E7A80000}"/>
    <cellStyle name="强调文字颜色 3 2 3 3 3 2 2 2" xfId="43240" xr:uid="{00000000-0005-0000-0000-0000E8A80000}"/>
    <cellStyle name="强调文字颜色 3 2 3 3 3 3" xfId="43241" xr:uid="{00000000-0005-0000-0000-0000E9A80000}"/>
    <cellStyle name="强调文字颜色 3 2 3 3 3 3 2" xfId="43242" xr:uid="{00000000-0005-0000-0000-0000EAA80000}"/>
    <cellStyle name="强调文字颜色 3 2 3 3 4" xfId="43243" xr:uid="{00000000-0005-0000-0000-0000EBA80000}"/>
    <cellStyle name="强调文字颜色 3 2 3 3 5" xfId="43244" xr:uid="{00000000-0005-0000-0000-0000ECA80000}"/>
    <cellStyle name="强调文字颜色 3 2 3 3 6" xfId="43245" xr:uid="{00000000-0005-0000-0000-0000EDA80000}"/>
    <cellStyle name="强调文字颜色 3 2 3 4" xfId="43246" xr:uid="{00000000-0005-0000-0000-0000EEA80000}"/>
    <cellStyle name="强调文字颜色 3 2 3 4 2" xfId="43247" xr:uid="{00000000-0005-0000-0000-0000EFA80000}"/>
    <cellStyle name="强调文字颜色 3 2 3 4 2 2" xfId="43248" xr:uid="{00000000-0005-0000-0000-0000F0A80000}"/>
    <cellStyle name="强调文字颜色 3 2 3 4 2 3" xfId="43249" xr:uid="{00000000-0005-0000-0000-0000F1A80000}"/>
    <cellStyle name="强调文字颜色 3 2 3 4 2 3 2" xfId="43250" xr:uid="{00000000-0005-0000-0000-0000F2A80000}"/>
    <cellStyle name="强调文字颜色 3 2 3 4 2 3 2 2" xfId="43251" xr:uid="{00000000-0005-0000-0000-0000F3A80000}"/>
    <cellStyle name="强调文字颜色 3 2 3 4 2 4" xfId="43252" xr:uid="{00000000-0005-0000-0000-0000F4A80000}"/>
    <cellStyle name="强调文字颜色 3 2 3 4 2 4 2" xfId="43253" xr:uid="{00000000-0005-0000-0000-0000F5A80000}"/>
    <cellStyle name="强调文字颜色 3 2 3 4 3" xfId="43254" xr:uid="{00000000-0005-0000-0000-0000F6A80000}"/>
    <cellStyle name="强调文字颜色 3 2 3 4 4" xfId="43255" xr:uid="{00000000-0005-0000-0000-0000F7A80000}"/>
    <cellStyle name="强调文字颜色 3 2 3 4 5" xfId="43256" xr:uid="{00000000-0005-0000-0000-0000F8A80000}"/>
    <cellStyle name="强调文字颜色 3 2 3 4 6" xfId="43257" xr:uid="{00000000-0005-0000-0000-0000F9A80000}"/>
    <cellStyle name="强调文字颜色 3 2 3 5" xfId="43258" xr:uid="{00000000-0005-0000-0000-0000FAA80000}"/>
    <cellStyle name="强调文字颜色 3 2 3 5 2" xfId="43259" xr:uid="{00000000-0005-0000-0000-0000FBA80000}"/>
    <cellStyle name="强调文字颜色 3 2 3 5 2 2" xfId="43260" xr:uid="{00000000-0005-0000-0000-0000FCA80000}"/>
    <cellStyle name="强调文字颜色 3 2 3 5 2 2 2" xfId="43261" xr:uid="{00000000-0005-0000-0000-0000FDA80000}"/>
    <cellStyle name="强调文字颜色 3 2 3 5 2 2 2 2" xfId="43262" xr:uid="{00000000-0005-0000-0000-0000FEA80000}"/>
    <cellStyle name="强调文字颜色 3 2 3 5 2 3" xfId="43263" xr:uid="{00000000-0005-0000-0000-0000FFA80000}"/>
    <cellStyle name="强调文字颜色 3 2 3 5 2 3 2" xfId="43264" xr:uid="{00000000-0005-0000-0000-000000A90000}"/>
    <cellStyle name="强调文字颜色 3 2 3 5 3" xfId="43265" xr:uid="{00000000-0005-0000-0000-000001A90000}"/>
    <cellStyle name="强调文字颜色 3 2 3 5 3 2" xfId="43266" xr:uid="{00000000-0005-0000-0000-000002A90000}"/>
    <cellStyle name="强调文字颜色 3 2 3 5 3 2 2" xfId="43267" xr:uid="{00000000-0005-0000-0000-000003A90000}"/>
    <cellStyle name="强调文字颜色 3 2 3 5 4" xfId="43268" xr:uid="{00000000-0005-0000-0000-000004A90000}"/>
    <cellStyle name="强调文字颜色 3 2 3 5 4 2" xfId="43269" xr:uid="{00000000-0005-0000-0000-000005A90000}"/>
    <cellStyle name="强调文字颜色 3 2 3 6" xfId="43270" xr:uid="{00000000-0005-0000-0000-000006A90000}"/>
    <cellStyle name="强调文字颜色 3 2 3 6 2" xfId="43271" xr:uid="{00000000-0005-0000-0000-000007A90000}"/>
    <cellStyle name="强调文字颜色 3 2 3 6 2 2" xfId="43272" xr:uid="{00000000-0005-0000-0000-000008A90000}"/>
    <cellStyle name="强调文字颜色 3 2 3 6 2 2 2" xfId="43273" xr:uid="{00000000-0005-0000-0000-000009A90000}"/>
    <cellStyle name="强调文字颜色 3 2 3 6 3" xfId="43274" xr:uid="{00000000-0005-0000-0000-00000AA90000}"/>
    <cellStyle name="强调文字颜色 3 2 3 6 3 2" xfId="43275" xr:uid="{00000000-0005-0000-0000-00000BA90000}"/>
    <cellStyle name="强调文字颜色 3 2 3 7" xfId="43276" xr:uid="{00000000-0005-0000-0000-00000CA90000}"/>
    <cellStyle name="强调文字颜色 3 2 3 7 2" xfId="43277" xr:uid="{00000000-0005-0000-0000-00000DA90000}"/>
    <cellStyle name="强调文字颜色 3 2 3 7 2 2" xfId="43278" xr:uid="{00000000-0005-0000-0000-00000EA90000}"/>
    <cellStyle name="强调文字颜色 3 2 3 7 2 2 2" xfId="43279" xr:uid="{00000000-0005-0000-0000-00000FA90000}"/>
    <cellStyle name="强调文字颜色 3 2 3 7 3" xfId="43280" xr:uid="{00000000-0005-0000-0000-000010A90000}"/>
    <cellStyle name="强调文字颜色 3 2 3 7 3 2" xfId="43281" xr:uid="{00000000-0005-0000-0000-000011A90000}"/>
    <cellStyle name="强调文字颜色 3 2 3 8" xfId="43282" xr:uid="{00000000-0005-0000-0000-000012A90000}"/>
    <cellStyle name="强调文字颜色 3 2 3 9" xfId="43283" xr:uid="{00000000-0005-0000-0000-000013A90000}"/>
    <cellStyle name="强调文字颜色 3 2 4" xfId="43284" xr:uid="{00000000-0005-0000-0000-000014A90000}"/>
    <cellStyle name="强调文字颜色 3 2 4 2" xfId="43285" xr:uid="{00000000-0005-0000-0000-000015A90000}"/>
    <cellStyle name="强调文字颜色 3 2 4 2 2" xfId="43286" xr:uid="{00000000-0005-0000-0000-000016A90000}"/>
    <cellStyle name="强调文字颜色 3 2 4 2 3" xfId="43287" xr:uid="{00000000-0005-0000-0000-000017A90000}"/>
    <cellStyle name="强调文字颜色 3 2 4 2 3 2" xfId="43288" xr:uid="{00000000-0005-0000-0000-000018A90000}"/>
    <cellStyle name="强调文字颜色 3 2 4 2 3 2 2" xfId="43289" xr:uid="{00000000-0005-0000-0000-000019A90000}"/>
    <cellStyle name="强调文字颜色 3 2 4 2 4" xfId="43290" xr:uid="{00000000-0005-0000-0000-00001AA90000}"/>
    <cellStyle name="强调文字颜色 3 2 4 2 4 2" xfId="43291" xr:uid="{00000000-0005-0000-0000-00001BA90000}"/>
    <cellStyle name="强调文字颜色 3 2 4 3" xfId="43292" xr:uid="{00000000-0005-0000-0000-00001CA90000}"/>
    <cellStyle name="强调文字颜色 3 2 4 3 2" xfId="43293" xr:uid="{00000000-0005-0000-0000-00001DA90000}"/>
    <cellStyle name="强调文字颜色 3 2 4 3 2 2" xfId="43294" xr:uid="{00000000-0005-0000-0000-00001EA90000}"/>
    <cellStyle name="强调文字颜色 3 2 4 3 2 2 2" xfId="43295" xr:uid="{00000000-0005-0000-0000-00001FA90000}"/>
    <cellStyle name="强调文字颜色 3 2 4 3 3" xfId="43296" xr:uid="{00000000-0005-0000-0000-000020A90000}"/>
    <cellStyle name="强调文字颜色 3 2 4 3 3 2" xfId="43297" xr:uid="{00000000-0005-0000-0000-000021A90000}"/>
    <cellStyle name="强调文字颜色 3 2 4 4" xfId="43298" xr:uid="{00000000-0005-0000-0000-000022A90000}"/>
    <cellStyle name="强调文字颜色 3 2 4 5" xfId="43299" xr:uid="{00000000-0005-0000-0000-000023A90000}"/>
    <cellStyle name="强调文字颜色 3 2 4 6" xfId="43300" xr:uid="{00000000-0005-0000-0000-000024A90000}"/>
    <cellStyle name="强调文字颜色 3 2 5" xfId="43301" xr:uid="{00000000-0005-0000-0000-000025A90000}"/>
    <cellStyle name="强调文字颜色 3 2 5 2" xfId="43302" xr:uid="{00000000-0005-0000-0000-000026A90000}"/>
    <cellStyle name="强调文字颜色 3 2 5 2 2" xfId="43303" xr:uid="{00000000-0005-0000-0000-000027A90000}"/>
    <cellStyle name="强调文字颜色 3 2 5 2 3" xfId="43304" xr:uid="{00000000-0005-0000-0000-000028A90000}"/>
    <cellStyle name="强调文字颜色 3 2 5 2 3 2" xfId="43305" xr:uid="{00000000-0005-0000-0000-000029A90000}"/>
    <cellStyle name="强调文字颜色 3 2 5 2 3 2 2" xfId="43306" xr:uid="{00000000-0005-0000-0000-00002AA90000}"/>
    <cellStyle name="强调文字颜色 3 2 5 2 4" xfId="43307" xr:uid="{00000000-0005-0000-0000-00002BA90000}"/>
    <cellStyle name="强调文字颜色 3 2 5 2 4 2" xfId="43308" xr:uid="{00000000-0005-0000-0000-00002CA90000}"/>
    <cellStyle name="强调文字颜色 3 2 5 3" xfId="43309" xr:uid="{00000000-0005-0000-0000-00002DA90000}"/>
    <cellStyle name="强调文字颜色 3 2 5 4" xfId="43310" xr:uid="{00000000-0005-0000-0000-00002EA90000}"/>
    <cellStyle name="强调文字颜色 3 2 5 5" xfId="43311" xr:uid="{00000000-0005-0000-0000-00002FA90000}"/>
    <cellStyle name="强调文字颜色 3 2 5 6" xfId="43312" xr:uid="{00000000-0005-0000-0000-000030A90000}"/>
    <cellStyle name="强调文字颜色 3 2 6" xfId="43313" xr:uid="{00000000-0005-0000-0000-000031A90000}"/>
    <cellStyle name="强调文字颜色 3 2 6 2" xfId="43314" xr:uid="{00000000-0005-0000-0000-000032A90000}"/>
    <cellStyle name="强调文字颜色 3 2 6 2 2" xfId="43315" xr:uid="{00000000-0005-0000-0000-000033A90000}"/>
    <cellStyle name="强调文字颜色 3 2 6 2 2 2" xfId="43316" xr:uid="{00000000-0005-0000-0000-000034A90000}"/>
    <cellStyle name="强调文字颜色 3 2 6 2 2 2 2" xfId="43317" xr:uid="{00000000-0005-0000-0000-000035A90000}"/>
    <cellStyle name="强调文字颜色 3 2 6 2 3" xfId="43318" xr:uid="{00000000-0005-0000-0000-000036A90000}"/>
    <cellStyle name="强调文字颜色 3 2 6 2 3 2" xfId="43319" xr:uid="{00000000-0005-0000-0000-000037A90000}"/>
    <cellStyle name="强调文字颜色 3 2 6 3" xfId="43320" xr:uid="{00000000-0005-0000-0000-000038A90000}"/>
    <cellStyle name="强调文字颜色 3 2 6 3 2" xfId="43321" xr:uid="{00000000-0005-0000-0000-000039A90000}"/>
    <cellStyle name="强调文字颜色 3 2 6 3 2 2" xfId="43322" xr:uid="{00000000-0005-0000-0000-00003AA90000}"/>
    <cellStyle name="强调文字颜色 3 2 6 4" xfId="43323" xr:uid="{00000000-0005-0000-0000-00003BA90000}"/>
    <cellStyle name="强调文字颜色 3 2 6 4 2" xfId="43324" xr:uid="{00000000-0005-0000-0000-00003CA90000}"/>
    <cellStyle name="强调文字颜色 3 2 7" xfId="43325" xr:uid="{00000000-0005-0000-0000-00003DA90000}"/>
    <cellStyle name="强调文字颜色 3 2 7 2" xfId="43326" xr:uid="{00000000-0005-0000-0000-00003EA90000}"/>
    <cellStyle name="强调文字颜色 3 2 7 2 2" xfId="43327" xr:uid="{00000000-0005-0000-0000-00003FA90000}"/>
    <cellStyle name="强调文字颜色 3 2 7 2 2 2" xfId="43328" xr:uid="{00000000-0005-0000-0000-000040A90000}"/>
    <cellStyle name="强调文字颜色 3 2 7 2 2 2 2" xfId="43329" xr:uid="{00000000-0005-0000-0000-000041A90000}"/>
    <cellStyle name="强调文字颜色 3 2 7 2 3" xfId="43330" xr:uid="{00000000-0005-0000-0000-000042A90000}"/>
    <cellStyle name="强调文字颜色 3 2 7 2 3 2" xfId="43331" xr:uid="{00000000-0005-0000-0000-000043A90000}"/>
    <cellStyle name="强调文字颜色 3 2 7 3" xfId="43332" xr:uid="{00000000-0005-0000-0000-000044A90000}"/>
    <cellStyle name="强调文字颜色 3 2 7 3 2" xfId="43333" xr:uid="{00000000-0005-0000-0000-000045A90000}"/>
    <cellStyle name="强调文字颜色 3 2 7 3 2 2" xfId="43334" xr:uid="{00000000-0005-0000-0000-000046A90000}"/>
    <cellStyle name="强调文字颜色 3 2 7 4" xfId="43335" xr:uid="{00000000-0005-0000-0000-000047A90000}"/>
    <cellStyle name="强调文字颜色 3 2 7 4 2" xfId="43336" xr:uid="{00000000-0005-0000-0000-000048A90000}"/>
    <cellStyle name="强调文字颜色 3 2 8" xfId="43337" xr:uid="{00000000-0005-0000-0000-000049A90000}"/>
    <cellStyle name="强调文字颜色 3 2 8 2" xfId="43338" xr:uid="{00000000-0005-0000-0000-00004AA90000}"/>
    <cellStyle name="强调文字颜色 3 2 8 2 2" xfId="43339" xr:uid="{00000000-0005-0000-0000-00004BA90000}"/>
    <cellStyle name="强调文字颜色 3 2 8 2 2 2" xfId="43340" xr:uid="{00000000-0005-0000-0000-00004CA90000}"/>
    <cellStyle name="强调文字颜色 3 2 8 2 2 2 2" xfId="43341" xr:uid="{00000000-0005-0000-0000-00004DA90000}"/>
    <cellStyle name="强调文字颜色 3 2 8 2 3" xfId="43342" xr:uid="{00000000-0005-0000-0000-00004EA90000}"/>
    <cellStyle name="强调文字颜色 3 2 8 2 3 2" xfId="43343" xr:uid="{00000000-0005-0000-0000-00004FA90000}"/>
    <cellStyle name="强调文字颜色 3 2 8 3" xfId="43344" xr:uid="{00000000-0005-0000-0000-000050A90000}"/>
    <cellStyle name="强调文字颜色 3 2 8 3 2" xfId="43345" xr:uid="{00000000-0005-0000-0000-000051A90000}"/>
    <cellStyle name="强调文字颜色 3 2 8 3 2 2" xfId="43346" xr:uid="{00000000-0005-0000-0000-000052A90000}"/>
    <cellStyle name="强调文字颜色 3 2 8 4" xfId="43347" xr:uid="{00000000-0005-0000-0000-000053A90000}"/>
    <cellStyle name="强调文字颜色 3 2 8 4 2" xfId="43348" xr:uid="{00000000-0005-0000-0000-000054A90000}"/>
    <cellStyle name="强调文字颜色 3 2 9" xfId="43349" xr:uid="{00000000-0005-0000-0000-000055A90000}"/>
    <cellStyle name="强调文字颜色 3 2 9 2" xfId="43350" xr:uid="{00000000-0005-0000-0000-000056A90000}"/>
    <cellStyle name="强调文字颜色 3 2 9 2 2" xfId="43351" xr:uid="{00000000-0005-0000-0000-000057A90000}"/>
    <cellStyle name="强调文字颜色 3 2 9 2 2 2" xfId="43352" xr:uid="{00000000-0005-0000-0000-000058A90000}"/>
    <cellStyle name="强调文字颜色 3 2 9 3" xfId="43353" xr:uid="{00000000-0005-0000-0000-000059A90000}"/>
    <cellStyle name="强调文字颜色 3 2 9 3 2" xfId="43354" xr:uid="{00000000-0005-0000-0000-00005AA90000}"/>
    <cellStyle name="强调文字颜色 3 3" xfId="43355" xr:uid="{00000000-0005-0000-0000-00005BA90000}"/>
    <cellStyle name="强调文字颜色 3 3 2" xfId="43356" xr:uid="{00000000-0005-0000-0000-00005CA90000}"/>
    <cellStyle name="强调文字颜色 3 3 2 2" xfId="43357" xr:uid="{00000000-0005-0000-0000-00005DA90000}"/>
    <cellStyle name="强调文字颜色 3 3 2 2 2" xfId="43358" xr:uid="{00000000-0005-0000-0000-00005EA90000}"/>
    <cellStyle name="强调文字颜色 3 3 2 2 2 2" xfId="43359" xr:uid="{00000000-0005-0000-0000-00005FA90000}"/>
    <cellStyle name="强调文字颜色 3 3 2 2 2 3" xfId="43360" xr:uid="{00000000-0005-0000-0000-000060A90000}"/>
    <cellStyle name="强调文字颜色 3 3 2 2 2 3 2" xfId="43361" xr:uid="{00000000-0005-0000-0000-000061A90000}"/>
    <cellStyle name="强调文字颜色 3 3 2 2 2 3 2 2" xfId="43362" xr:uid="{00000000-0005-0000-0000-000062A90000}"/>
    <cellStyle name="强调文字颜色 3 3 2 2 2 4" xfId="43363" xr:uid="{00000000-0005-0000-0000-000063A90000}"/>
    <cellStyle name="强调文字颜色 3 3 2 2 2 4 2" xfId="43364" xr:uid="{00000000-0005-0000-0000-000064A90000}"/>
    <cellStyle name="强调文字颜色 3 3 2 2 3" xfId="43365" xr:uid="{00000000-0005-0000-0000-000065A90000}"/>
    <cellStyle name="强调文字颜色 3 3 2 2 3 2" xfId="43366" xr:uid="{00000000-0005-0000-0000-000066A90000}"/>
    <cellStyle name="强调文字颜色 3 3 2 2 3 2 2" xfId="43367" xr:uid="{00000000-0005-0000-0000-000067A90000}"/>
    <cellStyle name="强调文字颜色 3 3 2 2 3 2 2 2" xfId="43368" xr:uid="{00000000-0005-0000-0000-000068A90000}"/>
    <cellStyle name="强调文字颜色 3 3 2 2 3 3" xfId="43369" xr:uid="{00000000-0005-0000-0000-000069A90000}"/>
    <cellStyle name="强调文字颜色 3 3 2 2 3 3 2" xfId="43370" xr:uid="{00000000-0005-0000-0000-00006AA90000}"/>
    <cellStyle name="强调文字颜色 3 3 2 2 4" xfId="43371" xr:uid="{00000000-0005-0000-0000-00006BA90000}"/>
    <cellStyle name="强调文字颜色 3 3 2 2 5" xfId="43372" xr:uid="{00000000-0005-0000-0000-00006CA90000}"/>
    <cellStyle name="强调文字颜色 3 3 2 2 6" xfId="43373" xr:uid="{00000000-0005-0000-0000-00006DA90000}"/>
    <cellStyle name="强调文字颜色 3 3 2 3" xfId="43374" xr:uid="{00000000-0005-0000-0000-00006EA90000}"/>
    <cellStyle name="强调文字颜色 3 3 2 3 2" xfId="43375" xr:uid="{00000000-0005-0000-0000-00006FA90000}"/>
    <cellStyle name="强调文字颜色 3 3 2 3 3" xfId="43376" xr:uid="{00000000-0005-0000-0000-000070A90000}"/>
    <cellStyle name="强调文字颜色 3 3 2 3 3 2" xfId="43377" xr:uid="{00000000-0005-0000-0000-000071A90000}"/>
    <cellStyle name="强调文字颜色 3 3 2 3 3 2 2" xfId="43378" xr:uid="{00000000-0005-0000-0000-000072A90000}"/>
    <cellStyle name="强调文字颜色 3 3 2 3 4" xfId="43379" xr:uid="{00000000-0005-0000-0000-000073A90000}"/>
    <cellStyle name="强调文字颜色 3 3 2 3 4 2" xfId="43380" xr:uid="{00000000-0005-0000-0000-000074A90000}"/>
    <cellStyle name="强调文字颜色 3 3 2 4" xfId="43381" xr:uid="{00000000-0005-0000-0000-000075A90000}"/>
    <cellStyle name="强调文字颜色 3 3 2 4 2" xfId="43382" xr:uid="{00000000-0005-0000-0000-000076A90000}"/>
    <cellStyle name="强调文字颜色 3 3 2 4 2 2" xfId="43383" xr:uid="{00000000-0005-0000-0000-000077A90000}"/>
    <cellStyle name="强调文字颜色 3 3 2 4 2 2 2" xfId="43384" xr:uid="{00000000-0005-0000-0000-000078A90000}"/>
    <cellStyle name="强调文字颜色 3 3 2 4 3" xfId="43385" xr:uid="{00000000-0005-0000-0000-000079A90000}"/>
    <cellStyle name="强调文字颜色 3 3 2 4 3 2" xfId="43386" xr:uid="{00000000-0005-0000-0000-00007AA90000}"/>
    <cellStyle name="强调文字颜色 3 3 2 5" xfId="43387" xr:uid="{00000000-0005-0000-0000-00007BA90000}"/>
    <cellStyle name="强调文字颜色 3 3 2 6" xfId="43388" xr:uid="{00000000-0005-0000-0000-00007CA90000}"/>
    <cellStyle name="强调文字颜色 3 3 2 7" xfId="43389" xr:uid="{00000000-0005-0000-0000-00007DA90000}"/>
    <cellStyle name="强调文字颜色 3 3 3" xfId="43390" xr:uid="{00000000-0005-0000-0000-00007EA90000}"/>
    <cellStyle name="强调文字颜色 3 3 3 2" xfId="43391" xr:uid="{00000000-0005-0000-0000-00007FA90000}"/>
    <cellStyle name="强调文字颜色 3 3 3 2 2" xfId="43392" xr:uid="{00000000-0005-0000-0000-000080A90000}"/>
    <cellStyle name="强调文字颜色 3 3 3 2 3" xfId="43393" xr:uid="{00000000-0005-0000-0000-000081A90000}"/>
    <cellStyle name="强调文字颜色 3 3 3 2 3 2" xfId="43394" xr:uid="{00000000-0005-0000-0000-000082A90000}"/>
    <cellStyle name="强调文字颜色 3 3 3 2 3 2 2" xfId="43395" xr:uid="{00000000-0005-0000-0000-000083A90000}"/>
    <cellStyle name="强调文字颜色 3 3 3 2 4" xfId="43396" xr:uid="{00000000-0005-0000-0000-000084A90000}"/>
    <cellStyle name="强调文字颜色 3 3 3 2 4 2" xfId="43397" xr:uid="{00000000-0005-0000-0000-000085A90000}"/>
    <cellStyle name="强调文字颜色 3 3 3 3" xfId="43398" xr:uid="{00000000-0005-0000-0000-000086A90000}"/>
    <cellStyle name="强调文字颜色 3 3 3 3 2" xfId="43399" xr:uid="{00000000-0005-0000-0000-000087A90000}"/>
    <cellStyle name="强调文字颜色 3 3 3 3 2 2" xfId="43400" xr:uid="{00000000-0005-0000-0000-000088A90000}"/>
    <cellStyle name="强调文字颜色 3 3 3 3 2 2 2" xfId="43401" xr:uid="{00000000-0005-0000-0000-000089A90000}"/>
    <cellStyle name="强调文字颜色 3 3 3 3 3" xfId="43402" xr:uid="{00000000-0005-0000-0000-00008AA90000}"/>
    <cellStyle name="强调文字颜色 3 3 3 3 3 2" xfId="43403" xr:uid="{00000000-0005-0000-0000-00008BA90000}"/>
    <cellStyle name="强调文字颜色 3 3 3 4" xfId="43404" xr:uid="{00000000-0005-0000-0000-00008CA90000}"/>
    <cellStyle name="强调文字颜色 3 3 3 5" xfId="43405" xr:uid="{00000000-0005-0000-0000-00008DA90000}"/>
    <cellStyle name="强调文字颜色 3 3 3 6" xfId="43406" xr:uid="{00000000-0005-0000-0000-00008EA90000}"/>
    <cellStyle name="强调文字颜色 3 3 4" xfId="43407" xr:uid="{00000000-0005-0000-0000-00008FA90000}"/>
    <cellStyle name="强调文字颜色 3 3 4 2" xfId="43408" xr:uid="{00000000-0005-0000-0000-000090A90000}"/>
    <cellStyle name="强调文字颜色 3 3 4 2 2" xfId="43409" xr:uid="{00000000-0005-0000-0000-000091A90000}"/>
    <cellStyle name="强调文字颜色 3 3 4 2 3" xfId="43410" xr:uid="{00000000-0005-0000-0000-000092A90000}"/>
    <cellStyle name="强调文字颜色 3 3 4 2 3 2" xfId="43411" xr:uid="{00000000-0005-0000-0000-000093A90000}"/>
    <cellStyle name="强调文字颜色 3 3 4 2 3 2 2" xfId="43412" xr:uid="{00000000-0005-0000-0000-000094A90000}"/>
    <cellStyle name="强调文字颜色 3 3 4 2 4" xfId="43413" xr:uid="{00000000-0005-0000-0000-000095A90000}"/>
    <cellStyle name="强调文字颜色 3 3 4 2 4 2" xfId="43414" xr:uid="{00000000-0005-0000-0000-000096A90000}"/>
    <cellStyle name="强调文字颜色 3 3 4 3" xfId="43415" xr:uid="{00000000-0005-0000-0000-000097A90000}"/>
    <cellStyle name="强调文字颜色 3 3 4 4" xfId="43416" xr:uid="{00000000-0005-0000-0000-000098A90000}"/>
    <cellStyle name="强调文字颜色 3 3 4 5" xfId="43417" xr:uid="{00000000-0005-0000-0000-000099A90000}"/>
    <cellStyle name="强调文字颜色 3 3 4 6" xfId="43418" xr:uid="{00000000-0005-0000-0000-00009AA90000}"/>
    <cellStyle name="强调文字颜色 3 3 5" xfId="43419" xr:uid="{00000000-0005-0000-0000-00009BA90000}"/>
    <cellStyle name="强调文字颜色 3 3 5 2" xfId="43420" xr:uid="{00000000-0005-0000-0000-00009CA90000}"/>
    <cellStyle name="强调文字颜色 3 3 5 2 2" xfId="43421" xr:uid="{00000000-0005-0000-0000-00009DA90000}"/>
    <cellStyle name="强调文字颜色 3 3 5 2 2 2" xfId="43422" xr:uid="{00000000-0005-0000-0000-00009EA90000}"/>
    <cellStyle name="强调文字颜色 3 3 5 2 2 2 2" xfId="43423" xr:uid="{00000000-0005-0000-0000-00009FA90000}"/>
    <cellStyle name="强调文字颜色 3 3 5 2 3" xfId="43424" xr:uid="{00000000-0005-0000-0000-0000A0A90000}"/>
    <cellStyle name="强调文字颜色 3 3 5 2 3 2" xfId="43425" xr:uid="{00000000-0005-0000-0000-0000A1A90000}"/>
    <cellStyle name="强调文字颜色 3 3 5 3" xfId="43426" xr:uid="{00000000-0005-0000-0000-0000A2A90000}"/>
    <cellStyle name="强调文字颜色 3 3 5 3 2" xfId="43427" xr:uid="{00000000-0005-0000-0000-0000A3A90000}"/>
    <cellStyle name="强调文字颜色 3 3 5 3 2 2" xfId="43428" xr:uid="{00000000-0005-0000-0000-0000A4A90000}"/>
    <cellStyle name="强调文字颜色 3 3 5 4" xfId="43429" xr:uid="{00000000-0005-0000-0000-0000A5A90000}"/>
    <cellStyle name="强调文字颜色 3 3 5 4 2" xfId="43430" xr:uid="{00000000-0005-0000-0000-0000A6A90000}"/>
    <cellStyle name="强调文字颜色 3 3 6" xfId="43431" xr:uid="{00000000-0005-0000-0000-0000A7A90000}"/>
    <cellStyle name="强调文字颜色 3 3 6 2" xfId="43432" xr:uid="{00000000-0005-0000-0000-0000A8A90000}"/>
    <cellStyle name="强调文字颜色 3 3 6 2 2" xfId="43433" xr:uid="{00000000-0005-0000-0000-0000A9A90000}"/>
    <cellStyle name="强调文字颜色 3 3 6 2 2 2" xfId="43434" xr:uid="{00000000-0005-0000-0000-0000AAA90000}"/>
    <cellStyle name="强调文字颜色 3 3 6 3" xfId="43435" xr:uid="{00000000-0005-0000-0000-0000ABA90000}"/>
    <cellStyle name="强调文字颜色 3 3 6 3 2" xfId="43436" xr:uid="{00000000-0005-0000-0000-0000ACA90000}"/>
    <cellStyle name="强调文字颜色 3 3 7" xfId="43437" xr:uid="{00000000-0005-0000-0000-0000ADA90000}"/>
    <cellStyle name="强调文字颜色 3 3 8" xfId="43438" xr:uid="{00000000-0005-0000-0000-0000AEA90000}"/>
    <cellStyle name="强调文字颜色 4 2" xfId="43439" xr:uid="{00000000-0005-0000-0000-0000AFA90000}"/>
    <cellStyle name="强调文字颜色 4 2 10" xfId="43440" xr:uid="{00000000-0005-0000-0000-0000B0A90000}"/>
    <cellStyle name="强调文字颜色 4 2 11" xfId="43441" xr:uid="{00000000-0005-0000-0000-0000B1A90000}"/>
    <cellStyle name="强调文字颜色 4 2 2" xfId="43442" xr:uid="{00000000-0005-0000-0000-0000B2A90000}"/>
    <cellStyle name="强调文字颜色 4 2 2 10" xfId="43443" xr:uid="{00000000-0005-0000-0000-0000B3A90000}"/>
    <cellStyle name="强调文字颜色 4 2 2 11" xfId="43444" xr:uid="{00000000-0005-0000-0000-0000B4A90000}"/>
    <cellStyle name="强调文字颜色 4 2 2 2" xfId="43445" xr:uid="{00000000-0005-0000-0000-0000B5A90000}"/>
    <cellStyle name="强调文字颜色 4 2 2 2 2" xfId="43446" xr:uid="{00000000-0005-0000-0000-0000B6A90000}"/>
    <cellStyle name="强调文字颜色 4 2 2 2 2 2" xfId="43447" xr:uid="{00000000-0005-0000-0000-0000B7A90000}"/>
    <cellStyle name="强调文字颜色 4 2 2 2 2 2 2" xfId="43448" xr:uid="{00000000-0005-0000-0000-0000B8A90000}"/>
    <cellStyle name="强调文字颜色 4 2 2 2 2 2 3" xfId="43449" xr:uid="{00000000-0005-0000-0000-0000B9A90000}"/>
    <cellStyle name="强调文字颜色 4 2 2 2 2 2 3 2" xfId="43450" xr:uid="{00000000-0005-0000-0000-0000BAA90000}"/>
    <cellStyle name="强调文字颜色 4 2 2 2 2 2 3 2 2" xfId="43451" xr:uid="{00000000-0005-0000-0000-0000BBA90000}"/>
    <cellStyle name="强调文字颜色 4 2 2 2 2 2 4" xfId="43452" xr:uid="{00000000-0005-0000-0000-0000BCA90000}"/>
    <cellStyle name="强调文字颜色 4 2 2 2 2 2 4 2" xfId="43453" xr:uid="{00000000-0005-0000-0000-0000BDA90000}"/>
    <cellStyle name="强调文字颜色 4 2 2 2 2 3" xfId="43454" xr:uid="{00000000-0005-0000-0000-0000BEA90000}"/>
    <cellStyle name="强调文字颜色 4 2 2 2 2 3 2" xfId="43455" xr:uid="{00000000-0005-0000-0000-0000BFA90000}"/>
    <cellStyle name="强调文字颜色 4 2 2 2 2 3 2 2" xfId="43456" xr:uid="{00000000-0005-0000-0000-0000C0A90000}"/>
    <cellStyle name="强调文字颜色 4 2 2 2 2 3 2 2 2" xfId="43457" xr:uid="{00000000-0005-0000-0000-0000C1A90000}"/>
    <cellStyle name="强调文字颜色 4 2 2 2 2 3 3" xfId="43458" xr:uid="{00000000-0005-0000-0000-0000C2A90000}"/>
    <cellStyle name="强调文字颜色 4 2 2 2 2 3 3 2" xfId="43459" xr:uid="{00000000-0005-0000-0000-0000C3A90000}"/>
    <cellStyle name="强调文字颜色 4 2 2 2 2 4" xfId="43460" xr:uid="{00000000-0005-0000-0000-0000C4A90000}"/>
    <cellStyle name="强调文字颜色 4 2 2 2 2 5" xfId="43461" xr:uid="{00000000-0005-0000-0000-0000C5A90000}"/>
    <cellStyle name="强调文字颜色 4 2 2 2 2 6" xfId="43462" xr:uid="{00000000-0005-0000-0000-0000C6A90000}"/>
    <cellStyle name="强调文字颜色 4 2 2 2 3" xfId="43463" xr:uid="{00000000-0005-0000-0000-0000C7A90000}"/>
    <cellStyle name="强调文字颜色 4 2 2 2 3 2" xfId="43464" xr:uid="{00000000-0005-0000-0000-0000C8A90000}"/>
    <cellStyle name="强调文字颜色 4 2 2 2 3 3" xfId="43465" xr:uid="{00000000-0005-0000-0000-0000C9A90000}"/>
    <cellStyle name="强调文字颜色 4 2 2 2 3 3 2" xfId="43466" xr:uid="{00000000-0005-0000-0000-0000CAA90000}"/>
    <cellStyle name="强调文字颜色 4 2 2 2 3 3 2 2" xfId="43467" xr:uid="{00000000-0005-0000-0000-0000CBA90000}"/>
    <cellStyle name="强调文字颜色 4 2 2 2 3 4" xfId="43468" xr:uid="{00000000-0005-0000-0000-0000CCA90000}"/>
    <cellStyle name="强调文字颜色 4 2 2 2 3 4 2" xfId="43469" xr:uid="{00000000-0005-0000-0000-0000CDA90000}"/>
    <cellStyle name="强调文字颜色 4 2 2 2 4" xfId="43470" xr:uid="{00000000-0005-0000-0000-0000CEA90000}"/>
    <cellStyle name="强调文字颜色 4 2 2 2 4 2" xfId="43471" xr:uid="{00000000-0005-0000-0000-0000CFA90000}"/>
    <cellStyle name="强调文字颜色 4 2 2 2 4 2 2" xfId="43472" xr:uid="{00000000-0005-0000-0000-0000D0A90000}"/>
    <cellStyle name="强调文字颜色 4 2 2 2 4 2 2 2" xfId="43473" xr:uid="{00000000-0005-0000-0000-0000D1A90000}"/>
    <cellStyle name="强调文字颜色 4 2 2 2 4 3" xfId="43474" xr:uid="{00000000-0005-0000-0000-0000D2A90000}"/>
    <cellStyle name="强调文字颜色 4 2 2 2 4 3 2" xfId="43475" xr:uid="{00000000-0005-0000-0000-0000D3A90000}"/>
    <cellStyle name="强调文字颜色 4 2 2 2 5" xfId="43476" xr:uid="{00000000-0005-0000-0000-0000D4A90000}"/>
    <cellStyle name="强调文字颜色 4 2 2 2 6" xfId="43477" xr:uid="{00000000-0005-0000-0000-0000D5A90000}"/>
    <cellStyle name="强调文字颜色 4 2 2 2 7" xfId="43478" xr:uid="{00000000-0005-0000-0000-0000D6A90000}"/>
    <cellStyle name="强调文字颜色 4 2 2 3" xfId="43479" xr:uid="{00000000-0005-0000-0000-0000D7A90000}"/>
    <cellStyle name="强调文字颜色 4 2 2 3 2" xfId="43480" xr:uid="{00000000-0005-0000-0000-0000D8A90000}"/>
    <cellStyle name="强调文字颜色 4 2 2 3 2 2" xfId="43481" xr:uid="{00000000-0005-0000-0000-0000D9A90000}"/>
    <cellStyle name="强调文字颜色 4 2 2 3 2 3" xfId="43482" xr:uid="{00000000-0005-0000-0000-0000DAA90000}"/>
    <cellStyle name="强调文字颜色 4 2 2 3 2 3 2" xfId="43483" xr:uid="{00000000-0005-0000-0000-0000DBA90000}"/>
    <cellStyle name="强调文字颜色 4 2 2 3 2 3 2 2" xfId="43484" xr:uid="{00000000-0005-0000-0000-0000DCA90000}"/>
    <cellStyle name="强调文字颜色 4 2 2 3 2 4" xfId="43485" xr:uid="{00000000-0005-0000-0000-0000DDA90000}"/>
    <cellStyle name="强调文字颜色 4 2 2 3 2 4 2" xfId="43486" xr:uid="{00000000-0005-0000-0000-0000DEA90000}"/>
    <cellStyle name="强调文字颜色 4 2 2 3 3" xfId="43487" xr:uid="{00000000-0005-0000-0000-0000DFA90000}"/>
    <cellStyle name="强调文字颜色 4 2 2 3 3 2" xfId="43488" xr:uid="{00000000-0005-0000-0000-0000E0A90000}"/>
    <cellStyle name="强调文字颜色 4 2 2 3 3 2 2" xfId="43489" xr:uid="{00000000-0005-0000-0000-0000E1A90000}"/>
    <cellStyle name="强调文字颜色 4 2 2 3 3 2 2 2" xfId="43490" xr:uid="{00000000-0005-0000-0000-0000E2A90000}"/>
    <cellStyle name="强调文字颜色 4 2 2 3 3 3" xfId="43491" xr:uid="{00000000-0005-0000-0000-0000E3A90000}"/>
    <cellStyle name="强调文字颜色 4 2 2 3 3 3 2" xfId="43492" xr:uid="{00000000-0005-0000-0000-0000E4A90000}"/>
    <cellStyle name="强调文字颜色 4 2 2 3 4" xfId="43493" xr:uid="{00000000-0005-0000-0000-0000E5A90000}"/>
    <cellStyle name="强调文字颜色 4 2 2 3 5" xfId="43494" xr:uid="{00000000-0005-0000-0000-0000E6A90000}"/>
    <cellStyle name="强调文字颜色 4 2 2 3 6" xfId="43495" xr:uid="{00000000-0005-0000-0000-0000E7A90000}"/>
    <cellStyle name="强调文字颜色 4 2 2 4" xfId="43496" xr:uid="{00000000-0005-0000-0000-0000E8A90000}"/>
    <cellStyle name="强调文字颜色 4 2 2 4 2" xfId="43497" xr:uid="{00000000-0005-0000-0000-0000E9A90000}"/>
    <cellStyle name="强调文字颜色 4 2 2 4 2 2" xfId="43498" xr:uid="{00000000-0005-0000-0000-0000EAA90000}"/>
    <cellStyle name="强调文字颜色 4 2 2 4 2 3" xfId="43499" xr:uid="{00000000-0005-0000-0000-0000EBA90000}"/>
    <cellStyle name="强调文字颜色 4 2 2 4 2 3 2" xfId="43500" xr:uid="{00000000-0005-0000-0000-0000ECA90000}"/>
    <cellStyle name="强调文字颜色 4 2 2 4 2 3 2 2" xfId="43501" xr:uid="{00000000-0005-0000-0000-0000EDA90000}"/>
    <cellStyle name="强调文字颜色 4 2 2 4 2 4" xfId="43502" xr:uid="{00000000-0005-0000-0000-0000EEA90000}"/>
    <cellStyle name="强调文字颜色 4 2 2 4 2 4 2" xfId="43503" xr:uid="{00000000-0005-0000-0000-0000EFA90000}"/>
    <cellStyle name="强调文字颜色 4 2 2 4 3" xfId="43504" xr:uid="{00000000-0005-0000-0000-0000F0A90000}"/>
    <cellStyle name="强调文字颜色 4 2 2 4 4" xfId="43505" xr:uid="{00000000-0005-0000-0000-0000F1A90000}"/>
    <cellStyle name="强调文字颜色 4 2 2 4 5" xfId="43506" xr:uid="{00000000-0005-0000-0000-0000F2A90000}"/>
    <cellStyle name="强调文字颜色 4 2 2 4 6" xfId="43507" xr:uid="{00000000-0005-0000-0000-0000F3A90000}"/>
    <cellStyle name="强调文字颜色 4 2 2 5" xfId="43508" xr:uid="{00000000-0005-0000-0000-0000F4A90000}"/>
    <cellStyle name="强调文字颜色 4 2 2 5 2" xfId="43509" xr:uid="{00000000-0005-0000-0000-0000F5A90000}"/>
    <cellStyle name="强调文字颜色 4 2 2 5 2 2" xfId="43510" xr:uid="{00000000-0005-0000-0000-0000F6A90000}"/>
    <cellStyle name="强调文字颜色 4 2 2 5 2 2 2" xfId="43511" xr:uid="{00000000-0005-0000-0000-0000F7A90000}"/>
    <cellStyle name="强调文字颜色 4 2 2 5 2 2 2 2" xfId="43512" xr:uid="{00000000-0005-0000-0000-0000F8A90000}"/>
    <cellStyle name="强调文字颜色 4 2 2 5 2 3" xfId="43513" xr:uid="{00000000-0005-0000-0000-0000F9A90000}"/>
    <cellStyle name="强调文字颜色 4 2 2 5 2 3 2" xfId="43514" xr:uid="{00000000-0005-0000-0000-0000FAA90000}"/>
    <cellStyle name="强调文字颜色 4 2 2 5 3" xfId="43515" xr:uid="{00000000-0005-0000-0000-0000FBA90000}"/>
    <cellStyle name="强调文字颜色 4 2 2 5 3 2" xfId="43516" xr:uid="{00000000-0005-0000-0000-0000FCA90000}"/>
    <cellStyle name="强调文字颜色 4 2 2 5 3 2 2" xfId="43517" xr:uid="{00000000-0005-0000-0000-0000FDA90000}"/>
    <cellStyle name="强调文字颜色 4 2 2 5 4" xfId="43518" xr:uid="{00000000-0005-0000-0000-0000FEA90000}"/>
    <cellStyle name="强调文字颜色 4 2 2 5 4 2" xfId="43519" xr:uid="{00000000-0005-0000-0000-0000FFA90000}"/>
    <cellStyle name="强调文字颜色 4 2 2 6" xfId="43520" xr:uid="{00000000-0005-0000-0000-000000AA0000}"/>
    <cellStyle name="强调文字颜色 4 2 2 6 2" xfId="43521" xr:uid="{00000000-0005-0000-0000-000001AA0000}"/>
    <cellStyle name="强调文字颜色 4 2 2 6 2 2" xfId="43522" xr:uid="{00000000-0005-0000-0000-000002AA0000}"/>
    <cellStyle name="强调文字颜色 4 2 2 6 2 2 2" xfId="43523" xr:uid="{00000000-0005-0000-0000-000003AA0000}"/>
    <cellStyle name="强调文字颜色 4 2 2 6 2 2 2 2" xfId="43524" xr:uid="{00000000-0005-0000-0000-000004AA0000}"/>
    <cellStyle name="强调文字颜色 4 2 2 6 2 3" xfId="43525" xr:uid="{00000000-0005-0000-0000-000005AA0000}"/>
    <cellStyle name="强调文字颜色 4 2 2 6 2 3 2" xfId="43526" xr:uid="{00000000-0005-0000-0000-000006AA0000}"/>
    <cellStyle name="强调文字颜色 4 2 2 6 3" xfId="43527" xr:uid="{00000000-0005-0000-0000-000007AA0000}"/>
    <cellStyle name="强调文字颜色 4 2 2 6 3 2" xfId="43528" xr:uid="{00000000-0005-0000-0000-000008AA0000}"/>
    <cellStyle name="强调文字颜色 4 2 2 6 3 2 2" xfId="43529" xr:uid="{00000000-0005-0000-0000-000009AA0000}"/>
    <cellStyle name="强调文字颜色 4 2 2 6 4" xfId="43530" xr:uid="{00000000-0005-0000-0000-00000AAA0000}"/>
    <cellStyle name="强调文字颜色 4 2 2 6 4 2" xfId="43531" xr:uid="{00000000-0005-0000-0000-00000BAA0000}"/>
    <cellStyle name="强调文字颜色 4 2 2 7" xfId="43532" xr:uid="{00000000-0005-0000-0000-00000CAA0000}"/>
    <cellStyle name="强调文字颜色 4 2 2 7 2" xfId="43533" xr:uid="{00000000-0005-0000-0000-00000DAA0000}"/>
    <cellStyle name="强调文字颜色 4 2 2 7 2 2" xfId="43534" xr:uid="{00000000-0005-0000-0000-00000EAA0000}"/>
    <cellStyle name="强调文字颜色 4 2 2 7 2 2 2" xfId="43535" xr:uid="{00000000-0005-0000-0000-00000FAA0000}"/>
    <cellStyle name="强调文字颜色 4 2 2 7 2 2 2 2" xfId="43536" xr:uid="{00000000-0005-0000-0000-000010AA0000}"/>
    <cellStyle name="强调文字颜色 4 2 2 7 2 3" xfId="43537" xr:uid="{00000000-0005-0000-0000-000011AA0000}"/>
    <cellStyle name="强调文字颜色 4 2 2 7 2 3 2" xfId="43538" xr:uid="{00000000-0005-0000-0000-000012AA0000}"/>
    <cellStyle name="强调文字颜色 4 2 2 7 3" xfId="43539" xr:uid="{00000000-0005-0000-0000-000013AA0000}"/>
    <cellStyle name="强调文字颜色 4 2 2 7 3 2" xfId="43540" xr:uid="{00000000-0005-0000-0000-000014AA0000}"/>
    <cellStyle name="强调文字颜色 4 2 2 7 3 2 2" xfId="43541" xr:uid="{00000000-0005-0000-0000-000015AA0000}"/>
    <cellStyle name="强调文字颜色 4 2 2 7 4" xfId="43542" xr:uid="{00000000-0005-0000-0000-000016AA0000}"/>
    <cellStyle name="强调文字颜色 4 2 2 7 4 2" xfId="43543" xr:uid="{00000000-0005-0000-0000-000017AA0000}"/>
    <cellStyle name="强调文字颜色 4 2 2 8" xfId="43544" xr:uid="{00000000-0005-0000-0000-000018AA0000}"/>
    <cellStyle name="强调文字颜色 4 2 2 8 2" xfId="43545" xr:uid="{00000000-0005-0000-0000-000019AA0000}"/>
    <cellStyle name="强调文字颜色 4 2 2 8 2 2" xfId="43546" xr:uid="{00000000-0005-0000-0000-00001AAA0000}"/>
    <cellStyle name="强调文字颜色 4 2 2 8 2 2 2" xfId="43547" xr:uid="{00000000-0005-0000-0000-00001BAA0000}"/>
    <cellStyle name="强调文字颜色 4 2 2 8 3" xfId="43548" xr:uid="{00000000-0005-0000-0000-00001CAA0000}"/>
    <cellStyle name="强调文字颜色 4 2 2 8 3 2" xfId="43549" xr:uid="{00000000-0005-0000-0000-00001DAA0000}"/>
    <cellStyle name="强调文字颜色 4 2 2 9" xfId="43550" xr:uid="{00000000-0005-0000-0000-00001EAA0000}"/>
    <cellStyle name="强调文字颜色 4 2 2 9 2" xfId="43551" xr:uid="{00000000-0005-0000-0000-00001FAA0000}"/>
    <cellStyle name="强调文字颜色 4 2 2 9 2 2" xfId="43552" xr:uid="{00000000-0005-0000-0000-000020AA0000}"/>
    <cellStyle name="强调文字颜色 4 2 2 9 2 2 2" xfId="43553" xr:uid="{00000000-0005-0000-0000-000021AA0000}"/>
    <cellStyle name="强调文字颜色 4 2 2 9 3" xfId="43554" xr:uid="{00000000-0005-0000-0000-000022AA0000}"/>
    <cellStyle name="强调文字颜色 4 2 2 9 3 2" xfId="43555" xr:uid="{00000000-0005-0000-0000-000023AA0000}"/>
    <cellStyle name="强调文字颜色 4 2 3" xfId="43556" xr:uid="{00000000-0005-0000-0000-000024AA0000}"/>
    <cellStyle name="强调文字颜色 4 2 3 2" xfId="43557" xr:uid="{00000000-0005-0000-0000-000025AA0000}"/>
    <cellStyle name="强调文字颜色 4 2 3 2 2" xfId="43558" xr:uid="{00000000-0005-0000-0000-000026AA0000}"/>
    <cellStyle name="强调文字颜色 4 2 3 2 2 2" xfId="43559" xr:uid="{00000000-0005-0000-0000-000027AA0000}"/>
    <cellStyle name="强调文字颜色 4 2 3 2 2 2 2" xfId="43560" xr:uid="{00000000-0005-0000-0000-000028AA0000}"/>
    <cellStyle name="强调文字颜色 4 2 3 2 2 2 3" xfId="43561" xr:uid="{00000000-0005-0000-0000-000029AA0000}"/>
    <cellStyle name="强调文字颜色 4 2 3 2 2 2 3 2" xfId="43562" xr:uid="{00000000-0005-0000-0000-00002AAA0000}"/>
    <cellStyle name="强调文字颜色 4 2 3 2 2 2 3 2 2" xfId="43563" xr:uid="{00000000-0005-0000-0000-00002BAA0000}"/>
    <cellStyle name="强调文字颜色 4 2 3 2 2 2 4" xfId="43564" xr:uid="{00000000-0005-0000-0000-00002CAA0000}"/>
    <cellStyle name="强调文字颜色 4 2 3 2 2 2 4 2" xfId="43565" xr:uid="{00000000-0005-0000-0000-00002DAA0000}"/>
    <cellStyle name="强调文字颜色 4 2 3 2 2 3" xfId="43566" xr:uid="{00000000-0005-0000-0000-00002EAA0000}"/>
    <cellStyle name="强调文字颜色 4 2 3 2 2 3 2" xfId="43567" xr:uid="{00000000-0005-0000-0000-00002FAA0000}"/>
    <cellStyle name="强调文字颜色 4 2 3 2 2 3 2 2" xfId="43568" xr:uid="{00000000-0005-0000-0000-000030AA0000}"/>
    <cellStyle name="强调文字颜色 4 2 3 2 2 3 2 2 2" xfId="43569" xr:uid="{00000000-0005-0000-0000-000031AA0000}"/>
    <cellStyle name="强调文字颜色 4 2 3 2 2 3 3" xfId="43570" xr:uid="{00000000-0005-0000-0000-000032AA0000}"/>
    <cellStyle name="强调文字颜色 4 2 3 2 2 3 3 2" xfId="43571" xr:uid="{00000000-0005-0000-0000-000033AA0000}"/>
    <cellStyle name="强调文字颜色 4 2 3 2 2 4" xfId="43572" xr:uid="{00000000-0005-0000-0000-000034AA0000}"/>
    <cellStyle name="强调文字颜色 4 2 3 2 2 5" xfId="43573" xr:uid="{00000000-0005-0000-0000-000035AA0000}"/>
    <cellStyle name="强调文字颜色 4 2 3 2 2 6" xfId="43574" xr:uid="{00000000-0005-0000-0000-000036AA0000}"/>
    <cellStyle name="强调文字颜色 4 2 3 2 3" xfId="43575" xr:uid="{00000000-0005-0000-0000-000037AA0000}"/>
    <cellStyle name="强调文字颜色 4 2 3 2 3 2" xfId="43576" xr:uid="{00000000-0005-0000-0000-000038AA0000}"/>
    <cellStyle name="强调文字颜色 4 2 3 2 3 3" xfId="43577" xr:uid="{00000000-0005-0000-0000-000039AA0000}"/>
    <cellStyle name="强调文字颜色 4 2 3 2 3 3 2" xfId="43578" xr:uid="{00000000-0005-0000-0000-00003AAA0000}"/>
    <cellStyle name="强调文字颜色 4 2 3 2 3 3 2 2" xfId="43579" xr:uid="{00000000-0005-0000-0000-00003BAA0000}"/>
    <cellStyle name="强调文字颜色 4 2 3 2 3 4" xfId="43580" xr:uid="{00000000-0005-0000-0000-00003CAA0000}"/>
    <cellStyle name="强调文字颜色 4 2 3 2 3 4 2" xfId="43581" xr:uid="{00000000-0005-0000-0000-00003DAA0000}"/>
    <cellStyle name="强调文字颜色 4 2 3 2 4" xfId="43582" xr:uid="{00000000-0005-0000-0000-00003EAA0000}"/>
    <cellStyle name="强调文字颜色 4 2 3 2 4 2" xfId="43583" xr:uid="{00000000-0005-0000-0000-00003FAA0000}"/>
    <cellStyle name="强调文字颜色 4 2 3 2 4 2 2" xfId="43584" xr:uid="{00000000-0005-0000-0000-000040AA0000}"/>
    <cellStyle name="强调文字颜色 4 2 3 2 4 2 2 2" xfId="43585" xr:uid="{00000000-0005-0000-0000-000041AA0000}"/>
    <cellStyle name="强调文字颜色 4 2 3 2 4 3" xfId="43586" xr:uid="{00000000-0005-0000-0000-000042AA0000}"/>
    <cellStyle name="强调文字颜色 4 2 3 2 4 3 2" xfId="43587" xr:uid="{00000000-0005-0000-0000-000043AA0000}"/>
    <cellStyle name="强调文字颜色 4 2 3 2 5" xfId="43588" xr:uid="{00000000-0005-0000-0000-000044AA0000}"/>
    <cellStyle name="强调文字颜色 4 2 3 2 6" xfId="43589" xr:uid="{00000000-0005-0000-0000-000045AA0000}"/>
    <cellStyle name="强调文字颜色 4 2 3 2 7" xfId="43590" xr:uid="{00000000-0005-0000-0000-000046AA0000}"/>
    <cellStyle name="强调文字颜色 4 2 3 3" xfId="43591" xr:uid="{00000000-0005-0000-0000-000047AA0000}"/>
    <cellStyle name="强调文字颜色 4 2 3 3 2" xfId="43592" xr:uid="{00000000-0005-0000-0000-000048AA0000}"/>
    <cellStyle name="强调文字颜色 4 2 3 3 2 2" xfId="43593" xr:uid="{00000000-0005-0000-0000-000049AA0000}"/>
    <cellStyle name="强调文字颜色 4 2 3 3 2 3" xfId="43594" xr:uid="{00000000-0005-0000-0000-00004AAA0000}"/>
    <cellStyle name="强调文字颜色 4 2 3 3 2 3 2" xfId="43595" xr:uid="{00000000-0005-0000-0000-00004BAA0000}"/>
    <cellStyle name="强调文字颜色 4 2 3 3 2 3 2 2" xfId="43596" xr:uid="{00000000-0005-0000-0000-00004CAA0000}"/>
    <cellStyle name="强调文字颜色 4 2 3 3 2 4" xfId="43597" xr:uid="{00000000-0005-0000-0000-00004DAA0000}"/>
    <cellStyle name="强调文字颜色 4 2 3 3 2 4 2" xfId="43598" xr:uid="{00000000-0005-0000-0000-00004EAA0000}"/>
    <cellStyle name="强调文字颜色 4 2 3 3 3" xfId="43599" xr:uid="{00000000-0005-0000-0000-00004FAA0000}"/>
    <cellStyle name="强调文字颜色 4 2 3 3 3 2" xfId="43600" xr:uid="{00000000-0005-0000-0000-000050AA0000}"/>
    <cellStyle name="强调文字颜色 4 2 3 3 3 2 2" xfId="43601" xr:uid="{00000000-0005-0000-0000-000051AA0000}"/>
    <cellStyle name="强调文字颜色 4 2 3 3 3 2 2 2" xfId="43602" xr:uid="{00000000-0005-0000-0000-000052AA0000}"/>
    <cellStyle name="强调文字颜色 4 2 3 3 3 3" xfId="43603" xr:uid="{00000000-0005-0000-0000-000053AA0000}"/>
    <cellStyle name="强调文字颜色 4 2 3 3 3 3 2" xfId="43604" xr:uid="{00000000-0005-0000-0000-000054AA0000}"/>
    <cellStyle name="强调文字颜色 4 2 3 3 4" xfId="43605" xr:uid="{00000000-0005-0000-0000-000055AA0000}"/>
    <cellStyle name="强调文字颜色 4 2 3 3 5" xfId="43606" xr:uid="{00000000-0005-0000-0000-000056AA0000}"/>
    <cellStyle name="强调文字颜色 4 2 3 3 6" xfId="43607" xr:uid="{00000000-0005-0000-0000-000057AA0000}"/>
    <cellStyle name="强调文字颜色 4 2 3 4" xfId="43608" xr:uid="{00000000-0005-0000-0000-000058AA0000}"/>
    <cellStyle name="强调文字颜色 4 2 3 4 2" xfId="43609" xr:uid="{00000000-0005-0000-0000-000059AA0000}"/>
    <cellStyle name="强调文字颜色 4 2 3 4 2 2" xfId="43610" xr:uid="{00000000-0005-0000-0000-00005AAA0000}"/>
    <cellStyle name="强调文字颜色 4 2 3 4 2 3" xfId="43611" xr:uid="{00000000-0005-0000-0000-00005BAA0000}"/>
    <cellStyle name="强调文字颜色 4 2 3 4 2 3 2" xfId="43612" xr:uid="{00000000-0005-0000-0000-00005CAA0000}"/>
    <cellStyle name="强调文字颜色 4 2 3 4 2 3 2 2" xfId="43613" xr:uid="{00000000-0005-0000-0000-00005DAA0000}"/>
    <cellStyle name="强调文字颜色 4 2 3 4 2 4" xfId="43614" xr:uid="{00000000-0005-0000-0000-00005EAA0000}"/>
    <cellStyle name="强调文字颜色 4 2 3 4 2 4 2" xfId="43615" xr:uid="{00000000-0005-0000-0000-00005FAA0000}"/>
    <cellStyle name="强调文字颜色 4 2 3 4 3" xfId="43616" xr:uid="{00000000-0005-0000-0000-000060AA0000}"/>
    <cellStyle name="强调文字颜色 4 2 3 4 4" xfId="43617" xr:uid="{00000000-0005-0000-0000-000061AA0000}"/>
    <cellStyle name="强调文字颜色 4 2 3 4 5" xfId="43618" xr:uid="{00000000-0005-0000-0000-000062AA0000}"/>
    <cellStyle name="强调文字颜色 4 2 3 4 6" xfId="43619" xr:uid="{00000000-0005-0000-0000-000063AA0000}"/>
    <cellStyle name="强调文字颜色 4 2 3 5" xfId="43620" xr:uid="{00000000-0005-0000-0000-000064AA0000}"/>
    <cellStyle name="强调文字颜色 4 2 3 5 2" xfId="43621" xr:uid="{00000000-0005-0000-0000-000065AA0000}"/>
    <cellStyle name="强调文字颜色 4 2 3 5 2 2" xfId="43622" xr:uid="{00000000-0005-0000-0000-000066AA0000}"/>
    <cellStyle name="强调文字颜色 4 2 3 5 2 2 2" xfId="43623" xr:uid="{00000000-0005-0000-0000-000067AA0000}"/>
    <cellStyle name="强调文字颜色 4 2 3 5 2 2 2 2" xfId="43624" xr:uid="{00000000-0005-0000-0000-000068AA0000}"/>
    <cellStyle name="强调文字颜色 4 2 3 5 2 3" xfId="43625" xr:uid="{00000000-0005-0000-0000-000069AA0000}"/>
    <cellStyle name="强调文字颜色 4 2 3 5 2 3 2" xfId="43626" xr:uid="{00000000-0005-0000-0000-00006AAA0000}"/>
    <cellStyle name="强调文字颜色 4 2 3 5 3" xfId="43627" xr:uid="{00000000-0005-0000-0000-00006BAA0000}"/>
    <cellStyle name="强调文字颜色 4 2 3 5 3 2" xfId="43628" xr:uid="{00000000-0005-0000-0000-00006CAA0000}"/>
    <cellStyle name="强调文字颜色 4 2 3 5 3 2 2" xfId="43629" xr:uid="{00000000-0005-0000-0000-00006DAA0000}"/>
    <cellStyle name="强调文字颜色 4 2 3 5 4" xfId="43630" xr:uid="{00000000-0005-0000-0000-00006EAA0000}"/>
    <cellStyle name="强调文字颜色 4 2 3 5 4 2" xfId="43631" xr:uid="{00000000-0005-0000-0000-00006FAA0000}"/>
    <cellStyle name="强调文字颜色 4 2 3 6" xfId="43632" xr:uid="{00000000-0005-0000-0000-000070AA0000}"/>
    <cellStyle name="强调文字颜色 4 2 3 6 2" xfId="43633" xr:uid="{00000000-0005-0000-0000-000071AA0000}"/>
    <cellStyle name="强调文字颜色 4 2 3 6 2 2" xfId="43634" xr:uid="{00000000-0005-0000-0000-000072AA0000}"/>
    <cellStyle name="强调文字颜色 4 2 3 6 2 2 2" xfId="43635" xr:uid="{00000000-0005-0000-0000-000073AA0000}"/>
    <cellStyle name="强调文字颜色 4 2 3 6 3" xfId="43636" xr:uid="{00000000-0005-0000-0000-000074AA0000}"/>
    <cellStyle name="强调文字颜色 4 2 3 6 3 2" xfId="43637" xr:uid="{00000000-0005-0000-0000-000075AA0000}"/>
    <cellStyle name="强调文字颜色 4 2 3 7" xfId="43638" xr:uid="{00000000-0005-0000-0000-000076AA0000}"/>
    <cellStyle name="强调文字颜色 4 2 3 7 2" xfId="43639" xr:uid="{00000000-0005-0000-0000-000077AA0000}"/>
    <cellStyle name="强调文字颜色 4 2 3 7 2 2" xfId="43640" xr:uid="{00000000-0005-0000-0000-000078AA0000}"/>
    <cellStyle name="强调文字颜色 4 2 3 7 2 2 2" xfId="43641" xr:uid="{00000000-0005-0000-0000-000079AA0000}"/>
    <cellStyle name="强调文字颜色 4 2 3 7 3" xfId="43642" xr:uid="{00000000-0005-0000-0000-00007AAA0000}"/>
    <cellStyle name="强调文字颜色 4 2 3 7 3 2" xfId="43643" xr:uid="{00000000-0005-0000-0000-00007BAA0000}"/>
    <cellStyle name="强调文字颜色 4 2 3 8" xfId="43644" xr:uid="{00000000-0005-0000-0000-00007CAA0000}"/>
    <cellStyle name="强调文字颜色 4 2 3 9" xfId="43645" xr:uid="{00000000-0005-0000-0000-00007DAA0000}"/>
    <cellStyle name="强调文字颜色 4 2 4" xfId="43646" xr:uid="{00000000-0005-0000-0000-00007EAA0000}"/>
    <cellStyle name="强调文字颜色 4 2 4 2" xfId="43647" xr:uid="{00000000-0005-0000-0000-00007FAA0000}"/>
    <cellStyle name="强调文字颜色 4 2 4 2 2" xfId="43648" xr:uid="{00000000-0005-0000-0000-000080AA0000}"/>
    <cellStyle name="强调文字颜色 4 2 4 2 3" xfId="43649" xr:uid="{00000000-0005-0000-0000-000081AA0000}"/>
    <cellStyle name="强调文字颜色 4 2 4 2 3 2" xfId="43650" xr:uid="{00000000-0005-0000-0000-000082AA0000}"/>
    <cellStyle name="强调文字颜色 4 2 4 2 3 2 2" xfId="43651" xr:uid="{00000000-0005-0000-0000-000083AA0000}"/>
    <cellStyle name="强调文字颜色 4 2 4 2 4" xfId="43652" xr:uid="{00000000-0005-0000-0000-000084AA0000}"/>
    <cellStyle name="强调文字颜色 4 2 4 2 4 2" xfId="43653" xr:uid="{00000000-0005-0000-0000-000085AA0000}"/>
    <cellStyle name="强调文字颜色 4 2 4 3" xfId="43654" xr:uid="{00000000-0005-0000-0000-000086AA0000}"/>
    <cellStyle name="强调文字颜色 4 2 4 3 2" xfId="43655" xr:uid="{00000000-0005-0000-0000-000087AA0000}"/>
    <cellStyle name="强调文字颜色 4 2 4 3 2 2" xfId="43656" xr:uid="{00000000-0005-0000-0000-000088AA0000}"/>
    <cellStyle name="强调文字颜色 4 2 4 3 2 2 2" xfId="43657" xr:uid="{00000000-0005-0000-0000-000089AA0000}"/>
    <cellStyle name="强调文字颜色 4 2 4 3 3" xfId="43658" xr:uid="{00000000-0005-0000-0000-00008AAA0000}"/>
    <cellStyle name="强调文字颜色 4 2 4 3 3 2" xfId="43659" xr:uid="{00000000-0005-0000-0000-00008BAA0000}"/>
    <cellStyle name="强调文字颜色 4 2 4 4" xfId="43660" xr:uid="{00000000-0005-0000-0000-00008CAA0000}"/>
    <cellStyle name="强调文字颜色 4 2 4 5" xfId="43661" xr:uid="{00000000-0005-0000-0000-00008DAA0000}"/>
    <cellStyle name="强调文字颜色 4 2 4 6" xfId="43662" xr:uid="{00000000-0005-0000-0000-00008EAA0000}"/>
    <cellStyle name="强调文字颜色 4 2 5" xfId="43663" xr:uid="{00000000-0005-0000-0000-00008FAA0000}"/>
    <cellStyle name="强调文字颜色 4 2 5 2" xfId="43664" xr:uid="{00000000-0005-0000-0000-000090AA0000}"/>
    <cellStyle name="强调文字颜色 4 2 5 2 2" xfId="43665" xr:uid="{00000000-0005-0000-0000-000091AA0000}"/>
    <cellStyle name="强调文字颜色 4 2 5 2 3" xfId="43666" xr:uid="{00000000-0005-0000-0000-000092AA0000}"/>
    <cellStyle name="强调文字颜色 4 2 5 2 3 2" xfId="43667" xr:uid="{00000000-0005-0000-0000-000093AA0000}"/>
    <cellStyle name="强调文字颜色 4 2 5 2 3 2 2" xfId="43668" xr:uid="{00000000-0005-0000-0000-000094AA0000}"/>
    <cellStyle name="强调文字颜色 4 2 5 2 4" xfId="43669" xr:uid="{00000000-0005-0000-0000-000095AA0000}"/>
    <cellStyle name="强调文字颜色 4 2 5 2 4 2" xfId="43670" xr:uid="{00000000-0005-0000-0000-000096AA0000}"/>
    <cellStyle name="强调文字颜色 4 2 5 3" xfId="43671" xr:uid="{00000000-0005-0000-0000-000097AA0000}"/>
    <cellStyle name="强调文字颜色 4 2 5 4" xfId="43672" xr:uid="{00000000-0005-0000-0000-000098AA0000}"/>
    <cellStyle name="强调文字颜色 4 2 5 5" xfId="43673" xr:uid="{00000000-0005-0000-0000-000099AA0000}"/>
    <cellStyle name="强调文字颜色 4 2 5 6" xfId="43674" xr:uid="{00000000-0005-0000-0000-00009AAA0000}"/>
    <cellStyle name="强调文字颜色 4 2 6" xfId="43675" xr:uid="{00000000-0005-0000-0000-00009BAA0000}"/>
    <cellStyle name="强调文字颜色 4 2 6 2" xfId="43676" xr:uid="{00000000-0005-0000-0000-00009CAA0000}"/>
    <cellStyle name="强调文字颜色 4 2 6 2 2" xfId="43677" xr:uid="{00000000-0005-0000-0000-00009DAA0000}"/>
    <cellStyle name="强调文字颜色 4 2 6 2 2 2" xfId="43678" xr:uid="{00000000-0005-0000-0000-00009EAA0000}"/>
    <cellStyle name="强调文字颜色 4 2 6 2 2 2 2" xfId="43679" xr:uid="{00000000-0005-0000-0000-00009FAA0000}"/>
    <cellStyle name="强调文字颜色 4 2 6 2 3" xfId="43680" xr:uid="{00000000-0005-0000-0000-0000A0AA0000}"/>
    <cellStyle name="强调文字颜色 4 2 6 2 3 2" xfId="43681" xr:uid="{00000000-0005-0000-0000-0000A1AA0000}"/>
    <cellStyle name="强调文字颜色 4 2 6 3" xfId="43682" xr:uid="{00000000-0005-0000-0000-0000A2AA0000}"/>
    <cellStyle name="强调文字颜色 4 2 6 3 2" xfId="43683" xr:uid="{00000000-0005-0000-0000-0000A3AA0000}"/>
    <cellStyle name="强调文字颜色 4 2 6 3 2 2" xfId="43684" xr:uid="{00000000-0005-0000-0000-0000A4AA0000}"/>
    <cellStyle name="强调文字颜色 4 2 6 4" xfId="43685" xr:uid="{00000000-0005-0000-0000-0000A5AA0000}"/>
    <cellStyle name="强调文字颜色 4 2 6 4 2" xfId="43686" xr:uid="{00000000-0005-0000-0000-0000A6AA0000}"/>
    <cellStyle name="强调文字颜色 4 2 7" xfId="43687" xr:uid="{00000000-0005-0000-0000-0000A7AA0000}"/>
    <cellStyle name="强调文字颜色 4 2 7 2" xfId="43688" xr:uid="{00000000-0005-0000-0000-0000A8AA0000}"/>
    <cellStyle name="强调文字颜色 4 2 7 2 2" xfId="43689" xr:uid="{00000000-0005-0000-0000-0000A9AA0000}"/>
    <cellStyle name="强调文字颜色 4 2 7 2 2 2" xfId="43690" xr:uid="{00000000-0005-0000-0000-0000AAAA0000}"/>
    <cellStyle name="强调文字颜色 4 2 7 2 2 2 2" xfId="43691" xr:uid="{00000000-0005-0000-0000-0000ABAA0000}"/>
    <cellStyle name="强调文字颜色 4 2 7 2 3" xfId="43692" xr:uid="{00000000-0005-0000-0000-0000ACAA0000}"/>
    <cellStyle name="强调文字颜色 4 2 7 2 3 2" xfId="43693" xr:uid="{00000000-0005-0000-0000-0000ADAA0000}"/>
    <cellStyle name="强调文字颜色 4 2 7 3" xfId="43694" xr:uid="{00000000-0005-0000-0000-0000AEAA0000}"/>
    <cellStyle name="强调文字颜色 4 2 7 3 2" xfId="43695" xr:uid="{00000000-0005-0000-0000-0000AFAA0000}"/>
    <cellStyle name="强调文字颜色 4 2 7 3 2 2" xfId="43696" xr:uid="{00000000-0005-0000-0000-0000B0AA0000}"/>
    <cellStyle name="强调文字颜色 4 2 7 4" xfId="43697" xr:uid="{00000000-0005-0000-0000-0000B1AA0000}"/>
    <cellStyle name="强调文字颜色 4 2 7 4 2" xfId="43698" xr:uid="{00000000-0005-0000-0000-0000B2AA0000}"/>
    <cellStyle name="强调文字颜色 4 2 8" xfId="43699" xr:uid="{00000000-0005-0000-0000-0000B3AA0000}"/>
    <cellStyle name="强调文字颜色 4 2 8 2" xfId="43700" xr:uid="{00000000-0005-0000-0000-0000B4AA0000}"/>
    <cellStyle name="强调文字颜色 4 2 8 2 2" xfId="43701" xr:uid="{00000000-0005-0000-0000-0000B5AA0000}"/>
    <cellStyle name="强调文字颜色 4 2 8 2 2 2" xfId="43702" xr:uid="{00000000-0005-0000-0000-0000B6AA0000}"/>
    <cellStyle name="强调文字颜色 4 2 8 2 2 2 2" xfId="43703" xr:uid="{00000000-0005-0000-0000-0000B7AA0000}"/>
    <cellStyle name="强调文字颜色 4 2 8 2 3" xfId="43704" xr:uid="{00000000-0005-0000-0000-0000B8AA0000}"/>
    <cellStyle name="强调文字颜色 4 2 8 2 3 2" xfId="43705" xr:uid="{00000000-0005-0000-0000-0000B9AA0000}"/>
    <cellStyle name="强调文字颜色 4 2 8 3" xfId="43706" xr:uid="{00000000-0005-0000-0000-0000BAAA0000}"/>
    <cellStyle name="强调文字颜色 4 2 8 3 2" xfId="43707" xr:uid="{00000000-0005-0000-0000-0000BBAA0000}"/>
    <cellStyle name="强调文字颜色 4 2 8 3 2 2" xfId="43708" xr:uid="{00000000-0005-0000-0000-0000BCAA0000}"/>
    <cellStyle name="强调文字颜色 4 2 8 4" xfId="43709" xr:uid="{00000000-0005-0000-0000-0000BDAA0000}"/>
    <cellStyle name="强调文字颜色 4 2 8 4 2" xfId="43710" xr:uid="{00000000-0005-0000-0000-0000BEAA0000}"/>
    <cellStyle name="强调文字颜色 4 2 9" xfId="43711" xr:uid="{00000000-0005-0000-0000-0000BFAA0000}"/>
    <cellStyle name="强调文字颜色 4 2 9 2" xfId="43712" xr:uid="{00000000-0005-0000-0000-0000C0AA0000}"/>
    <cellStyle name="强调文字颜色 4 2 9 2 2" xfId="43713" xr:uid="{00000000-0005-0000-0000-0000C1AA0000}"/>
    <cellStyle name="强调文字颜色 4 2 9 2 2 2" xfId="43714" xr:uid="{00000000-0005-0000-0000-0000C2AA0000}"/>
    <cellStyle name="强调文字颜色 4 2 9 3" xfId="43715" xr:uid="{00000000-0005-0000-0000-0000C3AA0000}"/>
    <cellStyle name="强调文字颜色 4 2 9 3 2" xfId="43716" xr:uid="{00000000-0005-0000-0000-0000C4AA0000}"/>
    <cellStyle name="强调文字颜色 4 3" xfId="43717" xr:uid="{00000000-0005-0000-0000-0000C5AA0000}"/>
    <cellStyle name="强调文字颜色 4 3 2" xfId="43718" xr:uid="{00000000-0005-0000-0000-0000C6AA0000}"/>
    <cellStyle name="强调文字颜色 4 3 2 2" xfId="43719" xr:uid="{00000000-0005-0000-0000-0000C7AA0000}"/>
    <cellStyle name="强调文字颜色 4 3 2 2 2" xfId="43720" xr:uid="{00000000-0005-0000-0000-0000C8AA0000}"/>
    <cellStyle name="强调文字颜色 4 3 2 2 2 2" xfId="43721" xr:uid="{00000000-0005-0000-0000-0000C9AA0000}"/>
    <cellStyle name="强调文字颜色 4 3 2 2 2 3" xfId="43722" xr:uid="{00000000-0005-0000-0000-0000CAAA0000}"/>
    <cellStyle name="强调文字颜色 4 3 2 2 2 3 2" xfId="43723" xr:uid="{00000000-0005-0000-0000-0000CBAA0000}"/>
    <cellStyle name="强调文字颜色 4 3 2 2 2 3 2 2" xfId="43724" xr:uid="{00000000-0005-0000-0000-0000CCAA0000}"/>
    <cellStyle name="强调文字颜色 4 3 2 2 2 4" xfId="43725" xr:uid="{00000000-0005-0000-0000-0000CDAA0000}"/>
    <cellStyle name="强调文字颜色 4 3 2 2 2 4 2" xfId="43726" xr:uid="{00000000-0005-0000-0000-0000CEAA0000}"/>
    <cellStyle name="强调文字颜色 4 3 2 2 3" xfId="43727" xr:uid="{00000000-0005-0000-0000-0000CFAA0000}"/>
    <cellStyle name="强调文字颜色 4 3 2 2 3 2" xfId="43728" xr:uid="{00000000-0005-0000-0000-0000D0AA0000}"/>
    <cellStyle name="强调文字颜色 4 3 2 2 3 2 2" xfId="43729" xr:uid="{00000000-0005-0000-0000-0000D1AA0000}"/>
    <cellStyle name="强调文字颜色 4 3 2 2 3 2 2 2" xfId="43730" xr:uid="{00000000-0005-0000-0000-0000D2AA0000}"/>
    <cellStyle name="强调文字颜色 4 3 2 2 3 3" xfId="43731" xr:uid="{00000000-0005-0000-0000-0000D3AA0000}"/>
    <cellStyle name="强调文字颜色 4 3 2 2 3 3 2" xfId="43732" xr:uid="{00000000-0005-0000-0000-0000D4AA0000}"/>
    <cellStyle name="强调文字颜色 4 3 2 2 4" xfId="43733" xr:uid="{00000000-0005-0000-0000-0000D5AA0000}"/>
    <cellStyle name="强调文字颜色 4 3 2 2 5" xfId="43734" xr:uid="{00000000-0005-0000-0000-0000D6AA0000}"/>
    <cellStyle name="强调文字颜色 4 3 2 2 6" xfId="43735" xr:uid="{00000000-0005-0000-0000-0000D7AA0000}"/>
    <cellStyle name="强调文字颜色 4 3 2 3" xfId="43736" xr:uid="{00000000-0005-0000-0000-0000D8AA0000}"/>
    <cellStyle name="强调文字颜色 4 3 2 3 2" xfId="43737" xr:uid="{00000000-0005-0000-0000-0000D9AA0000}"/>
    <cellStyle name="强调文字颜色 4 3 2 3 3" xfId="43738" xr:uid="{00000000-0005-0000-0000-0000DAAA0000}"/>
    <cellStyle name="强调文字颜色 4 3 2 3 3 2" xfId="43739" xr:uid="{00000000-0005-0000-0000-0000DBAA0000}"/>
    <cellStyle name="强调文字颜色 4 3 2 3 3 2 2" xfId="43740" xr:uid="{00000000-0005-0000-0000-0000DCAA0000}"/>
    <cellStyle name="强调文字颜色 4 3 2 3 4" xfId="43741" xr:uid="{00000000-0005-0000-0000-0000DDAA0000}"/>
    <cellStyle name="强调文字颜色 4 3 2 3 4 2" xfId="43742" xr:uid="{00000000-0005-0000-0000-0000DEAA0000}"/>
    <cellStyle name="强调文字颜色 4 3 2 4" xfId="43743" xr:uid="{00000000-0005-0000-0000-0000DFAA0000}"/>
    <cellStyle name="强调文字颜色 4 3 2 4 2" xfId="43744" xr:uid="{00000000-0005-0000-0000-0000E0AA0000}"/>
    <cellStyle name="强调文字颜色 4 3 2 4 2 2" xfId="43745" xr:uid="{00000000-0005-0000-0000-0000E1AA0000}"/>
    <cellStyle name="强调文字颜色 4 3 2 4 2 2 2" xfId="43746" xr:uid="{00000000-0005-0000-0000-0000E2AA0000}"/>
    <cellStyle name="强调文字颜色 4 3 2 4 3" xfId="43747" xr:uid="{00000000-0005-0000-0000-0000E3AA0000}"/>
    <cellStyle name="强调文字颜色 4 3 2 4 3 2" xfId="43748" xr:uid="{00000000-0005-0000-0000-0000E4AA0000}"/>
    <cellStyle name="强调文字颜色 4 3 2 5" xfId="43749" xr:uid="{00000000-0005-0000-0000-0000E5AA0000}"/>
    <cellStyle name="强调文字颜色 4 3 2 6" xfId="43750" xr:uid="{00000000-0005-0000-0000-0000E6AA0000}"/>
    <cellStyle name="强调文字颜色 4 3 2 7" xfId="43751" xr:uid="{00000000-0005-0000-0000-0000E7AA0000}"/>
    <cellStyle name="强调文字颜色 4 3 3" xfId="43752" xr:uid="{00000000-0005-0000-0000-0000E8AA0000}"/>
    <cellStyle name="强调文字颜色 4 3 3 2" xfId="43753" xr:uid="{00000000-0005-0000-0000-0000E9AA0000}"/>
    <cellStyle name="强调文字颜色 4 3 3 2 2" xfId="43754" xr:uid="{00000000-0005-0000-0000-0000EAAA0000}"/>
    <cellStyle name="强调文字颜色 4 3 3 2 3" xfId="43755" xr:uid="{00000000-0005-0000-0000-0000EBAA0000}"/>
    <cellStyle name="强调文字颜色 4 3 3 2 3 2" xfId="43756" xr:uid="{00000000-0005-0000-0000-0000ECAA0000}"/>
    <cellStyle name="强调文字颜色 4 3 3 2 3 2 2" xfId="43757" xr:uid="{00000000-0005-0000-0000-0000EDAA0000}"/>
    <cellStyle name="强调文字颜色 4 3 3 2 4" xfId="43758" xr:uid="{00000000-0005-0000-0000-0000EEAA0000}"/>
    <cellStyle name="强调文字颜色 4 3 3 2 4 2" xfId="43759" xr:uid="{00000000-0005-0000-0000-0000EFAA0000}"/>
    <cellStyle name="强调文字颜色 4 3 3 3" xfId="43760" xr:uid="{00000000-0005-0000-0000-0000F0AA0000}"/>
    <cellStyle name="强调文字颜色 4 3 3 3 2" xfId="43761" xr:uid="{00000000-0005-0000-0000-0000F1AA0000}"/>
    <cellStyle name="强调文字颜色 4 3 3 3 2 2" xfId="43762" xr:uid="{00000000-0005-0000-0000-0000F2AA0000}"/>
    <cellStyle name="强调文字颜色 4 3 3 3 2 2 2" xfId="43763" xr:uid="{00000000-0005-0000-0000-0000F3AA0000}"/>
    <cellStyle name="强调文字颜色 4 3 3 3 3" xfId="43764" xr:uid="{00000000-0005-0000-0000-0000F4AA0000}"/>
    <cellStyle name="强调文字颜色 4 3 3 3 3 2" xfId="43765" xr:uid="{00000000-0005-0000-0000-0000F5AA0000}"/>
    <cellStyle name="强调文字颜色 4 3 3 4" xfId="43766" xr:uid="{00000000-0005-0000-0000-0000F6AA0000}"/>
    <cellStyle name="强调文字颜色 4 3 3 5" xfId="43767" xr:uid="{00000000-0005-0000-0000-0000F7AA0000}"/>
    <cellStyle name="强调文字颜色 4 3 3 6" xfId="43768" xr:uid="{00000000-0005-0000-0000-0000F8AA0000}"/>
    <cellStyle name="强调文字颜色 4 3 4" xfId="43769" xr:uid="{00000000-0005-0000-0000-0000F9AA0000}"/>
    <cellStyle name="强调文字颜色 4 3 4 2" xfId="43770" xr:uid="{00000000-0005-0000-0000-0000FAAA0000}"/>
    <cellStyle name="强调文字颜色 4 3 4 2 2" xfId="43771" xr:uid="{00000000-0005-0000-0000-0000FBAA0000}"/>
    <cellStyle name="强调文字颜色 4 3 4 2 3" xfId="43772" xr:uid="{00000000-0005-0000-0000-0000FCAA0000}"/>
    <cellStyle name="强调文字颜色 4 3 4 2 3 2" xfId="43773" xr:uid="{00000000-0005-0000-0000-0000FDAA0000}"/>
    <cellStyle name="强调文字颜色 4 3 4 2 3 2 2" xfId="43774" xr:uid="{00000000-0005-0000-0000-0000FEAA0000}"/>
    <cellStyle name="强调文字颜色 4 3 4 2 4" xfId="43775" xr:uid="{00000000-0005-0000-0000-0000FFAA0000}"/>
    <cellStyle name="强调文字颜色 4 3 4 2 4 2" xfId="43776" xr:uid="{00000000-0005-0000-0000-000000AB0000}"/>
    <cellStyle name="强调文字颜色 4 3 4 3" xfId="43777" xr:uid="{00000000-0005-0000-0000-000001AB0000}"/>
    <cellStyle name="强调文字颜色 4 3 4 4" xfId="43778" xr:uid="{00000000-0005-0000-0000-000002AB0000}"/>
    <cellStyle name="强调文字颜色 4 3 4 5" xfId="43779" xr:uid="{00000000-0005-0000-0000-000003AB0000}"/>
    <cellStyle name="强调文字颜色 4 3 4 6" xfId="43780" xr:uid="{00000000-0005-0000-0000-000004AB0000}"/>
    <cellStyle name="强调文字颜色 4 3 5" xfId="43781" xr:uid="{00000000-0005-0000-0000-000005AB0000}"/>
    <cellStyle name="强调文字颜色 4 3 5 2" xfId="43782" xr:uid="{00000000-0005-0000-0000-000006AB0000}"/>
    <cellStyle name="强调文字颜色 4 3 5 2 2" xfId="43783" xr:uid="{00000000-0005-0000-0000-000007AB0000}"/>
    <cellStyle name="强调文字颜色 4 3 5 2 2 2" xfId="43784" xr:uid="{00000000-0005-0000-0000-000008AB0000}"/>
    <cellStyle name="强调文字颜色 4 3 5 2 2 2 2" xfId="43785" xr:uid="{00000000-0005-0000-0000-000009AB0000}"/>
    <cellStyle name="强调文字颜色 4 3 5 2 3" xfId="43786" xr:uid="{00000000-0005-0000-0000-00000AAB0000}"/>
    <cellStyle name="强调文字颜色 4 3 5 2 3 2" xfId="43787" xr:uid="{00000000-0005-0000-0000-00000BAB0000}"/>
    <cellStyle name="强调文字颜色 4 3 5 3" xfId="43788" xr:uid="{00000000-0005-0000-0000-00000CAB0000}"/>
    <cellStyle name="强调文字颜色 4 3 5 3 2" xfId="43789" xr:uid="{00000000-0005-0000-0000-00000DAB0000}"/>
    <cellStyle name="强调文字颜色 4 3 5 3 2 2" xfId="43790" xr:uid="{00000000-0005-0000-0000-00000EAB0000}"/>
    <cellStyle name="强调文字颜色 4 3 5 4" xfId="43791" xr:uid="{00000000-0005-0000-0000-00000FAB0000}"/>
    <cellStyle name="强调文字颜色 4 3 5 4 2" xfId="43792" xr:uid="{00000000-0005-0000-0000-000010AB0000}"/>
    <cellStyle name="强调文字颜色 4 3 6" xfId="43793" xr:uid="{00000000-0005-0000-0000-000011AB0000}"/>
    <cellStyle name="强调文字颜色 4 3 6 2" xfId="43794" xr:uid="{00000000-0005-0000-0000-000012AB0000}"/>
    <cellStyle name="强调文字颜色 4 3 6 2 2" xfId="43795" xr:uid="{00000000-0005-0000-0000-000013AB0000}"/>
    <cellStyle name="强调文字颜色 4 3 6 2 2 2" xfId="43796" xr:uid="{00000000-0005-0000-0000-000014AB0000}"/>
    <cellStyle name="强调文字颜色 4 3 6 3" xfId="43797" xr:uid="{00000000-0005-0000-0000-000015AB0000}"/>
    <cellStyle name="强调文字颜色 4 3 6 3 2" xfId="43798" xr:uid="{00000000-0005-0000-0000-000016AB0000}"/>
    <cellStyle name="强调文字颜色 4 3 7" xfId="43799" xr:uid="{00000000-0005-0000-0000-000017AB0000}"/>
    <cellStyle name="强调文字颜色 4 3 8" xfId="43800" xr:uid="{00000000-0005-0000-0000-000018AB0000}"/>
    <cellStyle name="强调文字颜色 5 2" xfId="43801" xr:uid="{00000000-0005-0000-0000-000019AB0000}"/>
    <cellStyle name="强调文字颜色 5 2 10" xfId="43802" xr:uid="{00000000-0005-0000-0000-00001AAB0000}"/>
    <cellStyle name="强调文字颜色 5 2 11" xfId="43803" xr:uid="{00000000-0005-0000-0000-00001BAB0000}"/>
    <cellStyle name="强调文字颜色 5 2 2" xfId="43804" xr:uid="{00000000-0005-0000-0000-00001CAB0000}"/>
    <cellStyle name="强调文字颜色 5 2 2 10" xfId="43805" xr:uid="{00000000-0005-0000-0000-00001DAB0000}"/>
    <cellStyle name="强调文字颜色 5 2 2 11" xfId="43806" xr:uid="{00000000-0005-0000-0000-00001EAB0000}"/>
    <cellStyle name="强调文字颜色 5 2 2 2" xfId="43807" xr:uid="{00000000-0005-0000-0000-00001FAB0000}"/>
    <cellStyle name="强调文字颜色 5 2 2 2 2" xfId="43808" xr:uid="{00000000-0005-0000-0000-000020AB0000}"/>
    <cellStyle name="强调文字颜色 5 2 2 2 2 2" xfId="43809" xr:uid="{00000000-0005-0000-0000-000021AB0000}"/>
    <cellStyle name="强调文字颜色 5 2 2 2 2 2 2" xfId="43810" xr:uid="{00000000-0005-0000-0000-000022AB0000}"/>
    <cellStyle name="强调文字颜色 5 2 2 2 2 2 3" xfId="43811" xr:uid="{00000000-0005-0000-0000-000023AB0000}"/>
    <cellStyle name="强调文字颜色 5 2 2 2 2 2 3 2" xfId="43812" xr:uid="{00000000-0005-0000-0000-000024AB0000}"/>
    <cellStyle name="强调文字颜色 5 2 2 2 2 2 3 2 2" xfId="43813" xr:uid="{00000000-0005-0000-0000-000025AB0000}"/>
    <cellStyle name="强调文字颜色 5 2 2 2 2 2 4" xfId="43814" xr:uid="{00000000-0005-0000-0000-000026AB0000}"/>
    <cellStyle name="强调文字颜色 5 2 2 2 2 2 4 2" xfId="43815" xr:uid="{00000000-0005-0000-0000-000027AB0000}"/>
    <cellStyle name="强调文字颜色 5 2 2 2 2 3" xfId="43816" xr:uid="{00000000-0005-0000-0000-000028AB0000}"/>
    <cellStyle name="强调文字颜色 5 2 2 2 2 3 2" xfId="43817" xr:uid="{00000000-0005-0000-0000-000029AB0000}"/>
    <cellStyle name="强调文字颜色 5 2 2 2 2 3 2 2" xfId="43818" xr:uid="{00000000-0005-0000-0000-00002AAB0000}"/>
    <cellStyle name="强调文字颜色 5 2 2 2 2 3 2 2 2" xfId="43819" xr:uid="{00000000-0005-0000-0000-00002BAB0000}"/>
    <cellStyle name="强调文字颜色 5 2 2 2 2 3 3" xfId="43820" xr:uid="{00000000-0005-0000-0000-00002CAB0000}"/>
    <cellStyle name="强调文字颜色 5 2 2 2 2 3 3 2" xfId="43821" xr:uid="{00000000-0005-0000-0000-00002DAB0000}"/>
    <cellStyle name="强调文字颜色 5 2 2 2 2 4" xfId="43822" xr:uid="{00000000-0005-0000-0000-00002EAB0000}"/>
    <cellStyle name="强调文字颜色 5 2 2 2 2 5" xfId="43823" xr:uid="{00000000-0005-0000-0000-00002FAB0000}"/>
    <cellStyle name="强调文字颜色 5 2 2 2 2 6" xfId="43824" xr:uid="{00000000-0005-0000-0000-000030AB0000}"/>
    <cellStyle name="强调文字颜色 5 2 2 2 3" xfId="43825" xr:uid="{00000000-0005-0000-0000-000031AB0000}"/>
    <cellStyle name="强调文字颜色 5 2 2 2 3 2" xfId="43826" xr:uid="{00000000-0005-0000-0000-000032AB0000}"/>
    <cellStyle name="强调文字颜色 5 2 2 2 3 3" xfId="43827" xr:uid="{00000000-0005-0000-0000-000033AB0000}"/>
    <cellStyle name="强调文字颜色 5 2 2 2 3 3 2" xfId="43828" xr:uid="{00000000-0005-0000-0000-000034AB0000}"/>
    <cellStyle name="强调文字颜色 5 2 2 2 3 3 2 2" xfId="43829" xr:uid="{00000000-0005-0000-0000-000035AB0000}"/>
    <cellStyle name="强调文字颜色 5 2 2 2 3 4" xfId="43830" xr:uid="{00000000-0005-0000-0000-000036AB0000}"/>
    <cellStyle name="强调文字颜色 5 2 2 2 3 4 2" xfId="43831" xr:uid="{00000000-0005-0000-0000-000037AB0000}"/>
    <cellStyle name="强调文字颜色 5 2 2 2 4" xfId="43832" xr:uid="{00000000-0005-0000-0000-000038AB0000}"/>
    <cellStyle name="强调文字颜色 5 2 2 2 4 2" xfId="43833" xr:uid="{00000000-0005-0000-0000-000039AB0000}"/>
    <cellStyle name="强调文字颜色 5 2 2 2 4 2 2" xfId="43834" xr:uid="{00000000-0005-0000-0000-00003AAB0000}"/>
    <cellStyle name="强调文字颜色 5 2 2 2 4 2 2 2" xfId="43835" xr:uid="{00000000-0005-0000-0000-00003BAB0000}"/>
    <cellStyle name="强调文字颜色 5 2 2 2 4 3" xfId="43836" xr:uid="{00000000-0005-0000-0000-00003CAB0000}"/>
    <cellStyle name="强调文字颜色 5 2 2 2 4 3 2" xfId="43837" xr:uid="{00000000-0005-0000-0000-00003DAB0000}"/>
    <cellStyle name="强调文字颜色 5 2 2 2 5" xfId="43838" xr:uid="{00000000-0005-0000-0000-00003EAB0000}"/>
    <cellStyle name="强调文字颜色 5 2 2 2 6" xfId="43839" xr:uid="{00000000-0005-0000-0000-00003FAB0000}"/>
    <cellStyle name="强调文字颜色 5 2 2 2 7" xfId="43840" xr:uid="{00000000-0005-0000-0000-000040AB0000}"/>
    <cellStyle name="强调文字颜色 5 2 2 3" xfId="43841" xr:uid="{00000000-0005-0000-0000-000041AB0000}"/>
    <cellStyle name="强调文字颜色 5 2 2 3 2" xfId="43842" xr:uid="{00000000-0005-0000-0000-000042AB0000}"/>
    <cellStyle name="强调文字颜色 5 2 2 3 2 2" xfId="43843" xr:uid="{00000000-0005-0000-0000-000043AB0000}"/>
    <cellStyle name="强调文字颜色 5 2 2 3 2 3" xfId="43844" xr:uid="{00000000-0005-0000-0000-000044AB0000}"/>
    <cellStyle name="强调文字颜色 5 2 2 3 2 3 2" xfId="43845" xr:uid="{00000000-0005-0000-0000-000045AB0000}"/>
    <cellStyle name="强调文字颜色 5 2 2 3 2 3 2 2" xfId="43846" xr:uid="{00000000-0005-0000-0000-000046AB0000}"/>
    <cellStyle name="强调文字颜色 5 2 2 3 2 4" xfId="43847" xr:uid="{00000000-0005-0000-0000-000047AB0000}"/>
    <cellStyle name="强调文字颜色 5 2 2 3 2 4 2" xfId="43848" xr:uid="{00000000-0005-0000-0000-000048AB0000}"/>
    <cellStyle name="强调文字颜色 5 2 2 3 3" xfId="43849" xr:uid="{00000000-0005-0000-0000-000049AB0000}"/>
    <cellStyle name="强调文字颜色 5 2 2 3 3 2" xfId="43850" xr:uid="{00000000-0005-0000-0000-00004AAB0000}"/>
    <cellStyle name="强调文字颜色 5 2 2 3 3 2 2" xfId="43851" xr:uid="{00000000-0005-0000-0000-00004BAB0000}"/>
    <cellStyle name="强调文字颜色 5 2 2 3 3 2 2 2" xfId="43852" xr:uid="{00000000-0005-0000-0000-00004CAB0000}"/>
    <cellStyle name="强调文字颜色 5 2 2 3 3 3" xfId="43853" xr:uid="{00000000-0005-0000-0000-00004DAB0000}"/>
    <cellStyle name="强调文字颜色 5 2 2 3 3 3 2" xfId="43854" xr:uid="{00000000-0005-0000-0000-00004EAB0000}"/>
    <cellStyle name="强调文字颜色 5 2 2 3 4" xfId="43855" xr:uid="{00000000-0005-0000-0000-00004FAB0000}"/>
    <cellStyle name="强调文字颜色 5 2 2 3 5" xfId="43856" xr:uid="{00000000-0005-0000-0000-000050AB0000}"/>
    <cellStyle name="强调文字颜色 5 2 2 3 6" xfId="43857" xr:uid="{00000000-0005-0000-0000-000051AB0000}"/>
    <cellStyle name="强调文字颜色 5 2 2 4" xfId="43858" xr:uid="{00000000-0005-0000-0000-000052AB0000}"/>
    <cellStyle name="强调文字颜色 5 2 2 4 2" xfId="43859" xr:uid="{00000000-0005-0000-0000-000053AB0000}"/>
    <cellStyle name="强调文字颜色 5 2 2 4 2 2" xfId="43860" xr:uid="{00000000-0005-0000-0000-000054AB0000}"/>
    <cellStyle name="强调文字颜色 5 2 2 4 2 3" xfId="43861" xr:uid="{00000000-0005-0000-0000-000055AB0000}"/>
    <cellStyle name="强调文字颜色 5 2 2 4 2 3 2" xfId="43862" xr:uid="{00000000-0005-0000-0000-000056AB0000}"/>
    <cellStyle name="强调文字颜色 5 2 2 4 2 3 2 2" xfId="43863" xr:uid="{00000000-0005-0000-0000-000057AB0000}"/>
    <cellStyle name="强调文字颜色 5 2 2 4 2 4" xfId="43864" xr:uid="{00000000-0005-0000-0000-000058AB0000}"/>
    <cellStyle name="强调文字颜色 5 2 2 4 2 4 2" xfId="43865" xr:uid="{00000000-0005-0000-0000-000059AB0000}"/>
    <cellStyle name="强调文字颜色 5 2 2 4 3" xfId="43866" xr:uid="{00000000-0005-0000-0000-00005AAB0000}"/>
    <cellStyle name="强调文字颜色 5 2 2 4 4" xfId="43867" xr:uid="{00000000-0005-0000-0000-00005BAB0000}"/>
    <cellStyle name="强调文字颜色 5 2 2 4 5" xfId="43868" xr:uid="{00000000-0005-0000-0000-00005CAB0000}"/>
    <cellStyle name="强调文字颜色 5 2 2 4 6" xfId="43869" xr:uid="{00000000-0005-0000-0000-00005DAB0000}"/>
    <cellStyle name="强调文字颜色 5 2 2 5" xfId="43870" xr:uid="{00000000-0005-0000-0000-00005EAB0000}"/>
    <cellStyle name="强调文字颜色 5 2 2 5 2" xfId="43871" xr:uid="{00000000-0005-0000-0000-00005FAB0000}"/>
    <cellStyle name="强调文字颜色 5 2 2 5 2 2" xfId="43872" xr:uid="{00000000-0005-0000-0000-000060AB0000}"/>
    <cellStyle name="强调文字颜色 5 2 2 5 2 2 2" xfId="43873" xr:uid="{00000000-0005-0000-0000-000061AB0000}"/>
    <cellStyle name="强调文字颜色 5 2 2 5 2 2 2 2" xfId="43874" xr:uid="{00000000-0005-0000-0000-000062AB0000}"/>
    <cellStyle name="强调文字颜色 5 2 2 5 2 3" xfId="43875" xr:uid="{00000000-0005-0000-0000-000063AB0000}"/>
    <cellStyle name="强调文字颜色 5 2 2 5 2 3 2" xfId="43876" xr:uid="{00000000-0005-0000-0000-000064AB0000}"/>
    <cellStyle name="强调文字颜色 5 2 2 5 3" xfId="43877" xr:uid="{00000000-0005-0000-0000-000065AB0000}"/>
    <cellStyle name="强调文字颜色 5 2 2 5 3 2" xfId="43878" xr:uid="{00000000-0005-0000-0000-000066AB0000}"/>
    <cellStyle name="强调文字颜色 5 2 2 5 3 2 2" xfId="43879" xr:uid="{00000000-0005-0000-0000-000067AB0000}"/>
    <cellStyle name="强调文字颜色 5 2 2 5 4" xfId="43880" xr:uid="{00000000-0005-0000-0000-000068AB0000}"/>
    <cellStyle name="强调文字颜色 5 2 2 5 4 2" xfId="43881" xr:uid="{00000000-0005-0000-0000-000069AB0000}"/>
    <cellStyle name="强调文字颜色 5 2 2 6" xfId="43882" xr:uid="{00000000-0005-0000-0000-00006AAB0000}"/>
    <cellStyle name="强调文字颜色 5 2 2 6 2" xfId="43883" xr:uid="{00000000-0005-0000-0000-00006BAB0000}"/>
    <cellStyle name="强调文字颜色 5 2 2 6 2 2" xfId="43884" xr:uid="{00000000-0005-0000-0000-00006CAB0000}"/>
    <cellStyle name="强调文字颜色 5 2 2 6 2 2 2" xfId="43885" xr:uid="{00000000-0005-0000-0000-00006DAB0000}"/>
    <cellStyle name="强调文字颜色 5 2 2 6 2 2 2 2" xfId="43886" xr:uid="{00000000-0005-0000-0000-00006EAB0000}"/>
    <cellStyle name="强调文字颜色 5 2 2 6 2 3" xfId="43887" xr:uid="{00000000-0005-0000-0000-00006FAB0000}"/>
    <cellStyle name="强调文字颜色 5 2 2 6 2 3 2" xfId="43888" xr:uid="{00000000-0005-0000-0000-000070AB0000}"/>
    <cellStyle name="强调文字颜色 5 2 2 6 3" xfId="43889" xr:uid="{00000000-0005-0000-0000-000071AB0000}"/>
    <cellStyle name="强调文字颜色 5 2 2 6 3 2" xfId="43890" xr:uid="{00000000-0005-0000-0000-000072AB0000}"/>
    <cellStyle name="强调文字颜色 5 2 2 6 3 2 2" xfId="43891" xr:uid="{00000000-0005-0000-0000-000073AB0000}"/>
    <cellStyle name="强调文字颜色 5 2 2 6 4" xfId="43892" xr:uid="{00000000-0005-0000-0000-000074AB0000}"/>
    <cellStyle name="强调文字颜色 5 2 2 6 4 2" xfId="43893" xr:uid="{00000000-0005-0000-0000-000075AB0000}"/>
    <cellStyle name="强调文字颜色 5 2 2 7" xfId="43894" xr:uid="{00000000-0005-0000-0000-000076AB0000}"/>
    <cellStyle name="强调文字颜色 5 2 2 7 2" xfId="43895" xr:uid="{00000000-0005-0000-0000-000077AB0000}"/>
    <cellStyle name="强调文字颜色 5 2 2 7 2 2" xfId="43896" xr:uid="{00000000-0005-0000-0000-000078AB0000}"/>
    <cellStyle name="强调文字颜色 5 2 2 7 2 2 2" xfId="43897" xr:uid="{00000000-0005-0000-0000-000079AB0000}"/>
    <cellStyle name="强调文字颜色 5 2 2 7 2 2 2 2" xfId="43898" xr:uid="{00000000-0005-0000-0000-00007AAB0000}"/>
    <cellStyle name="强调文字颜色 5 2 2 7 2 3" xfId="43899" xr:uid="{00000000-0005-0000-0000-00007BAB0000}"/>
    <cellStyle name="强调文字颜色 5 2 2 7 2 3 2" xfId="43900" xr:uid="{00000000-0005-0000-0000-00007CAB0000}"/>
    <cellStyle name="强调文字颜色 5 2 2 7 3" xfId="43901" xr:uid="{00000000-0005-0000-0000-00007DAB0000}"/>
    <cellStyle name="强调文字颜色 5 2 2 7 3 2" xfId="43902" xr:uid="{00000000-0005-0000-0000-00007EAB0000}"/>
    <cellStyle name="强调文字颜色 5 2 2 7 3 2 2" xfId="43903" xr:uid="{00000000-0005-0000-0000-00007FAB0000}"/>
    <cellStyle name="强调文字颜色 5 2 2 7 4" xfId="43904" xr:uid="{00000000-0005-0000-0000-000080AB0000}"/>
    <cellStyle name="强调文字颜色 5 2 2 7 4 2" xfId="43905" xr:uid="{00000000-0005-0000-0000-000081AB0000}"/>
    <cellStyle name="强调文字颜色 5 2 2 8" xfId="43906" xr:uid="{00000000-0005-0000-0000-000082AB0000}"/>
    <cellStyle name="强调文字颜色 5 2 2 8 2" xfId="43907" xr:uid="{00000000-0005-0000-0000-000083AB0000}"/>
    <cellStyle name="强调文字颜色 5 2 2 8 2 2" xfId="43908" xr:uid="{00000000-0005-0000-0000-000084AB0000}"/>
    <cellStyle name="强调文字颜色 5 2 2 8 2 2 2" xfId="43909" xr:uid="{00000000-0005-0000-0000-000085AB0000}"/>
    <cellStyle name="强调文字颜色 5 2 2 8 3" xfId="43910" xr:uid="{00000000-0005-0000-0000-000086AB0000}"/>
    <cellStyle name="强调文字颜色 5 2 2 8 3 2" xfId="43911" xr:uid="{00000000-0005-0000-0000-000087AB0000}"/>
    <cellStyle name="强调文字颜色 5 2 2 9" xfId="43912" xr:uid="{00000000-0005-0000-0000-000088AB0000}"/>
    <cellStyle name="强调文字颜色 5 2 2 9 2" xfId="43913" xr:uid="{00000000-0005-0000-0000-000089AB0000}"/>
    <cellStyle name="强调文字颜色 5 2 2 9 2 2" xfId="43914" xr:uid="{00000000-0005-0000-0000-00008AAB0000}"/>
    <cellStyle name="强调文字颜色 5 2 2 9 2 2 2" xfId="43915" xr:uid="{00000000-0005-0000-0000-00008BAB0000}"/>
    <cellStyle name="强调文字颜色 5 2 2 9 3" xfId="43916" xr:uid="{00000000-0005-0000-0000-00008CAB0000}"/>
    <cellStyle name="强调文字颜色 5 2 2 9 3 2" xfId="43917" xr:uid="{00000000-0005-0000-0000-00008DAB0000}"/>
    <cellStyle name="强调文字颜色 5 2 3" xfId="43918" xr:uid="{00000000-0005-0000-0000-00008EAB0000}"/>
    <cellStyle name="强调文字颜色 5 2 3 2" xfId="43919" xr:uid="{00000000-0005-0000-0000-00008FAB0000}"/>
    <cellStyle name="强调文字颜色 5 2 3 2 2" xfId="43920" xr:uid="{00000000-0005-0000-0000-000090AB0000}"/>
    <cellStyle name="强调文字颜色 5 2 3 2 2 2" xfId="43921" xr:uid="{00000000-0005-0000-0000-000091AB0000}"/>
    <cellStyle name="强调文字颜色 5 2 3 2 2 2 2" xfId="43922" xr:uid="{00000000-0005-0000-0000-000092AB0000}"/>
    <cellStyle name="强调文字颜色 5 2 3 2 2 2 3" xfId="43923" xr:uid="{00000000-0005-0000-0000-000093AB0000}"/>
    <cellStyle name="强调文字颜色 5 2 3 2 2 2 3 2" xfId="43924" xr:uid="{00000000-0005-0000-0000-000094AB0000}"/>
    <cellStyle name="强调文字颜色 5 2 3 2 2 2 3 2 2" xfId="43925" xr:uid="{00000000-0005-0000-0000-000095AB0000}"/>
    <cellStyle name="强调文字颜色 5 2 3 2 2 2 4" xfId="43926" xr:uid="{00000000-0005-0000-0000-000096AB0000}"/>
    <cellStyle name="强调文字颜色 5 2 3 2 2 2 4 2" xfId="43927" xr:uid="{00000000-0005-0000-0000-000097AB0000}"/>
    <cellStyle name="强调文字颜色 5 2 3 2 2 3" xfId="43928" xr:uid="{00000000-0005-0000-0000-000098AB0000}"/>
    <cellStyle name="强调文字颜色 5 2 3 2 2 3 2" xfId="43929" xr:uid="{00000000-0005-0000-0000-000099AB0000}"/>
    <cellStyle name="强调文字颜色 5 2 3 2 2 3 2 2" xfId="43930" xr:uid="{00000000-0005-0000-0000-00009AAB0000}"/>
    <cellStyle name="强调文字颜色 5 2 3 2 2 3 2 2 2" xfId="43931" xr:uid="{00000000-0005-0000-0000-00009BAB0000}"/>
    <cellStyle name="强调文字颜色 5 2 3 2 2 3 3" xfId="43932" xr:uid="{00000000-0005-0000-0000-00009CAB0000}"/>
    <cellStyle name="强调文字颜色 5 2 3 2 2 3 3 2" xfId="43933" xr:uid="{00000000-0005-0000-0000-00009DAB0000}"/>
    <cellStyle name="强调文字颜色 5 2 3 2 2 4" xfId="43934" xr:uid="{00000000-0005-0000-0000-00009EAB0000}"/>
    <cellStyle name="强调文字颜色 5 2 3 2 2 5" xfId="43935" xr:uid="{00000000-0005-0000-0000-00009FAB0000}"/>
    <cellStyle name="强调文字颜色 5 2 3 2 2 6" xfId="43936" xr:uid="{00000000-0005-0000-0000-0000A0AB0000}"/>
    <cellStyle name="强调文字颜色 5 2 3 2 3" xfId="43937" xr:uid="{00000000-0005-0000-0000-0000A1AB0000}"/>
    <cellStyle name="强调文字颜色 5 2 3 2 3 2" xfId="43938" xr:uid="{00000000-0005-0000-0000-0000A2AB0000}"/>
    <cellStyle name="强调文字颜色 5 2 3 2 3 3" xfId="43939" xr:uid="{00000000-0005-0000-0000-0000A3AB0000}"/>
    <cellStyle name="强调文字颜色 5 2 3 2 3 3 2" xfId="43940" xr:uid="{00000000-0005-0000-0000-0000A4AB0000}"/>
    <cellStyle name="强调文字颜色 5 2 3 2 3 3 2 2" xfId="43941" xr:uid="{00000000-0005-0000-0000-0000A5AB0000}"/>
    <cellStyle name="强调文字颜色 5 2 3 2 3 4" xfId="43942" xr:uid="{00000000-0005-0000-0000-0000A6AB0000}"/>
    <cellStyle name="强调文字颜色 5 2 3 2 3 4 2" xfId="43943" xr:uid="{00000000-0005-0000-0000-0000A7AB0000}"/>
    <cellStyle name="强调文字颜色 5 2 3 2 4" xfId="43944" xr:uid="{00000000-0005-0000-0000-0000A8AB0000}"/>
    <cellStyle name="强调文字颜色 5 2 3 2 4 2" xfId="43945" xr:uid="{00000000-0005-0000-0000-0000A9AB0000}"/>
    <cellStyle name="强调文字颜色 5 2 3 2 4 2 2" xfId="43946" xr:uid="{00000000-0005-0000-0000-0000AAAB0000}"/>
    <cellStyle name="强调文字颜色 5 2 3 2 4 2 2 2" xfId="43947" xr:uid="{00000000-0005-0000-0000-0000ABAB0000}"/>
    <cellStyle name="强调文字颜色 5 2 3 2 4 3" xfId="43948" xr:uid="{00000000-0005-0000-0000-0000ACAB0000}"/>
    <cellStyle name="强调文字颜色 5 2 3 2 4 3 2" xfId="43949" xr:uid="{00000000-0005-0000-0000-0000ADAB0000}"/>
    <cellStyle name="强调文字颜色 5 2 3 2 5" xfId="43950" xr:uid="{00000000-0005-0000-0000-0000AEAB0000}"/>
    <cellStyle name="强调文字颜色 5 2 3 2 6" xfId="43951" xr:uid="{00000000-0005-0000-0000-0000AFAB0000}"/>
    <cellStyle name="强调文字颜色 5 2 3 2 7" xfId="43952" xr:uid="{00000000-0005-0000-0000-0000B0AB0000}"/>
    <cellStyle name="强调文字颜色 5 2 3 3" xfId="43953" xr:uid="{00000000-0005-0000-0000-0000B1AB0000}"/>
    <cellStyle name="强调文字颜色 5 2 3 3 2" xfId="43954" xr:uid="{00000000-0005-0000-0000-0000B2AB0000}"/>
    <cellStyle name="强调文字颜色 5 2 3 3 2 2" xfId="43955" xr:uid="{00000000-0005-0000-0000-0000B3AB0000}"/>
    <cellStyle name="强调文字颜色 5 2 3 3 2 3" xfId="43956" xr:uid="{00000000-0005-0000-0000-0000B4AB0000}"/>
    <cellStyle name="强调文字颜色 5 2 3 3 2 3 2" xfId="43957" xr:uid="{00000000-0005-0000-0000-0000B5AB0000}"/>
    <cellStyle name="强调文字颜色 5 2 3 3 2 3 2 2" xfId="43958" xr:uid="{00000000-0005-0000-0000-0000B6AB0000}"/>
    <cellStyle name="强调文字颜色 5 2 3 3 2 4" xfId="43959" xr:uid="{00000000-0005-0000-0000-0000B7AB0000}"/>
    <cellStyle name="强调文字颜色 5 2 3 3 2 4 2" xfId="43960" xr:uid="{00000000-0005-0000-0000-0000B8AB0000}"/>
    <cellStyle name="强调文字颜色 5 2 3 3 3" xfId="43961" xr:uid="{00000000-0005-0000-0000-0000B9AB0000}"/>
    <cellStyle name="强调文字颜色 5 2 3 3 3 2" xfId="43962" xr:uid="{00000000-0005-0000-0000-0000BAAB0000}"/>
    <cellStyle name="强调文字颜色 5 2 3 3 3 2 2" xfId="43963" xr:uid="{00000000-0005-0000-0000-0000BBAB0000}"/>
    <cellStyle name="强调文字颜色 5 2 3 3 3 2 2 2" xfId="43964" xr:uid="{00000000-0005-0000-0000-0000BCAB0000}"/>
    <cellStyle name="强调文字颜色 5 2 3 3 3 3" xfId="43965" xr:uid="{00000000-0005-0000-0000-0000BDAB0000}"/>
    <cellStyle name="强调文字颜色 5 2 3 3 3 3 2" xfId="43966" xr:uid="{00000000-0005-0000-0000-0000BEAB0000}"/>
    <cellStyle name="强调文字颜色 5 2 3 3 4" xfId="43967" xr:uid="{00000000-0005-0000-0000-0000BFAB0000}"/>
    <cellStyle name="强调文字颜色 5 2 3 3 5" xfId="43968" xr:uid="{00000000-0005-0000-0000-0000C0AB0000}"/>
    <cellStyle name="强调文字颜色 5 2 3 3 6" xfId="43969" xr:uid="{00000000-0005-0000-0000-0000C1AB0000}"/>
    <cellStyle name="强调文字颜色 5 2 3 4" xfId="43970" xr:uid="{00000000-0005-0000-0000-0000C2AB0000}"/>
    <cellStyle name="强调文字颜色 5 2 3 4 2" xfId="43971" xr:uid="{00000000-0005-0000-0000-0000C3AB0000}"/>
    <cellStyle name="强调文字颜色 5 2 3 4 2 2" xfId="43972" xr:uid="{00000000-0005-0000-0000-0000C4AB0000}"/>
    <cellStyle name="强调文字颜色 5 2 3 4 2 3" xfId="43973" xr:uid="{00000000-0005-0000-0000-0000C5AB0000}"/>
    <cellStyle name="强调文字颜色 5 2 3 4 2 3 2" xfId="43974" xr:uid="{00000000-0005-0000-0000-0000C6AB0000}"/>
    <cellStyle name="强调文字颜色 5 2 3 4 2 3 2 2" xfId="43975" xr:uid="{00000000-0005-0000-0000-0000C7AB0000}"/>
    <cellStyle name="强调文字颜色 5 2 3 4 2 4" xfId="43976" xr:uid="{00000000-0005-0000-0000-0000C8AB0000}"/>
    <cellStyle name="强调文字颜色 5 2 3 4 2 4 2" xfId="43977" xr:uid="{00000000-0005-0000-0000-0000C9AB0000}"/>
    <cellStyle name="强调文字颜色 5 2 3 4 3" xfId="43978" xr:uid="{00000000-0005-0000-0000-0000CAAB0000}"/>
    <cellStyle name="强调文字颜色 5 2 3 4 4" xfId="43979" xr:uid="{00000000-0005-0000-0000-0000CBAB0000}"/>
    <cellStyle name="强调文字颜色 5 2 3 4 5" xfId="43980" xr:uid="{00000000-0005-0000-0000-0000CCAB0000}"/>
    <cellStyle name="强调文字颜色 5 2 3 4 6" xfId="43981" xr:uid="{00000000-0005-0000-0000-0000CDAB0000}"/>
    <cellStyle name="强调文字颜色 5 2 3 5" xfId="43982" xr:uid="{00000000-0005-0000-0000-0000CEAB0000}"/>
    <cellStyle name="强调文字颜色 5 2 3 5 2" xfId="43983" xr:uid="{00000000-0005-0000-0000-0000CFAB0000}"/>
    <cellStyle name="强调文字颜色 5 2 3 5 2 2" xfId="43984" xr:uid="{00000000-0005-0000-0000-0000D0AB0000}"/>
    <cellStyle name="强调文字颜色 5 2 3 5 2 2 2" xfId="43985" xr:uid="{00000000-0005-0000-0000-0000D1AB0000}"/>
    <cellStyle name="强调文字颜色 5 2 3 5 2 2 2 2" xfId="43986" xr:uid="{00000000-0005-0000-0000-0000D2AB0000}"/>
    <cellStyle name="强调文字颜色 5 2 3 5 2 3" xfId="43987" xr:uid="{00000000-0005-0000-0000-0000D3AB0000}"/>
    <cellStyle name="强调文字颜色 5 2 3 5 2 3 2" xfId="43988" xr:uid="{00000000-0005-0000-0000-0000D4AB0000}"/>
    <cellStyle name="强调文字颜色 5 2 3 5 3" xfId="43989" xr:uid="{00000000-0005-0000-0000-0000D5AB0000}"/>
    <cellStyle name="强调文字颜色 5 2 3 5 3 2" xfId="43990" xr:uid="{00000000-0005-0000-0000-0000D6AB0000}"/>
    <cellStyle name="强调文字颜色 5 2 3 5 3 2 2" xfId="43991" xr:uid="{00000000-0005-0000-0000-0000D7AB0000}"/>
    <cellStyle name="强调文字颜色 5 2 3 5 4" xfId="43992" xr:uid="{00000000-0005-0000-0000-0000D8AB0000}"/>
    <cellStyle name="强调文字颜色 5 2 3 5 4 2" xfId="43993" xr:uid="{00000000-0005-0000-0000-0000D9AB0000}"/>
    <cellStyle name="强调文字颜色 5 2 3 6" xfId="43994" xr:uid="{00000000-0005-0000-0000-0000DAAB0000}"/>
    <cellStyle name="强调文字颜色 5 2 3 6 2" xfId="43995" xr:uid="{00000000-0005-0000-0000-0000DBAB0000}"/>
    <cellStyle name="强调文字颜色 5 2 3 6 2 2" xfId="43996" xr:uid="{00000000-0005-0000-0000-0000DCAB0000}"/>
    <cellStyle name="强调文字颜色 5 2 3 6 2 2 2" xfId="43997" xr:uid="{00000000-0005-0000-0000-0000DDAB0000}"/>
    <cellStyle name="强调文字颜色 5 2 3 6 3" xfId="43998" xr:uid="{00000000-0005-0000-0000-0000DEAB0000}"/>
    <cellStyle name="强调文字颜色 5 2 3 6 3 2" xfId="43999" xr:uid="{00000000-0005-0000-0000-0000DFAB0000}"/>
    <cellStyle name="强调文字颜色 5 2 3 7" xfId="44000" xr:uid="{00000000-0005-0000-0000-0000E0AB0000}"/>
    <cellStyle name="强调文字颜色 5 2 3 7 2" xfId="44001" xr:uid="{00000000-0005-0000-0000-0000E1AB0000}"/>
    <cellStyle name="强调文字颜色 5 2 3 7 2 2" xfId="44002" xr:uid="{00000000-0005-0000-0000-0000E2AB0000}"/>
    <cellStyle name="强调文字颜色 5 2 3 7 2 2 2" xfId="44003" xr:uid="{00000000-0005-0000-0000-0000E3AB0000}"/>
    <cellStyle name="强调文字颜色 5 2 3 7 3" xfId="44004" xr:uid="{00000000-0005-0000-0000-0000E4AB0000}"/>
    <cellStyle name="强调文字颜色 5 2 3 7 3 2" xfId="44005" xr:uid="{00000000-0005-0000-0000-0000E5AB0000}"/>
    <cellStyle name="强调文字颜色 5 2 3 8" xfId="44006" xr:uid="{00000000-0005-0000-0000-0000E6AB0000}"/>
    <cellStyle name="强调文字颜色 5 2 3 9" xfId="44007" xr:uid="{00000000-0005-0000-0000-0000E7AB0000}"/>
    <cellStyle name="强调文字颜色 5 2 4" xfId="44008" xr:uid="{00000000-0005-0000-0000-0000E8AB0000}"/>
    <cellStyle name="强调文字颜色 5 2 4 2" xfId="44009" xr:uid="{00000000-0005-0000-0000-0000E9AB0000}"/>
    <cellStyle name="强调文字颜色 5 2 4 2 2" xfId="44010" xr:uid="{00000000-0005-0000-0000-0000EAAB0000}"/>
    <cellStyle name="强调文字颜色 5 2 4 2 3" xfId="44011" xr:uid="{00000000-0005-0000-0000-0000EBAB0000}"/>
    <cellStyle name="强调文字颜色 5 2 4 2 3 2" xfId="44012" xr:uid="{00000000-0005-0000-0000-0000ECAB0000}"/>
    <cellStyle name="强调文字颜色 5 2 4 2 3 2 2" xfId="44013" xr:uid="{00000000-0005-0000-0000-0000EDAB0000}"/>
    <cellStyle name="强调文字颜色 5 2 4 2 4" xfId="44014" xr:uid="{00000000-0005-0000-0000-0000EEAB0000}"/>
    <cellStyle name="强调文字颜色 5 2 4 2 4 2" xfId="44015" xr:uid="{00000000-0005-0000-0000-0000EFAB0000}"/>
    <cellStyle name="强调文字颜色 5 2 4 3" xfId="44016" xr:uid="{00000000-0005-0000-0000-0000F0AB0000}"/>
    <cellStyle name="强调文字颜色 5 2 4 3 2" xfId="44017" xr:uid="{00000000-0005-0000-0000-0000F1AB0000}"/>
    <cellStyle name="强调文字颜色 5 2 4 3 2 2" xfId="44018" xr:uid="{00000000-0005-0000-0000-0000F2AB0000}"/>
    <cellStyle name="强调文字颜色 5 2 4 3 2 2 2" xfId="44019" xr:uid="{00000000-0005-0000-0000-0000F3AB0000}"/>
    <cellStyle name="强调文字颜色 5 2 4 3 3" xfId="44020" xr:uid="{00000000-0005-0000-0000-0000F4AB0000}"/>
    <cellStyle name="强调文字颜色 5 2 4 3 3 2" xfId="44021" xr:uid="{00000000-0005-0000-0000-0000F5AB0000}"/>
    <cellStyle name="强调文字颜色 5 2 4 4" xfId="44022" xr:uid="{00000000-0005-0000-0000-0000F6AB0000}"/>
    <cellStyle name="强调文字颜色 5 2 4 5" xfId="44023" xr:uid="{00000000-0005-0000-0000-0000F7AB0000}"/>
    <cellStyle name="强调文字颜色 5 2 4 6" xfId="44024" xr:uid="{00000000-0005-0000-0000-0000F8AB0000}"/>
    <cellStyle name="强调文字颜色 5 2 5" xfId="44025" xr:uid="{00000000-0005-0000-0000-0000F9AB0000}"/>
    <cellStyle name="强调文字颜色 5 2 5 2" xfId="44026" xr:uid="{00000000-0005-0000-0000-0000FAAB0000}"/>
    <cellStyle name="强调文字颜色 5 2 5 2 2" xfId="44027" xr:uid="{00000000-0005-0000-0000-0000FBAB0000}"/>
    <cellStyle name="强调文字颜色 5 2 5 2 3" xfId="44028" xr:uid="{00000000-0005-0000-0000-0000FCAB0000}"/>
    <cellStyle name="强调文字颜色 5 2 5 2 3 2" xfId="44029" xr:uid="{00000000-0005-0000-0000-0000FDAB0000}"/>
    <cellStyle name="强调文字颜色 5 2 5 2 3 2 2" xfId="44030" xr:uid="{00000000-0005-0000-0000-0000FEAB0000}"/>
    <cellStyle name="强调文字颜色 5 2 5 2 4" xfId="44031" xr:uid="{00000000-0005-0000-0000-0000FFAB0000}"/>
    <cellStyle name="强调文字颜色 5 2 5 2 4 2" xfId="44032" xr:uid="{00000000-0005-0000-0000-000000AC0000}"/>
    <cellStyle name="强调文字颜色 5 2 5 3" xfId="44033" xr:uid="{00000000-0005-0000-0000-000001AC0000}"/>
    <cellStyle name="强调文字颜色 5 2 5 4" xfId="44034" xr:uid="{00000000-0005-0000-0000-000002AC0000}"/>
    <cellStyle name="强调文字颜色 5 2 5 5" xfId="44035" xr:uid="{00000000-0005-0000-0000-000003AC0000}"/>
    <cellStyle name="强调文字颜色 5 2 5 6" xfId="44036" xr:uid="{00000000-0005-0000-0000-000004AC0000}"/>
    <cellStyle name="强调文字颜色 5 2 6" xfId="44037" xr:uid="{00000000-0005-0000-0000-000005AC0000}"/>
    <cellStyle name="强调文字颜色 5 2 6 2" xfId="44038" xr:uid="{00000000-0005-0000-0000-000006AC0000}"/>
    <cellStyle name="强调文字颜色 5 2 6 2 2" xfId="44039" xr:uid="{00000000-0005-0000-0000-000007AC0000}"/>
    <cellStyle name="强调文字颜色 5 2 6 2 2 2" xfId="44040" xr:uid="{00000000-0005-0000-0000-000008AC0000}"/>
    <cellStyle name="强调文字颜色 5 2 6 2 2 2 2" xfId="44041" xr:uid="{00000000-0005-0000-0000-000009AC0000}"/>
    <cellStyle name="强调文字颜色 5 2 6 2 3" xfId="44042" xr:uid="{00000000-0005-0000-0000-00000AAC0000}"/>
    <cellStyle name="强调文字颜色 5 2 6 2 3 2" xfId="44043" xr:uid="{00000000-0005-0000-0000-00000BAC0000}"/>
    <cellStyle name="强调文字颜色 5 2 6 3" xfId="44044" xr:uid="{00000000-0005-0000-0000-00000CAC0000}"/>
    <cellStyle name="强调文字颜色 5 2 6 3 2" xfId="44045" xr:uid="{00000000-0005-0000-0000-00000DAC0000}"/>
    <cellStyle name="强调文字颜色 5 2 6 3 2 2" xfId="44046" xr:uid="{00000000-0005-0000-0000-00000EAC0000}"/>
    <cellStyle name="强调文字颜色 5 2 6 4" xfId="44047" xr:uid="{00000000-0005-0000-0000-00000FAC0000}"/>
    <cellStyle name="强调文字颜色 5 2 6 4 2" xfId="44048" xr:uid="{00000000-0005-0000-0000-000010AC0000}"/>
    <cellStyle name="强调文字颜色 5 2 7" xfId="44049" xr:uid="{00000000-0005-0000-0000-000011AC0000}"/>
    <cellStyle name="强调文字颜色 5 2 7 2" xfId="44050" xr:uid="{00000000-0005-0000-0000-000012AC0000}"/>
    <cellStyle name="强调文字颜色 5 2 7 2 2" xfId="44051" xr:uid="{00000000-0005-0000-0000-000013AC0000}"/>
    <cellStyle name="强调文字颜色 5 2 7 2 2 2" xfId="44052" xr:uid="{00000000-0005-0000-0000-000014AC0000}"/>
    <cellStyle name="强调文字颜色 5 2 7 2 2 2 2" xfId="44053" xr:uid="{00000000-0005-0000-0000-000015AC0000}"/>
    <cellStyle name="强调文字颜色 5 2 7 2 3" xfId="44054" xr:uid="{00000000-0005-0000-0000-000016AC0000}"/>
    <cellStyle name="强调文字颜色 5 2 7 2 3 2" xfId="44055" xr:uid="{00000000-0005-0000-0000-000017AC0000}"/>
    <cellStyle name="强调文字颜色 5 2 7 3" xfId="44056" xr:uid="{00000000-0005-0000-0000-000018AC0000}"/>
    <cellStyle name="强调文字颜色 5 2 7 3 2" xfId="44057" xr:uid="{00000000-0005-0000-0000-000019AC0000}"/>
    <cellStyle name="强调文字颜色 5 2 7 3 2 2" xfId="44058" xr:uid="{00000000-0005-0000-0000-00001AAC0000}"/>
    <cellStyle name="强调文字颜色 5 2 7 4" xfId="44059" xr:uid="{00000000-0005-0000-0000-00001BAC0000}"/>
    <cellStyle name="强调文字颜色 5 2 7 4 2" xfId="44060" xr:uid="{00000000-0005-0000-0000-00001CAC0000}"/>
    <cellStyle name="强调文字颜色 5 2 8" xfId="44061" xr:uid="{00000000-0005-0000-0000-00001DAC0000}"/>
    <cellStyle name="强调文字颜色 5 2 8 2" xfId="44062" xr:uid="{00000000-0005-0000-0000-00001EAC0000}"/>
    <cellStyle name="强调文字颜色 5 2 8 2 2" xfId="44063" xr:uid="{00000000-0005-0000-0000-00001FAC0000}"/>
    <cellStyle name="强调文字颜色 5 2 8 2 2 2" xfId="44064" xr:uid="{00000000-0005-0000-0000-000020AC0000}"/>
    <cellStyle name="强调文字颜色 5 2 8 2 2 2 2" xfId="44065" xr:uid="{00000000-0005-0000-0000-000021AC0000}"/>
    <cellStyle name="强调文字颜色 5 2 8 2 3" xfId="44066" xr:uid="{00000000-0005-0000-0000-000022AC0000}"/>
    <cellStyle name="强调文字颜色 5 2 8 2 3 2" xfId="44067" xr:uid="{00000000-0005-0000-0000-000023AC0000}"/>
    <cellStyle name="强调文字颜色 5 2 8 3" xfId="44068" xr:uid="{00000000-0005-0000-0000-000024AC0000}"/>
    <cellStyle name="强调文字颜色 5 2 8 3 2" xfId="44069" xr:uid="{00000000-0005-0000-0000-000025AC0000}"/>
    <cellStyle name="强调文字颜色 5 2 8 3 2 2" xfId="44070" xr:uid="{00000000-0005-0000-0000-000026AC0000}"/>
    <cellStyle name="强调文字颜色 5 2 8 4" xfId="44071" xr:uid="{00000000-0005-0000-0000-000027AC0000}"/>
    <cellStyle name="强调文字颜色 5 2 8 4 2" xfId="44072" xr:uid="{00000000-0005-0000-0000-000028AC0000}"/>
    <cellStyle name="强调文字颜色 5 2 9" xfId="44073" xr:uid="{00000000-0005-0000-0000-000029AC0000}"/>
    <cellStyle name="强调文字颜色 5 2 9 2" xfId="44074" xr:uid="{00000000-0005-0000-0000-00002AAC0000}"/>
    <cellStyle name="强调文字颜色 5 2 9 2 2" xfId="44075" xr:uid="{00000000-0005-0000-0000-00002BAC0000}"/>
    <cellStyle name="强调文字颜色 5 2 9 2 2 2" xfId="44076" xr:uid="{00000000-0005-0000-0000-00002CAC0000}"/>
    <cellStyle name="强调文字颜色 5 2 9 3" xfId="44077" xr:uid="{00000000-0005-0000-0000-00002DAC0000}"/>
    <cellStyle name="强调文字颜色 5 2 9 3 2" xfId="44078" xr:uid="{00000000-0005-0000-0000-00002EAC0000}"/>
    <cellStyle name="强调文字颜色 5 3" xfId="44079" xr:uid="{00000000-0005-0000-0000-00002FAC0000}"/>
    <cellStyle name="强调文字颜色 5 3 2" xfId="44080" xr:uid="{00000000-0005-0000-0000-000030AC0000}"/>
    <cellStyle name="强调文字颜色 5 3 2 2" xfId="44081" xr:uid="{00000000-0005-0000-0000-000031AC0000}"/>
    <cellStyle name="强调文字颜色 5 3 2 2 2" xfId="44082" xr:uid="{00000000-0005-0000-0000-000032AC0000}"/>
    <cellStyle name="强调文字颜色 5 3 2 2 2 2" xfId="44083" xr:uid="{00000000-0005-0000-0000-000033AC0000}"/>
    <cellStyle name="强调文字颜色 5 3 2 2 2 3" xfId="44084" xr:uid="{00000000-0005-0000-0000-000034AC0000}"/>
    <cellStyle name="强调文字颜色 5 3 2 2 2 3 2" xfId="44085" xr:uid="{00000000-0005-0000-0000-000035AC0000}"/>
    <cellStyle name="强调文字颜色 5 3 2 2 2 3 2 2" xfId="44086" xr:uid="{00000000-0005-0000-0000-000036AC0000}"/>
    <cellStyle name="强调文字颜色 5 3 2 2 2 4" xfId="44087" xr:uid="{00000000-0005-0000-0000-000037AC0000}"/>
    <cellStyle name="强调文字颜色 5 3 2 2 2 4 2" xfId="44088" xr:uid="{00000000-0005-0000-0000-000038AC0000}"/>
    <cellStyle name="强调文字颜色 5 3 2 2 3" xfId="44089" xr:uid="{00000000-0005-0000-0000-000039AC0000}"/>
    <cellStyle name="强调文字颜色 5 3 2 2 3 2" xfId="44090" xr:uid="{00000000-0005-0000-0000-00003AAC0000}"/>
    <cellStyle name="强调文字颜色 5 3 2 2 3 2 2" xfId="44091" xr:uid="{00000000-0005-0000-0000-00003BAC0000}"/>
    <cellStyle name="强调文字颜色 5 3 2 2 3 2 2 2" xfId="44092" xr:uid="{00000000-0005-0000-0000-00003CAC0000}"/>
    <cellStyle name="强调文字颜色 5 3 2 2 3 3" xfId="44093" xr:uid="{00000000-0005-0000-0000-00003DAC0000}"/>
    <cellStyle name="强调文字颜色 5 3 2 2 3 3 2" xfId="44094" xr:uid="{00000000-0005-0000-0000-00003EAC0000}"/>
    <cellStyle name="强调文字颜色 5 3 2 2 4" xfId="44095" xr:uid="{00000000-0005-0000-0000-00003FAC0000}"/>
    <cellStyle name="强调文字颜色 5 3 2 2 5" xfId="44096" xr:uid="{00000000-0005-0000-0000-000040AC0000}"/>
    <cellStyle name="强调文字颜色 5 3 2 2 6" xfId="44097" xr:uid="{00000000-0005-0000-0000-000041AC0000}"/>
    <cellStyle name="强调文字颜色 5 3 2 3" xfId="44098" xr:uid="{00000000-0005-0000-0000-000042AC0000}"/>
    <cellStyle name="强调文字颜色 5 3 2 3 2" xfId="44099" xr:uid="{00000000-0005-0000-0000-000043AC0000}"/>
    <cellStyle name="强调文字颜色 5 3 2 3 3" xfId="44100" xr:uid="{00000000-0005-0000-0000-000044AC0000}"/>
    <cellStyle name="强调文字颜色 5 3 2 3 3 2" xfId="44101" xr:uid="{00000000-0005-0000-0000-000045AC0000}"/>
    <cellStyle name="强调文字颜色 5 3 2 3 3 2 2" xfId="44102" xr:uid="{00000000-0005-0000-0000-000046AC0000}"/>
    <cellStyle name="强调文字颜色 5 3 2 3 4" xfId="44103" xr:uid="{00000000-0005-0000-0000-000047AC0000}"/>
    <cellStyle name="强调文字颜色 5 3 2 3 4 2" xfId="44104" xr:uid="{00000000-0005-0000-0000-000048AC0000}"/>
    <cellStyle name="强调文字颜色 5 3 2 4" xfId="44105" xr:uid="{00000000-0005-0000-0000-000049AC0000}"/>
    <cellStyle name="强调文字颜色 5 3 2 4 2" xfId="44106" xr:uid="{00000000-0005-0000-0000-00004AAC0000}"/>
    <cellStyle name="强调文字颜色 5 3 2 4 2 2" xfId="44107" xr:uid="{00000000-0005-0000-0000-00004BAC0000}"/>
    <cellStyle name="强调文字颜色 5 3 2 4 2 2 2" xfId="44108" xr:uid="{00000000-0005-0000-0000-00004CAC0000}"/>
    <cellStyle name="强调文字颜色 5 3 2 4 3" xfId="44109" xr:uid="{00000000-0005-0000-0000-00004DAC0000}"/>
    <cellStyle name="强调文字颜色 5 3 2 4 3 2" xfId="44110" xr:uid="{00000000-0005-0000-0000-00004EAC0000}"/>
    <cellStyle name="强调文字颜色 5 3 2 5" xfId="44111" xr:uid="{00000000-0005-0000-0000-00004FAC0000}"/>
    <cellStyle name="强调文字颜色 5 3 2 6" xfId="44112" xr:uid="{00000000-0005-0000-0000-000050AC0000}"/>
    <cellStyle name="强调文字颜色 5 3 2 7" xfId="44113" xr:uid="{00000000-0005-0000-0000-000051AC0000}"/>
    <cellStyle name="强调文字颜色 5 3 3" xfId="44114" xr:uid="{00000000-0005-0000-0000-000052AC0000}"/>
    <cellStyle name="强调文字颜色 5 3 3 2" xfId="44115" xr:uid="{00000000-0005-0000-0000-000053AC0000}"/>
    <cellStyle name="强调文字颜色 5 3 3 2 2" xfId="44116" xr:uid="{00000000-0005-0000-0000-000054AC0000}"/>
    <cellStyle name="强调文字颜色 5 3 3 2 3" xfId="44117" xr:uid="{00000000-0005-0000-0000-000055AC0000}"/>
    <cellStyle name="强调文字颜色 5 3 3 2 3 2" xfId="44118" xr:uid="{00000000-0005-0000-0000-000056AC0000}"/>
    <cellStyle name="强调文字颜色 5 3 3 2 3 2 2" xfId="44119" xr:uid="{00000000-0005-0000-0000-000057AC0000}"/>
    <cellStyle name="强调文字颜色 5 3 3 2 4" xfId="44120" xr:uid="{00000000-0005-0000-0000-000058AC0000}"/>
    <cellStyle name="强调文字颜色 5 3 3 2 4 2" xfId="44121" xr:uid="{00000000-0005-0000-0000-000059AC0000}"/>
    <cellStyle name="强调文字颜色 5 3 3 3" xfId="44122" xr:uid="{00000000-0005-0000-0000-00005AAC0000}"/>
    <cellStyle name="强调文字颜色 5 3 3 3 2" xfId="44123" xr:uid="{00000000-0005-0000-0000-00005BAC0000}"/>
    <cellStyle name="强调文字颜色 5 3 3 3 2 2" xfId="44124" xr:uid="{00000000-0005-0000-0000-00005CAC0000}"/>
    <cellStyle name="强调文字颜色 5 3 3 3 2 2 2" xfId="44125" xr:uid="{00000000-0005-0000-0000-00005DAC0000}"/>
    <cellStyle name="强调文字颜色 5 3 3 3 3" xfId="44126" xr:uid="{00000000-0005-0000-0000-00005EAC0000}"/>
    <cellStyle name="强调文字颜色 5 3 3 3 3 2" xfId="44127" xr:uid="{00000000-0005-0000-0000-00005FAC0000}"/>
    <cellStyle name="强调文字颜色 5 3 3 4" xfId="44128" xr:uid="{00000000-0005-0000-0000-000060AC0000}"/>
    <cellStyle name="强调文字颜色 5 3 3 5" xfId="44129" xr:uid="{00000000-0005-0000-0000-000061AC0000}"/>
    <cellStyle name="强调文字颜色 5 3 3 6" xfId="44130" xr:uid="{00000000-0005-0000-0000-000062AC0000}"/>
    <cellStyle name="强调文字颜色 5 3 4" xfId="44131" xr:uid="{00000000-0005-0000-0000-000063AC0000}"/>
    <cellStyle name="强调文字颜色 5 3 4 2" xfId="44132" xr:uid="{00000000-0005-0000-0000-000064AC0000}"/>
    <cellStyle name="强调文字颜色 5 3 4 2 2" xfId="44133" xr:uid="{00000000-0005-0000-0000-000065AC0000}"/>
    <cellStyle name="强调文字颜色 5 3 4 2 3" xfId="44134" xr:uid="{00000000-0005-0000-0000-000066AC0000}"/>
    <cellStyle name="强调文字颜色 5 3 4 2 3 2" xfId="44135" xr:uid="{00000000-0005-0000-0000-000067AC0000}"/>
    <cellStyle name="强调文字颜色 5 3 4 2 3 2 2" xfId="44136" xr:uid="{00000000-0005-0000-0000-000068AC0000}"/>
    <cellStyle name="强调文字颜色 5 3 4 2 4" xfId="44137" xr:uid="{00000000-0005-0000-0000-000069AC0000}"/>
    <cellStyle name="强调文字颜色 5 3 4 2 4 2" xfId="44138" xr:uid="{00000000-0005-0000-0000-00006AAC0000}"/>
    <cellStyle name="强调文字颜色 5 3 4 3" xfId="44139" xr:uid="{00000000-0005-0000-0000-00006BAC0000}"/>
    <cellStyle name="强调文字颜色 5 3 4 4" xfId="44140" xr:uid="{00000000-0005-0000-0000-00006CAC0000}"/>
    <cellStyle name="强调文字颜色 5 3 4 5" xfId="44141" xr:uid="{00000000-0005-0000-0000-00006DAC0000}"/>
    <cellStyle name="强调文字颜色 5 3 4 6" xfId="44142" xr:uid="{00000000-0005-0000-0000-00006EAC0000}"/>
    <cellStyle name="强调文字颜色 5 3 5" xfId="44143" xr:uid="{00000000-0005-0000-0000-00006FAC0000}"/>
    <cellStyle name="强调文字颜色 5 3 5 2" xfId="44144" xr:uid="{00000000-0005-0000-0000-000070AC0000}"/>
    <cellStyle name="强调文字颜色 5 3 5 2 2" xfId="44145" xr:uid="{00000000-0005-0000-0000-000071AC0000}"/>
    <cellStyle name="强调文字颜色 5 3 5 2 2 2" xfId="44146" xr:uid="{00000000-0005-0000-0000-000072AC0000}"/>
    <cellStyle name="强调文字颜色 5 3 5 2 2 2 2" xfId="44147" xr:uid="{00000000-0005-0000-0000-000073AC0000}"/>
    <cellStyle name="强调文字颜色 5 3 5 2 3" xfId="44148" xr:uid="{00000000-0005-0000-0000-000074AC0000}"/>
    <cellStyle name="强调文字颜色 5 3 5 2 3 2" xfId="44149" xr:uid="{00000000-0005-0000-0000-000075AC0000}"/>
    <cellStyle name="强调文字颜色 5 3 5 3" xfId="44150" xr:uid="{00000000-0005-0000-0000-000076AC0000}"/>
    <cellStyle name="强调文字颜色 5 3 5 3 2" xfId="44151" xr:uid="{00000000-0005-0000-0000-000077AC0000}"/>
    <cellStyle name="强调文字颜色 5 3 5 3 2 2" xfId="44152" xr:uid="{00000000-0005-0000-0000-000078AC0000}"/>
    <cellStyle name="强调文字颜色 5 3 5 4" xfId="44153" xr:uid="{00000000-0005-0000-0000-000079AC0000}"/>
    <cellStyle name="强调文字颜色 5 3 5 4 2" xfId="44154" xr:uid="{00000000-0005-0000-0000-00007AAC0000}"/>
    <cellStyle name="强调文字颜色 5 3 6" xfId="44155" xr:uid="{00000000-0005-0000-0000-00007BAC0000}"/>
    <cellStyle name="强调文字颜色 5 3 6 2" xfId="44156" xr:uid="{00000000-0005-0000-0000-00007CAC0000}"/>
    <cellStyle name="强调文字颜色 5 3 6 2 2" xfId="44157" xr:uid="{00000000-0005-0000-0000-00007DAC0000}"/>
    <cellStyle name="强调文字颜色 5 3 6 2 2 2" xfId="44158" xr:uid="{00000000-0005-0000-0000-00007EAC0000}"/>
    <cellStyle name="强调文字颜色 5 3 6 3" xfId="44159" xr:uid="{00000000-0005-0000-0000-00007FAC0000}"/>
    <cellStyle name="强调文字颜色 5 3 6 3 2" xfId="44160" xr:uid="{00000000-0005-0000-0000-000080AC0000}"/>
    <cellStyle name="强调文字颜色 5 3 7" xfId="44161" xr:uid="{00000000-0005-0000-0000-000081AC0000}"/>
    <cellStyle name="强调文字颜色 5 3 8" xfId="44162" xr:uid="{00000000-0005-0000-0000-000082AC0000}"/>
    <cellStyle name="强调文字颜色 6 2" xfId="44163" xr:uid="{00000000-0005-0000-0000-000083AC0000}"/>
    <cellStyle name="强调文字颜色 6 2 10" xfId="44164" xr:uid="{00000000-0005-0000-0000-000084AC0000}"/>
    <cellStyle name="强调文字颜色 6 2 11" xfId="44165" xr:uid="{00000000-0005-0000-0000-000085AC0000}"/>
    <cellStyle name="强调文字颜色 6 2 2" xfId="44166" xr:uid="{00000000-0005-0000-0000-000086AC0000}"/>
    <cellStyle name="强调文字颜色 6 2 2 10" xfId="44167" xr:uid="{00000000-0005-0000-0000-000087AC0000}"/>
    <cellStyle name="强调文字颜色 6 2 2 11" xfId="44168" xr:uid="{00000000-0005-0000-0000-000088AC0000}"/>
    <cellStyle name="强调文字颜色 6 2 2 2" xfId="44169" xr:uid="{00000000-0005-0000-0000-000089AC0000}"/>
    <cellStyle name="强调文字颜色 6 2 2 2 2" xfId="44170" xr:uid="{00000000-0005-0000-0000-00008AAC0000}"/>
    <cellStyle name="强调文字颜色 6 2 2 2 2 2" xfId="44171" xr:uid="{00000000-0005-0000-0000-00008BAC0000}"/>
    <cellStyle name="强调文字颜色 6 2 2 2 2 2 2" xfId="44172" xr:uid="{00000000-0005-0000-0000-00008CAC0000}"/>
    <cellStyle name="强调文字颜色 6 2 2 2 2 2 3" xfId="44173" xr:uid="{00000000-0005-0000-0000-00008DAC0000}"/>
    <cellStyle name="强调文字颜色 6 2 2 2 2 2 3 2" xfId="44174" xr:uid="{00000000-0005-0000-0000-00008EAC0000}"/>
    <cellStyle name="强调文字颜色 6 2 2 2 2 2 3 2 2" xfId="44175" xr:uid="{00000000-0005-0000-0000-00008FAC0000}"/>
    <cellStyle name="强调文字颜色 6 2 2 2 2 2 4" xfId="44176" xr:uid="{00000000-0005-0000-0000-000090AC0000}"/>
    <cellStyle name="强调文字颜色 6 2 2 2 2 2 4 2" xfId="44177" xr:uid="{00000000-0005-0000-0000-000091AC0000}"/>
    <cellStyle name="强调文字颜色 6 2 2 2 2 3" xfId="44178" xr:uid="{00000000-0005-0000-0000-000092AC0000}"/>
    <cellStyle name="强调文字颜色 6 2 2 2 2 3 2" xfId="44179" xr:uid="{00000000-0005-0000-0000-000093AC0000}"/>
    <cellStyle name="强调文字颜色 6 2 2 2 2 3 2 2" xfId="44180" xr:uid="{00000000-0005-0000-0000-000094AC0000}"/>
    <cellStyle name="强调文字颜色 6 2 2 2 2 3 2 2 2" xfId="44181" xr:uid="{00000000-0005-0000-0000-000095AC0000}"/>
    <cellStyle name="强调文字颜色 6 2 2 2 2 3 3" xfId="44182" xr:uid="{00000000-0005-0000-0000-000096AC0000}"/>
    <cellStyle name="强调文字颜色 6 2 2 2 2 3 3 2" xfId="44183" xr:uid="{00000000-0005-0000-0000-000097AC0000}"/>
    <cellStyle name="强调文字颜色 6 2 2 2 2 4" xfId="44184" xr:uid="{00000000-0005-0000-0000-000098AC0000}"/>
    <cellStyle name="强调文字颜色 6 2 2 2 2 5" xfId="44185" xr:uid="{00000000-0005-0000-0000-000099AC0000}"/>
    <cellStyle name="强调文字颜色 6 2 2 2 2 6" xfId="44186" xr:uid="{00000000-0005-0000-0000-00009AAC0000}"/>
    <cellStyle name="强调文字颜色 6 2 2 2 3" xfId="44187" xr:uid="{00000000-0005-0000-0000-00009BAC0000}"/>
    <cellStyle name="强调文字颜色 6 2 2 2 3 2" xfId="44188" xr:uid="{00000000-0005-0000-0000-00009CAC0000}"/>
    <cellStyle name="强调文字颜色 6 2 2 2 3 3" xfId="44189" xr:uid="{00000000-0005-0000-0000-00009DAC0000}"/>
    <cellStyle name="强调文字颜色 6 2 2 2 3 3 2" xfId="44190" xr:uid="{00000000-0005-0000-0000-00009EAC0000}"/>
    <cellStyle name="强调文字颜色 6 2 2 2 3 3 2 2" xfId="44191" xr:uid="{00000000-0005-0000-0000-00009FAC0000}"/>
    <cellStyle name="强调文字颜色 6 2 2 2 3 4" xfId="44192" xr:uid="{00000000-0005-0000-0000-0000A0AC0000}"/>
    <cellStyle name="强调文字颜色 6 2 2 2 3 4 2" xfId="44193" xr:uid="{00000000-0005-0000-0000-0000A1AC0000}"/>
    <cellStyle name="强调文字颜色 6 2 2 2 4" xfId="44194" xr:uid="{00000000-0005-0000-0000-0000A2AC0000}"/>
    <cellStyle name="强调文字颜色 6 2 2 2 4 2" xfId="44195" xr:uid="{00000000-0005-0000-0000-0000A3AC0000}"/>
    <cellStyle name="强调文字颜色 6 2 2 2 4 2 2" xfId="44196" xr:uid="{00000000-0005-0000-0000-0000A4AC0000}"/>
    <cellStyle name="强调文字颜色 6 2 2 2 4 2 2 2" xfId="44197" xr:uid="{00000000-0005-0000-0000-0000A5AC0000}"/>
    <cellStyle name="强调文字颜色 6 2 2 2 4 3" xfId="44198" xr:uid="{00000000-0005-0000-0000-0000A6AC0000}"/>
    <cellStyle name="强调文字颜色 6 2 2 2 4 3 2" xfId="44199" xr:uid="{00000000-0005-0000-0000-0000A7AC0000}"/>
    <cellStyle name="强调文字颜色 6 2 2 2 5" xfId="44200" xr:uid="{00000000-0005-0000-0000-0000A8AC0000}"/>
    <cellStyle name="强调文字颜色 6 2 2 2 6" xfId="44201" xr:uid="{00000000-0005-0000-0000-0000A9AC0000}"/>
    <cellStyle name="强调文字颜色 6 2 2 2 7" xfId="44202" xr:uid="{00000000-0005-0000-0000-0000AAAC0000}"/>
    <cellStyle name="强调文字颜色 6 2 2 3" xfId="44203" xr:uid="{00000000-0005-0000-0000-0000ABAC0000}"/>
    <cellStyle name="强调文字颜色 6 2 2 3 2" xfId="44204" xr:uid="{00000000-0005-0000-0000-0000ACAC0000}"/>
    <cellStyle name="强调文字颜色 6 2 2 3 2 2" xfId="44205" xr:uid="{00000000-0005-0000-0000-0000ADAC0000}"/>
    <cellStyle name="强调文字颜色 6 2 2 3 2 3" xfId="44206" xr:uid="{00000000-0005-0000-0000-0000AEAC0000}"/>
    <cellStyle name="强调文字颜色 6 2 2 3 2 3 2" xfId="44207" xr:uid="{00000000-0005-0000-0000-0000AFAC0000}"/>
    <cellStyle name="强调文字颜色 6 2 2 3 2 3 2 2" xfId="44208" xr:uid="{00000000-0005-0000-0000-0000B0AC0000}"/>
    <cellStyle name="强调文字颜色 6 2 2 3 2 4" xfId="44209" xr:uid="{00000000-0005-0000-0000-0000B1AC0000}"/>
    <cellStyle name="强调文字颜色 6 2 2 3 2 4 2" xfId="44210" xr:uid="{00000000-0005-0000-0000-0000B2AC0000}"/>
    <cellStyle name="强调文字颜色 6 2 2 3 3" xfId="44211" xr:uid="{00000000-0005-0000-0000-0000B3AC0000}"/>
    <cellStyle name="强调文字颜色 6 2 2 3 3 2" xfId="44212" xr:uid="{00000000-0005-0000-0000-0000B4AC0000}"/>
    <cellStyle name="强调文字颜色 6 2 2 3 3 2 2" xfId="44213" xr:uid="{00000000-0005-0000-0000-0000B5AC0000}"/>
    <cellStyle name="强调文字颜色 6 2 2 3 3 2 2 2" xfId="44214" xr:uid="{00000000-0005-0000-0000-0000B6AC0000}"/>
    <cellStyle name="强调文字颜色 6 2 2 3 3 3" xfId="44215" xr:uid="{00000000-0005-0000-0000-0000B7AC0000}"/>
    <cellStyle name="强调文字颜色 6 2 2 3 3 3 2" xfId="44216" xr:uid="{00000000-0005-0000-0000-0000B8AC0000}"/>
    <cellStyle name="强调文字颜色 6 2 2 3 4" xfId="44217" xr:uid="{00000000-0005-0000-0000-0000B9AC0000}"/>
    <cellStyle name="强调文字颜色 6 2 2 3 5" xfId="44218" xr:uid="{00000000-0005-0000-0000-0000BAAC0000}"/>
    <cellStyle name="强调文字颜色 6 2 2 3 6" xfId="44219" xr:uid="{00000000-0005-0000-0000-0000BBAC0000}"/>
    <cellStyle name="强调文字颜色 6 2 2 4" xfId="44220" xr:uid="{00000000-0005-0000-0000-0000BCAC0000}"/>
    <cellStyle name="强调文字颜色 6 2 2 4 2" xfId="44221" xr:uid="{00000000-0005-0000-0000-0000BDAC0000}"/>
    <cellStyle name="强调文字颜色 6 2 2 4 2 2" xfId="44222" xr:uid="{00000000-0005-0000-0000-0000BEAC0000}"/>
    <cellStyle name="强调文字颜色 6 2 2 4 2 3" xfId="44223" xr:uid="{00000000-0005-0000-0000-0000BFAC0000}"/>
    <cellStyle name="强调文字颜色 6 2 2 4 2 3 2" xfId="44224" xr:uid="{00000000-0005-0000-0000-0000C0AC0000}"/>
    <cellStyle name="强调文字颜色 6 2 2 4 2 3 2 2" xfId="44225" xr:uid="{00000000-0005-0000-0000-0000C1AC0000}"/>
    <cellStyle name="强调文字颜色 6 2 2 4 2 4" xfId="44226" xr:uid="{00000000-0005-0000-0000-0000C2AC0000}"/>
    <cellStyle name="强调文字颜色 6 2 2 4 2 4 2" xfId="44227" xr:uid="{00000000-0005-0000-0000-0000C3AC0000}"/>
    <cellStyle name="强调文字颜色 6 2 2 4 3" xfId="44228" xr:uid="{00000000-0005-0000-0000-0000C4AC0000}"/>
    <cellStyle name="强调文字颜色 6 2 2 4 4" xfId="44229" xr:uid="{00000000-0005-0000-0000-0000C5AC0000}"/>
    <cellStyle name="强调文字颜色 6 2 2 4 5" xfId="44230" xr:uid="{00000000-0005-0000-0000-0000C6AC0000}"/>
    <cellStyle name="强调文字颜色 6 2 2 4 6" xfId="44231" xr:uid="{00000000-0005-0000-0000-0000C7AC0000}"/>
    <cellStyle name="强调文字颜色 6 2 2 5" xfId="44232" xr:uid="{00000000-0005-0000-0000-0000C8AC0000}"/>
    <cellStyle name="强调文字颜色 6 2 2 5 2" xfId="44233" xr:uid="{00000000-0005-0000-0000-0000C9AC0000}"/>
    <cellStyle name="强调文字颜色 6 2 2 5 2 2" xfId="44234" xr:uid="{00000000-0005-0000-0000-0000CAAC0000}"/>
    <cellStyle name="强调文字颜色 6 2 2 5 2 2 2" xfId="44235" xr:uid="{00000000-0005-0000-0000-0000CBAC0000}"/>
    <cellStyle name="强调文字颜色 6 2 2 5 2 2 2 2" xfId="44236" xr:uid="{00000000-0005-0000-0000-0000CCAC0000}"/>
    <cellStyle name="强调文字颜色 6 2 2 5 2 3" xfId="44237" xr:uid="{00000000-0005-0000-0000-0000CDAC0000}"/>
    <cellStyle name="强调文字颜色 6 2 2 5 2 3 2" xfId="44238" xr:uid="{00000000-0005-0000-0000-0000CEAC0000}"/>
    <cellStyle name="强调文字颜色 6 2 2 5 3" xfId="44239" xr:uid="{00000000-0005-0000-0000-0000CFAC0000}"/>
    <cellStyle name="强调文字颜色 6 2 2 5 3 2" xfId="44240" xr:uid="{00000000-0005-0000-0000-0000D0AC0000}"/>
    <cellStyle name="强调文字颜色 6 2 2 5 3 2 2" xfId="44241" xr:uid="{00000000-0005-0000-0000-0000D1AC0000}"/>
    <cellStyle name="强调文字颜色 6 2 2 5 4" xfId="44242" xr:uid="{00000000-0005-0000-0000-0000D2AC0000}"/>
    <cellStyle name="强调文字颜色 6 2 2 5 4 2" xfId="44243" xr:uid="{00000000-0005-0000-0000-0000D3AC0000}"/>
    <cellStyle name="强调文字颜色 6 2 2 6" xfId="44244" xr:uid="{00000000-0005-0000-0000-0000D4AC0000}"/>
    <cellStyle name="强调文字颜色 6 2 2 6 2" xfId="44245" xr:uid="{00000000-0005-0000-0000-0000D5AC0000}"/>
    <cellStyle name="强调文字颜色 6 2 2 6 2 2" xfId="44246" xr:uid="{00000000-0005-0000-0000-0000D6AC0000}"/>
    <cellStyle name="强调文字颜色 6 2 2 6 2 2 2" xfId="44247" xr:uid="{00000000-0005-0000-0000-0000D7AC0000}"/>
    <cellStyle name="强调文字颜色 6 2 2 6 2 2 2 2" xfId="44248" xr:uid="{00000000-0005-0000-0000-0000D8AC0000}"/>
    <cellStyle name="强调文字颜色 6 2 2 6 2 3" xfId="44249" xr:uid="{00000000-0005-0000-0000-0000D9AC0000}"/>
    <cellStyle name="强调文字颜色 6 2 2 6 2 3 2" xfId="44250" xr:uid="{00000000-0005-0000-0000-0000DAAC0000}"/>
    <cellStyle name="强调文字颜色 6 2 2 6 3" xfId="44251" xr:uid="{00000000-0005-0000-0000-0000DBAC0000}"/>
    <cellStyle name="强调文字颜色 6 2 2 6 3 2" xfId="44252" xr:uid="{00000000-0005-0000-0000-0000DCAC0000}"/>
    <cellStyle name="强调文字颜色 6 2 2 6 3 2 2" xfId="44253" xr:uid="{00000000-0005-0000-0000-0000DDAC0000}"/>
    <cellStyle name="强调文字颜色 6 2 2 6 4" xfId="44254" xr:uid="{00000000-0005-0000-0000-0000DEAC0000}"/>
    <cellStyle name="强调文字颜色 6 2 2 6 4 2" xfId="44255" xr:uid="{00000000-0005-0000-0000-0000DFAC0000}"/>
    <cellStyle name="强调文字颜色 6 2 2 7" xfId="44256" xr:uid="{00000000-0005-0000-0000-0000E0AC0000}"/>
    <cellStyle name="强调文字颜色 6 2 2 7 2" xfId="44257" xr:uid="{00000000-0005-0000-0000-0000E1AC0000}"/>
    <cellStyle name="强调文字颜色 6 2 2 7 2 2" xfId="44258" xr:uid="{00000000-0005-0000-0000-0000E2AC0000}"/>
    <cellStyle name="强调文字颜色 6 2 2 7 2 2 2" xfId="44259" xr:uid="{00000000-0005-0000-0000-0000E3AC0000}"/>
    <cellStyle name="强调文字颜色 6 2 2 7 2 2 2 2" xfId="44260" xr:uid="{00000000-0005-0000-0000-0000E4AC0000}"/>
    <cellStyle name="强调文字颜色 6 2 2 7 2 3" xfId="44261" xr:uid="{00000000-0005-0000-0000-0000E5AC0000}"/>
    <cellStyle name="强调文字颜色 6 2 2 7 2 3 2" xfId="44262" xr:uid="{00000000-0005-0000-0000-0000E6AC0000}"/>
    <cellStyle name="强调文字颜色 6 2 2 7 3" xfId="44263" xr:uid="{00000000-0005-0000-0000-0000E7AC0000}"/>
    <cellStyle name="强调文字颜色 6 2 2 7 3 2" xfId="44264" xr:uid="{00000000-0005-0000-0000-0000E8AC0000}"/>
    <cellStyle name="强调文字颜色 6 2 2 7 3 2 2" xfId="44265" xr:uid="{00000000-0005-0000-0000-0000E9AC0000}"/>
    <cellStyle name="强调文字颜色 6 2 2 7 4" xfId="44266" xr:uid="{00000000-0005-0000-0000-0000EAAC0000}"/>
    <cellStyle name="强调文字颜色 6 2 2 7 4 2" xfId="44267" xr:uid="{00000000-0005-0000-0000-0000EBAC0000}"/>
    <cellStyle name="强调文字颜色 6 2 2 8" xfId="44268" xr:uid="{00000000-0005-0000-0000-0000ECAC0000}"/>
    <cellStyle name="强调文字颜色 6 2 2 8 2" xfId="44269" xr:uid="{00000000-0005-0000-0000-0000EDAC0000}"/>
    <cellStyle name="强调文字颜色 6 2 2 8 2 2" xfId="44270" xr:uid="{00000000-0005-0000-0000-0000EEAC0000}"/>
    <cellStyle name="强调文字颜色 6 2 2 8 2 2 2" xfId="44271" xr:uid="{00000000-0005-0000-0000-0000EFAC0000}"/>
    <cellStyle name="强调文字颜色 6 2 2 8 3" xfId="44272" xr:uid="{00000000-0005-0000-0000-0000F0AC0000}"/>
    <cellStyle name="强调文字颜色 6 2 2 8 3 2" xfId="44273" xr:uid="{00000000-0005-0000-0000-0000F1AC0000}"/>
    <cellStyle name="强调文字颜色 6 2 2 9" xfId="44274" xr:uid="{00000000-0005-0000-0000-0000F2AC0000}"/>
    <cellStyle name="强调文字颜色 6 2 2 9 2" xfId="44275" xr:uid="{00000000-0005-0000-0000-0000F3AC0000}"/>
    <cellStyle name="强调文字颜色 6 2 2 9 2 2" xfId="44276" xr:uid="{00000000-0005-0000-0000-0000F4AC0000}"/>
    <cellStyle name="强调文字颜色 6 2 2 9 2 2 2" xfId="44277" xr:uid="{00000000-0005-0000-0000-0000F5AC0000}"/>
    <cellStyle name="强调文字颜色 6 2 2 9 3" xfId="44278" xr:uid="{00000000-0005-0000-0000-0000F6AC0000}"/>
    <cellStyle name="强调文字颜色 6 2 2 9 3 2" xfId="44279" xr:uid="{00000000-0005-0000-0000-0000F7AC0000}"/>
    <cellStyle name="强调文字颜色 6 2 3" xfId="44280" xr:uid="{00000000-0005-0000-0000-0000F8AC0000}"/>
    <cellStyle name="强调文字颜色 6 2 3 2" xfId="44281" xr:uid="{00000000-0005-0000-0000-0000F9AC0000}"/>
    <cellStyle name="强调文字颜色 6 2 3 2 2" xfId="44282" xr:uid="{00000000-0005-0000-0000-0000FAAC0000}"/>
    <cellStyle name="强调文字颜色 6 2 3 2 2 2" xfId="44283" xr:uid="{00000000-0005-0000-0000-0000FBAC0000}"/>
    <cellStyle name="强调文字颜色 6 2 3 2 2 2 2" xfId="44284" xr:uid="{00000000-0005-0000-0000-0000FCAC0000}"/>
    <cellStyle name="强调文字颜色 6 2 3 2 2 2 3" xfId="44285" xr:uid="{00000000-0005-0000-0000-0000FDAC0000}"/>
    <cellStyle name="强调文字颜色 6 2 3 2 2 2 3 2" xfId="44286" xr:uid="{00000000-0005-0000-0000-0000FEAC0000}"/>
    <cellStyle name="强调文字颜色 6 2 3 2 2 2 3 2 2" xfId="44287" xr:uid="{00000000-0005-0000-0000-0000FFAC0000}"/>
    <cellStyle name="强调文字颜色 6 2 3 2 2 2 4" xfId="44288" xr:uid="{00000000-0005-0000-0000-000000AD0000}"/>
    <cellStyle name="强调文字颜色 6 2 3 2 2 2 4 2" xfId="44289" xr:uid="{00000000-0005-0000-0000-000001AD0000}"/>
    <cellStyle name="强调文字颜色 6 2 3 2 2 3" xfId="44290" xr:uid="{00000000-0005-0000-0000-000002AD0000}"/>
    <cellStyle name="强调文字颜色 6 2 3 2 2 3 2" xfId="44291" xr:uid="{00000000-0005-0000-0000-000003AD0000}"/>
    <cellStyle name="强调文字颜色 6 2 3 2 2 3 2 2" xfId="44292" xr:uid="{00000000-0005-0000-0000-000004AD0000}"/>
    <cellStyle name="强调文字颜色 6 2 3 2 2 3 2 2 2" xfId="44293" xr:uid="{00000000-0005-0000-0000-000005AD0000}"/>
    <cellStyle name="强调文字颜色 6 2 3 2 2 3 3" xfId="44294" xr:uid="{00000000-0005-0000-0000-000006AD0000}"/>
    <cellStyle name="强调文字颜色 6 2 3 2 2 3 3 2" xfId="44295" xr:uid="{00000000-0005-0000-0000-000007AD0000}"/>
    <cellStyle name="强调文字颜色 6 2 3 2 2 4" xfId="44296" xr:uid="{00000000-0005-0000-0000-000008AD0000}"/>
    <cellStyle name="强调文字颜色 6 2 3 2 2 5" xfId="44297" xr:uid="{00000000-0005-0000-0000-000009AD0000}"/>
    <cellStyle name="强调文字颜色 6 2 3 2 2 6" xfId="44298" xr:uid="{00000000-0005-0000-0000-00000AAD0000}"/>
    <cellStyle name="强调文字颜色 6 2 3 2 3" xfId="44299" xr:uid="{00000000-0005-0000-0000-00000BAD0000}"/>
    <cellStyle name="强调文字颜色 6 2 3 2 3 2" xfId="44300" xr:uid="{00000000-0005-0000-0000-00000CAD0000}"/>
    <cellStyle name="强调文字颜色 6 2 3 2 3 3" xfId="44301" xr:uid="{00000000-0005-0000-0000-00000DAD0000}"/>
    <cellStyle name="强调文字颜色 6 2 3 2 3 3 2" xfId="44302" xr:uid="{00000000-0005-0000-0000-00000EAD0000}"/>
    <cellStyle name="强调文字颜色 6 2 3 2 3 3 2 2" xfId="44303" xr:uid="{00000000-0005-0000-0000-00000FAD0000}"/>
    <cellStyle name="强调文字颜色 6 2 3 2 3 4" xfId="44304" xr:uid="{00000000-0005-0000-0000-000010AD0000}"/>
    <cellStyle name="强调文字颜色 6 2 3 2 3 4 2" xfId="44305" xr:uid="{00000000-0005-0000-0000-000011AD0000}"/>
    <cellStyle name="强调文字颜色 6 2 3 2 4" xfId="44306" xr:uid="{00000000-0005-0000-0000-000012AD0000}"/>
    <cellStyle name="强调文字颜色 6 2 3 2 4 2" xfId="44307" xr:uid="{00000000-0005-0000-0000-000013AD0000}"/>
    <cellStyle name="强调文字颜色 6 2 3 2 4 2 2" xfId="44308" xr:uid="{00000000-0005-0000-0000-000014AD0000}"/>
    <cellStyle name="强调文字颜色 6 2 3 2 4 2 2 2" xfId="44309" xr:uid="{00000000-0005-0000-0000-000015AD0000}"/>
    <cellStyle name="强调文字颜色 6 2 3 2 4 3" xfId="44310" xr:uid="{00000000-0005-0000-0000-000016AD0000}"/>
    <cellStyle name="强调文字颜色 6 2 3 2 4 3 2" xfId="44311" xr:uid="{00000000-0005-0000-0000-000017AD0000}"/>
    <cellStyle name="强调文字颜色 6 2 3 2 5" xfId="44312" xr:uid="{00000000-0005-0000-0000-000018AD0000}"/>
    <cellStyle name="强调文字颜色 6 2 3 2 6" xfId="44313" xr:uid="{00000000-0005-0000-0000-000019AD0000}"/>
    <cellStyle name="强调文字颜色 6 2 3 2 7" xfId="44314" xr:uid="{00000000-0005-0000-0000-00001AAD0000}"/>
    <cellStyle name="强调文字颜色 6 2 3 3" xfId="44315" xr:uid="{00000000-0005-0000-0000-00001BAD0000}"/>
    <cellStyle name="强调文字颜色 6 2 3 3 2" xfId="44316" xr:uid="{00000000-0005-0000-0000-00001CAD0000}"/>
    <cellStyle name="强调文字颜色 6 2 3 3 2 2" xfId="44317" xr:uid="{00000000-0005-0000-0000-00001DAD0000}"/>
    <cellStyle name="强调文字颜色 6 2 3 3 2 3" xfId="44318" xr:uid="{00000000-0005-0000-0000-00001EAD0000}"/>
    <cellStyle name="强调文字颜色 6 2 3 3 2 3 2" xfId="44319" xr:uid="{00000000-0005-0000-0000-00001FAD0000}"/>
    <cellStyle name="强调文字颜色 6 2 3 3 2 3 2 2" xfId="44320" xr:uid="{00000000-0005-0000-0000-000020AD0000}"/>
    <cellStyle name="强调文字颜色 6 2 3 3 2 4" xfId="44321" xr:uid="{00000000-0005-0000-0000-000021AD0000}"/>
    <cellStyle name="强调文字颜色 6 2 3 3 2 4 2" xfId="44322" xr:uid="{00000000-0005-0000-0000-000022AD0000}"/>
    <cellStyle name="强调文字颜色 6 2 3 3 3" xfId="44323" xr:uid="{00000000-0005-0000-0000-000023AD0000}"/>
    <cellStyle name="强调文字颜色 6 2 3 3 3 2" xfId="44324" xr:uid="{00000000-0005-0000-0000-000024AD0000}"/>
    <cellStyle name="强调文字颜色 6 2 3 3 3 2 2" xfId="44325" xr:uid="{00000000-0005-0000-0000-000025AD0000}"/>
    <cellStyle name="强调文字颜色 6 2 3 3 3 2 2 2" xfId="44326" xr:uid="{00000000-0005-0000-0000-000026AD0000}"/>
    <cellStyle name="强调文字颜色 6 2 3 3 3 3" xfId="44327" xr:uid="{00000000-0005-0000-0000-000027AD0000}"/>
    <cellStyle name="强调文字颜色 6 2 3 3 3 3 2" xfId="44328" xr:uid="{00000000-0005-0000-0000-000028AD0000}"/>
    <cellStyle name="强调文字颜色 6 2 3 3 4" xfId="44329" xr:uid="{00000000-0005-0000-0000-000029AD0000}"/>
    <cellStyle name="强调文字颜色 6 2 3 3 5" xfId="44330" xr:uid="{00000000-0005-0000-0000-00002AAD0000}"/>
    <cellStyle name="强调文字颜色 6 2 3 3 6" xfId="44331" xr:uid="{00000000-0005-0000-0000-00002BAD0000}"/>
    <cellStyle name="强调文字颜色 6 2 3 4" xfId="44332" xr:uid="{00000000-0005-0000-0000-00002CAD0000}"/>
    <cellStyle name="强调文字颜色 6 2 3 4 2" xfId="44333" xr:uid="{00000000-0005-0000-0000-00002DAD0000}"/>
    <cellStyle name="强调文字颜色 6 2 3 4 2 2" xfId="44334" xr:uid="{00000000-0005-0000-0000-00002EAD0000}"/>
    <cellStyle name="强调文字颜色 6 2 3 4 2 3" xfId="44335" xr:uid="{00000000-0005-0000-0000-00002FAD0000}"/>
    <cellStyle name="强调文字颜色 6 2 3 4 2 3 2" xfId="44336" xr:uid="{00000000-0005-0000-0000-000030AD0000}"/>
    <cellStyle name="强调文字颜色 6 2 3 4 2 3 2 2" xfId="44337" xr:uid="{00000000-0005-0000-0000-000031AD0000}"/>
    <cellStyle name="强调文字颜色 6 2 3 4 2 4" xfId="44338" xr:uid="{00000000-0005-0000-0000-000032AD0000}"/>
    <cellStyle name="强调文字颜色 6 2 3 4 2 4 2" xfId="44339" xr:uid="{00000000-0005-0000-0000-000033AD0000}"/>
    <cellStyle name="强调文字颜色 6 2 3 4 3" xfId="44340" xr:uid="{00000000-0005-0000-0000-000034AD0000}"/>
    <cellStyle name="强调文字颜色 6 2 3 4 4" xfId="44341" xr:uid="{00000000-0005-0000-0000-000035AD0000}"/>
    <cellStyle name="强调文字颜色 6 2 3 4 5" xfId="44342" xr:uid="{00000000-0005-0000-0000-000036AD0000}"/>
    <cellStyle name="强调文字颜色 6 2 3 4 6" xfId="44343" xr:uid="{00000000-0005-0000-0000-000037AD0000}"/>
    <cellStyle name="强调文字颜色 6 2 3 5" xfId="44344" xr:uid="{00000000-0005-0000-0000-000038AD0000}"/>
    <cellStyle name="强调文字颜色 6 2 3 5 2" xfId="44345" xr:uid="{00000000-0005-0000-0000-000039AD0000}"/>
    <cellStyle name="强调文字颜色 6 2 3 5 2 2" xfId="44346" xr:uid="{00000000-0005-0000-0000-00003AAD0000}"/>
    <cellStyle name="强调文字颜色 6 2 3 5 2 2 2" xfId="44347" xr:uid="{00000000-0005-0000-0000-00003BAD0000}"/>
    <cellStyle name="强调文字颜色 6 2 3 5 2 2 2 2" xfId="44348" xr:uid="{00000000-0005-0000-0000-00003CAD0000}"/>
    <cellStyle name="强调文字颜色 6 2 3 5 2 3" xfId="44349" xr:uid="{00000000-0005-0000-0000-00003DAD0000}"/>
    <cellStyle name="强调文字颜色 6 2 3 5 2 3 2" xfId="44350" xr:uid="{00000000-0005-0000-0000-00003EAD0000}"/>
    <cellStyle name="强调文字颜色 6 2 3 5 3" xfId="44351" xr:uid="{00000000-0005-0000-0000-00003FAD0000}"/>
    <cellStyle name="强调文字颜色 6 2 3 5 3 2" xfId="44352" xr:uid="{00000000-0005-0000-0000-000040AD0000}"/>
    <cellStyle name="强调文字颜色 6 2 3 5 3 2 2" xfId="44353" xr:uid="{00000000-0005-0000-0000-000041AD0000}"/>
    <cellStyle name="强调文字颜色 6 2 3 5 4" xfId="44354" xr:uid="{00000000-0005-0000-0000-000042AD0000}"/>
    <cellStyle name="强调文字颜色 6 2 3 5 4 2" xfId="44355" xr:uid="{00000000-0005-0000-0000-000043AD0000}"/>
    <cellStyle name="强调文字颜色 6 2 3 6" xfId="44356" xr:uid="{00000000-0005-0000-0000-000044AD0000}"/>
    <cellStyle name="强调文字颜色 6 2 3 6 2" xfId="44357" xr:uid="{00000000-0005-0000-0000-000045AD0000}"/>
    <cellStyle name="强调文字颜色 6 2 3 6 2 2" xfId="44358" xr:uid="{00000000-0005-0000-0000-000046AD0000}"/>
    <cellStyle name="强调文字颜色 6 2 3 6 2 2 2" xfId="44359" xr:uid="{00000000-0005-0000-0000-000047AD0000}"/>
    <cellStyle name="强调文字颜色 6 2 3 6 3" xfId="44360" xr:uid="{00000000-0005-0000-0000-000048AD0000}"/>
    <cellStyle name="强调文字颜色 6 2 3 6 3 2" xfId="44361" xr:uid="{00000000-0005-0000-0000-000049AD0000}"/>
    <cellStyle name="强调文字颜色 6 2 3 7" xfId="44362" xr:uid="{00000000-0005-0000-0000-00004AAD0000}"/>
    <cellStyle name="强调文字颜色 6 2 3 7 2" xfId="44363" xr:uid="{00000000-0005-0000-0000-00004BAD0000}"/>
    <cellStyle name="强调文字颜色 6 2 3 7 2 2" xfId="44364" xr:uid="{00000000-0005-0000-0000-00004CAD0000}"/>
    <cellStyle name="强调文字颜色 6 2 3 7 2 2 2" xfId="44365" xr:uid="{00000000-0005-0000-0000-00004DAD0000}"/>
    <cellStyle name="强调文字颜色 6 2 3 7 3" xfId="44366" xr:uid="{00000000-0005-0000-0000-00004EAD0000}"/>
    <cellStyle name="强调文字颜色 6 2 3 7 3 2" xfId="44367" xr:uid="{00000000-0005-0000-0000-00004FAD0000}"/>
    <cellStyle name="强调文字颜色 6 2 3 8" xfId="44368" xr:uid="{00000000-0005-0000-0000-000050AD0000}"/>
    <cellStyle name="强调文字颜色 6 2 3 9" xfId="44369" xr:uid="{00000000-0005-0000-0000-000051AD0000}"/>
    <cellStyle name="强调文字颜色 6 2 4" xfId="44370" xr:uid="{00000000-0005-0000-0000-000052AD0000}"/>
    <cellStyle name="强调文字颜色 6 2 4 2" xfId="44371" xr:uid="{00000000-0005-0000-0000-000053AD0000}"/>
    <cellStyle name="强调文字颜色 6 2 4 2 2" xfId="44372" xr:uid="{00000000-0005-0000-0000-000054AD0000}"/>
    <cellStyle name="强调文字颜色 6 2 4 2 3" xfId="44373" xr:uid="{00000000-0005-0000-0000-000055AD0000}"/>
    <cellStyle name="强调文字颜色 6 2 4 2 3 2" xfId="44374" xr:uid="{00000000-0005-0000-0000-000056AD0000}"/>
    <cellStyle name="强调文字颜色 6 2 4 2 3 2 2" xfId="44375" xr:uid="{00000000-0005-0000-0000-000057AD0000}"/>
    <cellStyle name="强调文字颜色 6 2 4 2 4" xfId="44376" xr:uid="{00000000-0005-0000-0000-000058AD0000}"/>
    <cellStyle name="强调文字颜色 6 2 4 2 4 2" xfId="44377" xr:uid="{00000000-0005-0000-0000-000059AD0000}"/>
    <cellStyle name="强调文字颜色 6 2 4 3" xfId="44378" xr:uid="{00000000-0005-0000-0000-00005AAD0000}"/>
    <cellStyle name="强调文字颜色 6 2 4 3 2" xfId="44379" xr:uid="{00000000-0005-0000-0000-00005BAD0000}"/>
    <cellStyle name="强调文字颜色 6 2 4 3 2 2" xfId="44380" xr:uid="{00000000-0005-0000-0000-00005CAD0000}"/>
    <cellStyle name="强调文字颜色 6 2 4 3 2 2 2" xfId="44381" xr:uid="{00000000-0005-0000-0000-00005DAD0000}"/>
    <cellStyle name="强调文字颜色 6 2 4 3 3" xfId="44382" xr:uid="{00000000-0005-0000-0000-00005EAD0000}"/>
    <cellStyle name="强调文字颜色 6 2 4 3 3 2" xfId="44383" xr:uid="{00000000-0005-0000-0000-00005FAD0000}"/>
    <cellStyle name="强调文字颜色 6 2 4 4" xfId="44384" xr:uid="{00000000-0005-0000-0000-000060AD0000}"/>
    <cellStyle name="强调文字颜色 6 2 4 5" xfId="44385" xr:uid="{00000000-0005-0000-0000-000061AD0000}"/>
    <cellStyle name="强调文字颜色 6 2 4 6" xfId="44386" xr:uid="{00000000-0005-0000-0000-000062AD0000}"/>
    <cellStyle name="强调文字颜色 6 2 5" xfId="44387" xr:uid="{00000000-0005-0000-0000-000063AD0000}"/>
    <cellStyle name="强调文字颜色 6 2 5 2" xfId="44388" xr:uid="{00000000-0005-0000-0000-000064AD0000}"/>
    <cellStyle name="强调文字颜色 6 2 5 2 2" xfId="44389" xr:uid="{00000000-0005-0000-0000-000065AD0000}"/>
    <cellStyle name="强调文字颜色 6 2 5 2 3" xfId="44390" xr:uid="{00000000-0005-0000-0000-000066AD0000}"/>
    <cellStyle name="强调文字颜色 6 2 5 2 3 2" xfId="44391" xr:uid="{00000000-0005-0000-0000-000067AD0000}"/>
    <cellStyle name="强调文字颜色 6 2 5 2 3 2 2" xfId="44392" xr:uid="{00000000-0005-0000-0000-000068AD0000}"/>
    <cellStyle name="强调文字颜色 6 2 5 2 4" xfId="44393" xr:uid="{00000000-0005-0000-0000-000069AD0000}"/>
    <cellStyle name="强调文字颜色 6 2 5 2 4 2" xfId="44394" xr:uid="{00000000-0005-0000-0000-00006AAD0000}"/>
    <cellStyle name="强调文字颜色 6 2 5 3" xfId="44395" xr:uid="{00000000-0005-0000-0000-00006BAD0000}"/>
    <cellStyle name="强调文字颜色 6 2 5 4" xfId="44396" xr:uid="{00000000-0005-0000-0000-00006CAD0000}"/>
    <cellStyle name="强调文字颜色 6 2 5 5" xfId="44397" xr:uid="{00000000-0005-0000-0000-00006DAD0000}"/>
    <cellStyle name="强调文字颜色 6 2 5 6" xfId="44398" xr:uid="{00000000-0005-0000-0000-00006EAD0000}"/>
    <cellStyle name="强调文字颜色 6 2 6" xfId="44399" xr:uid="{00000000-0005-0000-0000-00006FAD0000}"/>
    <cellStyle name="强调文字颜色 6 2 6 2" xfId="44400" xr:uid="{00000000-0005-0000-0000-000070AD0000}"/>
    <cellStyle name="强调文字颜色 6 2 6 2 2" xfId="44401" xr:uid="{00000000-0005-0000-0000-000071AD0000}"/>
    <cellStyle name="强调文字颜色 6 2 6 2 2 2" xfId="44402" xr:uid="{00000000-0005-0000-0000-000072AD0000}"/>
    <cellStyle name="强调文字颜色 6 2 6 2 2 2 2" xfId="44403" xr:uid="{00000000-0005-0000-0000-000073AD0000}"/>
    <cellStyle name="强调文字颜色 6 2 6 2 3" xfId="44404" xr:uid="{00000000-0005-0000-0000-000074AD0000}"/>
    <cellStyle name="强调文字颜色 6 2 6 2 3 2" xfId="44405" xr:uid="{00000000-0005-0000-0000-000075AD0000}"/>
    <cellStyle name="强调文字颜色 6 2 6 3" xfId="44406" xr:uid="{00000000-0005-0000-0000-000076AD0000}"/>
    <cellStyle name="强调文字颜色 6 2 6 3 2" xfId="44407" xr:uid="{00000000-0005-0000-0000-000077AD0000}"/>
    <cellStyle name="强调文字颜色 6 2 6 3 2 2" xfId="44408" xr:uid="{00000000-0005-0000-0000-000078AD0000}"/>
    <cellStyle name="强调文字颜色 6 2 6 4" xfId="44409" xr:uid="{00000000-0005-0000-0000-000079AD0000}"/>
    <cellStyle name="强调文字颜色 6 2 6 4 2" xfId="44410" xr:uid="{00000000-0005-0000-0000-00007AAD0000}"/>
    <cellStyle name="强调文字颜色 6 2 7" xfId="44411" xr:uid="{00000000-0005-0000-0000-00007BAD0000}"/>
    <cellStyle name="强调文字颜色 6 2 7 2" xfId="44412" xr:uid="{00000000-0005-0000-0000-00007CAD0000}"/>
    <cellStyle name="强调文字颜色 6 2 7 2 2" xfId="44413" xr:uid="{00000000-0005-0000-0000-00007DAD0000}"/>
    <cellStyle name="强调文字颜色 6 2 7 2 2 2" xfId="44414" xr:uid="{00000000-0005-0000-0000-00007EAD0000}"/>
    <cellStyle name="强调文字颜色 6 2 7 2 2 2 2" xfId="44415" xr:uid="{00000000-0005-0000-0000-00007FAD0000}"/>
    <cellStyle name="强调文字颜色 6 2 7 2 3" xfId="44416" xr:uid="{00000000-0005-0000-0000-000080AD0000}"/>
    <cellStyle name="强调文字颜色 6 2 7 2 3 2" xfId="44417" xr:uid="{00000000-0005-0000-0000-000081AD0000}"/>
    <cellStyle name="强调文字颜色 6 2 7 3" xfId="44418" xr:uid="{00000000-0005-0000-0000-000082AD0000}"/>
    <cellStyle name="强调文字颜色 6 2 7 3 2" xfId="44419" xr:uid="{00000000-0005-0000-0000-000083AD0000}"/>
    <cellStyle name="强调文字颜色 6 2 7 3 2 2" xfId="44420" xr:uid="{00000000-0005-0000-0000-000084AD0000}"/>
    <cellStyle name="强调文字颜色 6 2 7 4" xfId="44421" xr:uid="{00000000-0005-0000-0000-000085AD0000}"/>
    <cellStyle name="强调文字颜色 6 2 7 4 2" xfId="44422" xr:uid="{00000000-0005-0000-0000-000086AD0000}"/>
    <cellStyle name="强调文字颜色 6 2 8" xfId="44423" xr:uid="{00000000-0005-0000-0000-000087AD0000}"/>
    <cellStyle name="强调文字颜色 6 2 8 2" xfId="44424" xr:uid="{00000000-0005-0000-0000-000088AD0000}"/>
    <cellStyle name="强调文字颜色 6 2 8 2 2" xfId="44425" xr:uid="{00000000-0005-0000-0000-000089AD0000}"/>
    <cellStyle name="强调文字颜色 6 2 8 2 2 2" xfId="44426" xr:uid="{00000000-0005-0000-0000-00008AAD0000}"/>
    <cellStyle name="强调文字颜色 6 2 8 2 2 2 2" xfId="44427" xr:uid="{00000000-0005-0000-0000-00008BAD0000}"/>
    <cellStyle name="强调文字颜色 6 2 8 2 3" xfId="44428" xr:uid="{00000000-0005-0000-0000-00008CAD0000}"/>
    <cellStyle name="强调文字颜色 6 2 8 2 3 2" xfId="44429" xr:uid="{00000000-0005-0000-0000-00008DAD0000}"/>
    <cellStyle name="强调文字颜色 6 2 8 3" xfId="44430" xr:uid="{00000000-0005-0000-0000-00008EAD0000}"/>
    <cellStyle name="强调文字颜色 6 2 8 3 2" xfId="44431" xr:uid="{00000000-0005-0000-0000-00008FAD0000}"/>
    <cellStyle name="强调文字颜色 6 2 8 3 2 2" xfId="44432" xr:uid="{00000000-0005-0000-0000-000090AD0000}"/>
    <cellStyle name="强调文字颜色 6 2 8 4" xfId="44433" xr:uid="{00000000-0005-0000-0000-000091AD0000}"/>
    <cellStyle name="强调文字颜色 6 2 8 4 2" xfId="44434" xr:uid="{00000000-0005-0000-0000-000092AD0000}"/>
    <cellStyle name="强调文字颜色 6 2 9" xfId="44435" xr:uid="{00000000-0005-0000-0000-000093AD0000}"/>
    <cellStyle name="强调文字颜色 6 2 9 2" xfId="44436" xr:uid="{00000000-0005-0000-0000-000094AD0000}"/>
    <cellStyle name="强调文字颜色 6 2 9 2 2" xfId="44437" xr:uid="{00000000-0005-0000-0000-000095AD0000}"/>
    <cellStyle name="强调文字颜色 6 2 9 2 2 2" xfId="44438" xr:uid="{00000000-0005-0000-0000-000096AD0000}"/>
    <cellStyle name="强调文字颜色 6 2 9 3" xfId="44439" xr:uid="{00000000-0005-0000-0000-000097AD0000}"/>
    <cellStyle name="强调文字颜色 6 2 9 3 2" xfId="44440" xr:uid="{00000000-0005-0000-0000-000098AD0000}"/>
    <cellStyle name="强调文字颜色 6 3" xfId="44441" xr:uid="{00000000-0005-0000-0000-000099AD0000}"/>
    <cellStyle name="强调文字颜色 6 3 2" xfId="44442" xr:uid="{00000000-0005-0000-0000-00009AAD0000}"/>
    <cellStyle name="强调文字颜色 6 3 2 2" xfId="44443" xr:uid="{00000000-0005-0000-0000-00009BAD0000}"/>
    <cellStyle name="强调文字颜色 6 3 2 2 2" xfId="44444" xr:uid="{00000000-0005-0000-0000-00009CAD0000}"/>
    <cellStyle name="强调文字颜色 6 3 2 2 2 2" xfId="44445" xr:uid="{00000000-0005-0000-0000-00009DAD0000}"/>
    <cellStyle name="强调文字颜色 6 3 2 2 2 3" xfId="44446" xr:uid="{00000000-0005-0000-0000-00009EAD0000}"/>
    <cellStyle name="强调文字颜色 6 3 2 2 2 3 2" xfId="44447" xr:uid="{00000000-0005-0000-0000-00009FAD0000}"/>
    <cellStyle name="强调文字颜色 6 3 2 2 2 3 2 2" xfId="44448" xr:uid="{00000000-0005-0000-0000-0000A0AD0000}"/>
    <cellStyle name="强调文字颜色 6 3 2 2 2 4" xfId="44449" xr:uid="{00000000-0005-0000-0000-0000A1AD0000}"/>
    <cellStyle name="强调文字颜色 6 3 2 2 2 4 2" xfId="44450" xr:uid="{00000000-0005-0000-0000-0000A2AD0000}"/>
    <cellStyle name="强调文字颜色 6 3 2 2 3" xfId="44451" xr:uid="{00000000-0005-0000-0000-0000A3AD0000}"/>
    <cellStyle name="强调文字颜色 6 3 2 2 3 2" xfId="44452" xr:uid="{00000000-0005-0000-0000-0000A4AD0000}"/>
    <cellStyle name="强调文字颜色 6 3 2 2 3 2 2" xfId="44453" xr:uid="{00000000-0005-0000-0000-0000A5AD0000}"/>
    <cellStyle name="强调文字颜色 6 3 2 2 3 2 2 2" xfId="44454" xr:uid="{00000000-0005-0000-0000-0000A6AD0000}"/>
    <cellStyle name="强调文字颜色 6 3 2 2 3 3" xfId="44455" xr:uid="{00000000-0005-0000-0000-0000A7AD0000}"/>
    <cellStyle name="强调文字颜色 6 3 2 2 3 3 2" xfId="44456" xr:uid="{00000000-0005-0000-0000-0000A8AD0000}"/>
    <cellStyle name="强调文字颜色 6 3 2 2 4" xfId="44457" xr:uid="{00000000-0005-0000-0000-0000A9AD0000}"/>
    <cellStyle name="强调文字颜色 6 3 2 2 5" xfId="44458" xr:uid="{00000000-0005-0000-0000-0000AAAD0000}"/>
    <cellStyle name="强调文字颜色 6 3 2 2 6" xfId="44459" xr:uid="{00000000-0005-0000-0000-0000ABAD0000}"/>
    <cellStyle name="强调文字颜色 6 3 2 3" xfId="44460" xr:uid="{00000000-0005-0000-0000-0000ACAD0000}"/>
    <cellStyle name="强调文字颜色 6 3 2 3 2" xfId="44461" xr:uid="{00000000-0005-0000-0000-0000ADAD0000}"/>
    <cellStyle name="强调文字颜色 6 3 2 3 3" xfId="44462" xr:uid="{00000000-0005-0000-0000-0000AEAD0000}"/>
    <cellStyle name="强调文字颜色 6 3 2 3 3 2" xfId="44463" xr:uid="{00000000-0005-0000-0000-0000AFAD0000}"/>
    <cellStyle name="强调文字颜色 6 3 2 3 3 2 2" xfId="44464" xr:uid="{00000000-0005-0000-0000-0000B0AD0000}"/>
    <cellStyle name="强调文字颜色 6 3 2 3 4" xfId="44465" xr:uid="{00000000-0005-0000-0000-0000B1AD0000}"/>
    <cellStyle name="强调文字颜色 6 3 2 3 4 2" xfId="44466" xr:uid="{00000000-0005-0000-0000-0000B2AD0000}"/>
    <cellStyle name="强调文字颜色 6 3 2 4" xfId="44467" xr:uid="{00000000-0005-0000-0000-0000B3AD0000}"/>
    <cellStyle name="强调文字颜色 6 3 2 4 2" xfId="44468" xr:uid="{00000000-0005-0000-0000-0000B4AD0000}"/>
    <cellStyle name="强调文字颜色 6 3 2 4 2 2" xfId="44469" xr:uid="{00000000-0005-0000-0000-0000B5AD0000}"/>
    <cellStyle name="强调文字颜色 6 3 2 4 2 2 2" xfId="44470" xr:uid="{00000000-0005-0000-0000-0000B6AD0000}"/>
    <cellStyle name="强调文字颜色 6 3 2 4 3" xfId="44471" xr:uid="{00000000-0005-0000-0000-0000B7AD0000}"/>
    <cellStyle name="强调文字颜色 6 3 2 4 3 2" xfId="44472" xr:uid="{00000000-0005-0000-0000-0000B8AD0000}"/>
    <cellStyle name="强调文字颜色 6 3 2 5" xfId="44473" xr:uid="{00000000-0005-0000-0000-0000B9AD0000}"/>
    <cellStyle name="强调文字颜色 6 3 2 6" xfId="44474" xr:uid="{00000000-0005-0000-0000-0000BAAD0000}"/>
    <cellStyle name="强调文字颜色 6 3 2 7" xfId="44475" xr:uid="{00000000-0005-0000-0000-0000BBAD0000}"/>
    <cellStyle name="强调文字颜色 6 3 3" xfId="44476" xr:uid="{00000000-0005-0000-0000-0000BCAD0000}"/>
    <cellStyle name="强调文字颜色 6 3 3 2" xfId="44477" xr:uid="{00000000-0005-0000-0000-0000BDAD0000}"/>
    <cellStyle name="强调文字颜色 6 3 3 2 2" xfId="44478" xr:uid="{00000000-0005-0000-0000-0000BEAD0000}"/>
    <cellStyle name="强调文字颜色 6 3 3 2 3" xfId="44479" xr:uid="{00000000-0005-0000-0000-0000BFAD0000}"/>
    <cellStyle name="强调文字颜色 6 3 3 2 3 2" xfId="44480" xr:uid="{00000000-0005-0000-0000-0000C0AD0000}"/>
    <cellStyle name="强调文字颜色 6 3 3 2 3 2 2" xfId="44481" xr:uid="{00000000-0005-0000-0000-0000C1AD0000}"/>
    <cellStyle name="强调文字颜色 6 3 3 2 4" xfId="44482" xr:uid="{00000000-0005-0000-0000-0000C2AD0000}"/>
    <cellStyle name="强调文字颜色 6 3 3 2 4 2" xfId="44483" xr:uid="{00000000-0005-0000-0000-0000C3AD0000}"/>
    <cellStyle name="强调文字颜色 6 3 3 3" xfId="44484" xr:uid="{00000000-0005-0000-0000-0000C4AD0000}"/>
    <cellStyle name="强调文字颜色 6 3 3 3 2" xfId="44485" xr:uid="{00000000-0005-0000-0000-0000C5AD0000}"/>
    <cellStyle name="强调文字颜色 6 3 3 3 2 2" xfId="44486" xr:uid="{00000000-0005-0000-0000-0000C6AD0000}"/>
    <cellStyle name="强调文字颜色 6 3 3 3 2 2 2" xfId="44487" xr:uid="{00000000-0005-0000-0000-0000C7AD0000}"/>
    <cellStyle name="强调文字颜色 6 3 3 3 3" xfId="44488" xr:uid="{00000000-0005-0000-0000-0000C8AD0000}"/>
    <cellStyle name="强调文字颜色 6 3 3 3 3 2" xfId="44489" xr:uid="{00000000-0005-0000-0000-0000C9AD0000}"/>
    <cellStyle name="强调文字颜色 6 3 3 4" xfId="44490" xr:uid="{00000000-0005-0000-0000-0000CAAD0000}"/>
    <cellStyle name="强调文字颜色 6 3 3 5" xfId="44491" xr:uid="{00000000-0005-0000-0000-0000CBAD0000}"/>
    <cellStyle name="强调文字颜色 6 3 3 6" xfId="44492" xr:uid="{00000000-0005-0000-0000-0000CCAD0000}"/>
    <cellStyle name="强调文字颜色 6 3 4" xfId="44493" xr:uid="{00000000-0005-0000-0000-0000CDAD0000}"/>
    <cellStyle name="强调文字颜色 6 3 4 2" xfId="44494" xr:uid="{00000000-0005-0000-0000-0000CEAD0000}"/>
    <cellStyle name="强调文字颜色 6 3 4 2 2" xfId="44495" xr:uid="{00000000-0005-0000-0000-0000CFAD0000}"/>
    <cellStyle name="强调文字颜色 6 3 4 2 3" xfId="44496" xr:uid="{00000000-0005-0000-0000-0000D0AD0000}"/>
    <cellStyle name="强调文字颜色 6 3 4 2 3 2" xfId="44497" xr:uid="{00000000-0005-0000-0000-0000D1AD0000}"/>
    <cellStyle name="强调文字颜色 6 3 4 2 3 2 2" xfId="44498" xr:uid="{00000000-0005-0000-0000-0000D2AD0000}"/>
    <cellStyle name="强调文字颜色 6 3 4 2 4" xfId="44499" xr:uid="{00000000-0005-0000-0000-0000D3AD0000}"/>
    <cellStyle name="强调文字颜色 6 3 4 2 4 2" xfId="44500" xr:uid="{00000000-0005-0000-0000-0000D4AD0000}"/>
    <cellStyle name="强调文字颜色 6 3 4 3" xfId="44501" xr:uid="{00000000-0005-0000-0000-0000D5AD0000}"/>
    <cellStyle name="强调文字颜色 6 3 4 4" xfId="44502" xr:uid="{00000000-0005-0000-0000-0000D6AD0000}"/>
    <cellStyle name="强调文字颜色 6 3 4 5" xfId="44503" xr:uid="{00000000-0005-0000-0000-0000D7AD0000}"/>
    <cellStyle name="强调文字颜色 6 3 4 6" xfId="44504" xr:uid="{00000000-0005-0000-0000-0000D8AD0000}"/>
    <cellStyle name="强调文字颜色 6 3 5" xfId="44505" xr:uid="{00000000-0005-0000-0000-0000D9AD0000}"/>
    <cellStyle name="强调文字颜色 6 3 5 2" xfId="44506" xr:uid="{00000000-0005-0000-0000-0000DAAD0000}"/>
    <cellStyle name="强调文字颜色 6 3 5 2 2" xfId="44507" xr:uid="{00000000-0005-0000-0000-0000DBAD0000}"/>
    <cellStyle name="强调文字颜色 6 3 5 2 2 2" xfId="44508" xr:uid="{00000000-0005-0000-0000-0000DCAD0000}"/>
    <cellStyle name="强调文字颜色 6 3 5 2 2 2 2" xfId="44509" xr:uid="{00000000-0005-0000-0000-0000DDAD0000}"/>
    <cellStyle name="强调文字颜色 6 3 5 2 3" xfId="44510" xr:uid="{00000000-0005-0000-0000-0000DEAD0000}"/>
    <cellStyle name="强调文字颜色 6 3 5 2 3 2" xfId="44511" xr:uid="{00000000-0005-0000-0000-0000DFAD0000}"/>
    <cellStyle name="强调文字颜色 6 3 5 3" xfId="44512" xr:uid="{00000000-0005-0000-0000-0000E0AD0000}"/>
    <cellStyle name="强调文字颜色 6 3 5 3 2" xfId="44513" xr:uid="{00000000-0005-0000-0000-0000E1AD0000}"/>
    <cellStyle name="强调文字颜色 6 3 5 3 2 2" xfId="44514" xr:uid="{00000000-0005-0000-0000-0000E2AD0000}"/>
    <cellStyle name="强调文字颜色 6 3 5 4" xfId="44515" xr:uid="{00000000-0005-0000-0000-0000E3AD0000}"/>
    <cellStyle name="强调文字颜色 6 3 5 4 2" xfId="44516" xr:uid="{00000000-0005-0000-0000-0000E4AD0000}"/>
    <cellStyle name="强调文字颜色 6 3 6" xfId="44517" xr:uid="{00000000-0005-0000-0000-0000E5AD0000}"/>
    <cellStyle name="强调文字颜色 6 3 6 2" xfId="44518" xr:uid="{00000000-0005-0000-0000-0000E6AD0000}"/>
    <cellStyle name="强调文字颜色 6 3 6 2 2" xfId="44519" xr:uid="{00000000-0005-0000-0000-0000E7AD0000}"/>
    <cellStyle name="强调文字颜色 6 3 6 2 2 2" xfId="44520" xr:uid="{00000000-0005-0000-0000-0000E8AD0000}"/>
    <cellStyle name="强调文字颜色 6 3 6 3" xfId="44521" xr:uid="{00000000-0005-0000-0000-0000E9AD0000}"/>
    <cellStyle name="强调文字颜色 6 3 6 3 2" xfId="44522" xr:uid="{00000000-0005-0000-0000-0000EAAD0000}"/>
    <cellStyle name="强调文字颜色 6 3 7" xfId="44523" xr:uid="{00000000-0005-0000-0000-0000EBAD0000}"/>
    <cellStyle name="强调文字颜色 6 3 8" xfId="44524" xr:uid="{00000000-0005-0000-0000-0000ECAD0000}"/>
    <cellStyle name="數字一" xfId="44525" xr:uid="{00000000-0005-0000-0000-0000EDAD0000}"/>
    <cellStyle name="未定义" xfId="44526" xr:uid="{00000000-0005-0000-0000-0000EEAD0000}"/>
    <cellStyle name="标题 1 2" xfId="44527" xr:uid="{00000000-0005-0000-0000-0000EFAD0000}"/>
    <cellStyle name="标题 1 2 10" xfId="44528" xr:uid="{00000000-0005-0000-0000-0000F0AD0000}"/>
    <cellStyle name="标题 1 2 11" xfId="44529" xr:uid="{00000000-0005-0000-0000-0000F1AD0000}"/>
    <cellStyle name="标题 1 2 2" xfId="44530" xr:uid="{00000000-0005-0000-0000-0000F2AD0000}"/>
    <cellStyle name="标题 1 2 2 10" xfId="44531" xr:uid="{00000000-0005-0000-0000-0000F3AD0000}"/>
    <cellStyle name="标题 1 2 2 11" xfId="44532" xr:uid="{00000000-0005-0000-0000-0000F4AD0000}"/>
    <cellStyle name="标题 1 2 2 2" xfId="44533" xr:uid="{00000000-0005-0000-0000-0000F5AD0000}"/>
    <cellStyle name="标题 1 2 2 2 2" xfId="44534" xr:uid="{00000000-0005-0000-0000-0000F6AD0000}"/>
    <cellStyle name="标题 1 2 2 2 2 2" xfId="44535" xr:uid="{00000000-0005-0000-0000-0000F7AD0000}"/>
    <cellStyle name="标题 1 2 2 2 2 2 2" xfId="44536" xr:uid="{00000000-0005-0000-0000-0000F8AD0000}"/>
    <cellStyle name="标题 1 2 2 2 2 2 3" xfId="44537" xr:uid="{00000000-0005-0000-0000-0000F9AD0000}"/>
    <cellStyle name="标题 1 2 2 2 2 2 3 2" xfId="44538" xr:uid="{00000000-0005-0000-0000-0000FAAD0000}"/>
    <cellStyle name="标题 1 2 2 2 2 2 3 2 2" xfId="44539" xr:uid="{00000000-0005-0000-0000-0000FBAD0000}"/>
    <cellStyle name="标题 1 2 2 2 2 2 4" xfId="44540" xr:uid="{00000000-0005-0000-0000-0000FCAD0000}"/>
    <cellStyle name="标题 1 2 2 2 2 2 4 2" xfId="44541" xr:uid="{00000000-0005-0000-0000-0000FDAD0000}"/>
    <cellStyle name="标题 1 2 2 2 2 3" xfId="44542" xr:uid="{00000000-0005-0000-0000-0000FEAD0000}"/>
    <cellStyle name="标题 1 2 2 2 2 3 2" xfId="44543" xr:uid="{00000000-0005-0000-0000-0000FFAD0000}"/>
    <cellStyle name="标题 1 2 2 2 2 3 2 2" xfId="44544" xr:uid="{00000000-0005-0000-0000-000000AE0000}"/>
    <cellStyle name="标题 1 2 2 2 2 3 2 2 2" xfId="44545" xr:uid="{00000000-0005-0000-0000-000001AE0000}"/>
    <cellStyle name="标题 1 2 2 2 2 3 3" xfId="44546" xr:uid="{00000000-0005-0000-0000-000002AE0000}"/>
    <cellStyle name="标题 1 2 2 2 2 3 3 2" xfId="44547" xr:uid="{00000000-0005-0000-0000-000003AE0000}"/>
    <cellStyle name="标题 1 2 2 2 2 4" xfId="44548" xr:uid="{00000000-0005-0000-0000-000004AE0000}"/>
    <cellStyle name="标题 1 2 2 2 2 5" xfId="44549" xr:uid="{00000000-0005-0000-0000-000005AE0000}"/>
    <cellStyle name="标题 1 2 2 2 2 6" xfId="44550" xr:uid="{00000000-0005-0000-0000-000006AE0000}"/>
    <cellStyle name="标题 1 2 2 2 3" xfId="44551" xr:uid="{00000000-0005-0000-0000-000007AE0000}"/>
    <cellStyle name="标题 1 2 2 2 3 2" xfId="44552" xr:uid="{00000000-0005-0000-0000-000008AE0000}"/>
    <cellStyle name="标题 1 2 2 2 3 3" xfId="44553" xr:uid="{00000000-0005-0000-0000-000009AE0000}"/>
    <cellStyle name="标题 1 2 2 2 3 3 2" xfId="44554" xr:uid="{00000000-0005-0000-0000-00000AAE0000}"/>
    <cellStyle name="标题 1 2 2 2 3 3 2 2" xfId="44555" xr:uid="{00000000-0005-0000-0000-00000BAE0000}"/>
    <cellStyle name="标题 1 2 2 2 3 4" xfId="44556" xr:uid="{00000000-0005-0000-0000-00000CAE0000}"/>
    <cellStyle name="标题 1 2 2 2 3 4 2" xfId="44557" xr:uid="{00000000-0005-0000-0000-00000DAE0000}"/>
    <cellStyle name="标题 1 2 2 2 4" xfId="44558" xr:uid="{00000000-0005-0000-0000-00000EAE0000}"/>
    <cellStyle name="标题 1 2 2 2 4 2" xfId="44559" xr:uid="{00000000-0005-0000-0000-00000FAE0000}"/>
    <cellStyle name="标题 1 2 2 2 4 2 2" xfId="44560" xr:uid="{00000000-0005-0000-0000-000010AE0000}"/>
    <cellStyle name="标题 1 2 2 2 4 2 2 2" xfId="44561" xr:uid="{00000000-0005-0000-0000-000011AE0000}"/>
    <cellStyle name="标题 1 2 2 2 4 3" xfId="44562" xr:uid="{00000000-0005-0000-0000-000012AE0000}"/>
    <cellStyle name="标题 1 2 2 2 4 3 2" xfId="44563" xr:uid="{00000000-0005-0000-0000-000013AE0000}"/>
    <cellStyle name="标题 1 2 2 2 5" xfId="44564" xr:uid="{00000000-0005-0000-0000-000014AE0000}"/>
    <cellStyle name="标题 1 2 2 2 6" xfId="44565" xr:uid="{00000000-0005-0000-0000-000015AE0000}"/>
    <cellStyle name="标题 1 2 2 2 7" xfId="44566" xr:uid="{00000000-0005-0000-0000-000016AE0000}"/>
    <cellStyle name="标题 1 2 2 3" xfId="44567" xr:uid="{00000000-0005-0000-0000-000017AE0000}"/>
    <cellStyle name="标题 1 2 2 3 2" xfId="44568" xr:uid="{00000000-0005-0000-0000-000018AE0000}"/>
    <cellStyle name="标题 1 2 2 3 2 2" xfId="44569" xr:uid="{00000000-0005-0000-0000-000019AE0000}"/>
    <cellStyle name="标题 1 2 2 3 2 3" xfId="44570" xr:uid="{00000000-0005-0000-0000-00001AAE0000}"/>
    <cellStyle name="标题 1 2 2 3 2 3 2" xfId="44571" xr:uid="{00000000-0005-0000-0000-00001BAE0000}"/>
    <cellStyle name="标题 1 2 2 3 2 3 2 2" xfId="44572" xr:uid="{00000000-0005-0000-0000-00001CAE0000}"/>
    <cellStyle name="标题 1 2 2 3 2 4" xfId="44573" xr:uid="{00000000-0005-0000-0000-00001DAE0000}"/>
    <cellStyle name="标题 1 2 2 3 2 4 2" xfId="44574" xr:uid="{00000000-0005-0000-0000-00001EAE0000}"/>
    <cellStyle name="标题 1 2 2 3 3" xfId="44575" xr:uid="{00000000-0005-0000-0000-00001FAE0000}"/>
    <cellStyle name="标题 1 2 2 3 3 2" xfId="44576" xr:uid="{00000000-0005-0000-0000-000020AE0000}"/>
    <cellStyle name="标题 1 2 2 3 3 2 2" xfId="44577" xr:uid="{00000000-0005-0000-0000-000021AE0000}"/>
    <cellStyle name="标题 1 2 2 3 3 2 2 2" xfId="44578" xr:uid="{00000000-0005-0000-0000-000022AE0000}"/>
    <cellStyle name="标题 1 2 2 3 3 3" xfId="44579" xr:uid="{00000000-0005-0000-0000-000023AE0000}"/>
    <cellStyle name="标题 1 2 2 3 3 3 2" xfId="44580" xr:uid="{00000000-0005-0000-0000-000024AE0000}"/>
    <cellStyle name="标题 1 2 2 3 4" xfId="44581" xr:uid="{00000000-0005-0000-0000-000025AE0000}"/>
    <cellStyle name="标题 1 2 2 3 5" xfId="44582" xr:uid="{00000000-0005-0000-0000-000026AE0000}"/>
    <cellStyle name="标题 1 2 2 3 6" xfId="44583" xr:uid="{00000000-0005-0000-0000-000027AE0000}"/>
    <cellStyle name="标题 1 2 2 4" xfId="44584" xr:uid="{00000000-0005-0000-0000-000028AE0000}"/>
    <cellStyle name="标题 1 2 2 4 2" xfId="44585" xr:uid="{00000000-0005-0000-0000-000029AE0000}"/>
    <cellStyle name="标题 1 2 2 4 2 2" xfId="44586" xr:uid="{00000000-0005-0000-0000-00002AAE0000}"/>
    <cellStyle name="标题 1 2 2 4 2 3" xfId="44587" xr:uid="{00000000-0005-0000-0000-00002BAE0000}"/>
    <cellStyle name="标题 1 2 2 4 2 3 2" xfId="44588" xr:uid="{00000000-0005-0000-0000-00002CAE0000}"/>
    <cellStyle name="标题 1 2 2 4 2 3 2 2" xfId="44589" xr:uid="{00000000-0005-0000-0000-00002DAE0000}"/>
    <cellStyle name="标题 1 2 2 4 2 4" xfId="44590" xr:uid="{00000000-0005-0000-0000-00002EAE0000}"/>
    <cellStyle name="标题 1 2 2 4 2 4 2" xfId="44591" xr:uid="{00000000-0005-0000-0000-00002FAE0000}"/>
    <cellStyle name="标题 1 2 2 4 3" xfId="44592" xr:uid="{00000000-0005-0000-0000-000030AE0000}"/>
    <cellStyle name="标题 1 2 2 4 4" xfId="44593" xr:uid="{00000000-0005-0000-0000-000031AE0000}"/>
    <cellStyle name="标题 1 2 2 4 5" xfId="44594" xr:uid="{00000000-0005-0000-0000-000032AE0000}"/>
    <cellStyle name="标题 1 2 2 4 6" xfId="44595" xr:uid="{00000000-0005-0000-0000-000033AE0000}"/>
    <cellStyle name="标题 1 2 2 5" xfId="44596" xr:uid="{00000000-0005-0000-0000-000034AE0000}"/>
    <cellStyle name="标题 1 2 2 5 2" xfId="44597" xr:uid="{00000000-0005-0000-0000-000035AE0000}"/>
    <cellStyle name="标题 1 2 2 5 2 2" xfId="44598" xr:uid="{00000000-0005-0000-0000-000036AE0000}"/>
    <cellStyle name="标题 1 2 2 5 2 2 2" xfId="44599" xr:uid="{00000000-0005-0000-0000-000037AE0000}"/>
    <cellStyle name="标题 1 2 2 5 2 2 2 2" xfId="44600" xr:uid="{00000000-0005-0000-0000-000038AE0000}"/>
    <cellStyle name="标题 1 2 2 5 2 3" xfId="44601" xr:uid="{00000000-0005-0000-0000-000039AE0000}"/>
    <cellStyle name="标题 1 2 2 5 2 3 2" xfId="44602" xr:uid="{00000000-0005-0000-0000-00003AAE0000}"/>
    <cellStyle name="标题 1 2 2 5 3" xfId="44603" xr:uid="{00000000-0005-0000-0000-00003BAE0000}"/>
    <cellStyle name="标题 1 2 2 5 3 2" xfId="44604" xr:uid="{00000000-0005-0000-0000-00003CAE0000}"/>
    <cellStyle name="标题 1 2 2 5 3 2 2" xfId="44605" xr:uid="{00000000-0005-0000-0000-00003DAE0000}"/>
    <cellStyle name="标题 1 2 2 5 4" xfId="44606" xr:uid="{00000000-0005-0000-0000-00003EAE0000}"/>
    <cellStyle name="标题 1 2 2 5 4 2" xfId="44607" xr:uid="{00000000-0005-0000-0000-00003FAE0000}"/>
    <cellStyle name="标题 1 2 2 6" xfId="44608" xr:uid="{00000000-0005-0000-0000-000040AE0000}"/>
    <cellStyle name="标题 1 2 2 6 2" xfId="44609" xr:uid="{00000000-0005-0000-0000-000041AE0000}"/>
    <cellStyle name="标题 1 2 2 6 2 2" xfId="44610" xr:uid="{00000000-0005-0000-0000-000042AE0000}"/>
    <cellStyle name="标题 1 2 2 6 2 2 2" xfId="44611" xr:uid="{00000000-0005-0000-0000-000043AE0000}"/>
    <cellStyle name="标题 1 2 2 6 2 2 2 2" xfId="44612" xr:uid="{00000000-0005-0000-0000-000044AE0000}"/>
    <cellStyle name="标题 1 2 2 6 2 3" xfId="44613" xr:uid="{00000000-0005-0000-0000-000045AE0000}"/>
    <cellStyle name="标题 1 2 2 6 2 3 2" xfId="44614" xr:uid="{00000000-0005-0000-0000-000046AE0000}"/>
    <cellStyle name="标题 1 2 2 6 3" xfId="44615" xr:uid="{00000000-0005-0000-0000-000047AE0000}"/>
    <cellStyle name="标题 1 2 2 6 3 2" xfId="44616" xr:uid="{00000000-0005-0000-0000-000048AE0000}"/>
    <cellStyle name="标题 1 2 2 6 3 2 2" xfId="44617" xr:uid="{00000000-0005-0000-0000-000049AE0000}"/>
    <cellStyle name="标题 1 2 2 6 4" xfId="44618" xr:uid="{00000000-0005-0000-0000-00004AAE0000}"/>
    <cellStyle name="标题 1 2 2 6 4 2" xfId="44619" xr:uid="{00000000-0005-0000-0000-00004BAE0000}"/>
    <cellStyle name="标题 1 2 2 7" xfId="44620" xr:uid="{00000000-0005-0000-0000-00004CAE0000}"/>
    <cellStyle name="标题 1 2 2 7 2" xfId="44621" xr:uid="{00000000-0005-0000-0000-00004DAE0000}"/>
    <cellStyle name="标题 1 2 2 7 2 2" xfId="44622" xr:uid="{00000000-0005-0000-0000-00004EAE0000}"/>
    <cellStyle name="标题 1 2 2 7 2 2 2" xfId="44623" xr:uid="{00000000-0005-0000-0000-00004FAE0000}"/>
    <cellStyle name="标题 1 2 2 7 2 2 2 2" xfId="44624" xr:uid="{00000000-0005-0000-0000-000050AE0000}"/>
    <cellStyle name="标题 1 2 2 7 2 3" xfId="44625" xr:uid="{00000000-0005-0000-0000-000051AE0000}"/>
    <cellStyle name="标题 1 2 2 7 2 3 2" xfId="44626" xr:uid="{00000000-0005-0000-0000-000052AE0000}"/>
    <cellStyle name="标题 1 2 2 7 3" xfId="44627" xr:uid="{00000000-0005-0000-0000-000053AE0000}"/>
    <cellStyle name="标题 1 2 2 7 3 2" xfId="44628" xr:uid="{00000000-0005-0000-0000-000054AE0000}"/>
    <cellStyle name="标题 1 2 2 7 3 2 2" xfId="44629" xr:uid="{00000000-0005-0000-0000-000055AE0000}"/>
    <cellStyle name="标题 1 2 2 7 4" xfId="44630" xr:uid="{00000000-0005-0000-0000-000056AE0000}"/>
    <cellStyle name="标题 1 2 2 7 4 2" xfId="44631" xr:uid="{00000000-0005-0000-0000-000057AE0000}"/>
    <cellStyle name="标题 1 2 2 8" xfId="44632" xr:uid="{00000000-0005-0000-0000-000058AE0000}"/>
    <cellStyle name="标题 1 2 2 8 2" xfId="44633" xr:uid="{00000000-0005-0000-0000-000059AE0000}"/>
    <cellStyle name="标题 1 2 2 8 2 2" xfId="44634" xr:uid="{00000000-0005-0000-0000-00005AAE0000}"/>
    <cellStyle name="标题 1 2 2 8 2 2 2" xfId="44635" xr:uid="{00000000-0005-0000-0000-00005BAE0000}"/>
    <cellStyle name="标题 1 2 2 8 3" xfId="44636" xr:uid="{00000000-0005-0000-0000-00005CAE0000}"/>
    <cellStyle name="标题 1 2 2 8 3 2" xfId="44637" xr:uid="{00000000-0005-0000-0000-00005DAE0000}"/>
    <cellStyle name="标题 1 2 2 9" xfId="44638" xr:uid="{00000000-0005-0000-0000-00005EAE0000}"/>
    <cellStyle name="标题 1 2 2 9 2" xfId="44639" xr:uid="{00000000-0005-0000-0000-00005FAE0000}"/>
    <cellStyle name="标题 1 2 2 9 2 2" xfId="44640" xr:uid="{00000000-0005-0000-0000-000060AE0000}"/>
    <cellStyle name="标题 1 2 2 9 2 2 2" xfId="44641" xr:uid="{00000000-0005-0000-0000-000061AE0000}"/>
    <cellStyle name="标题 1 2 2 9 3" xfId="44642" xr:uid="{00000000-0005-0000-0000-000062AE0000}"/>
    <cellStyle name="标题 1 2 2 9 3 2" xfId="44643" xr:uid="{00000000-0005-0000-0000-000063AE0000}"/>
    <cellStyle name="标题 1 2 3" xfId="44644" xr:uid="{00000000-0005-0000-0000-000064AE0000}"/>
    <cellStyle name="标题 1 2 3 2" xfId="44645" xr:uid="{00000000-0005-0000-0000-000065AE0000}"/>
    <cellStyle name="标题 1 2 3 2 2" xfId="44646" xr:uid="{00000000-0005-0000-0000-000066AE0000}"/>
    <cellStyle name="标题 1 2 3 2 2 2" xfId="44647" xr:uid="{00000000-0005-0000-0000-000067AE0000}"/>
    <cellStyle name="标题 1 2 3 2 2 2 2" xfId="44648" xr:uid="{00000000-0005-0000-0000-000068AE0000}"/>
    <cellStyle name="标题 1 2 3 2 2 2 3" xfId="44649" xr:uid="{00000000-0005-0000-0000-000069AE0000}"/>
    <cellStyle name="标题 1 2 3 2 2 2 3 2" xfId="44650" xr:uid="{00000000-0005-0000-0000-00006AAE0000}"/>
    <cellStyle name="标题 1 2 3 2 2 2 3 2 2" xfId="44651" xr:uid="{00000000-0005-0000-0000-00006BAE0000}"/>
    <cellStyle name="标题 1 2 3 2 2 2 4" xfId="44652" xr:uid="{00000000-0005-0000-0000-00006CAE0000}"/>
    <cellStyle name="标题 1 2 3 2 2 2 4 2" xfId="44653" xr:uid="{00000000-0005-0000-0000-00006DAE0000}"/>
    <cellStyle name="标题 1 2 3 2 2 3" xfId="44654" xr:uid="{00000000-0005-0000-0000-00006EAE0000}"/>
    <cellStyle name="标题 1 2 3 2 2 3 2" xfId="44655" xr:uid="{00000000-0005-0000-0000-00006FAE0000}"/>
    <cellStyle name="标题 1 2 3 2 2 3 2 2" xfId="44656" xr:uid="{00000000-0005-0000-0000-000070AE0000}"/>
    <cellStyle name="标题 1 2 3 2 2 3 2 2 2" xfId="44657" xr:uid="{00000000-0005-0000-0000-000071AE0000}"/>
    <cellStyle name="标题 1 2 3 2 2 3 3" xfId="44658" xr:uid="{00000000-0005-0000-0000-000072AE0000}"/>
    <cellStyle name="标题 1 2 3 2 2 3 3 2" xfId="44659" xr:uid="{00000000-0005-0000-0000-000073AE0000}"/>
    <cellStyle name="标题 1 2 3 2 2 4" xfId="44660" xr:uid="{00000000-0005-0000-0000-000074AE0000}"/>
    <cellStyle name="标题 1 2 3 2 2 5" xfId="44661" xr:uid="{00000000-0005-0000-0000-000075AE0000}"/>
    <cellStyle name="标题 1 2 3 2 2 6" xfId="44662" xr:uid="{00000000-0005-0000-0000-000076AE0000}"/>
    <cellStyle name="标题 1 2 3 2 3" xfId="44663" xr:uid="{00000000-0005-0000-0000-000077AE0000}"/>
    <cellStyle name="标题 1 2 3 2 3 2" xfId="44664" xr:uid="{00000000-0005-0000-0000-000078AE0000}"/>
    <cellStyle name="标题 1 2 3 2 3 3" xfId="44665" xr:uid="{00000000-0005-0000-0000-000079AE0000}"/>
    <cellStyle name="标题 1 2 3 2 3 3 2" xfId="44666" xr:uid="{00000000-0005-0000-0000-00007AAE0000}"/>
    <cellStyle name="标题 1 2 3 2 3 3 2 2" xfId="44667" xr:uid="{00000000-0005-0000-0000-00007BAE0000}"/>
    <cellStyle name="标题 1 2 3 2 3 4" xfId="44668" xr:uid="{00000000-0005-0000-0000-00007CAE0000}"/>
    <cellStyle name="标题 1 2 3 2 3 4 2" xfId="44669" xr:uid="{00000000-0005-0000-0000-00007DAE0000}"/>
    <cellStyle name="标题 1 2 3 2 4" xfId="44670" xr:uid="{00000000-0005-0000-0000-00007EAE0000}"/>
    <cellStyle name="标题 1 2 3 2 4 2" xfId="44671" xr:uid="{00000000-0005-0000-0000-00007FAE0000}"/>
    <cellStyle name="标题 1 2 3 2 4 2 2" xfId="44672" xr:uid="{00000000-0005-0000-0000-000080AE0000}"/>
    <cellStyle name="标题 1 2 3 2 4 2 2 2" xfId="44673" xr:uid="{00000000-0005-0000-0000-000081AE0000}"/>
    <cellStyle name="标题 1 2 3 2 4 3" xfId="44674" xr:uid="{00000000-0005-0000-0000-000082AE0000}"/>
    <cellStyle name="标题 1 2 3 2 4 3 2" xfId="44675" xr:uid="{00000000-0005-0000-0000-000083AE0000}"/>
    <cellStyle name="标题 1 2 3 2 5" xfId="44676" xr:uid="{00000000-0005-0000-0000-000084AE0000}"/>
    <cellStyle name="标题 1 2 3 2 6" xfId="44677" xr:uid="{00000000-0005-0000-0000-000085AE0000}"/>
    <cellStyle name="标题 1 2 3 2 7" xfId="44678" xr:uid="{00000000-0005-0000-0000-000086AE0000}"/>
    <cellStyle name="标题 1 2 3 3" xfId="44679" xr:uid="{00000000-0005-0000-0000-000087AE0000}"/>
    <cellStyle name="标题 1 2 3 3 2" xfId="44680" xr:uid="{00000000-0005-0000-0000-000088AE0000}"/>
    <cellStyle name="标题 1 2 3 3 2 2" xfId="44681" xr:uid="{00000000-0005-0000-0000-000089AE0000}"/>
    <cellStyle name="标题 1 2 3 3 2 3" xfId="44682" xr:uid="{00000000-0005-0000-0000-00008AAE0000}"/>
    <cellStyle name="标题 1 2 3 3 2 3 2" xfId="44683" xr:uid="{00000000-0005-0000-0000-00008BAE0000}"/>
    <cellStyle name="标题 1 2 3 3 2 3 2 2" xfId="44684" xr:uid="{00000000-0005-0000-0000-00008CAE0000}"/>
    <cellStyle name="标题 1 2 3 3 2 4" xfId="44685" xr:uid="{00000000-0005-0000-0000-00008DAE0000}"/>
    <cellStyle name="标题 1 2 3 3 2 4 2" xfId="44686" xr:uid="{00000000-0005-0000-0000-00008EAE0000}"/>
    <cellStyle name="标题 1 2 3 3 3" xfId="44687" xr:uid="{00000000-0005-0000-0000-00008FAE0000}"/>
    <cellStyle name="标题 1 2 3 3 3 2" xfId="44688" xr:uid="{00000000-0005-0000-0000-000090AE0000}"/>
    <cellStyle name="标题 1 2 3 3 3 2 2" xfId="44689" xr:uid="{00000000-0005-0000-0000-000091AE0000}"/>
    <cellStyle name="标题 1 2 3 3 3 2 2 2" xfId="44690" xr:uid="{00000000-0005-0000-0000-000092AE0000}"/>
    <cellStyle name="标题 1 2 3 3 3 3" xfId="44691" xr:uid="{00000000-0005-0000-0000-000093AE0000}"/>
    <cellStyle name="标题 1 2 3 3 3 3 2" xfId="44692" xr:uid="{00000000-0005-0000-0000-000094AE0000}"/>
    <cellStyle name="标题 1 2 3 3 4" xfId="44693" xr:uid="{00000000-0005-0000-0000-000095AE0000}"/>
    <cellStyle name="标题 1 2 3 3 5" xfId="44694" xr:uid="{00000000-0005-0000-0000-000096AE0000}"/>
    <cellStyle name="标题 1 2 3 3 6" xfId="44695" xr:uid="{00000000-0005-0000-0000-000097AE0000}"/>
    <cellStyle name="标题 1 2 3 4" xfId="44696" xr:uid="{00000000-0005-0000-0000-000098AE0000}"/>
    <cellStyle name="标题 1 2 3 4 2" xfId="44697" xr:uid="{00000000-0005-0000-0000-000099AE0000}"/>
    <cellStyle name="标题 1 2 3 4 2 2" xfId="44698" xr:uid="{00000000-0005-0000-0000-00009AAE0000}"/>
    <cellStyle name="标题 1 2 3 4 2 3" xfId="44699" xr:uid="{00000000-0005-0000-0000-00009BAE0000}"/>
    <cellStyle name="标题 1 2 3 4 2 3 2" xfId="44700" xr:uid="{00000000-0005-0000-0000-00009CAE0000}"/>
    <cellStyle name="标题 1 2 3 4 2 3 2 2" xfId="44701" xr:uid="{00000000-0005-0000-0000-00009DAE0000}"/>
    <cellStyle name="标题 1 2 3 4 2 4" xfId="44702" xr:uid="{00000000-0005-0000-0000-00009EAE0000}"/>
    <cellStyle name="标题 1 2 3 4 2 4 2" xfId="44703" xr:uid="{00000000-0005-0000-0000-00009FAE0000}"/>
    <cellStyle name="标题 1 2 3 4 3" xfId="44704" xr:uid="{00000000-0005-0000-0000-0000A0AE0000}"/>
    <cellStyle name="标题 1 2 3 4 4" xfId="44705" xr:uid="{00000000-0005-0000-0000-0000A1AE0000}"/>
    <cellStyle name="标题 1 2 3 4 5" xfId="44706" xr:uid="{00000000-0005-0000-0000-0000A2AE0000}"/>
    <cellStyle name="标题 1 2 3 4 6" xfId="44707" xr:uid="{00000000-0005-0000-0000-0000A3AE0000}"/>
    <cellStyle name="标题 1 2 3 5" xfId="44708" xr:uid="{00000000-0005-0000-0000-0000A4AE0000}"/>
    <cellStyle name="标题 1 2 3 5 2" xfId="44709" xr:uid="{00000000-0005-0000-0000-0000A5AE0000}"/>
    <cellStyle name="标题 1 2 3 5 2 2" xfId="44710" xr:uid="{00000000-0005-0000-0000-0000A6AE0000}"/>
    <cellStyle name="标题 1 2 3 5 2 2 2" xfId="44711" xr:uid="{00000000-0005-0000-0000-0000A7AE0000}"/>
    <cellStyle name="标题 1 2 3 5 2 2 2 2" xfId="44712" xr:uid="{00000000-0005-0000-0000-0000A8AE0000}"/>
    <cellStyle name="标题 1 2 3 5 2 3" xfId="44713" xr:uid="{00000000-0005-0000-0000-0000A9AE0000}"/>
    <cellStyle name="标题 1 2 3 5 2 3 2" xfId="44714" xr:uid="{00000000-0005-0000-0000-0000AAAE0000}"/>
    <cellStyle name="标题 1 2 3 5 3" xfId="44715" xr:uid="{00000000-0005-0000-0000-0000ABAE0000}"/>
    <cellStyle name="标题 1 2 3 5 3 2" xfId="44716" xr:uid="{00000000-0005-0000-0000-0000ACAE0000}"/>
    <cellStyle name="标题 1 2 3 5 3 2 2" xfId="44717" xr:uid="{00000000-0005-0000-0000-0000ADAE0000}"/>
    <cellStyle name="标题 1 2 3 5 4" xfId="44718" xr:uid="{00000000-0005-0000-0000-0000AEAE0000}"/>
    <cellStyle name="标题 1 2 3 5 4 2" xfId="44719" xr:uid="{00000000-0005-0000-0000-0000AFAE0000}"/>
    <cellStyle name="标题 1 2 3 6" xfId="44720" xr:uid="{00000000-0005-0000-0000-0000B0AE0000}"/>
    <cellStyle name="标题 1 2 3 6 2" xfId="44721" xr:uid="{00000000-0005-0000-0000-0000B1AE0000}"/>
    <cellStyle name="标题 1 2 3 6 2 2" xfId="44722" xr:uid="{00000000-0005-0000-0000-0000B2AE0000}"/>
    <cellStyle name="标题 1 2 3 6 2 2 2" xfId="44723" xr:uid="{00000000-0005-0000-0000-0000B3AE0000}"/>
    <cellStyle name="标题 1 2 3 6 3" xfId="44724" xr:uid="{00000000-0005-0000-0000-0000B4AE0000}"/>
    <cellStyle name="标题 1 2 3 6 3 2" xfId="44725" xr:uid="{00000000-0005-0000-0000-0000B5AE0000}"/>
    <cellStyle name="标题 1 2 3 7" xfId="44726" xr:uid="{00000000-0005-0000-0000-0000B6AE0000}"/>
    <cellStyle name="标题 1 2 3 7 2" xfId="44727" xr:uid="{00000000-0005-0000-0000-0000B7AE0000}"/>
    <cellStyle name="标题 1 2 3 7 2 2" xfId="44728" xr:uid="{00000000-0005-0000-0000-0000B8AE0000}"/>
    <cellStyle name="标题 1 2 3 7 2 2 2" xfId="44729" xr:uid="{00000000-0005-0000-0000-0000B9AE0000}"/>
    <cellStyle name="标题 1 2 3 7 3" xfId="44730" xr:uid="{00000000-0005-0000-0000-0000BAAE0000}"/>
    <cellStyle name="标题 1 2 3 7 3 2" xfId="44731" xr:uid="{00000000-0005-0000-0000-0000BBAE0000}"/>
    <cellStyle name="标题 1 2 3 8" xfId="44732" xr:uid="{00000000-0005-0000-0000-0000BCAE0000}"/>
    <cellStyle name="标题 1 2 3 9" xfId="44733" xr:uid="{00000000-0005-0000-0000-0000BDAE0000}"/>
    <cellStyle name="标题 1 2 4" xfId="44734" xr:uid="{00000000-0005-0000-0000-0000BEAE0000}"/>
    <cellStyle name="标题 1 2 4 2" xfId="44735" xr:uid="{00000000-0005-0000-0000-0000BFAE0000}"/>
    <cellStyle name="标题 1 2 4 2 2" xfId="44736" xr:uid="{00000000-0005-0000-0000-0000C0AE0000}"/>
    <cellStyle name="标题 1 2 4 2 3" xfId="44737" xr:uid="{00000000-0005-0000-0000-0000C1AE0000}"/>
    <cellStyle name="标题 1 2 4 2 3 2" xfId="44738" xr:uid="{00000000-0005-0000-0000-0000C2AE0000}"/>
    <cellStyle name="标题 1 2 4 2 3 2 2" xfId="44739" xr:uid="{00000000-0005-0000-0000-0000C3AE0000}"/>
    <cellStyle name="标题 1 2 4 2 4" xfId="44740" xr:uid="{00000000-0005-0000-0000-0000C4AE0000}"/>
    <cellStyle name="标题 1 2 4 2 4 2" xfId="44741" xr:uid="{00000000-0005-0000-0000-0000C5AE0000}"/>
    <cellStyle name="标题 1 2 4 3" xfId="44742" xr:uid="{00000000-0005-0000-0000-0000C6AE0000}"/>
    <cellStyle name="标题 1 2 4 3 2" xfId="44743" xr:uid="{00000000-0005-0000-0000-0000C7AE0000}"/>
    <cellStyle name="标题 1 2 4 3 2 2" xfId="44744" xr:uid="{00000000-0005-0000-0000-0000C8AE0000}"/>
    <cellStyle name="标题 1 2 4 3 2 2 2" xfId="44745" xr:uid="{00000000-0005-0000-0000-0000C9AE0000}"/>
    <cellStyle name="标题 1 2 4 3 3" xfId="44746" xr:uid="{00000000-0005-0000-0000-0000CAAE0000}"/>
    <cellStyle name="标题 1 2 4 3 3 2" xfId="44747" xr:uid="{00000000-0005-0000-0000-0000CBAE0000}"/>
    <cellStyle name="标题 1 2 4 4" xfId="44748" xr:uid="{00000000-0005-0000-0000-0000CCAE0000}"/>
    <cellStyle name="标题 1 2 4 5" xfId="44749" xr:uid="{00000000-0005-0000-0000-0000CDAE0000}"/>
    <cellStyle name="标题 1 2 4 6" xfId="44750" xr:uid="{00000000-0005-0000-0000-0000CEAE0000}"/>
    <cellStyle name="标题 1 2 5" xfId="44751" xr:uid="{00000000-0005-0000-0000-0000CFAE0000}"/>
    <cellStyle name="标题 1 2 5 2" xfId="44752" xr:uid="{00000000-0005-0000-0000-0000D0AE0000}"/>
    <cellStyle name="标题 1 2 5 2 2" xfId="44753" xr:uid="{00000000-0005-0000-0000-0000D1AE0000}"/>
    <cellStyle name="标题 1 2 5 2 3" xfId="44754" xr:uid="{00000000-0005-0000-0000-0000D2AE0000}"/>
    <cellStyle name="标题 1 2 5 2 3 2" xfId="44755" xr:uid="{00000000-0005-0000-0000-0000D3AE0000}"/>
    <cellStyle name="标题 1 2 5 2 3 2 2" xfId="44756" xr:uid="{00000000-0005-0000-0000-0000D4AE0000}"/>
    <cellStyle name="标题 1 2 5 2 4" xfId="44757" xr:uid="{00000000-0005-0000-0000-0000D5AE0000}"/>
    <cellStyle name="标题 1 2 5 2 4 2" xfId="44758" xr:uid="{00000000-0005-0000-0000-0000D6AE0000}"/>
    <cellStyle name="标题 1 2 5 3" xfId="44759" xr:uid="{00000000-0005-0000-0000-0000D7AE0000}"/>
    <cellStyle name="标题 1 2 5 4" xfId="44760" xr:uid="{00000000-0005-0000-0000-0000D8AE0000}"/>
    <cellStyle name="标题 1 2 5 5" xfId="44761" xr:uid="{00000000-0005-0000-0000-0000D9AE0000}"/>
    <cellStyle name="标题 1 2 5 6" xfId="44762" xr:uid="{00000000-0005-0000-0000-0000DAAE0000}"/>
    <cellStyle name="标题 1 2 6" xfId="44763" xr:uid="{00000000-0005-0000-0000-0000DBAE0000}"/>
    <cellStyle name="标题 1 2 6 2" xfId="44764" xr:uid="{00000000-0005-0000-0000-0000DCAE0000}"/>
    <cellStyle name="标题 1 2 6 2 2" xfId="44765" xr:uid="{00000000-0005-0000-0000-0000DDAE0000}"/>
    <cellStyle name="标题 1 2 6 2 2 2" xfId="44766" xr:uid="{00000000-0005-0000-0000-0000DEAE0000}"/>
    <cellStyle name="标题 1 2 6 2 2 2 2" xfId="44767" xr:uid="{00000000-0005-0000-0000-0000DFAE0000}"/>
    <cellStyle name="标题 1 2 6 2 3" xfId="44768" xr:uid="{00000000-0005-0000-0000-0000E0AE0000}"/>
    <cellStyle name="标题 1 2 6 2 3 2" xfId="44769" xr:uid="{00000000-0005-0000-0000-0000E1AE0000}"/>
    <cellStyle name="标题 1 2 6 3" xfId="44770" xr:uid="{00000000-0005-0000-0000-0000E2AE0000}"/>
    <cellStyle name="标题 1 2 6 3 2" xfId="44771" xr:uid="{00000000-0005-0000-0000-0000E3AE0000}"/>
    <cellStyle name="标题 1 2 6 3 2 2" xfId="44772" xr:uid="{00000000-0005-0000-0000-0000E4AE0000}"/>
    <cellStyle name="标题 1 2 6 4" xfId="44773" xr:uid="{00000000-0005-0000-0000-0000E5AE0000}"/>
    <cellStyle name="标题 1 2 6 4 2" xfId="44774" xr:uid="{00000000-0005-0000-0000-0000E6AE0000}"/>
    <cellStyle name="标题 1 2 7" xfId="44775" xr:uid="{00000000-0005-0000-0000-0000E7AE0000}"/>
    <cellStyle name="标题 1 2 7 2" xfId="44776" xr:uid="{00000000-0005-0000-0000-0000E8AE0000}"/>
    <cellStyle name="标题 1 2 7 2 2" xfId="44777" xr:uid="{00000000-0005-0000-0000-0000E9AE0000}"/>
    <cellStyle name="标题 1 2 7 2 2 2" xfId="44778" xr:uid="{00000000-0005-0000-0000-0000EAAE0000}"/>
    <cellStyle name="标题 1 2 7 2 2 2 2" xfId="44779" xr:uid="{00000000-0005-0000-0000-0000EBAE0000}"/>
    <cellStyle name="标题 1 2 7 2 3" xfId="44780" xr:uid="{00000000-0005-0000-0000-0000ECAE0000}"/>
    <cellStyle name="标题 1 2 7 2 3 2" xfId="44781" xr:uid="{00000000-0005-0000-0000-0000EDAE0000}"/>
    <cellStyle name="标题 1 2 7 3" xfId="44782" xr:uid="{00000000-0005-0000-0000-0000EEAE0000}"/>
    <cellStyle name="标题 1 2 7 3 2" xfId="44783" xr:uid="{00000000-0005-0000-0000-0000EFAE0000}"/>
    <cellStyle name="标题 1 2 7 3 2 2" xfId="44784" xr:uid="{00000000-0005-0000-0000-0000F0AE0000}"/>
    <cellStyle name="标题 1 2 7 4" xfId="44785" xr:uid="{00000000-0005-0000-0000-0000F1AE0000}"/>
    <cellStyle name="标题 1 2 7 4 2" xfId="44786" xr:uid="{00000000-0005-0000-0000-0000F2AE0000}"/>
    <cellStyle name="标题 1 2 8" xfId="44787" xr:uid="{00000000-0005-0000-0000-0000F3AE0000}"/>
    <cellStyle name="标题 1 2 8 2" xfId="44788" xr:uid="{00000000-0005-0000-0000-0000F4AE0000}"/>
    <cellStyle name="标题 1 2 8 2 2" xfId="44789" xr:uid="{00000000-0005-0000-0000-0000F5AE0000}"/>
    <cellStyle name="标题 1 2 8 2 2 2" xfId="44790" xr:uid="{00000000-0005-0000-0000-0000F6AE0000}"/>
    <cellStyle name="标题 1 2 8 2 2 2 2" xfId="44791" xr:uid="{00000000-0005-0000-0000-0000F7AE0000}"/>
    <cellStyle name="标题 1 2 8 2 3" xfId="44792" xr:uid="{00000000-0005-0000-0000-0000F8AE0000}"/>
    <cellStyle name="标题 1 2 8 2 3 2" xfId="44793" xr:uid="{00000000-0005-0000-0000-0000F9AE0000}"/>
    <cellStyle name="标题 1 2 8 3" xfId="44794" xr:uid="{00000000-0005-0000-0000-0000FAAE0000}"/>
    <cellStyle name="标题 1 2 8 3 2" xfId="44795" xr:uid="{00000000-0005-0000-0000-0000FBAE0000}"/>
    <cellStyle name="标题 1 2 8 3 2 2" xfId="44796" xr:uid="{00000000-0005-0000-0000-0000FCAE0000}"/>
    <cellStyle name="标题 1 2 8 4" xfId="44797" xr:uid="{00000000-0005-0000-0000-0000FDAE0000}"/>
    <cellStyle name="标题 1 2 8 4 2" xfId="44798" xr:uid="{00000000-0005-0000-0000-0000FEAE0000}"/>
    <cellStyle name="标题 1 2 9" xfId="44799" xr:uid="{00000000-0005-0000-0000-0000FFAE0000}"/>
    <cellStyle name="标题 1 2 9 2" xfId="44800" xr:uid="{00000000-0005-0000-0000-000000AF0000}"/>
    <cellStyle name="标题 1 2 9 2 2" xfId="44801" xr:uid="{00000000-0005-0000-0000-000001AF0000}"/>
    <cellStyle name="标题 1 2 9 2 2 2" xfId="44802" xr:uid="{00000000-0005-0000-0000-000002AF0000}"/>
    <cellStyle name="标题 1 2 9 3" xfId="44803" xr:uid="{00000000-0005-0000-0000-000003AF0000}"/>
    <cellStyle name="标题 1 2 9 3 2" xfId="44804" xr:uid="{00000000-0005-0000-0000-000004AF0000}"/>
    <cellStyle name="标题 1 3" xfId="44805" xr:uid="{00000000-0005-0000-0000-000005AF0000}"/>
    <cellStyle name="标题 1 3 2" xfId="44806" xr:uid="{00000000-0005-0000-0000-000006AF0000}"/>
    <cellStyle name="标题 1 3 2 2" xfId="44807" xr:uid="{00000000-0005-0000-0000-000007AF0000}"/>
    <cellStyle name="标题 1 3 2 2 2" xfId="44808" xr:uid="{00000000-0005-0000-0000-000008AF0000}"/>
    <cellStyle name="标题 1 3 2 2 2 2" xfId="44809" xr:uid="{00000000-0005-0000-0000-000009AF0000}"/>
    <cellStyle name="标题 1 3 2 2 2 3" xfId="44810" xr:uid="{00000000-0005-0000-0000-00000AAF0000}"/>
    <cellStyle name="标题 1 3 2 2 2 3 2" xfId="44811" xr:uid="{00000000-0005-0000-0000-00000BAF0000}"/>
    <cellStyle name="标题 1 3 2 2 2 3 2 2" xfId="44812" xr:uid="{00000000-0005-0000-0000-00000CAF0000}"/>
    <cellStyle name="标题 1 3 2 2 2 4" xfId="44813" xr:uid="{00000000-0005-0000-0000-00000DAF0000}"/>
    <cellStyle name="标题 1 3 2 2 2 4 2" xfId="44814" xr:uid="{00000000-0005-0000-0000-00000EAF0000}"/>
    <cellStyle name="标题 1 3 2 2 3" xfId="44815" xr:uid="{00000000-0005-0000-0000-00000FAF0000}"/>
    <cellStyle name="标题 1 3 2 2 3 2" xfId="44816" xr:uid="{00000000-0005-0000-0000-000010AF0000}"/>
    <cellStyle name="标题 1 3 2 2 3 2 2" xfId="44817" xr:uid="{00000000-0005-0000-0000-000011AF0000}"/>
    <cellStyle name="标题 1 3 2 2 3 2 2 2" xfId="44818" xr:uid="{00000000-0005-0000-0000-000012AF0000}"/>
    <cellStyle name="标题 1 3 2 2 3 3" xfId="44819" xr:uid="{00000000-0005-0000-0000-000013AF0000}"/>
    <cellStyle name="标题 1 3 2 2 3 3 2" xfId="44820" xr:uid="{00000000-0005-0000-0000-000014AF0000}"/>
    <cellStyle name="标题 1 3 2 2 4" xfId="44821" xr:uid="{00000000-0005-0000-0000-000015AF0000}"/>
    <cellStyle name="标题 1 3 2 2 5" xfId="44822" xr:uid="{00000000-0005-0000-0000-000016AF0000}"/>
    <cellStyle name="标题 1 3 2 2 6" xfId="44823" xr:uid="{00000000-0005-0000-0000-000017AF0000}"/>
    <cellStyle name="标题 1 3 2 3" xfId="44824" xr:uid="{00000000-0005-0000-0000-000018AF0000}"/>
    <cellStyle name="标题 1 3 2 3 2" xfId="44825" xr:uid="{00000000-0005-0000-0000-000019AF0000}"/>
    <cellStyle name="标题 1 3 2 3 3" xfId="44826" xr:uid="{00000000-0005-0000-0000-00001AAF0000}"/>
    <cellStyle name="标题 1 3 2 3 3 2" xfId="44827" xr:uid="{00000000-0005-0000-0000-00001BAF0000}"/>
    <cellStyle name="标题 1 3 2 3 3 2 2" xfId="44828" xr:uid="{00000000-0005-0000-0000-00001CAF0000}"/>
    <cellStyle name="标题 1 3 2 3 4" xfId="44829" xr:uid="{00000000-0005-0000-0000-00001DAF0000}"/>
    <cellStyle name="标题 1 3 2 3 4 2" xfId="44830" xr:uid="{00000000-0005-0000-0000-00001EAF0000}"/>
    <cellStyle name="标题 1 3 2 4" xfId="44831" xr:uid="{00000000-0005-0000-0000-00001FAF0000}"/>
    <cellStyle name="标题 1 3 2 4 2" xfId="44832" xr:uid="{00000000-0005-0000-0000-000020AF0000}"/>
    <cellStyle name="标题 1 3 2 4 2 2" xfId="44833" xr:uid="{00000000-0005-0000-0000-000021AF0000}"/>
    <cellStyle name="标题 1 3 2 4 2 2 2" xfId="44834" xr:uid="{00000000-0005-0000-0000-000022AF0000}"/>
    <cellStyle name="标题 1 3 2 4 3" xfId="44835" xr:uid="{00000000-0005-0000-0000-000023AF0000}"/>
    <cellStyle name="标题 1 3 2 4 3 2" xfId="44836" xr:uid="{00000000-0005-0000-0000-000024AF0000}"/>
    <cellStyle name="标题 1 3 2 5" xfId="44837" xr:uid="{00000000-0005-0000-0000-000025AF0000}"/>
    <cellStyle name="标题 1 3 2 6" xfId="44838" xr:uid="{00000000-0005-0000-0000-000026AF0000}"/>
    <cellStyle name="标题 1 3 2 7" xfId="44839" xr:uid="{00000000-0005-0000-0000-000027AF0000}"/>
    <cellStyle name="标题 1 3 3" xfId="44840" xr:uid="{00000000-0005-0000-0000-000028AF0000}"/>
    <cellStyle name="标题 1 3 3 2" xfId="44841" xr:uid="{00000000-0005-0000-0000-000029AF0000}"/>
    <cellStyle name="标题 1 3 3 2 2" xfId="44842" xr:uid="{00000000-0005-0000-0000-00002AAF0000}"/>
    <cellStyle name="标题 1 3 3 2 3" xfId="44843" xr:uid="{00000000-0005-0000-0000-00002BAF0000}"/>
    <cellStyle name="标题 1 3 3 2 3 2" xfId="44844" xr:uid="{00000000-0005-0000-0000-00002CAF0000}"/>
    <cellStyle name="标题 1 3 3 2 3 2 2" xfId="44845" xr:uid="{00000000-0005-0000-0000-00002DAF0000}"/>
    <cellStyle name="标题 1 3 3 2 4" xfId="44846" xr:uid="{00000000-0005-0000-0000-00002EAF0000}"/>
    <cellStyle name="标题 1 3 3 2 4 2" xfId="44847" xr:uid="{00000000-0005-0000-0000-00002FAF0000}"/>
    <cellStyle name="标题 1 3 3 3" xfId="44848" xr:uid="{00000000-0005-0000-0000-000030AF0000}"/>
    <cellStyle name="标题 1 3 3 3 2" xfId="44849" xr:uid="{00000000-0005-0000-0000-000031AF0000}"/>
    <cellStyle name="标题 1 3 3 3 2 2" xfId="44850" xr:uid="{00000000-0005-0000-0000-000032AF0000}"/>
    <cellStyle name="标题 1 3 3 3 2 2 2" xfId="44851" xr:uid="{00000000-0005-0000-0000-000033AF0000}"/>
    <cellStyle name="标题 1 3 3 3 3" xfId="44852" xr:uid="{00000000-0005-0000-0000-000034AF0000}"/>
    <cellStyle name="标题 1 3 3 3 3 2" xfId="44853" xr:uid="{00000000-0005-0000-0000-000035AF0000}"/>
    <cellStyle name="标题 1 3 3 4" xfId="44854" xr:uid="{00000000-0005-0000-0000-000036AF0000}"/>
    <cellStyle name="标题 1 3 3 5" xfId="44855" xr:uid="{00000000-0005-0000-0000-000037AF0000}"/>
    <cellStyle name="标题 1 3 3 6" xfId="44856" xr:uid="{00000000-0005-0000-0000-000038AF0000}"/>
    <cellStyle name="标题 1 3 4" xfId="44857" xr:uid="{00000000-0005-0000-0000-000039AF0000}"/>
    <cellStyle name="标题 1 3 4 2" xfId="44858" xr:uid="{00000000-0005-0000-0000-00003AAF0000}"/>
    <cellStyle name="标题 1 3 4 2 2" xfId="44859" xr:uid="{00000000-0005-0000-0000-00003BAF0000}"/>
    <cellStyle name="标题 1 3 4 2 3" xfId="44860" xr:uid="{00000000-0005-0000-0000-00003CAF0000}"/>
    <cellStyle name="标题 1 3 4 2 3 2" xfId="44861" xr:uid="{00000000-0005-0000-0000-00003DAF0000}"/>
    <cellStyle name="标题 1 3 4 2 3 2 2" xfId="44862" xr:uid="{00000000-0005-0000-0000-00003EAF0000}"/>
    <cellStyle name="标题 1 3 4 2 4" xfId="44863" xr:uid="{00000000-0005-0000-0000-00003FAF0000}"/>
    <cellStyle name="标题 1 3 4 2 4 2" xfId="44864" xr:uid="{00000000-0005-0000-0000-000040AF0000}"/>
    <cellStyle name="标题 1 3 4 3" xfId="44865" xr:uid="{00000000-0005-0000-0000-000041AF0000}"/>
    <cellStyle name="标题 1 3 4 4" xfId="44866" xr:uid="{00000000-0005-0000-0000-000042AF0000}"/>
    <cellStyle name="标题 1 3 4 5" xfId="44867" xr:uid="{00000000-0005-0000-0000-000043AF0000}"/>
    <cellStyle name="标题 1 3 4 6" xfId="44868" xr:uid="{00000000-0005-0000-0000-000044AF0000}"/>
    <cellStyle name="标题 1 3 5" xfId="44869" xr:uid="{00000000-0005-0000-0000-000045AF0000}"/>
    <cellStyle name="标题 1 3 5 2" xfId="44870" xr:uid="{00000000-0005-0000-0000-000046AF0000}"/>
    <cellStyle name="标题 1 3 5 2 2" xfId="44871" xr:uid="{00000000-0005-0000-0000-000047AF0000}"/>
    <cellStyle name="标题 1 3 5 2 2 2" xfId="44872" xr:uid="{00000000-0005-0000-0000-000048AF0000}"/>
    <cellStyle name="标题 1 3 5 2 2 2 2" xfId="44873" xr:uid="{00000000-0005-0000-0000-000049AF0000}"/>
    <cellStyle name="标题 1 3 5 2 3" xfId="44874" xr:uid="{00000000-0005-0000-0000-00004AAF0000}"/>
    <cellStyle name="标题 1 3 5 2 3 2" xfId="44875" xr:uid="{00000000-0005-0000-0000-00004BAF0000}"/>
    <cellStyle name="标题 1 3 5 3" xfId="44876" xr:uid="{00000000-0005-0000-0000-00004CAF0000}"/>
    <cellStyle name="标题 1 3 5 3 2" xfId="44877" xr:uid="{00000000-0005-0000-0000-00004DAF0000}"/>
    <cellStyle name="标题 1 3 5 3 2 2" xfId="44878" xr:uid="{00000000-0005-0000-0000-00004EAF0000}"/>
    <cellStyle name="标题 1 3 5 4" xfId="44879" xr:uid="{00000000-0005-0000-0000-00004FAF0000}"/>
    <cellStyle name="标题 1 3 5 4 2" xfId="44880" xr:uid="{00000000-0005-0000-0000-000050AF0000}"/>
    <cellStyle name="标题 1 3 6" xfId="44881" xr:uid="{00000000-0005-0000-0000-000051AF0000}"/>
    <cellStyle name="标题 1 3 6 2" xfId="44882" xr:uid="{00000000-0005-0000-0000-000052AF0000}"/>
    <cellStyle name="标题 1 3 6 2 2" xfId="44883" xr:uid="{00000000-0005-0000-0000-000053AF0000}"/>
    <cellStyle name="标题 1 3 6 2 2 2" xfId="44884" xr:uid="{00000000-0005-0000-0000-000054AF0000}"/>
    <cellStyle name="标题 1 3 6 3" xfId="44885" xr:uid="{00000000-0005-0000-0000-000055AF0000}"/>
    <cellStyle name="标题 1 3 6 3 2" xfId="44886" xr:uid="{00000000-0005-0000-0000-000056AF0000}"/>
    <cellStyle name="标题 1 3 7" xfId="44887" xr:uid="{00000000-0005-0000-0000-000057AF0000}"/>
    <cellStyle name="标题 1 3 8" xfId="44888" xr:uid="{00000000-0005-0000-0000-000058AF0000}"/>
    <cellStyle name="标题 2 2" xfId="44889" xr:uid="{00000000-0005-0000-0000-000059AF0000}"/>
    <cellStyle name="标题 2 2 10" xfId="44890" xr:uid="{00000000-0005-0000-0000-00005AAF0000}"/>
    <cellStyle name="标题 2 2 11" xfId="44891" xr:uid="{00000000-0005-0000-0000-00005BAF0000}"/>
    <cellStyle name="标题 2 2 2" xfId="44892" xr:uid="{00000000-0005-0000-0000-00005CAF0000}"/>
    <cellStyle name="标题 2 2 2 10" xfId="44893" xr:uid="{00000000-0005-0000-0000-00005DAF0000}"/>
    <cellStyle name="标题 2 2 2 11" xfId="44894" xr:uid="{00000000-0005-0000-0000-00005EAF0000}"/>
    <cellStyle name="标题 2 2 2 2" xfId="44895" xr:uid="{00000000-0005-0000-0000-00005FAF0000}"/>
    <cellStyle name="标题 2 2 2 2 2" xfId="44896" xr:uid="{00000000-0005-0000-0000-000060AF0000}"/>
    <cellStyle name="标题 2 2 2 2 2 2" xfId="44897" xr:uid="{00000000-0005-0000-0000-000061AF0000}"/>
    <cellStyle name="标题 2 2 2 2 2 2 2" xfId="44898" xr:uid="{00000000-0005-0000-0000-000062AF0000}"/>
    <cellStyle name="标题 2 2 2 2 2 2 3" xfId="44899" xr:uid="{00000000-0005-0000-0000-000063AF0000}"/>
    <cellStyle name="标题 2 2 2 2 2 2 3 2" xfId="44900" xr:uid="{00000000-0005-0000-0000-000064AF0000}"/>
    <cellStyle name="标题 2 2 2 2 2 2 3 2 2" xfId="44901" xr:uid="{00000000-0005-0000-0000-000065AF0000}"/>
    <cellStyle name="标题 2 2 2 2 2 2 4" xfId="44902" xr:uid="{00000000-0005-0000-0000-000066AF0000}"/>
    <cellStyle name="标题 2 2 2 2 2 2 4 2" xfId="44903" xr:uid="{00000000-0005-0000-0000-000067AF0000}"/>
    <cellStyle name="标题 2 2 2 2 2 3" xfId="44904" xr:uid="{00000000-0005-0000-0000-000068AF0000}"/>
    <cellStyle name="标题 2 2 2 2 2 3 2" xfId="44905" xr:uid="{00000000-0005-0000-0000-000069AF0000}"/>
    <cellStyle name="标题 2 2 2 2 2 3 2 2" xfId="44906" xr:uid="{00000000-0005-0000-0000-00006AAF0000}"/>
    <cellStyle name="标题 2 2 2 2 2 3 2 2 2" xfId="44907" xr:uid="{00000000-0005-0000-0000-00006BAF0000}"/>
    <cellStyle name="标题 2 2 2 2 2 3 3" xfId="44908" xr:uid="{00000000-0005-0000-0000-00006CAF0000}"/>
    <cellStyle name="标题 2 2 2 2 2 3 3 2" xfId="44909" xr:uid="{00000000-0005-0000-0000-00006DAF0000}"/>
    <cellStyle name="标题 2 2 2 2 2 4" xfId="44910" xr:uid="{00000000-0005-0000-0000-00006EAF0000}"/>
    <cellStyle name="标题 2 2 2 2 2 5" xfId="44911" xr:uid="{00000000-0005-0000-0000-00006FAF0000}"/>
    <cellStyle name="标题 2 2 2 2 2 6" xfId="44912" xr:uid="{00000000-0005-0000-0000-000070AF0000}"/>
    <cellStyle name="标题 2 2 2 2 3" xfId="44913" xr:uid="{00000000-0005-0000-0000-000071AF0000}"/>
    <cellStyle name="标题 2 2 2 2 3 2" xfId="44914" xr:uid="{00000000-0005-0000-0000-000072AF0000}"/>
    <cellStyle name="标题 2 2 2 2 3 3" xfId="44915" xr:uid="{00000000-0005-0000-0000-000073AF0000}"/>
    <cellStyle name="标题 2 2 2 2 3 3 2" xfId="44916" xr:uid="{00000000-0005-0000-0000-000074AF0000}"/>
    <cellStyle name="标题 2 2 2 2 3 3 2 2" xfId="44917" xr:uid="{00000000-0005-0000-0000-000075AF0000}"/>
    <cellStyle name="标题 2 2 2 2 3 4" xfId="44918" xr:uid="{00000000-0005-0000-0000-000076AF0000}"/>
    <cellStyle name="标题 2 2 2 2 3 4 2" xfId="44919" xr:uid="{00000000-0005-0000-0000-000077AF0000}"/>
    <cellStyle name="标题 2 2 2 2 4" xfId="44920" xr:uid="{00000000-0005-0000-0000-000078AF0000}"/>
    <cellStyle name="标题 2 2 2 2 4 2" xfId="44921" xr:uid="{00000000-0005-0000-0000-000079AF0000}"/>
    <cellStyle name="标题 2 2 2 2 4 2 2" xfId="44922" xr:uid="{00000000-0005-0000-0000-00007AAF0000}"/>
    <cellStyle name="标题 2 2 2 2 4 2 2 2" xfId="44923" xr:uid="{00000000-0005-0000-0000-00007BAF0000}"/>
    <cellStyle name="标题 2 2 2 2 4 3" xfId="44924" xr:uid="{00000000-0005-0000-0000-00007CAF0000}"/>
    <cellStyle name="标题 2 2 2 2 4 3 2" xfId="44925" xr:uid="{00000000-0005-0000-0000-00007DAF0000}"/>
    <cellStyle name="标题 2 2 2 2 5" xfId="44926" xr:uid="{00000000-0005-0000-0000-00007EAF0000}"/>
    <cellStyle name="标题 2 2 2 2 6" xfId="44927" xr:uid="{00000000-0005-0000-0000-00007FAF0000}"/>
    <cellStyle name="标题 2 2 2 2 7" xfId="44928" xr:uid="{00000000-0005-0000-0000-000080AF0000}"/>
    <cellStyle name="标题 2 2 2 3" xfId="44929" xr:uid="{00000000-0005-0000-0000-000081AF0000}"/>
    <cellStyle name="标题 2 2 2 3 2" xfId="44930" xr:uid="{00000000-0005-0000-0000-000082AF0000}"/>
    <cellStyle name="标题 2 2 2 3 2 2" xfId="44931" xr:uid="{00000000-0005-0000-0000-000083AF0000}"/>
    <cellStyle name="标题 2 2 2 3 2 3" xfId="44932" xr:uid="{00000000-0005-0000-0000-000084AF0000}"/>
    <cellStyle name="标题 2 2 2 3 2 3 2" xfId="44933" xr:uid="{00000000-0005-0000-0000-000085AF0000}"/>
    <cellStyle name="标题 2 2 2 3 2 3 2 2" xfId="44934" xr:uid="{00000000-0005-0000-0000-000086AF0000}"/>
    <cellStyle name="标题 2 2 2 3 2 4" xfId="44935" xr:uid="{00000000-0005-0000-0000-000087AF0000}"/>
    <cellStyle name="标题 2 2 2 3 2 4 2" xfId="44936" xr:uid="{00000000-0005-0000-0000-000088AF0000}"/>
    <cellStyle name="标题 2 2 2 3 3" xfId="44937" xr:uid="{00000000-0005-0000-0000-000089AF0000}"/>
    <cellStyle name="标题 2 2 2 3 3 2" xfId="44938" xr:uid="{00000000-0005-0000-0000-00008AAF0000}"/>
    <cellStyle name="标题 2 2 2 3 3 2 2" xfId="44939" xr:uid="{00000000-0005-0000-0000-00008BAF0000}"/>
    <cellStyle name="标题 2 2 2 3 3 2 2 2" xfId="44940" xr:uid="{00000000-0005-0000-0000-00008CAF0000}"/>
    <cellStyle name="标题 2 2 2 3 3 3" xfId="44941" xr:uid="{00000000-0005-0000-0000-00008DAF0000}"/>
    <cellStyle name="标题 2 2 2 3 3 3 2" xfId="44942" xr:uid="{00000000-0005-0000-0000-00008EAF0000}"/>
    <cellStyle name="标题 2 2 2 3 4" xfId="44943" xr:uid="{00000000-0005-0000-0000-00008FAF0000}"/>
    <cellStyle name="标题 2 2 2 3 5" xfId="44944" xr:uid="{00000000-0005-0000-0000-000090AF0000}"/>
    <cellStyle name="标题 2 2 2 3 6" xfId="44945" xr:uid="{00000000-0005-0000-0000-000091AF0000}"/>
    <cellStyle name="标题 2 2 2 4" xfId="44946" xr:uid="{00000000-0005-0000-0000-000092AF0000}"/>
    <cellStyle name="标题 2 2 2 4 2" xfId="44947" xr:uid="{00000000-0005-0000-0000-000093AF0000}"/>
    <cellStyle name="标题 2 2 2 4 2 2" xfId="44948" xr:uid="{00000000-0005-0000-0000-000094AF0000}"/>
    <cellStyle name="标题 2 2 2 4 2 3" xfId="44949" xr:uid="{00000000-0005-0000-0000-000095AF0000}"/>
    <cellStyle name="标题 2 2 2 4 2 3 2" xfId="44950" xr:uid="{00000000-0005-0000-0000-000096AF0000}"/>
    <cellStyle name="标题 2 2 2 4 2 3 2 2" xfId="44951" xr:uid="{00000000-0005-0000-0000-000097AF0000}"/>
    <cellStyle name="标题 2 2 2 4 2 4" xfId="44952" xr:uid="{00000000-0005-0000-0000-000098AF0000}"/>
    <cellStyle name="标题 2 2 2 4 2 4 2" xfId="44953" xr:uid="{00000000-0005-0000-0000-000099AF0000}"/>
    <cellStyle name="标题 2 2 2 4 3" xfId="44954" xr:uid="{00000000-0005-0000-0000-00009AAF0000}"/>
    <cellStyle name="标题 2 2 2 4 4" xfId="44955" xr:uid="{00000000-0005-0000-0000-00009BAF0000}"/>
    <cellStyle name="标题 2 2 2 4 5" xfId="44956" xr:uid="{00000000-0005-0000-0000-00009CAF0000}"/>
    <cellStyle name="标题 2 2 2 4 6" xfId="44957" xr:uid="{00000000-0005-0000-0000-00009DAF0000}"/>
    <cellStyle name="标题 2 2 2 5" xfId="44958" xr:uid="{00000000-0005-0000-0000-00009EAF0000}"/>
    <cellStyle name="标题 2 2 2 5 2" xfId="44959" xr:uid="{00000000-0005-0000-0000-00009FAF0000}"/>
    <cellStyle name="标题 2 2 2 5 2 2" xfId="44960" xr:uid="{00000000-0005-0000-0000-0000A0AF0000}"/>
    <cellStyle name="标题 2 2 2 5 2 2 2" xfId="44961" xr:uid="{00000000-0005-0000-0000-0000A1AF0000}"/>
    <cellStyle name="标题 2 2 2 5 2 2 2 2" xfId="44962" xr:uid="{00000000-0005-0000-0000-0000A2AF0000}"/>
    <cellStyle name="标题 2 2 2 5 2 3" xfId="44963" xr:uid="{00000000-0005-0000-0000-0000A3AF0000}"/>
    <cellStyle name="标题 2 2 2 5 2 3 2" xfId="44964" xr:uid="{00000000-0005-0000-0000-0000A4AF0000}"/>
    <cellStyle name="标题 2 2 2 5 3" xfId="44965" xr:uid="{00000000-0005-0000-0000-0000A5AF0000}"/>
    <cellStyle name="标题 2 2 2 5 3 2" xfId="44966" xr:uid="{00000000-0005-0000-0000-0000A6AF0000}"/>
    <cellStyle name="标题 2 2 2 5 3 2 2" xfId="44967" xr:uid="{00000000-0005-0000-0000-0000A7AF0000}"/>
    <cellStyle name="标题 2 2 2 5 4" xfId="44968" xr:uid="{00000000-0005-0000-0000-0000A8AF0000}"/>
    <cellStyle name="标题 2 2 2 5 4 2" xfId="44969" xr:uid="{00000000-0005-0000-0000-0000A9AF0000}"/>
    <cellStyle name="标题 2 2 2 6" xfId="44970" xr:uid="{00000000-0005-0000-0000-0000AAAF0000}"/>
    <cellStyle name="标题 2 2 2 6 2" xfId="44971" xr:uid="{00000000-0005-0000-0000-0000ABAF0000}"/>
    <cellStyle name="标题 2 2 2 6 2 2" xfId="44972" xr:uid="{00000000-0005-0000-0000-0000ACAF0000}"/>
    <cellStyle name="标题 2 2 2 6 2 2 2" xfId="44973" xr:uid="{00000000-0005-0000-0000-0000ADAF0000}"/>
    <cellStyle name="标题 2 2 2 6 2 2 2 2" xfId="44974" xr:uid="{00000000-0005-0000-0000-0000AEAF0000}"/>
    <cellStyle name="标题 2 2 2 6 2 3" xfId="44975" xr:uid="{00000000-0005-0000-0000-0000AFAF0000}"/>
    <cellStyle name="标题 2 2 2 6 2 3 2" xfId="44976" xr:uid="{00000000-0005-0000-0000-0000B0AF0000}"/>
    <cellStyle name="标题 2 2 2 6 3" xfId="44977" xr:uid="{00000000-0005-0000-0000-0000B1AF0000}"/>
    <cellStyle name="标题 2 2 2 6 3 2" xfId="44978" xr:uid="{00000000-0005-0000-0000-0000B2AF0000}"/>
    <cellStyle name="标题 2 2 2 6 3 2 2" xfId="44979" xr:uid="{00000000-0005-0000-0000-0000B3AF0000}"/>
    <cellStyle name="标题 2 2 2 6 4" xfId="44980" xr:uid="{00000000-0005-0000-0000-0000B4AF0000}"/>
    <cellStyle name="标题 2 2 2 6 4 2" xfId="44981" xr:uid="{00000000-0005-0000-0000-0000B5AF0000}"/>
    <cellStyle name="标题 2 2 2 7" xfId="44982" xr:uid="{00000000-0005-0000-0000-0000B6AF0000}"/>
    <cellStyle name="标题 2 2 2 7 2" xfId="44983" xr:uid="{00000000-0005-0000-0000-0000B7AF0000}"/>
    <cellStyle name="标题 2 2 2 7 2 2" xfId="44984" xr:uid="{00000000-0005-0000-0000-0000B8AF0000}"/>
    <cellStyle name="标题 2 2 2 7 2 2 2" xfId="44985" xr:uid="{00000000-0005-0000-0000-0000B9AF0000}"/>
    <cellStyle name="标题 2 2 2 7 2 2 2 2" xfId="44986" xr:uid="{00000000-0005-0000-0000-0000BAAF0000}"/>
    <cellStyle name="标题 2 2 2 7 2 3" xfId="44987" xr:uid="{00000000-0005-0000-0000-0000BBAF0000}"/>
    <cellStyle name="标题 2 2 2 7 2 3 2" xfId="44988" xr:uid="{00000000-0005-0000-0000-0000BCAF0000}"/>
    <cellStyle name="标题 2 2 2 7 3" xfId="44989" xr:uid="{00000000-0005-0000-0000-0000BDAF0000}"/>
    <cellStyle name="标题 2 2 2 7 3 2" xfId="44990" xr:uid="{00000000-0005-0000-0000-0000BEAF0000}"/>
    <cellStyle name="标题 2 2 2 7 3 2 2" xfId="44991" xr:uid="{00000000-0005-0000-0000-0000BFAF0000}"/>
    <cellStyle name="标题 2 2 2 7 4" xfId="44992" xr:uid="{00000000-0005-0000-0000-0000C0AF0000}"/>
    <cellStyle name="标题 2 2 2 7 4 2" xfId="44993" xr:uid="{00000000-0005-0000-0000-0000C1AF0000}"/>
    <cellStyle name="标题 2 2 2 8" xfId="44994" xr:uid="{00000000-0005-0000-0000-0000C2AF0000}"/>
    <cellStyle name="标题 2 2 2 8 2" xfId="44995" xr:uid="{00000000-0005-0000-0000-0000C3AF0000}"/>
    <cellStyle name="标题 2 2 2 8 2 2" xfId="44996" xr:uid="{00000000-0005-0000-0000-0000C4AF0000}"/>
    <cellStyle name="标题 2 2 2 8 2 2 2" xfId="44997" xr:uid="{00000000-0005-0000-0000-0000C5AF0000}"/>
    <cellStyle name="标题 2 2 2 8 3" xfId="44998" xr:uid="{00000000-0005-0000-0000-0000C6AF0000}"/>
    <cellStyle name="标题 2 2 2 8 3 2" xfId="44999" xr:uid="{00000000-0005-0000-0000-0000C7AF0000}"/>
    <cellStyle name="标题 2 2 2 9" xfId="45000" xr:uid="{00000000-0005-0000-0000-0000C8AF0000}"/>
    <cellStyle name="标题 2 2 2 9 2" xfId="45001" xr:uid="{00000000-0005-0000-0000-0000C9AF0000}"/>
    <cellStyle name="标题 2 2 2 9 2 2" xfId="45002" xr:uid="{00000000-0005-0000-0000-0000CAAF0000}"/>
    <cellStyle name="标题 2 2 2 9 2 2 2" xfId="45003" xr:uid="{00000000-0005-0000-0000-0000CBAF0000}"/>
    <cellStyle name="标题 2 2 2 9 3" xfId="45004" xr:uid="{00000000-0005-0000-0000-0000CCAF0000}"/>
    <cellStyle name="标题 2 2 2 9 3 2" xfId="45005" xr:uid="{00000000-0005-0000-0000-0000CDAF0000}"/>
    <cellStyle name="标题 2 2 3" xfId="45006" xr:uid="{00000000-0005-0000-0000-0000CEAF0000}"/>
    <cellStyle name="标题 2 2 3 2" xfId="45007" xr:uid="{00000000-0005-0000-0000-0000CFAF0000}"/>
    <cellStyle name="标题 2 2 3 2 2" xfId="45008" xr:uid="{00000000-0005-0000-0000-0000D0AF0000}"/>
    <cellStyle name="标题 2 2 3 2 2 2" xfId="45009" xr:uid="{00000000-0005-0000-0000-0000D1AF0000}"/>
    <cellStyle name="标题 2 2 3 2 2 2 2" xfId="45010" xr:uid="{00000000-0005-0000-0000-0000D2AF0000}"/>
    <cellStyle name="标题 2 2 3 2 2 2 3" xfId="45011" xr:uid="{00000000-0005-0000-0000-0000D3AF0000}"/>
    <cellStyle name="标题 2 2 3 2 2 2 3 2" xfId="45012" xr:uid="{00000000-0005-0000-0000-0000D4AF0000}"/>
    <cellStyle name="标题 2 2 3 2 2 2 3 2 2" xfId="45013" xr:uid="{00000000-0005-0000-0000-0000D5AF0000}"/>
    <cellStyle name="标题 2 2 3 2 2 2 4" xfId="45014" xr:uid="{00000000-0005-0000-0000-0000D6AF0000}"/>
    <cellStyle name="标题 2 2 3 2 2 2 4 2" xfId="45015" xr:uid="{00000000-0005-0000-0000-0000D7AF0000}"/>
    <cellStyle name="标题 2 2 3 2 2 3" xfId="45016" xr:uid="{00000000-0005-0000-0000-0000D8AF0000}"/>
    <cellStyle name="标题 2 2 3 2 2 3 2" xfId="45017" xr:uid="{00000000-0005-0000-0000-0000D9AF0000}"/>
    <cellStyle name="标题 2 2 3 2 2 3 2 2" xfId="45018" xr:uid="{00000000-0005-0000-0000-0000DAAF0000}"/>
    <cellStyle name="标题 2 2 3 2 2 3 2 2 2" xfId="45019" xr:uid="{00000000-0005-0000-0000-0000DBAF0000}"/>
    <cellStyle name="标题 2 2 3 2 2 3 3" xfId="45020" xr:uid="{00000000-0005-0000-0000-0000DCAF0000}"/>
    <cellStyle name="标题 2 2 3 2 2 3 3 2" xfId="45021" xr:uid="{00000000-0005-0000-0000-0000DDAF0000}"/>
    <cellStyle name="标题 2 2 3 2 2 4" xfId="45022" xr:uid="{00000000-0005-0000-0000-0000DEAF0000}"/>
    <cellStyle name="标题 2 2 3 2 2 5" xfId="45023" xr:uid="{00000000-0005-0000-0000-0000DFAF0000}"/>
    <cellStyle name="标题 2 2 3 2 2 6" xfId="45024" xr:uid="{00000000-0005-0000-0000-0000E0AF0000}"/>
    <cellStyle name="标题 2 2 3 2 3" xfId="45025" xr:uid="{00000000-0005-0000-0000-0000E1AF0000}"/>
    <cellStyle name="标题 2 2 3 2 3 2" xfId="45026" xr:uid="{00000000-0005-0000-0000-0000E2AF0000}"/>
    <cellStyle name="标题 2 2 3 2 3 3" xfId="45027" xr:uid="{00000000-0005-0000-0000-0000E3AF0000}"/>
    <cellStyle name="标题 2 2 3 2 3 3 2" xfId="45028" xr:uid="{00000000-0005-0000-0000-0000E4AF0000}"/>
    <cellStyle name="标题 2 2 3 2 3 3 2 2" xfId="45029" xr:uid="{00000000-0005-0000-0000-0000E5AF0000}"/>
    <cellStyle name="标题 2 2 3 2 3 4" xfId="45030" xr:uid="{00000000-0005-0000-0000-0000E6AF0000}"/>
    <cellStyle name="标题 2 2 3 2 3 4 2" xfId="45031" xr:uid="{00000000-0005-0000-0000-0000E7AF0000}"/>
    <cellStyle name="标题 2 2 3 2 4" xfId="45032" xr:uid="{00000000-0005-0000-0000-0000E8AF0000}"/>
    <cellStyle name="标题 2 2 3 2 4 2" xfId="45033" xr:uid="{00000000-0005-0000-0000-0000E9AF0000}"/>
    <cellStyle name="标题 2 2 3 2 4 2 2" xfId="45034" xr:uid="{00000000-0005-0000-0000-0000EAAF0000}"/>
    <cellStyle name="标题 2 2 3 2 4 2 2 2" xfId="45035" xr:uid="{00000000-0005-0000-0000-0000EBAF0000}"/>
    <cellStyle name="标题 2 2 3 2 4 3" xfId="45036" xr:uid="{00000000-0005-0000-0000-0000ECAF0000}"/>
    <cellStyle name="标题 2 2 3 2 4 3 2" xfId="45037" xr:uid="{00000000-0005-0000-0000-0000EDAF0000}"/>
    <cellStyle name="标题 2 2 3 2 5" xfId="45038" xr:uid="{00000000-0005-0000-0000-0000EEAF0000}"/>
    <cellStyle name="标题 2 2 3 2 6" xfId="45039" xr:uid="{00000000-0005-0000-0000-0000EFAF0000}"/>
    <cellStyle name="标题 2 2 3 2 7" xfId="45040" xr:uid="{00000000-0005-0000-0000-0000F0AF0000}"/>
    <cellStyle name="标题 2 2 3 3" xfId="45041" xr:uid="{00000000-0005-0000-0000-0000F1AF0000}"/>
    <cellStyle name="标题 2 2 3 3 2" xfId="45042" xr:uid="{00000000-0005-0000-0000-0000F2AF0000}"/>
    <cellStyle name="标题 2 2 3 3 2 2" xfId="45043" xr:uid="{00000000-0005-0000-0000-0000F3AF0000}"/>
    <cellStyle name="标题 2 2 3 3 2 3" xfId="45044" xr:uid="{00000000-0005-0000-0000-0000F4AF0000}"/>
    <cellStyle name="标题 2 2 3 3 2 3 2" xfId="45045" xr:uid="{00000000-0005-0000-0000-0000F5AF0000}"/>
    <cellStyle name="标题 2 2 3 3 2 3 2 2" xfId="45046" xr:uid="{00000000-0005-0000-0000-0000F6AF0000}"/>
    <cellStyle name="标题 2 2 3 3 2 4" xfId="45047" xr:uid="{00000000-0005-0000-0000-0000F7AF0000}"/>
    <cellStyle name="标题 2 2 3 3 2 4 2" xfId="45048" xr:uid="{00000000-0005-0000-0000-0000F8AF0000}"/>
    <cellStyle name="标题 2 2 3 3 3" xfId="45049" xr:uid="{00000000-0005-0000-0000-0000F9AF0000}"/>
    <cellStyle name="标题 2 2 3 3 3 2" xfId="45050" xr:uid="{00000000-0005-0000-0000-0000FAAF0000}"/>
    <cellStyle name="标题 2 2 3 3 3 2 2" xfId="45051" xr:uid="{00000000-0005-0000-0000-0000FBAF0000}"/>
    <cellStyle name="标题 2 2 3 3 3 2 2 2" xfId="45052" xr:uid="{00000000-0005-0000-0000-0000FCAF0000}"/>
    <cellStyle name="标题 2 2 3 3 3 3" xfId="45053" xr:uid="{00000000-0005-0000-0000-0000FDAF0000}"/>
    <cellStyle name="标题 2 2 3 3 3 3 2" xfId="45054" xr:uid="{00000000-0005-0000-0000-0000FEAF0000}"/>
    <cellStyle name="标题 2 2 3 3 4" xfId="45055" xr:uid="{00000000-0005-0000-0000-0000FFAF0000}"/>
    <cellStyle name="标题 2 2 3 3 5" xfId="45056" xr:uid="{00000000-0005-0000-0000-000000B00000}"/>
    <cellStyle name="标题 2 2 3 3 6" xfId="45057" xr:uid="{00000000-0005-0000-0000-000001B00000}"/>
    <cellStyle name="标题 2 2 3 4" xfId="45058" xr:uid="{00000000-0005-0000-0000-000002B00000}"/>
    <cellStyle name="标题 2 2 3 4 2" xfId="45059" xr:uid="{00000000-0005-0000-0000-000003B00000}"/>
    <cellStyle name="标题 2 2 3 4 2 2" xfId="45060" xr:uid="{00000000-0005-0000-0000-000004B00000}"/>
    <cellStyle name="标题 2 2 3 4 2 3" xfId="45061" xr:uid="{00000000-0005-0000-0000-000005B00000}"/>
    <cellStyle name="标题 2 2 3 4 2 3 2" xfId="45062" xr:uid="{00000000-0005-0000-0000-000006B00000}"/>
    <cellStyle name="标题 2 2 3 4 2 3 2 2" xfId="45063" xr:uid="{00000000-0005-0000-0000-000007B00000}"/>
    <cellStyle name="标题 2 2 3 4 2 4" xfId="45064" xr:uid="{00000000-0005-0000-0000-000008B00000}"/>
    <cellStyle name="标题 2 2 3 4 2 4 2" xfId="45065" xr:uid="{00000000-0005-0000-0000-000009B00000}"/>
    <cellStyle name="标题 2 2 3 4 3" xfId="45066" xr:uid="{00000000-0005-0000-0000-00000AB00000}"/>
    <cellStyle name="标题 2 2 3 4 4" xfId="45067" xr:uid="{00000000-0005-0000-0000-00000BB00000}"/>
    <cellStyle name="标题 2 2 3 4 5" xfId="45068" xr:uid="{00000000-0005-0000-0000-00000CB00000}"/>
    <cellStyle name="标题 2 2 3 4 6" xfId="45069" xr:uid="{00000000-0005-0000-0000-00000DB00000}"/>
    <cellStyle name="标题 2 2 3 5" xfId="45070" xr:uid="{00000000-0005-0000-0000-00000EB00000}"/>
    <cellStyle name="标题 2 2 3 5 2" xfId="45071" xr:uid="{00000000-0005-0000-0000-00000FB00000}"/>
    <cellStyle name="标题 2 2 3 5 2 2" xfId="45072" xr:uid="{00000000-0005-0000-0000-000010B00000}"/>
    <cellStyle name="标题 2 2 3 5 2 2 2" xfId="45073" xr:uid="{00000000-0005-0000-0000-000011B00000}"/>
    <cellStyle name="标题 2 2 3 5 2 2 2 2" xfId="45074" xr:uid="{00000000-0005-0000-0000-000012B00000}"/>
    <cellStyle name="标题 2 2 3 5 2 3" xfId="45075" xr:uid="{00000000-0005-0000-0000-000013B00000}"/>
    <cellStyle name="标题 2 2 3 5 2 3 2" xfId="45076" xr:uid="{00000000-0005-0000-0000-000014B00000}"/>
    <cellStyle name="标题 2 2 3 5 3" xfId="45077" xr:uid="{00000000-0005-0000-0000-000015B00000}"/>
    <cellStyle name="标题 2 2 3 5 3 2" xfId="45078" xr:uid="{00000000-0005-0000-0000-000016B00000}"/>
    <cellStyle name="标题 2 2 3 5 3 2 2" xfId="45079" xr:uid="{00000000-0005-0000-0000-000017B00000}"/>
    <cellStyle name="标题 2 2 3 5 4" xfId="45080" xr:uid="{00000000-0005-0000-0000-000018B00000}"/>
    <cellStyle name="标题 2 2 3 5 4 2" xfId="45081" xr:uid="{00000000-0005-0000-0000-000019B00000}"/>
    <cellStyle name="标题 2 2 3 6" xfId="45082" xr:uid="{00000000-0005-0000-0000-00001AB00000}"/>
    <cellStyle name="标题 2 2 3 6 2" xfId="45083" xr:uid="{00000000-0005-0000-0000-00001BB00000}"/>
    <cellStyle name="标题 2 2 3 6 2 2" xfId="45084" xr:uid="{00000000-0005-0000-0000-00001CB00000}"/>
    <cellStyle name="标题 2 2 3 6 2 2 2" xfId="45085" xr:uid="{00000000-0005-0000-0000-00001DB00000}"/>
    <cellStyle name="标题 2 2 3 6 3" xfId="45086" xr:uid="{00000000-0005-0000-0000-00001EB00000}"/>
    <cellStyle name="标题 2 2 3 6 3 2" xfId="45087" xr:uid="{00000000-0005-0000-0000-00001FB00000}"/>
    <cellStyle name="标题 2 2 3 7" xfId="45088" xr:uid="{00000000-0005-0000-0000-000020B00000}"/>
    <cellStyle name="标题 2 2 3 7 2" xfId="45089" xr:uid="{00000000-0005-0000-0000-000021B00000}"/>
    <cellStyle name="标题 2 2 3 7 2 2" xfId="45090" xr:uid="{00000000-0005-0000-0000-000022B00000}"/>
    <cellStyle name="标题 2 2 3 7 2 2 2" xfId="45091" xr:uid="{00000000-0005-0000-0000-000023B00000}"/>
    <cellStyle name="标题 2 2 3 7 3" xfId="45092" xr:uid="{00000000-0005-0000-0000-000024B00000}"/>
    <cellStyle name="标题 2 2 3 7 3 2" xfId="45093" xr:uid="{00000000-0005-0000-0000-000025B00000}"/>
    <cellStyle name="标题 2 2 3 8" xfId="45094" xr:uid="{00000000-0005-0000-0000-000026B00000}"/>
    <cellStyle name="标题 2 2 3 9" xfId="45095" xr:uid="{00000000-0005-0000-0000-000027B00000}"/>
    <cellStyle name="标题 2 2 4" xfId="45096" xr:uid="{00000000-0005-0000-0000-000028B00000}"/>
    <cellStyle name="标题 2 2 4 2" xfId="45097" xr:uid="{00000000-0005-0000-0000-000029B00000}"/>
    <cellStyle name="标题 2 2 4 2 2" xfId="45098" xr:uid="{00000000-0005-0000-0000-00002AB00000}"/>
    <cellStyle name="标题 2 2 4 2 3" xfId="45099" xr:uid="{00000000-0005-0000-0000-00002BB00000}"/>
    <cellStyle name="标题 2 2 4 2 3 2" xfId="45100" xr:uid="{00000000-0005-0000-0000-00002CB00000}"/>
    <cellStyle name="标题 2 2 4 2 3 2 2" xfId="45101" xr:uid="{00000000-0005-0000-0000-00002DB00000}"/>
    <cellStyle name="标题 2 2 4 2 4" xfId="45102" xr:uid="{00000000-0005-0000-0000-00002EB00000}"/>
    <cellStyle name="标题 2 2 4 2 4 2" xfId="45103" xr:uid="{00000000-0005-0000-0000-00002FB00000}"/>
    <cellStyle name="标题 2 2 4 3" xfId="45104" xr:uid="{00000000-0005-0000-0000-000030B00000}"/>
    <cellStyle name="标题 2 2 4 3 2" xfId="45105" xr:uid="{00000000-0005-0000-0000-000031B00000}"/>
    <cellStyle name="标题 2 2 4 3 2 2" xfId="45106" xr:uid="{00000000-0005-0000-0000-000032B00000}"/>
    <cellStyle name="标题 2 2 4 3 2 2 2" xfId="45107" xr:uid="{00000000-0005-0000-0000-000033B00000}"/>
    <cellStyle name="标题 2 2 4 3 3" xfId="45108" xr:uid="{00000000-0005-0000-0000-000034B00000}"/>
    <cellStyle name="标题 2 2 4 3 3 2" xfId="45109" xr:uid="{00000000-0005-0000-0000-000035B00000}"/>
    <cellStyle name="标题 2 2 4 4" xfId="45110" xr:uid="{00000000-0005-0000-0000-000036B00000}"/>
    <cellStyle name="标题 2 2 4 5" xfId="45111" xr:uid="{00000000-0005-0000-0000-000037B00000}"/>
    <cellStyle name="标题 2 2 4 6" xfId="45112" xr:uid="{00000000-0005-0000-0000-000038B00000}"/>
    <cellStyle name="标题 2 2 5" xfId="45113" xr:uid="{00000000-0005-0000-0000-000039B00000}"/>
    <cellStyle name="标题 2 2 5 2" xfId="45114" xr:uid="{00000000-0005-0000-0000-00003AB00000}"/>
    <cellStyle name="标题 2 2 5 2 2" xfId="45115" xr:uid="{00000000-0005-0000-0000-00003BB00000}"/>
    <cellStyle name="标题 2 2 5 2 3" xfId="45116" xr:uid="{00000000-0005-0000-0000-00003CB00000}"/>
    <cellStyle name="标题 2 2 5 2 3 2" xfId="45117" xr:uid="{00000000-0005-0000-0000-00003DB00000}"/>
    <cellStyle name="标题 2 2 5 2 3 2 2" xfId="45118" xr:uid="{00000000-0005-0000-0000-00003EB00000}"/>
    <cellStyle name="标题 2 2 5 2 4" xfId="45119" xr:uid="{00000000-0005-0000-0000-00003FB00000}"/>
    <cellStyle name="标题 2 2 5 2 4 2" xfId="45120" xr:uid="{00000000-0005-0000-0000-000040B00000}"/>
    <cellStyle name="标题 2 2 5 3" xfId="45121" xr:uid="{00000000-0005-0000-0000-000041B00000}"/>
    <cellStyle name="标题 2 2 5 4" xfId="45122" xr:uid="{00000000-0005-0000-0000-000042B00000}"/>
    <cellStyle name="标题 2 2 5 5" xfId="45123" xr:uid="{00000000-0005-0000-0000-000043B00000}"/>
    <cellStyle name="标题 2 2 5 6" xfId="45124" xr:uid="{00000000-0005-0000-0000-000044B00000}"/>
    <cellStyle name="标题 2 2 6" xfId="45125" xr:uid="{00000000-0005-0000-0000-000045B00000}"/>
    <cellStyle name="标题 2 2 6 2" xfId="45126" xr:uid="{00000000-0005-0000-0000-000046B00000}"/>
    <cellStyle name="标题 2 2 6 2 2" xfId="45127" xr:uid="{00000000-0005-0000-0000-000047B00000}"/>
    <cellStyle name="标题 2 2 6 2 2 2" xfId="45128" xr:uid="{00000000-0005-0000-0000-000048B00000}"/>
    <cellStyle name="标题 2 2 6 2 2 2 2" xfId="45129" xr:uid="{00000000-0005-0000-0000-000049B00000}"/>
    <cellStyle name="标题 2 2 6 2 3" xfId="45130" xr:uid="{00000000-0005-0000-0000-00004AB00000}"/>
    <cellStyle name="标题 2 2 6 2 3 2" xfId="45131" xr:uid="{00000000-0005-0000-0000-00004BB00000}"/>
    <cellStyle name="标题 2 2 6 3" xfId="45132" xr:uid="{00000000-0005-0000-0000-00004CB00000}"/>
    <cellStyle name="标题 2 2 6 3 2" xfId="45133" xr:uid="{00000000-0005-0000-0000-00004DB00000}"/>
    <cellStyle name="标题 2 2 6 3 2 2" xfId="45134" xr:uid="{00000000-0005-0000-0000-00004EB00000}"/>
    <cellStyle name="标题 2 2 6 4" xfId="45135" xr:uid="{00000000-0005-0000-0000-00004FB00000}"/>
    <cellStyle name="标题 2 2 6 4 2" xfId="45136" xr:uid="{00000000-0005-0000-0000-000050B00000}"/>
    <cellStyle name="标题 2 2 7" xfId="45137" xr:uid="{00000000-0005-0000-0000-000051B00000}"/>
    <cellStyle name="标题 2 2 7 2" xfId="45138" xr:uid="{00000000-0005-0000-0000-000052B00000}"/>
    <cellStyle name="标题 2 2 7 2 2" xfId="45139" xr:uid="{00000000-0005-0000-0000-000053B00000}"/>
    <cellStyle name="标题 2 2 7 2 2 2" xfId="45140" xr:uid="{00000000-0005-0000-0000-000054B00000}"/>
    <cellStyle name="标题 2 2 7 2 2 2 2" xfId="45141" xr:uid="{00000000-0005-0000-0000-000055B00000}"/>
    <cellStyle name="标题 2 2 7 2 3" xfId="45142" xr:uid="{00000000-0005-0000-0000-000056B00000}"/>
    <cellStyle name="标题 2 2 7 2 3 2" xfId="45143" xr:uid="{00000000-0005-0000-0000-000057B00000}"/>
    <cellStyle name="标题 2 2 7 3" xfId="45144" xr:uid="{00000000-0005-0000-0000-000058B00000}"/>
    <cellStyle name="标题 2 2 7 3 2" xfId="45145" xr:uid="{00000000-0005-0000-0000-000059B00000}"/>
    <cellStyle name="标题 2 2 7 3 2 2" xfId="45146" xr:uid="{00000000-0005-0000-0000-00005AB00000}"/>
    <cellStyle name="标题 2 2 7 4" xfId="45147" xr:uid="{00000000-0005-0000-0000-00005BB00000}"/>
    <cellStyle name="标题 2 2 7 4 2" xfId="45148" xr:uid="{00000000-0005-0000-0000-00005CB00000}"/>
    <cellStyle name="标题 2 2 8" xfId="45149" xr:uid="{00000000-0005-0000-0000-00005DB00000}"/>
    <cellStyle name="标题 2 2 8 2" xfId="45150" xr:uid="{00000000-0005-0000-0000-00005EB00000}"/>
    <cellStyle name="标题 2 2 8 2 2" xfId="45151" xr:uid="{00000000-0005-0000-0000-00005FB00000}"/>
    <cellStyle name="标题 2 2 8 2 2 2" xfId="45152" xr:uid="{00000000-0005-0000-0000-000060B00000}"/>
    <cellStyle name="标题 2 2 8 2 2 2 2" xfId="45153" xr:uid="{00000000-0005-0000-0000-000061B00000}"/>
    <cellStyle name="标题 2 2 8 2 3" xfId="45154" xr:uid="{00000000-0005-0000-0000-000062B00000}"/>
    <cellStyle name="标题 2 2 8 2 3 2" xfId="45155" xr:uid="{00000000-0005-0000-0000-000063B00000}"/>
    <cellStyle name="标题 2 2 8 3" xfId="45156" xr:uid="{00000000-0005-0000-0000-000064B00000}"/>
    <cellStyle name="标题 2 2 8 3 2" xfId="45157" xr:uid="{00000000-0005-0000-0000-000065B00000}"/>
    <cellStyle name="标题 2 2 8 3 2 2" xfId="45158" xr:uid="{00000000-0005-0000-0000-000066B00000}"/>
    <cellStyle name="标题 2 2 8 4" xfId="45159" xr:uid="{00000000-0005-0000-0000-000067B00000}"/>
    <cellStyle name="标题 2 2 8 4 2" xfId="45160" xr:uid="{00000000-0005-0000-0000-000068B00000}"/>
    <cellStyle name="标题 2 2 9" xfId="45161" xr:uid="{00000000-0005-0000-0000-000069B00000}"/>
    <cellStyle name="标题 2 2 9 2" xfId="45162" xr:uid="{00000000-0005-0000-0000-00006AB00000}"/>
    <cellStyle name="标题 2 2 9 2 2" xfId="45163" xr:uid="{00000000-0005-0000-0000-00006BB00000}"/>
    <cellStyle name="标题 2 2 9 2 2 2" xfId="45164" xr:uid="{00000000-0005-0000-0000-00006CB00000}"/>
    <cellStyle name="标题 2 2 9 3" xfId="45165" xr:uid="{00000000-0005-0000-0000-00006DB00000}"/>
    <cellStyle name="标题 2 2 9 3 2" xfId="45166" xr:uid="{00000000-0005-0000-0000-00006EB00000}"/>
    <cellStyle name="标题 2 3" xfId="45167" xr:uid="{00000000-0005-0000-0000-00006FB00000}"/>
    <cellStyle name="标题 2 3 2" xfId="45168" xr:uid="{00000000-0005-0000-0000-000070B00000}"/>
    <cellStyle name="标题 2 3 2 2" xfId="45169" xr:uid="{00000000-0005-0000-0000-000071B00000}"/>
    <cellStyle name="标题 2 3 2 2 2" xfId="45170" xr:uid="{00000000-0005-0000-0000-000072B00000}"/>
    <cellStyle name="标题 2 3 2 2 2 2" xfId="45171" xr:uid="{00000000-0005-0000-0000-000073B00000}"/>
    <cellStyle name="标题 2 3 2 2 2 3" xfId="45172" xr:uid="{00000000-0005-0000-0000-000074B00000}"/>
    <cellStyle name="标题 2 3 2 2 2 3 2" xfId="45173" xr:uid="{00000000-0005-0000-0000-000075B00000}"/>
    <cellStyle name="标题 2 3 2 2 2 3 2 2" xfId="45174" xr:uid="{00000000-0005-0000-0000-000076B00000}"/>
    <cellStyle name="标题 2 3 2 2 2 4" xfId="45175" xr:uid="{00000000-0005-0000-0000-000077B00000}"/>
    <cellStyle name="标题 2 3 2 2 2 4 2" xfId="45176" xr:uid="{00000000-0005-0000-0000-000078B00000}"/>
    <cellStyle name="标题 2 3 2 2 3" xfId="45177" xr:uid="{00000000-0005-0000-0000-000079B00000}"/>
    <cellStyle name="标题 2 3 2 2 3 2" xfId="45178" xr:uid="{00000000-0005-0000-0000-00007AB00000}"/>
    <cellStyle name="标题 2 3 2 2 3 2 2" xfId="45179" xr:uid="{00000000-0005-0000-0000-00007BB00000}"/>
    <cellStyle name="标题 2 3 2 2 3 2 2 2" xfId="45180" xr:uid="{00000000-0005-0000-0000-00007CB00000}"/>
    <cellStyle name="标题 2 3 2 2 3 3" xfId="45181" xr:uid="{00000000-0005-0000-0000-00007DB00000}"/>
    <cellStyle name="标题 2 3 2 2 3 3 2" xfId="45182" xr:uid="{00000000-0005-0000-0000-00007EB00000}"/>
    <cellStyle name="标题 2 3 2 2 4" xfId="45183" xr:uid="{00000000-0005-0000-0000-00007FB00000}"/>
    <cellStyle name="标题 2 3 2 2 5" xfId="45184" xr:uid="{00000000-0005-0000-0000-000080B00000}"/>
    <cellStyle name="标题 2 3 2 2 6" xfId="45185" xr:uid="{00000000-0005-0000-0000-000081B00000}"/>
    <cellStyle name="标题 2 3 2 3" xfId="45186" xr:uid="{00000000-0005-0000-0000-000082B00000}"/>
    <cellStyle name="标题 2 3 2 3 2" xfId="45187" xr:uid="{00000000-0005-0000-0000-000083B00000}"/>
    <cellStyle name="标题 2 3 2 3 3" xfId="45188" xr:uid="{00000000-0005-0000-0000-000084B00000}"/>
    <cellStyle name="标题 2 3 2 3 3 2" xfId="45189" xr:uid="{00000000-0005-0000-0000-000085B00000}"/>
    <cellStyle name="标题 2 3 2 3 3 2 2" xfId="45190" xr:uid="{00000000-0005-0000-0000-000086B00000}"/>
    <cellStyle name="标题 2 3 2 3 4" xfId="45191" xr:uid="{00000000-0005-0000-0000-000087B00000}"/>
    <cellStyle name="标题 2 3 2 3 4 2" xfId="45192" xr:uid="{00000000-0005-0000-0000-000088B00000}"/>
    <cellStyle name="标题 2 3 2 4" xfId="45193" xr:uid="{00000000-0005-0000-0000-000089B00000}"/>
    <cellStyle name="标题 2 3 2 4 2" xfId="45194" xr:uid="{00000000-0005-0000-0000-00008AB00000}"/>
    <cellStyle name="标题 2 3 2 4 2 2" xfId="45195" xr:uid="{00000000-0005-0000-0000-00008BB00000}"/>
    <cellStyle name="标题 2 3 2 4 2 2 2" xfId="45196" xr:uid="{00000000-0005-0000-0000-00008CB00000}"/>
    <cellStyle name="标题 2 3 2 4 3" xfId="45197" xr:uid="{00000000-0005-0000-0000-00008DB00000}"/>
    <cellStyle name="标题 2 3 2 4 3 2" xfId="45198" xr:uid="{00000000-0005-0000-0000-00008EB00000}"/>
    <cellStyle name="标题 2 3 2 5" xfId="45199" xr:uid="{00000000-0005-0000-0000-00008FB00000}"/>
    <cellStyle name="标题 2 3 2 6" xfId="45200" xr:uid="{00000000-0005-0000-0000-000090B00000}"/>
    <cellStyle name="标题 2 3 2 7" xfId="45201" xr:uid="{00000000-0005-0000-0000-000091B00000}"/>
    <cellStyle name="标题 2 3 3" xfId="45202" xr:uid="{00000000-0005-0000-0000-000092B00000}"/>
    <cellStyle name="标题 2 3 3 2" xfId="45203" xr:uid="{00000000-0005-0000-0000-000093B00000}"/>
    <cellStyle name="标题 2 3 3 2 2" xfId="45204" xr:uid="{00000000-0005-0000-0000-000094B00000}"/>
    <cellStyle name="标题 2 3 3 2 3" xfId="45205" xr:uid="{00000000-0005-0000-0000-000095B00000}"/>
    <cellStyle name="标题 2 3 3 2 3 2" xfId="45206" xr:uid="{00000000-0005-0000-0000-000096B00000}"/>
    <cellStyle name="标题 2 3 3 2 3 2 2" xfId="45207" xr:uid="{00000000-0005-0000-0000-000097B00000}"/>
    <cellStyle name="标题 2 3 3 2 4" xfId="45208" xr:uid="{00000000-0005-0000-0000-000098B00000}"/>
    <cellStyle name="标题 2 3 3 2 4 2" xfId="45209" xr:uid="{00000000-0005-0000-0000-000099B00000}"/>
    <cellStyle name="标题 2 3 3 3" xfId="45210" xr:uid="{00000000-0005-0000-0000-00009AB00000}"/>
    <cellStyle name="标题 2 3 3 3 2" xfId="45211" xr:uid="{00000000-0005-0000-0000-00009BB00000}"/>
    <cellStyle name="标题 2 3 3 3 2 2" xfId="45212" xr:uid="{00000000-0005-0000-0000-00009CB00000}"/>
    <cellStyle name="标题 2 3 3 3 2 2 2" xfId="45213" xr:uid="{00000000-0005-0000-0000-00009DB00000}"/>
    <cellStyle name="标题 2 3 3 3 3" xfId="45214" xr:uid="{00000000-0005-0000-0000-00009EB00000}"/>
    <cellStyle name="标题 2 3 3 3 3 2" xfId="45215" xr:uid="{00000000-0005-0000-0000-00009FB00000}"/>
    <cellStyle name="标题 2 3 3 4" xfId="45216" xr:uid="{00000000-0005-0000-0000-0000A0B00000}"/>
    <cellStyle name="标题 2 3 3 5" xfId="45217" xr:uid="{00000000-0005-0000-0000-0000A1B00000}"/>
    <cellStyle name="标题 2 3 3 6" xfId="45218" xr:uid="{00000000-0005-0000-0000-0000A2B00000}"/>
    <cellStyle name="标题 2 3 4" xfId="45219" xr:uid="{00000000-0005-0000-0000-0000A3B00000}"/>
    <cellStyle name="标题 2 3 4 2" xfId="45220" xr:uid="{00000000-0005-0000-0000-0000A4B00000}"/>
    <cellStyle name="标题 2 3 4 2 2" xfId="45221" xr:uid="{00000000-0005-0000-0000-0000A5B00000}"/>
    <cellStyle name="标题 2 3 4 2 3" xfId="45222" xr:uid="{00000000-0005-0000-0000-0000A6B00000}"/>
    <cellStyle name="标题 2 3 4 2 3 2" xfId="45223" xr:uid="{00000000-0005-0000-0000-0000A7B00000}"/>
    <cellStyle name="标题 2 3 4 2 3 2 2" xfId="45224" xr:uid="{00000000-0005-0000-0000-0000A8B00000}"/>
    <cellStyle name="标题 2 3 4 2 4" xfId="45225" xr:uid="{00000000-0005-0000-0000-0000A9B00000}"/>
    <cellStyle name="标题 2 3 4 2 4 2" xfId="45226" xr:uid="{00000000-0005-0000-0000-0000AAB00000}"/>
    <cellStyle name="标题 2 3 4 3" xfId="45227" xr:uid="{00000000-0005-0000-0000-0000ABB00000}"/>
    <cellStyle name="标题 2 3 4 4" xfId="45228" xr:uid="{00000000-0005-0000-0000-0000ACB00000}"/>
    <cellStyle name="标题 2 3 4 5" xfId="45229" xr:uid="{00000000-0005-0000-0000-0000ADB00000}"/>
    <cellStyle name="标题 2 3 4 6" xfId="45230" xr:uid="{00000000-0005-0000-0000-0000AEB00000}"/>
    <cellStyle name="标题 2 3 5" xfId="45231" xr:uid="{00000000-0005-0000-0000-0000AFB00000}"/>
    <cellStyle name="标题 2 3 5 2" xfId="45232" xr:uid="{00000000-0005-0000-0000-0000B0B00000}"/>
    <cellStyle name="标题 2 3 5 2 2" xfId="45233" xr:uid="{00000000-0005-0000-0000-0000B1B00000}"/>
    <cellStyle name="标题 2 3 5 2 2 2" xfId="45234" xr:uid="{00000000-0005-0000-0000-0000B2B00000}"/>
    <cellStyle name="标题 2 3 5 2 2 2 2" xfId="45235" xr:uid="{00000000-0005-0000-0000-0000B3B00000}"/>
    <cellStyle name="标题 2 3 5 2 3" xfId="45236" xr:uid="{00000000-0005-0000-0000-0000B4B00000}"/>
    <cellStyle name="标题 2 3 5 2 3 2" xfId="45237" xr:uid="{00000000-0005-0000-0000-0000B5B00000}"/>
    <cellStyle name="标题 2 3 5 3" xfId="45238" xr:uid="{00000000-0005-0000-0000-0000B6B00000}"/>
    <cellStyle name="标题 2 3 5 3 2" xfId="45239" xr:uid="{00000000-0005-0000-0000-0000B7B00000}"/>
    <cellStyle name="标题 2 3 5 3 2 2" xfId="45240" xr:uid="{00000000-0005-0000-0000-0000B8B00000}"/>
    <cellStyle name="标题 2 3 5 4" xfId="45241" xr:uid="{00000000-0005-0000-0000-0000B9B00000}"/>
    <cellStyle name="标题 2 3 5 4 2" xfId="45242" xr:uid="{00000000-0005-0000-0000-0000BAB00000}"/>
    <cellStyle name="标题 2 3 6" xfId="45243" xr:uid="{00000000-0005-0000-0000-0000BBB00000}"/>
    <cellStyle name="标题 2 3 6 2" xfId="45244" xr:uid="{00000000-0005-0000-0000-0000BCB00000}"/>
    <cellStyle name="标题 2 3 6 2 2" xfId="45245" xr:uid="{00000000-0005-0000-0000-0000BDB00000}"/>
    <cellStyle name="标题 2 3 6 2 2 2" xfId="45246" xr:uid="{00000000-0005-0000-0000-0000BEB00000}"/>
    <cellStyle name="标题 2 3 6 3" xfId="45247" xr:uid="{00000000-0005-0000-0000-0000BFB00000}"/>
    <cellStyle name="标题 2 3 6 3 2" xfId="45248" xr:uid="{00000000-0005-0000-0000-0000C0B00000}"/>
    <cellStyle name="标题 2 3 7" xfId="45249" xr:uid="{00000000-0005-0000-0000-0000C1B00000}"/>
    <cellStyle name="标题 2 3 8" xfId="45250" xr:uid="{00000000-0005-0000-0000-0000C2B00000}"/>
    <cellStyle name="标题 3 2" xfId="45251" xr:uid="{00000000-0005-0000-0000-0000C3B00000}"/>
    <cellStyle name="标题 3 2 10" xfId="45252" xr:uid="{00000000-0005-0000-0000-0000C4B00000}"/>
    <cellStyle name="标题 3 2 11" xfId="45253" xr:uid="{00000000-0005-0000-0000-0000C5B00000}"/>
    <cellStyle name="标题 3 2 2" xfId="45254" xr:uid="{00000000-0005-0000-0000-0000C6B00000}"/>
    <cellStyle name="标题 3 2 2 10" xfId="45255" xr:uid="{00000000-0005-0000-0000-0000C7B00000}"/>
    <cellStyle name="标题 3 2 2 11" xfId="45256" xr:uid="{00000000-0005-0000-0000-0000C8B00000}"/>
    <cellStyle name="标题 3 2 2 2" xfId="45257" xr:uid="{00000000-0005-0000-0000-0000C9B00000}"/>
    <cellStyle name="标题 3 2 2 2 2" xfId="45258" xr:uid="{00000000-0005-0000-0000-0000CAB00000}"/>
    <cellStyle name="标题 3 2 2 2 2 2" xfId="45259" xr:uid="{00000000-0005-0000-0000-0000CBB00000}"/>
    <cellStyle name="标题 3 2 2 2 2 2 2" xfId="45260" xr:uid="{00000000-0005-0000-0000-0000CCB00000}"/>
    <cellStyle name="标题 3 2 2 2 2 2 3" xfId="45261" xr:uid="{00000000-0005-0000-0000-0000CDB00000}"/>
    <cellStyle name="标题 3 2 2 2 2 2 3 2" xfId="45262" xr:uid="{00000000-0005-0000-0000-0000CEB00000}"/>
    <cellStyle name="标题 3 2 2 2 2 2 3 2 2" xfId="45263" xr:uid="{00000000-0005-0000-0000-0000CFB00000}"/>
    <cellStyle name="标题 3 2 2 2 2 2 4" xfId="45264" xr:uid="{00000000-0005-0000-0000-0000D0B00000}"/>
    <cellStyle name="标题 3 2 2 2 2 2 4 2" xfId="45265" xr:uid="{00000000-0005-0000-0000-0000D1B00000}"/>
    <cellStyle name="标题 3 2 2 2 2 3" xfId="45266" xr:uid="{00000000-0005-0000-0000-0000D2B00000}"/>
    <cellStyle name="标题 3 2 2 2 2 3 2" xfId="45267" xr:uid="{00000000-0005-0000-0000-0000D3B00000}"/>
    <cellStyle name="标题 3 2 2 2 2 3 2 2" xfId="45268" xr:uid="{00000000-0005-0000-0000-0000D4B00000}"/>
    <cellStyle name="标题 3 2 2 2 2 3 2 2 2" xfId="45269" xr:uid="{00000000-0005-0000-0000-0000D5B00000}"/>
    <cellStyle name="标题 3 2 2 2 2 3 3" xfId="45270" xr:uid="{00000000-0005-0000-0000-0000D6B00000}"/>
    <cellStyle name="标题 3 2 2 2 2 3 3 2" xfId="45271" xr:uid="{00000000-0005-0000-0000-0000D7B00000}"/>
    <cellStyle name="标题 3 2 2 2 2 4" xfId="45272" xr:uid="{00000000-0005-0000-0000-0000D8B00000}"/>
    <cellStyle name="标题 3 2 2 2 2 5" xfId="45273" xr:uid="{00000000-0005-0000-0000-0000D9B00000}"/>
    <cellStyle name="标题 3 2 2 2 2 6" xfId="45274" xr:uid="{00000000-0005-0000-0000-0000DAB00000}"/>
    <cellStyle name="标题 3 2 2 2 3" xfId="45275" xr:uid="{00000000-0005-0000-0000-0000DBB00000}"/>
    <cellStyle name="标题 3 2 2 2 3 2" xfId="45276" xr:uid="{00000000-0005-0000-0000-0000DCB00000}"/>
    <cellStyle name="标题 3 2 2 2 3 3" xfId="45277" xr:uid="{00000000-0005-0000-0000-0000DDB00000}"/>
    <cellStyle name="标题 3 2 2 2 3 3 2" xfId="45278" xr:uid="{00000000-0005-0000-0000-0000DEB00000}"/>
    <cellStyle name="标题 3 2 2 2 3 3 2 2" xfId="45279" xr:uid="{00000000-0005-0000-0000-0000DFB00000}"/>
    <cellStyle name="标题 3 2 2 2 3 4" xfId="45280" xr:uid="{00000000-0005-0000-0000-0000E0B00000}"/>
    <cellStyle name="标题 3 2 2 2 3 4 2" xfId="45281" xr:uid="{00000000-0005-0000-0000-0000E1B00000}"/>
    <cellStyle name="标题 3 2 2 2 4" xfId="45282" xr:uid="{00000000-0005-0000-0000-0000E2B00000}"/>
    <cellStyle name="标题 3 2 2 2 4 2" xfId="45283" xr:uid="{00000000-0005-0000-0000-0000E3B00000}"/>
    <cellStyle name="标题 3 2 2 2 4 2 2" xfId="45284" xr:uid="{00000000-0005-0000-0000-0000E4B00000}"/>
    <cellStyle name="标题 3 2 2 2 4 2 2 2" xfId="45285" xr:uid="{00000000-0005-0000-0000-0000E5B00000}"/>
    <cellStyle name="标题 3 2 2 2 4 3" xfId="45286" xr:uid="{00000000-0005-0000-0000-0000E6B00000}"/>
    <cellStyle name="标题 3 2 2 2 4 3 2" xfId="45287" xr:uid="{00000000-0005-0000-0000-0000E7B00000}"/>
    <cellStyle name="标题 3 2 2 2 5" xfId="45288" xr:uid="{00000000-0005-0000-0000-0000E8B00000}"/>
    <cellStyle name="标题 3 2 2 2 6" xfId="45289" xr:uid="{00000000-0005-0000-0000-0000E9B00000}"/>
    <cellStyle name="标题 3 2 2 2 7" xfId="45290" xr:uid="{00000000-0005-0000-0000-0000EAB00000}"/>
    <cellStyle name="标题 3 2 2 3" xfId="45291" xr:uid="{00000000-0005-0000-0000-0000EBB00000}"/>
    <cellStyle name="标题 3 2 2 3 2" xfId="45292" xr:uid="{00000000-0005-0000-0000-0000ECB00000}"/>
    <cellStyle name="标题 3 2 2 3 2 2" xfId="45293" xr:uid="{00000000-0005-0000-0000-0000EDB00000}"/>
    <cellStyle name="标题 3 2 2 3 2 3" xfId="45294" xr:uid="{00000000-0005-0000-0000-0000EEB00000}"/>
    <cellStyle name="标题 3 2 2 3 2 3 2" xfId="45295" xr:uid="{00000000-0005-0000-0000-0000EFB00000}"/>
    <cellStyle name="标题 3 2 2 3 2 3 2 2" xfId="45296" xr:uid="{00000000-0005-0000-0000-0000F0B00000}"/>
    <cellStyle name="标题 3 2 2 3 2 4" xfId="45297" xr:uid="{00000000-0005-0000-0000-0000F1B00000}"/>
    <cellStyle name="标题 3 2 2 3 2 4 2" xfId="45298" xr:uid="{00000000-0005-0000-0000-0000F2B00000}"/>
    <cellStyle name="标题 3 2 2 3 3" xfId="45299" xr:uid="{00000000-0005-0000-0000-0000F3B00000}"/>
    <cellStyle name="标题 3 2 2 3 3 2" xfId="45300" xr:uid="{00000000-0005-0000-0000-0000F4B00000}"/>
    <cellStyle name="标题 3 2 2 3 3 2 2" xfId="45301" xr:uid="{00000000-0005-0000-0000-0000F5B00000}"/>
    <cellStyle name="标题 3 2 2 3 3 2 2 2" xfId="45302" xr:uid="{00000000-0005-0000-0000-0000F6B00000}"/>
    <cellStyle name="标题 3 2 2 3 3 3" xfId="45303" xr:uid="{00000000-0005-0000-0000-0000F7B00000}"/>
    <cellStyle name="标题 3 2 2 3 3 3 2" xfId="45304" xr:uid="{00000000-0005-0000-0000-0000F8B00000}"/>
    <cellStyle name="标题 3 2 2 3 4" xfId="45305" xr:uid="{00000000-0005-0000-0000-0000F9B00000}"/>
    <cellStyle name="标题 3 2 2 3 5" xfId="45306" xr:uid="{00000000-0005-0000-0000-0000FAB00000}"/>
    <cellStyle name="标题 3 2 2 3 6" xfId="45307" xr:uid="{00000000-0005-0000-0000-0000FBB00000}"/>
    <cellStyle name="标题 3 2 2 4" xfId="45308" xr:uid="{00000000-0005-0000-0000-0000FCB00000}"/>
    <cellStyle name="标题 3 2 2 4 2" xfId="45309" xr:uid="{00000000-0005-0000-0000-0000FDB00000}"/>
    <cellStyle name="标题 3 2 2 4 2 2" xfId="45310" xr:uid="{00000000-0005-0000-0000-0000FEB00000}"/>
    <cellStyle name="标题 3 2 2 4 2 3" xfId="45311" xr:uid="{00000000-0005-0000-0000-0000FFB00000}"/>
    <cellStyle name="标题 3 2 2 4 2 3 2" xfId="45312" xr:uid="{00000000-0005-0000-0000-000000B10000}"/>
    <cellStyle name="标题 3 2 2 4 2 3 2 2" xfId="45313" xr:uid="{00000000-0005-0000-0000-000001B10000}"/>
    <cellStyle name="标题 3 2 2 4 2 4" xfId="45314" xr:uid="{00000000-0005-0000-0000-000002B10000}"/>
    <cellStyle name="标题 3 2 2 4 2 4 2" xfId="45315" xr:uid="{00000000-0005-0000-0000-000003B10000}"/>
    <cellStyle name="标题 3 2 2 4 3" xfId="45316" xr:uid="{00000000-0005-0000-0000-000004B10000}"/>
    <cellStyle name="标题 3 2 2 4 4" xfId="45317" xr:uid="{00000000-0005-0000-0000-000005B10000}"/>
    <cellStyle name="标题 3 2 2 4 5" xfId="45318" xr:uid="{00000000-0005-0000-0000-000006B10000}"/>
    <cellStyle name="标题 3 2 2 4 6" xfId="45319" xr:uid="{00000000-0005-0000-0000-000007B10000}"/>
    <cellStyle name="标题 3 2 2 5" xfId="45320" xr:uid="{00000000-0005-0000-0000-000008B10000}"/>
    <cellStyle name="标题 3 2 2 5 2" xfId="45321" xr:uid="{00000000-0005-0000-0000-000009B10000}"/>
    <cellStyle name="标题 3 2 2 5 2 2" xfId="45322" xr:uid="{00000000-0005-0000-0000-00000AB10000}"/>
    <cellStyle name="标题 3 2 2 5 2 2 2" xfId="45323" xr:uid="{00000000-0005-0000-0000-00000BB10000}"/>
    <cellStyle name="标题 3 2 2 5 2 2 2 2" xfId="45324" xr:uid="{00000000-0005-0000-0000-00000CB10000}"/>
    <cellStyle name="标题 3 2 2 5 2 3" xfId="45325" xr:uid="{00000000-0005-0000-0000-00000DB10000}"/>
    <cellStyle name="标题 3 2 2 5 2 3 2" xfId="45326" xr:uid="{00000000-0005-0000-0000-00000EB10000}"/>
    <cellStyle name="标题 3 2 2 5 3" xfId="45327" xr:uid="{00000000-0005-0000-0000-00000FB10000}"/>
    <cellStyle name="标题 3 2 2 5 3 2" xfId="45328" xr:uid="{00000000-0005-0000-0000-000010B10000}"/>
    <cellStyle name="标题 3 2 2 5 3 2 2" xfId="45329" xr:uid="{00000000-0005-0000-0000-000011B10000}"/>
    <cellStyle name="标题 3 2 2 5 4" xfId="45330" xr:uid="{00000000-0005-0000-0000-000012B10000}"/>
    <cellStyle name="标题 3 2 2 5 4 2" xfId="45331" xr:uid="{00000000-0005-0000-0000-000013B10000}"/>
    <cellStyle name="标题 3 2 2 6" xfId="45332" xr:uid="{00000000-0005-0000-0000-000014B10000}"/>
    <cellStyle name="标题 3 2 2 6 2" xfId="45333" xr:uid="{00000000-0005-0000-0000-000015B10000}"/>
    <cellStyle name="标题 3 2 2 6 2 2" xfId="45334" xr:uid="{00000000-0005-0000-0000-000016B10000}"/>
    <cellStyle name="标题 3 2 2 6 2 2 2" xfId="45335" xr:uid="{00000000-0005-0000-0000-000017B10000}"/>
    <cellStyle name="标题 3 2 2 6 2 2 2 2" xfId="45336" xr:uid="{00000000-0005-0000-0000-000018B10000}"/>
    <cellStyle name="标题 3 2 2 6 2 3" xfId="45337" xr:uid="{00000000-0005-0000-0000-000019B10000}"/>
    <cellStyle name="标题 3 2 2 6 2 3 2" xfId="45338" xr:uid="{00000000-0005-0000-0000-00001AB10000}"/>
    <cellStyle name="标题 3 2 2 6 3" xfId="45339" xr:uid="{00000000-0005-0000-0000-00001BB10000}"/>
    <cellStyle name="标题 3 2 2 6 3 2" xfId="45340" xr:uid="{00000000-0005-0000-0000-00001CB10000}"/>
    <cellStyle name="标题 3 2 2 6 3 2 2" xfId="45341" xr:uid="{00000000-0005-0000-0000-00001DB10000}"/>
    <cellStyle name="标题 3 2 2 6 4" xfId="45342" xr:uid="{00000000-0005-0000-0000-00001EB10000}"/>
    <cellStyle name="标题 3 2 2 6 4 2" xfId="45343" xr:uid="{00000000-0005-0000-0000-00001FB10000}"/>
    <cellStyle name="标题 3 2 2 7" xfId="45344" xr:uid="{00000000-0005-0000-0000-000020B10000}"/>
    <cellStyle name="标题 3 2 2 7 2" xfId="45345" xr:uid="{00000000-0005-0000-0000-000021B10000}"/>
    <cellStyle name="标题 3 2 2 7 2 2" xfId="45346" xr:uid="{00000000-0005-0000-0000-000022B10000}"/>
    <cellStyle name="标题 3 2 2 7 2 2 2" xfId="45347" xr:uid="{00000000-0005-0000-0000-000023B10000}"/>
    <cellStyle name="标题 3 2 2 7 2 2 2 2" xfId="45348" xr:uid="{00000000-0005-0000-0000-000024B10000}"/>
    <cellStyle name="标题 3 2 2 7 2 3" xfId="45349" xr:uid="{00000000-0005-0000-0000-000025B10000}"/>
    <cellStyle name="标题 3 2 2 7 2 3 2" xfId="45350" xr:uid="{00000000-0005-0000-0000-000026B10000}"/>
    <cellStyle name="标题 3 2 2 7 3" xfId="45351" xr:uid="{00000000-0005-0000-0000-000027B10000}"/>
    <cellStyle name="标题 3 2 2 7 3 2" xfId="45352" xr:uid="{00000000-0005-0000-0000-000028B10000}"/>
    <cellStyle name="标题 3 2 2 7 3 2 2" xfId="45353" xr:uid="{00000000-0005-0000-0000-000029B10000}"/>
    <cellStyle name="标题 3 2 2 7 4" xfId="45354" xr:uid="{00000000-0005-0000-0000-00002AB10000}"/>
    <cellStyle name="标题 3 2 2 7 4 2" xfId="45355" xr:uid="{00000000-0005-0000-0000-00002BB10000}"/>
    <cellStyle name="标题 3 2 2 8" xfId="45356" xr:uid="{00000000-0005-0000-0000-00002CB10000}"/>
    <cellStyle name="标题 3 2 2 8 2" xfId="45357" xr:uid="{00000000-0005-0000-0000-00002DB10000}"/>
    <cellStyle name="标题 3 2 2 8 2 2" xfId="45358" xr:uid="{00000000-0005-0000-0000-00002EB10000}"/>
    <cellStyle name="标题 3 2 2 8 2 2 2" xfId="45359" xr:uid="{00000000-0005-0000-0000-00002FB10000}"/>
    <cellStyle name="标题 3 2 2 8 3" xfId="45360" xr:uid="{00000000-0005-0000-0000-000030B10000}"/>
    <cellStyle name="标题 3 2 2 8 3 2" xfId="45361" xr:uid="{00000000-0005-0000-0000-000031B10000}"/>
    <cellStyle name="标题 3 2 2 9" xfId="45362" xr:uid="{00000000-0005-0000-0000-000032B10000}"/>
    <cellStyle name="标题 3 2 2 9 2" xfId="45363" xr:uid="{00000000-0005-0000-0000-000033B10000}"/>
    <cellStyle name="标题 3 2 2 9 2 2" xfId="45364" xr:uid="{00000000-0005-0000-0000-000034B10000}"/>
    <cellStyle name="标题 3 2 2 9 2 2 2" xfId="45365" xr:uid="{00000000-0005-0000-0000-000035B10000}"/>
    <cellStyle name="标题 3 2 2 9 3" xfId="45366" xr:uid="{00000000-0005-0000-0000-000036B10000}"/>
    <cellStyle name="标题 3 2 2 9 3 2" xfId="45367" xr:uid="{00000000-0005-0000-0000-000037B10000}"/>
    <cellStyle name="标题 3 2 3" xfId="45368" xr:uid="{00000000-0005-0000-0000-000038B10000}"/>
    <cellStyle name="标题 3 2 3 2" xfId="45369" xr:uid="{00000000-0005-0000-0000-000039B10000}"/>
    <cellStyle name="标题 3 2 3 2 2" xfId="45370" xr:uid="{00000000-0005-0000-0000-00003AB10000}"/>
    <cellStyle name="标题 3 2 3 2 2 2" xfId="45371" xr:uid="{00000000-0005-0000-0000-00003BB10000}"/>
    <cellStyle name="标题 3 2 3 2 2 2 2" xfId="45372" xr:uid="{00000000-0005-0000-0000-00003CB10000}"/>
    <cellStyle name="标题 3 2 3 2 2 2 3" xfId="45373" xr:uid="{00000000-0005-0000-0000-00003DB10000}"/>
    <cellStyle name="标题 3 2 3 2 2 2 3 2" xfId="45374" xr:uid="{00000000-0005-0000-0000-00003EB10000}"/>
    <cellStyle name="标题 3 2 3 2 2 2 3 2 2" xfId="45375" xr:uid="{00000000-0005-0000-0000-00003FB10000}"/>
    <cellStyle name="标题 3 2 3 2 2 2 4" xfId="45376" xr:uid="{00000000-0005-0000-0000-000040B10000}"/>
    <cellStyle name="标题 3 2 3 2 2 2 4 2" xfId="45377" xr:uid="{00000000-0005-0000-0000-000041B10000}"/>
    <cellStyle name="标题 3 2 3 2 2 3" xfId="45378" xr:uid="{00000000-0005-0000-0000-000042B10000}"/>
    <cellStyle name="标题 3 2 3 2 2 3 2" xfId="45379" xr:uid="{00000000-0005-0000-0000-000043B10000}"/>
    <cellStyle name="标题 3 2 3 2 2 3 2 2" xfId="45380" xr:uid="{00000000-0005-0000-0000-000044B10000}"/>
    <cellStyle name="标题 3 2 3 2 2 3 2 2 2" xfId="45381" xr:uid="{00000000-0005-0000-0000-000045B10000}"/>
    <cellStyle name="标题 3 2 3 2 2 3 3" xfId="45382" xr:uid="{00000000-0005-0000-0000-000046B10000}"/>
    <cellStyle name="标题 3 2 3 2 2 3 3 2" xfId="45383" xr:uid="{00000000-0005-0000-0000-000047B10000}"/>
    <cellStyle name="标题 3 2 3 2 2 4" xfId="45384" xr:uid="{00000000-0005-0000-0000-000048B10000}"/>
    <cellStyle name="标题 3 2 3 2 2 5" xfId="45385" xr:uid="{00000000-0005-0000-0000-000049B10000}"/>
    <cellStyle name="标题 3 2 3 2 2 6" xfId="45386" xr:uid="{00000000-0005-0000-0000-00004AB10000}"/>
    <cellStyle name="标题 3 2 3 2 3" xfId="45387" xr:uid="{00000000-0005-0000-0000-00004BB10000}"/>
    <cellStyle name="标题 3 2 3 2 3 2" xfId="45388" xr:uid="{00000000-0005-0000-0000-00004CB10000}"/>
    <cellStyle name="标题 3 2 3 2 3 3" xfId="45389" xr:uid="{00000000-0005-0000-0000-00004DB10000}"/>
    <cellStyle name="标题 3 2 3 2 3 3 2" xfId="45390" xr:uid="{00000000-0005-0000-0000-00004EB10000}"/>
    <cellStyle name="标题 3 2 3 2 3 3 2 2" xfId="45391" xr:uid="{00000000-0005-0000-0000-00004FB10000}"/>
    <cellStyle name="标题 3 2 3 2 3 4" xfId="45392" xr:uid="{00000000-0005-0000-0000-000050B10000}"/>
    <cellStyle name="标题 3 2 3 2 3 4 2" xfId="45393" xr:uid="{00000000-0005-0000-0000-000051B10000}"/>
    <cellStyle name="标题 3 2 3 2 4" xfId="45394" xr:uid="{00000000-0005-0000-0000-000052B10000}"/>
    <cellStyle name="标题 3 2 3 2 4 2" xfId="45395" xr:uid="{00000000-0005-0000-0000-000053B10000}"/>
    <cellStyle name="标题 3 2 3 2 4 2 2" xfId="45396" xr:uid="{00000000-0005-0000-0000-000054B10000}"/>
    <cellStyle name="标题 3 2 3 2 4 2 2 2" xfId="45397" xr:uid="{00000000-0005-0000-0000-000055B10000}"/>
    <cellStyle name="标题 3 2 3 2 4 3" xfId="45398" xr:uid="{00000000-0005-0000-0000-000056B10000}"/>
    <cellStyle name="标题 3 2 3 2 4 3 2" xfId="45399" xr:uid="{00000000-0005-0000-0000-000057B10000}"/>
    <cellStyle name="标题 3 2 3 2 5" xfId="45400" xr:uid="{00000000-0005-0000-0000-000058B10000}"/>
    <cellStyle name="标题 3 2 3 2 6" xfId="45401" xr:uid="{00000000-0005-0000-0000-000059B10000}"/>
    <cellStyle name="标题 3 2 3 2 7" xfId="45402" xr:uid="{00000000-0005-0000-0000-00005AB10000}"/>
    <cellStyle name="标题 3 2 3 3" xfId="45403" xr:uid="{00000000-0005-0000-0000-00005BB10000}"/>
    <cellStyle name="标题 3 2 3 3 2" xfId="45404" xr:uid="{00000000-0005-0000-0000-00005CB10000}"/>
    <cellStyle name="标题 3 2 3 3 2 2" xfId="45405" xr:uid="{00000000-0005-0000-0000-00005DB10000}"/>
    <cellStyle name="标题 3 2 3 3 2 3" xfId="45406" xr:uid="{00000000-0005-0000-0000-00005EB10000}"/>
    <cellStyle name="标题 3 2 3 3 2 3 2" xfId="45407" xr:uid="{00000000-0005-0000-0000-00005FB10000}"/>
    <cellStyle name="标题 3 2 3 3 2 3 2 2" xfId="45408" xr:uid="{00000000-0005-0000-0000-000060B10000}"/>
    <cellStyle name="标题 3 2 3 3 2 4" xfId="45409" xr:uid="{00000000-0005-0000-0000-000061B10000}"/>
    <cellStyle name="标题 3 2 3 3 2 4 2" xfId="45410" xr:uid="{00000000-0005-0000-0000-000062B10000}"/>
    <cellStyle name="标题 3 2 3 3 3" xfId="45411" xr:uid="{00000000-0005-0000-0000-000063B10000}"/>
    <cellStyle name="标题 3 2 3 3 3 2" xfId="45412" xr:uid="{00000000-0005-0000-0000-000064B10000}"/>
    <cellStyle name="标题 3 2 3 3 3 2 2" xfId="45413" xr:uid="{00000000-0005-0000-0000-000065B10000}"/>
    <cellStyle name="标题 3 2 3 3 3 2 2 2" xfId="45414" xr:uid="{00000000-0005-0000-0000-000066B10000}"/>
    <cellStyle name="标题 3 2 3 3 3 3" xfId="45415" xr:uid="{00000000-0005-0000-0000-000067B10000}"/>
    <cellStyle name="标题 3 2 3 3 3 3 2" xfId="45416" xr:uid="{00000000-0005-0000-0000-000068B10000}"/>
    <cellStyle name="标题 3 2 3 3 4" xfId="45417" xr:uid="{00000000-0005-0000-0000-000069B10000}"/>
    <cellStyle name="标题 3 2 3 3 5" xfId="45418" xr:uid="{00000000-0005-0000-0000-00006AB10000}"/>
    <cellStyle name="标题 3 2 3 3 6" xfId="45419" xr:uid="{00000000-0005-0000-0000-00006BB10000}"/>
    <cellStyle name="标题 3 2 3 4" xfId="45420" xr:uid="{00000000-0005-0000-0000-00006CB10000}"/>
    <cellStyle name="标题 3 2 3 4 2" xfId="45421" xr:uid="{00000000-0005-0000-0000-00006DB10000}"/>
    <cellStyle name="标题 3 2 3 4 2 2" xfId="45422" xr:uid="{00000000-0005-0000-0000-00006EB10000}"/>
    <cellStyle name="标题 3 2 3 4 2 3" xfId="45423" xr:uid="{00000000-0005-0000-0000-00006FB10000}"/>
    <cellStyle name="标题 3 2 3 4 2 3 2" xfId="45424" xr:uid="{00000000-0005-0000-0000-000070B10000}"/>
    <cellStyle name="标题 3 2 3 4 2 3 2 2" xfId="45425" xr:uid="{00000000-0005-0000-0000-000071B10000}"/>
    <cellStyle name="标题 3 2 3 4 2 4" xfId="45426" xr:uid="{00000000-0005-0000-0000-000072B10000}"/>
    <cellStyle name="标题 3 2 3 4 2 4 2" xfId="45427" xr:uid="{00000000-0005-0000-0000-000073B10000}"/>
    <cellStyle name="标题 3 2 3 4 3" xfId="45428" xr:uid="{00000000-0005-0000-0000-000074B10000}"/>
    <cellStyle name="标题 3 2 3 4 4" xfId="45429" xr:uid="{00000000-0005-0000-0000-000075B10000}"/>
    <cellStyle name="标题 3 2 3 4 5" xfId="45430" xr:uid="{00000000-0005-0000-0000-000076B10000}"/>
    <cellStyle name="标题 3 2 3 4 6" xfId="45431" xr:uid="{00000000-0005-0000-0000-000077B10000}"/>
    <cellStyle name="标题 3 2 3 5" xfId="45432" xr:uid="{00000000-0005-0000-0000-000078B10000}"/>
    <cellStyle name="标题 3 2 3 5 2" xfId="45433" xr:uid="{00000000-0005-0000-0000-000079B10000}"/>
    <cellStyle name="标题 3 2 3 5 2 2" xfId="45434" xr:uid="{00000000-0005-0000-0000-00007AB10000}"/>
    <cellStyle name="标题 3 2 3 5 2 2 2" xfId="45435" xr:uid="{00000000-0005-0000-0000-00007BB10000}"/>
    <cellStyle name="标题 3 2 3 5 2 2 2 2" xfId="45436" xr:uid="{00000000-0005-0000-0000-00007CB10000}"/>
    <cellStyle name="标题 3 2 3 5 2 3" xfId="45437" xr:uid="{00000000-0005-0000-0000-00007DB10000}"/>
    <cellStyle name="标题 3 2 3 5 2 3 2" xfId="45438" xr:uid="{00000000-0005-0000-0000-00007EB10000}"/>
    <cellStyle name="标题 3 2 3 5 3" xfId="45439" xr:uid="{00000000-0005-0000-0000-00007FB10000}"/>
    <cellStyle name="标题 3 2 3 5 3 2" xfId="45440" xr:uid="{00000000-0005-0000-0000-000080B10000}"/>
    <cellStyle name="标题 3 2 3 5 3 2 2" xfId="45441" xr:uid="{00000000-0005-0000-0000-000081B10000}"/>
    <cellStyle name="标题 3 2 3 5 4" xfId="45442" xr:uid="{00000000-0005-0000-0000-000082B10000}"/>
    <cellStyle name="标题 3 2 3 5 4 2" xfId="45443" xr:uid="{00000000-0005-0000-0000-000083B10000}"/>
    <cellStyle name="标题 3 2 3 6" xfId="45444" xr:uid="{00000000-0005-0000-0000-000084B10000}"/>
    <cellStyle name="标题 3 2 3 6 2" xfId="45445" xr:uid="{00000000-0005-0000-0000-000085B10000}"/>
    <cellStyle name="标题 3 2 3 6 2 2" xfId="45446" xr:uid="{00000000-0005-0000-0000-000086B10000}"/>
    <cellStyle name="标题 3 2 3 6 2 2 2" xfId="45447" xr:uid="{00000000-0005-0000-0000-000087B10000}"/>
    <cellStyle name="标题 3 2 3 6 3" xfId="45448" xr:uid="{00000000-0005-0000-0000-000088B10000}"/>
    <cellStyle name="标题 3 2 3 6 3 2" xfId="45449" xr:uid="{00000000-0005-0000-0000-000089B10000}"/>
    <cellStyle name="标题 3 2 3 7" xfId="45450" xr:uid="{00000000-0005-0000-0000-00008AB10000}"/>
    <cellStyle name="标题 3 2 3 7 2" xfId="45451" xr:uid="{00000000-0005-0000-0000-00008BB10000}"/>
    <cellStyle name="标题 3 2 3 7 2 2" xfId="45452" xr:uid="{00000000-0005-0000-0000-00008CB10000}"/>
    <cellStyle name="标题 3 2 3 7 2 2 2" xfId="45453" xr:uid="{00000000-0005-0000-0000-00008DB10000}"/>
    <cellStyle name="标题 3 2 3 7 3" xfId="45454" xr:uid="{00000000-0005-0000-0000-00008EB10000}"/>
    <cellStyle name="标题 3 2 3 7 3 2" xfId="45455" xr:uid="{00000000-0005-0000-0000-00008FB10000}"/>
    <cellStyle name="标题 3 2 3 8" xfId="45456" xr:uid="{00000000-0005-0000-0000-000090B10000}"/>
    <cellStyle name="标题 3 2 3 9" xfId="45457" xr:uid="{00000000-0005-0000-0000-000091B10000}"/>
    <cellStyle name="标题 3 2 4" xfId="45458" xr:uid="{00000000-0005-0000-0000-000092B10000}"/>
    <cellStyle name="标题 3 2 4 2" xfId="45459" xr:uid="{00000000-0005-0000-0000-000093B10000}"/>
    <cellStyle name="标题 3 2 4 2 2" xfId="45460" xr:uid="{00000000-0005-0000-0000-000094B10000}"/>
    <cellStyle name="标题 3 2 4 2 3" xfId="45461" xr:uid="{00000000-0005-0000-0000-000095B10000}"/>
    <cellStyle name="标题 3 2 4 2 3 2" xfId="45462" xr:uid="{00000000-0005-0000-0000-000096B10000}"/>
    <cellStyle name="标题 3 2 4 2 3 2 2" xfId="45463" xr:uid="{00000000-0005-0000-0000-000097B10000}"/>
    <cellStyle name="标题 3 2 4 2 4" xfId="45464" xr:uid="{00000000-0005-0000-0000-000098B10000}"/>
    <cellStyle name="标题 3 2 4 2 4 2" xfId="45465" xr:uid="{00000000-0005-0000-0000-000099B10000}"/>
    <cellStyle name="标题 3 2 4 3" xfId="45466" xr:uid="{00000000-0005-0000-0000-00009AB10000}"/>
    <cellStyle name="标题 3 2 4 3 2" xfId="45467" xr:uid="{00000000-0005-0000-0000-00009BB10000}"/>
    <cellStyle name="标题 3 2 4 3 2 2" xfId="45468" xr:uid="{00000000-0005-0000-0000-00009CB10000}"/>
    <cellStyle name="标题 3 2 4 3 2 2 2" xfId="45469" xr:uid="{00000000-0005-0000-0000-00009DB10000}"/>
    <cellStyle name="标题 3 2 4 3 3" xfId="45470" xr:uid="{00000000-0005-0000-0000-00009EB10000}"/>
    <cellStyle name="标题 3 2 4 3 3 2" xfId="45471" xr:uid="{00000000-0005-0000-0000-00009FB10000}"/>
    <cellStyle name="标题 3 2 4 4" xfId="45472" xr:uid="{00000000-0005-0000-0000-0000A0B10000}"/>
    <cellStyle name="标题 3 2 4 5" xfId="45473" xr:uid="{00000000-0005-0000-0000-0000A1B10000}"/>
    <cellStyle name="标题 3 2 4 6" xfId="45474" xr:uid="{00000000-0005-0000-0000-0000A2B10000}"/>
    <cellStyle name="标题 3 2 5" xfId="45475" xr:uid="{00000000-0005-0000-0000-0000A3B10000}"/>
    <cellStyle name="标题 3 2 5 2" xfId="45476" xr:uid="{00000000-0005-0000-0000-0000A4B10000}"/>
    <cellStyle name="标题 3 2 5 2 2" xfId="45477" xr:uid="{00000000-0005-0000-0000-0000A5B10000}"/>
    <cellStyle name="标题 3 2 5 2 3" xfId="45478" xr:uid="{00000000-0005-0000-0000-0000A6B10000}"/>
    <cellStyle name="标题 3 2 5 2 3 2" xfId="45479" xr:uid="{00000000-0005-0000-0000-0000A7B10000}"/>
    <cellStyle name="标题 3 2 5 2 3 2 2" xfId="45480" xr:uid="{00000000-0005-0000-0000-0000A8B10000}"/>
    <cellStyle name="标题 3 2 5 2 4" xfId="45481" xr:uid="{00000000-0005-0000-0000-0000A9B10000}"/>
    <cellStyle name="标题 3 2 5 2 4 2" xfId="45482" xr:uid="{00000000-0005-0000-0000-0000AAB10000}"/>
    <cellStyle name="标题 3 2 5 3" xfId="45483" xr:uid="{00000000-0005-0000-0000-0000ABB10000}"/>
    <cellStyle name="标题 3 2 5 4" xfId="45484" xr:uid="{00000000-0005-0000-0000-0000ACB10000}"/>
    <cellStyle name="标题 3 2 5 5" xfId="45485" xr:uid="{00000000-0005-0000-0000-0000ADB10000}"/>
    <cellStyle name="标题 3 2 5 6" xfId="45486" xr:uid="{00000000-0005-0000-0000-0000AEB10000}"/>
    <cellStyle name="标题 3 2 6" xfId="45487" xr:uid="{00000000-0005-0000-0000-0000AFB10000}"/>
    <cellStyle name="标题 3 2 6 2" xfId="45488" xr:uid="{00000000-0005-0000-0000-0000B0B10000}"/>
    <cellStyle name="标题 3 2 6 2 2" xfId="45489" xr:uid="{00000000-0005-0000-0000-0000B1B10000}"/>
    <cellStyle name="标题 3 2 6 2 2 2" xfId="45490" xr:uid="{00000000-0005-0000-0000-0000B2B10000}"/>
    <cellStyle name="标题 3 2 6 2 2 2 2" xfId="45491" xr:uid="{00000000-0005-0000-0000-0000B3B10000}"/>
    <cellStyle name="标题 3 2 6 2 3" xfId="45492" xr:uid="{00000000-0005-0000-0000-0000B4B10000}"/>
    <cellStyle name="标题 3 2 6 2 3 2" xfId="45493" xr:uid="{00000000-0005-0000-0000-0000B5B10000}"/>
    <cellStyle name="标题 3 2 6 3" xfId="45494" xr:uid="{00000000-0005-0000-0000-0000B6B10000}"/>
    <cellStyle name="标题 3 2 6 3 2" xfId="45495" xr:uid="{00000000-0005-0000-0000-0000B7B10000}"/>
    <cellStyle name="标题 3 2 6 3 2 2" xfId="45496" xr:uid="{00000000-0005-0000-0000-0000B8B10000}"/>
    <cellStyle name="标题 3 2 6 4" xfId="45497" xr:uid="{00000000-0005-0000-0000-0000B9B10000}"/>
    <cellStyle name="标题 3 2 6 4 2" xfId="45498" xr:uid="{00000000-0005-0000-0000-0000BAB10000}"/>
    <cellStyle name="标题 3 2 7" xfId="45499" xr:uid="{00000000-0005-0000-0000-0000BBB10000}"/>
    <cellStyle name="标题 3 2 7 2" xfId="45500" xr:uid="{00000000-0005-0000-0000-0000BCB10000}"/>
    <cellStyle name="标题 3 2 7 2 2" xfId="45501" xr:uid="{00000000-0005-0000-0000-0000BDB10000}"/>
    <cellStyle name="标题 3 2 7 2 2 2" xfId="45502" xr:uid="{00000000-0005-0000-0000-0000BEB10000}"/>
    <cellStyle name="标题 3 2 7 2 2 2 2" xfId="45503" xr:uid="{00000000-0005-0000-0000-0000BFB10000}"/>
    <cellStyle name="标题 3 2 7 2 3" xfId="45504" xr:uid="{00000000-0005-0000-0000-0000C0B10000}"/>
    <cellStyle name="标题 3 2 7 2 3 2" xfId="45505" xr:uid="{00000000-0005-0000-0000-0000C1B10000}"/>
    <cellStyle name="标题 3 2 7 3" xfId="45506" xr:uid="{00000000-0005-0000-0000-0000C2B10000}"/>
    <cellStyle name="标题 3 2 7 3 2" xfId="45507" xr:uid="{00000000-0005-0000-0000-0000C3B10000}"/>
    <cellStyle name="标题 3 2 7 3 2 2" xfId="45508" xr:uid="{00000000-0005-0000-0000-0000C4B10000}"/>
    <cellStyle name="标题 3 2 7 4" xfId="45509" xr:uid="{00000000-0005-0000-0000-0000C5B10000}"/>
    <cellStyle name="标题 3 2 7 4 2" xfId="45510" xr:uid="{00000000-0005-0000-0000-0000C6B10000}"/>
    <cellStyle name="标题 3 2 8" xfId="45511" xr:uid="{00000000-0005-0000-0000-0000C7B10000}"/>
    <cellStyle name="标题 3 2 8 2" xfId="45512" xr:uid="{00000000-0005-0000-0000-0000C8B10000}"/>
    <cellStyle name="标题 3 2 8 2 2" xfId="45513" xr:uid="{00000000-0005-0000-0000-0000C9B10000}"/>
    <cellStyle name="标题 3 2 8 2 2 2" xfId="45514" xr:uid="{00000000-0005-0000-0000-0000CAB10000}"/>
    <cellStyle name="标题 3 2 8 2 2 2 2" xfId="45515" xr:uid="{00000000-0005-0000-0000-0000CBB10000}"/>
    <cellStyle name="标题 3 2 8 2 3" xfId="45516" xr:uid="{00000000-0005-0000-0000-0000CCB10000}"/>
    <cellStyle name="标题 3 2 8 2 3 2" xfId="45517" xr:uid="{00000000-0005-0000-0000-0000CDB10000}"/>
    <cellStyle name="标题 3 2 8 3" xfId="45518" xr:uid="{00000000-0005-0000-0000-0000CEB10000}"/>
    <cellStyle name="标题 3 2 8 3 2" xfId="45519" xr:uid="{00000000-0005-0000-0000-0000CFB10000}"/>
    <cellStyle name="标题 3 2 8 3 2 2" xfId="45520" xr:uid="{00000000-0005-0000-0000-0000D0B10000}"/>
    <cellStyle name="标题 3 2 8 4" xfId="45521" xr:uid="{00000000-0005-0000-0000-0000D1B10000}"/>
    <cellStyle name="标题 3 2 8 4 2" xfId="45522" xr:uid="{00000000-0005-0000-0000-0000D2B10000}"/>
    <cellStyle name="标题 3 2 9" xfId="45523" xr:uid="{00000000-0005-0000-0000-0000D3B10000}"/>
    <cellStyle name="标题 3 2 9 2" xfId="45524" xr:uid="{00000000-0005-0000-0000-0000D4B10000}"/>
    <cellStyle name="标题 3 2 9 2 2" xfId="45525" xr:uid="{00000000-0005-0000-0000-0000D5B10000}"/>
    <cellStyle name="标题 3 2 9 2 2 2" xfId="45526" xr:uid="{00000000-0005-0000-0000-0000D6B10000}"/>
    <cellStyle name="标题 3 2 9 3" xfId="45527" xr:uid="{00000000-0005-0000-0000-0000D7B10000}"/>
    <cellStyle name="标题 3 2 9 3 2" xfId="45528" xr:uid="{00000000-0005-0000-0000-0000D8B10000}"/>
    <cellStyle name="标题 3 3" xfId="45529" xr:uid="{00000000-0005-0000-0000-0000D9B10000}"/>
    <cellStyle name="标题 3 3 2" xfId="45530" xr:uid="{00000000-0005-0000-0000-0000DAB10000}"/>
    <cellStyle name="标题 3 3 2 2" xfId="45531" xr:uid="{00000000-0005-0000-0000-0000DBB10000}"/>
    <cellStyle name="标题 3 3 2 2 2" xfId="45532" xr:uid="{00000000-0005-0000-0000-0000DCB10000}"/>
    <cellStyle name="标题 3 3 2 2 2 2" xfId="45533" xr:uid="{00000000-0005-0000-0000-0000DDB10000}"/>
    <cellStyle name="标题 3 3 2 2 2 3" xfId="45534" xr:uid="{00000000-0005-0000-0000-0000DEB10000}"/>
    <cellStyle name="标题 3 3 2 2 2 3 2" xfId="45535" xr:uid="{00000000-0005-0000-0000-0000DFB10000}"/>
    <cellStyle name="标题 3 3 2 2 2 3 2 2" xfId="45536" xr:uid="{00000000-0005-0000-0000-0000E0B10000}"/>
    <cellStyle name="标题 3 3 2 2 2 4" xfId="45537" xr:uid="{00000000-0005-0000-0000-0000E1B10000}"/>
    <cellStyle name="标题 3 3 2 2 2 4 2" xfId="45538" xr:uid="{00000000-0005-0000-0000-0000E2B10000}"/>
    <cellStyle name="标题 3 3 2 2 3" xfId="45539" xr:uid="{00000000-0005-0000-0000-0000E3B10000}"/>
    <cellStyle name="标题 3 3 2 2 3 2" xfId="45540" xr:uid="{00000000-0005-0000-0000-0000E4B10000}"/>
    <cellStyle name="标题 3 3 2 2 3 2 2" xfId="45541" xr:uid="{00000000-0005-0000-0000-0000E5B10000}"/>
    <cellStyle name="标题 3 3 2 2 3 2 2 2" xfId="45542" xr:uid="{00000000-0005-0000-0000-0000E6B10000}"/>
    <cellStyle name="标题 3 3 2 2 3 3" xfId="45543" xr:uid="{00000000-0005-0000-0000-0000E7B10000}"/>
    <cellStyle name="标题 3 3 2 2 3 3 2" xfId="45544" xr:uid="{00000000-0005-0000-0000-0000E8B10000}"/>
    <cellStyle name="标题 3 3 2 2 4" xfId="45545" xr:uid="{00000000-0005-0000-0000-0000E9B10000}"/>
    <cellStyle name="标题 3 3 2 2 5" xfId="45546" xr:uid="{00000000-0005-0000-0000-0000EAB10000}"/>
    <cellStyle name="标题 3 3 2 2 6" xfId="45547" xr:uid="{00000000-0005-0000-0000-0000EBB10000}"/>
    <cellStyle name="标题 3 3 2 3" xfId="45548" xr:uid="{00000000-0005-0000-0000-0000ECB10000}"/>
    <cellStyle name="标题 3 3 2 3 2" xfId="45549" xr:uid="{00000000-0005-0000-0000-0000EDB10000}"/>
    <cellStyle name="标题 3 3 2 3 3" xfId="45550" xr:uid="{00000000-0005-0000-0000-0000EEB10000}"/>
    <cellStyle name="标题 3 3 2 3 3 2" xfId="45551" xr:uid="{00000000-0005-0000-0000-0000EFB10000}"/>
    <cellStyle name="标题 3 3 2 3 3 2 2" xfId="45552" xr:uid="{00000000-0005-0000-0000-0000F0B10000}"/>
    <cellStyle name="标题 3 3 2 3 4" xfId="45553" xr:uid="{00000000-0005-0000-0000-0000F1B10000}"/>
    <cellStyle name="标题 3 3 2 3 4 2" xfId="45554" xr:uid="{00000000-0005-0000-0000-0000F2B10000}"/>
    <cellStyle name="标题 3 3 2 4" xfId="45555" xr:uid="{00000000-0005-0000-0000-0000F3B10000}"/>
    <cellStyle name="标题 3 3 2 4 2" xfId="45556" xr:uid="{00000000-0005-0000-0000-0000F4B10000}"/>
    <cellStyle name="标题 3 3 2 4 2 2" xfId="45557" xr:uid="{00000000-0005-0000-0000-0000F5B10000}"/>
    <cellStyle name="标题 3 3 2 4 2 2 2" xfId="45558" xr:uid="{00000000-0005-0000-0000-0000F6B10000}"/>
    <cellStyle name="标题 3 3 2 4 3" xfId="45559" xr:uid="{00000000-0005-0000-0000-0000F7B10000}"/>
    <cellStyle name="标题 3 3 2 4 3 2" xfId="45560" xr:uid="{00000000-0005-0000-0000-0000F8B10000}"/>
    <cellStyle name="标题 3 3 2 5" xfId="45561" xr:uid="{00000000-0005-0000-0000-0000F9B10000}"/>
    <cellStyle name="标题 3 3 2 6" xfId="45562" xr:uid="{00000000-0005-0000-0000-0000FAB10000}"/>
    <cellStyle name="标题 3 3 2 7" xfId="45563" xr:uid="{00000000-0005-0000-0000-0000FBB10000}"/>
    <cellStyle name="标题 3 3 3" xfId="45564" xr:uid="{00000000-0005-0000-0000-0000FCB10000}"/>
    <cellStyle name="标题 3 3 3 2" xfId="45565" xr:uid="{00000000-0005-0000-0000-0000FDB10000}"/>
    <cellStyle name="标题 3 3 3 2 2" xfId="45566" xr:uid="{00000000-0005-0000-0000-0000FEB10000}"/>
    <cellStyle name="标题 3 3 3 2 3" xfId="45567" xr:uid="{00000000-0005-0000-0000-0000FFB10000}"/>
    <cellStyle name="标题 3 3 3 2 3 2" xfId="45568" xr:uid="{00000000-0005-0000-0000-000000B20000}"/>
    <cellStyle name="标题 3 3 3 2 3 2 2" xfId="45569" xr:uid="{00000000-0005-0000-0000-000001B20000}"/>
    <cellStyle name="标题 3 3 3 2 4" xfId="45570" xr:uid="{00000000-0005-0000-0000-000002B20000}"/>
    <cellStyle name="标题 3 3 3 2 4 2" xfId="45571" xr:uid="{00000000-0005-0000-0000-000003B20000}"/>
    <cellStyle name="标题 3 3 3 3" xfId="45572" xr:uid="{00000000-0005-0000-0000-000004B20000}"/>
    <cellStyle name="标题 3 3 3 3 2" xfId="45573" xr:uid="{00000000-0005-0000-0000-000005B20000}"/>
    <cellStyle name="标题 3 3 3 3 2 2" xfId="45574" xr:uid="{00000000-0005-0000-0000-000006B20000}"/>
    <cellStyle name="标题 3 3 3 3 2 2 2" xfId="45575" xr:uid="{00000000-0005-0000-0000-000007B20000}"/>
    <cellStyle name="标题 3 3 3 3 3" xfId="45576" xr:uid="{00000000-0005-0000-0000-000008B20000}"/>
    <cellStyle name="标题 3 3 3 3 3 2" xfId="45577" xr:uid="{00000000-0005-0000-0000-000009B20000}"/>
    <cellStyle name="标题 3 3 3 4" xfId="45578" xr:uid="{00000000-0005-0000-0000-00000AB20000}"/>
    <cellStyle name="标题 3 3 3 5" xfId="45579" xr:uid="{00000000-0005-0000-0000-00000BB20000}"/>
    <cellStyle name="标题 3 3 3 6" xfId="45580" xr:uid="{00000000-0005-0000-0000-00000CB20000}"/>
    <cellStyle name="标题 3 3 4" xfId="45581" xr:uid="{00000000-0005-0000-0000-00000DB20000}"/>
    <cellStyle name="标题 3 3 4 2" xfId="45582" xr:uid="{00000000-0005-0000-0000-00000EB20000}"/>
    <cellStyle name="标题 3 3 4 2 2" xfId="45583" xr:uid="{00000000-0005-0000-0000-00000FB20000}"/>
    <cellStyle name="标题 3 3 4 2 3" xfId="45584" xr:uid="{00000000-0005-0000-0000-000010B20000}"/>
    <cellStyle name="标题 3 3 4 2 3 2" xfId="45585" xr:uid="{00000000-0005-0000-0000-000011B20000}"/>
    <cellStyle name="标题 3 3 4 2 3 2 2" xfId="45586" xr:uid="{00000000-0005-0000-0000-000012B20000}"/>
    <cellStyle name="标题 3 3 4 2 4" xfId="45587" xr:uid="{00000000-0005-0000-0000-000013B20000}"/>
    <cellStyle name="标题 3 3 4 2 4 2" xfId="45588" xr:uid="{00000000-0005-0000-0000-000014B20000}"/>
    <cellStyle name="标题 3 3 4 3" xfId="45589" xr:uid="{00000000-0005-0000-0000-000015B20000}"/>
    <cellStyle name="标题 3 3 4 4" xfId="45590" xr:uid="{00000000-0005-0000-0000-000016B20000}"/>
    <cellStyle name="标题 3 3 4 5" xfId="45591" xr:uid="{00000000-0005-0000-0000-000017B20000}"/>
    <cellStyle name="标题 3 3 4 6" xfId="45592" xr:uid="{00000000-0005-0000-0000-000018B20000}"/>
    <cellStyle name="标题 3 3 5" xfId="45593" xr:uid="{00000000-0005-0000-0000-000019B20000}"/>
    <cellStyle name="标题 3 3 5 2" xfId="45594" xr:uid="{00000000-0005-0000-0000-00001AB20000}"/>
    <cellStyle name="标题 3 3 5 2 2" xfId="45595" xr:uid="{00000000-0005-0000-0000-00001BB20000}"/>
    <cellStyle name="标题 3 3 5 2 2 2" xfId="45596" xr:uid="{00000000-0005-0000-0000-00001CB20000}"/>
    <cellStyle name="标题 3 3 5 2 2 2 2" xfId="45597" xr:uid="{00000000-0005-0000-0000-00001DB20000}"/>
    <cellStyle name="标题 3 3 5 2 3" xfId="45598" xr:uid="{00000000-0005-0000-0000-00001EB20000}"/>
    <cellStyle name="标题 3 3 5 2 3 2" xfId="45599" xr:uid="{00000000-0005-0000-0000-00001FB20000}"/>
    <cellStyle name="标题 3 3 5 3" xfId="45600" xr:uid="{00000000-0005-0000-0000-000020B20000}"/>
    <cellStyle name="标题 3 3 5 3 2" xfId="45601" xr:uid="{00000000-0005-0000-0000-000021B20000}"/>
    <cellStyle name="标题 3 3 5 3 2 2" xfId="45602" xr:uid="{00000000-0005-0000-0000-000022B20000}"/>
    <cellStyle name="标题 3 3 5 4" xfId="45603" xr:uid="{00000000-0005-0000-0000-000023B20000}"/>
    <cellStyle name="标题 3 3 5 4 2" xfId="45604" xr:uid="{00000000-0005-0000-0000-000024B20000}"/>
    <cellStyle name="标题 3 3 6" xfId="45605" xr:uid="{00000000-0005-0000-0000-000025B20000}"/>
    <cellStyle name="标题 3 3 6 2" xfId="45606" xr:uid="{00000000-0005-0000-0000-000026B20000}"/>
    <cellStyle name="标题 3 3 6 2 2" xfId="45607" xr:uid="{00000000-0005-0000-0000-000027B20000}"/>
    <cellStyle name="标题 3 3 6 2 2 2" xfId="45608" xr:uid="{00000000-0005-0000-0000-000028B20000}"/>
    <cellStyle name="标题 3 3 6 3" xfId="45609" xr:uid="{00000000-0005-0000-0000-000029B20000}"/>
    <cellStyle name="标题 3 3 6 3 2" xfId="45610" xr:uid="{00000000-0005-0000-0000-00002AB20000}"/>
    <cellStyle name="标题 3 3 7" xfId="45611" xr:uid="{00000000-0005-0000-0000-00002BB20000}"/>
    <cellStyle name="标题 3 3 8" xfId="45612" xr:uid="{00000000-0005-0000-0000-00002CB20000}"/>
    <cellStyle name="标题 4 2" xfId="45613" xr:uid="{00000000-0005-0000-0000-00002DB20000}"/>
    <cellStyle name="标题 4 2 10" xfId="45614" xr:uid="{00000000-0005-0000-0000-00002EB20000}"/>
    <cellStyle name="标题 4 2 11" xfId="45615" xr:uid="{00000000-0005-0000-0000-00002FB20000}"/>
    <cellStyle name="标题 4 2 2" xfId="45616" xr:uid="{00000000-0005-0000-0000-000030B20000}"/>
    <cellStyle name="标题 4 2 2 10" xfId="45617" xr:uid="{00000000-0005-0000-0000-000031B20000}"/>
    <cellStyle name="标题 4 2 2 11" xfId="45618" xr:uid="{00000000-0005-0000-0000-000032B20000}"/>
    <cellStyle name="标题 4 2 2 2" xfId="45619" xr:uid="{00000000-0005-0000-0000-000033B20000}"/>
    <cellStyle name="标题 4 2 2 2 2" xfId="45620" xr:uid="{00000000-0005-0000-0000-000034B20000}"/>
    <cellStyle name="标题 4 2 2 2 2 2" xfId="45621" xr:uid="{00000000-0005-0000-0000-000035B20000}"/>
    <cellStyle name="标题 4 2 2 2 2 2 2" xfId="45622" xr:uid="{00000000-0005-0000-0000-000036B20000}"/>
    <cellStyle name="标题 4 2 2 2 2 2 3" xfId="45623" xr:uid="{00000000-0005-0000-0000-000037B20000}"/>
    <cellStyle name="标题 4 2 2 2 2 2 3 2" xfId="45624" xr:uid="{00000000-0005-0000-0000-000038B20000}"/>
    <cellStyle name="标题 4 2 2 2 2 2 3 2 2" xfId="45625" xr:uid="{00000000-0005-0000-0000-000039B20000}"/>
    <cellStyle name="标题 4 2 2 2 2 2 4" xfId="45626" xr:uid="{00000000-0005-0000-0000-00003AB20000}"/>
    <cellStyle name="标题 4 2 2 2 2 2 4 2" xfId="45627" xr:uid="{00000000-0005-0000-0000-00003BB20000}"/>
    <cellStyle name="标题 4 2 2 2 2 3" xfId="45628" xr:uid="{00000000-0005-0000-0000-00003CB20000}"/>
    <cellStyle name="标题 4 2 2 2 2 3 2" xfId="45629" xr:uid="{00000000-0005-0000-0000-00003DB20000}"/>
    <cellStyle name="标题 4 2 2 2 2 3 2 2" xfId="45630" xr:uid="{00000000-0005-0000-0000-00003EB20000}"/>
    <cellStyle name="标题 4 2 2 2 2 3 2 2 2" xfId="45631" xr:uid="{00000000-0005-0000-0000-00003FB20000}"/>
    <cellStyle name="标题 4 2 2 2 2 3 3" xfId="45632" xr:uid="{00000000-0005-0000-0000-000040B20000}"/>
    <cellStyle name="标题 4 2 2 2 2 3 3 2" xfId="45633" xr:uid="{00000000-0005-0000-0000-000041B20000}"/>
    <cellStyle name="标题 4 2 2 2 2 4" xfId="45634" xr:uid="{00000000-0005-0000-0000-000042B20000}"/>
    <cellStyle name="标题 4 2 2 2 2 5" xfId="45635" xr:uid="{00000000-0005-0000-0000-000043B20000}"/>
    <cellStyle name="标题 4 2 2 2 2 6" xfId="45636" xr:uid="{00000000-0005-0000-0000-000044B20000}"/>
    <cellStyle name="标题 4 2 2 2 3" xfId="45637" xr:uid="{00000000-0005-0000-0000-000045B20000}"/>
    <cellStyle name="标题 4 2 2 2 3 2" xfId="45638" xr:uid="{00000000-0005-0000-0000-000046B20000}"/>
    <cellStyle name="标题 4 2 2 2 3 3" xfId="45639" xr:uid="{00000000-0005-0000-0000-000047B20000}"/>
    <cellStyle name="标题 4 2 2 2 3 3 2" xfId="45640" xr:uid="{00000000-0005-0000-0000-000048B20000}"/>
    <cellStyle name="标题 4 2 2 2 3 3 2 2" xfId="45641" xr:uid="{00000000-0005-0000-0000-000049B20000}"/>
    <cellStyle name="标题 4 2 2 2 3 4" xfId="45642" xr:uid="{00000000-0005-0000-0000-00004AB20000}"/>
    <cellStyle name="标题 4 2 2 2 3 4 2" xfId="45643" xr:uid="{00000000-0005-0000-0000-00004BB20000}"/>
    <cellStyle name="标题 4 2 2 2 4" xfId="45644" xr:uid="{00000000-0005-0000-0000-00004CB20000}"/>
    <cellStyle name="标题 4 2 2 2 4 2" xfId="45645" xr:uid="{00000000-0005-0000-0000-00004DB20000}"/>
    <cellStyle name="标题 4 2 2 2 4 2 2" xfId="45646" xr:uid="{00000000-0005-0000-0000-00004EB20000}"/>
    <cellStyle name="标题 4 2 2 2 4 2 2 2" xfId="45647" xr:uid="{00000000-0005-0000-0000-00004FB20000}"/>
    <cellStyle name="标题 4 2 2 2 4 3" xfId="45648" xr:uid="{00000000-0005-0000-0000-000050B20000}"/>
    <cellStyle name="标题 4 2 2 2 4 3 2" xfId="45649" xr:uid="{00000000-0005-0000-0000-000051B20000}"/>
    <cellStyle name="标题 4 2 2 2 5" xfId="45650" xr:uid="{00000000-0005-0000-0000-000052B20000}"/>
    <cellStyle name="标题 4 2 2 2 6" xfId="45651" xr:uid="{00000000-0005-0000-0000-000053B20000}"/>
    <cellStyle name="标题 4 2 2 2 7" xfId="45652" xr:uid="{00000000-0005-0000-0000-000054B20000}"/>
    <cellStyle name="标题 4 2 2 3" xfId="45653" xr:uid="{00000000-0005-0000-0000-000055B20000}"/>
    <cellStyle name="标题 4 2 2 3 2" xfId="45654" xr:uid="{00000000-0005-0000-0000-000056B20000}"/>
    <cellStyle name="标题 4 2 2 3 2 2" xfId="45655" xr:uid="{00000000-0005-0000-0000-000057B20000}"/>
    <cellStyle name="标题 4 2 2 3 2 3" xfId="45656" xr:uid="{00000000-0005-0000-0000-000058B20000}"/>
    <cellStyle name="标题 4 2 2 3 2 3 2" xfId="45657" xr:uid="{00000000-0005-0000-0000-000059B20000}"/>
    <cellStyle name="标题 4 2 2 3 2 3 2 2" xfId="45658" xr:uid="{00000000-0005-0000-0000-00005AB20000}"/>
    <cellStyle name="标题 4 2 2 3 2 4" xfId="45659" xr:uid="{00000000-0005-0000-0000-00005BB20000}"/>
    <cellStyle name="标题 4 2 2 3 2 4 2" xfId="45660" xr:uid="{00000000-0005-0000-0000-00005CB20000}"/>
    <cellStyle name="标题 4 2 2 3 3" xfId="45661" xr:uid="{00000000-0005-0000-0000-00005DB20000}"/>
    <cellStyle name="标题 4 2 2 3 3 2" xfId="45662" xr:uid="{00000000-0005-0000-0000-00005EB20000}"/>
    <cellStyle name="标题 4 2 2 3 3 2 2" xfId="45663" xr:uid="{00000000-0005-0000-0000-00005FB20000}"/>
    <cellStyle name="标题 4 2 2 3 3 2 2 2" xfId="45664" xr:uid="{00000000-0005-0000-0000-000060B20000}"/>
    <cellStyle name="标题 4 2 2 3 3 3" xfId="45665" xr:uid="{00000000-0005-0000-0000-000061B20000}"/>
    <cellStyle name="标题 4 2 2 3 3 3 2" xfId="45666" xr:uid="{00000000-0005-0000-0000-000062B20000}"/>
    <cellStyle name="标题 4 2 2 3 4" xfId="45667" xr:uid="{00000000-0005-0000-0000-000063B20000}"/>
    <cellStyle name="标题 4 2 2 3 5" xfId="45668" xr:uid="{00000000-0005-0000-0000-000064B20000}"/>
    <cellStyle name="标题 4 2 2 3 6" xfId="45669" xr:uid="{00000000-0005-0000-0000-000065B20000}"/>
    <cellStyle name="标题 4 2 2 4" xfId="45670" xr:uid="{00000000-0005-0000-0000-000066B20000}"/>
    <cellStyle name="标题 4 2 2 4 2" xfId="45671" xr:uid="{00000000-0005-0000-0000-000067B20000}"/>
    <cellStyle name="标题 4 2 2 4 2 2" xfId="45672" xr:uid="{00000000-0005-0000-0000-000068B20000}"/>
    <cellStyle name="标题 4 2 2 4 2 3" xfId="45673" xr:uid="{00000000-0005-0000-0000-000069B20000}"/>
    <cellStyle name="标题 4 2 2 4 2 3 2" xfId="45674" xr:uid="{00000000-0005-0000-0000-00006AB20000}"/>
    <cellStyle name="标题 4 2 2 4 2 3 2 2" xfId="45675" xr:uid="{00000000-0005-0000-0000-00006BB20000}"/>
    <cellStyle name="标题 4 2 2 4 2 4" xfId="45676" xr:uid="{00000000-0005-0000-0000-00006CB20000}"/>
    <cellStyle name="标题 4 2 2 4 2 4 2" xfId="45677" xr:uid="{00000000-0005-0000-0000-00006DB20000}"/>
    <cellStyle name="标题 4 2 2 4 3" xfId="45678" xr:uid="{00000000-0005-0000-0000-00006EB20000}"/>
    <cellStyle name="标题 4 2 2 4 4" xfId="45679" xr:uid="{00000000-0005-0000-0000-00006FB20000}"/>
    <cellStyle name="标题 4 2 2 4 5" xfId="45680" xr:uid="{00000000-0005-0000-0000-000070B20000}"/>
    <cellStyle name="标题 4 2 2 4 6" xfId="45681" xr:uid="{00000000-0005-0000-0000-000071B20000}"/>
    <cellStyle name="标题 4 2 2 5" xfId="45682" xr:uid="{00000000-0005-0000-0000-000072B20000}"/>
    <cellStyle name="标题 4 2 2 5 2" xfId="45683" xr:uid="{00000000-0005-0000-0000-000073B20000}"/>
    <cellStyle name="标题 4 2 2 5 2 2" xfId="45684" xr:uid="{00000000-0005-0000-0000-000074B20000}"/>
    <cellStyle name="标题 4 2 2 5 2 2 2" xfId="45685" xr:uid="{00000000-0005-0000-0000-000075B20000}"/>
    <cellStyle name="标题 4 2 2 5 2 2 2 2" xfId="45686" xr:uid="{00000000-0005-0000-0000-000076B20000}"/>
    <cellStyle name="标题 4 2 2 5 2 3" xfId="45687" xr:uid="{00000000-0005-0000-0000-000077B20000}"/>
    <cellStyle name="标题 4 2 2 5 2 3 2" xfId="45688" xr:uid="{00000000-0005-0000-0000-000078B20000}"/>
    <cellStyle name="标题 4 2 2 5 3" xfId="45689" xr:uid="{00000000-0005-0000-0000-000079B20000}"/>
    <cellStyle name="标题 4 2 2 5 3 2" xfId="45690" xr:uid="{00000000-0005-0000-0000-00007AB20000}"/>
    <cellStyle name="标题 4 2 2 5 3 2 2" xfId="45691" xr:uid="{00000000-0005-0000-0000-00007BB20000}"/>
    <cellStyle name="标题 4 2 2 5 4" xfId="45692" xr:uid="{00000000-0005-0000-0000-00007CB20000}"/>
    <cellStyle name="标题 4 2 2 5 4 2" xfId="45693" xr:uid="{00000000-0005-0000-0000-00007DB20000}"/>
    <cellStyle name="标题 4 2 2 6" xfId="45694" xr:uid="{00000000-0005-0000-0000-00007EB20000}"/>
    <cellStyle name="标题 4 2 2 6 2" xfId="45695" xr:uid="{00000000-0005-0000-0000-00007FB20000}"/>
    <cellStyle name="标题 4 2 2 6 2 2" xfId="45696" xr:uid="{00000000-0005-0000-0000-000080B20000}"/>
    <cellStyle name="标题 4 2 2 6 2 2 2" xfId="45697" xr:uid="{00000000-0005-0000-0000-000081B20000}"/>
    <cellStyle name="标题 4 2 2 6 2 2 2 2" xfId="45698" xr:uid="{00000000-0005-0000-0000-000082B20000}"/>
    <cellStyle name="标题 4 2 2 6 2 3" xfId="45699" xr:uid="{00000000-0005-0000-0000-000083B20000}"/>
    <cellStyle name="标题 4 2 2 6 2 3 2" xfId="45700" xr:uid="{00000000-0005-0000-0000-000084B20000}"/>
    <cellStyle name="标题 4 2 2 6 3" xfId="45701" xr:uid="{00000000-0005-0000-0000-000085B20000}"/>
    <cellStyle name="标题 4 2 2 6 3 2" xfId="45702" xr:uid="{00000000-0005-0000-0000-000086B20000}"/>
    <cellStyle name="标题 4 2 2 6 3 2 2" xfId="45703" xr:uid="{00000000-0005-0000-0000-000087B20000}"/>
    <cellStyle name="标题 4 2 2 6 4" xfId="45704" xr:uid="{00000000-0005-0000-0000-000088B20000}"/>
    <cellStyle name="标题 4 2 2 6 4 2" xfId="45705" xr:uid="{00000000-0005-0000-0000-000089B20000}"/>
    <cellStyle name="标题 4 2 2 7" xfId="45706" xr:uid="{00000000-0005-0000-0000-00008AB20000}"/>
    <cellStyle name="标题 4 2 2 7 2" xfId="45707" xr:uid="{00000000-0005-0000-0000-00008BB20000}"/>
    <cellStyle name="标题 4 2 2 7 2 2" xfId="45708" xr:uid="{00000000-0005-0000-0000-00008CB20000}"/>
    <cellStyle name="标题 4 2 2 7 2 2 2" xfId="45709" xr:uid="{00000000-0005-0000-0000-00008DB20000}"/>
    <cellStyle name="标题 4 2 2 7 2 2 2 2" xfId="45710" xr:uid="{00000000-0005-0000-0000-00008EB20000}"/>
    <cellStyle name="标题 4 2 2 7 2 3" xfId="45711" xr:uid="{00000000-0005-0000-0000-00008FB20000}"/>
    <cellStyle name="标题 4 2 2 7 2 3 2" xfId="45712" xr:uid="{00000000-0005-0000-0000-000090B20000}"/>
    <cellStyle name="标题 4 2 2 7 3" xfId="45713" xr:uid="{00000000-0005-0000-0000-000091B20000}"/>
    <cellStyle name="标题 4 2 2 7 3 2" xfId="45714" xr:uid="{00000000-0005-0000-0000-000092B20000}"/>
    <cellStyle name="标题 4 2 2 7 3 2 2" xfId="45715" xr:uid="{00000000-0005-0000-0000-000093B20000}"/>
    <cellStyle name="标题 4 2 2 7 4" xfId="45716" xr:uid="{00000000-0005-0000-0000-000094B20000}"/>
    <cellStyle name="标题 4 2 2 7 4 2" xfId="45717" xr:uid="{00000000-0005-0000-0000-000095B20000}"/>
    <cellStyle name="标题 4 2 2 8" xfId="45718" xr:uid="{00000000-0005-0000-0000-000096B20000}"/>
    <cellStyle name="标题 4 2 2 8 2" xfId="45719" xr:uid="{00000000-0005-0000-0000-000097B20000}"/>
    <cellStyle name="标题 4 2 2 8 2 2" xfId="45720" xr:uid="{00000000-0005-0000-0000-000098B20000}"/>
    <cellStyle name="标题 4 2 2 8 2 2 2" xfId="45721" xr:uid="{00000000-0005-0000-0000-000099B20000}"/>
    <cellStyle name="标题 4 2 2 8 3" xfId="45722" xr:uid="{00000000-0005-0000-0000-00009AB20000}"/>
    <cellStyle name="标题 4 2 2 8 3 2" xfId="45723" xr:uid="{00000000-0005-0000-0000-00009BB20000}"/>
    <cellStyle name="标题 4 2 2 9" xfId="45724" xr:uid="{00000000-0005-0000-0000-00009CB20000}"/>
    <cellStyle name="标题 4 2 2 9 2" xfId="45725" xr:uid="{00000000-0005-0000-0000-00009DB20000}"/>
    <cellStyle name="标题 4 2 2 9 2 2" xfId="45726" xr:uid="{00000000-0005-0000-0000-00009EB20000}"/>
    <cellStyle name="标题 4 2 2 9 2 2 2" xfId="45727" xr:uid="{00000000-0005-0000-0000-00009FB20000}"/>
    <cellStyle name="标题 4 2 2 9 3" xfId="45728" xr:uid="{00000000-0005-0000-0000-0000A0B20000}"/>
    <cellStyle name="标题 4 2 2 9 3 2" xfId="45729" xr:uid="{00000000-0005-0000-0000-0000A1B20000}"/>
    <cellStyle name="标题 4 2 3" xfId="45730" xr:uid="{00000000-0005-0000-0000-0000A2B20000}"/>
    <cellStyle name="标题 4 2 3 2" xfId="45731" xr:uid="{00000000-0005-0000-0000-0000A3B20000}"/>
    <cellStyle name="标题 4 2 3 2 2" xfId="45732" xr:uid="{00000000-0005-0000-0000-0000A4B20000}"/>
    <cellStyle name="标题 4 2 3 2 2 2" xfId="45733" xr:uid="{00000000-0005-0000-0000-0000A5B20000}"/>
    <cellStyle name="标题 4 2 3 2 2 2 2" xfId="45734" xr:uid="{00000000-0005-0000-0000-0000A6B20000}"/>
    <cellStyle name="标题 4 2 3 2 2 2 3" xfId="45735" xr:uid="{00000000-0005-0000-0000-0000A7B20000}"/>
    <cellStyle name="标题 4 2 3 2 2 2 3 2" xfId="45736" xr:uid="{00000000-0005-0000-0000-0000A8B20000}"/>
    <cellStyle name="标题 4 2 3 2 2 2 3 2 2" xfId="45737" xr:uid="{00000000-0005-0000-0000-0000A9B20000}"/>
    <cellStyle name="标题 4 2 3 2 2 2 4" xfId="45738" xr:uid="{00000000-0005-0000-0000-0000AAB20000}"/>
    <cellStyle name="标题 4 2 3 2 2 2 4 2" xfId="45739" xr:uid="{00000000-0005-0000-0000-0000ABB20000}"/>
    <cellStyle name="标题 4 2 3 2 2 3" xfId="45740" xr:uid="{00000000-0005-0000-0000-0000ACB20000}"/>
    <cellStyle name="标题 4 2 3 2 2 3 2" xfId="45741" xr:uid="{00000000-0005-0000-0000-0000ADB20000}"/>
    <cellStyle name="标题 4 2 3 2 2 3 2 2" xfId="45742" xr:uid="{00000000-0005-0000-0000-0000AEB20000}"/>
    <cellStyle name="标题 4 2 3 2 2 3 2 2 2" xfId="45743" xr:uid="{00000000-0005-0000-0000-0000AFB20000}"/>
    <cellStyle name="标题 4 2 3 2 2 3 3" xfId="45744" xr:uid="{00000000-0005-0000-0000-0000B0B20000}"/>
    <cellStyle name="标题 4 2 3 2 2 3 3 2" xfId="45745" xr:uid="{00000000-0005-0000-0000-0000B1B20000}"/>
    <cellStyle name="标题 4 2 3 2 2 4" xfId="45746" xr:uid="{00000000-0005-0000-0000-0000B2B20000}"/>
    <cellStyle name="标题 4 2 3 2 2 5" xfId="45747" xr:uid="{00000000-0005-0000-0000-0000B3B20000}"/>
    <cellStyle name="标题 4 2 3 2 2 6" xfId="45748" xr:uid="{00000000-0005-0000-0000-0000B4B20000}"/>
    <cellStyle name="标题 4 2 3 2 3" xfId="45749" xr:uid="{00000000-0005-0000-0000-0000B5B20000}"/>
    <cellStyle name="标题 4 2 3 2 3 2" xfId="45750" xr:uid="{00000000-0005-0000-0000-0000B6B20000}"/>
    <cellStyle name="标题 4 2 3 2 3 3" xfId="45751" xr:uid="{00000000-0005-0000-0000-0000B7B20000}"/>
    <cellStyle name="标题 4 2 3 2 3 3 2" xfId="45752" xr:uid="{00000000-0005-0000-0000-0000B8B20000}"/>
    <cellStyle name="标题 4 2 3 2 3 3 2 2" xfId="45753" xr:uid="{00000000-0005-0000-0000-0000B9B20000}"/>
    <cellStyle name="标题 4 2 3 2 3 4" xfId="45754" xr:uid="{00000000-0005-0000-0000-0000BAB20000}"/>
    <cellStyle name="标题 4 2 3 2 3 4 2" xfId="45755" xr:uid="{00000000-0005-0000-0000-0000BBB20000}"/>
    <cellStyle name="标题 4 2 3 2 4" xfId="45756" xr:uid="{00000000-0005-0000-0000-0000BCB20000}"/>
    <cellStyle name="标题 4 2 3 2 4 2" xfId="45757" xr:uid="{00000000-0005-0000-0000-0000BDB20000}"/>
    <cellStyle name="标题 4 2 3 2 4 2 2" xfId="45758" xr:uid="{00000000-0005-0000-0000-0000BEB20000}"/>
    <cellStyle name="标题 4 2 3 2 4 2 2 2" xfId="45759" xr:uid="{00000000-0005-0000-0000-0000BFB20000}"/>
    <cellStyle name="标题 4 2 3 2 4 3" xfId="45760" xr:uid="{00000000-0005-0000-0000-0000C0B20000}"/>
    <cellStyle name="标题 4 2 3 2 4 3 2" xfId="45761" xr:uid="{00000000-0005-0000-0000-0000C1B20000}"/>
    <cellStyle name="标题 4 2 3 2 5" xfId="45762" xr:uid="{00000000-0005-0000-0000-0000C2B20000}"/>
    <cellStyle name="标题 4 2 3 2 6" xfId="45763" xr:uid="{00000000-0005-0000-0000-0000C3B20000}"/>
    <cellStyle name="标题 4 2 3 2 7" xfId="45764" xr:uid="{00000000-0005-0000-0000-0000C4B20000}"/>
    <cellStyle name="标题 4 2 3 3" xfId="45765" xr:uid="{00000000-0005-0000-0000-0000C5B20000}"/>
    <cellStyle name="标题 4 2 3 3 2" xfId="45766" xr:uid="{00000000-0005-0000-0000-0000C6B20000}"/>
    <cellStyle name="标题 4 2 3 3 2 2" xfId="45767" xr:uid="{00000000-0005-0000-0000-0000C7B20000}"/>
    <cellStyle name="标题 4 2 3 3 2 3" xfId="45768" xr:uid="{00000000-0005-0000-0000-0000C8B20000}"/>
    <cellStyle name="标题 4 2 3 3 2 3 2" xfId="45769" xr:uid="{00000000-0005-0000-0000-0000C9B20000}"/>
    <cellStyle name="标题 4 2 3 3 2 3 2 2" xfId="45770" xr:uid="{00000000-0005-0000-0000-0000CAB20000}"/>
    <cellStyle name="标题 4 2 3 3 2 4" xfId="45771" xr:uid="{00000000-0005-0000-0000-0000CBB20000}"/>
    <cellStyle name="标题 4 2 3 3 2 4 2" xfId="45772" xr:uid="{00000000-0005-0000-0000-0000CCB20000}"/>
    <cellStyle name="标题 4 2 3 3 3" xfId="45773" xr:uid="{00000000-0005-0000-0000-0000CDB20000}"/>
    <cellStyle name="标题 4 2 3 3 3 2" xfId="45774" xr:uid="{00000000-0005-0000-0000-0000CEB20000}"/>
    <cellStyle name="标题 4 2 3 3 3 2 2" xfId="45775" xr:uid="{00000000-0005-0000-0000-0000CFB20000}"/>
    <cellStyle name="标题 4 2 3 3 3 2 2 2" xfId="45776" xr:uid="{00000000-0005-0000-0000-0000D0B20000}"/>
    <cellStyle name="标题 4 2 3 3 3 3" xfId="45777" xr:uid="{00000000-0005-0000-0000-0000D1B20000}"/>
    <cellStyle name="标题 4 2 3 3 3 3 2" xfId="45778" xr:uid="{00000000-0005-0000-0000-0000D2B20000}"/>
    <cellStyle name="标题 4 2 3 3 4" xfId="45779" xr:uid="{00000000-0005-0000-0000-0000D3B20000}"/>
    <cellStyle name="标题 4 2 3 3 5" xfId="45780" xr:uid="{00000000-0005-0000-0000-0000D4B20000}"/>
    <cellStyle name="标题 4 2 3 3 6" xfId="45781" xr:uid="{00000000-0005-0000-0000-0000D5B20000}"/>
    <cellStyle name="标题 4 2 3 4" xfId="45782" xr:uid="{00000000-0005-0000-0000-0000D6B20000}"/>
    <cellStyle name="标题 4 2 3 4 2" xfId="45783" xr:uid="{00000000-0005-0000-0000-0000D7B20000}"/>
    <cellStyle name="标题 4 2 3 4 2 2" xfId="45784" xr:uid="{00000000-0005-0000-0000-0000D8B20000}"/>
    <cellStyle name="标题 4 2 3 4 2 3" xfId="45785" xr:uid="{00000000-0005-0000-0000-0000D9B20000}"/>
    <cellStyle name="标题 4 2 3 4 2 3 2" xfId="45786" xr:uid="{00000000-0005-0000-0000-0000DAB20000}"/>
    <cellStyle name="标题 4 2 3 4 2 3 2 2" xfId="45787" xr:uid="{00000000-0005-0000-0000-0000DBB20000}"/>
    <cellStyle name="标题 4 2 3 4 2 4" xfId="45788" xr:uid="{00000000-0005-0000-0000-0000DCB20000}"/>
    <cellStyle name="标题 4 2 3 4 2 4 2" xfId="45789" xr:uid="{00000000-0005-0000-0000-0000DDB20000}"/>
    <cellStyle name="标题 4 2 3 4 3" xfId="45790" xr:uid="{00000000-0005-0000-0000-0000DEB20000}"/>
    <cellStyle name="标题 4 2 3 4 4" xfId="45791" xr:uid="{00000000-0005-0000-0000-0000DFB20000}"/>
    <cellStyle name="标题 4 2 3 4 5" xfId="45792" xr:uid="{00000000-0005-0000-0000-0000E0B20000}"/>
    <cellStyle name="标题 4 2 3 4 6" xfId="45793" xr:uid="{00000000-0005-0000-0000-0000E1B20000}"/>
    <cellStyle name="标题 4 2 3 5" xfId="45794" xr:uid="{00000000-0005-0000-0000-0000E2B20000}"/>
    <cellStyle name="标题 4 2 3 5 2" xfId="45795" xr:uid="{00000000-0005-0000-0000-0000E3B20000}"/>
    <cellStyle name="标题 4 2 3 5 2 2" xfId="45796" xr:uid="{00000000-0005-0000-0000-0000E4B20000}"/>
    <cellStyle name="标题 4 2 3 5 2 2 2" xfId="45797" xr:uid="{00000000-0005-0000-0000-0000E5B20000}"/>
    <cellStyle name="标题 4 2 3 5 2 2 2 2" xfId="45798" xr:uid="{00000000-0005-0000-0000-0000E6B20000}"/>
    <cellStyle name="标题 4 2 3 5 2 3" xfId="45799" xr:uid="{00000000-0005-0000-0000-0000E7B20000}"/>
    <cellStyle name="标题 4 2 3 5 2 3 2" xfId="45800" xr:uid="{00000000-0005-0000-0000-0000E8B20000}"/>
    <cellStyle name="标题 4 2 3 5 3" xfId="45801" xr:uid="{00000000-0005-0000-0000-0000E9B20000}"/>
    <cellStyle name="标题 4 2 3 5 3 2" xfId="45802" xr:uid="{00000000-0005-0000-0000-0000EAB20000}"/>
    <cellStyle name="标题 4 2 3 5 3 2 2" xfId="45803" xr:uid="{00000000-0005-0000-0000-0000EBB20000}"/>
    <cellStyle name="标题 4 2 3 5 4" xfId="45804" xr:uid="{00000000-0005-0000-0000-0000ECB20000}"/>
    <cellStyle name="标题 4 2 3 5 4 2" xfId="45805" xr:uid="{00000000-0005-0000-0000-0000EDB20000}"/>
    <cellStyle name="标题 4 2 3 6" xfId="45806" xr:uid="{00000000-0005-0000-0000-0000EEB20000}"/>
    <cellStyle name="标题 4 2 3 6 2" xfId="45807" xr:uid="{00000000-0005-0000-0000-0000EFB20000}"/>
    <cellStyle name="标题 4 2 3 6 2 2" xfId="45808" xr:uid="{00000000-0005-0000-0000-0000F0B20000}"/>
    <cellStyle name="标题 4 2 3 6 2 2 2" xfId="45809" xr:uid="{00000000-0005-0000-0000-0000F1B20000}"/>
    <cellStyle name="标题 4 2 3 6 3" xfId="45810" xr:uid="{00000000-0005-0000-0000-0000F2B20000}"/>
    <cellStyle name="标题 4 2 3 6 3 2" xfId="45811" xr:uid="{00000000-0005-0000-0000-0000F3B20000}"/>
    <cellStyle name="标题 4 2 3 7" xfId="45812" xr:uid="{00000000-0005-0000-0000-0000F4B20000}"/>
    <cellStyle name="标题 4 2 3 7 2" xfId="45813" xr:uid="{00000000-0005-0000-0000-0000F5B20000}"/>
    <cellStyle name="标题 4 2 3 7 2 2" xfId="45814" xr:uid="{00000000-0005-0000-0000-0000F6B20000}"/>
    <cellStyle name="标题 4 2 3 7 2 2 2" xfId="45815" xr:uid="{00000000-0005-0000-0000-0000F7B20000}"/>
    <cellStyle name="标题 4 2 3 7 3" xfId="45816" xr:uid="{00000000-0005-0000-0000-0000F8B20000}"/>
    <cellStyle name="标题 4 2 3 7 3 2" xfId="45817" xr:uid="{00000000-0005-0000-0000-0000F9B20000}"/>
    <cellStyle name="标题 4 2 3 8" xfId="45818" xr:uid="{00000000-0005-0000-0000-0000FAB20000}"/>
    <cellStyle name="标题 4 2 3 9" xfId="45819" xr:uid="{00000000-0005-0000-0000-0000FBB20000}"/>
    <cellStyle name="标题 4 2 4" xfId="45820" xr:uid="{00000000-0005-0000-0000-0000FCB20000}"/>
    <cellStyle name="标题 4 2 4 2" xfId="45821" xr:uid="{00000000-0005-0000-0000-0000FDB20000}"/>
    <cellStyle name="标题 4 2 4 2 2" xfId="45822" xr:uid="{00000000-0005-0000-0000-0000FEB20000}"/>
    <cellStyle name="标题 4 2 4 2 3" xfId="45823" xr:uid="{00000000-0005-0000-0000-0000FFB20000}"/>
    <cellStyle name="标题 4 2 4 2 3 2" xfId="45824" xr:uid="{00000000-0005-0000-0000-000000B30000}"/>
    <cellStyle name="标题 4 2 4 2 3 2 2" xfId="45825" xr:uid="{00000000-0005-0000-0000-000001B30000}"/>
    <cellStyle name="标题 4 2 4 2 4" xfId="45826" xr:uid="{00000000-0005-0000-0000-000002B30000}"/>
    <cellStyle name="标题 4 2 4 2 4 2" xfId="45827" xr:uid="{00000000-0005-0000-0000-000003B30000}"/>
    <cellStyle name="标题 4 2 4 3" xfId="45828" xr:uid="{00000000-0005-0000-0000-000004B30000}"/>
    <cellStyle name="标题 4 2 4 3 2" xfId="45829" xr:uid="{00000000-0005-0000-0000-000005B30000}"/>
    <cellStyle name="标题 4 2 4 3 2 2" xfId="45830" xr:uid="{00000000-0005-0000-0000-000006B30000}"/>
    <cellStyle name="标题 4 2 4 3 2 2 2" xfId="45831" xr:uid="{00000000-0005-0000-0000-000007B30000}"/>
    <cellStyle name="标题 4 2 4 3 3" xfId="45832" xr:uid="{00000000-0005-0000-0000-000008B30000}"/>
    <cellStyle name="标题 4 2 4 3 3 2" xfId="45833" xr:uid="{00000000-0005-0000-0000-000009B30000}"/>
    <cellStyle name="标题 4 2 4 4" xfId="45834" xr:uid="{00000000-0005-0000-0000-00000AB30000}"/>
    <cellStyle name="标题 4 2 4 5" xfId="45835" xr:uid="{00000000-0005-0000-0000-00000BB30000}"/>
    <cellStyle name="标题 4 2 4 6" xfId="45836" xr:uid="{00000000-0005-0000-0000-00000CB30000}"/>
    <cellStyle name="标题 4 2 5" xfId="45837" xr:uid="{00000000-0005-0000-0000-00000DB30000}"/>
    <cellStyle name="标题 4 2 5 2" xfId="45838" xr:uid="{00000000-0005-0000-0000-00000EB30000}"/>
    <cellStyle name="标题 4 2 5 2 2" xfId="45839" xr:uid="{00000000-0005-0000-0000-00000FB30000}"/>
    <cellStyle name="标题 4 2 5 2 3" xfId="45840" xr:uid="{00000000-0005-0000-0000-000010B30000}"/>
    <cellStyle name="标题 4 2 5 2 3 2" xfId="45841" xr:uid="{00000000-0005-0000-0000-000011B30000}"/>
    <cellStyle name="标题 4 2 5 2 3 2 2" xfId="45842" xr:uid="{00000000-0005-0000-0000-000012B30000}"/>
    <cellStyle name="标题 4 2 5 2 4" xfId="45843" xr:uid="{00000000-0005-0000-0000-000013B30000}"/>
    <cellStyle name="标题 4 2 5 2 4 2" xfId="45844" xr:uid="{00000000-0005-0000-0000-000014B30000}"/>
    <cellStyle name="标题 4 2 5 3" xfId="45845" xr:uid="{00000000-0005-0000-0000-000015B30000}"/>
    <cellStyle name="标题 4 2 5 4" xfId="45846" xr:uid="{00000000-0005-0000-0000-000016B30000}"/>
    <cellStyle name="标题 4 2 5 5" xfId="45847" xr:uid="{00000000-0005-0000-0000-000017B30000}"/>
    <cellStyle name="标题 4 2 5 6" xfId="45848" xr:uid="{00000000-0005-0000-0000-000018B30000}"/>
    <cellStyle name="标题 4 2 6" xfId="45849" xr:uid="{00000000-0005-0000-0000-000019B30000}"/>
    <cellStyle name="标题 4 2 6 2" xfId="45850" xr:uid="{00000000-0005-0000-0000-00001AB30000}"/>
    <cellStyle name="标题 4 2 6 2 2" xfId="45851" xr:uid="{00000000-0005-0000-0000-00001BB30000}"/>
    <cellStyle name="标题 4 2 6 2 2 2" xfId="45852" xr:uid="{00000000-0005-0000-0000-00001CB30000}"/>
    <cellStyle name="标题 4 2 6 2 2 2 2" xfId="45853" xr:uid="{00000000-0005-0000-0000-00001DB30000}"/>
    <cellStyle name="标题 4 2 6 2 3" xfId="45854" xr:uid="{00000000-0005-0000-0000-00001EB30000}"/>
    <cellStyle name="标题 4 2 6 2 3 2" xfId="45855" xr:uid="{00000000-0005-0000-0000-00001FB30000}"/>
    <cellStyle name="标题 4 2 6 3" xfId="45856" xr:uid="{00000000-0005-0000-0000-000020B30000}"/>
    <cellStyle name="标题 4 2 6 3 2" xfId="45857" xr:uid="{00000000-0005-0000-0000-000021B30000}"/>
    <cellStyle name="标题 4 2 6 3 2 2" xfId="45858" xr:uid="{00000000-0005-0000-0000-000022B30000}"/>
    <cellStyle name="标题 4 2 6 4" xfId="45859" xr:uid="{00000000-0005-0000-0000-000023B30000}"/>
    <cellStyle name="标题 4 2 6 4 2" xfId="45860" xr:uid="{00000000-0005-0000-0000-000024B30000}"/>
    <cellStyle name="标题 4 2 7" xfId="45861" xr:uid="{00000000-0005-0000-0000-000025B30000}"/>
    <cellStyle name="标题 4 2 7 2" xfId="45862" xr:uid="{00000000-0005-0000-0000-000026B30000}"/>
    <cellStyle name="标题 4 2 7 2 2" xfId="45863" xr:uid="{00000000-0005-0000-0000-000027B30000}"/>
    <cellStyle name="标题 4 2 7 2 2 2" xfId="45864" xr:uid="{00000000-0005-0000-0000-000028B30000}"/>
    <cellStyle name="标题 4 2 7 2 2 2 2" xfId="45865" xr:uid="{00000000-0005-0000-0000-000029B30000}"/>
    <cellStyle name="标题 4 2 7 2 3" xfId="45866" xr:uid="{00000000-0005-0000-0000-00002AB30000}"/>
    <cellStyle name="标题 4 2 7 2 3 2" xfId="45867" xr:uid="{00000000-0005-0000-0000-00002BB30000}"/>
    <cellStyle name="标题 4 2 7 3" xfId="45868" xr:uid="{00000000-0005-0000-0000-00002CB30000}"/>
    <cellStyle name="标题 4 2 7 3 2" xfId="45869" xr:uid="{00000000-0005-0000-0000-00002DB30000}"/>
    <cellStyle name="标题 4 2 7 3 2 2" xfId="45870" xr:uid="{00000000-0005-0000-0000-00002EB30000}"/>
    <cellStyle name="标题 4 2 7 4" xfId="45871" xr:uid="{00000000-0005-0000-0000-00002FB30000}"/>
    <cellStyle name="标题 4 2 7 4 2" xfId="45872" xr:uid="{00000000-0005-0000-0000-000030B30000}"/>
    <cellStyle name="标题 4 2 8" xfId="45873" xr:uid="{00000000-0005-0000-0000-000031B30000}"/>
    <cellStyle name="标题 4 2 8 2" xfId="45874" xr:uid="{00000000-0005-0000-0000-000032B30000}"/>
    <cellStyle name="标题 4 2 8 2 2" xfId="45875" xr:uid="{00000000-0005-0000-0000-000033B30000}"/>
    <cellStyle name="标题 4 2 8 2 2 2" xfId="45876" xr:uid="{00000000-0005-0000-0000-000034B30000}"/>
    <cellStyle name="标题 4 2 8 2 2 2 2" xfId="45877" xr:uid="{00000000-0005-0000-0000-000035B30000}"/>
    <cellStyle name="标题 4 2 8 2 3" xfId="45878" xr:uid="{00000000-0005-0000-0000-000036B30000}"/>
    <cellStyle name="标题 4 2 8 2 3 2" xfId="45879" xr:uid="{00000000-0005-0000-0000-000037B30000}"/>
    <cellStyle name="标题 4 2 8 3" xfId="45880" xr:uid="{00000000-0005-0000-0000-000038B30000}"/>
    <cellStyle name="标题 4 2 8 3 2" xfId="45881" xr:uid="{00000000-0005-0000-0000-000039B30000}"/>
    <cellStyle name="标题 4 2 8 3 2 2" xfId="45882" xr:uid="{00000000-0005-0000-0000-00003AB30000}"/>
    <cellStyle name="标题 4 2 8 4" xfId="45883" xr:uid="{00000000-0005-0000-0000-00003BB30000}"/>
    <cellStyle name="标题 4 2 8 4 2" xfId="45884" xr:uid="{00000000-0005-0000-0000-00003CB30000}"/>
    <cellStyle name="标题 4 2 9" xfId="45885" xr:uid="{00000000-0005-0000-0000-00003DB30000}"/>
    <cellStyle name="标题 4 2 9 2" xfId="45886" xr:uid="{00000000-0005-0000-0000-00003EB30000}"/>
    <cellStyle name="标题 4 2 9 2 2" xfId="45887" xr:uid="{00000000-0005-0000-0000-00003FB30000}"/>
    <cellStyle name="标题 4 2 9 2 2 2" xfId="45888" xr:uid="{00000000-0005-0000-0000-000040B30000}"/>
    <cellStyle name="标题 4 2 9 3" xfId="45889" xr:uid="{00000000-0005-0000-0000-000041B30000}"/>
    <cellStyle name="标题 4 2 9 3 2" xfId="45890" xr:uid="{00000000-0005-0000-0000-000042B30000}"/>
    <cellStyle name="标题 4 3" xfId="45891" xr:uid="{00000000-0005-0000-0000-000043B30000}"/>
    <cellStyle name="标题 4 3 2" xfId="45892" xr:uid="{00000000-0005-0000-0000-000044B30000}"/>
    <cellStyle name="标题 4 3 2 2" xfId="45893" xr:uid="{00000000-0005-0000-0000-000045B30000}"/>
    <cellStyle name="标题 4 3 2 2 2" xfId="45894" xr:uid="{00000000-0005-0000-0000-000046B30000}"/>
    <cellStyle name="标题 4 3 2 2 2 2" xfId="45895" xr:uid="{00000000-0005-0000-0000-000047B30000}"/>
    <cellStyle name="标题 4 3 2 2 2 3" xfId="45896" xr:uid="{00000000-0005-0000-0000-000048B30000}"/>
    <cellStyle name="标题 4 3 2 2 2 3 2" xfId="45897" xr:uid="{00000000-0005-0000-0000-000049B30000}"/>
    <cellStyle name="标题 4 3 2 2 2 3 2 2" xfId="45898" xr:uid="{00000000-0005-0000-0000-00004AB30000}"/>
    <cellStyle name="标题 4 3 2 2 2 4" xfId="45899" xr:uid="{00000000-0005-0000-0000-00004BB30000}"/>
    <cellStyle name="标题 4 3 2 2 2 4 2" xfId="45900" xr:uid="{00000000-0005-0000-0000-00004CB30000}"/>
    <cellStyle name="标题 4 3 2 2 3" xfId="45901" xr:uid="{00000000-0005-0000-0000-00004DB30000}"/>
    <cellStyle name="标题 4 3 2 2 3 2" xfId="45902" xr:uid="{00000000-0005-0000-0000-00004EB30000}"/>
    <cellStyle name="标题 4 3 2 2 3 2 2" xfId="45903" xr:uid="{00000000-0005-0000-0000-00004FB30000}"/>
    <cellStyle name="标题 4 3 2 2 3 2 2 2" xfId="45904" xr:uid="{00000000-0005-0000-0000-000050B30000}"/>
    <cellStyle name="标题 4 3 2 2 3 3" xfId="45905" xr:uid="{00000000-0005-0000-0000-000051B30000}"/>
    <cellStyle name="标题 4 3 2 2 3 3 2" xfId="45906" xr:uid="{00000000-0005-0000-0000-000052B30000}"/>
    <cellStyle name="标题 4 3 2 2 4" xfId="45907" xr:uid="{00000000-0005-0000-0000-000053B30000}"/>
    <cellStyle name="标题 4 3 2 2 5" xfId="45908" xr:uid="{00000000-0005-0000-0000-000054B30000}"/>
    <cellStyle name="标题 4 3 2 2 6" xfId="45909" xr:uid="{00000000-0005-0000-0000-000055B30000}"/>
    <cellStyle name="标题 4 3 2 3" xfId="45910" xr:uid="{00000000-0005-0000-0000-000056B30000}"/>
    <cellStyle name="标题 4 3 2 3 2" xfId="45911" xr:uid="{00000000-0005-0000-0000-000057B30000}"/>
    <cellStyle name="标题 4 3 2 3 3" xfId="45912" xr:uid="{00000000-0005-0000-0000-000058B30000}"/>
    <cellStyle name="标题 4 3 2 3 3 2" xfId="45913" xr:uid="{00000000-0005-0000-0000-000059B30000}"/>
    <cellStyle name="标题 4 3 2 3 3 2 2" xfId="45914" xr:uid="{00000000-0005-0000-0000-00005AB30000}"/>
    <cellStyle name="标题 4 3 2 3 4" xfId="45915" xr:uid="{00000000-0005-0000-0000-00005BB30000}"/>
    <cellStyle name="标题 4 3 2 3 4 2" xfId="45916" xr:uid="{00000000-0005-0000-0000-00005CB30000}"/>
    <cellStyle name="标题 4 3 2 4" xfId="45917" xr:uid="{00000000-0005-0000-0000-00005DB30000}"/>
    <cellStyle name="标题 4 3 2 4 2" xfId="45918" xr:uid="{00000000-0005-0000-0000-00005EB30000}"/>
    <cellStyle name="标题 4 3 2 4 2 2" xfId="45919" xr:uid="{00000000-0005-0000-0000-00005FB30000}"/>
    <cellStyle name="标题 4 3 2 4 2 2 2" xfId="45920" xr:uid="{00000000-0005-0000-0000-000060B30000}"/>
    <cellStyle name="标题 4 3 2 4 3" xfId="45921" xr:uid="{00000000-0005-0000-0000-000061B30000}"/>
    <cellStyle name="标题 4 3 2 4 3 2" xfId="45922" xr:uid="{00000000-0005-0000-0000-000062B30000}"/>
    <cellStyle name="标题 4 3 2 5" xfId="45923" xr:uid="{00000000-0005-0000-0000-000063B30000}"/>
    <cellStyle name="标题 4 3 2 6" xfId="45924" xr:uid="{00000000-0005-0000-0000-000064B30000}"/>
    <cellStyle name="标题 4 3 2 7" xfId="45925" xr:uid="{00000000-0005-0000-0000-000065B30000}"/>
    <cellStyle name="标题 4 3 3" xfId="45926" xr:uid="{00000000-0005-0000-0000-000066B30000}"/>
    <cellStyle name="标题 4 3 3 2" xfId="45927" xr:uid="{00000000-0005-0000-0000-000067B30000}"/>
    <cellStyle name="标题 4 3 3 2 2" xfId="45928" xr:uid="{00000000-0005-0000-0000-000068B30000}"/>
    <cellStyle name="标题 4 3 3 2 3" xfId="45929" xr:uid="{00000000-0005-0000-0000-000069B30000}"/>
    <cellStyle name="标题 4 3 3 2 3 2" xfId="45930" xr:uid="{00000000-0005-0000-0000-00006AB30000}"/>
    <cellStyle name="标题 4 3 3 2 3 2 2" xfId="45931" xr:uid="{00000000-0005-0000-0000-00006BB30000}"/>
    <cellStyle name="标题 4 3 3 2 4" xfId="45932" xr:uid="{00000000-0005-0000-0000-00006CB30000}"/>
    <cellStyle name="标题 4 3 3 2 4 2" xfId="45933" xr:uid="{00000000-0005-0000-0000-00006DB30000}"/>
    <cellStyle name="标题 4 3 3 3" xfId="45934" xr:uid="{00000000-0005-0000-0000-00006EB30000}"/>
    <cellStyle name="标题 4 3 3 3 2" xfId="45935" xr:uid="{00000000-0005-0000-0000-00006FB30000}"/>
    <cellStyle name="标题 4 3 3 3 2 2" xfId="45936" xr:uid="{00000000-0005-0000-0000-000070B30000}"/>
    <cellStyle name="标题 4 3 3 3 2 2 2" xfId="45937" xr:uid="{00000000-0005-0000-0000-000071B30000}"/>
    <cellStyle name="标题 4 3 3 3 3" xfId="45938" xr:uid="{00000000-0005-0000-0000-000072B30000}"/>
    <cellStyle name="标题 4 3 3 3 3 2" xfId="45939" xr:uid="{00000000-0005-0000-0000-000073B30000}"/>
    <cellStyle name="标题 4 3 3 4" xfId="45940" xr:uid="{00000000-0005-0000-0000-000074B30000}"/>
    <cellStyle name="标题 4 3 3 5" xfId="45941" xr:uid="{00000000-0005-0000-0000-000075B30000}"/>
    <cellStyle name="标题 4 3 3 6" xfId="45942" xr:uid="{00000000-0005-0000-0000-000076B30000}"/>
    <cellStyle name="标题 4 3 4" xfId="45943" xr:uid="{00000000-0005-0000-0000-000077B30000}"/>
    <cellStyle name="标题 4 3 4 2" xfId="45944" xr:uid="{00000000-0005-0000-0000-000078B30000}"/>
    <cellStyle name="标题 4 3 4 2 2" xfId="45945" xr:uid="{00000000-0005-0000-0000-000079B30000}"/>
    <cellStyle name="标题 4 3 4 2 3" xfId="45946" xr:uid="{00000000-0005-0000-0000-00007AB30000}"/>
    <cellStyle name="标题 4 3 4 2 3 2" xfId="45947" xr:uid="{00000000-0005-0000-0000-00007BB30000}"/>
    <cellStyle name="标题 4 3 4 2 3 2 2" xfId="45948" xr:uid="{00000000-0005-0000-0000-00007CB30000}"/>
    <cellStyle name="标题 4 3 4 2 4" xfId="45949" xr:uid="{00000000-0005-0000-0000-00007DB30000}"/>
    <cellStyle name="标题 4 3 4 2 4 2" xfId="45950" xr:uid="{00000000-0005-0000-0000-00007EB30000}"/>
    <cellStyle name="标题 4 3 4 3" xfId="45951" xr:uid="{00000000-0005-0000-0000-00007FB30000}"/>
    <cellStyle name="标题 4 3 4 4" xfId="45952" xr:uid="{00000000-0005-0000-0000-000080B30000}"/>
    <cellStyle name="标题 4 3 4 5" xfId="45953" xr:uid="{00000000-0005-0000-0000-000081B30000}"/>
    <cellStyle name="标题 4 3 4 6" xfId="45954" xr:uid="{00000000-0005-0000-0000-000082B30000}"/>
    <cellStyle name="标题 4 3 5" xfId="45955" xr:uid="{00000000-0005-0000-0000-000083B30000}"/>
    <cellStyle name="标题 4 3 5 2" xfId="45956" xr:uid="{00000000-0005-0000-0000-000084B30000}"/>
    <cellStyle name="标题 4 3 5 2 2" xfId="45957" xr:uid="{00000000-0005-0000-0000-000085B30000}"/>
    <cellStyle name="标题 4 3 5 2 2 2" xfId="45958" xr:uid="{00000000-0005-0000-0000-000086B30000}"/>
    <cellStyle name="标题 4 3 5 2 2 2 2" xfId="45959" xr:uid="{00000000-0005-0000-0000-000087B30000}"/>
    <cellStyle name="标题 4 3 5 2 3" xfId="45960" xr:uid="{00000000-0005-0000-0000-000088B30000}"/>
    <cellStyle name="标题 4 3 5 2 3 2" xfId="45961" xr:uid="{00000000-0005-0000-0000-000089B30000}"/>
    <cellStyle name="标题 4 3 5 3" xfId="45962" xr:uid="{00000000-0005-0000-0000-00008AB30000}"/>
    <cellStyle name="标题 4 3 5 3 2" xfId="45963" xr:uid="{00000000-0005-0000-0000-00008BB30000}"/>
    <cellStyle name="标题 4 3 5 3 2 2" xfId="45964" xr:uid="{00000000-0005-0000-0000-00008CB30000}"/>
    <cellStyle name="标题 4 3 5 4" xfId="45965" xr:uid="{00000000-0005-0000-0000-00008DB30000}"/>
    <cellStyle name="标题 4 3 5 4 2" xfId="45966" xr:uid="{00000000-0005-0000-0000-00008EB30000}"/>
    <cellStyle name="标题 4 3 6" xfId="45967" xr:uid="{00000000-0005-0000-0000-00008FB30000}"/>
    <cellStyle name="标题 4 3 6 2" xfId="45968" xr:uid="{00000000-0005-0000-0000-000090B30000}"/>
    <cellStyle name="标题 4 3 6 2 2" xfId="45969" xr:uid="{00000000-0005-0000-0000-000091B30000}"/>
    <cellStyle name="标题 4 3 6 2 2 2" xfId="45970" xr:uid="{00000000-0005-0000-0000-000092B30000}"/>
    <cellStyle name="标题 4 3 6 3" xfId="45971" xr:uid="{00000000-0005-0000-0000-000093B30000}"/>
    <cellStyle name="标题 4 3 6 3 2" xfId="45972" xr:uid="{00000000-0005-0000-0000-000094B30000}"/>
    <cellStyle name="标题 4 3 7" xfId="45973" xr:uid="{00000000-0005-0000-0000-000095B30000}"/>
    <cellStyle name="标题 4 3 8" xfId="45974" xr:uid="{00000000-0005-0000-0000-000096B30000}"/>
    <cellStyle name="标题 5" xfId="45975" xr:uid="{00000000-0005-0000-0000-000097B30000}"/>
    <cellStyle name="标题 5 10" xfId="45976" xr:uid="{00000000-0005-0000-0000-000098B30000}"/>
    <cellStyle name="标题 5 11" xfId="45977" xr:uid="{00000000-0005-0000-0000-000099B30000}"/>
    <cellStyle name="标题 5 2" xfId="45978" xr:uid="{00000000-0005-0000-0000-00009AB30000}"/>
    <cellStyle name="标题 5 2 10" xfId="45979" xr:uid="{00000000-0005-0000-0000-00009BB30000}"/>
    <cellStyle name="标题 5 2 11" xfId="45980" xr:uid="{00000000-0005-0000-0000-00009CB30000}"/>
    <cellStyle name="标题 5 2 2" xfId="45981" xr:uid="{00000000-0005-0000-0000-00009DB30000}"/>
    <cellStyle name="标题 5 2 2 2" xfId="45982" xr:uid="{00000000-0005-0000-0000-00009EB30000}"/>
    <cellStyle name="标题 5 2 2 2 2" xfId="45983" xr:uid="{00000000-0005-0000-0000-00009FB30000}"/>
    <cellStyle name="标题 5 2 2 2 2 2" xfId="45984" xr:uid="{00000000-0005-0000-0000-0000A0B30000}"/>
    <cellStyle name="标题 5 2 2 2 2 3" xfId="45985" xr:uid="{00000000-0005-0000-0000-0000A1B30000}"/>
    <cellStyle name="标题 5 2 2 2 2 3 2" xfId="45986" xr:uid="{00000000-0005-0000-0000-0000A2B30000}"/>
    <cellStyle name="标题 5 2 2 2 2 3 2 2" xfId="45987" xr:uid="{00000000-0005-0000-0000-0000A3B30000}"/>
    <cellStyle name="标题 5 2 2 2 2 4" xfId="45988" xr:uid="{00000000-0005-0000-0000-0000A4B30000}"/>
    <cellStyle name="标题 5 2 2 2 2 4 2" xfId="45989" xr:uid="{00000000-0005-0000-0000-0000A5B30000}"/>
    <cellStyle name="标题 5 2 2 2 3" xfId="45990" xr:uid="{00000000-0005-0000-0000-0000A6B30000}"/>
    <cellStyle name="标题 5 2 2 2 3 2" xfId="45991" xr:uid="{00000000-0005-0000-0000-0000A7B30000}"/>
    <cellStyle name="标题 5 2 2 2 3 2 2" xfId="45992" xr:uid="{00000000-0005-0000-0000-0000A8B30000}"/>
    <cellStyle name="标题 5 2 2 2 3 2 2 2" xfId="45993" xr:uid="{00000000-0005-0000-0000-0000A9B30000}"/>
    <cellStyle name="标题 5 2 2 2 3 3" xfId="45994" xr:uid="{00000000-0005-0000-0000-0000AAB30000}"/>
    <cellStyle name="标题 5 2 2 2 3 3 2" xfId="45995" xr:uid="{00000000-0005-0000-0000-0000ABB30000}"/>
    <cellStyle name="标题 5 2 2 2 4" xfId="45996" xr:uid="{00000000-0005-0000-0000-0000ACB30000}"/>
    <cellStyle name="标题 5 2 2 2 5" xfId="45997" xr:uid="{00000000-0005-0000-0000-0000ADB30000}"/>
    <cellStyle name="标题 5 2 2 2 6" xfId="45998" xr:uid="{00000000-0005-0000-0000-0000AEB30000}"/>
    <cellStyle name="标题 5 2 2 3" xfId="45999" xr:uid="{00000000-0005-0000-0000-0000AFB30000}"/>
    <cellStyle name="标题 5 2 2 3 2" xfId="46000" xr:uid="{00000000-0005-0000-0000-0000B0B30000}"/>
    <cellStyle name="标题 5 2 2 3 3" xfId="46001" xr:uid="{00000000-0005-0000-0000-0000B1B30000}"/>
    <cellStyle name="标题 5 2 2 3 3 2" xfId="46002" xr:uid="{00000000-0005-0000-0000-0000B2B30000}"/>
    <cellStyle name="标题 5 2 2 3 3 2 2" xfId="46003" xr:uid="{00000000-0005-0000-0000-0000B3B30000}"/>
    <cellStyle name="标题 5 2 2 3 4" xfId="46004" xr:uid="{00000000-0005-0000-0000-0000B4B30000}"/>
    <cellStyle name="标题 5 2 2 3 4 2" xfId="46005" xr:uid="{00000000-0005-0000-0000-0000B5B30000}"/>
    <cellStyle name="标题 5 2 2 4" xfId="46006" xr:uid="{00000000-0005-0000-0000-0000B6B30000}"/>
    <cellStyle name="标题 5 2 2 4 2" xfId="46007" xr:uid="{00000000-0005-0000-0000-0000B7B30000}"/>
    <cellStyle name="标题 5 2 2 4 2 2" xfId="46008" xr:uid="{00000000-0005-0000-0000-0000B8B30000}"/>
    <cellStyle name="标题 5 2 2 4 2 2 2" xfId="46009" xr:uid="{00000000-0005-0000-0000-0000B9B30000}"/>
    <cellStyle name="标题 5 2 2 4 3" xfId="46010" xr:uid="{00000000-0005-0000-0000-0000BAB30000}"/>
    <cellStyle name="标题 5 2 2 4 3 2" xfId="46011" xr:uid="{00000000-0005-0000-0000-0000BBB30000}"/>
    <cellStyle name="标题 5 2 2 5" xfId="46012" xr:uid="{00000000-0005-0000-0000-0000BCB30000}"/>
    <cellStyle name="标题 5 2 2 6" xfId="46013" xr:uid="{00000000-0005-0000-0000-0000BDB30000}"/>
    <cellStyle name="标题 5 2 2 7" xfId="46014" xr:uid="{00000000-0005-0000-0000-0000BEB30000}"/>
    <cellStyle name="标题 5 2 3" xfId="46015" xr:uid="{00000000-0005-0000-0000-0000BFB30000}"/>
    <cellStyle name="标题 5 2 3 2" xfId="46016" xr:uid="{00000000-0005-0000-0000-0000C0B30000}"/>
    <cellStyle name="标题 5 2 3 2 2" xfId="46017" xr:uid="{00000000-0005-0000-0000-0000C1B30000}"/>
    <cellStyle name="标题 5 2 3 2 3" xfId="46018" xr:uid="{00000000-0005-0000-0000-0000C2B30000}"/>
    <cellStyle name="标题 5 2 3 2 3 2" xfId="46019" xr:uid="{00000000-0005-0000-0000-0000C3B30000}"/>
    <cellStyle name="标题 5 2 3 2 3 2 2" xfId="46020" xr:uid="{00000000-0005-0000-0000-0000C4B30000}"/>
    <cellStyle name="标题 5 2 3 2 4" xfId="46021" xr:uid="{00000000-0005-0000-0000-0000C5B30000}"/>
    <cellStyle name="标题 5 2 3 2 4 2" xfId="46022" xr:uid="{00000000-0005-0000-0000-0000C6B30000}"/>
    <cellStyle name="标题 5 2 3 3" xfId="46023" xr:uid="{00000000-0005-0000-0000-0000C7B30000}"/>
    <cellStyle name="标题 5 2 3 3 2" xfId="46024" xr:uid="{00000000-0005-0000-0000-0000C8B30000}"/>
    <cellStyle name="标题 5 2 3 3 2 2" xfId="46025" xr:uid="{00000000-0005-0000-0000-0000C9B30000}"/>
    <cellStyle name="标题 5 2 3 3 2 2 2" xfId="46026" xr:uid="{00000000-0005-0000-0000-0000CAB30000}"/>
    <cellStyle name="标题 5 2 3 3 3" xfId="46027" xr:uid="{00000000-0005-0000-0000-0000CBB30000}"/>
    <cellStyle name="标题 5 2 3 3 3 2" xfId="46028" xr:uid="{00000000-0005-0000-0000-0000CCB30000}"/>
    <cellStyle name="标题 5 2 3 4" xfId="46029" xr:uid="{00000000-0005-0000-0000-0000CDB30000}"/>
    <cellStyle name="标题 5 2 3 5" xfId="46030" xr:uid="{00000000-0005-0000-0000-0000CEB30000}"/>
    <cellStyle name="标题 5 2 3 6" xfId="46031" xr:uid="{00000000-0005-0000-0000-0000CFB30000}"/>
    <cellStyle name="标题 5 2 4" xfId="46032" xr:uid="{00000000-0005-0000-0000-0000D0B30000}"/>
    <cellStyle name="标题 5 2 4 2" xfId="46033" xr:uid="{00000000-0005-0000-0000-0000D1B30000}"/>
    <cellStyle name="标题 5 2 4 2 2" xfId="46034" xr:uid="{00000000-0005-0000-0000-0000D2B30000}"/>
    <cellStyle name="标题 5 2 4 2 3" xfId="46035" xr:uid="{00000000-0005-0000-0000-0000D3B30000}"/>
    <cellStyle name="标题 5 2 4 2 3 2" xfId="46036" xr:uid="{00000000-0005-0000-0000-0000D4B30000}"/>
    <cellStyle name="标题 5 2 4 2 3 2 2" xfId="46037" xr:uid="{00000000-0005-0000-0000-0000D5B30000}"/>
    <cellStyle name="标题 5 2 4 2 4" xfId="46038" xr:uid="{00000000-0005-0000-0000-0000D6B30000}"/>
    <cellStyle name="标题 5 2 4 2 4 2" xfId="46039" xr:uid="{00000000-0005-0000-0000-0000D7B30000}"/>
    <cellStyle name="标题 5 2 4 3" xfId="46040" xr:uid="{00000000-0005-0000-0000-0000D8B30000}"/>
    <cellStyle name="标题 5 2 4 4" xfId="46041" xr:uid="{00000000-0005-0000-0000-0000D9B30000}"/>
    <cellStyle name="标题 5 2 4 5" xfId="46042" xr:uid="{00000000-0005-0000-0000-0000DAB30000}"/>
    <cellStyle name="标题 5 2 4 6" xfId="46043" xr:uid="{00000000-0005-0000-0000-0000DBB30000}"/>
    <cellStyle name="标题 5 2 5" xfId="46044" xr:uid="{00000000-0005-0000-0000-0000DCB30000}"/>
    <cellStyle name="标题 5 2 5 2" xfId="46045" xr:uid="{00000000-0005-0000-0000-0000DDB30000}"/>
    <cellStyle name="标题 5 2 5 2 2" xfId="46046" xr:uid="{00000000-0005-0000-0000-0000DEB30000}"/>
    <cellStyle name="标题 5 2 5 2 2 2" xfId="46047" xr:uid="{00000000-0005-0000-0000-0000DFB30000}"/>
    <cellStyle name="标题 5 2 5 2 2 2 2" xfId="46048" xr:uid="{00000000-0005-0000-0000-0000E0B30000}"/>
    <cellStyle name="标题 5 2 5 2 3" xfId="46049" xr:uid="{00000000-0005-0000-0000-0000E1B30000}"/>
    <cellStyle name="标题 5 2 5 2 3 2" xfId="46050" xr:uid="{00000000-0005-0000-0000-0000E2B30000}"/>
    <cellStyle name="标题 5 2 5 3" xfId="46051" xr:uid="{00000000-0005-0000-0000-0000E3B30000}"/>
    <cellStyle name="标题 5 2 5 3 2" xfId="46052" xr:uid="{00000000-0005-0000-0000-0000E4B30000}"/>
    <cellStyle name="标题 5 2 5 3 2 2" xfId="46053" xr:uid="{00000000-0005-0000-0000-0000E5B30000}"/>
    <cellStyle name="标题 5 2 5 4" xfId="46054" xr:uid="{00000000-0005-0000-0000-0000E6B30000}"/>
    <cellStyle name="标题 5 2 5 4 2" xfId="46055" xr:uid="{00000000-0005-0000-0000-0000E7B30000}"/>
    <cellStyle name="标题 5 2 6" xfId="46056" xr:uid="{00000000-0005-0000-0000-0000E8B30000}"/>
    <cellStyle name="标题 5 2 6 2" xfId="46057" xr:uid="{00000000-0005-0000-0000-0000E9B30000}"/>
    <cellStyle name="标题 5 2 6 2 2" xfId="46058" xr:uid="{00000000-0005-0000-0000-0000EAB30000}"/>
    <cellStyle name="标题 5 2 6 2 2 2" xfId="46059" xr:uid="{00000000-0005-0000-0000-0000EBB30000}"/>
    <cellStyle name="标题 5 2 6 2 2 2 2" xfId="46060" xr:uid="{00000000-0005-0000-0000-0000ECB30000}"/>
    <cellStyle name="标题 5 2 6 2 3" xfId="46061" xr:uid="{00000000-0005-0000-0000-0000EDB30000}"/>
    <cellStyle name="标题 5 2 6 2 3 2" xfId="46062" xr:uid="{00000000-0005-0000-0000-0000EEB30000}"/>
    <cellStyle name="标题 5 2 6 3" xfId="46063" xr:uid="{00000000-0005-0000-0000-0000EFB30000}"/>
    <cellStyle name="标题 5 2 6 3 2" xfId="46064" xr:uid="{00000000-0005-0000-0000-0000F0B30000}"/>
    <cellStyle name="标题 5 2 6 3 2 2" xfId="46065" xr:uid="{00000000-0005-0000-0000-0000F1B30000}"/>
    <cellStyle name="标题 5 2 6 4" xfId="46066" xr:uid="{00000000-0005-0000-0000-0000F2B30000}"/>
    <cellStyle name="标题 5 2 6 4 2" xfId="46067" xr:uid="{00000000-0005-0000-0000-0000F3B30000}"/>
    <cellStyle name="标题 5 2 7" xfId="46068" xr:uid="{00000000-0005-0000-0000-0000F4B30000}"/>
    <cellStyle name="标题 5 2 7 2" xfId="46069" xr:uid="{00000000-0005-0000-0000-0000F5B30000}"/>
    <cellStyle name="标题 5 2 7 2 2" xfId="46070" xr:uid="{00000000-0005-0000-0000-0000F6B30000}"/>
    <cellStyle name="标题 5 2 7 2 2 2" xfId="46071" xr:uid="{00000000-0005-0000-0000-0000F7B30000}"/>
    <cellStyle name="标题 5 2 7 2 2 2 2" xfId="46072" xr:uid="{00000000-0005-0000-0000-0000F8B30000}"/>
    <cellStyle name="标题 5 2 7 2 3" xfId="46073" xr:uid="{00000000-0005-0000-0000-0000F9B30000}"/>
    <cellStyle name="标题 5 2 7 2 3 2" xfId="46074" xr:uid="{00000000-0005-0000-0000-0000FAB30000}"/>
    <cellStyle name="标题 5 2 7 3" xfId="46075" xr:uid="{00000000-0005-0000-0000-0000FBB30000}"/>
    <cellStyle name="标题 5 2 7 3 2" xfId="46076" xr:uid="{00000000-0005-0000-0000-0000FCB30000}"/>
    <cellStyle name="标题 5 2 7 3 2 2" xfId="46077" xr:uid="{00000000-0005-0000-0000-0000FDB30000}"/>
    <cellStyle name="标题 5 2 7 4" xfId="46078" xr:uid="{00000000-0005-0000-0000-0000FEB30000}"/>
    <cellStyle name="标题 5 2 7 4 2" xfId="46079" xr:uid="{00000000-0005-0000-0000-0000FFB30000}"/>
    <cellStyle name="标题 5 2 8" xfId="46080" xr:uid="{00000000-0005-0000-0000-000000B40000}"/>
    <cellStyle name="标题 5 2 8 2" xfId="46081" xr:uid="{00000000-0005-0000-0000-000001B40000}"/>
    <cellStyle name="标题 5 2 8 2 2" xfId="46082" xr:uid="{00000000-0005-0000-0000-000002B40000}"/>
    <cellStyle name="标题 5 2 8 2 2 2" xfId="46083" xr:uid="{00000000-0005-0000-0000-000003B40000}"/>
    <cellStyle name="标题 5 2 8 3" xfId="46084" xr:uid="{00000000-0005-0000-0000-000004B40000}"/>
    <cellStyle name="标题 5 2 8 3 2" xfId="46085" xr:uid="{00000000-0005-0000-0000-000005B40000}"/>
    <cellStyle name="标题 5 2 9" xfId="46086" xr:uid="{00000000-0005-0000-0000-000006B40000}"/>
    <cellStyle name="标题 5 2 9 2" xfId="46087" xr:uid="{00000000-0005-0000-0000-000007B40000}"/>
    <cellStyle name="标题 5 2 9 2 2" xfId="46088" xr:uid="{00000000-0005-0000-0000-000008B40000}"/>
    <cellStyle name="标题 5 2 9 2 2 2" xfId="46089" xr:uid="{00000000-0005-0000-0000-000009B40000}"/>
    <cellStyle name="标题 5 2 9 3" xfId="46090" xr:uid="{00000000-0005-0000-0000-00000AB40000}"/>
    <cellStyle name="标题 5 2 9 3 2" xfId="46091" xr:uid="{00000000-0005-0000-0000-00000BB40000}"/>
    <cellStyle name="标题 5 3" xfId="46092" xr:uid="{00000000-0005-0000-0000-00000CB40000}"/>
    <cellStyle name="标题 5 3 2" xfId="46093" xr:uid="{00000000-0005-0000-0000-00000DB40000}"/>
    <cellStyle name="标题 5 3 2 2" xfId="46094" xr:uid="{00000000-0005-0000-0000-00000EB40000}"/>
    <cellStyle name="标题 5 3 2 2 2" xfId="46095" xr:uid="{00000000-0005-0000-0000-00000FB40000}"/>
    <cellStyle name="标题 5 3 2 2 2 2" xfId="46096" xr:uid="{00000000-0005-0000-0000-000010B40000}"/>
    <cellStyle name="标题 5 3 2 2 2 3" xfId="46097" xr:uid="{00000000-0005-0000-0000-000011B40000}"/>
    <cellStyle name="标题 5 3 2 2 2 3 2" xfId="46098" xr:uid="{00000000-0005-0000-0000-000012B40000}"/>
    <cellStyle name="标题 5 3 2 2 2 3 2 2" xfId="46099" xr:uid="{00000000-0005-0000-0000-000013B40000}"/>
    <cellStyle name="标题 5 3 2 2 2 4" xfId="46100" xr:uid="{00000000-0005-0000-0000-000014B40000}"/>
    <cellStyle name="标题 5 3 2 2 2 4 2" xfId="46101" xr:uid="{00000000-0005-0000-0000-000015B40000}"/>
    <cellStyle name="标题 5 3 2 2 3" xfId="46102" xr:uid="{00000000-0005-0000-0000-000016B40000}"/>
    <cellStyle name="标题 5 3 2 2 3 2" xfId="46103" xr:uid="{00000000-0005-0000-0000-000017B40000}"/>
    <cellStyle name="标题 5 3 2 2 3 2 2" xfId="46104" xr:uid="{00000000-0005-0000-0000-000018B40000}"/>
    <cellStyle name="标题 5 3 2 2 3 2 2 2" xfId="46105" xr:uid="{00000000-0005-0000-0000-000019B40000}"/>
    <cellStyle name="标题 5 3 2 2 3 3" xfId="46106" xr:uid="{00000000-0005-0000-0000-00001AB40000}"/>
    <cellStyle name="标题 5 3 2 2 3 3 2" xfId="46107" xr:uid="{00000000-0005-0000-0000-00001BB40000}"/>
    <cellStyle name="标题 5 3 2 2 4" xfId="46108" xr:uid="{00000000-0005-0000-0000-00001CB40000}"/>
    <cellStyle name="标题 5 3 2 2 5" xfId="46109" xr:uid="{00000000-0005-0000-0000-00001DB40000}"/>
    <cellStyle name="标题 5 3 2 2 6" xfId="46110" xr:uid="{00000000-0005-0000-0000-00001EB40000}"/>
    <cellStyle name="标题 5 3 2 3" xfId="46111" xr:uid="{00000000-0005-0000-0000-00001FB40000}"/>
    <cellStyle name="标题 5 3 2 3 2" xfId="46112" xr:uid="{00000000-0005-0000-0000-000020B40000}"/>
    <cellStyle name="标题 5 3 2 3 3" xfId="46113" xr:uid="{00000000-0005-0000-0000-000021B40000}"/>
    <cellStyle name="标题 5 3 2 3 3 2" xfId="46114" xr:uid="{00000000-0005-0000-0000-000022B40000}"/>
    <cellStyle name="标题 5 3 2 3 3 2 2" xfId="46115" xr:uid="{00000000-0005-0000-0000-000023B40000}"/>
    <cellStyle name="标题 5 3 2 3 4" xfId="46116" xr:uid="{00000000-0005-0000-0000-000024B40000}"/>
    <cellStyle name="标题 5 3 2 3 4 2" xfId="46117" xr:uid="{00000000-0005-0000-0000-000025B40000}"/>
    <cellStyle name="标题 5 3 2 4" xfId="46118" xr:uid="{00000000-0005-0000-0000-000026B40000}"/>
    <cellStyle name="标题 5 3 2 4 2" xfId="46119" xr:uid="{00000000-0005-0000-0000-000027B40000}"/>
    <cellStyle name="标题 5 3 2 4 2 2" xfId="46120" xr:uid="{00000000-0005-0000-0000-000028B40000}"/>
    <cellStyle name="标题 5 3 2 4 2 2 2" xfId="46121" xr:uid="{00000000-0005-0000-0000-000029B40000}"/>
    <cellStyle name="标题 5 3 2 4 3" xfId="46122" xr:uid="{00000000-0005-0000-0000-00002AB40000}"/>
    <cellStyle name="标题 5 3 2 4 3 2" xfId="46123" xr:uid="{00000000-0005-0000-0000-00002BB40000}"/>
    <cellStyle name="标题 5 3 2 5" xfId="46124" xr:uid="{00000000-0005-0000-0000-00002CB40000}"/>
    <cellStyle name="标题 5 3 2 6" xfId="46125" xr:uid="{00000000-0005-0000-0000-00002DB40000}"/>
    <cellStyle name="标题 5 3 2 7" xfId="46126" xr:uid="{00000000-0005-0000-0000-00002EB40000}"/>
    <cellStyle name="标题 5 3 3" xfId="46127" xr:uid="{00000000-0005-0000-0000-00002FB40000}"/>
    <cellStyle name="标题 5 3 3 2" xfId="46128" xr:uid="{00000000-0005-0000-0000-000030B40000}"/>
    <cellStyle name="标题 5 3 3 2 2" xfId="46129" xr:uid="{00000000-0005-0000-0000-000031B40000}"/>
    <cellStyle name="标题 5 3 3 2 3" xfId="46130" xr:uid="{00000000-0005-0000-0000-000032B40000}"/>
    <cellStyle name="标题 5 3 3 2 3 2" xfId="46131" xr:uid="{00000000-0005-0000-0000-000033B40000}"/>
    <cellStyle name="标题 5 3 3 2 3 2 2" xfId="46132" xr:uid="{00000000-0005-0000-0000-000034B40000}"/>
    <cellStyle name="标题 5 3 3 2 4" xfId="46133" xr:uid="{00000000-0005-0000-0000-000035B40000}"/>
    <cellStyle name="标题 5 3 3 2 4 2" xfId="46134" xr:uid="{00000000-0005-0000-0000-000036B40000}"/>
    <cellStyle name="标题 5 3 3 3" xfId="46135" xr:uid="{00000000-0005-0000-0000-000037B40000}"/>
    <cellStyle name="标题 5 3 3 3 2" xfId="46136" xr:uid="{00000000-0005-0000-0000-000038B40000}"/>
    <cellStyle name="标题 5 3 3 3 2 2" xfId="46137" xr:uid="{00000000-0005-0000-0000-000039B40000}"/>
    <cellStyle name="标题 5 3 3 3 2 2 2" xfId="46138" xr:uid="{00000000-0005-0000-0000-00003AB40000}"/>
    <cellStyle name="标题 5 3 3 3 3" xfId="46139" xr:uid="{00000000-0005-0000-0000-00003BB40000}"/>
    <cellStyle name="标题 5 3 3 3 3 2" xfId="46140" xr:uid="{00000000-0005-0000-0000-00003CB40000}"/>
    <cellStyle name="标题 5 3 3 4" xfId="46141" xr:uid="{00000000-0005-0000-0000-00003DB40000}"/>
    <cellStyle name="标题 5 3 3 5" xfId="46142" xr:uid="{00000000-0005-0000-0000-00003EB40000}"/>
    <cellStyle name="标题 5 3 3 6" xfId="46143" xr:uid="{00000000-0005-0000-0000-00003FB40000}"/>
    <cellStyle name="标题 5 3 4" xfId="46144" xr:uid="{00000000-0005-0000-0000-000040B40000}"/>
    <cellStyle name="标题 5 3 4 2" xfId="46145" xr:uid="{00000000-0005-0000-0000-000041B40000}"/>
    <cellStyle name="标题 5 3 4 2 2" xfId="46146" xr:uid="{00000000-0005-0000-0000-000042B40000}"/>
    <cellStyle name="标题 5 3 4 2 3" xfId="46147" xr:uid="{00000000-0005-0000-0000-000043B40000}"/>
    <cellStyle name="标题 5 3 4 2 3 2" xfId="46148" xr:uid="{00000000-0005-0000-0000-000044B40000}"/>
    <cellStyle name="标题 5 3 4 2 3 2 2" xfId="46149" xr:uid="{00000000-0005-0000-0000-000045B40000}"/>
    <cellStyle name="标题 5 3 4 2 4" xfId="46150" xr:uid="{00000000-0005-0000-0000-000046B40000}"/>
    <cellStyle name="标题 5 3 4 2 4 2" xfId="46151" xr:uid="{00000000-0005-0000-0000-000047B40000}"/>
    <cellStyle name="标题 5 3 4 3" xfId="46152" xr:uid="{00000000-0005-0000-0000-000048B40000}"/>
    <cellStyle name="标题 5 3 4 4" xfId="46153" xr:uid="{00000000-0005-0000-0000-000049B40000}"/>
    <cellStyle name="标题 5 3 4 5" xfId="46154" xr:uid="{00000000-0005-0000-0000-00004AB40000}"/>
    <cellStyle name="标题 5 3 4 6" xfId="46155" xr:uid="{00000000-0005-0000-0000-00004BB40000}"/>
    <cellStyle name="标题 5 3 5" xfId="46156" xr:uid="{00000000-0005-0000-0000-00004CB40000}"/>
    <cellStyle name="标题 5 3 5 2" xfId="46157" xr:uid="{00000000-0005-0000-0000-00004DB40000}"/>
    <cellStyle name="标题 5 3 5 2 2" xfId="46158" xr:uid="{00000000-0005-0000-0000-00004EB40000}"/>
    <cellStyle name="标题 5 3 5 2 2 2" xfId="46159" xr:uid="{00000000-0005-0000-0000-00004FB40000}"/>
    <cellStyle name="标题 5 3 5 2 2 2 2" xfId="46160" xr:uid="{00000000-0005-0000-0000-000050B40000}"/>
    <cellStyle name="标题 5 3 5 2 3" xfId="46161" xr:uid="{00000000-0005-0000-0000-000051B40000}"/>
    <cellStyle name="标题 5 3 5 2 3 2" xfId="46162" xr:uid="{00000000-0005-0000-0000-000052B40000}"/>
    <cellStyle name="标题 5 3 5 3" xfId="46163" xr:uid="{00000000-0005-0000-0000-000053B40000}"/>
    <cellStyle name="标题 5 3 5 3 2" xfId="46164" xr:uid="{00000000-0005-0000-0000-000054B40000}"/>
    <cellStyle name="标题 5 3 5 3 2 2" xfId="46165" xr:uid="{00000000-0005-0000-0000-000055B40000}"/>
    <cellStyle name="标题 5 3 5 4" xfId="46166" xr:uid="{00000000-0005-0000-0000-000056B40000}"/>
    <cellStyle name="标题 5 3 5 4 2" xfId="46167" xr:uid="{00000000-0005-0000-0000-000057B40000}"/>
    <cellStyle name="标题 5 3 6" xfId="46168" xr:uid="{00000000-0005-0000-0000-000058B40000}"/>
    <cellStyle name="标题 5 3 6 2" xfId="46169" xr:uid="{00000000-0005-0000-0000-000059B40000}"/>
    <cellStyle name="标题 5 3 6 2 2" xfId="46170" xr:uid="{00000000-0005-0000-0000-00005AB40000}"/>
    <cellStyle name="标题 5 3 6 2 2 2" xfId="46171" xr:uid="{00000000-0005-0000-0000-00005BB40000}"/>
    <cellStyle name="标题 5 3 6 3" xfId="46172" xr:uid="{00000000-0005-0000-0000-00005CB40000}"/>
    <cellStyle name="标题 5 3 6 3 2" xfId="46173" xr:uid="{00000000-0005-0000-0000-00005DB40000}"/>
    <cellStyle name="标题 5 3 7" xfId="46174" xr:uid="{00000000-0005-0000-0000-00005EB40000}"/>
    <cellStyle name="标题 5 3 7 2" xfId="46175" xr:uid="{00000000-0005-0000-0000-00005FB40000}"/>
    <cellStyle name="标题 5 3 7 2 2" xfId="46176" xr:uid="{00000000-0005-0000-0000-000060B40000}"/>
    <cellStyle name="标题 5 3 7 2 2 2" xfId="46177" xr:uid="{00000000-0005-0000-0000-000061B40000}"/>
    <cellStyle name="标题 5 3 7 3" xfId="46178" xr:uid="{00000000-0005-0000-0000-000062B40000}"/>
    <cellStyle name="标题 5 3 7 3 2" xfId="46179" xr:uid="{00000000-0005-0000-0000-000063B40000}"/>
    <cellStyle name="标题 5 3 8" xfId="46180" xr:uid="{00000000-0005-0000-0000-000064B40000}"/>
    <cellStyle name="标题 5 3 9" xfId="46181" xr:uid="{00000000-0005-0000-0000-000065B40000}"/>
    <cellStyle name="标题 5 4" xfId="46182" xr:uid="{00000000-0005-0000-0000-000066B40000}"/>
    <cellStyle name="标题 5 4 2" xfId="46183" xr:uid="{00000000-0005-0000-0000-000067B40000}"/>
    <cellStyle name="标题 5 4 2 2" xfId="46184" xr:uid="{00000000-0005-0000-0000-000068B40000}"/>
    <cellStyle name="标题 5 4 2 3" xfId="46185" xr:uid="{00000000-0005-0000-0000-000069B40000}"/>
    <cellStyle name="标题 5 4 2 3 2" xfId="46186" xr:uid="{00000000-0005-0000-0000-00006AB40000}"/>
    <cellStyle name="标题 5 4 2 3 2 2" xfId="46187" xr:uid="{00000000-0005-0000-0000-00006BB40000}"/>
    <cellStyle name="标题 5 4 2 4" xfId="46188" xr:uid="{00000000-0005-0000-0000-00006CB40000}"/>
    <cellStyle name="标题 5 4 2 4 2" xfId="46189" xr:uid="{00000000-0005-0000-0000-00006DB40000}"/>
    <cellStyle name="标题 5 4 3" xfId="46190" xr:uid="{00000000-0005-0000-0000-00006EB40000}"/>
    <cellStyle name="标题 5 4 3 2" xfId="46191" xr:uid="{00000000-0005-0000-0000-00006FB40000}"/>
    <cellStyle name="标题 5 4 3 2 2" xfId="46192" xr:uid="{00000000-0005-0000-0000-000070B40000}"/>
    <cellStyle name="标题 5 4 3 2 2 2" xfId="46193" xr:uid="{00000000-0005-0000-0000-000071B40000}"/>
    <cellStyle name="标题 5 4 3 3" xfId="46194" xr:uid="{00000000-0005-0000-0000-000072B40000}"/>
    <cellStyle name="标题 5 4 3 3 2" xfId="46195" xr:uid="{00000000-0005-0000-0000-000073B40000}"/>
    <cellStyle name="标题 5 4 4" xfId="46196" xr:uid="{00000000-0005-0000-0000-000074B40000}"/>
    <cellStyle name="标题 5 4 5" xfId="46197" xr:uid="{00000000-0005-0000-0000-000075B40000}"/>
    <cellStyle name="标题 5 4 6" xfId="46198" xr:uid="{00000000-0005-0000-0000-000076B40000}"/>
    <cellStyle name="标题 5 5" xfId="46199" xr:uid="{00000000-0005-0000-0000-000077B40000}"/>
    <cellStyle name="标题 5 5 2" xfId="46200" xr:uid="{00000000-0005-0000-0000-000078B40000}"/>
    <cellStyle name="标题 5 5 2 2" xfId="46201" xr:uid="{00000000-0005-0000-0000-000079B40000}"/>
    <cellStyle name="标题 5 5 2 3" xfId="46202" xr:uid="{00000000-0005-0000-0000-00007AB40000}"/>
    <cellStyle name="标题 5 5 2 3 2" xfId="46203" xr:uid="{00000000-0005-0000-0000-00007BB40000}"/>
    <cellStyle name="标题 5 5 2 3 2 2" xfId="46204" xr:uid="{00000000-0005-0000-0000-00007CB40000}"/>
    <cellStyle name="标题 5 5 2 4" xfId="46205" xr:uid="{00000000-0005-0000-0000-00007DB40000}"/>
    <cellStyle name="标题 5 5 2 4 2" xfId="46206" xr:uid="{00000000-0005-0000-0000-00007EB40000}"/>
    <cellStyle name="标题 5 5 3" xfId="46207" xr:uid="{00000000-0005-0000-0000-00007FB40000}"/>
    <cellStyle name="标题 5 5 4" xfId="46208" xr:uid="{00000000-0005-0000-0000-000080B40000}"/>
    <cellStyle name="标题 5 5 5" xfId="46209" xr:uid="{00000000-0005-0000-0000-000081B40000}"/>
    <cellStyle name="标题 5 5 6" xfId="46210" xr:uid="{00000000-0005-0000-0000-000082B40000}"/>
    <cellStyle name="标题 5 6" xfId="46211" xr:uid="{00000000-0005-0000-0000-000083B40000}"/>
    <cellStyle name="标题 5 6 2" xfId="46212" xr:uid="{00000000-0005-0000-0000-000084B40000}"/>
    <cellStyle name="标题 5 6 2 2" xfId="46213" xr:uid="{00000000-0005-0000-0000-000085B40000}"/>
    <cellStyle name="标题 5 6 2 2 2" xfId="46214" xr:uid="{00000000-0005-0000-0000-000086B40000}"/>
    <cellStyle name="标题 5 6 2 2 2 2" xfId="46215" xr:uid="{00000000-0005-0000-0000-000087B40000}"/>
    <cellStyle name="标题 5 6 2 3" xfId="46216" xr:uid="{00000000-0005-0000-0000-000088B40000}"/>
    <cellStyle name="标题 5 6 2 3 2" xfId="46217" xr:uid="{00000000-0005-0000-0000-000089B40000}"/>
    <cellStyle name="标题 5 6 3" xfId="46218" xr:uid="{00000000-0005-0000-0000-00008AB40000}"/>
    <cellStyle name="标题 5 6 3 2" xfId="46219" xr:uid="{00000000-0005-0000-0000-00008BB40000}"/>
    <cellStyle name="标题 5 6 3 2 2" xfId="46220" xr:uid="{00000000-0005-0000-0000-00008CB40000}"/>
    <cellStyle name="标题 5 6 4" xfId="46221" xr:uid="{00000000-0005-0000-0000-00008DB40000}"/>
    <cellStyle name="标题 5 6 4 2" xfId="46222" xr:uid="{00000000-0005-0000-0000-00008EB40000}"/>
    <cellStyle name="标题 5 7" xfId="46223" xr:uid="{00000000-0005-0000-0000-00008FB40000}"/>
    <cellStyle name="标题 5 7 2" xfId="46224" xr:uid="{00000000-0005-0000-0000-000090B40000}"/>
    <cellStyle name="标题 5 7 2 2" xfId="46225" xr:uid="{00000000-0005-0000-0000-000091B40000}"/>
    <cellStyle name="标题 5 7 2 2 2" xfId="46226" xr:uid="{00000000-0005-0000-0000-000092B40000}"/>
    <cellStyle name="标题 5 7 2 2 2 2" xfId="46227" xr:uid="{00000000-0005-0000-0000-000093B40000}"/>
    <cellStyle name="标题 5 7 2 3" xfId="46228" xr:uid="{00000000-0005-0000-0000-000094B40000}"/>
    <cellStyle name="标题 5 7 2 3 2" xfId="46229" xr:uid="{00000000-0005-0000-0000-000095B40000}"/>
    <cellStyle name="标题 5 7 3" xfId="46230" xr:uid="{00000000-0005-0000-0000-000096B40000}"/>
    <cellStyle name="标题 5 7 3 2" xfId="46231" xr:uid="{00000000-0005-0000-0000-000097B40000}"/>
    <cellStyle name="标题 5 7 3 2 2" xfId="46232" xr:uid="{00000000-0005-0000-0000-000098B40000}"/>
    <cellStyle name="标题 5 7 4" xfId="46233" xr:uid="{00000000-0005-0000-0000-000099B40000}"/>
    <cellStyle name="标题 5 7 4 2" xfId="46234" xr:uid="{00000000-0005-0000-0000-00009AB40000}"/>
    <cellStyle name="标题 5 8" xfId="46235" xr:uid="{00000000-0005-0000-0000-00009BB40000}"/>
    <cellStyle name="标题 5 8 2" xfId="46236" xr:uid="{00000000-0005-0000-0000-00009CB40000}"/>
    <cellStyle name="标题 5 8 2 2" xfId="46237" xr:uid="{00000000-0005-0000-0000-00009DB40000}"/>
    <cellStyle name="标题 5 8 2 2 2" xfId="46238" xr:uid="{00000000-0005-0000-0000-00009EB40000}"/>
    <cellStyle name="标题 5 8 2 2 2 2" xfId="46239" xr:uid="{00000000-0005-0000-0000-00009FB40000}"/>
    <cellStyle name="标题 5 8 2 3" xfId="46240" xr:uid="{00000000-0005-0000-0000-0000A0B40000}"/>
    <cellStyle name="标题 5 8 2 3 2" xfId="46241" xr:uid="{00000000-0005-0000-0000-0000A1B40000}"/>
    <cellStyle name="标题 5 8 3" xfId="46242" xr:uid="{00000000-0005-0000-0000-0000A2B40000}"/>
    <cellStyle name="标题 5 8 3 2" xfId="46243" xr:uid="{00000000-0005-0000-0000-0000A3B40000}"/>
    <cellStyle name="标题 5 8 3 2 2" xfId="46244" xr:uid="{00000000-0005-0000-0000-0000A4B40000}"/>
    <cellStyle name="标题 5 8 4" xfId="46245" xr:uid="{00000000-0005-0000-0000-0000A5B40000}"/>
    <cellStyle name="标题 5 8 4 2" xfId="46246" xr:uid="{00000000-0005-0000-0000-0000A6B40000}"/>
    <cellStyle name="标题 5 9" xfId="46247" xr:uid="{00000000-0005-0000-0000-0000A7B40000}"/>
    <cellStyle name="标题 5 9 2" xfId="46248" xr:uid="{00000000-0005-0000-0000-0000A8B40000}"/>
    <cellStyle name="标题 5 9 2 2" xfId="46249" xr:uid="{00000000-0005-0000-0000-0000A9B40000}"/>
    <cellStyle name="标题 5 9 2 2 2" xfId="46250" xr:uid="{00000000-0005-0000-0000-0000AAB40000}"/>
    <cellStyle name="标题 5 9 3" xfId="46251" xr:uid="{00000000-0005-0000-0000-0000ABB40000}"/>
    <cellStyle name="标题 5 9 3 2" xfId="46252" xr:uid="{00000000-0005-0000-0000-0000ACB40000}"/>
    <cellStyle name="标题 6" xfId="46253" xr:uid="{00000000-0005-0000-0000-0000ADB40000}"/>
    <cellStyle name="标题 6 2" xfId="46254" xr:uid="{00000000-0005-0000-0000-0000AEB40000}"/>
    <cellStyle name="标题 6 2 2" xfId="46255" xr:uid="{00000000-0005-0000-0000-0000AFB40000}"/>
    <cellStyle name="标题 6 2 2 2" xfId="46256" xr:uid="{00000000-0005-0000-0000-0000B0B40000}"/>
    <cellStyle name="标题 6 2 2 2 2" xfId="46257" xr:uid="{00000000-0005-0000-0000-0000B1B40000}"/>
    <cellStyle name="标题 6 2 2 2 3" xfId="46258" xr:uid="{00000000-0005-0000-0000-0000B2B40000}"/>
    <cellStyle name="标题 6 2 2 2 3 2" xfId="46259" xr:uid="{00000000-0005-0000-0000-0000B3B40000}"/>
    <cellStyle name="标题 6 2 2 2 3 2 2" xfId="46260" xr:uid="{00000000-0005-0000-0000-0000B4B40000}"/>
    <cellStyle name="标题 6 2 2 2 4" xfId="46261" xr:uid="{00000000-0005-0000-0000-0000B5B40000}"/>
    <cellStyle name="标题 6 2 2 2 4 2" xfId="46262" xr:uid="{00000000-0005-0000-0000-0000B6B40000}"/>
    <cellStyle name="标题 6 2 2 3" xfId="46263" xr:uid="{00000000-0005-0000-0000-0000B7B40000}"/>
    <cellStyle name="标题 6 2 2 3 2" xfId="46264" xr:uid="{00000000-0005-0000-0000-0000B8B40000}"/>
    <cellStyle name="标题 6 2 2 3 2 2" xfId="46265" xr:uid="{00000000-0005-0000-0000-0000B9B40000}"/>
    <cellStyle name="标题 6 2 2 3 2 2 2" xfId="46266" xr:uid="{00000000-0005-0000-0000-0000BAB40000}"/>
    <cellStyle name="标题 6 2 2 3 3" xfId="46267" xr:uid="{00000000-0005-0000-0000-0000BBB40000}"/>
    <cellStyle name="标题 6 2 2 3 3 2" xfId="46268" xr:uid="{00000000-0005-0000-0000-0000BCB40000}"/>
    <cellStyle name="标题 6 2 2 4" xfId="46269" xr:uid="{00000000-0005-0000-0000-0000BDB40000}"/>
    <cellStyle name="标题 6 2 2 5" xfId="46270" xr:uid="{00000000-0005-0000-0000-0000BEB40000}"/>
    <cellStyle name="标题 6 2 2 6" xfId="46271" xr:uid="{00000000-0005-0000-0000-0000BFB40000}"/>
    <cellStyle name="标题 6 2 3" xfId="46272" xr:uid="{00000000-0005-0000-0000-0000C0B40000}"/>
    <cellStyle name="标题 6 2 3 2" xfId="46273" xr:uid="{00000000-0005-0000-0000-0000C1B40000}"/>
    <cellStyle name="标题 6 2 3 3" xfId="46274" xr:uid="{00000000-0005-0000-0000-0000C2B40000}"/>
    <cellStyle name="标题 6 2 3 3 2" xfId="46275" xr:uid="{00000000-0005-0000-0000-0000C3B40000}"/>
    <cellStyle name="标题 6 2 3 3 2 2" xfId="46276" xr:uid="{00000000-0005-0000-0000-0000C4B40000}"/>
    <cellStyle name="标题 6 2 3 4" xfId="46277" xr:uid="{00000000-0005-0000-0000-0000C5B40000}"/>
    <cellStyle name="标题 6 2 3 4 2" xfId="46278" xr:uid="{00000000-0005-0000-0000-0000C6B40000}"/>
    <cellStyle name="标题 6 2 4" xfId="46279" xr:uid="{00000000-0005-0000-0000-0000C7B40000}"/>
    <cellStyle name="标题 6 2 4 2" xfId="46280" xr:uid="{00000000-0005-0000-0000-0000C8B40000}"/>
    <cellStyle name="标题 6 2 4 2 2" xfId="46281" xr:uid="{00000000-0005-0000-0000-0000C9B40000}"/>
    <cellStyle name="标题 6 2 4 2 2 2" xfId="46282" xr:uid="{00000000-0005-0000-0000-0000CAB40000}"/>
    <cellStyle name="标题 6 2 4 3" xfId="46283" xr:uid="{00000000-0005-0000-0000-0000CBB40000}"/>
    <cellStyle name="标题 6 2 4 3 2" xfId="46284" xr:uid="{00000000-0005-0000-0000-0000CCB40000}"/>
    <cellStyle name="标题 6 2 5" xfId="46285" xr:uid="{00000000-0005-0000-0000-0000CDB40000}"/>
    <cellStyle name="标题 6 2 6" xfId="46286" xr:uid="{00000000-0005-0000-0000-0000CEB40000}"/>
    <cellStyle name="标题 6 2 7" xfId="46287" xr:uid="{00000000-0005-0000-0000-0000CFB40000}"/>
    <cellStyle name="标题 6 3" xfId="46288" xr:uid="{00000000-0005-0000-0000-0000D0B40000}"/>
    <cellStyle name="标题 6 3 2" xfId="46289" xr:uid="{00000000-0005-0000-0000-0000D1B40000}"/>
    <cellStyle name="标题 6 3 2 2" xfId="46290" xr:uid="{00000000-0005-0000-0000-0000D2B40000}"/>
    <cellStyle name="标题 6 3 2 3" xfId="46291" xr:uid="{00000000-0005-0000-0000-0000D3B40000}"/>
    <cellStyle name="标题 6 3 2 3 2" xfId="46292" xr:uid="{00000000-0005-0000-0000-0000D4B40000}"/>
    <cellStyle name="标题 6 3 2 3 2 2" xfId="46293" xr:uid="{00000000-0005-0000-0000-0000D5B40000}"/>
    <cellStyle name="标题 6 3 2 4" xfId="46294" xr:uid="{00000000-0005-0000-0000-0000D6B40000}"/>
    <cellStyle name="标题 6 3 2 4 2" xfId="46295" xr:uid="{00000000-0005-0000-0000-0000D7B40000}"/>
    <cellStyle name="标题 6 3 3" xfId="46296" xr:uid="{00000000-0005-0000-0000-0000D8B40000}"/>
    <cellStyle name="标题 6 3 3 2" xfId="46297" xr:uid="{00000000-0005-0000-0000-0000D9B40000}"/>
    <cellStyle name="标题 6 3 3 2 2" xfId="46298" xr:uid="{00000000-0005-0000-0000-0000DAB40000}"/>
    <cellStyle name="标题 6 3 3 2 2 2" xfId="46299" xr:uid="{00000000-0005-0000-0000-0000DBB40000}"/>
    <cellStyle name="标题 6 3 3 3" xfId="46300" xr:uid="{00000000-0005-0000-0000-0000DCB40000}"/>
    <cellStyle name="标题 6 3 3 3 2" xfId="46301" xr:uid="{00000000-0005-0000-0000-0000DDB40000}"/>
    <cellStyle name="标题 6 3 4" xfId="46302" xr:uid="{00000000-0005-0000-0000-0000DEB40000}"/>
    <cellStyle name="标题 6 3 5" xfId="46303" xr:uid="{00000000-0005-0000-0000-0000DFB40000}"/>
    <cellStyle name="标题 6 3 6" xfId="46304" xr:uid="{00000000-0005-0000-0000-0000E0B40000}"/>
    <cellStyle name="标题 6 4" xfId="46305" xr:uid="{00000000-0005-0000-0000-0000E1B40000}"/>
    <cellStyle name="标题 6 4 2" xfId="46306" xr:uid="{00000000-0005-0000-0000-0000E2B40000}"/>
    <cellStyle name="标题 6 4 2 2" xfId="46307" xr:uid="{00000000-0005-0000-0000-0000E3B40000}"/>
    <cellStyle name="标题 6 4 2 3" xfId="46308" xr:uid="{00000000-0005-0000-0000-0000E4B40000}"/>
    <cellStyle name="标题 6 4 2 3 2" xfId="46309" xr:uid="{00000000-0005-0000-0000-0000E5B40000}"/>
    <cellStyle name="标题 6 4 2 3 2 2" xfId="46310" xr:uid="{00000000-0005-0000-0000-0000E6B40000}"/>
    <cellStyle name="标题 6 4 2 4" xfId="46311" xr:uid="{00000000-0005-0000-0000-0000E7B40000}"/>
    <cellStyle name="标题 6 4 2 4 2" xfId="46312" xr:uid="{00000000-0005-0000-0000-0000E8B40000}"/>
    <cellStyle name="标题 6 4 3" xfId="46313" xr:uid="{00000000-0005-0000-0000-0000E9B40000}"/>
    <cellStyle name="标题 6 4 4" xfId="46314" xr:uid="{00000000-0005-0000-0000-0000EAB40000}"/>
    <cellStyle name="标题 6 4 5" xfId="46315" xr:uid="{00000000-0005-0000-0000-0000EBB40000}"/>
    <cellStyle name="标题 6 4 6" xfId="46316" xr:uid="{00000000-0005-0000-0000-0000ECB40000}"/>
    <cellStyle name="标题 6 5" xfId="46317" xr:uid="{00000000-0005-0000-0000-0000EDB40000}"/>
    <cellStyle name="标题 6 5 2" xfId="46318" xr:uid="{00000000-0005-0000-0000-0000EEB40000}"/>
    <cellStyle name="标题 6 5 2 2" xfId="46319" xr:uid="{00000000-0005-0000-0000-0000EFB40000}"/>
    <cellStyle name="标题 6 5 2 2 2" xfId="46320" xr:uid="{00000000-0005-0000-0000-0000F0B40000}"/>
    <cellStyle name="标题 6 5 2 2 2 2" xfId="46321" xr:uid="{00000000-0005-0000-0000-0000F1B40000}"/>
    <cellStyle name="标题 6 5 2 3" xfId="46322" xr:uid="{00000000-0005-0000-0000-0000F2B40000}"/>
    <cellStyle name="标题 6 5 2 3 2" xfId="46323" xr:uid="{00000000-0005-0000-0000-0000F3B40000}"/>
    <cellStyle name="标题 6 5 3" xfId="46324" xr:uid="{00000000-0005-0000-0000-0000F4B40000}"/>
    <cellStyle name="标题 6 5 3 2" xfId="46325" xr:uid="{00000000-0005-0000-0000-0000F5B40000}"/>
    <cellStyle name="标题 6 5 3 2 2" xfId="46326" xr:uid="{00000000-0005-0000-0000-0000F6B40000}"/>
    <cellStyle name="标题 6 5 4" xfId="46327" xr:uid="{00000000-0005-0000-0000-0000F7B40000}"/>
    <cellStyle name="标题 6 5 4 2" xfId="46328" xr:uid="{00000000-0005-0000-0000-0000F8B40000}"/>
    <cellStyle name="标题 6 6" xfId="46329" xr:uid="{00000000-0005-0000-0000-0000F9B40000}"/>
    <cellStyle name="标题 6 6 2" xfId="46330" xr:uid="{00000000-0005-0000-0000-0000FAB40000}"/>
    <cellStyle name="标题 6 6 2 2" xfId="46331" xr:uid="{00000000-0005-0000-0000-0000FBB40000}"/>
    <cellStyle name="标题 6 6 2 2 2" xfId="46332" xr:uid="{00000000-0005-0000-0000-0000FCB40000}"/>
    <cellStyle name="标题 6 6 3" xfId="46333" xr:uid="{00000000-0005-0000-0000-0000FDB40000}"/>
    <cellStyle name="标题 6 6 3 2" xfId="46334" xr:uid="{00000000-0005-0000-0000-0000FEB40000}"/>
    <cellStyle name="标题 6 7" xfId="46335" xr:uid="{00000000-0005-0000-0000-0000FFB40000}"/>
    <cellStyle name="标题 6 8" xfId="46336" xr:uid="{00000000-0005-0000-0000-000000B50000}"/>
    <cellStyle name="桁区切り [0.00]_WJP_Marketing Expense_2009 AOP_V2 (2)" xfId="46337" xr:uid="{00000000-0005-0000-0000-000001B50000}"/>
    <cellStyle name="检查单元格 2" xfId="46338" xr:uid="{00000000-0005-0000-0000-000002B50000}"/>
    <cellStyle name="检查单元格 2 10" xfId="46339" xr:uid="{00000000-0005-0000-0000-000003B50000}"/>
    <cellStyle name="检查单元格 2 11" xfId="46340" xr:uid="{00000000-0005-0000-0000-000004B50000}"/>
    <cellStyle name="检查单元格 2 2" xfId="46341" xr:uid="{00000000-0005-0000-0000-000005B50000}"/>
    <cellStyle name="检查单元格 2 2 10" xfId="46342" xr:uid="{00000000-0005-0000-0000-000006B50000}"/>
    <cellStyle name="检查单元格 2 2 11" xfId="46343" xr:uid="{00000000-0005-0000-0000-000007B50000}"/>
    <cellStyle name="检查单元格 2 2 2" xfId="46344" xr:uid="{00000000-0005-0000-0000-000008B50000}"/>
    <cellStyle name="检查单元格 2 2 2 2" xfId="46345" xr:uid="{00000000-0005-0000-0000-000009B50000}"/>
    <cellStyle name="检查单元格 2 2 2 2 2" xfId="46346" xr:uid="{00000000-0005-0000-0000-00000AB50000}"/>
    <cellStyle name="检查单元格 2 2 2 2 2 2" xfId="46347" xr:uid="{00000000-0005-0000-0000-00000BB50000}"/>
    <cellStyle name="检查单元格 2 2 2 2 2 3" xfId="46348" xr:uid="{00000000-0005-0000-0000-00000CB50000}"/>
    <cellStyle name="检查单元格 2 2 2 2 2 3 2" xfId="46349" xr:uid="{00000000-0005-0000-0000-00000DB50000}"/>
    <cellStyle name="检查单元格 2 2 2 2 2 3 2 2" xfId="46350" xr:uid="{00000000-0005-0000-0000-00000EB50000}"/>
    <cellStyle name="检查单元格 2 2 2 2 2 4" xfId="46351" xr:uid="{00000000-0005-0000-0000-00000FB50000}"/>
    <cellStyle name="检查单元格 2 2 2 2 2 4 2" xfId="46352" xr:uid="{00000000-0005-0000-0000-000010B50000}"/>
    <cellStyle name="检查单元格 2 2 2 2 3" xfId="46353" xr:uid="{00000000-0005-0000-0000-000011B50000}"/>
    <cellStyle name="检查单元格 2 2 2 2 3 2" xfId="46354" xr:uid="{00000000-0005-0000-0000-000012B50000}"/>
    <cellStyle name="检查单元格 2 2 2 2 3 2 2" xfId="46355" xr:uid="{00000000-0005-0000-0000-000013B50000}"/>
    <cellStyle name="检查单元格 2 2 2 2 3 2 2 2" xfId="46356" xr:uid="{00000000-0005-0000-0000-000014B50000}"/>
    <cellStyle name="检查单元格 2 2 2 2 3 3" xfId="46357" xr:uid="{00000000-0005-0000-0000-000015B50000}"/>
    <cellStyle name="检查单元格 2 2 2 2 3 3 2" xfId="46358" xr:uid="{00000000-0005-0000-0000-000016B50000}"/>
    <cellStyle name="检查单元格 2 2 2 2 4" xfId="46359" xr:uid="{00000000-0005-0000-0000-000017B50000}"/>
    <cellStyle name="检查单元格 2 2 2 2 5" xfId="46360" xr:uid="{00000000-0005-0000-0000-000018B50000}"/>
    <cellStyle name="检查单元格 2 2 2 2 6" xfId="46361" xr:uid="{00000000-0005-0000-0000-000019B50000}"/>
    <cellStyle name="检查单元格 2 2 2 3" xfId="46362" xr:uid="{00000000-0005-0000-0000-00001AB50000}"/>
    <cellStyle name="检查单元格 2 2 2 3 2" xfId="46363" xr:uid="{00000000-0005-0000-0000-00001BB50000}"/>
    <cellStyle name="检查单元格 2 2 2 3 3" xfId="46364" xr:uid="{00000000-0005-0000-0000-00001CB50000}"/>
    <cellStyle name="检查单元格 2 2 2 3 3 2" xfId="46365" xr:uid="{00000000-0005-0000-0000-00001DB50000}"/>
    <cellStyle name="检查单元格 2 2 2 3 3 2 2" xfId="46366" xr:uid="{00000000-0005-0000-0000-00001EB50000}"/>
    <cellStyle name="检查单元格 2 2 2 3 4" xfId="46367" xr:uid="{00000000-0005-0000-0000-00001FB50000}"/>
    <cellStyle name="检查单元格 2 2 2 3 4 2" xfId="46368" xr:uid="{00000000-0005-0000-0000-000020B50000}"/>
    <cellStyle name="检查单元格 2 2 2 4" xfId="46369" xr:uid="{00000000-0005-0000-0000-000021B50000}"/>
    <cellStyle name="检查单元格 2 2 2 4 2" xfId="46370" xr:uid="{00000000-0005-0000-0000-000022B50000}"/>
    <cellStyle name="检查单元格 2 2 2 4 2 2" xfId="46371" xr:uid="{00000000-0005-0000-0000-000023B50000}"/>
    <cellStyle name="检查单元格 2 2 2 4 2 2 2" xfId="46372" xr:uid="{00000000-0005-0000-0000-000024B50000}"/>
    <cellStyle name="检查单元格 2 2 2 4 3" xfId="46373" xr:uid="{00000000-0005-0000-0000-000025B50000}"/>
    <cellStyle name="检查单元格 2 2 2 4 3 2" xfId="46374" xr:uid="{00000000-0005-0000-0000-000026B50000}"/>
    <cellStyle name="检查单元格 2 2 2 5" xfId="46375" xr:uid="{00000000-0005-0000-0000-000027B50000}"/>
    <cellStyle name="检查单元格 2 2 2 6" xfId="46376" xr:uid="{00000000-0005-0000-0000-000028B50000}"/>
    <cellStyle name="检查单元格 2 2 2 7" xfId="46377" xr:uid="{00000000-0005-0000-0000-000029B50000}"/>
    <cellStyle name="检查单元格 2 2 3" xfId="46378" xr:uid="{00000000-0005-0000-0000-00002AB50000}"/>
    <cellStyle name="检查单元格 2 2 3 2" xfId="46379" xr:uid="{00000000-0005-0000-0000-00002BB50000}"/>
    <cellStyle name="检查单元格 2 2 3 2 2" xfId="46380" xr:uid="{00000000-0005-0000-0000-00002CB50000}"/>
    <cellStyle name="检查单元格 2 2 3 2 3" xfId="46381" xr:uid="{00000000-0005-0000-0000-00002DB50000}"/>
    <cellStyle name="检查单元格 2 2 3 2 3 2" xfId="46382" xr:uid="{00000000-0005-0000-0000-00002EB50000}"/>
    <cellStyle name="检查单元格 2 2 3 2 3 2 2" xfId="46383" xr:uid="{00000000-0005-0000-0000-00002FB50000}"/>
    <cellStyle name="检查单元格 2 2 3 2 4" xfId="46384" xr:uid="{00000000-0005-0000-0000-000030B50000}"/>
    <cellStyle name="检查单元格 2 2 3 2 4 2" xfId="46385" xr:uid="{00000000-0005-0000-0000-000031B50000}"/>
    <cellStyle name="检查单元格 2 2 3 3" xfId="46386" xr:uid="{00000000-0005-0000-0000-000032B50000}"/>
    <cellStyle name="检查单元格 2 2 3 3 2" xfId="46387" xr:uid="{00000000-0005-0000-0000-000033B50000}"/>
    <cellStyle name="检查单元格 2 2 3 3 2 2" xfId="46388" xr:uid="{00000000-0005-0000-0000-000034B50000}"/>
    <cellStyle name="检查单元格 2 2 3 3 2 2 2" xfId="46389" xr:uid="{00000000-0005-0000-0000-000035B50000}"/>
    <cellStyle name="检查单元格 2 2 3 3 3" xfId="46390" xr:uid="{00000000-0005-0000-0000-000036B50000}"/>
    <cellStyle name="检查单元格 2 2 3 3 3 2" xfId="46391" xr:uid="{00000000-0005-0000-0000-000037B50000}"/>
    <cellStyle name="检查单元格 2 2 3 4" xfId="46392" xr:uid="{00000000-0005-0000-0000-000038B50000}"/>
    <cellStyle name="检查单元格 2 2 3 5" xfId="46393" xr:uid="{00000000-0005-0000-0000-000039B50000}"/>
    <cellStyle name="检查单元格 2 2 3 6" xfId="46394" xr:uid="{00000000-0005-0000-0000-00003AB50000}"/>
    <cellStyle name="检查单元格 2 2 4" xfId="46395" xr:uid="{00000000-0005-0000-0000-00003BB50000}"/>
    <cellStyle name="检查单元格 2 2 4 2" xfId="46396" xr:uid="{00000000-0005-0000-0000-00003CB50000}"/>
    <cellStyle name="检查单元格 2 2 4 2 2" xfId="46397" xr:uid="{00000000-0005-0000-0000-00003DB50000}"/>
    <cellStyle name="检查单元格 2 2 4 2 3" xfId="46398" xr:uid="{00000000-0005-0000-0000-00003EB50000}"/>
    <cellStyle name="检查单元格 2 2 4 2 3 2" xfId="46399" xr:uid="{00000000-0005-0000-0000-00003FB50000}"/>
    <cellStyle name="检查单元格 2 2 4 2 3 2 2" xfId="46400" xr:uid="{00000000-0005-0000-0000-000040B50000}"/>
    <cellStyle name="检查单元格 2 2 4 2 4" xfId="46401" xr:uid="{00000000-0005-0000-0000-000041B50000}"/>
    <cellStyle name="检查单元格 2 2 4 2 4 2" xfId="46402" xr:uid="{00000000-0005-0000-0000-000042B50000}"/>
    <cellStyle name="检查单元格 2 2 4 3" xfId="46403" xr:uid="{00000000-0005-0000-0000-000043B50000}"/>
    <cellStyle name="检查单元格 2 2 4 4" xfId="46404" xr:uid="{00000000-0005-0000-0000-000044B50000}"/>
    <cellStyle name="检查单元格 2 2 4 5" xfId="46405" xr:uid="{00000000-0005-0000-0000-000045B50000}"/>
    <cellStyle name="检查单元格 2 2 4 6" xfId="46406" xr:uid="{00000000-0005-0000-0000-000046B50000}"/>
    <cellStyle name="检查单元格 2 2 5" xfId="46407" xr:uid="{00000000-0005-0000-0000-000047B50000}"/>
    <cellStyle name="检查单元格 2 2 5 2" xfId="46408" xr:uid="{00000000-0005-0000-0000-000048B50000}"/>
    <cellStyle name="检查单元格 2 2 5 2 2" xfId="46409" xr:uid="{00000000-0005-0000-0000-000049B50000}"/>
    <cellStyle name="检查单元格 2 2 5 2 2 2" xfId="46410" xr:uid="{00000000-0005-0000-0000-00004AB50000}"/>
    <cellStyle name="检查单元格 2 2 5 2 2 2 2" xfId="46411" xr:uid="{00000000-0005-0000-0000-00004BB50000}"/>
    <cellStyle name="检查单元格 2 2 5 2 3" xfId="46412" xr:uid="{00000000-0005-0000-0000-00004CB50000}"/>
    <cellStyle name="检查单元格 2 2 5 2 3 2" xfId="46413" xr:uid="{00000000-0005-0000-0000-00004DB50000}"/>
    <cellStyle name="检查单元格 2 2 5 3" xfId="46414" xr:uid="{00000000-0005-0000-0000-00004EB50000}"/>
    <cellStyle name="检查单元格 2 2 5 3 2" xfId="46415" xr:uid="{00000000-0005-0000-0000-00004FB50000}"/>
    <cellStyle name="检查单元格 2 2 5 3 2 2" xfId="46416" xr:uid="{00000000-0005-0000-0000-000050B50000}"/>
    <cellStyle name="检查单元格 2 2 5 4" xfId="46417" xr:uid="{00000000-0005-0000-0000-000051B50000}"/>
    <cellStyle name="检查单元格 2 2 5 4 2" xfId="46418" xr:uid="{00000000-0005-0000-0000-000052B50000}"/>
    <cellStyle name="检查单元格 2 2 6" xfId="46419" xr:uid="{00000000-0005-0000-0000-000053B50000}"/>
    <cellStyle name="检查单元格 2 2 6 2" xfId="46420" xr:uid="{00000000-0005-0000-0000-000054B50000}"/>
    <cellStyle name="检查单元格 2 2 6 2 2" xfId="46421" xr:uid="{00000000-0005-0000-0000-000055B50000}"/>
    <cellStyle name="检查单元格 2 2 6 2 2 2" xfId="46422" xr:uid="{00000000-0005-0000-0000-000056B50000}"/>
    <cellStyle name="检查单元格 2 2 6 2 2 2 2" xfId="46423" xr:uid="{00000000-0005-0000-0000-000057B50000}"/>
    <cellStyle name="检查单元格 2 2 6 2 3" xfId="46424" xr:uid="{00000000-0005-0000-0000-000058B50000}"/>
    <cellStyle name="检查单元格 2 2 6 2 3 2" xfId="46425" xr:uid="{00000000-0005-0000-0000-000059B50000}"/>
    <cellStyle name="检查单元格 2 2 6 3" xfId="46426" xr:uid="{00000000-0005-0000-0000-00005AB50000}"/>
    <cellStyle name="检查单元格 2 2 6 3 2" xfId="46427" xr:uid="{00000000-0005-0000-0000-00005BB50000}"/>
    <cellStyle name="检查单元格 2 2 6 3 2 2" xfId="46428" xr:uid="{00000000-0005-0000-0000-00005CB50000}"/>
    <cellStyle name="检查单元格 2 2 6 4" xfId="46429" xr:uid="{00000000-0005-0000-0000-00005DB50000}"/>
    <cellStyle name="检查单元格 2 2 6 4 2" xfId="46430" xr:uid="{00000000-0005-0000-0000-00005EB50000}"/>
    <cellStyle name="检查单元格 2 2 7" xfId="46431" xr:uid="{00000000-0005-0000-0000-00005FB50000}"/>
    <cellStyle name="检查单元格 2 2 7 2" xfId="46432" xr:uid="{00000000-0005-0000-0000-000060B50000}"/>
    <cellStyle name="检查单元格 2 2 7 2 2" xfId="46433" xr:uid="{00000000-0005-0000-0000-000061B50000}"/>
    <cellStyle name="检查单元格 2 2 7 2 2 2" xfId="46434" xr:uid="{00000000-0005-0000-0000-000062B50000}"/>
    <cellStyle name="检查单元格 2 2 7 2 2 2 2" xfId="46435" xr:uid="{00000000-0005-0000-0000-000063B50000}"/>
    <cellStyle name="检查单元格 2 2 7 2 3" xfId="46436" xr:uid="{00000000-0005-0000-0000-000064B50000}"/>
    <cellStyle name="检查单元格 2 2 7 2 3 2" xfId="46437" xr:uid="{00000000-0005-0000-0000-000065B50000}"/>
    <cellStyle name="检查单元格 2 2 7 3" xfId="46438" xr:uid="{00000000-0005-0000-0000-000066B50000}"/>
    <cellStyle name="检查单元格 2 2 7 3 2" xfId="46439" xr:uid="{00000000-0005-0000-0000-000067B50000}"/>
    <cellStyle name="检查单元格 2 2 7 3 2 2" xfId="46440" xr:uid="{00000000-0005-0000-0000-000068B50000}"/>
    <cellStyle name="检查单元格 2 2 7 4" xfId="46441" xr:uid="{00000000-0005-0000-0000-000069B50000}"/>
    <cellStyle name="检查单元格 2 2 7 4 2" xfId="46442" xr:uid="{00000000-0005-0000-0000-00006AB50000}"/>
    <cellStyle name="检查单元格 2 2 8" xfId="46443" xr:uid="{00000000-0005-0000-0000-00006BB50000}"/>
    <cellStyle name="检查单元格 2 2 8 2" xfId="46444" xr:uid="{00000000-0005-0000-0000-00006CB50000}"/>
    <cellStyle name="检查单元格 2 2 8 2 2" xfId="46445" xr:uid="{00000000-0005-0000-0000-00006DB50000}"/>
    <cellStyle name="检查单元格 2 2 8 2 2 2" xfId="46446" xr:uid="{00000000-0005-0000-0000-00006EB50000}"/>
    <cellStyle name="检查单元格 2 2 8 3" xfId="46447" xr:uid="{00000000-0005-0000-0000-00006FB50000}"/>
    <cellStyle name="检查单元格 2 2 8 3 2" xfId="46448" xr:uid="{00000000-0005-0000-0000-000070B50000}"/>
    <cellStyle name="检查单元格 2 2 9" xfId="46449" xr:uid="{00000000-0005-0000-0000-000071B50000}"/>
    <cellStyle name="检查单元格 2 2 9 2" xfId="46450" xr:uid="{00000000-0005-0000-0000-000072B50000}"/>
    <cellStyle name="检查单元格 2 2 9 2 2" xfId="46451" xr:uid="{00000000-0005-0000-0000-000073B50000}"/>
    <cellStyle name="检查单元格 2 2 9 2 2 2" xfId="46452" xr:uid="{00000000-0005-0000-0000-000074B50000}"/>
    <cellStyle name="检查单元格 2 2 9 3" xfId="46453" xr:uid="{00000000-0005-0000-0000-000075B50000}"/>
    <cellStyle name="检查单元格 2 2 9 3 2" xfId="46454" xr:uid="{00000000-0005-0000-0000-000076B50000}"/>
    <cellStyle name="检查单元格 2 3" xfId="46455" xr:uid="{00000000-0005-0000-0000-000077B50000}"/>
    <cellStyle name="检查单元格 2 3 2" xfId="46456" xr:uid="{00000000-0005-0000-0000-000078B50000}"/>
    <cellStyle name="检查单元格 2 3 2 2" xfId="46457" xr:uid="{00000000-0005-0000-0000-000079B50000}"/>
    <cellStyle name="检查单元格 2 3 2 2 2" xfId="46458" xr:uid="{00000000-0005-0000-0000-00007AB50000}"/>
    <cellStyle name="检查单元格 2 3 2 2 2 2" xfId="46459" xr:uid="{00000000-0005-0000-0000-00007BB50000}"/>
    <cellStyle name="检查单元格 2 3 2 2 2 3" xfId="46460" xr:uid="{00000000-0005-0000-0000-00007CB50000}"/>
    <cellStyle name="检查单元格 2 3 2 2 2 3 2" xfId="46461" xr:uid="{00000000-0005-0000-0000-00007DB50000}"/>
    <cellStyle name="检查单元格 2 3 2 2 2 3 2 2" xfId="46462" xr:uid="{00000000-0005-0000-0000-00007EB50000}"/>
    <cellStyle name="检查单元格 2 3 2 2 2 4" xfId="46463" xr:uid="{00000000-0005-0000-0000-00007FB50000}"/>
    <cellStyle name="检查单元格 2 3 2 2 2 4 2" xfId="46464" xr:uid="{00000000-0005-0000-0000-000080B50000}"/>
    <cellStyle name="检查单元格 2 3 2 2 3" xfId="46465" xr:uid="{00000000-0005-0000-0000-000081B50000}"/>
    <cellStyle name="检查单元格 2 3 2 2 3 2" xfId="46466" xr:uid="{00000000-0005-0000-0000-000082B50000}"/>
    <cellStyle name="检查单元格 2 3 2 2 3 2 2" xfId="46467" xr:uid="{00000000-0005-0000-0000-000083B50000}"/>
    <cellStyle name="检查单元格 2 3 2 2 3 2 2 2" xfId="46468" xr:uid="{00000000-0005-0000-0000-000084B50000}"/>
    <cellStyle name="检查单元格 2 3 2 2 3 3" xfId="46469" xr:uid="{00000000-0005-0000-0000-000085B50000}"/>
    <cellStyle name="检查单元格 2 3 2 2 3 3 2" xfId="46470" xr:uid="{00000000-0005-0000-0000-000086B50000}"/>
    <cellStyle name="检查单元格 2 3 2 2 4" xfId="46471" xr:uid="{00000000-0005-0000-0000-000087B50000}"/>
    <cellStyle name="检查单元格 2 3 2 2 5" xfId="46472" xr:uid="{00000000-0005-0000-0000-000088B50000}"/>
    <cellStyle name="检查单元格 2 3 2 2 6" xfId="46473" xr:uid="{00000000-0005-0000-0000-000089B50000}"/>
    <cellStyle name="检查单元格 2 3 2 3" xfId="46474" xr:uid="{00000000-0005-0000-0000-00008AB50000}"/>
    <cellStyle name="检查单元格 2 3 2 3 2" xfId="46475" xr:uid="{00000000-0005-0000-0000-00008BB50000}"/>
    <cellStyle name="检查单元格 2 3 2 3 3" xfId="46476" xr:uid="{00000000-0005-0000-0000-00008CB50000}"/>
    <cellStyle name="检查单元格 2 3 2 3 3 2" xfId="46477" xr:uid="{00000000-0005-0000-0000-00008DB50000}"/>
    <cellStyle name="检查单元格 2 3 2 3 3 2 2" xfId="46478" xr:uid="{00000000-0005-0000-0000-00008EB50000}"/>
    <cellStyle name="检查单元格 2 3 2 3 4" xfId="46479" xr:uid="{00000000-0005-0000-0000-00008FB50000}"/>
    <cellStyle name="检查单元格 2 3 2 3 4 2" xfId="46480" xr:uid="{00000000-0005-0000-0000-000090B50000}"/>
    <cellStyle name="检查单元格 2 3 2 4" xfId="46481" xr:uid="{00000000-0005-0000-0000-000091B50000}"/>
    <cellStyle name="检查单元格 2 3 2 4 2" xfId="46482" xr:uid="{00000000-0005-0000-0000-000092B50000}"/>
    <cellStyle name="检查单元格 2 3 2 4 2 2" xfId="46483" xr:uid="{00000000-0005-0000-0000-000093B50000}"/>
    <cellStyle name="检查单元格 2 3 2 4 2 2 2" xfId="46484" xr:uid="{00000000-0005-0000-0000-000094B50000}"/>
    <cellStyle name="检查单元格 2 3 2 4 3" xfId="46485" xr:uid="{00000000-0005-0000-0000-000095B50000}"/>
    <cellStyle name="检查单元格 2 3 2 4 3 2" xfId="46486" xr:uid="{00000000-0005-0000-0000-000096B50000}"/>
    <cellStyle name="检查单元格 2 3 2 5" xfId="46487" xr:uid="{00000000-0005-0000-0000-000097B50000}"/>
    <cellStyle name="检查单元格 2 3 2 6" xfId="46488" xr:uid="{00000000-0005-0000-0000-000098B50000}"/>
    <cellStyle name="检查单元格 2 3 2 7" xfId="46489" xr:uid="{00000000-0005-0000-0000-000099B50000}"/>
    <cellStyle name="检查单元格 2 3 3" xfId="46490" xr:uid="{00000000-0005-0000-0000-00009AB50000}"/>
    <cellStyle name="检查单元格 2 3 3 2" xfId="46491" xr:uid="{00000000-0005-0000-0000-00009BB50000}"/>
    <cellStyle name="检查单元格 2 3 3 2 2" xfId="46492" xr:uid="{00000000-0005-0000-0000-00009CB50000}"/>
    <cellStyle name="检查单元格 2 3 3 2 3" xfId="46493" xr:uid="{00000000-0005-0000-0000-00009DB50000}"/>
    <cellStyle name="检查单元格 2 3 3 2 3 2" xfId="46494" xr:uid="{00000000-0005-0000-0000-00009EB50000}"/>
    <cellStyle name="检查单元格 2 3 3 2 3 2 2" xfId="46495" xr:uid="{00000000-0005-0000-0000-00009FB50000}"/>
    <cellStyle name="检查单元格 2 3 3 2 4" xfId="46496" xr:uid="{00000000-0005-0000-0000-0000A0B50000}"/>
    <cellStyle name="检查单元格 2 3 3 2 4 2" xfId="46497" xr:uid="{00000000-0005-0000-0000-0000A1B50000}"/>
    <cellStyle name="检查单元格 2 3 3 3" xfId="46498" xr:uid="{00000000-0005-0000-0000-0000A2B50000}"/>
    <cellStyle name="检查单元格 2 3 3 3 2" xfId="46499" xr:uid="{00000000-0005-0000-0000-0000A3B50000}"/>
    <cellStyle name="检查单元格 2 3 3 3 2 2" xfId="46500" xr:uid="{00000000-0005-0000-0000-0000A4B50000}"/>
    <cellStyle name="检查单元格 2 3 3 3 2 2 2" xfId="46501" xr:uid="{00000000-0005-0000-0000-0000A5B50000}"/>
    <cellStyle name="检查单元格 2 3 3 3 3" xfId="46502" xr:uid="{00000000-0005-0000-0000-0000A6B50000}"/>
    <cellStyle name="检查单元格 2 3 3 3 3 2" xfId="46503" xr:uid="{00000000-0005-0000-0000-0000A7B50000}"/>
    <cellStyle name="检查单元格 2 3 3 4" xfId="46504" xr:uid="{00000000-0005-0000-0000-0000A8B50000}"/>
    <cellStyle name="检查单元格 2 3 3 5" xfId="46505" xr:uid="{00000000-0005-0000-0000-0000A9B50000}"/>
    <cellStyle name="检查单元格 2 3 3 6" xfId="46506" xr:uid="{00000000-0005-0000-0000-0000AAB50000}"/>
    <cellStyle name="检查单元格 2 3 4" xfId="46507" xr:uid="{00000000-0005-0000-0000-0000ABB50000}"/>
    <cellStyle name="检查单元格 2 3 4 2" xfId="46508" xr:uid="{00000000-0005-0000-0000-0000ACB50000}"/>
    <cellStyle name="检查单元格 2 3 4 2 2" xfId="46509" xr:uid="{00000000-0005-0000-0000-0000ADB50000}"/>
    <cellStyle name="检查单元格 2 3 4 2 3" xfId="46510" xr:uid="{00000000-0005-0000-0000-0000AEB50000}"/>
    <cellStyle name="检查单元格 2 3 4 2 3 2" xfId="46511" xr:uid="{00000000-0005-0000-0000-0000AFB50000}"/>
    <cellStyle name="检查单元格 2 3 4 2 3 2 2" xfId="46512" xr:uid="{00000000-0005-0000-0000-0000B0B50000}"/>
    <cellStyle name="检查单元格 2 3 4 2 4" xfId="46513" xr:uid="{00000000-0005-0000-0000-0000B1B50000}"/>
    <cellStyle name="检查单元格 2 3 4 2 4 2" xfId="46514" xr:uid="{00000000-0005-0000-0000-0000B2B50000}"/>
    <cellStyle name="检查单元格 2 3 4 3" xfId="46515" xr:uid="{00000000-0005-0000-0000-0000B3B50000}"/>
    <cellStyle name="检查单元格 2 3 4 4" xfId="46516" xr:uid="{00000000-0005-0000-0000-0000B4B50000}"/>
    <cellStyle name="检查单元格 2 3 4 5" xfId="46517" xr:uid="{00000000-0005-0000-0000-0000B5B50000}"/>
    <cellStyle name="检查单元格 2 3 4 6" xfId="46518" xr:uid="{00000000-0005-0000-0000-0000B6B50000}"/>
    <cellStyle name="检查单元格 2 3 5" xfId="46519" xr:uid="{00000000-0005-0000-0000-0000B7B50000}"/>
    <cellStyle name="检查单元格 2 3 5 2" xfId="46520" xr:uid="{00000000-0005-0000-0000-0000B8B50000}"/>
    <cellStyle name="检查单元格 2 3 5 2 2" xfId="46521" xr:uid="{00000000-0005-0000-0000-0000B9B50000}"/>
    <cellStyle name="检查单元格 2 3 5 2 2 2" xfId="46522" xr:uid="{00000000-0005-0000-0000-0000BAB50000}"/>
    <cellStyle name="检查单元格 2 3 5 2 2 2 2" xfId="46523" xr:uid="{00000000-0005-0000-0000-0000BBB50000}"/>
    <cellStyle name="检查单元格 2 3 5 2 3" xfId="46524" xr:uid="{00000000-0005-0000-0000-0000BCB50000}"/>
    <cellStyle name="检查单元格 2 3 5 2 3 2" xfId="46525" xr:uid="{00000000-0005-0000-0000-0000BDB50000}"/>
    <cellStyle name="检查单元格 2 3 5 3" xfId="46526" xr:uid="{00000000-0005-0000-0000-0000BEB50000}"/>
    <cellStyle name="检查单元格 2 3 5 3 2" xfId="46527" xr:uid="{00000000-0005-0000-0000-0000BFB50000}"/>
    <cellStyle name="检查单元格 2 3 5 3 2 2" xfId="46528" xr:uid="{00000000-0005-0000-0000-0000C0B50000}"/>
    <cellStyle name="检查单元格 2 3 5 4" xfId="46529" xr:uid="{00000000-0005-0000-0000-0000C1B50000}"/>
    <cellStyle name="检查单元格 2 3 5 4 2" xfId="46530" xr:uid="{00000000-0005-0000-0000-0000C2B50000}"/>
    <cellStyle name="检查单元格 2 3 6" xfId="46531" xr:uid="{00000000-0005-0000-0000-0000C3B50000}"/>
    <cellStyle name="检查单元格 2 3 6 2" xfId="46532" xr:uid="{00000000-0005-0000-0000-0000C4B50000}"/>
    <cellStyle name="检查单元格 2 3 6 2 2" xfId="46533" xr:uid="{00000000-0005-0000-0000-0000C5B50000}"/>
    <cellStyle name="检查单元格 2 3 6 2 2 2" xfId="46534" xr:uid="{00000000-0005-0000-0000-0000C6B50000}"/>
    <cellStyle name="检查单元格 2 3 6 3" xfId="46535" xr:uid="{00000000-0005-0000-0000-0000C7B50000}"/>
    <cellStyle name="检查单元格 2 3 6 3 2" xfId="46536" xr:uid="{00000000-0005-0000-0000-0000C8B50000}"/>
    <cellStyle name="检查单元格 2 3 7" xfId="46537" xr:uid="{00000000-0005-0000-0000-0000C9B50000}"/>
    <cellStyle name="检查单元格 2 3 7 2" xfId="46538" xr:uid="{00000000-0005-0000-0000-0000CAB50000}"/>
    <cellStyle name="检查单元格 2 3 7 2 2" xfId="46539" xr:uid="{00000000-0005-0000-0000-0000CBB50000}"/>
    <cellStyle name="检查单元格 2 3 7 2 2 2" xfId="46540" xr:uid="{00000000-0005-0000-0000-0000CCB50000}"/>
    <cellStyle name="检查单元格 2 3 7 3" xfId="46541" xr:uid="{00000000-0005-0000-0000-0000CDB50000}"/>
    <cellStyle name="检查单元格 2 3 7 3 2" xfId="46542" xr:uid="{00000000-0005-0000-0000-0000CEB50000}"/>
    <cellStyle name="检查单元格 2 3 8" xfId="46543" xr:uid="{00000000-0005-0000-0000-0000CFB50000}"/>
    <cellStyle name="检查单元格 2 3 9" xfId="46544" xr:uid="{00000000-0005-0000-0000-0000D0B50000}"/>
    <cellStyle name="检查单元格 2 4" xfId="46545" xr:uid="{00000000-0005-0000-0000-0000D1B50000}"/>
    <cellStyle name="检查单元格 2 4 2" xfId="46546" xr:uid="{00000000-0005-0000-0000-0000D2B50000}"/>
    <cellStyle name="检查单元格 2 4 2 2" xfId="46547" xr:uid="{00000000-0005-0000-0000-0000D3B50000}"/>
    <cellStyle name="检查单元格 2 4 2 3" xfId="46548" xr:uid="{00000000-0005-0000-0000-0000D4B50000}"/>
    <cellStyle name="检查单元格 2 4 2 3 2" xfId="46549" xr:uid="{00000000-0005-0000-0000-0000D5B50000}"/>
    <cellStyle name="检查单元格 2 4 2 3 2 2" xfId="46550" xr:uid="{00000000-0005-0000-0000-0000D6B50000}"/>
    <cellStyle name="检查单元格 2 4 2 4" xfId="46551" xr:uid="{00000000-0005-0000-0000-0000D7B50000}"/>
    <cellStyle name="检查单元格 2 4 2 4 2" xfId="46552" xr:uid="{00000000-0005-0000-0000-0000D8B50000}"/>
    <cellStyle name="检查单元格 2 4 3" xfId="46553" xr:uid="{00000000-0005-0000-0000-0000D9B50000}"/>
    <cellStyle name="检查单元格 2 4 3 2" xfId="46554" xr:uid="{00000000-0005-0000-0000-0000DAB50000}"/>
    <cellStyle name="检查单元格 2 4 3 2 2" xfId="46555" xr:uid="{00000000-0005-0000-0000-0000DBB50000}"/>
    <cellStyle name="检查单元格 2 4 3 2 2 2" xfId="46556" xr:uid="{00000000-0005-0000-0000-0000DCB50000}"/>
    <cellStyle name="检查单元格 2 4 3 3" xfId="46557" xr:uid="{00000000-0005-0000-0000-0000DDB50000}"/>
    <cellStyle name="检查单元格 2 4 3 3 2" xfId="46558" xr:uid="{00000000-0005-0000-0000-0000DEB50000}"/>
    <cellStyle name="检查单元格 2 4 4" xfId="46559" xr:uid="{00000000-0005-0000-0000-0000DFB50000}"/>
    <cellStyle name="检查单元格 2 4 5" xfId="46560" xr:uid="{00000000-0005-0000-0000-0000E0B50000}"/>
    <cellStyle name="检查单元格 2 4 6" xfId="46561" xr:uid="{00000000-0005-0000-0000-0000E1B50000}"/>
    <cellStyle name="检查单元格 2 5" xfId="46562" xr:uid="{00000000-0005-0000-0000-0000E2B50000}"/>
    <cellStyle name="检查单元格 2 5 2" xfId="46563" xr:uid="{00000000-0005-0000-0000-0000E3B50000}"/>
    <cellStyle name="检查单元格 2 5 2 2" xfId="46564" xr:uid="{00000000-0005-0000-0000-0000E4B50000}"/>
    <cellStyle name="检查单元格 2 5 2 3" xfId="46565" xr:uid="{00000000-0005-0000-0000-0000E5B50000}"/>
    <cellStyle name="检查单元格 2 5 2 3 2" xfId="46566" xr:uid="{00000000-0005-0000-0000-0000E6B50000}"/>
    <cellStyle name="检查单元格 2 5 2 3 2 2" xfId="46567" xr:uid="{00000000-0005-0000-0000-0000E7B50000}"/>
    <cellStyle name="检查单元格 2 5 2 4" xfId="46568" xr:uid="{00000000-0005-0000-0000-0000E8B50000}"/>
    <cellStyle name="检查单元格 2 5 2 4 2" xfId="46569" xr:uid="{00000000-0005-0000-0000-0000E9B50000}"/>
    <cellStyle name="检查单元格 2 5 3" xfId="46570" xr:uid="{00000000-0005-0000-0000-0000EAB50000}"/>
    <cellStyle name="检查单元格 2 5 4" xfId="46571" xr:uid="{00000000-0005-0000-0000-0000EBB50000}"/>
    <cellStyle name="检查单元格 2 5 5" xfId="46572" xr:uid="{00000000-0005-0000-0000-0000ECB50000}"/>
    <cellStyle name="检查单元格 2 5 6" xfId="46573" xr:uid="{00000000-0005-0000-0000-0000EDB50000}"/>
    <cellStyle name="检查单元格 2 6" xfId="46574" xr:uid="{00000000-0005-0000-0000-0000EEB50000}"/>
    <cellStyle name="检查单元格 2 6 2" xfId="46575" xr:uid="{00000000-0005-0000-0000-0000EFB50000}"/>
    <cellStyle name="检查单元格 2 6 2 2" xfId="46576" xr:uid="{00000000-0005-0000-0000-0000F0B50000}"/>
    <cellStyle name="检查单元格 2 6 2 2 2" xfId="46577" xr:uid="{00000000-0005-0000-0000-0000F1B50000}"/>
    <cellStyle name="检查单元格 2 6 2 2 2 2" xfId="46578" xr:uid="{00000000-0005-0000-0000-0000F2B50000}"/>
    <cellStyle name="检查单元格 2 6 2 3" xfId="46579" xr:uid="{00000000-0005-0000-0000-0000F3B50000}"/>
    <cellStyle name="检查单元格 2 6 2 3 2" xfId="46580" xr:uid="{00000000-0005-0000-0000-0000F4B50000}"/>
    <cellStyle name="检查单元格 2 6 3" xfId="46581" xr:uid="{00000000-0005-0000-0000-0000F5B50000}"/>
    <cellStyle name="检查单元格 2 6 3 2" xfId="46582" xr:uid="{00000000-0005-0000-0000-0000F6B50000}"/>
    <cellStyle name="检查单元格 2 6 3 2 2" xfId="46583" xr:uid="{00000000-0005-0000-0000-0000F7B50000}"/>
    <cellStyle name="检查单元格 2 6 4" xfId="46584" xr:uid="{00000000-0005-0000-0000-0000F8B50000}"/>
    <cellStyle name="检查单元格 2 6 4 2" xfId="46585" xr:uid="{00000000-0005-0000-0000-0000F9B50000}"/>
    <cellStyle name="检查单元格 2 7" xfId="46586" xr:uid="{00000000-0005-0000-0000-0000FAB50000}"/>
    <cellStyle name="检查单元格 2 7 2" xfId="46587" xr:uid="{00000000-0005-0000-0000-0000FBB50000}"/>
    <cellStyle name="检查单元格 2 7 2 2" xfId="46588" xr:uid="{00000000-0005-0000-0000-0000FCB50000}"/>
    <cellStyle name="检查单元格 2 7 2 2 2" xfId="46589" xr:uid="{00000000-0005-0000-0000-0000FDB50000}"/>
    <cellStyle name="检查单元格 2 7 2 2 2 2" xfId="46590" xr:uid="{00000000-0005-0000-0000-0000FEB50000}"/>
    <cellStyle name="检查单元格 2 7 2 3" xfId="46591" xr:uid="{00000000-0005-0000-0000-0000FFB50000}"/>
    <cellStyle name="检查单元格 2 7 2 3 2" xfId="46592" xr:uid="{00000000-0005-0000-0000-000000B60000}"/>
    <cellStyle name="检查单元格 2 7 3" xfId="46593" xr:uid="{00000000-0005-0000-0000-000001B60000}"/>
    <cellStyle name="检查单元格 2 7 3 2" xfId="46594" xr:uid="{00000000-0005-0000-0000-000002B60000}"/>
    <cellStyle name="检查单元格 2 7 3 2 2" xfId="46595" xr:uid="{00000000-0005-0000-0000-000003B60000}"/>
    <cellStyle name="检查单元格 2 7 4" xfId="46596" xr:uid="{00000000-0005-0000-0000-000004B60000}"/>
    <cellStyle name="检查单元格 2 7 4 2" xfId="46597" xr:uid="{00000000-0005-0000-0000-000005B60000}"/>
    <cellStyle name="检查单元格 2 8" xfId="46598" xr:uid="{00000000-0005-0000-0000-000006B60000}"/>
    <cellStyle name="检查单元格 2 8 2" xfId="46599" xr:uid="{00000000-0005-0000-0000-000007B60000}"/>
    <cellStyle name="检查单元格 2 8 2 2" xfId="46600" xr:uid="{00000000-0005-0000-0000-000008B60000}"/>
    <cellStyle name="检查单元格 2 8 2 2 2" xfId="46601" xr:uid="{00000000-0005-0000-0000-000009B60000}"/>
    <cellStyle name="检查单元格 2 8 2 2 2 2" xfId="46602" xr:uid="{00000000-0005-0000-0000-00000AB60000}"/>
    <cellStyle name="检查单元格 2 8 2 3" xfId="46603" xr:uid="{00000000-0005-0000-0000-00000BB60000}"/>
    <cellStyle name="检查单元格 2 8 2 3 2" xfId="46604" xr:uid="{00000000-0005-0000-0000-00000CB60000}"/>
    <cellStyle name="检查单元格 2 8 3" xfId="46605" xr:uid="{00000000-0005-0000-0000-00000DB60000}"/>
    <cellStyle name="检查单元格 2 8 3 2" xfId="46606" xr:uid="{00000000-0005-0000-0000-00000EB60000}"/>
    <cellStyle name="检查单元格 2 8 3 2 2" xfId="46607" xr:uid="{00000000-0005-0000-0000-00000FB60000}"/>
    <cellStyle name="检查单元格 2 8 4" xfId="46608" xr:uid="{00000000-0005-0000-0000-000010B60000}"/>
    <cellStyle name="检查单元格 2 8 4 2" xfId="46609" xr:uid="{00000000-0005-0000-0000-000011B60000}"/>
    <cellStyle name="检查单元格 2 9" xfId="46610" xr:uid="{00000000-0005-0000-0000-000012B60000}"/>
    <cellStyle name="检查单元格 2 9 2" xfId="46611" xr:uid="{00000000-0005-0000-0000-000013B60000}"/>
    <cellStyle name="检查单元格 2 9 2 2" xfId="46612" xr:uid="{00000000-0005-0000-0000-000014B60000}"/>
    <cellStyle name="检查单元格 2 9 2 2 2" xfId="46613" xr:uid="{00000000-0005-0000-0000-000015B60000}"/>
    <cellStyle name="检查单元格 2 9 3" xfId="46614" xr:uid="{00000000-0005-0000-0000-000016B60000}"/>
    <cellStyle name="检查单元格 2 9 3 2" xfId="46615" xr:uid="{00000000-0005-0000-0000-000017B60000}"/>
    <cellStyle name="检查单元格 3" xfId="46616" xr:uid="{00000000-0005-0000-0000-000018B60000}"/>
    <cellStyle name="检查单元格 3 2" xfId="46617" xr:uid="{00000000-0005-0000-0000-000019B60000}"/>
    <cellStyle name="检查单元格 3 2 2" xfId="46618" xr:uid="{00000000-0005-0000-0000-00001AB60000}"/>
    <cellStyle name="检查单元格 3 2 2 2" xfId="46619" xr:uid="{00000000-0005-0000-0000-00001BB60000}"/>
    <cellStyle name="检查单元格 3 2 2 2 2" xfId="46620" xr:uid="{00000000-0005-0000-0000-00001CB60000}"/>
    <cellStyle name="检查单元格 3 2 2 2 3" xfId="46621" xr:uid="{00000000-0005-0000-0000-00001DB60000}"/>
    <cellStyle name="检查单元格 3 2 2 2 3 2" xfId="46622" xr:uid="{00000000-0005-0000-0000-00001EB60000}"/>
    <cellStyle name="检查单元格 3 2 2 2 3 2 2" xfId="46623" xr:uid="{00000000-0005-0000-0000-00001FB60000}"/>
    <cellStyle name="检查单元格 3 2 2 2 4" xfId="46624" xr:uid="{00000000-0005-0000-0000-000020B60000}"/>
    <cellStyle name="检查单元格 3 2 2 2 4 2" xfId="46625" xr:uid="{00000000-0005-0000-0000-000021B60000}"/>
    <cellStyle name="检查单元格 3 2 2 3" xfId="46626" xr:uid="{00000000-0005-0000-0000-000022B60000}"/>
    <cellStyle name="检查单元格 3 2 2 3 2" xfId="46627" xr:uid="{00000000-0005-0000-0000-000023B60000}"/>
    <cellStyle name="检查单元格 3 2 2 3 2 2" xfId="46628" xr:uid="{00000000-0005-0000-0000-000024B60000}"/>
    <cellStyle name="检查单元格 3 2 2 3 2 2 2" xfId="46629" xr:uid="{00000000-0005-0000-0000-000025B60000}"/>
    <cellStyle name="检查单元格 3 2 2 3 3" xfId="46630" xr:uid="{00000000-0005-0000-0000-000026B60000}"/>
    <cellStyle name="检查单元格 3 2 2 3 3 2" xfId="46631" xr:uid="{00000000-0005-0000-0000-000027B60000}"/>
    <cellStyle name="检查单元格 3 2 2 4" xfId="46632" xr:uid="{00000000-0005-0000-0000-000028B60000}"/>
    <cellStyle name="检查单元格 3 2 2 5" xfId="46633" xr:uid="{00000000-0005-0000-0000-000029B60000}"/>
    <cellStyle name="检查单元格 3 2 2 6" xfId="46634" xr:uid="{00000000-0005-0000-0000-00002AB60000}"/>
    <cellStyle name="检查单元格 3 2 3" xfId="46635" xr:uid="{00000000-0005-0000-0000-00002BB60000}"/>
    <cellStyle name="检查单元格 3 2 3 2" xfId="46636" xr:uid="{00000000-0005-0000-0000-00002CB60000}"/>
    <cellStyle name="检查单元格 3 2 3 3" xfId="46637" xr:uid="{00000000-0005-0000-0000-00002DB60000}"/>
    <cellStyle name="检查单元格 3 2 3 3 2" xfId="46638" xr:uid="{00000000-0005-0000-0000-00002EB60000}"/>
    <cellStyle name="检查单元格 3 2 3 3 2 2" xfId="46639" xr:uid="{00000000-0005-0000-0000-00002FB60000}"/>
    <cellStyle name="检查单元格 3 2 3 4" xfId="46640" xr:uid="{00000000-0005-0000-0000-000030B60000}"/>
    <cellStyle name="检查单元格 3 2 3 4 2" xfId="46641" xr:uid="{00000000-0005-0000-0000-000031B60000}"/>
    <cellStyle name="检查单元格 3 2 4" xfId="46642" xr:uid="{00000000-0005-0000-0000-000032B60000}"/>
    <cellStyle name="检查单元格 3 2 4 2" xfId="46643" xr:uid="{00000000-0005-0000-0000-000033B60000}"/>
    <cellStyle name="检查单元格 3 2 4 2 2" xfId="46644" xr:uid="{00000000-0005-0000-0000-000034B60000}"/>
    <cellStyle name="检查单元格 3 2 4 2 2 2" xfId="46645" xr:uid="{00000000-0005-0000-0000-000035B60000}"/>
    <cellStyle name="检查单元格 3 2 4 3" xfId="46646" xr:uid="{00000000-0005-0000-0000-000036B60000}"/>
    <cellStyle name="检查单元格 3 2 4 3 2" xfId="46647" xr:uid="{00000000-0005-0000-0000-000037B60000}"/>
    <cellStyle name="检查单元格 3 2 5" xfId="46648" xr:uid="{00000000-0005-0000-0000-000038B60000}"/>
    <cellStyle name="检查单元格 3 2 6" xfId="46649" xr:uid="{00000000-0005-0000-0000-000039B60000}"/>
    <cellStyle name="检查单元格 3 2 7" xfId="46650" xr:uid="{00000000-0005-0000-0000-00003AB60000}"/>
    <cellStyle name="检查单元格 3 3" xfId="46651" xr:uid="{00000000-0005-0000-0000-00003BB60000}"/>
    <cellStyle name="检查单元格 3 3 2" xfId="46652" xr:uid="{00000000-0005-0000-0000-00003CB60000}"/>
    <cellStyle name="检查单元格 3 3 2 2" xfId="46653" xr:uid="{00000000-0005-0000-0000-00003DB60000}"/>
    <cellStyle name="检查单元格 3 3 2 3" xfId="46654" xr:uid="{00000000-0005-0000-0000-00003EB60000}"/>
    <cellStyle name="检查单元格 3 3 2 3 2" xfId="46655" xr:uid="{00000000-0005-0000-0000-00003FB60000}"/>
    <cellStyle name="检查单元格 3 3 2 3 2 2" xfId="46656" xr:uid="{00000000-0005-0000-0000-000040B60000}"/>
    <cellStyle name="检查单元格 3 3 2 4" xfId="46657" xr:uid="{00000000-0005-0000-0000-000041B60000}"/>
    <cellStyle name="检查单元格 3 3 2 4 2" xfId="46658" xr:uid="{00000000-0005-0000-0000-000042B60000}"/>
    <cellStyle name="检查单元格 3 3 3" xfId="46659" xr:uid="{00000000-0005-0000-0000-000043B60000}"/>
    <cellStyle name="检查单元格 3 3 3 2" xfId="46660" xr:uid="{00000000-0005-0000-0000-000044B60000}"/>
    <cellStyle name="检查单元格 3 3 3 2 2" xfId="46661" xr:uid="{00000000-0005-0000-0000-000045B60000}"/>
    <cellStyle name="检查单元格 3 3 3 2 2 2" xfId="46662" xr:uid="{00000000-0005-0000-0000-000046B60000}"/>
    <cellStyle name="检查单元格 3 3 3 3" xfId="46663" xr:uid="{00000000-0005-0000-0000-000047B60000}"/>
    <cellStyle name="检查单元格 3 3 3 3 2" xfId="46664" xr:uid="{00000000-0005-0000-0000-000048B60000}"/>
    <cellStyle name="检查单元格 3 3 4" xfId="46665" xr:uid="{00000000-0005-0000-0000-000049B60000}"/>
    <cellStyle name="检查单元格 3 3 5" xfId="46666" xr:uid="{00000000-0005-0000-0000-00004AB60000}"/>
    <cellStyle name="检查单元格 3 3 6" xfId="46667" xr:uid="{00000000-0005-0000-0000-00004BB60000}"/>
    <cellStyle name="检查单元格 3 4" xfId="46668" xr:uid="{00000000-0005-0000-0000-00004CB60000}"/>
    <cellStyle name="检查单元格 3 4 2" xfId="46669" xr:uid="{00000000-0005-0000-0000-00004DB60000}"/>
    <cellStyle name="检查单元格 3 4 2 2" xfId="46670" xr:uid="{00000000-0005-0000-0000-00004EB60000}"/>
    <cellStyle name="检查单元格 3 4 2 3" xfId="46671" xr:uid="{00000000-0005-0000-0000-00004FB60000}"/>
    <cellStyle name="检查单元格 3 4 2 3 2" xfId="46672" xr:uid="{00000000-0005-0000-0000-000050B60000}"/>
    <cellStyle name="检查单元格 3 4 2 3 2 2" xfId="46673" xr:uid="{00000000-0005-0000-0000-000051B60000}"/>
    <cellStyle name="检查单元格 3 4 2 4" xfId="46674" xr:uid="{00000000-0005-0000-0000-000052B60000}"/>
    <cellStyle name="检查单元格 3 4 2 4 2" xfId="46675" xr:uid="{00000000-0005-0000-0000-000053B60000}"/>
    <cellStyle name="检查单元格 3 4 3" xfId="46676" xr:uid="{00000000-0005-0000-0000-000054B60000}"/>
    <cellStyle name="检查单元格 3 4 4" xfId="46677" xr:uid="{00000000-0005-0000-0000-000055B60000}"/>
    <cellStyle name="检查单元格 3 4 5" xfId="46678" xr:uid="{00000000-0005-0000-0000-000056B60000}"/>
    <cellStyle name="检查单元格 3 4 6" xfId="46679" xr:uid="{00000000-0005-0000-0000-000057B60000}"/>
    <cellStyle name="检查单元格 3 5" xfId="46680" xr:uid="{00000000-0005-0000-0000-000058B60000}"/>
    <cellStyle name="检查单元格 3 5 2" xfId="46681" xr:uid="{00000000-0005-0000-0000-000059B60000}"/>
    <cellStyle name="检查单元格 3 5 2 2" xfId="46682" xr:uid="{00000000-0005-0000-0000-00005AB60000}"/>
    <cellStyle name="检查单元格 3 5 2 2 2" xfId="46683" xr:uid="{00000000-0005-0000-0000-00005BB60000}"/>
    <cellStyle name="检查单元格 3 5 2 2 2 2" xfId="46684" xr:uid="{00000000-0005-0000-0000-00005CB60000}"/>
    <cellStyle name="检查单元格 3 5 2 3" xfId="46685" xr:uid="{00000000-0005-0000-0000-00005DB60000}"/>
    <cellStyle name="检查单元格 3 5 2 3 2" xfId="46686" xr:uid="{00000000-0005-0000-0000-00005EB60000}"/>
    <cellStyle name="检查单元格 3 5 3" xfId="46687" xr:uid="{00000000-0005-0000-0000-00005FB60000}"/>
    <cellStyle name="检查单元格 3 5 3 2" xfId="46688" xr:uid="{00000000-0005-0000-0000-000060B60000}"/>
    <cellStyle name="检查单元格 3 5 3 2 2" xfId="46689" xr:uid="{00000000-0005-0000-0000-000061B60000}"/>
    <cellStyle name="检查单元格 3 5 4" xfId="46690" xr:uid="{00000000-0005-0000-0000-000062B60000}"/>
    <cellStyle name="检查单元格 3 5 4 2" xfId="46691" xr:uid="{00000000-0005-0000-0000-000063B60000}"/>
    <cellStyle name="检查单元格 3 6" xfId="46692" xr:uid="{00000000-0005-0000-0000-000064B60000}"/>
    <cellStyle name="检查单元格 3 6 2" xfId="46693" xr:uid="{00000000-0005-0000-0000-000065B60000}"/>
    <cellStyle name="检查单元格 3 6 2 2" xfId="46694" xr:uid="{00000000-0005-0000-0000-000066B60000}"/>
    <cellStyle name="检查单元格 3 6 2 2 2" xfId="46695" xr:uid="{00000000-0005-0000-0000-000067B60000}"/>
    <cellStyle name="检查单元格 3 6 3" xfId="46696" xr:uid="{00000000-0005-0000-0000-000068B60000}"/>
    <cellStyle name="检查单元格 3 6 3 2" xfId="46697" xr:uid="{00000000-0005-0000-0000-000069B60000}"/>
    <cellStyle name="检查单元格 3 7" xfId="46698" xr:uid="{00000000-0005-0000-0000-00006AB60000}"/>
    <cellStyle name="检查单元格 3 8" xfId="46699" xr:uid="{00000000-0005-0000-0000-00006BB60000}"/>
    <cellStyle name="標準 2" xfId="46700" xr:uid="{00000000-0005-0000-0000-00006CB60000}"/>
    <cellStyle name="標準_2007AOP CAPEX WRC" xfId="46701" xr:uid="{00000000-0005-0000-0000-00006DB60000}"/>
    <cellStyle name="汇总 2" xfId="46702" xr:uid="{00000000-0005-0000-0000-00006EB60000}"/>
    <cellStyle name="汇总 2 10" xfId="46703" xr:uid="{00000000-0005-0000-0000-00006FB60000}"/>
    <cellStyle name="汇总 2 11" xfId="46704" xr:uid="{00000000-0005-0000-0000-000070B60000}"/>
    <cellStyle name="汇总 2 2" xfId="46705" xr:uid="{00000000-0005-0000-0000-000071B60000}"/>
    <cellStyle name="汇总 2 2 10" xfId="46706" xr:uid="{00000000-0005-0000-0000-000072B60000}"/>
    <cellStyle name="汇总 2 2 11" xfId="46707" xr:uid="{00000000-0005-0000-0000-000073B60000}"/>
    <cellStyle name="汇总 2 2 2" xfId="46708" xr:uid="{00000000-0005-0000-0000-000074B60000}"/>
    <cellStyle name="汇总 2 2 2 2" xfId="46709" xr:uid="{00000000-0005-0000-0000-000075B60000}"/>
    <cellStyle name="汇总 2 2 2 2 2" xfId="46710" xr:uid="{00000000-0005-0000-0000-000076B60000}"/>
    <cellStyle name="汇总 2 2 2 2 2 2" xfId="46711" xr:uid="{00000000-0005-0000-0000-000077B60000}"/>
    <cellStyle name="汇总 2 2 2 2 2 3" xfId="46712" xr:uid="{00000000-0005-0000-0000-000078B60000}"/>
    <cellStyle name="汇总 2 2 2 2 2 3 2" xfId="46713" xr:uid="{00000000-0005-0000-0000-000079B60000}"/>
    <cellStyle name="汇总 2 2 2 2 2 3 2 2" xfId="46714" xr:uid="{00000000-0005-0000-0000-00007AB60000}"/>
    <cellStyle name="汇总 2 2 2 2 2 4" xfId="46715" xr:uid="{00000000-0005-0000-0000-00007BB60000}"/>
    <cellStyle name="汇总 2 2 2 2 2 4 2" xfId="46716" xr:uid="{00000000-0005-0000-0000-00007CB60000}"/>
    <cellStyle name="汇总 2 2 2 2 3" xfId="46717" xr:uid="{00000000-0005-0000-0000-00007DB60000}"/>
    <cellStyle name="汇总 2 2 2 2 3 2" xfId="46718" xr:uid="{00000000-0005-0000-0000-00007EB60000}"/>
    <cellStyle name="汇总 2 2 2 2 3 2 2" xfId="46719" xr:uid="{00000000-0005-0000-0000-00007FB60000}"/>
    <cellStyle name="汇总 2 2 2 2 3 2 2 2" xfId="46720" xr:uid="{00000000-0005-0000-0000-000080B60000}"/>
    <cellStyle name="汇总 2 2 2 2 3 3" xfId="46721" xr:uid="{00000000-0005-0000-0000-000081B60000}"/>
    <cellStyle name="汇总 2 2 2 2 3 3 2" xfId="46722" xr:uid="{00000000-0005-0000-0000-000082B60000}"/>
    <cellStyle name="汇总 2 2 2 2 4" xfId="46723" xr:uid="{00000000-0005-0000-0000-000083B60000}"/>
    <cellStyle name="汇总 2 2 2 2 5" xfId="46724" xr:uid="{00000000-0005-0000-0000-000084B60000}"/>
    <cellStyle name="汇总 2 2 2 2 6" xfId="46725" xr:uid="{00000000-0005-0000-0000-000085B60000}"/>
    <cellStyle name="汇总 2 2 2 3" xfId="46726" xr:uid="{00000000-0005-0000-0000-000086B60000}"/>
    <cellStyle name="汇总 2 2 2 3 2" xfId="46727" xr:uid="{00000000-0005-0000-0000-000087B60000}"/>
    <cellStyle name="汇总 2 2 2 3 3" xfId="46728" xr:uid="{00000000-0005-0000-0000-000088B60000}"/>
    <cellStyle name="汇总 2 2 2 3 3 2" xfId="46729" xr:uid="{00000000-0005-0000-0000-000089B60000}"/>
    <cellStyle name="汇总 2 2 2 3 3 2 2" xfId="46730" xr:uid="{00000000-0005-0000-0000-00008AB60000}"/>
    <cellStyle name="汇总 2 2 2 3 4" xfId="46731" xr:uid="{00000000-0005-0000-0000-00008BB60000}"/>
    <cellStyle name="汇总 2 2 2 3 4 2" xfId="46732" xr:uid="{00000000-0005-0000-0000-00008CB60000}"/>
    <cellStyle name="汇总 2 2 2 4" xfId="46733" xr:uid="{00000000-0005-0000-0000-00008DB60000}"/>
    <cellStyle name="汇总 2 2 2 4 2" xfId="46734" xr:uid="{00000000-0005-0000-0000-00008EB60000}"/>
    <cellStyle name="汇总 2 2 2 4 2 2" xfId="46735" xr:uid="{00000000-0005-0000-0000-00008FB60000}"/>
    <cellStyle name="汇总 2 2 2 4 2 2 2" xfId="46736" xr:uid="{00000000-0005-0000-0000-000090B60000}"/>
    <cellStyle name="汇总 2 2 2 4 3" xfId="46737" xr:uid="{00000000-0005-0000-0000-000091B60000}"/>
    <cellStyle name="汇总 2 2 2 4 3 2" xfId="46738" xr:uid="{00000000-0005-0000-0000-000092B60000}"/>
    <cellStyle name="汇总 2 2 2 5" xfId="46739" xr:uid="{00000000-0005-0000-0000-000093B60000}"/>
    <cellStyle name="汇总 2 2 2 6" xfId="46740" xr:uid="{00000000-0005-0000-0000-000094B60000}"/>
    <cellStyle name="汇总 2 2 2 7" xfId="46741" xr:uid="{00000000-0005-0000-0000-000095B60000}"/>
    <cellStyle name="汇总 2 2 3" xfId="46742" xr:uid="{00000000-0005-0000-0000-000096B60000}"/>
    <cellStyle name="汇总 2 2 3 2" xfId="46743" xr:uid="{00000000-0005-0000-0000-000097B60000}"/>
    <cellStyle name="汇总 2 2 3 2 2" xfId="46744" xr:uid="{00000000-0005-0000-0000-000098B60000}"/>
    <cellStyle name="汇总 2 2 3 2 3" xfId="46745" xr:uid="{00000000-0005-0000-0000-000099B60000}"/>
    <cellStyle name="汇总 2 2 3 2 3 2" xfId="46746" xr:uid="{00000000-0005-0000-0000-00009AB60000}"/>
    <cellStyle name="汇总 2 2 3 2 3 2 2" xfId="46747" xr:uid="{00000000-0005-0000-0000-00009BB60000}"/>
    <cellStyle name="汇总 2 2 3 2 4" xfId="46748" xr:uid="{00000000-0005-0000-0000-00009CB60000}"/>
    <cellStyle name="汇总 2 2 3 2 4 2" xfId="46749" xr:uid="{00000000-0005-0000-0000-00009DB60000}"/>
    <cellStyle name="汇总 2 2 3 3" xfId="46750" xr:uid="{00000000-0005-0000-0000-00009EB60000}"/>
    <cellStyle name="汇总 2 2 3 3 2" xfId="46751" xr:uid="{00000000-0005-0000-0000-00009FB60000}"/>
    <cellStyle name="汇总 2 2 3 3 2 2" xfId="46752" xr:uid="{00000000-0005-0000-0000-0000A0B60000}"/>
    <cellStyle name="汇总 2 2 3 3 2 2 2" xfId="46753" xr:uid="{00000000-0005-0000-0000-0000A1B60000}"/>
    <cellStyle name="汇总 2 2 3 3 3" xfId="46754" xr:uid="{00000000-0005-0000-0000-0000A2B60000}"/>
    <cellStyle name="汇总 2 2 3 3 3 2" xfId="46755" xr:uid="{00000000-0005-0000-0000-0000A3B60000}"/>
    <cellStyle name="汇总 2 2 3 4" xfId="46756" xr:uid="{00000000-0005-0000-0000-0000A4B60000}"/>
    <cellStyle name="汇总 2 2 3 5" xfId="46757" xr:uid="{00000000-0005-0000-0000-0000A5B60000}"/>
    <cellStyle name="汇总 2 2 3 6" xfId="46758" xr:uid="{00000000-0005-0000-0000-0000A6B60000}"/>
    <cellStyle name="汇总 2 2 4" xfId="46759" xr:uid="{00000000-0005-0000-0000-0000A7B60000}"/>
    <cellStyle name="汇总 2 2 4 2" xfId="46760" xr:uid="{00000000-0005-0000-0000-0000A8B60000}"/>
    <cellStyle name="汇总 2 2 4 2 2" xfId="46761" xr:uid="{00000000-0005-0000-0000-0000A9B60000}"/>
    <cellStyle name="汇总 2 2 4 2 3" xfId="46762" xr:uid="{00000000-0005-0000-0000-0000AAB60000}"/>
    <cellStyle name="汇总 2 2 4 2 3 2" xfId="46763" xr:uid="{00000000-0005-0000-0000-0000ABB60000}"/>
    <cellStyle name="汇总 2 2 4 2 3 2 2" xfId="46764" xr:uid="{00000000-0005-0000-0000-0000ACB60000}"/>
    <cellStyle name="汇总 2 2 4 2 4" xfId="46765" xr:uid="{00000000-0005-0000-0000-0000ADB60000}"/>
    <cellStyle name="汇总 2 2 4 2 4 2" xfId="46766" xr:uid="{00000000-0005-0000-0000-0000AEB60000}"/>
    <cellStyle name="汇总 2 2 4 3" xfId="46767" xr:uid="{00000000-0005-0000-0000-0000AFB60000}"/>
    <cellStyle name="汇总 2 2 4 4" xfId="46768" xr:uid="{00000000-0005-0000-0000-0000B0B60000}"/>
    <cellStyle name="汇总 2 2 4 5" xfId="46769" xr:uid="{00000000-0005-0000-0000-0000B1B60000}"/>
    <cellStyle name="汇总 2 2 4 6" xfId="46770" xr:uid="{00000000-0005-0000-0000-0000B2B60000}"/>
    <cellStyle name="汇总 2 2 5" xfId="46771" xr:uid="{00000000-0005-0000-0000-0000B3B60000}"/>
    <cellStyle name="汇总 2 2 5 2" xfId="46772" xr:uid="{00000000-0005-0000-0000-0000B4B60000}"/>
    <cellStyle name="汇总 2 2 5 2 2" xfId="46773" xr:uid="{00000000-0005-0000-0000-0000B5B60000}"/>
    <cellStyle name="汇总 2 2 5 2 2 2" xfId="46774" xr:uid="{00000000-0005-0000-0000-0000B6B60000}"/>
    <cellStyle name="汇总 2 2 5 2 2 2 2" xfId="46775" xr:uid="{00000000-0005-0000-0000-0000B7B60000}"/>
    <cellStyle name="汇总 2 2 5 2 3" xfId="46776" xr:uid="{00000000-0005-0000-0000-0000B8B60000}"/>
    <cellStyle name="汇总 2 2 5 2 3 2" xfId="46777" xr:uid="{00000000-0005-0000-0000-0000B9B60000}"/>
    <cellStyle name="汇总 2 2 5 3" xfId="46778" xr:uid="{00000000-0005-0000-0000-0000BAB60000}"/>
    <cellStyle name="汇总 2 2 5 3 2" xfId="46779" xr:uid="{00000000-0005-0000-0000-0000BBB60000}"/>
    <cellStyle name="汇总 2 2 5 3 2 2" xfId="46780" xr:uid="{00000000-0005-0000-0000-0000BCB60000}"/>
    <cellStyle name="汇总 2 2 5 4" xfId="46781" xr:uid="{00000000-0005-0000-0000-0000BDB60000}"/>
    <cellStyle name="汇总 2 2 5 4 2" xfId="46782" xr:uid="{00000000-0005-0000-0000-0000BEB60000}"/>
    <cellStyle name="汇总 2 2 6" xfId="46783" xr:uid="{00000000-0005-0000-0000-0000BFB60000}"/>
    <cellStyle name="汇总 2 2 6 2" xfId="46784" xr:uid="{00000000-0005-0000-0000-0000C0B60000}"/>
    <cellStyle name="汇总 2 2 6 2 2" xfId="46785" xr:uid="{00000000-0005-0000-0000-0000C1B60000}"/>
    <cellStyle name="汇总 2 2 6 2 2 2" xfId="46786" xr:uid="{00000000-0005-0000-0000-0000C2B60000}"/>
    <cellStyle name="汇总 2 2 6 2 2 2 2" xfId="46787" xr:uid="{00000000-0005-0000-0000-0000C3B60000}"/>
    <cellStyle name="汇总 2 2 6 2 3" xfId="46788" xr:uid="{00000000-0005-0000-0000-0000C4B60000}"/>
    <cellStyle name="汇总 2 2 6 2 3 2" xfId="46789" xr:uid="{00000000-0005-0000-0000-0000C5B60000}"/>
    <cellStyle name="汇总 2 2 6 3" xfId="46790" xr:uid="{00000000-0005-0000-0000-0000C6B60000}"/>
    <cellStyle name="汇总 2 2 6 3 2" xfId="46791" xr:uid="{00000000-0005-0000-0000-0000C7B60000}"/>
    <cellStyle name="汇总 2 2 6 3 2 2" xfId="46792" xr:uid="{00000000-0005-0000-0000-0000C8B60000}"/>
    <cellStyle name="汇总 2 2 6 4" xfId="46793" xr:uid="{00000000-0005-0000-0000-0000C9B60000}"/>
    <cellStyle name="汇总 2 2 6 4 2" xfId="46794" xr:uid="{00000000-0005-0000-0000-0000CAB60000}"/>
    <cellStyle name="汇总 2 2 7" xfId="46795" xr:uid="{00000000-0005-0000-0000-0000CBB60000}"/>
    <cellStyle name="汇总 2 2 7 2" xfId="46796" xr:uid="{00000000-0005-0000-0000-0000CCB60000}"/>
    <cellStyle name="汇总 2 2 7 2 2" xfId="46797" xr:uid="{00000000-0005-0000-0000-0000CDB60000}"/>
    <cellStyle name="汇总 2 2 7 2 2 2" xfId="46798" xr:uid="{00000000-0005-0000-0000-0000CEB60000}"/>
    <cellStyle name="汇总 2 2 7 2 2 2 2" xfId="46799" xr:uid="{00000000-0005-0000-0000-0000CFB60000}"/>
    <cellStyle name="汇总 2 2 7 2 3" xfId="46800" xr:uid="{00000000-0005-0000-0000-0000D0B60000}"/>
    <cellStyle name="汇总 2 2 7 2 3 2" xfId="46801" xr:uid="{00000000-0005-0000-0000-0000D1B60000}"/>
    <cellStyle name="汇总 2 2 7 3" xfId="46802" xr:uid="{00000000-0005-0000-0000-0000D2B60000}"/>
    <cellStyle name="汇总 2 2 7 3 2" xfId="46803" xr:uid="{00000000-0005-0000-0000-0000D3B60000}"/>
    <cellStyle name="汇总 2 2 7 3 2 2" xfId="46804" xr:uid="{00000000-0005-0000-0000-0000D4B60000}"/>
    <cellStyle name="汇总 2 2 7 4" xfId="46805" xr:uid="{00000000-0005-0000-0000-0000D5B60000}"/>
    <cellStyle name="汇总 2 2 7 4 2" xfId="46806" xr:uid="{00000000-0005-0000-0000-0000D6B60000}"/>
    <cellStyle name="汇总 2 2 8" xfId="46807" xr:uid="{00000000-0005-0000-0000-0000D7B60000}"/>
    <cellStyle name="汇总 2 2 8 2" xfId="46808" xr:uid="{00000000-0005-0000-0000-0000D8B60000}"/>
    <cellStyle name="汇总 2 2 8 2 2" xfId="46809" xr:uid="{00000000-0005-0000-0000-0000D9B60000}"/>
    <cellStyle name="汇总 2 2 8 2 2 2" xfId="46810" xr:uid="{00000000-0005-0000-0000-0000DAB60000}"/>
    <cellStyle name="汇总 2 2 8 3" xfId="46811" xr:uid="{00000000-0005-0000-0000-0000DBB60000}"/>
    <cellStyle name="汇总 2 2 8 3 2" xfId="46812" xr:uid="{00000000-0005-0000-0000-0000DCB60000}"/>
    <cellStyle name="汇总 2 2 9" xfId="46813" xr:uid="{00000000-0005-0000-0000-0000DDB60000}"/>
    <cellStyle name="汇总 2 2 9 2" xfId="46814" xr:uid="{00000000-0005-0000-0000-0000DEB60000}"/>
    <cellStyle name="汇总 2 2 9 2 2" xfId="46815" xr:uid="{00000000-0005-0000-0000-0000DFB60000}"/>
    <cellStyle name="汇总 2 2 9 2 2 2" xfId="46816" xr:uid="{00000000-0005-0000-0000-0000E0B60000}"/>
    <cellStyle name="汇总 2 2 9 3" xfId="46817" xr:uid="{00000000-0005-0000-0000-0000E1B60000}"/>
    <cellStyle name="汇总 2 2 9 3 2" xfId="46818" xr:uid="{00000000-0005-0000-0000-0000E2B60000}"/>
    <cellStyle name="汇总 2 3" xfId="46819" xr:uid="{00000000-0005-0000-0000-0000E3B60000}"/>
    <cellStyle name="汇总 2 3 2" xfId="46820" xr:uid="{00000000-0005-0000-0000-0000E4B60000}"/>
    <cellStyle name="汇总 2 3 2 2" xfId="46821" xr:uid="{00000000-0005-0000-0000-0000E5B60000}"/>
    <cellStyle name="汇总 2 3 2 2 2" xfId="46822" xr:uid="{00000000-0005-0000-0000-0000E6B60000}"/>
    <cellStyle name="汇总 2 3 2 2 2 2" xfId="46823" xr:uid="{00000000-0005-0000-0000-0000E7B60000}"/>
    <cellStyle name="汇总 2 3 2 2 2 3" xfId="46824" xr:uid="{00000000-0005-0000-0000-0000E8B60000}"/>
    <cellStyle name="汇总 2 3 2 2 2 3 2" xfId="46825" xr:uid="{00000000-0005-0000-0000-0000E9B60000}"/>
    <cellStyle name="汇总 2 3 2 2 2 3 2 2" xfId="46826" xr:uid="{00000000-0005-0000-0000-0000EAB60000}"/>
    <cellStyle name="汇总 2 3 2 2 2 4" xfId="46827" xr:uid="{00000000-0005-0000-0000-0000EBB60000}"/>
    <cellStyle name="汇总 2 3 2 2 2 4 2" xfId="46828" xr:uid="{00000000-0005-0000-0000-0000ECB60000}"/>
    <cellStyle name="汇总 2 3 2 2 3" xfId="46829" xr:uid="{00000000-0005-0000-0000-0000EDB60000}"/>
    <cellStyle name="汇总 2 3 2 2 3 2" xfId="46830" xr:uid="{00000000-0005-0000-0000-0000EEB60000}"/>
    <cellStyle name="汇总 2 3 2 2 3 2 2" xfId="46831" xr:uid="{00000000-0005-0000-0000-0000EFB60000}"/>
    <cellStyle name="汇总 2 3 2 2 3 2 2 2" xfId="46832" xr:uid="{00000000-0005-0000-0000-0000F0B60000}"/>
    <cellStyle name="汇总 2 3 2 2 3 3" xfId="46833" xr:uid="{00000000-0005-0000-0000-0000F1B60000}"/>
    <cellStyle name="汇总 2 3 2 2 3 3 2" xfId="46834" xr:uid="{00000000-0005-0000-0000-0000F2B60000}"/>
    <cellStyle name="汇总 2 3 2 2 4" xfId="46835" xr:uid="{00000000-0005-0000-0000-0000F3B60000}"/>
    <cellStyle name="汇总 2 3 2 2 5" xfId="46836" xr:uid="{00000000-0005-0000-0000-0000F4B60000}"/>
    <cellStyle name="汇总 2 3 2 2 6" xfId="46837" xr:uid="{00000000-0005-0000-0000-0000F5B60000}"/>
    <cellStyle name="汇总 2 3 2 3" xfId="46838" xr:uid="{00000000-0005-0000-0000-0000F6B60000}"/>
    <cellStyle name="汇总 2 3 2 3 2" xfId="46839" xr:uid="{00000000-0005-0000-0000-0000F7B60000}"/>
    <cellStyle name="汇总 2 3 2 3 3" xfId="46840" xr:uid="{00000000-0005-0000-0000-0000F8B60000}"/>
    <cellStyle name="汇总 2 3 2 3 3 2" xfId="46841" xr:uid="{00000000-0005-0000-0000-0000F9B60000}"/>
    <cellStyle name="汇总 2 3 2 3 3 2 2" xfId="46842" xr:uid="{00000000-0005-0000-0000-0000FAB60000}"/>
    <cellStyle name="汇总 2 3 2 3 4" xfId="46843" xr:uid="{00000000-0005-0000-0000-0000FBB60000}"/>
    <cellStyle name="汇总 2 3 2 3 4 2" xfId="46844" xr:uid="{00000000-0005-0000-0000-0000FCB60000}"/>
    <cellStyle name="汇总 2 3 2 4" xfId="46845" xr:uid="{00000000-0005-0000-0000-0000FDB60000}"/>
    <cellStyle name="汇总 2 3 2 4 2" xfId="46846" xr:uid="{00000000-0005-0000-0000-0000FEB60000}"/>
    <cellStyle name="汇总 2 3 2 4 2 2" xfId="46847" xr:uid="{00000000-0005-0000-0000-0000FFB60000}"/>
    <cellStyle name="汇总 2 3 2 4 2 2 2" xfId="46848" xr:uid="{00000000-0005-0000-0000-000000B70000}"/>
    <cellStyle name="汇总 2 3 2 4 3" xfId="46849" xr:uid="{00000000-0005-0000-0000-000001B70000}"/>
    <cellStyle name="汇总 2 3 2 4 3 2" xfId="46850" xr:uid="{00000000-0005-0000-0000-000002B70000}"/>
    <cellStyle name="汇总 2 3 2 5" xfId="46851" xr:uid="{00000000-0005-0000-0000-000003B70000}"/>
    <cellStyle name="汇总 2 3 2 6" xfId="46852" xr:uid="{00000000-0005-0000-0000-000004B70000}"/>
    <cellStyle name="汇总 2 3 2 7" xfId="46853" xr:uid="{00000000-0005-0000-0000-000005B70000}"/>
    <cellStyle name="汇总 2 3 3" xfId="46854" xr:uid="{00000000-0005-0000-0000-000006B70000}"/>
    <cellStyle name="汇总 2 3 3 2" xfId="46855" xr:uid="{00000000-0005-0000-0000-000007B70000}"/>
    <cellStyle name="汇总 2 3 3 2 2" xfId="46856" xr:uid="{00000000-0005-0000-0000-000008B70000}"/>
    <cellStyle name="汇总 2 3 3 2 3" xfId="46857" xr:uid="{00000000-0005-0000-0000-000009B70000}"/>
    <cellStyle name="汇总 2 3 3 2 3 2" xfId="46858" xr:uid="{00000000-0005-0000-0000-00000AB70000}"/>
    <cellStyle name="汇总 2 3 3 2 3 2 2" xfId="46859" xr:uid="{00000000-0005-0000-0000-00000BB70000}"/>
    <cellStyle name="汇总 2 3 3 2 4" xfId="46860" xr:uid="{00000000-0005-0000-0000-00000CB70000}"/>
    <cellStyle name="汇总 2 3 3 2 4 2" xfId="46861" xr:uid="{00000000-0005-0000-0000-00000DB70000}"/>
    <cellStyle name="汇总 2 3 3 3" xfId="46862" xr:uid="{00000000-0005-0000-0000-00000EB70000}"/>
    <cellStyle name="汇总 2 3 3 3 2" xfId="46863" xr:uid="{00000000-0005-0000-0000-00000FB70000}"/>
    <cellStyle name="汇总 2 3 3 3 2 2" xfId="46864" xr:uid="{00000000-0005-0000-0000-000010B70000}"/>
    <cellStyle name="汇总 2 3 3 3 2 2 2" xfId="46865" xr:uid="{00000000-0005-0000-0000-000011B70000}"/>
    <cellStyle name="汇总 2 3 3 3 3" xfId="46866" xr:uid="{00000000-0005-0000-0000-000012B70000}"/>
    <cellStyle name="汇总 2 3 3 3 3 2" xfId="46867" xr:uid="{00000000-0005-0000-0000-000013B70000}"/>
    <cellStyle name="汇总 2 3 3 4" xfId="46868" xr:uid="{00000000-0005-0000-0000-000014B70000}"/>
    <cellStyle name="汇总 2 3 3 5" xfId="46869" xr:uid="{00000000-0005-0000-0000-000015B70000}"/>
    <cellStyle name="汇总 2 3 3 6" xfId="46870" xr:uid="{00000000-0005-0000-0000-000016B70000}"/>
    <cellStyle name="汇总 2 3 4" xfId="46871" xr:uid="{00000000-0005-0000-0000-000017B70000}"/>
    <cellStyle name="汇总 2 3 4 2" xfId="46872" xr:uid="{00000000-0005-0000-0000-000018B70000}"/>
    <cellStyle name="汇总 2 3 4 2 2" xfId="46873" xr:uid="{00000000-0005-0000-0000-000019B70000}"/>
    <cellStyle name="汇总 2 3 4 2 3" xfId="46874" xr:uid="{00000000-0005-0000-0000-00001AB70000}"/>
    <cellStyle name="汇总 2 3 4 2 3 2" xfId="46875" xr:uid="{00000000-0005-0000-0000-00001BB70000}"/>
    <cellStyle name="汇总 2 3 4 2 3 2 2" xfId="46876" xr:uid="{00000000-0005-0000-0000-00001CB70000}"/>
    <cellStyle name="汇总 2 3 4 2 4" xfId="46877" xr:uid="{00000000-0005-0000-0000-00001DB70000}"/>
    <cellStyle name="汇总 2 3 4 2 4 2" xfId="46878" xr:uid="{00000000-0005-0000-0000-00001EB70000}"/>
    <cellStyle name="汇总 2 3 4 3" xfId="46879" xr:uid="{00000000-0005-0000-0000-00001FB70000}"/>
    <cellStyle name="汇总 2 3 4 4" xfId="46880" xr:uid="{00000000-0005-0000-0000-000020B70000}"/>
    <cellStyle name="汇总 2 3 4 5" xfId="46881" xr:uid="{00000000-0005-0000-0000-000021B70000}"/>
    <cellStyle name="汇总 2 3 4 6" xfId="46882" xr:uid="{00000000-0005-0000-0000-000022B70000}"/>
    <cellStyle name="汇总 2 3 5" xfId="46883" xr:uid="{00000000-0005-0000-0000-000023B70000}"/>
    <cellStyle name="汇总 2 3 5 2" xfId="46884" xr:uid="{00000000-0005-0000-0000-000024B70000}"/>
    <cellStyle name="汇总 2 3 5 2 2" xfId="46885" xr:uid="{00000000-0005-0000-0000-000025B70000}"/>
    <cellStyle name="汇总 2 3 5 2 2 2" xfId="46886" xr:uid="{00000000-0005-0000-0000-000026B70000}"/>
    <cellStyle name="汇总 2 3 5 2 2 2 2" xfId="46887" xr:uid="{00000000-0005-0000-0000-000027B70000}"/>
    <cellStyle name="汇总 2 3 5 2 3" xfId="46888" xr:uid="{00000000-0005-0000-0000-000028B70000}"/>
    <cellStyle name="汇总 2 3 5 2 3 2" xfId="46889" xr:uid="{00000000-0005-0000-0000-000029B70000}"/>
    <cellStyle name="汇总 2 3 5 3" xfId="46890" xr:uid="{00000000-0005-0000-0000-00002AB70000}"/>
    <cellStyle name="汇总 2 3 5 3 2" xfId="46891" xr:uid="{00000000-0005-0000-0000-00002BB70000}"/>
    <cellStyle name="汇总 2 3 5 3 2 2" xfId="46892" xr:uid="{00000000-0005-0000-0000-00002CB70000}"/>
    <cellStyle name="汇总 2 3 5 4" xfId="46893" xr:uid="{00000000-0005-0000-0000-00002DB70000}"/>
    <cellStyle name="汇总 2 3 5 4 2" xfId="46894" xr:uid="{00000000-0005-0000-0000-00002EB70000}"/>
    <cellStyle name="汇总 2 3 6" xfId="46895" xr:uid="{00000000-0005-0000-0000-00002FB70000}"/>
    <cellStyle name="汇总 2 3 6 2" xfId="46896" xr:uid="{00000000-0005-0000-0000-000030B70000}"/>
    <cellStyle name="汇总 2 3 6 2 2" xfId="46897" xr:uid="{00000000-0005-0000-0000-000031B70000}"/>
    <cellStyle name="汇总 2 3 6 2 2 2" xfId="46898" xr:uid="{00000000-0005-0000-0000-000032B70000}"/>
    <cellStyle name="汇总 2 3 6 3" xfId="46899" xr:uid="{00000000-0005-0000-0000-000033B70000}"/>
    <cellStyle name="汇总 2 3 6 3 2" xfId="46900" xr:uid="{00000000-0005-0000-0000-000034B70000}"/>
    <cellStyle name="汇总 2 3 7" xfId="46901" xr:uid="{00000000-0005-0000-0000-000035B70000}"/>
    <cellStyle name="汇总 2 3 7 2" xfId="46902" xr:uid="{00000000-0005-0000-0000-000036B70000}"/>
    <cellStyle name="汇总 2 3 7 2 2" xfId="46903" xr:uid="{00000000-0005-0000-0000-000037B70000}"/>
    <cellStyle name="汇总 2 3 7 2 2 2" xfId="46904" xr:uid="{00000000-0005-0000-0000-000038B70000}"/>
    <cellStyle name="汇总 2 3 7 3" xfId="46905" xr:uid="{00000000-0005-0000-0000-000039B70000}"/>
    <cellStyle name="汇总 2 3 7 3 2" xfId="46906" xr:uid="{00000000-0005-0000-0000-00003AB70000}"/>
    <cellStyle name="汇总 2 3 8" xfId="46907" xr:uid="{00000000-0005-0000-0000-00003BB70000}"/>
    <cellStyle name="汇总 2 3 9" xfId="46908" xr:uid="{00000000-0005-0000-0000-00003CB70000}"/>
    <cellStyle name="汇总 2 4" xfId="46909" xr:uid="{00000000-0005-0000-0000-00003DB70000}"/>
    <cellStyle name="汇总 2 4 2" xfId="46910" xr:uid="{00000000-0005-0000-0000-00003EB70000}"/>
    <cellStyle name="汇总 2 4 2 2" xfId="46911" xr:uid="{00000000-0005-0000-0000-00003FB70000}"/>
    <cellStyle name="汇总 2 4 2 3" xfId="46912" xr:uid="{00000000-0005-0000-0000-000040B70000}"/>
    <cellStyle name="汇总 2 4 2 3 2" xfId="46913" xr:uid="{00000000-0005-0000-0000-000041B70000}"/>
    <cellStyle name="汇总 2 4 2 3 2 2" xfId="46914" xr:uid="{00000000-0005-0000-0000-000042B70000}"/>
    <cellStyle name="汇总 2 4 2 4" xfId="46915" xr:uid="{00000000-0005-0000-0000-000043B70000}"/>
    <cellStyle name="汇总 2 4 2 4 2" xfId="46916" xr:uid="{00000000-0005-0000-0000-000044B70000}"/>
    <cellStyle name="汇总 2 4 3" xfId="46917" xr:uid="{00000000-0005-0000-0000-000045B70000}"/>
    <cellStyle name="汇总 2 4 3 2" xfId="46918" xr:uid="{00000000-0005-0000-0000-000046B70000}"/>
    <cellStyle name="汇总 2 4 3 2 2" xfId="46919" xr:uid="{00000000-0005-0000-0000-000047B70000}"/>
    <cellStyle name="汇总 2 4 3 2 2 2" xfId="46920" xr:uid="{00000000-0005-0000-0000-000048B70000}"/>
    <cellStyle name="汇总 2 4 3 3" xfId="46921" xr:uid="{00000000-0005-0000-0000-000049B70000}"/>
    <cellStyle name="汇总 2 4 3 3 2" xfId="46922" xr:uid="{00000000-0005-0000-0000-00004AB70000}"/>
    <cellStyle name="汇总 2 4 4" xfId="46923" xr:uid="{00000000-0005-0000-0000-00004BB70000}"/>
    <cellStyle name="汇总 2 4 5" xfId="46924" xr:uid="{00000000-0005-0000-0000-00004CB70000}"/>
    <cellStyle name="汇总 2 4 6" xfId="46925" xr:uid="{00000000-0005-0000-0000-00004DB70000}"/>
    <cellStyle name="汇总 2 5" xfId="46926" xr:uid="{00000000-0005-0000-0000-00004EB70000}"/>
    <cellStyle name="汇总 2 5 2" xfId="46927" xr:uid="{00000000-0005-0000-0000-00004FB70000}"/>
    <cellStyle name="汇总 2 5 2 2" xfId="46928" xr:uid="{00000000-0005-0000-0000-000050B70000}"/>
    <cellStyle name="汇总 2 5 2 3" xfId="46929" xr:uid="{00000000-0005-0000-0000-000051B70000}"/>
    <cellStyle name="汇总 2 5 2 3 2" xfId="46930" xr:uid="{00000000-0005-0000-0000-000052B70000}"/>
    <cellStyle name="汇总 2 5 2 3 2 2" xfId="46931" xr:uid="{00000000-0005-0000-0000-000053B70000}"/>
    <cellStyle name="汇总 2 5 2 4" xfId="46932" xr:uid="{00000000-0005-0000-0000-000054B70000}"/>
    <cellStyle name="汇总 2 5 2 4 2" xfId="46933" xr:uid="{00000000-0005-0000-0000-000055B70000}"/>
    <cellStyle name="汇总 2 5 3" xfId="46934" xr:uid="{00000000-0005-0000-0000-000056B70000}"/>
    <cellStyle name="汇总 2 5 4" xfId="46935" xr:uid="{00000000-0005-0000-0000-000057B70000}"/>
    <cellStyle name="汇总 2 5 5" xfId="46936" xr:uid="{00000000-0005-0000-0000-000058B70000}"/>
    <cellStyle name="汇总 2 5 6" xfId="46937" xr:uid="{00000000-0005-0000-0000-000059B70000}"/>
    <cellStyle name="汇总 2 6" xfId="46938" xr:uid="{00000000-0005-0000-0000-00005AB70000}"/>
    <cellStyle name="汇总 2 6 2" xfId="46939" xr:uid="{00000000-0005-0000-0000-00005BB70000}"/>
    <cellStyle name="汇总 2 6 2 2" xfId="46940" xr:uid="{00000000-0005-0000-0000-00005CB70000}"/>
    <cellStyle name="汇总 2 6 2 2 2" xfId="46941" xr:uid="{00000000-0005-0000-0000-00005DB70000}"/>
    <cellStyle name="汇总 2 6 2 2 2 2" xfId="46942" xr:uid="{00000000-0005-0000-0000-00005EB70000}"/>
    <cellStyle name="汇总 2 6 2 3" xfId="46943" xr:uid="{00000000-0005-0000-0000-00005FB70000}"/>
    <cellStyle name="汇总 2 6 2 3 2" xfId="46944" xr:uid="{00000000-0005-0000-0000-000060B70000}"/>
    <cellStyle name="汇总 2 6 3" xfId="46945" xr:uid="{00000000-0005-0000-0000-000061B70000}"/>
    <cellStyle name="汇总 2 6 3 2" xfId="46946" xr:uid="{00000000-0005-0000-0000-000062B70000}"/>
    <cellStyle name="汇总 2 6 3 2 2" xfId="46947" xr:uid="{00000000-0005-0000-0000-000063B70000}"/>
    <cellStyle name="汇总 2 6 4" xfId="46948" xr:uid="{00000000-0005-0000-0000-000064B70000}"/>
    <cellStyle name="汇总 2 6 4 2" xfId="46949" xr:uid="{00000000-0005-0000-0000-000065B70000}"/>
    <cellStyle name="汇总 2 7" xfId="46950" xr:uid="{00000000-0005-0000-0000-000066B70000}"/>
    <cellStyle name="汇总 2 7 2" xfId="46951" xr:uid="{00000000-0005-0000-0000-000067B70000}"/>
    <cellStyle name="汇总 2 7 2 2" xfId="46952" xr:uid="{00000000-0005-0000-0000-000068B70000}"/>
    <cellStyle name="汇总 2 7 2 2 2" xfId="46953" xr:uid="{00000000-0005-0000-0000-000069B70000}"/>
    <cellStyle name="汇总 2 7 2 2 2 2" xfId="46954" xr:uid="{00000000-0005-0000-0000-00006AB70000}"/>
    <cellStyle name="汇总 2 7 2 3" xfId="46955" xr:uid="{00000000-0005-0000-0000-00006BB70000}"/>
    <cellStyle name="汇总 2 7 2 3 2" xfId="46956" xr:uid="{00000000-0005-0000-0000-00006CB70000}"/>
    <cellStyle name="汇总 2 7 3" xfId="46957" xr:uid="{00000000-0005-0000-0000-00006DB70000}"/>
    <cellStyle name="汇总 2 7 3 2" xfId="46958" xr:uid="{00000000-0005-0000-0000-00006EB70000}"/>
    <cellStyle name="汇总 2 7 3 2 2" xfId="46959" xr:uid="{00000000-0005-0000-0000-00006FB70000}"/>
    <cellStyle name="汇总 2 7 4" xfId="46960" xr:uid="{00000000-0005-0000-0000-000070B70000}"/>
    <cellStyle name="汇总 2 7 4 2" xfId="46961" xr:uid="{00000000-0005-0000-0000-000071B70000}"/>
    <cellStyle name="汇总 2 8" xfId="46962" xr:uid="{00000000-0005-0000-0000-000072B70000}"/>
    <cellStyle name="汇总 2 8 2" xfId="46963" xr:uid="{00000000-0005-0000-0000-000073B70000}"/>
    <cellStyle name="汇总 2 8 2 2" xfId="46964" xr:uid="{00000000-0005-0000-0000-000074B70000}"/>
    <cellStyle name="汇总 2 8 2 2 2" xfId="46965" xr:uid="{00000000-0005-0000-0000-000075B70000}"/>
    <cellStyle name="汇总 2 8 2 2 2 2" xfId="46966" xr:uid="{00000000-0005-0000-0000-000076B70000}"/>
    <cellStyle name="汇总 2 8 2 3" xfId="46967" xr:uid="{00000000-0005-0000-0000-000077B70000}"/>
    <cellStyle name="汇总 2 8 2 3 2" xfId="46968" xr:uid="{00000000-0005-0000-0000-000078B70000}"/>
    <cellStyle name="汇总 2 8 3" xfId="46969" xr:uid="{00000000-0005-0000-0000-000079B70000}"/>
    <cellStyle name="汇总 2 8 3 2" xfId="46970" xr:uid="{00000000-0005-0000-0000-00007AB70000}"/>
    <cellStyle name="汇总 2 8 3 2 2" xfId="46971" xr:uid="{00000000-0005-0000-0000-00007BB70000}"/>
    <cellStyle name="汇总 2 8 4" xfId="46972" xr:uid="{00000000-0005-0000-0000-00007CB70000}"/>
    <cellStyle name="汇总 2 8 4 2" xfId="46973" xr:uid="{00000000-0005-0000-0000-00007DB70000}"/>
    <cellStyle name="汇总 2 9" xfId="46974" xr:uid="{00000000-0005-0000-0000-00007EB70000}"/>
    <cellStyle name="汇总 2 9 2" xfId="46975" xr:uid="{00000000-0005-0000-0000-00007FB70000}"/>
    <cellStyle name="汇总 2 9 2 2" xfId="46976" xr:uid="{00000000-0005-0000-0000-000080B70000}"/>
    <cellStyle name="汇总 2 9 2 2 2" xfId="46977" xr:uid="{00000000-0005-0000-0000-000081B70000}"/>
    <cellStyle name="汇总 2 9 3" xfId="46978" xr:uid="{00000000-0005-0000-0000-000082B70000}"/>
    <cellStyle name="汇总 2 9 3 2" xfId="46979" xr:uid="{00000000-0005-0000-0000-000083B70000}"/>
    <cellStyle name="汇总 3" xfId="46980" xr:uid="{00000000-0005-0000-0000-000084B70000}"/>
    <cellStyle name="汇总 3 2" xfId="46981" xr:uid="{00000000-0005-0000-0000-000085B70000}"/>
    <cellStyle name="汇总 3 2 2" xfId="46982" xr:uid="{00000000-0005-0000-0000-000086B70000}"/>
    <cellStyle name="汇总 3 2 2 2" xfId="46983" xr:uid="{00000000-0005-0000-0000-000087B70000}"/>
    <cellStyle name="汇总 3 2 2 2 2" xfId="46984" xr:uid="{00000000-0005-0000-0000-000088B70000}"/>
    <cellStyle name="汇总 3 2 2 2 3" xfId="46985" xr:uid="{00000000-0005-0000-0000-000089B70000}"/>
    <cellStyle name="汇总 3 2 2 2 3 2" xfId="46986" xr:uid="{00000000-0005-0000-0000-00008AB70000}"/>
    <cellStyle name="汇总 3 2 2 2 3 2 2" xfId="46987" xr:uid="{00000000-0005-0000-0000-00008BB70000}"/>
    <cellStyle name="汇总 3 2 2 2 4" xfId="46988" xr:uid="{00000000-0005-0000-0000-00008CB70000}"/>
    <cellStyle name="汇总 3 2 2 2 4 2" xfId="46989" xr:uid="{00000000-0005-0000-0000-00008DB70000}"/>
    <cellStyle name="汇总 3 2 2 3" xfId="46990" xr:uid="{00000000-0005-0000-0000-00008EB70000}"/>
    <cellStyle name="汇总 3 2 2 3 2" xfId="46991" xr:uid="{00000000-0005-0000-0000-00008FB70000}"/>
    <cellStyle name="汇总 3 2 2 3 2 2" xfId="46992" xr:uid="{00000000-0005-0000-0000-000090B70000}"/>
    <cellStyle name="汇总 3 2 2 3 2 2 2" xfId="46993" xr:uid="{00000000-0005-0000-0000-000091B70000}"/>
    <cellStyle name="汇总 3 2 2 3 3" xfId="46994" xr:uid="{00000000-0005-0000-0000-000092B70000}"/>
    <cellStyle name="汇总 3 2 2 3 3 2" xfId="46995" xr:uid="{00000000-0005-0000-0000-000093B70000}"/>
    <cellStyle name="汇总 3 2 2 4" xfId="46996" xr:uid="{00000000-0005-0000-0000-000094B70000}"/>
    <cellStyle name="汇总 3 2 2 5" xfId="46997" xr:uid="{00000000-0005-0000-0000-000095B70000}"/>
    <cellStyle name="汇总 3 2 2 6" xfId="46998" xr:uid="{00000000-0005-0000-0000-000096B70000}"/>
    <cellStyle name="汇总 3 2 3" xfId="46999" xr:uid="{00000000-0005-0000-0000-000097B70000}"/>
    <cellStyle name="汇总 3 2 3 2" xfId="47000" xr:uid="{00000000-0005-0000-0000-000098B70000}"/>
    <cellStyle name="汇总 3 2 3 3" xfId="47001" xr:uid="{00000000-0005-0000-0000-000099B70000}"/>
    <cellStyle name="汇总 3 2 3 3 2" xfId="47002" xr:uid="{00000000-0005-0000-0000-00009AB70000}"/>
    <cellStyle name="汇总 3 2 3 3 2 2" xfId="47003" xr:uid="{00000000-0005-0000-0000-00009BB70000}"/>
    <cellStyle name="汇总 3 2 3 4" xfId="47004" xr:uid="{00000000-0005-0000-0000-00009CB70000}"/>
    <cellStyle name="汇总 3 2 3 4 2" xfId="47005" xr:uid="{00000000-0005-0000-0000-00009DB70000}"/>
    <cellStyle name="汇总 3 2 4" xfId="47006" xr:uid="{00000000-0005-0000-0000-00009EB70000}"/>
    <cellStyle name="汇总 3 2 4 2" xfId="47007" xr:uid="{00000000-0005-0000-0000-00009FB70000}"/>
    <cellStyle name="汇总 3 2 4 2 2" xfId="47008" xr:uid="{00000000-0005-0000-0000-0000A0B70000}"/>
    <cellStyle name="汇总 3 2 4 2 2 2" xfId="47009" xr:uid="{00000000-0005-0000-0000-0000A1B70000}"/>
    <cellStyle name="汇总 3 2 4 3" xfId="47010" xr:uid="{00000000-0005-0000-0000-0000A2B70000}"/>
    <cellStyle name="汇总 3 2 4 3 2" xfId="47011" xr:uid="{00000000-0005-0000-0000-0000A3B70000}"/>
    <cellStyle name="汇总 3 2 5" xfId="47012" xr:uid="{00000000-0005-0000-0000-0000A4B70000}"/>
    <cellStyle name="汇总 3 2 6" xfId="47013" xr:uid="{00000000-0005-0000-0000-0000A5B70000}"/>
    <cellStyle name="汇总 3 2 7" xfId="47014" xr:uid="{00000000-0005-0000-0000-0000A6B70000}"/>
    <cellStyle name="汇总 3 3" xfId="47015" xr:uid="{00000000-0005-0000-0000-0000A7B70000}"/>
    <cellStyle name="汇总 3 3 2" xfId="47016" xr:uid="{00000000-0005-0000-0000-0000A8B70000}"/>
    <cellStyle name="汇总 3 3 2 2" xfId="47017" xr:uid="{00000000-0005-0000-0000-0000A9B70000}"/>
    <cellStyle name="汇总 3 3 2 3" xfId="47018" xr:uid="{00000000-0005-0000-0000-0000AAB70000}"/>
    <cellStyle name="汇总 3 3 2 3 2" xfId="47019" xr:uid="{00000000-0005-0000-0000-0000ABB70000}"/>
    <cellStyle name="汇总 3 3 2 3 2 2" xfId="47020" xr:uid="{00000000-0005-0000-0000-0000ACB70000}"/>
    <cellStyle name="汇总 3 3 2 4" xfId="47021" xr:uid="{00000000-0005-0000-0000-0000ADB70000}"/>
    <cellStyle name="汇总 3 3 2 4 2" xfId="47022" xr:uid="{00000000-0005-0000-0000-0000AEB70000}"/>
    <cellStyle name="汇总 3 3 3" xfId="47023" xr:uid="{00000000-0005-0000-0000-0000AFB70000}"/>
    <cellStyle name="汇总 3 3 3 2" xfId="47024" xr:uid="{00000000-0005-0000-0000-0000B0B70000}"/>
    <cellStyle name="汇总 3 3 3 2 2" xfId="47025" xr:uid="{00000000-0005-0000-0000-0000B1B70000}"/>
    <cellStyle name="汇总 3 3 3 2 2 2" xfId="47026" xr:uid="{00000000-0005-0000-0000-0000B2B70000}"/>
    <cellStyle name="汇总 3 3 3 3" xfId="47027" xr:uid="{00000000-0005-0000-0000-0000B3B70000}"/>
    <cellStyle name="汇总 3 3 3 3 2" xfId="47028" xr:uid="{00000000-0005-0000-0000-0000B4B70000}"/>
    <cellStyle name="汇总 3 3 4" xfId="47029" xr:uid="{00000000-0005-0000-0000-0000B5B70000}"/>
    <cellStyle name="汇总 3 3 5" xfId="47030" xr:uid="{00000000-0005-0000-0000-0000B6B70000}"/>
    <cellStyle name="汇总 3 3 6" xfId="47031" xr:uid="{00000000-0005-0000-0000-0000B7B70000}"/>
    <cellStyle name="汇总 3 4" xfId="47032" xr:uid="{00000000-0005-0000-0000-0000B8B70000}"/>
    <cellStyle name="汇总 3 4 2" xfId="47033" xr:uid="{00000000-0005-0000-0000-0000B9B70000}"/>
    <cellStyle name="汇总 3 4 2 2" xfId="47034" xr:uid="{00000000-0005-0000-0000-0000BAB70000}"/>
    <cellStyle name="汇总 3 4 2 3" xfId="47035" xr:uid="{00000000-0005-0000-0000-0000BBB70000}"/>
    <cellStyle name="汇总 3 4 2 3 2" xfId="47036" xr:uid="{00000000-0005-0000-0000-0000BCB70000}"/>
    <cellStyle name="汇总 3 4 2 3 2 2" xfId="47037" xr:uid="{00000000-0005-0000-0000-0000BDB70000}"/>
    <cellStyle name="汇总 3 4 2 4" xfId="47038" xr:uid="{00000000-0005-0000-0000-0000BEB70000}"/>
    <cellStyle name="汇总 3 4 2 4 2" xfId="47039" xr:uid="{00000000-0005-0000-0000-0000BFB70000}"/>
    <cellStyle name="汇总 3 4 3" xfId="47040" xr:uid="{00000000-0005-0000-0000-0000C0B70000}"/>
    <cellStyle name="汇总 3 4 4" xfId="47041" xr:uid="{00000000-0005-0000-0000-0000C1B70000}"/>
    <cellStyle name="汇总 3 4 5" xfId="47042" xr:uid="{00000000-0005-0000-0000-0000C2B70000}"/>
    <cellStyle name="汇总 3 4 6" xfId="47043" xr:uid="{00000000-0005-0000-0000-0000C3B70000}"/>
    <cellStyle name="汇总 3 5" xfId="47044" xr:uid="{00000000-0005-0000-0000-0000C4B70000}"/>
    <cellStyle name="汇总 3 5 2" xfId="47045" xr:uid="{00000000-0005-0000-0000-0000C5B70000}"/>
    <cellStyle name="汇总 3 5 2 2" xfId="47046" xr:uid="{00000000-0005-0000-0000-0000C6B70000}"/>
    <cellStyle name="汇总 3 5 2 2 2" xfId="47047" xr:uid="{00000000-0005-0000-0000-0000C7B70000}"/>
    <cellStyle name="汇总 3 5 2 2 2 2" xfId="47048" xr:uid="{00000000-0005-0000-0000-0000C8B70000}"/>
    <cellStyle name="汇总 3 5 2 3" xfId="47049" xr:uid="{00000000-0005-0000-0000-0000C9B70000}"/>
    <cellStyle name="汇总 3 5 2 3 2" xfId="47050" xr:uid="{00000000-0005-0000-0000-0000CAB70000}"/>
    <cellStyle name="汇总 3 5 3" xfId="47051" xr:uid="{00000000-0005-0000-0000-0000CBB70000}"/>
    <cellStyle name="汇总 3 5 3 2" xfId="47052" xr:uid="{00000000-0005-0000-0000-0000CCB70000}"/>
    <cellStyle name="汇总 3 5 3 2 2" xfId="47053" xr:uid="{00000000-0005-0000-0000-0000CDB70000}"/>
    <cellStyle name="汇总 3 5 4" xfId="47054" xr:uid="{00000000-0005-0000-0000-0000CEB70000}"/>
    <cellStyle name="汇总 3 5 4 2" xfId="47055" xr:uid="{00000000-0005-0000-0000-0000CFB70000}"/>
    <cellStyle name="汇总 3 6" xfId="47056" xr:uid="{00000000-0005-0000-0000-0000D0B70000}"/>
    <cellStyle name="汇总 3 6 2" xfId="47057" xr:uid="{00000000-0005-0000-0000-0000D1B70000}"/>
    <cellStyle name="汇总 3 6 2 2" xfId="47058" xr:uid="{00000000-0005-0000-0000-0000D2B70000}"/>
    <cellStyle name="汇总 3 6 2 2 2" xfId="47059" xr:uid="{00000000-0005-0000-0000-0000D3B70000}"/>
    <cellStyle name="汇总 3 6 3" xfId="47060" xr:uid="{00000000-0005-0000-0000-0000D4B70000}"/>
    <cellStyle name="汇总 3 6 3 2" xfId="47061" xr:uid="{00000000-0005-0000-0000-0000D5B70000}"/>
    <cellStyle name="汇总 3 7" xfId="47062" xr:uid="{00000000-0005-0000-0000-0000D6B70000}"/>
    <cellStyle name="汇总 3 8" xfId="47063" xr:uid="{00000000-0005-0000-0000-0000D7B70000}"/>
    <cellStyle name="注释 2" xfId="47064" xr:uid="{00000000-0005-0000-0000-0000D8B70000}"/>
    <cellStyle name="注释 2 10" xfId="47065" xr:uid="{00000000-0005-0000-0000-0000D9B70000}"/>
    <cellStyle name="注释 2 10 2" xfId="47066" xr:uid="{00000000-0005-0000-0000-0000DAB70000}"/>
    <cellStyle name="注释 2 11" xfId="47067" xr:uid="{00000000-0005-0000-0000-0000DBB70000}"/>
    <cellStyle name="注释 2 11 2" xfId="47068" xr:uid="{00000000-0005-0000-0000-0000DCB70000}"/>
    <cellStyle name="注释 2 2" xfId="47069" xr:uid="{00000000-0005-0000-0000-0000DDB70000}"/>
    <cellStyle name="注释 2 2 10" xfId="47070" xr:uid="{00000000-0005-0000-0000-0000DEB70000}"/>
    <cellStyle name="注释 2 2 10 2" xfId="47071" xr:uid="{00000000-0005-0000-0000-0000DFB70000}"/>
    <cellStyle name="注释 2 2 11" xfId="47072" xr:uid="{00000000-0005-0000-0000-0000E0B70000}"/>
    <cellStyle name="注释 2 2 11 2" xfId="47073" xr:uid="{00000000-0005-0000-0000-0000E1B70000}"/>
    <cellStyle name="注释 2 2 2" xfId="47074" xr:uid="{00000000-0005-0000-0000-0000E2B70000}"/>
    <cellStyle name="注释 2 2 2 10" xfId="47075" xr:uid="{00000000-0005-0000-0000-0000E3B70000}"/>
    <cellStyle name="注释 2 2 2 10 2" xfId="47076" xr:uid="{00000000-0005-0000-0000-0000E4B70000}"/>
    <cellStyle name="注释 2 2 2 2" xfId="47077" xr:uid="{00000000-0005-0000-0000-0000E5B70000}"/>
    <cellStyle name="注释 2 2 2 2 2" xfId="47078" xr:uid="{00000000-0005-0000-0000-0000E6B70000}"/>
    <cellStyle name="注释 2 2 2 2 2 2" xfId="47079" xr:uid="{00000000-0005-0000-0000-0000E7B70000}"/>
    <cellStyle name="注释 2 2 2 2 2 2 2" xfId="47080" xr:uid="{00000000-0005-0000-0000-0000E8B70000}"/>
    <cellStyle name="注释 2 2 2 2 2 2 3" xfId="47081" xr:uid="{00000000-0005-0000-0000-0000E9B70000}"/>
    <cellStyle name="注释 2 2 2 2 2 2 4" xfId="47082" xr:uid="{00000000-0005-0000-0000-0000EAB70000}"/>
    <cellStyle name="注释 2 2 2 2 2 2 4 2" xfId="47083" xr:uid="{00000000-0005-0000-0000-0000EBB70000}"/>
    <cellStyle name="注释 2 2 2 2 2 2 5" xfId="47084" xr:uid="{00000000-0005-0000-0000-0000ECB70000}"/>
    <cellStyle name="注释 2 2 2 2 2 2 5 2" xfId="47085" xr:uid="{00000000-0005-0000-0000-0000EDB70000}"/>
    <cellStyle name="注释 2 2 2 2 2 3" xfId="47086" xr:uid="{00000000-0005-0000-0000-0000EEB70000}"/>
    <cellStyle name="注释 2 2 2 2 2 3 2" xfId="47087" xr:uid="{00000000-0005-0000-0000-0000EFB70000}"/>
    <cellStyle name="注释 2 2 2 2 2 3 2 2" xfId="47088" xr:uid="{00000000-0005-0000-0000-0000F0B70000}"/>
    <cellStyle name="注释 2 2 2 2 2 3 2 2 2" xfId="47089" xr:uid="{00000000-0005-0000-0000-0000F1B70000}"/>
    <cellStyle name="注释 2 2 2 2 2 3 3" xfId="47090" xr:uid="{00000000-0005-0000-0000-0000F2B70000}"/>
    <cellStyle name="注释 2 2 2 2 2 3 3 2" xfId="47091" xr:uid="{00000000-0005-0000-0000-0000F3B70000}"/>
    <cellStyle name="注释 2 2 2 2 2 3 4" xfId="47092" xr:uid="{00000000-0005-0000-0000-0000F4B70000}"/>
    <cellStyle name="注释 2 2 2 2 2 3 4 2" xfId="47093" xr:uid="{00000000-0005-0000-0000-0000F5B70000}"/>
    <cellStyle name="注释 2 2 2 2 2 3 5" xfId="47094" xr:uid="{00000000-0005-0000-0000-0000F6B70000}"/>
    <cellStyle name="注释 2 2 2 2 2 4" xfId="47095" xr:uid="{00000000-0005-0000-0000-0000F7B70000}"/>
    <cellStyle name="注释 2 2 2 2 2 5" xfId="47096" xr:uid="{00000000-0005-0000-0000-0000F8B70000}"/>
    <cellStyle name="注释 2 2 2 2 2 6" xfId="47097" xr:uid="{00000000-0005-0000-0000-0000F9B70000}"/>
    <cellStyle name="注释 2 2 2 2 2 7" xfId="47098" xr:uid="{00000000-0005-0000-0000-0000FAB70000}"/>
    <cellStyle name="注释 2 2 2 2 2 7 2" xfId="47099" xr:uid="{00000000-0005-0000-0000-0000FBB70000}"/>
    <cellStyle name="注释 2 2 2 2 2 8" xfId="47100" xr:uid="{00000000-0005-0000-0000-0000FCB70000}"/>
    <cellStyle name="注释 2 2 2 2 2 8 2" xfId="47101" xr:uid="{00000000-0005-0000-0000-0000FDB70000}"/>
    <cellStyle name="注释 2 2 2 2 3" xfId="47102" xr:uid="{00000000-0005-0000-0000-0000FEB70000}"/>
    <cellStyle name="注释 2 2 2 2 3 2" xfId="47103" xr:uid="{00000000-0005-0000-0000-0000FFB70000}"/>
    <cellStyle name="注释 2 2 2 2 3 3" xfId="47104" xr:uid="{00000000-0005-0000-0000-000000B80000}"/>
    <cellStyle name="注释 2 2 2 2 3 4" xfId="47105" xr:uid="{00000000-0005-0000-0000-000001B80000}"/>
    <cellStyle name="注释 2 2 2 2 3 4 2" xfId="47106" xr:uid="{00000000-0005-0000-0000-000002B80000}"/>
    <cellStyle name="注释 2 2 2 2 3 5" xfId="47107" xr:uid="{00000000-0005-0000-0000-000003B80000}"/>
    <cellStyle name="注释 2 2 2 2 3 5 2" xfId="47108" xr:uid="{00000000-0005-0000-0000-000004B80000}"/>
    <cellStyle name="注释 2 2 2 2 4" xfId="47109" xr:uid="{00000000-0005-0000-0000-000005B80000}"/>
    <cellStyle name="注释 2 2 2 2 5" xfId="47110" xr:uid="{00000000-0005-0000-0000-000006B80000}"/>
    <cellStyle name="注释 2 2 2 2 6" xfId="47111" xr:uid="{00000000-0005-0000-0000-000007B80000}"/>
    <cellStyle name="注释 2 2 2 2 7" xfId="47112" xr:uid="{00000000-0005-0000-0000-000008B80000}"/>
    <cellStyle name="注释 2 2 2 2 8" xfId="47113" xr:uid="{00000000-0005-0000-0000-000009B80000}"/>
    <cellStyle name="注释 2 2 2 2 8 2" xfId="47114" xr:uid="{00000000-0005-0000-0000-00000AB80000}"/>
    <cellStyle name="注释 2 2 2 2 9" xfId="47115" xr:uid="{00000000-0005-0000-0000-00000BB80000}"/>
    <cellStyle name="注释 2 2 2 2 9 2" xfId="47116" xr:uid="{00000000-0005-0000-0000-00000CB80000}"/>
    <cellStyle name="注释 2 2 2 3" xfId="47117" xr:uid="{00000000-0005-0000-0000-00000DB80000}"/>
    <cellStyle name="注释 2 2 2 3 2" xfId="47118" xr:uid="{00000000-0005-0000-0000-00000EB80000}"/>
    <cellStyle name="注释 2 2 2 3 2 2" xfId="47119" xr:uid="{00000000-0005-0000-0000-00000FB80000}"/>
    <cellStyle name="注释 2 2 2 3 2 3" xfId="47120" xr:uid="{00000000-0005-0000-0000-000010B80000}"/>
    <cellStyle name="注释 2 2 2 3 2 4" xfId="47121" xr:uid="{00000000-0005-0000-0000-000011B80000}"/>
    <cellStyle name="注释 2 2 2 3 2 4 2" xfId="47122" xr:uid="{00000000-0005-0000-0000-000012B80000}"/>
    <cellStyle name="注释 2 2 2 3 2 5" xfId="47123" xr:uid="{00000000-0005-0000-0000-000013B80000}"/>
    <cellStyle name="注释 2 2 2 3 2 5 2" xfId="47124" xr:uid="{00000000-0005-0000-0000-000014B80000}"/>
    <cellStyle name="注释 2 2 2 3 3" xfId="47125" xr:uid="{00000000-0005-0000-0000-000015B80000}"/>
    <cellStyle name="注释 2 2 2 3 3 2" xfId="47126" xr:uid="{00000000-0005-0000-0000-000016B80000}"/>
    <cellStyle name="注释 2 2 2 3 3 2 2" xfId="47127" xr:uid="{00000000-0005-0000-0000-000017B80000}"/>
    <cellStyle name="注释 2 2 2 3 3 2 2 2" xfId="47128" xr:uid="{00000000-0005-0000-0000-000018B80000}"/>
    <cellStyle name="注释 2 2 2 3 3 3" xfId="47129" xr:uid="{00000000-0005-0000-0000-000019B80000}"/>
    <cellStyle name="注释 2 2 2 3 3 3 2" xfId="47130" xr:uid="{00000000-0005-0000-0000-00001AB80000}"/>
    <cellStyle name="注释 2 2 2 3 3 4" xfId="47131" xr:uid="{00000000-0005-0000-0000-00001BB80000}"/>
    <cellStyle name="注释 2 2 2 3 3 4 2" xfId="47132" xr:uid="{00000000-0005-0000-0000-00001CB80000}"/>
    <cellStyle name="注释 2 2 2 3 3 5" xfId="47133" xr:uid="{00000000-0005-0000-0000-00001DB80000}"/>
    <cellStyle name="注释 2 2 2 3 4" xfId="47134" xr:uid="{00000000-0005-0000-0000-00001EB80000}"/>
    <cellStyle name="注释 2 2 2 3 5" xfId="47135" xr:uid="{00000000-0005-0000-0000-00001FB80000}"/>
    <cellStyle name="注释 2 2 2 3 6" xfId="47136" xr:uid="{00000000-0005-0000-0000-000020B80000}"/>
    <cellStyle name="注释 2 2 2 3 7" xfId="47137" xr:uid="{00000000-0005-0000-0000-000021B80000}"/>
    <cellStyle name="注释 2 2 2 3 7 2" xfId="47138" xr:uid="{00000000-0005-0000-0000-000022B80000}"/>
    <cellStyle name="注释 2 2 2 3 8" xfId="47139" xr:uid="{00000000-0005-0000-0000-000023B80000}"/>
    <cellStyle name="注释 2 2 2 3 8 2" xfId="47140" xr:uid="{00000000-0005-0000-0000-000024B80000}"/>
    <cellStyle name="注释 2 2 2 4" xfId="47141" xr:uid="{00000000-0005-0000-0000-000025B80000}"/>
    <cellStyle name="注释 2 2 2 4 2" xfId="47142" xr:uid="{00000000-0005-0000-0000-000026B80000}"/>
    <cellStyle name="注释 2 2 2 4 3" xfId="47143" xr:uid="{00000000-0005-0000-0000-000027B80000}"/>
    <cellStyle name="注释 2 2 2 4 4" xfId="47144" xr:uid="{00000000-0005-0000-0000-000028B80000}"/>
    <cellStyle name="注释 2 2 2 4 4 2" xfId="47145" xr:uid="{00000000-0005-0000-0000-000029B80000}"/>
    <cellStyle name="注释 2 2 2 4 5" xfId="47146" xr:uid="{00000000-0005-0000-0000-00002AB80000}"/>
    <cellStyle name="注释 2 2 2 4 5 2" xfId="47147" xr:uid="{00000000-0005-0000-0000-00002BB80000}"/>
    <cellStyle name="注释 2 2 2 5" xfId="47148" xr:uid="{00000000-0005-0000-0000-00002CB80000}"/>
    <cellStyle name="注释 2 2 2 6" xfId="47149" xr:uid="{00000000-0005-0000-0000-00002DB80000}"/>
    <cellStyle name="注释 2 2 2 7" xfId="47150" xr:uid="{00000000-0005-0000-0000-00002EB80000}"/>
    <cellStyle name="注释 2 2 2 8" xfId="47151" xr:uid="{00000000-0005-0000-0000-00002FB80000}"/>
    <cellStyle name="注释 2 2 2 9" xfId="47152" xr:uid="{00000000-0005-0000-0000-000030B80000}"/>
    <cellStyle name="注释 2 2 2 9 2" xfId="47153" xr:uid="{00000000-0005-0000-0000-000031B80000}"/>
    <cellStyle name="注释 2 2 3" xfId="47154" xr:uid="{00000000-0005-0000-0000-000032B80000}"/>
    <cellStyle name="注释 2 2 3 2" xfId="47155" xr:uid="{00000000-0005-0000-0000-000033B80000}"/>
    <cellStyle name="注释 2 2 3 2 2" xfId="47156" xr:uid="{00000000-0005-0000-0000-000034B80000}"/>
    <cellStyle name="注释 2 2 3 2 3" xfId="47157" xr:uid="{00000000-0005-0000-0000-000035B80000}"/>
    <cellStyle name="注释 2 2 3 2 4" xfId="47158" xr:uid="{00000000-0005-0000-0000-000036B80000}"/>
    <cellStyle name="注释 2 2 3 2 4 2" xfId="47159" xr:uid="{00000000-0005-0000-0000-000037B80000}"/>
    <cellStyle name="注释 2 2 3 2 5" xfId="47160" xr:uid="{00000000-0005-0000-0000-000038B80000}"/>
    <cellStyle name="注释 2 2 3 2 5 2" xfId="47161" xr:uid="{00000000-0005-0000-0000-000039B80000}"/>
    <cellStyle name="注释 2 2 3 3" xfId="47162" xr:uid="{00000000-0005-0000-0000-00003AB80000}"/>
    <cellStyle name="注释 2 2 3 3 2" xfId="47163" xr:uid="{00000000-0005-0000-0000-00003BB80000}"/>
    <cellStyle name="注释 2 2 3 3 2 2" xfId="47164" xr:uid="{00000000-0005-0000-0000-00003CB80000}"/>
    <cellStyle name="注释 2 2 3 3 2 2 2" xfId="47165" xr:uid="{00000000-0005-0000-0000-00003DB80000}"/>
    <cellStyle name="注释 2 2 3 3 3" xfId="47166" xr:uid="{00000000-0005-0000-0000-00003EB80000}"/>
    <cellStyle name="注释 2 2 3 3 3 2" xfId="47167" xr:uid="{00000000-0005-0000-0000-00003FB80000}"/>
    <cellStyle name="注释 2 2 3 3 4" xfId="47168" xr:uid="{00000000-0005-0000-0000-000040B80000}"/>
    <cellStyle name="注释 2 2 3 3 4 2" xfId="47169" xr:uid="{00000000-0005-0000-0000-000041B80000}"/>
    <cellStyle name="注释 2 2 3 3 5" xfId="47170" xr:uid="{00000000-0005-0000-0000-000042B80000}"/>
    <cellStyle name="注释 2 2 3 4" xfId="47171" xr:uid="{00000000-0005-0000-0000-000043B80000}"/>
    <cellStyle name="注释 2 2 3 5" xfId="47172" xr:uid="{00000000-0005-0000-0000-000044B80000}"/>
    <cellStyle name="注释 2 2 3 6" xfId="47173" xr:uid="{00000000-0005-0000-0000-000045B80000}"/>
    <cellStyle name="注释 2 2 3 7" xfId="47174" xr:uid="{00000000-0005-0000-0000-000046B80000}"/>
    <cellStyle name="注释 2 2 3 7 2" xfId="47175" xr:uid="{00000000-0005-0000-0000-000047B80000}"/>
    <cellStyle name="注释 2 2 3 8" xfId="47176" xr:uid="{00000000-0005-0000-0000-000048B80000}"/>
    <cellStyle name="注释 2 2 3 8 2" xfId="47177" xr:uid="{00000000-0005-0000-0000-000049B80000}"/>
    <cellStyle name="注释 2 2 4" xfId="47178" xr:uid="{00000000-0005-0000-0000-00004AB80000}"/>
    <cellStyle name="注释 2 2 4 2" xfId="47179" xr:uid="{00000000-0005-0000-0000-00004BB80000}"/>
    <cellStyle name="注释 2 2 4 2 2" xfId="47180" xr:uid="{00000000-0005-0000-0000-00004CB80000}"/>
    <cellStyle name="注释 2 2 4 2 3" xfId="47181" xr:uid="{00000000-0005-0000-0000-00004DB80000}"/>
    <cellStyle name="注释 2 2 4 2 4" xfId="47182" xr:uid="{00000000-0005-0000-0000-00004EB80000}"/>
    <cellStyle name="注释 2 2 4 2 4 2" xfId="47183" xr:uid="{00000000-0005-0000-0000-00004FB80000}"/>
    <cellStyle name="注释 2 2 4 2 5" xfId="47184" xr:uid="{00000000-0005-0000-0000-000050B80000}"/>
    <cellStyle name="注释 2 2 4 2 5 2" xfId="47185" xr:uid="{00000000-0005-0000-0000-000051B80000}"/>
    <cellStyle name="注释 2 2 4 3" xfId="47186" xr:uid="{00000000-0005-0000-0000-000052B80000}"/>
    <cellStyle name="注释 2 2 4 4" xfId="47187" xr:uid="{00000000-0005-0000-0000-000053B80000}"/>
    <cellStyle name="注释 2 2 4 5" xfId="47188" xr:uid="{00000000-0005-0000-0000-000054B80000}"/>
    <cellStyle name="注释 2 2 4 6" xfId="47189" xr:uid="{00000000-0005-0000-0000-000055B80000}"/>
    <cellStyle name="注释 2 2 4 7" xfId="47190" xr:uid="{00000000-0005-0000-0000-000056B80000}"/>
    <cellStyle name="注释 2 2 4 7 2" xfId="47191" xr:uid="{00000000-0005-0000-0000-000057B80000}"/>
    <cellStyle name="注释 2 2 4 8" xfId="47192" xr:uid="{00000000-0005-0000-0000-000058B80000}"/>
    <cellStyle name="注释 2 2 4 8 2" xfId="47193" xr:uid="{00000000-0005-0000-0000-000059B80000}"/>
    <cellStyle name="注释 2 2 5" xfId="47194" xr:uid="{00000000-0005-0000-0000-00005AB80000}"/>
    <cellStyle name="注释 2 2 5 2" xfId="47195" xr:uid="{00000000-0005-0000-0000-00005BB80000}"/>
    <cellStyle name="注释 2 2 5 2 2" xfId="47196" xr:uid="{00000000-0005-0000-0000-00005CB80000}"/>
    <cellStyle name="注释 2 2 5 2 2 2" xfId="47197" xr:uid="{00000000-0005-0000-0000-00005DB80000}"/>
    <cellStyle name="注释 2 2 5 2 2 2 2" xfId="47198" xr:uid="{00000000-0005-0000-0000-00005EB80000}"/>
    <cellStyle name="注释 2 2 5 2 3" xfId="47199" xr:uid="{00000000-0005-0000-0000-00005FB80000}"/>
    <cellStyle name="注释 2 2 5 2 3 2" xfId="47200" xr:uid="{00000000-0005-0000-0000-000060B80000}"/>
    <cellStyle name="注释 2 2 5 2 4" xfId="47201" xr:uid="{00000000-0005-0000-0000-000061B80000}"/>
    <cellStyle name="注释 2 2 5 2 4 2" xfId="47202" xr:uid="{00000000-0005-0000-0000-000062B80000}"/>
    <cellStyle name="注释 2 2 5 2 5" xfId="47203" xr:uid="{00000000-0005-0000-0000-000063B80000}"/>
    <cellStyle name="注释 2 2 5 3" xfId="47204" xr:uid="{00000000-0005-0000-0000-000064B80000}"/>
    <cellStyle name="注释 2 2 5 4" xfId="47205" xr:uid="{00000000-0005-0000-0000-000065B80000}"/>
    <cellStyle name="注释 2 2 5 4 2" xfId="47206" xr:uid="{00000000-0005-0000-0000-000066B80000}"/>
    <cellStyle name="注释 2 2 5 5" xfId="47207" xr:uid="{00000000-0005-0000-0000-000067B80000}"/>
    <cellStyle name="注释 2 2 5 5 2" xfId="47208" xr:uid="{00000000-0005-0000-0000-000068B80000}"/>
    <cellStyle name="注释 2 2 6" xfId="47209" xr:uid="{00000000-0005-0000-0000-000069B80000}"/>
    <cellStyle name="注释 2 2 6 2" xfId="47210" xr:uid="{00000000-0005-0000-0000-00006AB80000}"/>
    <cellStyle name="注释 2 2 6 2 2" xfId="47211" xr:uid="{00000000-0005-0000-0000-00006BB80000}"/>
    <cellStyle name="注释 2 2 6 2 2 2" xfId="47212" xr:uid="{00000000-0005-0000-0000-00006CB80000}"/>
    <cellStyle name="注释 2 2 6 2 2 2 2" xfId="47213" xr:uid="{00000000-0005-0000-0000-00006DB80000}"/>
    <cellStyle name="注释 2 2 6 2 3" xfId="47214" xr:uid="{00000000-0005-0000-0000-00006EB80000}"/>
    <cellStyle name="注释 2 2 6 2 3 2" xfId="47215" xr:uid="{00000000-0005-0000-0000-00006FB80000}"/>
    <cellStyle name="注释 2 2 6 2 4" xfId="47216" xr:uid="{00000000-0005-0000-0000-000070B80000}"/>
    <cellStyle name="注释 2 2 6 2 4 2" xfId="47217" xr:uid="{00000000-0005-0000-0000-000071B80000}"/>
    <cellStyle name="注释 2 2 6 2 5" xfId="47218" xr:uid="{00000000-0005-0000-0000-000072B80000}"/>
    <cellStyle name="注释 2 2 6 3" xfId="47219" xr:uid="{00000000-0005-0000-0000-000073B80000}"/>
    <cellStyle name="注释 2 2 6 3 2" xfId="47220" xr:uid="{00000000-0005-0000-0000-000074B80000}"/>
    <cellStyle name="注释 2 2 6 3 2 2" xfId="47221" xr:uid="{00000000-0005-0000-0000-000075B80000}"/>
    <cellStyle name="注释 2 2 6 4" xfId="47222" xr:uid="{00000000-0005-0000-0000-000076B80000}"/>
    <cellStyle name="注释 2 2 6 4 2" xfId="47223" xr:uid="{00000000-0005-0000-0000-000077B80000}"/>
    <cellStyle name="注释 2 2 6 5" xfId="47224" xr:uid="{00000000-0005-0000-0000-000078B80000}"/>
    <cellStyle name="注释 2 2 6 5 2" xfId="47225" xr:uid="{00000000-0005-0000-0000-000079B80000}"/>
    <cellStyle name="注释 2 2 6 6" xfId="47226" xr:uid="{00000000-0005-0000-0000-00007AB80000}"/>
    <cellStyle name="注释 2 2 7" xfId="47227" xr:uid="{00000000-0005-0000-0000-00007BB80000}"/>
    <cellStyle name="注释 2 2 7 2" xfId="47228" xr:uid="{00000000-0005-0000-0000-00007CB80000}"/>
    <cellStyle name="注释 2 2 7 2 2" xfId="47229" xr:uid="{00000000-0005-0000-0000-00007DB80000}"/>
    <cellStyle name="注释 2 2 7 2 2 2" xfId="47230" xr:uid="{00000000-0005-0000-0000-00007EB80000}"/>
    <cellStyle name="注释 2 2 7 2 2 2 2" xfId="47231" xr:uid="{00000000-0005-0000-0000-00007FB80000}"/>
    <cellStyle name="注释 2 2 7 2 3" xfId="47232" xr:uid="{00000000-0005-0000-0000-000080B80000}"/>
    <cellStyle name="注释 2 2 7 2 3 2" xfId="47233" xr:uid="{00000000-0005-0000-0000-000081B80000}"/>
    <cellStyle name="注释 2 2 7 2 4" xfId="47234" xr:uid="{00000000-0005-0000-0000-000082B80000}"/>
    <cellStyle name="注释 2 2 7 2 4 2" xfId="47235" xr:uid="{00000000-0005-0000-0000-000083B80000}"/>
    <cellStyle name="注释 2 2 7 2 5" xfId="47236" xr:uid="{00000000-0005-0000-0000-000084B80000}"/>
    <cellStyle name="注释 2 2 7 3" xfId="47237" xr:uid="{00000000-0005-0000-0000-000085B80000}"/>
    <cellStyle name="注释 2 2 7 3 2" xfId="47238" xr:uid="{00000000-0005-0000-0000-000086B80000}"/>
    <cellStyle name="注释 2 2 7 3 2 2" xfId="47239" xr:uid="{00000000-0005-0000-0000-000087B80000}"/>
    <cellStyle name="注释 2 2 7 4" xfId="47240" xr:uid="{00000000-0005-0000-0000-000088B80000}"/>
    <cellStyle name="注释 2 2 7 4 2" xfId="47241" xr:uid="{00000000-0005-0000-0000-000089B80000}"/>
    <cellStyle name="注释 2 2 7 5" xfId="47242" xr:uid="{00000000-0005-0000-0000-00008AB80000}"/>
    <cellStyle name="注释 2 2 7 5 2" xfId="47243" xr:uid="{00000000-0005-0000-0000-00008BB80000}"/>
    <cellStyle name="注释 2 2 7 6" xfId="47244" xr:uid="{00000000-0005-0000-0000-00008CB80000}"/>
    <cellStyle name="注释 2 2 8" xfId="47245" xr:uid="{00000000-0005-0000-0000-00008DB80000}"/>
    <cellStyle name="注释 2 2 8 2" xfId="47246" xr:uid="{00000000-0005-0000-0000-00008EB80000}"/>
    <cellStyle name="注释 2 2 8 2 2" xfId="47247" xr:uid="{00000000-0005-0000-0000-00008FB80000}"/>
    <cellStyle name="注释 2 2 8 2 2 2" xfId="47248" xr:uid="{00000000-0005-0000-0000-000090B80000}"/>
    <cellStyle name="注释 2 2 8 3" xfId="47249" xr:uid="{00000000-0005-0000-0000-000091B80000}"/>
    <cellStyle name="注释 2 2 8 3 2" xfId="47250" xr:uid="{00000000-0005-0000-0000-000092B80000}"/>
    <cellStyle name="注释 2 2 8 4" xfId="47251" xr:uid="{00000000-0005-0000-0000-000093B80000}"/>
    <cellStyle name="注释 2 2 8 4 2" xfId="47252" xr:uid="{00000000-0005-0000-0000-000094B80000}"/>
    <cellStyle name="注释 2 2 8 5" xfId="47253" xr:uid="{00000000-0005-0000-0000-000095B80000}"/>
    <cellStyle name="注释 2 2 9" xfId="47254" xr:uid="{00000000-0005-0000-0000-000096B80000}"/>
    <cellStyle name="注释 2 3" xfId="47255" xr:uid="{00000000-0005-0000-0000-000097B80000}"/>
    <cellStyle name="注释 2 3 10" xfId="47256" xr:uid="{00000000-0005-0000-0000-000098B80000}"/>
    <cellStyle name="注释 2 3 10 2" xfId="47257" xr:uid="{00000000-0005-0000-0000-000099B80000}"/>
    <cellStyle name="注释 2 3 2" xfId="47258" xr:uid="{00000000-0005-0000-0000-00009AB80000}"/>
    <cellStyle name="注释 2 3 2 10" xfId="47259" xr:uid="{00000000-0005-0000-0000-00009BB80000}"/>
    <cellStyle name="注释 2 3 2 10 2" xfId="47260" xr:uid="{00000000-0005-0000-0000-00009CB80000}"/>
    <cellStyle name="注释 2 3 2 2" xfId="47261" xr:uid="{00000000-0005-0000-0000-00009DB80000}"/>
    <cellStyle name="注释 2 3 2 2 2" xfId="47262" xr:uid="{00000000-0005-0000-0000-00009EB80000}"/>
    <cellStyle name="注释 2 3 2 2 2 2" xfId="47263" xr:uid="{00000000-0005-0000-0000-00009FB80000}"/>
    <cellStyle name="注释 2 3 2 2 2 2 2" xfId="47264" xr:uid="{00000000-0005-0000-0000-0000A0B80000}"/>
    <cellStyle name="注释 2 3 2 2 2 2 3" xfId="47265" xr:uid="{00000000-0005-0000-0000-0000A1B80000}"/>
    <cellStyle name="注释 2 3 2 2 2 2 4" xfId="47266" xr:uid="{00000000-0005-0000-0000-0000A2B80000}"/>
    <cellStyle name="注释 2 3 2 2 2 2 4 2" xfId="47267" xr:uid="{00000000-0005-0000-0000-0000A3B80000}"/>
    <cellStyle name="注释 2 3 2 2 2 2 5" xfId="47268" xr:uid="{00000000-0005-0000-0000-0000A4B80000}"/>
    <cellStyle name="注释 2 3 2 2 2 2 5 2" xfId="47269" xr:uid="{00000000-0005-0000-0000-0000A5B80000}"/>
    <cellStyle name="注释 2 3 2 2 2 3" xfId="47270" xr:uid="{00000000-0005-0000-0000-0000A6B80000}"/>
    <cellStyle name="注释 2 3 2 2 2 3 2" xfId="47271" xr:uid="{00000000-0005-0000-0000-0000A7B80000}"/>
    <cellStyle name="注释 2 3 2 2 2 3 2 2" xfId="47272" xr:uid="{00000000-0005-0000-0000-0000A8B80000}"/>
    <cellStyle name="注释 2 3 2 2 2 3 2 2 2" xfId="47273" xr:uid="{00000000-0005-0000-0000-0000A9B80000}"/>
    <cellStyle name="注释 2 3 2 2 2 3 3" xfId="47274" xr:uid="{00000000-0005-0000-0000-0000AAB80000}"/>
    <cellStyle name="注释 2 3 2 2 2 3 3 2" xfId="47275" xr:uid="{00000000-0005-0000-0000-0000ABB80000}"/>
    <cellStyle name="注释 2 3 2 2 2 3 4" xfId="47276" xr:uid="{00000000-0005-0000-0000-0000ACB80000}"/>
    <cellStyle name="注释 2 3 2 2 2 3 4 2" xfId="47277" xr:uid="{00000000-0005-0000-0000-0000ADB80000}"/>
    <cellStyle name="注释 2 3 2 2 2 3 5" xfId="47278" xr:uid="{00000000-0005-0000-0000-0000AEB80000}"/>
    <cellStyle name="注释 2 3 2 2 2 4" xfId="47279" xr:uid="{00000000-0005-0000-0000-0000AFB80000}"/>
    <cellStyle name="注释 2 3 2 2 2 5" xfId="47280" xr:uid="{00000000-0005-0000-0000-0000B0B80000}"/>
    <cellStyle name="注释 2 3 2 2 2 6" xfId="47281" xr:uid="{00000000-0005-0000-0000-0000B1B80000}"/>
    <cellStyle name="注释 2 3 2 2 2 7" xfId="47282" xr:uid="{00000000-0005-0000-0000-0000B2B80000}"/>
    <cellStyle name="注释 2 3 2 2 2 7 2" xfId="47283" xr:uid="{00000000-0005-0000-0000-0000B3B80000}"/>
    <cellStyle name="注释 2 3 2 2 2 8" xfId="47284" xr:uid="{00000000-0005-0000-0000-0000B4B80000}"/>
    <cellStyle name="注释 2 3 2 2 2 8 2" xfId="47285" xr:uid="{00000000-0005-0000-0000-0000B5B80000}"/>
    <cellStyle name="注释 2 3 2 2 3" xfId="47286" xr:uid="{00000000-0005-0000-0000-0000B6B80000}"/>
    <cellStyle name="注释 2 3 2 2 3 2" xfId="47287" xr:uid="{00000000-0005-0000-0000-0000B7B80000}"/>
    <cellStyle name="注释 2 3 2 2 3 3" xfId="47288" xr:uid="{00000000-0005-0000-0000-0000B8B80000}"/>
    <cellStyle name="注释 2 3 2 2 3 4" xfId="47289" xr:uid="{00000000-0005-0000-0000-0000B9B80000}"/>
    <cellStyle name="注释 2 3 2 2 3 4 2" xfId="47290" xr:uid="{00000000-0005-0000-0000-0000BAB80000}"/>
    <cellStyle name="注释 2 3 2 2 3 5" xfId="47291" xr:uid="{00000000-0005-0000-0000-0000BBB80000}"/>
    <cellStyle name="注释 2 3 2 2 3 5 2" xfId="47292" xr:uid="{00000000-0005-0000-0000-0000BCB80000}"/>
    <cellStyle name="注释 2 3 2 2 4" xfId="47293" xr:uid="{00000000-0005-0000-0000-0000BDB80000}"/>
    <cellStyle name="注释 2 3 2 2 5" xfId="47294" xr:uid="{00000000-0005-0000-0000-0000BEB80000}"/>
    <cellStyle name="注释 2 3 2 2 6" xfId="47295" xr:uid="{00000000-0005-0000-0000-0000BFB80000}"/>
    <cellStyle name="注释 2 3 2 2 7" xfId="47296" xr:uid="{00000000-0005-0000-0000-0000C0B80000}"/>
    <cellStyle name="注释 2 3 2 2 8" xfId="47297" xr:uid="{00000000-0005-0000-0000-0000C1B80000}"/>
    <cellStyle name="注释 2 3 2 2 8 2" xfId="47298" xr:uid="{00000000-0005-0000-0000-0000C2B80000}"/>
    <cellStyle name="注释 2 3 2 2 9" xfId="47299" xr:uid="{00000000-0005-0000-0000-0000C3B80000}"/>
    <cellStyle name="注释 2 3 2 2 9 2" xfId="47300" xr:uid="{00000000-0005-0000-0000-0000C4B80000}"/>
    <cellStyle name="注释 2 3 2 3" xfId="47301" xr:uid="{00000000-0005-0000-0000-0000C5B80000}"/>
    <cellStyle name="注释 2 3 2 3 2" xfId="47302" xr:uid="{00000000-0005-0000-0000-0000C6B80000}"/>
    <cellStyle name="注释 2 3 2 3 2 2" xfId="47303" xr:uid="{00000000-0005-0000-0000-0000C7B80000}"/>
    <cellStyle name="注释 2 3 2 3 2 3" xfId="47304" xr:uid="{00000000-0005-0000-0000-0000C8B80000}"/>
    <cellStyle name="注释 2 3 2 3 2 4" xfId="47305" xr:uid="{00000000-0005-0000-0000-0000C9B80000}"/>
    <cellStyle name="注释 2 3 2 3 2 4 2" xfId="47306" xr:uid="{00000000-0005-0000-0000-0000CAB80000}"/>
    <cellStyle name="注释 2 3 2 3 2 5" xfId="47307" xr:uid="{00000000-0005-0000-0000-0000CBB80000}"/>
    <cellStyle name="注释 2 3 2 3 2 5 2" xfId="47308" xr:uid="{00000000-0005-0000-0000-0000CCB80000}"/>
    <cellStyle name="注释 2 3 2 3 3" xfId="47309" xr:uid="{00000000-0005-0000-0000-0000CDB80000}"/>
    <cellStyle name="注释 2 3 2 3 3 2" xfId="47310" xr:uid="{00000000-0005-0000-0000-0000CEB80000}"/>
    <cellStyle name="注释 2 3 2 3 3 2 2" xfId="47311" xr:uid="{00000000-0005-0000-0000-0000CFB80000}"/>
    <cellStyle name="注释 2 3 2 3 3 2 2 2" xfId="47312" xr:uid="{00000000-0005-0000-0000-0000D0B80000}"/>
    <cellStyle name="注释 2 3 2 3 3 3" xfId="47313" xr:uid="{00000000-0005-0000-0000-0000D1B80000}"/>
    <cellStyle name="注释 2 3 2 3 3 3 2" xfId="47314" xr:uid="{00000000-0005-0000-0000-0000D2B80000}"/>
    <cellStyle name="注释 2 3 2 3 3 4" xfId="47315" xr:uid="{00000000-0005-0000-0000-0000D3B80000}"/>
    <cellStyle name="注释 2 3 2 3 3 4 2" xfId="47316" xr:uid="{00000000-0005-0000-0000-0000D4B80000}"/>
    <cellStyle name="注释 2 3 2 3 3 5" xfId="47317" xr:uid="{00000000-0005-0000-0000-0000D5B80000}"/>
    <cellStyle name="注释 2 3 2 3 4" xfId="47318" xr:uid="{00000000-0005-0000-0000-0000D6B80000}"/>
    <cellStyle name="注释 2 3 2 3 5" xfId="47319" xr:uid="{00000000-0005-0000-0000-0000D7B80000}"/>
    <cellStyle name="注释 2 3 2 3 6" xfId="47320" xr:uid="{00000000-0005-0000-0000-0000D8B80000}"/>
    <cellStyle name="注释 2 3 2 3 7" xfId="47321" xr:uid="{00000000-0005-0000-0000-0000D9B80000}"/>
    <cellStyle name="注释 2 3 2 3 7 2" xfId="47322" xr:uid="{00000000-0005-0000-0000-0000DAB80000}"/>
    <cellStyle name="注释 2 3 2 3 8" xfId="47323" xr:uid="{00000000-0005-0000-0000-0000DBB80000}"/>
    <cellStyle name="注释 2 3 2 3 8 2" xfId="47324" xr:uid="{00000000-0005-0000-0000-0000DCB80000}"/>
    <cellStyle name="注释 2 3 2 4" xfId="47325" xr:uid="{00000000-0005-0000-0000-0000DDB80000}"/>
    <cellStyle name="注释 2 3 2 4 2" xfId="47326" xr:uid="{00000000-0005-0000-0000-0000DEB80000}"/>
    <cellStyle name="注释 2 3 2 4 3" xfId="47327" xr:uid="{00000000-0005-0000-0000-0000DFB80000}"/>
    <cellStyle name="注释 2 3 2 4 4" xfId="47328" xr:uid="{00000000-0005-0000-0000-0000E0B80000}"/>
    <cellStyle name="注释 2 3 2 4 4 2" xfId="47329" xr:uid="{00000000-0005-0000-0000-0000E1B80000}"/>
    <cellStyle name="注释 2 3 2 4 5" xfId="47330" xr:uid="{00000000-0005-0000-0000-0000E2B80000}"/>
    <cellStyle name="注释 2 3 2 4 5 2" xfId="47331" xr:uid="{00000000-0005-0000-0000-0000E3B80000}"/>
    <cellStyle name="注释 2 3 2 5" xfId="47332" xr:uid="{00000000-0005-0000-0000-0000E4B80000}"/>
    <cellStyle name="注释 2 3 2 6" xfId="47333" xr:uid="{00000000-0005-0000-0000-0000E5B80000}"/>
    <cellStyle name="注释 2 3 2 7" xfId="47334" xr:uid="{00000000-0005-0000-0000-0000E6B80000}"/>
    <cellStyle name="注释 2 3 2 8" xfId="47335" xr:uid="{00000000-0005-0000-0000-0000E7B80000}"/>
    <cellStyle name="注释 2 3 2 9" xfId="47336" xr:uid="{00000000-0005-0000-0000-0000E8B80000}"/>
    <cellStyle name="注释 2 3 2 9 2" xfId="47337" xr:uid="{00000000-0005-0000-0000-0000E9B80000}"/>
    <cellStyle name="注释 2 3 3" xfId="47338" xr:uid="{00000000-0005-0000-0000-0000EAB80000}"/>
    <cellStyle name="注释 2 3 3 2" xfId="47339" xr:uid="{00000000-0005-0000-0000-0000EBB80000}"/>
    <cellStyle name="注释 2 3 3 2 2" xfId="47340" xr:uid="{00000000-0005-0000-0000-0000ECB80000}"/>
    <cellStyle name="注释 2 3 3 2 3" xfId="47341" xr:uid="{00000000-0005-0000-0000-0000EDB80000}"/>
    <cellStyle name="注释 2 3 3 2 4" xfId="47342" xr:uid="{00000000-0005-0000-0000-0000EEB80000}"/>
    <cellStyle name="注释 2 3 3 2 4 2" xfId="47343" xr:uid="{00000000-0005-0000-0000-0000EFB80000}"/>
    <cellStyle name="注释 2 3 3 2 5" xfId="47344" xr:uid="{00000000-0005-0000-0000-0000F0B80000}"/>
    <cellStyle name="注释 2 3 3 2 5 2" xfId="47345" xr:uid="{00000000-0005-0000-0000-0000F1B80000}"/>
    <cellStyle name="注释 2 3 3 3" xfId="47346" xr:uid="{00000000-0005-0000-0000-0000F2B80000}"/>
    <cellStyle name="注释 2 3 3 3 2" xfId="47347" xr:uid="{00000000-0005-0000-0000-0000F3B80000}"/>
    <cellStyle name="注释 2 3 3 3 2 2" xfId="47348" xr:uid="{00000000-0005-0000-0000-0000F4B80000}"/>
    <cellStyle name="注释 2 3 3 3 2 2 2" xfId="47349" xr:uid="{00000000-0005-0000-0000-0000F5B80000}"/>
    <cellStyle name="注释 2 3 3 3 3" xfId="47350" xr:uid="{00000000-0005-0000-0000-0000F6B80000}"/>
    <cellStyle name="注释 2 3 3 3 3 2" xfId="47351" xr:uid="{00000000-0005-0000-0000-0000F7B80000}"/>
    <cellStyle name="注释 2 3 3 3 4" xfId="47352" xr:uid="{00000000-0005-0000-0000-0000F8B80000}"/>
    <cellStyle name="注释 2 3 3 3 4 2" xfId="47353" xr:uid="{00000000-0005-0000-0000-0000F9B80000}"/>
    <cellStyle name="注释 2 3 3 3 5" xfId="47354" xr:uid="{00000000-0005-0000-0000-0000FAB80000}"/>
    <cellStyle name="注释 2 3 3 4" xfId="47355" xr:uid="{00000000-0005-0000-0000-0000FBB80000}"/>
    <cellStyle name="注释 2 3 3 5" xfId="47356" xr:uid="{00000000-0005-0000-0000-0000FCB80000}"/>
    <cellStyle name="注释 2 3 3 6" xfId="47357" xr:uid="{00000000-0005-0000-0000-0000FDB80000}"/>
    <cellStyle name="注释 2 3 3 7" xfId="47358" xr:uid="{00000000-0005-0000-0000-0000FEB80000}"/>
    <cellStyle name="注释 2 3 3 7 2" xfId="47359" xr:uid="{00000000-0005-0000-0000-0000FFB80000}"/>
    <cellStyle name="注释 2 3 3 8" xfId="47360" xr:uid="{00000000-0005-0000-0000-000000B90000}"/>
    <cellStyle name="注释 2 3 3 8 2" xfId="47361" xr:uid="{00000000-0005-0000-0000-000001B90000}"/>
    <cellStyle name="注释 2 3 4" xfId="47362" xr:uid="{00000000-0005-0000-0000-000002B90000}"/>
    <cellStyle name="注释 2 3 4 2" xfId="47363" xr:uid="{00000000-0005-0000-0000-000003B90000}"/>
    <cellStyle name="注释 2 3 4 2 2" xfId="47364" xr:uid="{00000000-0005-0000-0000-000004B90000}"/>
    <cellStyle name="注释 2 3 4 2 3" xfId="47365" xr:uid="{00000000-0005-0000-0000-000005B90000}"/>
    <cellStyle name="注释 2 3 4 2 4" xfId="47366" xr:uid="{00000000-0005-0000-0000-000006B90000}"/>
    <cellStyle name="注释 2 3 4 2 4 2" xfId="47367" xr:uid="{00000000-0005-0000-0000-000007B90000}"/>
    <cellStyle name="注释 2 3 4 2 5" xfId="47368" xr:uid="{00000000-0005-0000-0000-000008B90000}"/>
    <cellStyle name="注释 2 3 4 2 5 2" xfId="47369" xr:uid="{00000000-0005-0000-0000-000009B90000}"/>
    <cellStyle name="注释 2 3 4 3" xfId="47370" xr:uid="{00000000-0005-0000-0000-00000AB90000}"/>
    <cellStyle name="注释 2 3 4 4" xfId="47371" xr:uid="{00000000-0005-0000-0000-00000BB90000}"/>
    <cellStyle name="注释 2 3 4 5" xfId="47372" xr:uid="{00000000-0005-0000-0000-00000CB90000}"/>
    <cellStyle name="注释 2 3 4 6" xfId="47373" xr:uid="{00000000-0005-0000-0000-00000DB90000}"/>
    <cellStyle name="注释 2 3 4 7" xfId="47374" xr:uid="{00000000-0005-0000-0000-00000EB90000}"/>
    <cellStyle name="注释 2 3 4 7 2" xfId="47375" xr:uid="{00000000-0005-0000-0000-00000FB90000}"/>
    <cellStyle name="注释 2 3 4 8" xfId="47376" xr:uid="{00000000-0005-0000-0000-000010B90000}"/>
    <cellStyle name="注释 2 3 4 8 2" xfId="47377" xr:uid="{00000000-0005-0000-0000-000011B90000}"/>
    <cellStyle name="注释 2 3 5" xfId="47378" xr:uid="{00000000-0005-0000-0000-000012B90000}"/>
    <cellStyle name="注释 2 3 5 2" xfId="47379" xr:uid="{00000000-0005-0000-0000-000013B90000}"/>
    <cellStyle name="注释 2 3 5 2 2" xfId="47380" xr:uid="{00000000-0005-0000-0000-000014B90000}"/>
    <cellStyle name="注释 2 3 5 2 2 2" xfId="47381" xr:uid="{00000000-0005-0000-0000-000015B90000}"/>
    <cellStyle name="注释 2 3 5 2 2 2 2" xfId="47382" xr:uid="{00000000-0005-0000-0000-000016B90000}"/>
    <cellStyle name="注释 2 3 5 2 3" xfId="47383" xr:uid="{00000000-0005-0000-0000-000017B90000}"/>
    <cellStyle name="注释 2 3 5 2 3 2" xfId="47384" xr:uid="{00000000-0005-0000-0000-000018B90000}"/>
    <cellStyle name="注释 2 3 5 2 4" xfId="47385" xr:uid="{00000000-0005-0000-0000-000019B90000}"/>
    <cellStyle name="注释 2 3 5 2 4 2" xfId="47386" xr:uid="{00000000-0005-0000-0000-00001AB90000}"/>
    <cellStyle name="注释 2 3 5 2 5" xfId="47387" xr:uid="{00000000-0005-0000-0000-00001BB90000}"/>
    <cellStyle name="注释 2 3 5 3" xfId="47388" xr:uid="{00000000-0005-0000-0000-00001CB90000}"/>
    <cellStyle name="注释 2 3 5 4" xfId="47389" xr:uid="{00000000-0005-0000-0000-00001DB90000}"/>
    <cellStyle name="注释 2 3 5 4 2" xfId="47390" xr:uid="{00000000-0005-0000-0000-00001EB90000}"/>
    <cellStyle name="注释 2 3 5 5" xfId="47391" xr:uid="{00000000-0005-0000-0000-00001FB90000}"/>
    <cellStyle name="注释 2 3 5 5 2" xfId="47392" xr:uid="{00000000-0005-0000-0000-000020B90000}"/>
    <cellStyle name="注释 2 3 6" xfId="47393" xr:uid="{00000000-0005-0000-0000-000021B90000}"/>
    <cellStyle name="注释 2 3 6 2" xfId="47394" xr:uid="{00000000-0005-0000-0000-000022B90000}"/>
    <cellStyle name="注释 2 3 6 2 2" xfId="47395" xr:uid="{00000000-0005-0000-0000-000023B90000}"/>
    <cellStyle name="注释 2 3 6 2 2 2" xfId="47396" xr:uid="{00000000-0005-0000-0000-000024B90000}"/>
    <cellStyle name="注释 2 3 6 3" xfId="47397" xr:uid="{00000000-0005-0000-0000-000025B90000}"/>
    <cellStyle name="注释 2 3 6 3 2" xfId="47398" xr:uid="{00000000-0005-0000-0000-000026B90000}"/>
    <cellStyle name="注释 2 3 6 4" xfId="47399" xr:uid="{00000000-0005-0000-0000-000027B90000}"/>
    <cellStyle name="注释 2 3 6 4 2" xfId="47400" xr:uid="{00000000-0005-0000-0000-000028B90000}"/>
    <cellStyle name="注释 2 3 6 5" xfId="47401" xr:uid="{00000000-0005-0000-0000-000029B90000}"/>
    <cellStyle name="注释 2 3 7" xfId="47402" xr:uid="{00000000-0005-0000-0000-00002AB90000}"/>
    <cellStyle name="注释 2 3 8" xfId="47403" xr:uid="{00000000-0005-0000-0000-00002BB90000}"/>
    <cellStyle name="注释 2 3 9" xfId="47404" xr:uid="{00000000-0005-0000-0000-00002CB90000}"/>
    <cellStyle name="注释 2 3 9 2" xfId="47405" xr:uid="{00000000-0005-0000-0000-00002DB90000}"/>
    <cellStyle name="注释 2 4" xfId="47406" xr:uid="{00000000-0005-0000-0000-00002EB90000}"/>
    <cellStyle name="注释 2 4 2" xfId="47407" xr:uid="{00000000-0005-0000-0000-00002FB90000}"/>
    <cellStyle name="注释 2 4 2 2" xfId="47408" xr:uid="{00000000-0005-0000-0000-000030B90000}"/>
    <cellStyle name="注释 2 4 2 3" xfId="47409" xr:uid="{00000000-0005-0000-0000-000031B90000}"/>
    <cellStyle name="注释 2 4 2 4" xfId="47410" xr:uid="{00000000-0005-0000-0000-000032B90000}"/>
    <cellStyle name="注释 2 4 2 4 2" xfId="47411" xr:uid="{00000000-0005-0000-0000-000033B90000}"/>
    <cellStyle name="注释 2 4 2 5" xfId="47412" xr:uid="{00000000-0005-0000-0000-000034B90000}"/>
    <cellStyle name="注释 2 4 2 5 2" xfId="47413" xr:uid="{00000000-0005-0000-0000-000035B90000}"/>
    <cellStyle name="注释 2 4 3" xfId="47414" xr:uid="{00000000-0005-0000-0000-000036B90000}"/>
    <cellStyle name="注释 2 4 3 2" xfId="47415" xr:uid="{00000000-0005-0000-0000-000037B90000}"/>
    <cellStyle name="注释 2 4 3 2 2" xfId="47416" xr:uid="{00000000-0005-0000-0000-000038B90000}"/>
    <cellStyle name="注释 2 4 3 2 2 2" xfId="47417" xr:uid="{00000000-0005-0000-0000-000039B90000}"/>
    <cellStyle name="注释 2 4 3 3" xfId="47418" xr:uid="{00000000-0005-0000-0000-00003AB90000}"/>
    <cellStyle name="注释 2 4 3 3 2" xfId="47419" xr:uid="{00000000-0005-0000-0000-00003BB90000}"/>
    <cellStyle name="注释 2 4 3 4" xfId="47420" xr:uid="{00000000-0005-0000-0000-00003CB90000}"/>
    <cellStyle name="注释 2 4 3 4 2" xfId="47421" xr:uid="{00000000-0005-0000-0000-00003DB90000}"/>
    <cellStyle name="注释 2 4 3 5" xfId="47422" xr:uid="{00000000-0005-0000-0000-00003EB90000}"/>
    <cellStyle name="注释 2 4 4" xfId="47423" xr:uid="{00000000-0005-0000-0000-00003FB90000}"/>
    <cellStyle name="注释 2 4 5" xfId="47424" xr:uid="{00000000-0005-0000-0000-000040B90000}"/>
    <cellStyle name="注释 2 4 6" xfId="47425" xr:uid="{00000000-0005-0000-0000-000041B90000}"/>
    <cellStyle name="注释 2 4 7" xfId="47426" xr:uid="{00000000-0005-0000-0000-000042B90000}"/>
    <cellStyle name="注释 2 4 7 2" xfId="47427" xr:uid="{00000000-0005-0000-0000-000043B90000}"/>
    <cellStyle name="注释 2 4 8" xfId="47428" xr:uid="{00000000-0005-0000-0000-000044B90000}"/>
    <cellStyle name="注释 2 4 8 2" xfId="47429" xr:uid="{00000000-0005-0000-0000-000045B90000}"/>
    <cellStyle name="注释 2 5" xfId="47430" xr:uid="{00000000-0005-0000-0000-000046B90000}"/>
    <cellStyle name="注释 2 5 2" xfId="47431" xr:uid="{00000000-0005-0000-0000-000047B90000}"/>
    <cellStyle name="注释 2 5 2 2" xfId="47432" xr:uid="{00000000-0005-0000-0000-000048B90000}"/>
    <cellStyle name="注释 2 5 2 3" xfId="47433" xr:uid="{00000000-0005-0000-0000-000049B90000}"/>
    <cellStyle name="注释 2 5 2 4" xfId="47434" xr:uid="{00000000-0005-0000-0000-00004AB90000}"/>
    <cellStyle name="注释 2 5 2 4 2" xfId="47435" xr:uid="{00000000-0005-0000-0000-00004BB90000}"/>
    <cellStyle name="注释 2 5 2 5" xfId="47436" xr:uid="{00000000-0005-0000-0000-00004CB90000}"/>
    <cellStyle name="注释 2 5 2 5 2" xfId="47437" xr:uid="{00000000-0005-0000-0000-00004DB90000}"/>
    <cellStyle name="注释 2 5 3" xfId="47438" xr:uid="{00000000-0005-0000-0000-00004EB90000}"/>
    <cellStyle name="注释 2 5 4" xfId="47439" xr:uid="{00000000-0005-0000-0000-00004FB90000}"/>
    <cellStyle name="注释 2 5 5" xfId="47440" xr:uid="{00000000-0005-0000-0000-000050B90000}"/>
    <cellStyle name="注释 2 5 6" xfId="47441" xr:uid="{00000000-0005-0000-0000-000051B90000}"/>
    <cellStyle name="注释 2 5 7" xfId="47442" xr:uid="{00000000-0005-0000-0000-000052B90000}"/>
    <cellStyle name="注释 2 5 7 2" xfId="47443" xr:uid="{00000000-0005-0000-0000-000053B90000}"/>
    <cellStyle name="注释 2 5 8" xfId="47444" xr:uid="{00000000-0005-0000-0000-000054B90000}"/>
    <cellStyle name="注释 2 5 8 2" xfId="47445" xr:uid="{00000000-0005-0000-0000-000055B90000}"/>
    <cellStyle name="注释 2 6" xfId="47446" xr:uid="{00000000-0005-0000-0000-000056B90000}"/>
    <cellStyle name="注释 2 6 2" xfId="47447" xr:uid="{00000000-0005-0000-0000-000057B90000}"/>
    <cellStyle name="注释 2 6 2 2" xfId="47448" xr:uid="{00000000-0005-0000-0000-000058B90000}"/>
    <cellStyle name="注释 2 6 2 2 2" xfId="47449" xr:uid="{00000000-0005-0000-0000-000059B90000}"/>
    <cellStyle name="注释 2 6 2 2 2 2" xfId="47450" xr:uid="{00000000-0005-0000-0000-00005AB90000}"/>
    <cellStyle name="注释 2 6 2 3" xfId="47451" xr:uid="{00000000-0005-0000-0000-00005BB90000}"/>
    <cellStyle name="注释 2 6 2 3 2" xfId="47452" xr:uid="{00000000-0005-0000-0000-00005CB90000}"/>
    <cellStyle name="注释 2 6 2 4" xfId="47453" xr:uid="{00000000-0005-0000-0000-00005DB90000}"/>
    <cellStyle name="注释 2 6 2 4 2" xfId="47454" xr:uid="{00000000-0005-0000-0000-00005EB90000}"/>
    <cellStyle name="注释 2 6 2 5" xfId="47455" xr:uid="{00000000-0005-0000-0000-00005FB90000}"/>
    <cellStyle name="注释 2 6 3" xfId="47456" xr:uid="{00000000-0005-0000-0000-000060B90000}"/>
    <cellStyle name="注释 2 6 4" xfId="47457" xr:uid="{00000000-0005-0000-0000-000061B90000}"/>
    <cellStyle name="注释 2 6 4 2" xfId="47458" xr:uid="{00000000-0005-0000-0000-000062B90000}"/>
    <cellStyle name="注释 2 6 5" xfId="47459" xr:uid="{00000000-0005-0000-0000-000063B90000}"/>
    <cellStyle name="注释 2 6 5 2" xfId="47460" xr:uid="{00000000-0005-0000-0000-000064B90000}"/>
    <cellStyle name="注释 2 7" xfId="47461" xr:uid="{00000000-0005-0000-0000-000065B90000}"/>
    <cellStyle name="注释 2 7 2" xfId="47462" xr:uid="{00000000-0005-0000-0000-000066B90000}"/>
    <cellStyle name="注释 2 7 2 2" xfId="47463" xr:uid="{00000000-0005-0000-0000-000067B90000}"/>
    <cellStyle name="注释 2 7 2 2 2" xfId="47464" xr:uid="{00000000-0005-0000-0000-000068B90000}"/>
    <cellStyle name="注释 2 7 2 2 2 2" xfId="47465" xr:uid="{00000000-0005-0000-0000-000069B90000}"/>
    <cellStyle name="注释 2 7 2 3" xfId="47466" xr:uid="{00000000-0005-0000-0000-00006AB90000}"/>
    <cellStyle name="注释 2 7 2 3 2" xfId="47467" xr:uid="{00000000-0005-0000-0000-00006BB90000}"/>
    <cellStyle name="注释 2 7 2 4" xfId="47468" xr:uid="{00000000-0005-0000-0000-00006CB90000}"/>
    <cellStyle name="注释 2 7 2 4 2" xfId="47469" xr:uid="{00000000-0005-0000-0000-00006DB90000}"/>
    <cellStyle name="注释 2 7 2 5" xfId="47470" xr:uid="{00000000-0005-0000-0000-00006EB90000}"/>
    <cellStyle name="注释 2 7 3" xfId="47471" xr:uid="{00000000-0005-0000-0000-00006FB90000}"/>
    <cellStyle name="注释 2 7 3 2" xfId="47472" xr:uid="{00000000-0005-0000-0000-000070B90000}"/>
    <cellStyle name="注释 2 7 3 2 2" xfId="47473" xr:uid="{00000000-0005-0000-0000-000071B90000}"/>
    <cellStyle name="注释 2 7 4" xfId="47474" xr:uid="{00000000-0005-0000-0000-000072B90000}"/>
    <cellStyle name="注释 2 7 4 2" xfId="47475" xr:uid="{00000000-0005-0000-0000-000073B90000}"/>
    <cellStyle name="注释 2 7 5" xfId="47476" xr:uid="{00000000-0005-0000-0000-000074B90000}"/>
    <cellStyle name="注释 2 7 5 2" xfId="47477" xr:uid="{00000000-0005-0000-0000-000075B90000}"/>
    <cellStyle name="注释 2 7 6" xfId="47478" xr:uid="{00000000-0005-0000-0000-000076B90000}"/>
    <cellStyle name="注释 2 8" xfId="47479" xr:uid="{00000000-0005-0000-0000-000077B90000}"/>
    <cellStyle name="注释 2 8 2" xfId="47480" xr:uid="{00000000-0005-0000-0000-000078B90000}"/>
    <cellStyle name="注释 2 8 2 2" xfId="47481" xr:uid="{00000000-0005-0000-0000-000079B90000}"/>
    <cellStyle name="注释 2 8 2 2 2" xfId="47482" xr:uid="{00000000-0005-0000-0000-00007AB90000}"/>
    <cellStyle name="注释 2 8 3" xfId="47483" xr:uid="{00000000-0005-0000-0000-00007BB90000}"/>
    <cellStyle name="注释 2 8 3 2" xfId="47484" xr:uid="{00000000-0005-0000-0000-00007CB90000}"/>
    <cellStyle name="注释 2 8 4" xfId="47485" xr:uid="{00000000-0005-0000-0000-00007DB90000}"/>
    <cellStyle name="注释 2 8 4 2" xfId="47486" xr:uid="{00000000-0005-0000-0000-00007EB90000}"/>
    <cellStyle name="注释 2 8 5" xfId="47487" xr:uid="{00000000-0005-0000-0000-00007FB90000}"/>
    <cellStyle name="注释 2 9" xfId="47488" xr:uid="{00000000-0005-0000-0000-000080B90000}"/>
    <cellStyle name="注释 3" xfId="47489" xr:uid="{00000000-0005-0000-0000-000081B90000}"/>
    <cellStyle name="注释 3 10" xfId="47490" xr:uid="{00000000-0005-0000-0000-000082B90000}"/>
    <cellStyle name="注释 3 10 2" xfId="47491" xr:uid="{00000000-0005-0000-0000-000083B90000}"/>
    <cellStyle name="注释 3 2" xfId="47492" xr:uid="{00000000-0005-0000-0000-000084B90000}"/>
    <cellStyle name="注释 3 2 10" xfId="47493" xr:uid="{00000000-0005-0000-0000-000085B90000}"/>
    <cellStyle name="注释 3 2 10 2" xfId="47494" xr:uid="{00000000-0005-0000-0000-000086B90000}"/>
    <cellStyle name="注释 3 2 2" xfId="47495" xr:uid="{00000000-0005-0000-0000-000087B90000}"/>
    <cellStyle name="注释 3 2 2 2" xfId="47496" xr:uid="{00000000-0005-0000-0000-000088B90000}"/>
    <cellStyle name="注释 3 2 2 2 2" xfId="47497" xr:uid="{00000000-0005-0000-0000-000089B90000}"/>
    <cellStyle name="注释 3 2 2 2 2 2" xfId="47498" xr:uid="{00000000-0005-0000-0000-00008AB90000}"/>
    <cellStyle name="注释 3 2 2 2 2 3" xfId="47499" xr:uid="{00000000-0005-0000-0000-00008BB90000}"/>
    <cellStyle name="注释 3 2 2 2 2 4" xfId="47500" xr:uid="{00000000-0005-0000-0000-00008CB90000}"/>
    <cellStyle name="注释 3 2 2 2 2 4 2" xfId="47501" xr:uid="{00000000-0005-0000-0000-00008DB90000}"/>
    <cellStyle name="注释 3 2 2 2 2 5" xfId="47502" xr:uid="{00000000-0005-0000-0000-00008EB90000}"/>
    <cellStyle name="注释 3 2 2 2 2 5 2" xfId="47503" xr:uid="{00000000-0005-0000-0000-00008FB90000}"/>
    <cellStyle name="注释 3 2 2 2 3" xfId="47504" xr:uid="{00000000-0005-0000-0000-000090B90000}"/>
    <cellStyle name="注释 3 2 2 2 3 2" xfId="47505" xr:uid="{00000000-0005-0000-0000-000091B90000}"/>
    <cellStyle name="注释 3 2 2 2 3 2 2" xfId="47506" xr:uid="{00000000-0005-0000-0000-000092B90000}"/>
    <cellStyle name="注释 3 2 2 2 3 2 2 2" xfId="47507" xr:uid="{00000000-0005-0000-0000-000093B90000}"/>
    <cellStyle name="注释 3 2 2 2 3 3" xfId="47508" xr:uid="{00000000-0005-0000-0000-000094B90000}"/>
    <cellStyle name="注释 3 2 2 2 3 3 2" xfId="47509" xr:uid="{00000000-0005-0000-0000-000095B90000}"/>
    <cellStyle name="注释 3 2 2 2 3 4" xfId="47510" xr:uid="{00000000-0005-0000-0000-000096B90000}"/>
    <cellStyle name="注释 3 2 2 2 3 4 2" xfId="47511" xr:uid="{00000000-0005-0000-0000-000097B90000}"/>
    <cellStyle name="注释 3 2 2 2 3 5" xfId="47512" xr:uid="{00000000-0005-0000-0000-000098B90000}"/>
    <cellStyle name="注释 3 2 2 2 4" xfId="47513" xr:uid="{00000000-0005-0000-0000-000099B90000}"/>
    <cellStyle name="注释 3 2 2 2 5" xfId="47514" xr:uid="{00000000-0005-0000-0000-00009AB90000}"/>
    <cellStyle name="注释 3 2 2 2 6" xfId="47515" xr:uid="{00000000-0005-0000-0000-00009BB90000}"/>
    <cellStyle name="注释 3 2 2 2 7" xfId="47516" xr:uid="{00000000-0005-0000-0000-00009CB90000}"/>
    <cellStyle name="注释 3 2 2 2 7 2" xfId="47517" xr:uid="{00000000-0005-0000-0000-00009DB90000}"/>
    <cellStyle name="注释 3 2 2 2 8" xfId="47518" xr:uid="{00000000-0005-0000-0000-00009EB90000}"/>
    <cellStyle name="注释 3 2 2 2 8 2" xfId="47519" xr:uid="{00000000-0005-0000-0000-00009FB90000}"/>
    <cellStyle name="注释 3 2 2 3" xfId="47520" xr:uid="{00000000-0005-0000-0000-0000A0B90000}"/>
    <cellStyle name="注释 3 2 2 3 2" xfId="47521" xr:uid="{00000000-0005-0000-0000-0000A1B90000}"/>
    <cellStyle name="注释 3 2 2 3 3" xfId="47522" xr:uid="{00000000-0005-0000-0000-0000A2B90000}"/>
    <cellStyle name="注释 3 2 2 3 4" xfId="47523" xr:uid="{00000000-0005-0000-0000-0000A3B90000}"/>
    <cellStyle name="注释 3 2 2 3 4 2" xfId="47524" xr:uid="{00000000-0005-0000-0000-0000A4B90000}"/>
    <cellStyle name="注释 3 2 2 3 5" xfId="47525" xr:uid="{00000000-0005-0000-0000-0000A5B90000}"/>
    <cellStyle name="注释 3 2 2 3 5 2" xfId="47526" xr:uid="{00000000-0005-0000-0000-0000A6B90000}"/>
    <cellStyle name="注释 3 2 2 4" xfId="47527" xr:uid="{00000000-0005-0000-0000-0000A7B90000}"/>
    <cellStyle name="注释 3 2 2 5" xfId="47528" xr:uid="{00000000-0005-0000-0000-0000A8B90000}"/>
    <cellStyle name="注释 3 2 2 6" xfId="47529" xr:uid="{00000000-0005-0000-0000-0000A9B90000}"/>
    <cellStyle name="注释 3 2 2 7" xfId="47530" xr:uid="{00000000-0005-0000-0000-0000AAB90000}"/>
    <cellStyle name="注释 3 2 2 8" xfId="47531" xr:uid="{00000000-0005-0000-0000-0000ABB90000}"/>
    <cellStyle name="注释 3 2 2 8 2" xfId="47532" xr:uid="{00000000-0005-0000-0000-0000ACB90000}"/>
    <cellStyle name="注释 3 2 2 9" xfId="47533" xr:uid="{00000000-0005-0000-0000-0000ADB90000}"/>
    <cellStyle name="注释 3 2 2 9 2" xfId="47534" xr:uid="{00000000-0005-0000-0000-0000AEB90000}"/>
    <cellStyle name="注释 3 2 3" xfId="47535" xr:uid="{00000000-0005-0000-0000-0000AFB90000}"/>
    <cellStyle name="注释 3 2 3 2" xfId="47536" xr:uid="{00000000-0005-0000-0000-0000B0B90000}"/>
    <cellStyle name="注释 3 2 3 2 2" xfId="47537" xr:uid="{00000000-0005-0000-0000-0000B1B90000}"/>
    <cellStyle name="注释 3 2 3 2 3" xfId="47538" xr:uid="{00000000-0005-0000-0000-0000B2B90000}"/>
    <cellStyle name="注释 3 2 3 2 4" xfId="47539" xr:uid="{00000000-0005-0000-0000-0000B3B90000}"/>
    <cellStyle name="注释 3 2 3 2 4 2" xfId="47540" xr:uid="{00000000-0005-0000-0000-0000B4B90000}"/>
    <cellStyle name="注释 3 2 3 2 5" xfId="47541" xr:uid="{00000000-0005-0000-0000-0000B5B90000}"/>
    <cellStyle name="注释 3 2 3 2 5 2" xfId="47542" xr:uid="{00000000-0005-0000-0000-0000B6B90000}"/>
    <cellStyle name="注释 3 2 3 3" xfId="47543" xr:uid="{00000000-0005-0000-0000-0000B7B90000}"/>
    <cellStyle name="注释 3 2 3 3 2" xfId="47544" xr:uid="{00000000-0005-0000-0000-0000B8B90000}"/>
    <cellStyle name="注释 3 2 3 3 2 2" xfId="47545" xr:uid="{00000000-0005-0000-0000-0000B9B90000}"/>
    <cellStyle name="注释 3 2 3 3 2 2 2" xfId="47546" xr:uid="{00000000-0005-0000-0000-0000BAB90000}"/>
    <cellStyle name="注释 3 2 3 3 3" xfId="47547" xr:uid="{00000000-0005-0000-0000-0000BBB90000}"/>
    <cellStyle name="注释 3 2 3 3 3 2" xfId="47548" xr:uid="{00000000-0005-0000-0000-0000BCB90000}"/>
    <cellStyle name="注释 3 2 3 3 4" xfId="47549" xr:uid="{00000000-0005-0000-0000-0000BDB90000}"/>
    <cellStyle name="注释 3 2 3 3 4 2" xfId="47550" xr:uid="{00000000-0005-0000-0000-0000BEB90000}"/>
    <cellStyle name="注释 3 2 3 3 5" xfId="47551" xr:uid="{00000000-0005-0000-0000-0000BFB90000}"/>
    <cellStyle name="注释 3 2 3 4" xfId="47552" xr:uid="{00000000-0005-0000-0000-0000C0B90000}"/>
    <cellStyle name="注释 3 2 3 5" xfId="47553" xr:uid="{00000000-0005-0000-0000-0000C1B90000}"/>
    <cellStyle name="注释 3 2 3 6" xfId="47554" xr:uid="{00000000-0005-0000-0000-0000C2B90000}"/>
    <cellStyle name="注释 3 2 3 7" xfId="47555" xr:uid="{00000000-0005-0000-0000-0000C3B90000}"/>
    <cellStyle name="注释 3 2 3 7 2" xfId="47556" xr:uid="{00000000-0005-0000-0000-0000C4B90000}"/>
    <cellStyle name="注释 3 2 3 8" xfId="47557" xr:uid="{00000000-0005-0000-0000-0000C5B90000}"/>
    <cellStyle name="注释 3 2 3 8 2" xfId="47558" xr:uid="{00000000-0005-0000-0000-0000C6B90000}"/>
    <cellStyle name="注释 3 2 4" xfId="47559" xr:uid="{00000000-0005-0000-0000-0000C7B90000}"/>
    <cellStyle name="注释 3 2 4 2" xfId="47560" xr:uid="{00000000-0005-0000-0000-0000C8B90000}"/>
    <cellStyle name="注释 3 2 4 3" xfId="47561" xr:uid="{00000000-0005-0000-0000-0000C9B90000}"/>
    <cellStyle name="注释 3 2 4 4" xfId="47562" xr:uid="{00000000-0005-0000-0000-0000CAB90000}"/>
    <cellStyle name="注释 3 2 4 4 2" xfId="47563" xr:uid="{00000000-0005-0000-0000-0000CBB90000}"/>
    <cellStyle name="注释 3 2 4 5" xfId="47564" xr:uid="{00000000-0005-0000-0000-0000CCB90000}"/>
    <cellStyle name="注释 3 2 4 5 2" xfId="47565" xr:uid="{00000000-0005-0000-0000-0000CDB90000}"/>
    <cellStyle name="注释 3 2 5" xfId="47566" xr:uid="{00000000-0005-0000-0000-0000CEB90000}"/>
    <cellStyle name="注释 3 2 6" xfId="47567" xr:uid="{00000000-0005-0000-0000-0000CFB90000}"/>
    <cellStyle name="注释 3 2 7" xfId="47568" xr:uid="{00000000-0005-0000-0000-0000D0B90000}"/>
    <cellStyle name="注释 3 2 8" xfId="47569" xr:uid="{00000000-0005-0000-0000-0000D1B90000}"/>
    <cellStyle name="注释 3 2 9" xfId="47570" xr:uid="{00000000-0005-0000-0000-0000D2B90000}"/>
    <cellStyle name="注释 3 2 9 2" xfId="47571" xr:uid="{00000000-0005-0000-0000-0000D3B90000}"/>
    <cellStyle name="注释 3 3" xfId="47572" xr:uid="{00000000-0005-0000-0000-0000D4B90000}"/>
    <cellStyle name="注释 3 3 2" xfId="47573" xr:uid="{00000000-0005-0000-0000-0000D5B90000}"/>
    <cellStyle name="注释 3 3 2 2" xfId="47574" xr:uid="{00000000-0005-0000-0000-0000D6B90000}"/>
    <cellStyle name="注释 3 3 2 3" xfId="47575" xr:uid="{00000000-0005-0000-0000-0000D7B90000}"/>
    <cellStyle name="注释 3 3 2 4" xfId="47576" xr:uid="{00000000-0005-0000-0000-0000D8B90000}"/>
    <cellStyle name="注释 3 3 2 4 2" xfId="47577" xr:uid="{00000000-0005-0000-0000-0000D9B90000}"/>
    <cellStyle name="注释 3 3 2 5" xfId="47578" xr:uid="{00000000-0005-0000-0000-0000DAB90000}"/>
    <cellStyle name="注释 3 3 2 5 2" xfId="47579" xr:uid="{00000000-0005-0000-0000-0000DBB90000}"/>
    <cellStyle name="注释 3 3 3" xfId="47580" xr:uid="{00000000-0005-0000-0000-0000DCB90000}"/>
    <cellStyle name="注释 3 3 3 2" xfId="47581" xr:uid="{00000000-0005-0000-0000-0000DDB90000}"/>
    <cellStyle name="注释 3 3 3 2 2" xfId="47582" xr:uid="{00000000-0005-0000-0000-0000DEB90000}"/>
    <cellStyle name="注释 3 3 3 2 2 2" xfId="47583" xr:uid="{00000000-0005-0000-0000-0000DFB90000}"/>
    <cellStyle name="注释 3 3 3 3" xfId="47584" xr:uid="{00000000-0005-0000-0000-0000E0B90000}"/>
    <cellStyle name="注释 3 3 3 3 2" xfId="47585" xr:uid="{00000000-0005-0000-0000-0000E1B90000}"/>
    <cellStyle name="注释 3 3 3 4" xfId="47586" xr:uid="{00000000-0005-0000-0000-0000E2B90000}"/>
    <cellStyle name="注释 3 3 3 4 2" xfId="47587" xr:uid="{00000000-0005-0000-0000-0000E3B90000}"/>
    <cellStyle name="注释 3 3 3 5" xfId="47588" xr:uid="{00000000-0005-0000-0000-0000E4B90000}"/>
    <cellStyle name="注释 3 3 4" xfId="47589" xr:uid="{00000000-0005-0000-0000-0000E5B90000}"/>
    <cellStyle name="注释 3 3 5" xfId="47590" xr:uid="{00000000-0005-0000-0000-0000E6B90000}"/>
    <cellStyle name="注释 3 3 6" xfId="47591" xr:uid="{00000000-0005-0000-0000-0000E7B90000}"/>
    <cellStyle name="注释 3 3 7" xfId="47592" xr:uid="{00000000-0005-0000-0000-0000E8B90000}"/>
    <cellStyle name="注释 3 3 7 2" xfId="47593" xr:uid="{00000000-0005-0000-0000-0000E9B90000}"/>
    <cellStyle name="注释 3 3 8" xfId="47594" xr:uid="{00000000-0005-0000-0000-0000EAB90000}"/>
    <cellStyle name="注释 3 3 8 2" xfId="47595" xr:uid="{00000000-0005-0000-0000-0000EBB90000}"/>
    <cellStyle name="注释 3 4" xfId="47596" xr:uid="{00000000-0005-0000-0000-0000ECB90000}"/>
    <cellStyle name="注释 3 4 2" xfId="47597" xr:uid="{00000000-0005-0000-0000-0000EDB90000}"/>
    <cellStyle name="注释 3 4 2 2" xfId="47598" xr:uid="{00000000-0005-0000-0000-0000EEB90000}"/>
    <cellStyle name="注释 3 4 2 3" xfId="47599" xr:uid="{00000000-0005-0000-0000-0000EFB90000}"/>
    <cellStyle name="注释 3 4 2 4" xfId="47600" xr:uid="{00000000-0005-0000-0000-0000F0B90000}"/>
    <cellStyle name="注释 3 4 2 4 2" xfId="47601" xr:uid="{00000000-0005-0000-0000-0000F1B90000}"/>
    <cellStyle name="注释 3 4 2 5" xfId="47602" xr:uid="{00000000-0005-0000-0000-0000F2B90000}"/>
    <cellStyle name="注释 3 4 2 5 2" xfId="47603" xr:uid="{00000000-0005-0000-0000-0000F3B90000}"/>
    <cellStyle name="注释 3 4 3" xfId="47604" xr:uid="{00000000-0005-0000-0000-0000F4B90000}"/>
    <cellStyle name="注释 3 4 4" xfId="47605" xr:uid="{00000000-0005-0000-0000-0000F5B90000}"/>
    <cellStyle name="注释 3 4 5" xfId="47606" xr:uid="{00000000-0005-0000-0000-0000F6B90000}"/>
    <cellStyle name="注释 3 4 6" xfId="47607" xr:uid="{00000000-0005-0000-0000-0000F7B90000}"/>
    <cellStyle name="注释 3 4 7" xfId="47608" xr:uid="{00000000-0005-0000-0000-0000F8B90000}"/>
    <cellStyle name="注释 3 4 7 2" xfId="47609" xr:uid="{00000000-0005-0000-0000-0000F9B90000}"/>
    <cellStyle name="注释 3 4 8" xfId="47610" xr:uid="{00000000-0005-0000-0000-0000FAB90000}"/>
    <cellStyle name="注释 3 4 8 2" xfId="47611" xr:uid="{00000000-0005-0000-0000-0000FBB90000}"/>
    <cellStyle name="注释 3 5" xfId="47612" xr:uid="{00000000-0005-0000-0000-0000FCB90000}"/>
    <cellStyle name="注释 3 5 2" xfId="47613" xr:uid="{00000000-0005-0000-0000-0000FDB90000}"/>
    <cellStyle name="注释 3 5 2 2" xfId="47614" xr:uid="{00000000-0005-0000-0000-0000FEB90000}"/>
    <cellStyle name="注释 3 5 2 2 2" xfId="47615" xr:uid="{00000000-0005-0000-0000-0000FFB90000}"/>
    <cellStyle name="注释 3 5 2 2 2 2" xfId="47616" xr:uid="{00000000-0005-0000-0000-000000BA0000}"/>
    <cellStyle name="注释 3 5 2 3" xfId="47617" xr:uid="{00000000-0005-0000-0000-000001BA0000}"/>
    <cellStyle name="注释 3 5 2 3 2" xfId="47618" xr:uid="{00000000-0005-0000-0000-000002BA0000}"/>
    <cellStyle name="注释 3 5 2 4" xfId="47619" xr:uid="{00000000-0005-0000-0000-000003BA0000}"/>
    <cellStyle name="注释 3 5 2 4 2" xfId="47620" xr:uid="{00000000-0005-0000-0000-000004BA0000}"/>
    <cellStyle name="注释 3 5 2 5" xfId="47621" xr:uid="{00000000-0005-0000-0000-000005BA0000}"/>
    <cellStyle name="注释 3 5 3" xfId="47622" xr:uid="{00000000-0005-0000-0000-000006BA0000}"/>
    <cellStyle name="注释 3 5 4" xfId="47623" xr:uid="{00000000-0005-0000-0000-000007BA0000}"/>
    <cellStyle name="注释 3 5 4 2" xfId="47624" xr:uid="{00000000-0005-0000-0000-000008BA0000}"/>
    <cellStyle name="注释 3 5 5" xfId="47625" xr:uid="{00000000-0005-0000-0000-000009BA0000}"/>
    <cellStyle name="注释 3 5 5 2" xfId="47626" xr:uid="{00000000-0005-0000-0000-00000ABA0000}"/>
    <cellStyle name="注释 3 6" xfId="47627" xr:uid="{00000000-0005-0000-0000-00000BBA0000}"/>
    <cellStyle name="注释 3 6 2" xfId="47628" xr:uid="{00000000-0005-0000-0000-00000CBA0000}"/>
    <cellStyle name="注释 3 6 2 2" xfId="47629" xr:uid="{00000000-0005-0000-0000-00000DBA0000}"/>
    <cellStyle name="注释 3 6 2 2 2" xfId="47630" xr:uid="{00000000-0005-0000-0000-00000EBA0000}"/>
    <cellStyle name="注释 3 6 3" xfId="47631" xr:uid="{00000000-0005-0000-0000-00000FBA0000}"/>
    <cellStyle name="注释 3 6 3 2" xfId="47632" xr:uid="{00000000-0005-0000-0000-000010BA0000}"/>
    <cellStyle name="注释 3 6 4" xfId="47633" xr:uid="{00000000-0005-0000-0000-000011BA0000}"/>
    <cellStyle name="注释 3 6 4 2" xfId="47634" xr:uid="{00000000-0005-0000-0000-000012BA0000}"/>
    <cellStyle name="注释 3 6 5" xfId="47635" xr:uid="{00000000-0005-0000-0000-000013BA0000}"/>
    <cellStyle name="注释 3 7" xfId="47636" xr:uid="{00000000-0005-0000-0000-000014BA0000}"/>
    <cellStyle name="注释 3 8" xfId="47637" xr:uid="{00000000-0005-0000-0000-000015BA0000}"/>
    <cellStyle name="注释 3 9" xfId="47638" xr:uid="{00000000-0005-0000-0000-000016BA0000}"/>
    <cellStyle name="注释 3 9 2" xfId="47639" xr:uid="{00000000-0005-0000-0000-000017BA0000}"/>
    <cellStyle name="百分比 10" xfId="47640" xr:uid="{00000000-0005-0000-0000-000018BA0000}"/>
    <cellStyle name="百分比 2" xfId="47641" xr:uid="{00000000-0005-0000-0000-000019BA0000}"/>
    <cellStyle name="百分比 2 10" xfId="47642" xr:uid="{00000000-0005-0000-0000-00001ABA0000}"/>
    <cellStyle name="百分比 2 10 2" xfId="47643" xr:uid="{00000000-0005-0000-0000-00001BBA0000}"/>
    <cellStyle name="百分比 2 10 2 2" xfId="47644" xr:uid="{00000000-0005-0000-0000-00001CBA0000}"/>
    <cellStyle name="百分比 2 10 2 3" xfId="47645" xr:uid="{00000000-0005-0000-0000-00001DBA0000}"/>
    <cellStyle name="百分比 2 10 2 4" xfId="47646" xr:uid="{00000000-0005-0000-0000-00001EBA0000}"/>
    <cellStyle name="百分比 2 10 3" xfId="47647" xr:uid="{00000000-0005-0000-0000-00001FBA0000}"/>
    <cellStyle name="百分比 2 10 4" xfId="47648" xr:uid="{00000000-0005-0000-0000-000020BA0000}"/>
    <cellStyle name="百分比 2 10 5" xfId="47649" xr:uid="{00000000-0005-0000-0000-000021BA0000}"/>
    <cellStyle name="百分比 2 10 6" xfId="47650" xr:uid="{00000000-0005-0000-0000-000022BA0000}"/>
    <cellStyle name="百分比 2 11" xfId="47651" xr:uid="{00000000-0005-0000-0000-000023BA0000}"/>
    <cellStyle name="百分比 2 11 2" xfId="47652" xr:uid="{00000000-0005-0000-0000-000024BA0000}"/>
    <cellStyle name="百分比 2 11 2 2" xfId="47653" xr:uid="{00000000-0005-0000-0000-000025BA0000}"/>
    <cellStyle name="百分比 2 11 2 3" xfId="47654" xr:uid="{00000000-0005-0000-0000-000026BA0000}"/>
    <cellStyle name="百分比 2 11 2 4" xfId="47655" xr:uid="{00000000-0005-0000-0000-000027BA0000}"/>
    <cellStyle name="百分比 2 11 3" xfId="47656" xr:uid="{00000000-0005-0000-0000-000028BA0000}"/>
    <cellStyle name="百分比 2 11 4" xfId="47657" xr:uid="{00000000-0005-0000-0000-000029BA0000}"/>
    <cellStyle name="百分比 2 11 5" xfId="47658" xr:uid="{00000000-0005-0000-0000-00002ABA0000}"/>
    <cellStyle name="百分比 2 12" xfId="47659" xr:uid="{00000000-0005-0000-0000-00002BBA0000}"/>
    <cellStyle name="百分比 2 12 2" xfId="47660" xr:uid="{00000000-0005-0000-0000-00002CBA0000}"/>
    <cellStyle name="百分比 2 12 2 2" xfId="47661" xr:uid="{00000000-0005-0000-0000-00002DBA0000}"/>
    <cellStyle name="百分比 2 12 2 3" xfId="47662" xr:uid="{00000000-0005-0000-0000-00002EBA0000}"/>
    <cellStyle name="百分比 2 12 2 4" xfId="47663" xr:uid="{00000000-0005-0000-0000-00002FBA0000}"/>
    <cellStyle name="百分比 2 12 3" xfId="47664" xr:uid="{00000000-0005-0000-0000-000030BA0000}"/>
    <cellStyle name="百分比 2 12 4" xfId="47665" xr:uid="{00000000-0005-0000-0000-000031BA0000}"/>
    <cellStyle name="百分比 2 12 5" xfId="47666" xr:uid="{00000000-0005-0000-0000-000032BA0000}"/>
    <cellStyle name="百分比 2 13" xfId="47667" xr:uid="{00000000-0005-0000-0000-000033BA0000}"/>
    <cellStyle name="百分比 2 13 2" xfId="47668" xr:uid="{00000000-0005-0000-0000-000034BA0000}"/>
    <cellStyle name="百分比 2 13 3" xfId="47669" xr:uid="{00000000-0005-0000-0000-000035BA0000}"/>
    <cellStyle name="百分比 2 13 4" xfId="47670" xr:uid="{00000000-0005-0000-0000-000036BA0000}"/>
    <cellStyle name="百分比 2 14" xfId="47671" xr:uid="{00000000-0005-0000-0000-000037BA0000}"/>
    <cellStyle name="百分比 2 15" xfId="47672" xr:uid="{00000000-0005-0000-0000-000038BA0000}"/>
    <cellStyle name="百分比 2 16" xfId="47673" xr:uid="{00000000-0005-0000-0000-000039BA0000}"/>
    <cellStyle name="百分比 2 17" xfId="47674" xr:uid="{00000000-0005-0000-0000-00003ABA0000}"/>
    <cellStyle name="百分比 2 18" xfId="47675" xr:uid="{00000000-0005-0000-0000-00003BBA0000}"/>
    <cellStyle name="百分比 2 19" xfId="47676" xr:uid="{00000000-0005-0000-0000-00003CBA0000}"/>
    <cellStyle name="百分比 2 19 2" xfId="47677" xr:uid="{00000000-0005-0000-0000-00003DBA0000}"/>
    <cellStyle name="百分比 2 2" xfId="47678" xr:uid="{00000000-0005-0000-0000-00003EBA0000}"/>
    <cellStyle name="百分比 2 2 10" xfId="47679" xr:uid="{00000000-0005-0000-0000-00003FBA0000}"/>
    <cellStyle name="百分比 2 2 11" xfId="47680" xr:uid="{00000000-0005-0000-0000-000040BA0000}"/>
    <cellStyle name="百分比 2 2 2" xfId="47681" xr:uid="{00000000-0005-0000-0000-000041BA0000}"/>
    <cellStyle name="百分比 2 2 2 10" xfId="47682" xr:uid="{00000000-0005-0000-0000-000042BA0000}"/>
    <cellStyle name="百分比 2 2 2 2" xfId="47683" xr:uid="{00000000-0005-0000-0000-000043BA0000}"/>
    <cellStyle name="百分比 2 2 2 2 2" xfId="47684" xr:uid="{00000000-0005-0000-0000-000044BA0000}"/>
    <cellStyle name="百分比 2 2 2 2 2 2" xfId="47685" xr:uid="{00000000-0005-0000-0000-000045BA0000}"/>
    <cellStyle name="百分比 2 2 2 2 2 2 2" xfId="47686" xr:uid="{00000000-0005-0000-0000-000046BA0000}"/>
    <cellStyle name="百分比 2 2 2 2 2 2 3" xfId="47687" xr:uid="{00000000-0005-0000-0000-000047BA0000}"/>
    <cellStyle name="百分比 2 2 2 2 2 2 4" xfId="47688" xr:uid="{00000000-0005-0000-0000-000048BA0000}"/>
    <cellStyle name="百分比 2 2 2 2 2 3" xfId="47689" xr:uid="{00000000-0005-0000-0000-000049BA0000}"/>
    <cellStyle name="百分比 2 2 2 2 2 4" xfId="47690" xr:uid="{00000000-0005-0000-0000-00004ABA0000}"/>
    <cellStyle name="百分比 2 2 2 2 2 5" xfId="47691" xr:uid="{00000000-0005-0000-0000-00004BBA0000}"/>
    <cellStyle name="百分比 2 2 2 2 3" xfId="47692" xr:uid="{00000000-0005-0000-0000-00004CBA0000}"/>
    <cellStyle name="百分比 2 2 2 2 3 2" xfId="47693" xr:uid="{00000000-0005-0000-0000-00004DBA0000}"/>
    <cellStyle name="百分比 2 2 2 2 3 2 2" xfId="47694" xr:uid="{00000000-0005-0000-0000-00004EBA0000}"/>
    <cellStyle name="百分比 2 2 2 2 3 2 3" xfId="47695" xr:uid="{00000000-0005-0000-0000-00004FBA0000}"/>
    <cellStyle name="百分比 2 2 2 2 3 2 4" xfId="47696" xr:uid="{00000000-0005-0000-0000-000050BA0000}"/>
    <cellStyle name="百分比 2 2 2 2 3 3" xfId="47697" xr:uid="{00000000-0005-0000-0000-000051BA0000}"/>
    <cellStyle name="百分比 2 2 2 2 3 4" xfId="47698" xr:uid="{00000000-0005-0000-0000-000052BA0000}"/>
    <cellStyle name="百分比 2 2 2 2 3 5" xfId="47699" xr:uid="{00000000-0005-0000-0000-000053BA0000}"/>
    <cellStyle name="百分比 2 2 2 2 4" xfId="47700" xr:uid="{00000000-0005-0000-0000-000054BA0000}"/>
    <cellStyle name="百分比 2 2 2 2 4 2" xfId="47701" xr:uid="{00000000-0005-0000-0000-000055BA0000}"/>
    <cellStyle name="百分比 2 2 2 2 4 3" xfId="47702" xr:uid="{00000000-0005-0000-0000-000056BA0000}"/>
    <cellStyle name="百分比 2 2 2 2 4 4" xfId="47703" xr:uid="{00000000-0005-0000-0000-000057BA0000}"/>
    <cellStyle name="百分比 2 2 2 2 5" xfId="47704" xr:uid="{00000000-0005-0000-0000-000058BA0000}"/>
    <cellStyle name="百分比 2 2 2 2 6" xfId="47705" xr:uid="{00000000-0005-0000-0000-000059BA0000}"/>
    <cellStyle name="百分比 2 2 2 2 7" xfId="47706" xr:uid="{00000000-0005-0000-0000-00005ABA0000}"/>
    <cellStyle name="百分比 2 2 2 2 8" xfId="47707" xr:uid="{00000000-0005-0000-0000-00005BBA0000}"/>
    <cellStyle name="百分比 2 2 2 2 8 2" xfId="47708" xr:uid="{00000000-0005-0000-0000-00005CBA0000}"/>
    <cellStyle name="百分比 2 2 2 3" xfId="47709" xr:uid="{00000000-0005-0000-0000-00005DBA0000}"/>
    <cellStyle name="百分比 2 2 2 3 2" xfId="47710" xr:uid="{00000000-0005-0000-0000-00005EBA0000}"/>
    <cellStyle name="百分比 2 2 2 3 2 2" xfId="47711" xr:uid="{00000000-0005-0000-0000-00005FBA0000}"/>
    <cellStyle name="百分比 2 2 2 3 2 3" xfId="47712" xr:uid="{00000000-0005-0000-0000-000060BA0000}"/>
    <cellStyle name="百分比 2 2 2 3 2 4" xfId="47713" xr:uid="{00000000-0005-0000-0000-000061BA0000}"/>
    <cellStyle name="百分比 2 2 2 3 3" xfId="47714" xr:uid="{00000000-0005-0000-0000-000062BA0000}"/>
    <cellStyle name="百分比 2 2 2 3 4" xfId="47715" xr:uid="{00000000-0005-0000-0000-000063BA0000}"/>
    <cellStyle name="百分比 2 2 2 3 5" xfId="47716" xr:uid="{00000000-0005-0000-0000-000064BA0000}"/>
    <cellStyle name="百分比 2 2 2 3 6" xfId="47717" xr:uid="{00000000-0005-0000-0000-000065BA0000}"/>
    <cellStyle name="百分比 2 2 2 3 6 2" xfId="47718" xr:uid="{00000000-0005-0000-0000-000066BA0000}"/>
    <cellStyle name="百分比 2 2 2 4" xfId="47719" xr:uid="{00000000-0005-0000-0000-000067BA0000}"/>
    <cellStyle name="百分比 2 2 2 4 2" xfId="47720" xr:uid="{00000000-0005-0000-0000-000068BA0000}"/>
    <cellStyle name="百分比 2 2 2 4 2 2" xfId="47721" xr:uid="{00000000-0005-0000-0000-000069BA0000}"/>
    <cellStyle name="百分比 2 2 2 4 2 3" xfId="47722" xr:uid="{00000000-0005-0000-0000-00006ABA0000}"/>
    <cellStyle name="百分比 2 2 2 4 2 4" xfId="47723" xr:uid="{00000000-0005-0000-0000-00006BBA0000}"/>
    <cellStyle name="百分比 2 2 2 4 2 5" xfId="47724" xr:uid="{00000000-0005-0000-0000-00006CBA0000}"/>
    <cellStyle name="百分比 2 2 2 4 3" xfId="47725" xr:uid="{00000000-0005-0000-0000-00006DBA0000}"/>
    <cellStyle name="百分比 2 2 2 4 4" xfId="47726" xr:uid="{00000000-0005-0000-0000-00006EBA0000}"/>
    <cellStyle name="百分比 2 2 2 4 5" xfId="47727" xr:uid="{00000000-0005-0000-0000-00006FBA0000}"/>
    <cellStyle name="百分比 2 2 2 4 6" xfId="47728" xr:uid="{00000000-0005-0000-0000-000070BA0000}"/>
    <cellStyle name="百分比 2 2 2 5" xfId="47729" xr:uid="{00000000-0005-0000-0000-000071BA0000}"/>
    <cellStyle name="百分比 2 2 2 5 2" xfId="47730" xr:uid="{00000000-0005-0000-0000-000072BA0000}"/>
    <cellStyle name="百分比 2 2 2 5 2 2" xfId="47731" xr:uid="{00000000-0005-0000-0000-000073BA0000}"/>
    <cellStyle name="百分比 2 2 2 5 3" xfId="47732" xr:uid="{00000000-0005-0000-0000-000074BA0000}"/>
    <cellStyle name="百分比 2 2 2 5 4" xfId="47733" xr:uid="{00000000-0005-0000-0000-000075BA0000}"/>
    <cellStyle name="百分比 2 2 2 5 5" xfId="47734" xr:uid="{00000000-0005-0000-0000-000076BA0000}"/>
    <cellStyle name="百分比 2 2 2 6" xfId="47735" xr:uid="{00000000-0005-0000-0000-000077BA0000}"/>
    <cellStyle name="百分比 2 2 2 7" xfId="47736" xr:uid="{00000000-0005-0000-0000-000078BA0000}"/>
    <cellStyle name="百分比 2 2 2 8" xfId="47737" xr:uid="{00000000-0005-0000-0000-000079BA0000}"/>
    <cellStyle name="百分比 2 2 2 9" xfId="47738" xr:uid="{00000000-0005-0000-0000-00007ABA0000}"/>
    <cellStyle name="百分比 2 2 2 9 2" xfId="47739" xr:uid="{00000000-0005-0000-0000-00007BBA0000}"/>
    <cellStyle name="百分比 2 2 3" xfId="47740" xr:uid="{00000000-0005-0000-0000-00007CBA0000}"/>
    <cellStyle name="百分比 2 2 3 2" xfId="47741" xr:uid="{00000000-0005-0000-0000-00007DBA0000}"/>
    <cellStyle name="百分比 2 2 3 2 2" xfId="47742" xr:uid="{00000000-0005-0000-0000-00007EBA0000}"/>
    <cellStyle name="百分比 2 2 3 2 3" xfId="47743" xr:uid="{00000000-0005-0000-0000-00007FBA0000}"/>
    <cellStyle name="百分比 2 2 3 2 4" xfId="47744" xr:uid="{00000000-0005-0000-0000-000080BA0000}"/>
    <cellStyle name="百分比 2 2 3 3" xfId="47745" xr:uid="{00000000-0005-0000-0000-000081BA0000}"/>
    <cellStyle name="百分比 2 2 3 4" xfId="47746" xr:uid="{00000000-0005-0000-0000-000082BA0000}"/>
    <cellStyle name="百分比 2 2 3 5" xfId="47747" xr:uid="{00000000-0005-0000-0000-000083BA0000}"/>
    <cellStyle name="百分比 2 2 3 6" xfId="47748" xr:uid="{00000000-0005-0000-0000-000084BA0000}"/>
    <cellStyle name="百分比 2 2 3 6 2" xfId="47749" xr:uid="{00000000-0005-0000-0000-000085BA0000}"/>
    <cellStyle name="百分比 2 2 4" xfId="47750" xr:uid="{00000000-0005-0000-0000-000086BA0000}"/>
    <cellStyle name="百分比 2 2 4 2" xfId="47751" xr:uid="{00000000-0005-0000-0000-000087BA0000}"/>
    <cellStyle name="百分比 2 2 4 2 2" xfId="47752" xr:uid="{00000000-0005-0000-0000-000088BA0000}"/>
    <cellStyle name="百分比 2 2 4 2 3" xfId="47753" xr:uid="{00000000-0005-0000-0000-000089BA0000}"/>
    <cellStyle name="百分比 2 2 4 2 4" xfId="47754" xr:uid="{00000000-0005-0000-0000-00008ABA0000}"/>
    <cellStyle name="百分比 2 2 4 3" xfId="47755" xr:uid="{00000000-0005-0000-0000-00008BBA0000}"/>
    <cellStyle name="百分比 2 2 4 4" xfId="47756" xr:uid="{00000000-0005-0000-0000-00008CBA0000}"/>
    <cellStyle name="百分比 2 2 4 5" xfId="47757" xr:uid="{00000000-0005-0000-0000-00008DBA0000}"/>
    <cellStyle name="百分比 2 2 4 6" xfId="47758" xr:uid="{00000000-0005-0000-0000-00008EBA0000}"/>
    <cellStyle name="百分比 2 2 4 6 2" xfId="47759" xr:uid="{00000000-0005-0000-0000-00008FBA0000}"/>
    <cellStyle name="百分比 2 2 5" xfId="47760" xr:uid="{00000000-0005-0000-0000-000090BA0000}"/>
    <cellStyle name="百分比 2 2 5 2" xfId="47761" xr:uid="{00000000-0005-0000-0000-000091BA0000}"/>
    <cellStyle name="百分比 2 2 5 3" xfId="47762" xr:uid="{00000000-0005-0000-0000-000092BA0000}"/>
    <cellStyle name="百分比 2 2 5 4" xfId="47763" xr:uid="{00000000-0005-0000-0000-000093BA0000}"/>
    <cellStyle name="百分比 2 2 5 5" xfId="47764" xr:uid="{00000000-0005-0000-0000-000094BA0000}"/>
    <cellStyle name="百分比 2 2 5 5 2" xfId="47765" xr:uid="{00000000-0005-0000-0000-000095BA0000}"/>
    <cellStyle name="百分比 2 2 6" xfId="47766" xr:uid="{00000000-0005-0000-0000-000096BA0000}"/>
    <cellStyle name="百分比 2 2 6 2" xfId="47767" xr:uid="{00000000-0005-0000-0000-000097BA0000}"/>
    <cellStyle name="百分比 2 2 6 2 2" xfId="47768" xr:uid="{00000000-0005-0000-0000-000098BA0000}"/>
    <cellStyle name="百分比 2 2 7" xfId="47769" xr:uid="{00000000-0005-0000-0000-000099BA0000}"/>
    <cellStyle name="百分比 2 2 7 2" xfId="47770" xr:uid="{00000000-0005-0000-0000-00009ABA0000}"/>
    <cellStyle name="百分比 2 2 7 3" xfId="47771" xr:uid="{00000000-0005-0000-0000-00009BBA0000}"/>
    <cellStyle name="百分比 2 2 8" xfId="47772" xr:uid="{00000000-0005-0000-0000-00009CBA0000}"/>
    <cellStyle name="百分比 2 2 9" xfId="47773" xr:uid="{00000000-0005-0000-0000-00009DBA0000}"/>
    <cellStyle name="百分比 2 2 9 2" xfId="47774" xr:uid="{00000000-0005-0000-0000-00009EBA0000}"/>
    <cellStyle name="百分比 2 20" xfId="47775" xr:uid="{00000000-0005-0000-0000-00009FBA0000}"/>
    <cellStyle name="百分比 2 3" xfId="47776" xr:uid="{00000000-0005-0000-0000-0000A0BA0000}"/>
    <cellStyle name="百分比 2 3 10" xfId="47777" xr:uid="{00000000-0005-0000-0000-0000A1BA0000}"/>
    <cellStyle name="百分比 2 3 2" xfId="47778" xr:uid="{00000000-0005-0000-0000-0000A2BA0000}"/>
    <cellStyle name="百分比 2 3 2 2" xfId="47779" xr:uid="{00000000-0005-0000-0000-0000A3BA0000}"/>
    <cellStyle name="百分比 2 3 2 2 2" xfId="47780" xr:uid="{00000000-0005-0000-0000-0000A4BA0000}"/>
    <cellStyle name="百分比 2 3 2 2 2 2" xfId="47781" xr:uid="{00000000-0005-0000-0000-0000A5BA0000}"/>
    <cellStyle name="百分比 2 3 2 2 2 2 2" xfId="47782" xr:uid="{00000000-0005-0000-0000-0000A6BA0000}"/>
    <cellStyle name="百分比 2 3 2 2 2 2 3" xfId="47783" xr:uid="{00000000-0005-0000-0000-0000A7BA0000}"/>
    <cellStyle name="百分比 2 3 2 2 2 2 4" xfId="47784" xr:uid="{00000000-0005-0000-0000-0000A8BA0000}"/>
    <cellStyle name="百分比 2 3 2 2 2 3" xfId="47785" xr:uid="{00000000-0005-0000-0000-0000A9BA0000}"/>
    <cellStyle name="百分比 2 3 2 2 2 4" xfId="47786" xr:uid="{00000000-0005-0000-0000-0000AABA0000}"/>
    <cellStyle name="百分比 2 3 2 2 2 5" xfId="47787" xr:uid="{00000000-0005-0000-0000-0000ABBA0000}"/>
    <cellStyle name="百分比 2 3 2 2 3" xfId="47788" xr:uid="{00000000-0005-0000-0000-0000ACBA0000}"/>
    <cellStyle name="百分比 2 3 2 2 3 2" xfId="47789" xr:uid="{00000000-0005-0000-0000-0000ADBA0000}"/>
    <cellStyle name="百分比 2 3 2 2 3 2 2" xfId="47790" xr:uid="{00000000-0005-0000-0000-0000AEBA0000}"/>
    <cellStyle name="百分比 2 3 2 2 3 2 3" xfId="47791" xr:uid="{00000000-0005-0000-0000-0000AFBA0000}"/>
    <cellStyle name="百分比 2 3 2 2 3 2 4" xfId="47792" xr:uid="{00000000-0005-0000-0000-0000B0BA0000}"/>
    <cellStyle name="百分比 2 3 2 2 3 3" xfId="47793" xr:uid="{00000000-0005-0000-0000-0000B1BA0000}"/>
    <cellStyle name="百分比 2 3 2 2 3 4" xfId="47794" xr:uid="{00000000-0005-0000-0000-0000B2BA0000}"/>
    <cellStyle name="百分比 2 3 2 2 3 5" xfId="47795" xr:uid="{00000000-0005-0000-0000-0000B3BA0000}"/>
    <cellStyle name="百分比 2 3 2 2 4" xfId="47796" xr:uid="{00000000-0005-0000-0000-0000B4BA0000}"/>
    <cellStyle name="百分比 2 3 2 2 4 2" xfId="47797" xr:uid="{00000000-0005-0000-0000-0000B5BA0000}"/>
    <cellStyle name="百分比 2 3 2 2 4 3" xfId="47798" xr:uid="{00000000-0005-0000-0000-0000B6BA0000}"/>
    <cellStyle name="百分比 2 3 2 2 4 4" xfId="47799" xr:uid="{00000000-0005-0000-0000-0000B7BA0000}"/>
    <cellStyle name="百分比 2 3 2 2 5" xfId="47800" xr:uid="{00000000-0005-0000-0000-0000B8BA0000}"/>
    <cellStyle name="百分比 2 3 2 2 6" xfId="47801" xr:uid="{00000000-0005-0000-0000-0000B9BA0000}"/>
    <cellStyle name="百分比 2 3 2 2 7" xfId="47802" xr:uid="{00000000-0005-0000-0000-0000BABA0000}"/>
    <cellStyle name="百分比 2 3 2 3" xfId="47803" xr:uid="{00000000-0005-0000-0000-0000BBBA0000}"/>
    <cellStyle name="百分比 2 3 2 3 2" xfId="47804" xr:uid="{00000000-0005-0000-0000-0000BCBA0000}"/>
    <cellStyle name="百分比 2 3 2 3 2 2" xfId="47805" xr:uid="{00000000-0005-0000-0000-0000BDBA0000}"/>
    <cellStyle name="百分比 2 3 2 3 2 3" xfId="47806" xr:uid="{00000000-0005-0000-0000-0000BEBA0000}"/>
    <cellStyle name="百分比 2 3 2 3 2 4" xfId="47807" xr:uid="{00000000-0005-0000-0000-0000BFBA0000}"/>
    <cellStyle name="百分比 2 3 2 3 3" xfId="47808" xr:uid="{00000000-0005-0000-0000-0000C0BA0000}"/>
    <cellStyle name="百分比 2 3 2 3 4" xfId="47809" xr:uid="{00000000-0005-0000-0000-0000C1BA0000}"/>
    <cellStyle name="百分比 2 3 2 3 5" xfId="47810" xr:uid="{00000000-0005-0000-0000-0000C2BA0000}"/>
    <cellStyle name="百分比 2 3 2 4" xfId="47811" xr:uid="{00000000-0005-0000-0000-0000C3BA0000}"/>
    <cellStyle name="百分比 2 3 2 4 2" xfId="47812" xr:uid="{00000000-0005-0000-0000-0000C4BA0000}"/>
    <cellStyle name="百分比 2 3 2 4 2 2" xfId="47813" xr:uid="{00000000-0005-0000-0000-0000C5BA0000}"/>
    <cellStyle name="百分比 2 3 2 4 2 3" xfId="47814" xr:uid="{00000000-0005-0000-0000-0000C6BA0000}"/>
    <cellStyle name="百分比 2 3 2 4 2 4" xfId="47815" xr:uid="{00000000-0005-0000-0000-0000C7BA0000}"/>
    <cellStyle name="百分比 2 3 2 4 3" xfId="47816" xr:uid="{00000000-0005-0000-0000-0000C8BA0000}"/>
    <cellStyle name="百分比 2 3 2 4 4" xfId="47817" xr:uid="{00000000-0005-0000-0000-0000C9BA0000}"/>
    <cellStyle name="百分比 2 3 2 4 5" xfId="47818" xr:uid="{00000000-0005-0000-0000-0000CABA0000}"/>
    <cellStyle name="百分比 2 3 2 5" xfId="47819" xr:uid="{00000000-0005-0000-0000-0000CBBA0000}"/>
    <cellStyle name="百分比 2 3 2 5 2" xfId="47820" xr:uid="{00000000-0005-0000-0000-0000CCBA0000}"/>
    <cellStyle name="百分比 2 3 2 5 3" xfId="47821" xr:uid="{00000000-0005-0000-0000-0000CDBA0000}"/>
    <cellStyle name="百分比 2 3 2 5 4" xfId="47822" xr:uid="{00000000-0005-0000-0000-0000CEBA0000}"/>
    <cellStyle name="百分比 2 3 2 6" xfId="47823" xr:uid="{00000000-0005-0000-0000-0000CFBA0000}"/>
    <cellStyle name="百分比 2 3 2 7" xfId="47824" xr:uid="{00000000-0005-0000-0000-0000D0BA0000}"/>
    <cellStyle name="百分比 2 3 2 8" xfId="47825" xr:uid="{00000000-0005-0000-0000-0000D1BA0000}"/>
    <cellStyle name="百分比 2 3 2 9" xfId="47826" xr:uid="{00000000-0005-0000-0000-0000D2BA0000}"/>
    <cellStyle name="百分比 2 3 2 9 2" xfId="47827" xr:uid="{00000000-0005-0000-0000-0000D3BA0000}"/>
    <cellStyle name="百分比 2 3 3" xfId="47828" xr:uid="{00000000-0005-0000-0000-0000D4BA0000}"/>
    <cellStyle name="百分比 2 3 3 2" xfId="47829" xr:uid="{00000000-0005-0000-0000-0000D5BA0000}"/>
    <cellStyle name="百分比 2 3 3 2 2" xfId="47830" xr:uid="{00000000-0005-0000-0000-0000D6BA0000}"/>
    <cellStyle name="百分比 2 3 3 2 3" xfId="47831" xr:uid="{00000000-0005-0000-0000-0000D7BA0000}"/>
    <cellStyle name="百分比 2 3 3 2 4" xfId="47832" xr:uid="{00000000-0005-0000-0000-0000D8BA0000}"/>
    <cellStyle name="百分比 2 3 3 3" xfId="47833" xr:uid="{00000000-0005-0000-0000-0000D9BA0000}"/>
    <cellStyle name="百分比 2 3 3 4" xfId="47834" xr:uid="{00000000-0005-0000-0000-0000DABA0000}"/>
    <cellStyle name="百分比 2 3 3 5" xfId="47835" xr:uid="{00000000-0005-0000-0000-0000DBBA0000}"/>
    <cellStyle name="百分比 2 3 3 6" xfId="47836" xr:uid="{00000000-0005-0000-0000-0000DCBA0000}"/>
    <cellStyle name="百分比 2 3 3 6 2" xfId="47837" xr:uid="{00000000-0005-0000-0000-0000DDBA0000}"/>
    <cellStyle name="百分比 2 3 4" xfId="47838" xr:uid="{00000000-0005-0000-0000-0000DEBA0000}"/>
    <cellStyle name="百分比 2 3 4 2" xfId="47839" xr:uid="{00000000-0005-0000-0000-0000DFBA0000}"/>
    <cellStyle name="百分比 2 3 4 2 2" xfId="47840" xr:uid="{00000000-0005-0000-0000-0000E0BA0000}"/>
    <cellStyle name="百分比 2 3 4 2 3" xfId="47841" xr:uid="{00000000-0005-0000-0000-0000E1BA0000}"/>
    <cellStyle name="百分比 2 3 4 2 4" xfId="47842" xr:uid="{00000000-0005-0000-0000-0000E2BA0000}"/>
    <cellStyle name="百分比 2 3 4 2 5" xfId="47843" xr:uid="{00000000-0005-0000-0000-0000E3BA0000}"/>
    <cellStyle name="百分比 2 3 4 3" xfId="47844" xr:uid="{00000000-0005-0000-0000-0000E4BA0000}"/>
    <cellStyle name="百分比 2 3 4 4" xfId="47845" xr:uid="{00000000-0005-0000-0000-0000E5BA0000}"/>
    <cellStyle name="百分比 2 3 4 5" xfId="47846" xr:uid="{00000000-0005-0000-0000-0000E6BA0000}"/>
    <cellStyle name="百分比 2 3 4 6" xfId="47847" xr:uid="{00000000-0005-0000-0000-0000E7BA0000}"/>
    <cellStyle name="百分比 2 3 5" xfId="47848" xr:uid="{00000000-0005-0000-0000-0000E8BA0000}"/>
    <cellStyle name="百分比 2 3 5 2" xfId="47849" xr:uid="{00000000-0005-0000-0000-0000E9BA0000}"/>
    <cellStyle name="百分比 2 3 5 2 2" xfId="47850" xr:uid="{00000000-0005-0000-0000-0000EABA0000}"/>
    <cellStyle name="百分比 2 3 5 3" xfId="47851" xr:uid="{00000000-0005-0000-0000-0000EBBA0000}"/>
    <cellStyle name="百分比 2 3 5 4" xfId="47852" xr:uid="{00000000-0005-0000-0000-0000ECBA0000}"/>
    <cellStyle name="百分比 2 3 5 5" xfId="47853" xr:uid="{00000000-0005-0000-0000-0000EDBA0000}"/>
    <cellStyle name="百分比 2 3 6" xfId="47854" xr:uid="{00000000-0005-0000-0000-0000EEBA0000}"/>
    <cellStyle name="百分比 2 3 7" xfId="47855" xr:uid="{00000000-0005-0000-0000-0000EFBA0000}"/>
    <cellStyle name="百分比 2 3 8" xfId="47856" xr:uid="{00000000-0005-0000-0000-0000F0BA0000}"/>
    <cellStyle name="百分比 2 3 9" xfId="47857" xr:uid="{00000000-0005-0000-0000-0000F1BA0000}"/>
    <cellStyle name="百分比 2 3 9 2" xfId="47858" xr:uid="{00000000-0005-0000-0000-0000F2BA0000}"/>
    <cellStyle name="百分比 2 4" xfId="47859" xr:uid="{00000000-0005-0000-0000-0000F3BA0000}"/>
    <cellStyle name="百分比 2 4 2" xfId="47860" xr:uid="{00000000-0005-0000-0000-0000F4BA0000}"/>
    <cellStyle name="百分比 2 4 2 2" xfId="47861" xr:uid="{00000000-0005-0000-0000-0000F5BA0000}"/>
    <cellStyle name="百分比 2 4 2 2 2" xfId="47862" xr:uid="{00000000-0005-0000-0000-0000F6BA0000}"/>
    <cellStyle name="百分比 2 4 2 2 2 2" xfId="47863" xr:uid="{00000000-0005-0000-0000-0000F7BA0000}"/>
    <cellStyle name="百分比 2 4 2 2 2 2 2" xfId="47864" xr:uid="{00000000-0005-0000-0000-0000F8BA0000}"/>
    <cellStyle name="百分比 2 4 2 2 2 2 3" xfId="47865" xr:uid="{00000000-0005-0000-0000-0000F9BA0000}"/>
    <cellStyle name="百分比 2 4 2 2 2 2 4" xfId="47866" xr:uid="{00000000-0005-0000-0000-0000FABA0000}"/>
    <cellStyle name="百分比 2 4 2 2 2 3" xfId="47867" xr:uid="{00000000-0005-0000-0000-0000FBBA0000}"/>
    <cellStyle name="百分比 2 4 2 2 2 4" xfId="47868" xr:uid="{00000000-0005-0000-0000-0000FCBA0000}"/>
    <cellStyle name="百分比 2 4 2 2 2 5" xfId="47869" xr:uid="{00000000-0005-0000-0000-0000FDBA0000}"/>
    <cellStyle name="百分比 2 4 2 2 3" xfId="47870" xr:uid="{00000000-0005-0000-0000-0000FEBA0000}"/>
    <cellStyle name="百分比 2 4 2 2 3 2" xfId="47871" xr:uid="{00000000-0005-0000-0000-0000FFBA0000}"/>
    <cellStyle name="百分比 2 4 2 2 3 2 2" xfId="47872" xr:uid="{00000000-0005-0000-0000-000000BB0000}"/>
    <cellStyle name="百分比 2 4 2 2 3 2 3" xfId="47873" xr:uid="{00000000-0005-0000-0000-000001BB0000}"/>
    <cellStyle name="百分比 2 4 2 2 3 2 4" xfId="47874" xr:uid="{00000000-0005-0000-0000-000002BB0000}"/>
    <cellStyle name="百分比 2 4 2 2 3 3" xfId="47875" xr:uid="{00000000-0005-0000-0000-000003BB0000}"/>
    <cellStyle name="百分比 2 4 2 2 3 4" xfId="47876" xr:uid="{00000000-0005-0000-0000-000004BB0000}"/>
    <cellStyle name="百分比 2 4 2 2 3 5" xfId="47877" xr:uid="{00000000-0005-0000-0000-000005BB0000}"/>
    <cellStyle name="百分比 2 4 2 2 4" xfId="47878" xr:uid="{00000000-0005-0000-0000-000006BB0000}"/>
    <cellStyle name="百分比 2 4 2 2 4 2" xfId="47879" xr:uid="{00000000-0005-0000-0000-000007BB0000}"/>
    <cellStyle name="百分比 2 4 2 2 4 3" xfId="47880" xr:uid="{00000000-0005-0000-0000-000008BB0000}"/>
    <cellStyle name="百分比 2 4 2 2 4 4" xfId="47881" xr:uid="{00000000-0005-0000-0000-000009BB0000}"/>
    <cellStyle name="百分比 2 4 2 2 5" xfId="47882" xr:uid="{00000000-0005-0000-0000-00000ABB0000}"/>
    <cellStyle name="百分比 2 4 2 2 6" xfId="47883" xr:uid="{00000000-0005-0000-0000-00000BBB0000}"/>
    <cellStyle name="百分比 2 4 2 2 7" xfId="47884" xr:uid="{00000000-0005-0000-0000-00000CBB0000}"/>
    <cellStyle name="百分比 2 4 2 3" xfId="47885" xr:uid="{00000000-0005-0000-0000-00000DBB0000}"/>
    <cellStyle name="百分比 2 4 2 3 2" xfId="47886" xr:uid="{00000000-0005-0000-0000-00000EBB0000}"/>
    <cellStyle name="百分比 2 4 2 3 2 2" xfId="47887" xr:uid="{00000000-0005-0000-0000-00000FBB0000}"/>
    <cellStyle name="百分比 2 4 2 3 2 3" xfId="47888" xr:uid="{00000000-0005-0000-0000-000010BB0000}"/>
    <cellStyle name="百分比 2 4 2 3 2 4" xfId="47889" xr:uid="{00000000-0005-0000-0000-000011BB0000}"/>
    <cellStyle name="百分比 2 4 2 3 3" xfId="47890" xr:uid="{00000000-0005-0000-0000-000012BB0000}"/>
    <cellStyle name="百分比 2 4 2 3 4" xfId="47891" xr:uid="{00000000-0005-0000-0000-000013BB0000}"/>
    <cellStyle name="百分比 2 4 2 3 5" xfId="47892" xr:uid="{00000000-0005-0000-0000-000014BB0000}"/>
    <cellStyle name="百分比 2 4 2 4" xfId="47893" xr:uid="{00000000-0005-0000-0000-000015BB0000}"/>
    <cellStyle name="百分比 2 4 2 4 2" xfId="47894" xr:uid="{00000000-0005-0000-0000-000016BB0000}"/>
    <cellStyle name="百分比 2 4 2 4 2 2" xfId="47895" xr:uid="{00000000-0005-0000-0000-000017BB0000}"/>
    <cellStyle name="百分比 2 4 2 4 2 3" xfId="47896" xr:uid="{00000000-0005-0000-0000-000018BB0000}"/>
    <cellStyle name="百分比 2 4 2 4 2 4" xfId="47897" xr:uid="{00000000-0005-0000-0000-000019BB0000}"/>
    <cellStyle name="百分比 2 4 2 4 3" xfId="47898" xr:uid="{00000000-0005-0000-0000-00001ABB0000}"/>
    <cellStyle name="百分比 2 4 2 4 4" xfId="47899" xr:uid="{00000000-0005-0000-0000-00001BBB0000}"/>
    <cellStyle name="百分比 2 4 2 4 5" xfId="47900" xr:uid="{00000000-0005-0000-0000-00001CBB0000}"/>
    <cellStyle name="百分比 2 4 2 5" xfId="47901" xr:uid="{00000000-0005-0000-0000-00001DBB0000}"/>
    <cellStyle name="百分比 2 4 2 5 2" xfId="47902" xr:uid="{00000000-0005-0000-0000-00001EBB0000}"/>
    <cellStyle name="百分比 2 4 2 5 3" xfId="47903" xr:uid="{00000000-0005-0000-0000-00001FBB0000}"/>
    <cellStyle name="百分比 2 4 2 5 4" xfId="47904" xr:uid="{00000000-0005-0000-0000-000020BB0000}"/>
    <cellStyle name="百分比 2 4 2 6" xfId="47905" xr:uid="{00000000-0005-0000-0000-000021BB0000}"/>
    <cellStyle name="百分比 2 4 2 7" xfId="47906" xr:uid="{00000000-0005-0000-0000-000022BB0000}"/>
    <cellStyle name="百分比 2 4 2 8" xfId="47907" xr:uid="{00000000-0005-0000-0000-000023BB0000}"/>
    <cellStyle name="百分比 2 4 3" xfId="47908" xr:uid="{00000000-0005-0000-0000-000024BB0000}"/>
    <cellStyle name="百分比 2 4 3 2" xfId="47909" xr:uid="{00000000-0005-0000-0000-000025BB0000}"/>
    <cellStyle name="百分比 2 4 3 2 2" xfId="47910" xr:uid="{00000000-0005-0000-0000-000026BB0000}"/>
    <cellStyle name="百分比 2 4 3 2 3" xfId="47911" xr:uid="{00000000-0005-0000-0000-000027BB0000}"/>
    <cellStyle name="百分比 2 4 3 2 4" xfId="47912" xr:uid="{00000000-0005-0000-0000-000028BB0000}"/>
    <cellStyle name="百分比 2 4 3 3" xfId="47913" xr:uid="{00000000-0005-0000-0000-000029BB0000}"/>
    <cellStyle name="百分比 2 4 3 4" xfId="47914" xr:uid="{00000000-0005-0000-0000-00002ABB0000}"/>
    <cellStyle name="百分比 2 4 3 5" xfId="47915" xr:uid="{00000000-0005-0000-0000-00002BBB0000}"/>
    <cellStyle name="百分比 2 4 4" xfId="47916" xr:uid="{00000000-0005-0000-0000-00002CBB0000}"/>
    <cellStyle name="百分比 2 4 4 2" xfId="47917" xr:uid="{00000000-0005-0000-0000-00002DBB0000}"/>
    <cellStyle name="百分比 2 4 4 2 2" xfId="47918" xr:uid="{00000000-0005-0000-0000-00002EBB0000}"/>
    <cellStyle name="百分比 2 4 4 2 3" xfId="47919" xr:uid="{00000000-0005-0000-0000-00002FBB0000}"/>
    <cellStyle name="百分比 2 4 4 2 4" xfId="47920" xr:uid="{00000000-0005-0000-0000-000030BB0000}"/>
    <cellStyle name="百分比 2 4 4 3" xfId="47921" xr:uid="{00000000-0005-0000-0000-000031BB0000}"/>
    <cellStyle name="百分比 2 4 4 4" xfId="47922" xr:uid="{00000000-0005-0000-0000-000032BB0000}"/>
    <cellStyle name="百分比 2 4 4 5" xfId="47923" xr:uid="{00000000-0005-0000-0000-000033BB0000}"/>
    <cellStyle name="百分比 2 4 5" xfId="47924" xr:uid="{00000000-0005-0000-0000-000034BB0000}"/>
    <cellStyle name="百分比 2 4 5 2" xfId="47925" xr:uid="{00000000-0005-0000-0000-000035BB0000}"/>
    <cellStyle name="百分比 2 4 5 3" xfId="47926" xr:uid="{00000000-0005-0000-0000-000036BB0000}"/>
    <cellStyle name="百分比 2 4 5 4" xfId="47927" xr:uid="{00000000-0005-0000-0000-000037BB0000}"/>
    <cellStyle name="百分比 2 4 6" xfId="47928" xr:uid="{00000000-0005-0000-0000-000038BB0000}"/>
    <cellStyle name="百分比 2 4 7" xfId="47929" xr:uid="{00000000-0005-0000-0000-000039BB0000}"/>
    <cellStyle name="百分比 2 4 8" xfId="47930" xr:uid="{00000000-0005-0000-0000-00003ABB0000}"/>
    <cellStyle name="百分比 2 4 9" xfId="47931" xr:uid="{00000000-0005-0000-0000-00003BBB0000}"/>
    <cellStyle name="百分比 2 4 9 2" xfId="47932" xr:uid="{00000000-0005-0000-0000-00003CBB0000}"/>
    <cellStyle name="百分比 2 5" xfId="47933" xr:uid="{00000000-0005-0000-0000-00003DBB0000}"/>
    <cellStyle name="百分比 2 5 2" xfId="47934" xr:uid="{00000000-0005-0000-0000-00003EBB0000}"/>
    <cellStyle name="百分比 2 5 2 2" xfId="47935" xr:uid="{00000000-0005-0000-0000-00003FBB0000}"/>
    <cellStyle name="百分比 2 5 2 2 2" xfId="47936" xr:uid="{00000000-0005-0000-0000-000040BB0000}"/>
    <cellStyle name="百分比 2 5 2 2 2 2" xfId="47937" xr:uid="{00000000-0005-0000-0000-000041BB0000}"/>
    <cellStyle name="百分比 2 5 2 2 2 2 2" xfId="47938" xr:uid="{00000000-0005-0000-0000-000042BB0000}"/>
    <cellStyle name="百分比 2 5 2 2 2 2 3" xfId="47939" xr:uid="{00000000-0005-0000-0000-000043BB0000}"/>
    <cellStyle name="百分比 2 5 2 2 2 2 4" xfId="47940" xr:uid="{00000000-0005-0000-0000-000044BB0000}"/>
    <cellStyle name="百分比 2 5 2 2 2 3" xfId="47941" xr:uid="{00000000-0005-0000-0000-000045BB0000}"/>
    <cellStyle name="百分比 2 5 2 2 2 4" xfId="47942" xr:uid="{00000000-0005-0000-0000-000046BB0000}"/>
    <cellStyle name="百分比 2 5 2 2 2 5" xfId="47943" xr:uid="{00000000-0005-0000-0000-000047BB0000}"/>
    <cellStyle name="百分比 2 5 2 2 3" xfId="47944" xr:uid="{00000000-0005-0000-0000-000048BB0000}"/>
    <cellStyle name="百分比 2 5 2 2 3 2" xfId="47945" xr:uid="{00000000-0005-0000-0000-000049BB0000}"/>
    <cellStyle name="百分比 2 5 2 2 3 2 2" xfId="47946" xr:uid="{00000000-0005-0000-0000-00004ABB0000}"/>
    <cellStyle name="百分比 2 5 2 2 3 2 3" xfId="47947" xr:uid="{00000000-0005-0000-0000-00004BBB0000}"/>
    <cellStyle name="百分比 2 5 2 2 3 2 4" xfId="47948" xr:uid="{00000000-0005-0000-0000-00004CBB0000}"/>
    <cellStyle name="百分比 2 5 2 2 3 3" xfId="47949" xr:uid="{00000000-0005-0000-0000-00004DBB0000}"/>
    <cellStyle name="百分比 2 5 2 2 3 4" xfId="47950" xr:uid="{00000000-0005-0000-0000-00004EBB0000}"/>
    <cellStyle name="百分比 2 5 2 2 3 5" xfId="47951" xr:uid="{00000000-0005-0000-0000-00004FBB0000}"/>
    <cellStyle name="百分比 2 5 2 2 4" xfId="47952" xr:uid="{00000000-0005-0000-0000-000050BB0000}"/>
    <cellStyle name="百分比 2 5 2 2 4 2" xfId="47953" xr:uid="{00000000-0005-0000-0000-000051BB0000}"/>
    <cellStyle name="百分比 2 5 2 2 4 3" xfId="47954" xr:uid="{00000000-0005-0000-0000-000052BB0000}"/>
    <cellStyle name="百分比 2 5 2 2 4 4" xfId="47955" xr:uid="{00000000-0005-0000-0000-000053BB0000}"/>
    <cellStyle name="百分比 2 5 2 2 5" xfId="47956" xr:uid="{00000000-0005-0000-0000-000054BB0000}"/>
    <cellStyle name="百分比 2 5 2 2 6" xfId="47957" xr:uid="{00000000-0005-0000-0000-000055BB0000}"/>
    <cellStyle name="百分比 2 5 2 2 7" xfId="47958" xr:uid="{00000000-0005-0000-0000-000056BB0000}"/>
    <cellStyle name="百分比 2 5 2 3" xfId="47959" xr:uid="{00000000-0005-0000-0000-000057BB0000}"/>
    <cellStyle name="百分比 2 5 2 3 2" xfId="47960" xr:uid="{00000000-0005-0000-0000-000058BB0000}"/>
    <cellStyle name="百分比 2 5 2 3 2 2" xfId="47961" xr:uid="{00000000-0005-0000-0000-000059BB0000}"/>
    <cellStyle name="百分比 2 5 2 3 2 3" xfId="47962" xr:uid="{00000000-0005-0000-0000-00005ABB0000}"/>
    <cellStyle name="百分比 2 5 2 3 2 4" xfId="47963" xr:uid="{00000000-0005-0000-0000-00005BBB0000}"/>
    <cellStyle name="百分比 2 5 2 3 3" xfId="47964" xr:uid="{00000000-0005-0000-0000-00005CBB0000}"/>
    <cellStyle name="百分比 2 5 2 3 4" xfId="47965" xr:uid="{00000000-0005-0000-0000-00005DBB0000}"/>
    <cellStyle name="百分比 2 5 2 3 5" xfId="47966" xr:uid="{00000000-0005-0000-0000-00005EBB0000}"/>
    <cellStyle name="百分比 2 5 2 4" xfId="47967" xr:uid="{00000000-0005-0000-0000-00005FBB0000}"/>
    <cellStyle name="百分比 2 5 2 4 2" xfId="47968" xr:uid="{00000000-0005-0000-0000-000060BB0000}"/>
    <cellStyle name="百分比 2 5 2 4 2 2" xfId="47969" xr:uid="{00000000-0005-0000-0000-000061BB0000}"/>
    <cellStyle name="百分比 2 5 2 4 2 3" xfId="47970" xr:uid="{00000000-0005-0000-0000-000062BB0000}"/>
    <cellStyle name="百分比 2 5 2 4 2 4" xfId="47971" xr:uid="{00000000-0005-0000-0000-000063BB0000}"/>
    <cellStyle name="百分比 2 5 2 4 3" xfId="47972" xr:uid="{00000000-0005-0000-0000-000064BB0000}"/>
    <cellStyle name="百分比 2 5 2 4 4" xfId="47973" xr:uid="{00000000-0005-0000-0000-000065BB0000}"/>
    <cellStyle name="百分比 2 5 2 4 5" xfId="47974" xr:uid="{00000000-0005-0000-0000-000066BB0000}"/>
    <cellStyle name="百分比 2 5 2 5" xfId="47975" xr:uid="{00000000-0005-0000-0000-000067BB0000}"/>
    <cellStyle name="百分比 2 5 2 5 2" xfId="47976" xr:uid="{00000000-0005-0000-0000-000068BB0000}"/>
    <cellStyle name="百分比 2 5 2 5 3" xfId="47977" xr:uid="{00000000-0005-0000-0000-000069BB0000}"/>
    <cellStyle name="百分比 2 5 2 5 4" xfId="47978" xr:uid="{00000000-0005-0000-0000-00006ABB0000}"/>
    <cellStyle name="百分比 2 5 2 6" xfId="47979" xr:uid="{00000000-0005-0000-0000-00006BBB0000}"/>
    <cellStyle name="百分比 2 5 2 7" xfId="47980" xr:uid="{00000000-0005-0000-0000-00006CBB0000}"/>
    <cellStyle name="百分比 2 5 2 8" xfId="47981" xr:uid="{00000000-0005-0000-0000-00006DBB0000}"/>
    <cellStyle name="百分比 2 5 3" xfId="47982" xr:uid="{00000000-0005-0000-0000-00006EBB0000}"/>
    <cellStyle name="百分比 2 5 3 2" xfId="47983" xr:uid="{00000000-0005-0000-0000-00006FBB0000}"/>
    <cellStyle name="百分比 2 5 3 2 2" xfId="47984" xr:uid="{00000000-0005-0000-0000-000070BB0000}"/>
    <cellStyle name="百分比 2 5 3 2 3" xfId="47985" xr:uid="{00000000-0005-0000-0000-000071BB0000}"/>
    <cellStyle name="百分比 2 5 3 2 4" xfId="47986" xr:uid="{00000000-0005-0000-0000-000072BB0000}"/>
    <cellStyle name="百分比 2 5 3 3" xfId="47987" xr:uid="{00000000-0005-0000-0000-000073BB0000}"/>
    <cellStyle name="百分比 2 5 3 4" xfId="47988" xr:uid="{00000000-0005-0000-0000-000074BB0000}"/>
    <cellStyle name="百分比 2 5 3 5" xfId="47989" xr:uid="{00000000-0005-0000-0000-000075BB0000}"/>
    <cellStyle name="百分比 2 5 4" xfId="47990" xr:uid="{00000000-0005-0000-0000-000076BB0000}"/>
    <cellStyle name="百分比 2 5 4 2" xfId="47991" xr:uid="{00000000-0005-0000-0000-000077BB0000}"/>
    <cellStyle name="百分比 2 5 4 2 2" xfId="47992" xr:uid="{00000000-0005-0000-0000-000078BB0000}"/>
    <cellStyle name="百分比 2 5 4 2 3" xfId="47993" xr:uid="{00000000-0005-0000-0000-000079BB0000}"/>
    <cellStyle name="百分比 2 5 4 2 4" xfId="47994" xr:uid="{00000000-0005-0000-0000-00007ABB0000}"/>
    <cellStyle name="百分比 2 5 4 3" xfId="47995" xr:uid="{00000000-0005-0000-0000-00007BBB0000}"/>
    <cellStyle name="百分比 2 5 4 4" xfId="47996" xr:uid="{00000000-0005-0000-0000-00007CBB0000}"/>
    <cellStyle name="百分比 2 5 4 5" xfId="47997" xr:uid="{00000000-0005-0000-0000-00007DBB0000}"/>
    <cellStyle name="百分比 2 5 5" xfId="47998" xr:uid="{00000000-0005-0000-0000-00007EBB0000}"/>
    <cellStyle name="百分比 2 5 5 2" xfId="47999" xr:uid="{00000000-0005-0000-0000-00007FBB0000}"/>
    <cellStyle name="百分比 2 5 5 3" xfId="48000" xr:uid="{00000000-0005-0000-0000-000080BB0000}"/>
    <cellStyle name="百分比 2 5 5 4" xfId="48001" xr:uid="{00000000-0005-0000-0000-000081BB0000}"/>
    <cellStyle name="百分比 2 5 6" xfId="48002" xr:uid="{00000000-0005-0000-0000-000082BB0000}"/>
    <cellStyle name="百分比 2 5 7" xfId="48003" xr:uid="{00000000-0005-0000-0000-000083BB0000}"/>
    <cellStyle name="百分比 2 5 8" xfId="48004" xr:uid="{00000000-0005-0000-0000-000084BB0000}"/>
    <cellStyle name="百分比 2 5 9" xfId="48005" xr:uid="{00000000-0005-0000-0000-000085BB0000}"/>
    <cellStyle name="百分比 2 5 9 2" xfId="48006" xr:uid="{00000000-0005-0000-0000-000086BB0000}"/>
    <cellStyle name="百分比 2 6" xfId="48007" xr:uid="{00000000-0005-0000-0000-000087BB0000}"/>
    <cellStyle name="百分比 2 6 2" xfId="48008" xr:uid="{00000000-0005-0000-0000-000088BB0000}"/>
    <cellStyle name="百分比 2 6 2 2" xfId="48009" xr:uid="{00000000-0005-0000-0000-000089BB0000}"/>
    <cellStyle name="百分比 2 6 2 2 2" xfId="48010" xr:uid="{00000000-0005-0000-0000-00008ABB0000}"/>
    <cellStyle name="百分比 2 6 2 2 2 2" xfId="48011" xr:uid="{00000000-0005-0000-0000-00008BBB0000}"/>
    <cellStyle name="百分比 2 6 2 2 2 2 2" xfId="48012" xr:uid="{00000000-0005-0000-0000-00008CBB0000}"/>
    <cellStyle name="百分比 2 6 2 2 2 2 3" xfId="48013" xr:uid="{00000000-0005-0000-0000-00008DBB0000}"/>
    <cellStyle name="百分比 2 6 2 2 2 2 4" xfId="48014" xr:uid="{00000000-0005-0000-0000-00008EBB0000}"/>
    <cellStyle name="百分比 2 6 2 2 2 3" xfId="48015" xr:uid="{00000000-0005-0000-0000-00008FBB0000}"/>
    <cellStyle name="百分比 2 6 2 2 2 4" xfId="48016" xr:uid="{00000000-0005-0000-0000-000090BB0000}"/>
    <cellStyle name="百分比 2 6 2 2 2 5" xfId="48017" xr:uid="{00000000-0005-0000-0000-000091BB0000}"/>
    <cellStyle name="百分比 2 6 2 2 3" xfId="48018" xr:uid="{00000000-0005-0000-0000-000092BB0000}"/>
    <cellStyle name="百分比 2 6 2 2 3 2" xfId="48019" xr:uid="{00000000-0005-0000-0000-000093BB0000}"/>
    <cellStyle name="百分比 2 6 2 2 3 2 2" xfId="48020" xr:uid="{00000000-0005-0000-0000-000094BB0000}"/>
    <cellStyle name="百分比 2 6 2 2 3 2 3" xfId="48021" xr:uid="{00000000-0005-0000-0000-000095BB0000}"/>
    <cellStyle name="百分比 2 6 2 2 3 2 4" xfId="48022" xr:uid="{00000000-0005-0000-0000-000096BB0000}"/>
    <cellStyle name="百分比 2 6 2 2 3 3" xfId="48023" xr:uid="{00000000-0005-0000-0000-000097BB0000}"/>
    <cellStyle name="百分比 2 6 2 2 3 4" xfId="48024" xr:uid="{00000000-0005-0000-0000-000098BB0000}"/>
    <cellStyle name="百分比 2 6 2 2 3 5" xfId="48025" xr:uid="{00000000-0005-0000-0000-000099BB0000}"/>
    <cellStyle name="百分比 2 6 2 2 4" xfId="48026" xr:uid="{00000000-0005-0000-0000-00009ABB0000}"/>
    <cellStyle name="百分比 2 6 2 2 4 2" xfId="48027" xr:uid="{00000000-0005-0000-0000-00009BBB0000}"/>
    <cellStyle name="百分比 2 6 2 2 4 3" xfId="48028" xr:uid="{00000000-0005-0000-0000-00009CBB0000}"/>
    <cellStyle name="百分比 2 6 2 2 4 4" xfId="48029" xr:uid="{00000000-0005-0000-0000-00009DBB0000}"/>
    <cellStyle name="百分比 2 6 2 2 5" xfId="48030" xr:uid="{00000000-0005-0000-0000-00009EBB0000}"/>
    <cellStyle name="百分比 2 6 2 2 6" xfId="48031" xr:uid="{00000000-0005-0000-0000-00009FBB0000}"/>
    <cellStyle name="百分比 2 6 2 2 7" xfId="48032" xr:uid="{00000000-0005-0000-0000-0000A0BB0000}"/>
    <cellStyle name="百分比 2 6 2 3" xfId="48033" xr:uid="{00000000-0005-0000-0000-0000A1BB0000}"/>
    <cellStyle name="百分比 2 6 2 3 2" xfId="48034" xr:uid="{00000000-0005-0000-0000-0000A2BB0000}"/>
    <cellStyle name="百分比 2 6 2 3 2 2" xfId="48035" xr:uid="{00000000-0005-0000-0000-0000A3BB0000}"/>
    <cellStyle name="百分比 2 6 2 3 2 3" xfId="48036" xr:uid="{00000000-0005-0000-0000-0000A4BB0000}"/>
    <cellStyle name="百分比 2 6 2 3 2 4" xfId="48037" xr:uid="{00000000-0005-0000-0000-0000A5BB0000}"/>
    <cellStyle name="百分比 2 6 2 3 3" xfId="48038" xr:uid="{00000000-0005-0000-0000-0000A6BB0000}"/>
    <cellStyle name="百分比 2 6 2 3 4" xfId="48039" xr:uid="{00000000-0005-0000-0000-0000A7BB0000}"/>
    <cellStyle name="百分比 2 6 2 3 5" xfId="48040" xr:uid="{00000000-0005-0000-0000-0000A8BB0000}"/>
    <cellStyle name="百分比 2 6 2 4" xfId="48041" xr:uid="{00000000-0005-0000-0000-0000A9BB0000}"/>
    <cellStyle name="百分比 2 6 2 4 2" xfId="48042" xr:uid="{00000000-0005-0000-0000-0000AABB0000}"/>
    <cellStyle name="百分比 2 6 2 4 2 2" xfId="48043" xr:uid="{00000000-0005-0000-0000-0000ABBB0000}"/>
    <cellStyle name="百分比 2 6 2 4 2 3" xfId="48044" xr:uid="{00000000-0005-0000-0000-0000ACBB0000}"/>
    <cellStyle name="百分比 2 6 2 4 2 4" xfId="48045" xr:uid="{00000000-0005-0000-0000-0000ADBB0000}"/>
    <cellStyle name="百分比 2 6 2 4 3" xfId="48046" xr:uid="{00000000-0005-0000-0000-0000AEBB0000}"/>
    <cellStyle name="百分比 2 6 2 4 4" xfId="48047" xr:uid="{00000000-0005-0000-0000-0000AFBB0000}"/>
    <cellStyle name="百分比 2 6 2 4 5" xfId="48048" xr:uid="{00000000-0005-0000-0000-0000B0BB0000}"/>
    <cellStyle name="百分比 2 6 2 5" xfId="48049" xr:uid="{00000000-0005-0000-0000-0000B1BB0000}"/>
    <cellStyle name="百分比 2 6 2 5 2" xfId="48050" xr:uid="{00000000-0005-0000-0000-0000B2BB0000}"/>
    <cellStyle name="百分比 2 6 2 5 3" xfId="48051" xr:uid="{00000000-0005-0000-0000-0000B3BB0000}"/>
    <cellStyle name="百分比 2 6 2 5 4" xfId="48052" xr:uid="{00000000-0005-0000-0000-0000B4BB0000}"/>
    <cellStyle name="百分比 2 6 2 6" xfId="48053" xr:uid="{00000000-0005-0000-0000-0000B5BB0000}"/>
    <cellStyle name="百分比 2 6 2 7" xfId="48054" xr:uid="{00000000-0005-0000-0000-0000B6BB0000}"/>
    <cellStyle name="百分比 2 6 2 8" xfId="48055" xr:uid="{00000000-0005-0000-0000-0000B7BB0000}"/>
    <cellStyle name="百分比 2 6 3" xfId="48056" xr:uid="{00000000-0005-0000-0000-0000B8BB0000}"/>
    <cellStyle name="百分比 2 6 3 2" xfId="48057" xr:uid="{00000000-0005-0000-0000-0000B9BB0000}"/>
    <cellStyle name="百分比 2 6 3 2 2" xfId="48058" xr:uid="{00000000-0005-0000-0000-0000BABB0000}"/>
    <cellStyle name="百分比 2 6 3 2 3" xfId="48059" xr:uid="{00000000-0005-0000-0000-0000BBBB0000}"/>
    <cellStyle name="百分比 2 6 3 2 4" xfId="48060" xr:uid="{00000000-0005-0000-0000-0000BCBB0000}"/>
    <cellStyle name="百分比 2 6 3 3" xfId="48061" xr:uid="{00000000-0005-0000-0000-0000BDBB0000}"/>
    <cellStyle name="百分比 2 6 3 4" xfId="48062" xr:uid="{00000000-0005-0000-0000-0000BEBB0000}"/>
    <cellStyle name="百分比 2 6 3 5" xfId="48063" xr:uid="{00000000-0005-0000-0000-0000BFBB0000}"/>
    <cellStyle name="百分比 2 6 4" xfId="48064" xr:uid="{00000000-0005-0000-0000-0000C0BB0000}"/>
    <cellStyle name="百分比 2 6 4 2" xfId="48065" xr:uid="{00000000-0005-0000-0000-0000C1BB0000}"/>
    <cellStyle name="百分比 2 6 4 2 2" xfId="48066" xr:uid="{00000000-0005-0000-0000-0000C2BB0000}"/>
    <cellStyle name="百分比 2 6 4 2 3" xfId="48067" xr:uid="{00000000-0005-0000-0000-0000C3BB0000}"/>
    <cellStyle name="百分比 2 6 4 2 4" xfId="48068" xr:uid="{00000000-0005-0000-0000-0000C4BB0000}"/>
    <cellStyle name="百分比 2 6 4 3" xfId="48069" xr:uid="{00000000-0005-0000-0000-0000C5BB0000}"/>
    <cellStyle name="百分比 2 6 4 4" xfId="48070" xr:uid="{00000000-0005-0000-0000-0000C6BB0000}"/>
    <cellStyle name="百分比 2 6 4 5" xfId="48071" xr:uid="{00000000-0005-0000-0000-0000C7BB0000}"/>
    <cellStyle name="百分比 2 6 5" xfId="48072" xr:uid="{00000000-0005-0000-0000-0000C8BB0000}"/>
    <cellStyle name="百分比 2 6 5 2" xfId="48073" xr:uid="{00000000-0005-0000-0000-0000C9BB0000}"/>
    <cellStyle name="百分比 2 6 5 3" xfId="48074" xr:uid="{00000000-0005-0000-0000-0000CABB0000}"/>
    <cellStyle name="百分比 2 6 5 4" xfId="48075" xr:uid="{00000000-0005-0000-0000-0000CBBB0000}"/>
    <cellStyle name="百分比 2 6 6" xfId="48076" xr:uid="{00000000-0005-0000-0000-0000CCBB0000}"/>
    <cellStyle name="百分比 2 6 7" xfId="48077" xr:uid="{00000000-0005-0000-0000-0000CDBB0000}"/>
    <cellStyle name="百分比 2 6 8" xfId="48078" xr:uid="{00000000-0005-0000-0000-0000CEBB0000}"/>
    <cellStyle name="百分比 2 6 9" xfId="48079" xr:uid="{00000000-0005-0000-0000-0000CFBB0000}"/>
    <cellStyle name="百分比 2 6 9 2" xfId="48080" xr:uid="{00000000-0005-0000-0000-0000D0BB0000}"/>
    <cellStyle name="百分比 2 7" xfId="48081" xr:uid="{00000000-0005-0000-0000-0000D1BB0000}"/>
    <cellStyle name="百分比 2 7 2" xfId="48082" xr:uid="{00000000-0005-0000-0000-0000D2BB0000}"/>
    <cellStyle name="百分比 2 7 2 2" xfId="48083" xr:uid="{00000000-0005-0000-0000-0000D3BB0000}"/>
    <cellStyle name="百分比 2 7 2 2 2" xfId="48084" xr:uid="{00000000-0005-0000-0000-0000D4BB0000}"/>
    <cellStyle name="百分比 2 7 2 2 2 2" xfId="48085" xr:uid="{00000000-0005-0000-0000-0000D5BB0000}"/>
    <cellStyle name="百分比 2 7 2 2 2 3" xfId="48086" xr:uid="{00000000-0005-0000-0000-0000D6BB0000}"/>
    <cellStyle name="百分比 2 7 2 2 2 4" xfId="48087" xr:uid="{00000000-0005-0000-0000-0000D7BB0000}"/>
    <cellStyle name="百分比 2 7 2 2 3" xfId="48088" xr:uid="{00000000-0005-0000-0000-0000D8BB0000}"/>
    <cellStyle name="百分比 2 7 2 2 4" xfId="48089" xr:uid="{00000000-0005-0000-0000-0000D9BB0000}"/>
    <cellStyle name="百分比 2 7 2 2 5" xfId="48090" xr:uid="{00000000-0005-0000-0000-0000DABB0000}"/>
    <cellStyle name="百分比 2 7 2 3" xfId="48091" xr:uid="{00000000-0005-0000-0000-0000DBBB0000}"/>
    <cellStyle name="百分比 2 7 2 3 2" xfId="48092" xr:uid="{00000000-0005-0000-0000-0000DCBB0000}"/>
    <cellStyle name="百分比 2 7 2 3 2 2" xfId="48093" xr:uid="{00000000-0005-0000-0000-0000DDBB0000}"/>
    <cellStyle name="百分比 2 7 2 3 2 3" xfId="48094" xr:uid="{00000000-0005-0000-0000-0000DEBB0000}"/>
    <cellStyle name="百分比 2 7 2 3 2 4" xfId="48095" xr:uid="{00000000-0005-0000-0000-0000DFBB0000}"/>
    <cellStyle name="百分比 2 7 2 3 3" xfId="48096" xr:uid="{00000000-0005-0000-0000-0000E0BB0000}"/>
    <cellStyle name="百分比 2 7 2 3 4" xfId="48097" xr:uid="{00000000-0005-0000-0000-0000E1BB0000}"/>
    <cellStyle name="百分比 2 7 2 3 5" xfId="48098" xr:uid="{00000000-0005-0000-0000-0000E2BB0000}"/>
    <cellStyle name="百分比 2 7 2 4" xfId="48099" xr:uid="{00000000-0005-0000-0000-0000E3BB0000}"/>
    <cellStyle name="百分比 2 7 2 4 2" xfId="48100" xr:uid="{00000000-0005-0000-0000-0000E4BB0000}"/>
    <cellStyle name="百分比 2 7 2 4 3" xfId="48101" xr:uid="{00000000-0005-0000-0000-0000E5BB0000}"/>
    <cellStyle name="百分比 2 7 2 4 4" xfId="48102" xr:uid="{00000000-0005-0000-0000-0000E6BB0000}"/>
    <cellStyle name="百分比 2 7 2 5" xfId="48103" xr:uid="{00000000-0005-0000-0000-0000E7BB0000}"/>
    <cellStyle name="百分比 2 7 2 6" xfId="48104" xr:uid="{00000000-0005-0000-0000-0000E8BB0000}"/>
    <cellStyle name="百分比 2 7 2 7" xfId="48105" xr:uid="{00000000-0005-0000-0000-0000E9BB0000}"/>
    <cellStyle name="百分比 2 7 2 8" xfId="48106" xr:uid="{00000000-0005-0000-0000-0000EABB0000}"/>
    <cellStyle name="百分比 2 7 3" xfId="48107" xr:uid="{00000000-0005-0000-0000-0000EBBB0000}"/>
    <cellStyle name="百分比 2 7 3 2" xfId="48108" xr:uid="{00000000-0005-0000-0000-0000ECBB0000}"/>
    <cellStyle name="百分比 2 7 3 2 2" xfId="48109" xr:uid="{00000000-0005-0000-0000-0000EDBB0000}"/>
    <cellStyle name="百分比 2 7 3 2 3" xfId="48110" xr:uid="{00000000-0005-0000-0000-0000EEBB0000}"/>
    <cellStyle name="百分比 2 7 3 2 4" xfId="48111" xr:uid="{00000000-0005-0000-0000-0000EFBB0000}"/>
    <cellStyle name="百分比 2 7 3 3" xfId="48112" xr:uid="{00000000-0005-0000-0000-0000F0BB0000}"/>
    <cellStyle name="百分比 2 7 3 4" xfId="48113" xr:uid="{00000000-0005-0000-0000-0000F1BB0000}"/>
    <cellStyle name="百分比 2 7 3 5" xfId="48114" xr:uid="{00000000-0005-0000-0000-0000F2BB0000}"/>
    <cellStyle name="百分比 2 7 4" xfId="48115" xr:uid="{00000000-0005-0000-0000-0000F3BB0000}"/>
    <cellStyle name="百分比 2 7 4 2" xfId="48116" xr:uid="{00000000-0005-0000-0000-0000F4BB0000}"/>
    <cellStyle name="百分比 2 7 4 2 2" xfId="48117" xr:uid="{00000000-0005-0000-0000-0000F5BB0000}"/>
    <cellStyle name="百分比 2 7 4 2 3" xfId="48118" xr:uid="{00000000-0005-0000-0000-0000F6BB0000}"/>
    <cellStyle name="百分比 2 7 4 2 4" xfId="48119" xr:uid="{00000000-0005-0000-0000-0000F7BB0000}"/>
    <cellStyle name="百分比 2 7 4 3" xfId="48120" xr:uid="{00000000-0005-0000-0000-0000F8BB0000}"/>
    <cellStyle name="百分比 2 7 4 4" xfId="48121" xr:uid="{00000000-0005-0000-0000-0000F9BB0000}"/>
    <cellStyle name="百分比 2 7 4 5" xfId="48122" xr:uid="{00000000-0005-0000-0000-0000FABB0000}"/>
    <cellStyle name="百分比 2 7 5" xfId="48123" xr:uid="{00000000-0005-0000-0000-0000FBBB0000}"/>
    <cellStyle name="百分比 2 7 5 2" xfId="48124" xr:uid="{00000000-0005-0000-0000-0000FCBB0000}"/>
    <cellStyle name="百分比 2 7 5 3" xfId="48125" xr:uid="{00000000-0005-0000-0000-0000FDBB0000}"/>
    <cellStyle name="百分比 2 7 5 4" xfId="48126" xr:uid="{00000000-0005-0000-0000-0000FEBB0000}"/>
    <cellStyle name="百分比 2 7 6" xfId="48127" xr:uid="{00000000-0005-0000-0000-0000FFBB0000}"/>
    <cellStyle name="百分比 2 7 7" xfId="48128" xr:uid="{00000000-0005-0000-0000-000000BC0000}"/>
    <cellStyle name="百分比 2 7 8" xfId="48129" xr:uid="{00000000-0005-0000-0000-000001BC0000}"/>
    <cellStyle name="百分比 2 7 9" xfId="48130" xr:uid="{00000000-0005-0000-0000-000002BC0000}"/>
    <cellStyle name="百分比 2 8" xfId="48131" xr:uid="{00000000-0005-0000-0000-000003BC0000}"/>
    <cellStyle name="百分比 2 8 2" xfId="48132" xr:uid="{00000000-0005-0000-0000-000004BC0000}"/>
    <cellStyle name="百分比 2 8 2 2" xfId="48133" xr:uid="{00000000-0005-0000-0000-000005BC0000}"/>
    <cellStyle name="百分比 2 8 2 3" xfId="48134" xr:uid="{00000000-0005-0000-0000-000006BC0000}"/>
    <cellStyle name="百分比 2 8 2 4" xfId="48135" xr:uid="{00000000-0005-0000-0000-000007BC0000}"/>
    <cellStyle name="百分比 2 8 2 5" xfId="48136" xr:uid="{00000000-0005-0000-0000-000008BC0000}"/>
    <cellStyle name="百分比 2 8 3" xfId="48137" xr:uid="{00000000-0005-0000-0000-000009BC0000}"/>
    <cellStyle name="百分比 2 8 4" xfId="48138" xr:uid="{00000000-0005-0000-0000-00000ABC0000}"/>
    <cellStyle name="百分比 2 8 5" xfId="48139" xr:uid="{00000000-0005-0000-0000-00000BBC0000}"/>
    <cellStyle name="百分比 2 8 6" xfId="48140" xr:uid="{00000000-0005-0000-0000-00000CBC0000}"/>
    <cellStyle name="百分比 2 9" xfId="48141" xr:uid="{00000000-0005-0000-0000-00000DBC0000}"/>
    <cellStyle name="百分比 2 9 2" xfId="48142" xr:uid="{00000000-0005-0000-0000-00000EBC0000}"/>
    <cellStyle name="百分比 2 9 2 2" xfId="48143" xr:uid="{00000000-0005-0000-0000-00000FBC0000}"/>
    <cellStyle name="百分比 2 9 2 3" xfId="48144" xr:uid="{00000000-0005-0000-0000-000010BC0000}"/>
    <cellStyle name="百分比 2 9 2 4" xfId="48145" xr:uid="{00000000-0005-0000-0000-000011BC0000}"/>
    <cellStyle name="百分比 2 9 3" xfId="48146" xr:uid="{00000000-0005-0000-0000-000012BC0000}"/>
    <cellStyle name="百分比 2 9 4" xfId="48147" xr:uid="{00000000-0005-0000-0000-000013BC0000}"/>
    <cellStyle name="百分比 2 9 5" xfId="48148" xr:uid="{00000000-0005-0000-0000-000014BC0000}"/>
    <cellStyle name="百分比 3" xfId="48149" xr:uid="{00000000-0005-0000-0000-000015BC0000}"/>
    <cellStyle name="百分比 3 10" xfId="48150" xr:uid="{00000000-0005-0000-0000-000016BC0000}"/>
    <cellStyle name="百分比 3 10 2" xfId="48151" xr:uid="{00000000-0005-0000-0000-000017BC0000}"/>
    <cellStyle name="百分比 3 10 3" xfId="48152" xr:uid="{00000000-0005-0000-0000-000018BC0000}"/>
    <cellStyle name="百分比 3 10 4" xfId="48153" xr:uid="{00000000-0005-0000-0000-000019BC0000}"/>
    <cellStyle name="百分比 3 11" xfId="48154" xr:uid="{00000000-0005-0000-0000-00001ABC0000}"/>
    <cellStyle name="百分比 3 12" xfId="48155" xr:uid="{00000000-0005-0000-0000-00001BBC0000}"/>
    <cellStyle name="百分比 3 13" xfId="48156" xr:uid="{00000000-0005-0000-0000-00001CBC0000}"/>
    <cellStyle name="百分比 3 14" xfId="48157" xr:uid="{00000000-0005-0000-0000-00001DBC0000}"/>
    <cellStyle name="百分比 3 15" xfId="48158" xr:uid="{00000000-0005-0000-0000-00001EBC0000}"/>
    <cellStyle name="百分比 3 2" xfId="48159" xr:uid="{00000000-0005-0000-0000-00001FBC0000}"/>
    <cellStyle name="百分比 3 2 2" xfId="48160" xr:uid="{00000000-0005-0000-0000-000020BC0000}"/>
    <cellStyle name="百分比 3 2 2 2" xfId="48161" xr:uid="{00000000-0005-0000-0000-000021BC0000}"/>
    <cellStyle name="百分比 3 2 2 2 2" xfId="48162" xr:uid="{00000000-0005-0000-0000-000022BC0000}"/>
    <cellStyle name="百分比 3 2 2 2 2 2" xfId="48163" xr:uid="{00000000-0005-0000-0000-000023BC0000}"/>
    <cellStyle name="百分比 3 2 2 2 2 2 2" xfId="48164" xr:uid="{00000000-0005-0000-0000-000024BC0000}"/>
    <cellStyle name="百分比 3 2 2 2 2 2 3" xfId="48165" xr:uid="{00000000-0005-0000-0000-000025BC0000}"/>
    <cellStyle name="百分比 3 2 2 2 2 2 4" xfId="48166" xr:uid="{00000000-0005-0000-0000-000026BC0000}"/>
    <cellStyle name="百分比 3 2 2 2 2 3" xfId="48167" xr:uid="{00000000-0005-0000-0000-000027BC0000}"/>
    <cellStyle name="百分比 3 2 2 2 2 4" xfId="48168" xr:uid="{00000000-0005-0000-0000-000028BC0000}"/>
    <cellStyle name="百分比 3 2 2 2 2 5" xfId="48169" xr:uid="{00000000-0005-0000-0000-000029BC0000}"/>
    <cellStyle name="百分比 3 2 2 2 3" xfId="48170" xr:uid="{00000000-0005-0000-0000-00002ABC0000}"/>
    <cellStyle name="百分比 3 2 2 2 3 2" xfId="48171" xr:uid="{00000000-0005-0000-0000-00002BBC0000}"/>
    <cellStyle name="百分比 3 2 2 2 3 2 2" xfId="48172" xr:uid="{00000000-0005-0000-0000-00002CBC0000}"/>
    <cellStyle name="百分比 3 2 2 2 3 2 3" xfId="48173" xr:uid="{00000000-0005-0000-0000-00002DBC0000}"/>
    <cellStyle name="百分比 3 2 2 2 3 2 4" xfId="48174" xr:uid="{00000000-0005-0000-0000-00002EBC0000}"/>
    <cellStyle name="百分比 3 2 2 2 3 3" xfId="48175" xr:uid="{00000000-0005-0000-0000-00002FBC0000}"/>
    <cellStyle name="百分比 3 2 2 2 3 4" xfId="48176" xr:uid="{00000000-0005-0000-0000-000030BC0000}"/>
    <cellStyle name="百分比 3 2 2 2 3 5" xfId="48177" xr:uid="{00000000-0005-0000-0000-000031BC0000}"/>
    <cellStyle name="百分比 3 2 2 2 4" xfId="48178" xr:uid="{00000000-0005-0000-0000-000032BC0000}"/>
    <cellStyle name="百分比 3 2 2 2 4 2" xfId="48179" xr:uid="{00000000-0005-0000-0000-000033BC0000}"/>
    <cellStyle name="百分比 3 2 2 2 4 3" xfId="48180" xr:uid="{00000000-0005-0000-0000-000034BC0000}"/>
    <cellStyle name="百分比 3 2 2 2 4 4" xfId="48181" xr:uid="{00000000-0005-0000-0000-000035BC0000}"/>
    <cellStyle name="百分比 3 2 2 2 5" xfId="48182" xr:uid="{00000000-0005-0000-0000-000036BC0000}"/>
    <cellStyle name="百分比 3 2 2 2 6" xfId="48183" xr:uid="{00000000-0005-0000-0000-000037BC0000}"/>
    <cellStyle name="百分比 3 2 2 2 7" xfId="48184" xr:uid="{00000000-0005-0000-0000-000038BC0000}"/>
    <cellStyle name="百分比 3 2 2 3" xfId="48185" xr:uid="{00000000-0005-0000-0000-000039BC0000}"/>
    <cellStyle name="百分比 3 2 2 3 2" xfId="48186" xr:uid="{00000000-0005-0000-0000-00003ABC0000}"/>
    <cellStyle name="百分比 3 2 2 3 2 2" xfId="48187" xr:uid="{00000000-0005-0000-0000-00003BBC0000}"/>
    <cellStyle name="百分比 3 2 2 3 2 3" xfId="48188" xr:uid="{00000000-0005-0000-0000-00003CBC0000}"/>
    <cellStyle name="百分比 3 2 2 3 2 4" xfId="48189" xr:uid="{00000000-0005-0000-0000-00003DBC0000}"/>
    <cellStyle name="百分比 3 2 2 3 3" xfId="48190" xr:uid="{00000000-0005-0000-0000-00003EBC0000}"/>
    <cellStyle name="百分比 3 2 2 3 4" xfId="48191" xr:uid="{00000000-0005-0000-0000-00003FBC0000}"/>
    <cellStyle name="百分比 3 2 2 3 5" xfId="48192" xr:uid="{00000000-0005-0000-0000-000040BC0000}"/>
    <cellStyle name="百分比 3 2 2 4" xfId="48193" xr:uid="{00000000-0005-0000-0000-000041BC0000}"/>
    <cellStyle name="百分比 3 2 2 4 2" xfId="48194" xr:uid="{00000000-0005-0000-0000-000042BC0000}"/>
    <cellStyle name="百分比 3 2 2 4 2 2" xfId="48195" xr:uid="{00000000-0005-0000-0000-000043BC0000}"/>
    <cellStyle name="百分比 3 2 2 4 2 3" xfId="48196" xr:uid="{00000000-0005-0000-0000-000044BC0000}"/>
    <cellStyle name="百分比 3 2 2 4 2 4" xfId="48197" xr:uid="{00000000-0005-0000-0000-000045BC0000}"/>
    <cellStyle name="百分比 3 2 2 4 3" xfId="48198" xr:uid="{00000000-0005-0000-0000-000046BC0000}"/>
    <cellStyle name="百分比 3 2 2 4 4" xfId="48199" xr:uid="{00000000-0005-0000-0000-000047BC0000}"/>
    <cellStyle name="百分比 3 2 2 4 5" xfId="48200" xr:uid="{00000000-0005-0000-0000-000048BC0000}"/>
    <cellStyle name="百分比 3 2 2 5" xfId="48201" xr:uid="{00000000-0005-0000-0000-000049BC0000}"/>
    <cellStyle name="百分比 3 2 2 5 2" xfId="48202" xr:uid="{00000000-0005-0000-0000-00004ABC0000}"/>
    <cellStyle name="百分比 3 2 2 5 3" xfId="48203" xr:uid="{00000000-0005-0000-0000-00004BBC0000}"/>
    <cellStyle name="百分比 3 2 2 5 4" xfId="48204" xr:uid="{00000000-0005-0000-0000-00004CBC0000}"/>
    <cellStyle name="百分比 3 2 2 6" xfId="48205" xr:uid="{00000000-0005-0000-0000-00004DBC0000}"/>
    <cellStyle name="百分比 3 2 2 7" xfId="48206" xr:uid="{00000000-0005-0000-0000-00004EBC0000}"/>
    <cellStyle name="百分比 3 2 2 8" xfId="48207" xr:uid="{00000000-0005-0000-0000-00004FBC0000}"/>
    <cellStyle name="百分比 3 2 3" xfId="48208" xr:uid="{00000000-0005-0000-0000-000050BC0000}"/>
    <cellStyle name="百分比 3 2 3 2" xfId="48209" xr:uid="{00000000-0005-0000-0000-000051BC0000}"/>
    <cellStyle name="百分比 3 2 3 2 2" xfId="48210" xr:uid="{00000000-0005-0000-0000-000052BC0000}"/>
    <cellStyle name="百分比 3 2 3 2 3" xfId="48211" xr:uid="{00000000-0005-0000-0000-000053BC0000}"/>
    <cellStyle name="百分比 3 2 3 2 4" xfId="48212" xr:uid="{00000000-0005-0000-0000-000054BC0000}"/>
    <cellStyle name="百分比 3 2 3 3" xfId="48213" xr:uid="{00000000-0005-0000-0000-000055BC0000}"/>
    <cellStyle name="百分比 3 2 3 4" xfId="48214" xr:uid="{00000000-0005-0000-0000-000056BC0000}"/>
    <cellStyle name="百分比 3 2 3 5" xfId="48215" xr:uid="{00000000-0005-0000-0000-000057BC0000}"/>
    <cellStyle name="百分比 3 2 4" xfId="48216" xr:uid="{00000000-0005-0000-0000-000058BC0000}"/>
    <cellStyle name="百分比 3 2 4 2" xfId="48217" xr:uid="{00000000-0005-0000-0000-000059BC0000}"/>
    <cellStyle name="百分比 3 2 4 2 2" xfId="48218" xr:uid="{00000000-0005-0000-0000-00005ABC0000}"/>
    <cellStyle name="百分比 3 2 4 2 3" xfId="48219" xr:uid="{00000000-0005-0000-0000-00005BBC0000}"/>
    <cellStyle name="百分比 3 2 4 2 4" xfId="48220" xr:uid="{00000000-0005-0000-0000-00005CBC0000}"/>
    <cellStyle name="百分比 3 2 4 3" xfId="48221" xr:uid="{00000000-0005-0000-0000-00005DBC0000}"/>
    <cellStyle name="百分比 3 2 4 4" xfId="48222" xr:uid="{00000000-0005-0000-0000-00005EBC0000}"/>
    <cellStyle name="百分比 3 2 4 5" xfId="48223" xr:uid="{00000000-0005-0000-0000-00005FBC0000}"/>
    <cellStyle name="百分比 3 2 5" xfId="48224" xr:uid="{00000000-0005-0000-0000-000060BC0000}"/>
    <cellStyle name="百分比 3 2 5 2" xfId="48225" xr:uid="{00000000-0005-0000-0000-000061BC0000}"/>
    <cellStyle name="百分比 3 2 5 3" xfId="48226" xr:uid="{00000000-0005-0000-0000-000062BC0000}"/>
    <cellStyle name="百分比 3 2 5 4" xfId="48227" xr:uid="{00000000-0005-0000-0000-000063BC0000}"/>
    <cellStyle name="百分比 3 2 6" xfId="48228" xr:uid="{00000000-0005-0000-0000-000064BC0000}"/>
    <cellStyle name="百分比 3 2 7" xfId="48229" xr:uid="{00000000-0005-0000-0000-000065BC0000}"/>
    <cellStyle name="百分比 3 2 8" xfId="48230" xr:uid="{00000000-0005-0000-0000-000066BC0000}"/>
    <cellStyle name="百分比 3 3" xfId="48231" xr:uid="{00000000-0005-0000-0000-000067BC0000}"/>
    <cellStyle name="百分比 3 3 2" xfId="48232" xr:uid="{00000000-0005-0000-0000-000068BC0000}"/>
    <cellStyle name="百分比 3 3 2 2" xfId="48233" xr:uid="{00000000-0005-0000-0000-000069BC0000}"/>
    <cellStyle name="百分比 3 3 2 2 2" xfId="48234" xr:uid="{00000000-0005-0000-0000-00006ABC0000}"/>
    <cellStyle name="百分比 3 3 2 2 2 2" xfId="48235" xr:uid="{00000000-0005-0000-0000-00006BBC0000}"/>
    <cellStyle name="百分比 3 3 2 2 2 2 2" xfId="48236" xr:uid="{00000000-0005-0000-0000-00006CBC0000}"/>
    <cellStyle name="百分比 3 3 2 2 2 2 3" xfId="48237" xr:uid="{00000000-0005-0000-0000-00006DBC0000}"/>
    <cellStyle name="百分比 3 3 2 2 2 2 4" xfId="48238" xr:uid="{00000000-0005-0000-0000-00006EBC0000}"/>
    <cellStyle name="百分比 3 3 2 2 2 3" xfId="48239" xr:uid="{00000000-0005-0000-0000-00006FBC0000}"/>
    <cellStyle name="百分比 3 3 2 2 2 4" xfId="48240" xr:uid="{00000000-0005-0000-0000-000070BC0000}"/>
    <cellStyle name="百分比 3 3 2 2 2 5" xfId="48241" xr:uid="{00000000-0005-0000-0000-000071BC0000}"/>
    <cellStyle name="百分比 3 3 2 2 3" xfId="48242" xr:uid="{00000000-0005-0000-0000-000072BC0000}"/>
    <cellStyle name="百分比 3 3 2 2 3 2" xfId="48243" xr:uid="{00000000-0005-0000-0000-000073BC0000}"/>
    <cellStyle name="百分比 3 3 2 2 3 2 2" xfId="48244" xr:uid="{00000000-0005-0000-0000-000074BC0000}"/>
    <cellStyle name="百分比 3 3 2 2 3 2 3" xfId="48245" xr:uid="{00000000-0005-0000-0000-000075BC0000}"/>
    <cellStyle name="百分比 3 3 2 2 3 2 4" xfId="48246" xr:uid="{00000000-0005-0000-0000-000076BC0000}"/>
    <cellStyle name="百分比 3 3 2 2 3 3" xfId="48247" xr:uid="{00000000-0005-0000-0000-000077BC0000}"/>
    <cellStyle name="百分比 3 3 2 2 3 4" xfId="48248" xr:uid="{00000000-0005-0000-0000-000078BC0000}"/>
    <cellStyle name="百分比 3 3 2 2 3 5" xfId="48249" xr:uid="{00000000-0005-0000-0000-000079BC0000}"/>
    <cellStyle name="百分比 3 3 2 2 4" xfId="48250" xr:uid="{00000000-0005-0000-0000-00007ABC0000}"/>
    <cellStyle name="百分比 3 3 2 2 4 2" xfId="48251" xr:uid="{00000000-0005-0000-0000-00007BBC0000}"/>
    <cellStyle name="百分比 3 3 2 2 4 3" xfId="48252" xr:uid="{00000000-0005-0000-0000-00007CBC0000}"/>
    <cellStyle name="百分比 3 3 2 2 4 4" xfId="48253" xr:uid="{00000000-0005-0000-0000-00007DBC0000}"/>
    <cellStyle name="百分比 3 3 2 2 5" xfId="48254" xr:uid="{00000000-0005-0000-0000-00007EBC0000}"/>
    <cellStyle name="百分比 3 3 2 2 6" xfId="48255" xr:uid="{00000000-0005-0000-0000-00007FBC0000}"/>
    <cellStyle name="百分比 3 3 2 2 7" xfId="48256" xr:uid="{00000000-0005-0000-0000-000080BC0000}"/>
    <cellStyle name="百分比 3 3 2 3" xfId="48257" xr:uid="{00000000-0005-0000-0000-000081BC0000}"/>
    <cellStyle name="百分比 3 3 2 3 2" xfId="48258" xr:uid="{00000000-0005-0000-0000-000082BC0000}"/>
    <cellStyle name="百分比 3 3 2 3 2 2" xfId="48259" xr:uid="{00000000-0005-0000-0000-000083BC0000}"/>
    <cellStyle name="百分比 3 3 2 3 2 3" xfId="48260" xr:uid="{00000000-0005-0000-0000-000084BC0000}"/>
    <cellStyle name="百分比 3 3 2 3 2 4" xfId="48261" xr:uid="{00000000-0005-0000-0000-000085BC0000}"/>
    <cellStyle name="百分比 3 3 2 3 3" xfId="48262" xr:uid="{00000000-0005-0000-0000-000086BC0000}"/>
    <cellStyle name="百分比 3 3 2 3 4" xfId="48263" xr:uid="{00000000-0005-0000-0000-000087BC0000}"/>
    <cellStyle name="百分比 3 3 2 3 5" xfId="48264" xr:uid="{00000000-0005-0000-0000-000088BC0000}"/>
    <cellStyle name="百分比 3 3 2 4" xfId="48265" xr:uid="{00000000-0005-0000-0000-000089BC0000}"/>
    <cellStyle name="百分比 3 3 2 4 2" xfId="48266" xr:uid="{00000000-0005-0000-0000-00008ABC0000}"/>
    <cellStyle name="百分比 3 3 2 4 2 2" xfId="48267" xr:uid="{00000000-0005-0000-0000-00008BBC0000}"/>
    <cellStyle name="百分比 3 3 2 4 2 3" xfId="48268" xr:uid="{00000000-0005-0000-0000-00008CBC0000}"/>
    <cellStyle name="百分比 3 3 2 4 2 4" xfId="48269" xr:uid="{00000000-0005-0000-0000-00008DBC0000}"/>
    <cellStyle name="百分比 3 3 2 4 3" xfId="48270" xr:uid="{00000000-0005-0000-0000-00008EBC0000}"/>
    <cellStyle name="百分比 3 3 2 4 4" xfId="48271" xr:uid="{00000000-0005-0000-0000-00008FBC0000}"/>
    <cellStyle name="百分比 3 3 2 4 5" xfId="48272" xr:uid="{00000000-0005-0000-0000-000090BC0000}"/>
    <cellStyle name="百分比 3 3 2 5" xfId="48273" xr:uid="{00000000-0005-0000-0000-000091BC0000}"/>
    <cellStyle name="百分比 3 3 2 5 2" xfId="48274" xr:uid="{00000000-0005-0000-0000-000092BC0000}"/>
    <cellStyle name="百分比 3 3 2 5 3" xfId="48275" xr:uid="{00000000-0005-0000-0000-000093BC0000}"/>
    <cellStyle name="百分比 3 3 2 5 4" xfId="48276" xr:uid="{00000000-0005-0000-0000-000094BC0000}"/>
    <cellStyle name="百分比 3 3 2 6" xfId="48277" xr:uid="{00000000-0005-0000-0000-000095BC0000}"/>
    <cellStyle name="百分比 3 3 2 7" xfId="48278" xr:uid="{00000000-0005-0000-0000-000096BC0000}"/>
    <cellStyle name="百分比 3 3 2 8" xfId="48279" xr:uid="{00000000-0005-0000-0000-000097BC0000}"/>
    <cellStyle name="百分比 3 3 3" xfId="48280" xr:uid="{00000000-0005-0000-0000-000098BC0000}"/>
    <cellStyle name="百分比 3 3 3 2" xfId="48281" xr:uid="{00000000-0005-0000-0000-000099BC0000}"/>
    <cellStyle name="百分比 3 3 3 2 2" xfId="48282" xr:uid="{00000000-0005-0000-0000-00009ABC0000}"/>
    <cellStyle name="百分比 3 3 3 2 3" xfId="48283" xr:uid="{00000000-0005-0000-0000-00009BBC0000}"/>
    <cellStyle name="百分比 3 3 3 2 4" xfId="48284" xr:uid="{00000000-0005-0000-0000-00009CBC0000}"/>
    <cellStyle name="百分比 3 3 3 3" xfId="48285" xr:uid="{00000000-0005-0000-0000-00009DBC0000}"/>
    <cellStyle name="百分比 3 3 3 4" xfId="48286" xr:uid="{00000000-0005-0000-0000-00009EBC0000}"/>
    <cellStyle name="百分比 3 3 3 5" xfId="48287" xr:uid="{00000000-0005-0000-0000-00009FBC0000}"/>
    <cellStyle name="百分比 3 3 4" xfId="48288" xr:uid="{00000000-0005-0000-0000-0000A0BC0000}"/>
    <cellStyle name="百分比 3 3 4 2" xfId="48289" xr:uid="{00000000-0005-0000-0000-0000A1BC0000}"/>
    <cellStyle name="百分比 3 3 4 2 2" xfId="48290" xr:uid="{00000000-0005-0000-0000-0000A2BC0000}"/>
    <cellStyle name="百分比 3 3 4 2 3" xfId="48291" xr:uid="{00000000-0005-0000-0000-0000A3BC0000}"/>
    <cellStyle name="百分比 3 3 4 2 4" xfId="48292" xr:uid="{00000000-0005-0000-0000-0000A4BC0000}"/>
    <cellStyle name="百分比 3 3 4 3" xfId="48293" xr:uid="{00000000-0005-0000-0000-0000A5BC0000}"/>
    <cellStyle name="百分比 3 3 4 4" xfId="48294" xr:uid="{00000000-0005-0000-0000-0000A6BC0000}"/>
    <cellStyle name="百分比 3 3 4 5" xfId="48295" xr:uid="{00000000-0005-0000-0000-0000A7BC0000}"/>
    <cellStyle name="百分比 3 3 5" xfId="48296" xr:uid="{00000000-0005-0000-0000-0000A8BC0000}"/>
    <cellStyle name="百分比 3 3 5 2" xfId="48297" xr:uid="{00000000-0005-0000-0000-0000A9BC0000}"/>
    <cellStyle name="百分比 3 3 5 3" xfId="48298" xr:uid="{00000000-0005-0000-0000-0000AABC0000}"/>
    <cellStyle name="百分比 3 3 5 4" xfId="48299" xr:uid="{00000000-0005-0000-0000-0000ABBC0000}"/>
    <cellStyle name="百分比 3 3 6" xfId="48300" xr:uid="{00000000-0005-0000-0000-0000ACBC0000}"/>
    <cellStyle name="百分比 3 3 7" xfId="48301" xr:uid="{00000000-0005-0000-0000-0000ADBC0000}"/>
    <cellStyle name="百分比 3 3 8" xfId="48302" xr:uid="{00000000-0005-0000-0000-0000AEBC0000}"/>
    <cellStyle name="百分比 3 4" xfId="48303" xr:uid="{00000000-0005-0000-0000-0000AFBC0000}"/>
    <cellStyle name="百分比 3 4 2" xfId="48304" xr:uid="{00000000-0005-0000-0000-0000B0BC0000}"/>
    <cellStyle name="百分比 3 4 2 2" xfId="48305" xr:uid="{00000000-0005-0000-0000-0000B1BC0000}"/>
    <cellStyle name="百分比 3 4 2 2 2" xfId="48306" xr:uid="{00000000-0005-0000-0000-0000B2BC0000}"/>
    <cellStyle name="百分比 3 4 2 2 2 2" xfId="48307" xr:uid="{00000000-0005-0000-0000-0000B3BC0000}"/>
    <cellStyle name="百分比 3 4 2 2 2 2 2" xfId="48308" xr:uid="{00000000-0005-0000-0000-0000B4BC0000}"/>
    <cellStyle name="百分比 3 4 2 2 2 2 3" xfId="48309" xr:uid="{00000000-0005-0000-0000-0000B5BC0000}"/>
    <cellStyle name="百分比 3 4 2 2 2 2 4" xfId="48310" xr:uid="{00000000-0005-0000-0000-0000B6BC0000}"/>
    <cellStyle name="百分比 3 4 2 2 2 3" xfId="48311" xr:uid="{00000000-0005-0000-0000-0000B7BC0000}"/>
    <cellStyle name="百分比 3 4 2 2 2 4" xfId="48312" xr:uid="{00000000-0005-0000-0000-0000B8BC0000}"/>
    <cellStyle name="百分比 3 4 2 2 2 5" xfId="48313" xr:uid="{00000000-0005-0000-0000-0000B9BC0000}"/>
    <cellStyle name="百分比 3 4 2 2 3" xfId="48314" xr:uid="{00000000-0005-0000-0000-0000BABC0000}"/>
    <cellStyle name="百分比 3 4 2 2 3 2" xfId="48315" xr:uid="{00000000-0005-0000-0000-0000BBBC0000}"/>
    <cellStyle name="百分比 3 4 2 2 3 2 2" xfId="48316" xr:uid="{00000000-0005-0000-0000-0000BCBC0000}"/>
    <cellStyle name="百分比 3 4 2 2 3 2 3" xfId="48317" xr:uid="{00000000-0005-0000-0000-0000BDBC0000}"/>
    <cellStyle name="百分比 3 4 2 2 3 2 4" xfId="48318" xr:uid="{00000000-0005-0000-0000-0000BEBC0000}"/>
    <cellStyle name="百分比 3 4 2 2 3 3" xfId="48319" xr:uid="{00000000-0005-0000-0000-0000BFBC0000}"/>
    <cellStyle name="百分比 3 4 2 2 3 4" xfId="48320" xr:uid="{00000000-0005-0000-0000-0000C0BC0000}"/>
    <cellStyle name="百分比 3 4 2 2 3 5" xfId="48321" xr:uid="{00000000-0005-0000-0000-0000C1BC0000}"/>
    <cellStyle name="百分比 3 4 2 2 4" xfId="48322" xr:uid="{00000000-0005-0000-0000-0000C2BC0000}"/>
    <cellStyle name="百分比 3 4 2 2 4 2" xfId="48323" xr:uid="{00000000-0005-0000-0000-0000C3BC0000}"/>
    <cellStyle name="百分比 3 4 2 2 4 3" xfId="48324" xr:uid="{00000000-0005-0000-0000-0000C4BC0000}"/>
    <cellStyle name="百分比 3 4 2 2 4 4" xfId="48325" xr:uid="{00000000-0005-0000-0000-0000C5BC0000}"/>
    <cellStyle name="百分比 3 4 2 2 5" xfId="48326" xr:uid="{00000000-0005-0000-0000-0000C6BC0000}"/>
    <cellStyle name="百分比 3 4 2 2 6" xfId="48327" xr:uid="{00000000-0005-0000-0000-0000C7BC0000}"/>
    <cellStyle name="百分比 3 4 2 2 7" xfId="48328" xr:uid="{00000000-0005-0000-0000-0000C8BC0000}"/>
    <cellStyle name="百分比 3 4 2 3" xfId="48329" xr:uid="{00000000-0005-0000-0000-0000C9BC0000}"/>
    <cellStyle name="百分比 3 4 2 3 2" xfId="48330" xr:uid="{00000000-0005-0000-0000-0000CABC0000}"/>
    <cellStyle name="百分比 3 4 2 3 2 2" xfId="48331" xr:uid="{00000000-0005-0000-0000-0000CBBC0000}"/>
    <cellStyle name="百分比 3 4 2 3 2 3" xfId="48332" xr:uid="{00000000-0005-0000-0000-0000CCBC0000}"/>
    <cellStyle name="百分比 3 4 2 3 2 4" xfId="48333" xr:uid="{00000000-0005-0000-0000-0000CDBC0000}"/>
    <cellStyle name="百分比 3 4 2 3 3" xfId="48334" xr:uid="{00000000-0005-0000-0000-0000CEBC0000}"/>
    <cellStyle name="百分比 3 4 2 3 4" xfId="48335" xr:uid="{00000000-0005-0000-0000-0000CFBC0000}"/>
    <cellStyle name="百分比 3 4 2 3 5" xfId="48336" xr:uid="{00000000-0005-0000-0000-0000D0BC0000}"/>
    <cellStyle name="百分比 3 4 2 4" xfId="48337" xr:uid="{00000000-0005-0000-0000-0000D1BC0000}"/>
    <cellStyle name="百分比 3 4 2 4 2" xfId="48338" xr:uid="{00000000-0005-0000-0000-0000D2BC0000}"/>
    <cellStyle name="百分比 3 4 2 4 2 2" xfId="48339" xr:uid="{00000000-0005-0000-0000-0000D3BC0000}"/>
    <cellStyle name="百分比 3 4 2 4 2 3" xfId="48340" xr:uid="{00000000-0005-0000-0000-0000D4BC0000}"/>
    <cellStyle name="百分比 3 4 2 4 2 4" xfId="48341" xr:uid="{00000000-0005-0000-0000-0000D5BC0000}"/>
    <cellStyle name="百分比 3 4 2 4 3" xfId="48342" xr:uid="{00000000-0005-0000-0000-0000D6BC0000}"/>
    <cellStyle name="百分比 3 4 2 4 4" xfId="48343" xr:uid="{00000000-0005-0000-0000-0000D7BC0000}"/>
    <cellStyle name="百分比 3 4 2 4 5" xfId="48344" xr:uid="{00000000-0005-0000-0000-0000D8BC0000}"/>
    <cellStyle name="百分比 3 4 2 5" xfId="48345" xr:uid="{00000000-0005-0000-0000-0000D9BC0000}"/>
    <cellStyle name="百分比 3 4 2 5 2" xfId="48346" xr:uid="{00000000-0005-0000-0000-0000DABC0000}"/>
    <cellStyle name="百分比 3 4 2 5 3" xfId="48347" xr:uid="{00000000-0005-0000-0000-0000DBBC0000}"/>
    <cellStyle name="百分比 3 4 2 5 4" xfId="48348" xr:uid="{00000000-0005-0000-0000-0000DCBC0000}"/>
    <cellStyle name="百分比 3 4 2 6" xfId="48349" xr:uid="{00000000-0005-0000-0000-0000DDBC0000}"/>
    <cellStyle name="百分比 3 4 2 7" xfId="48350" xr:uid="{00000000-0005-0000-0000-0000DEBC0000}"/>
    <cellStyle name="百分比 3 4 2 8" xfId="48351" xr:uid="{00000000-0005-0000-0000-0000DFBC0000}"/>
    <cellStyle name="百分比 3 4 3" xfId="48352" xr:uid="{00000000-0005-0000-0000-0000E0BC0000}"/>
    <cellStyle name="百分比 3 4 3 2" xfId="48353" xr:uid="{00000000-0005-0000-0000-0000E1BC0000}"/>
    <cellStyle name="百分比 3 4 3 2 2" xfId="48354" xr:uid="{00000000-0005-0000-0000-0000E2BC0000}"/>
    <cellStyle name="百分比 3 4 3 2 3" xfId="48355" xr:uid="{00000000-0005-0000-0000-0000E3BC0000}"/>
    <cellStyle name="百分比 3 4 3 2 4" xfId="48356" xr:uid="{00000000-0005-0000-0000-0000E4BC0000}"/>
    <cellStyle name="百分比 3 4 3 3" xfId="48357" xr:uid="{00000000-0005-0000-0000-0000E5BC0000}"/>
    <cellStyle name="百分比 3 4 3 4" xfId="48358" xr:uid="{00000000-0005-0000-0000-0000E6BC0000}"/>
    <cellStyle name="百分比 3 4 3 5" xfId="48359" xr:uid="{00000000-0005-0000-0000-0000E7BC0000}"/>
    <cellStyle name="百分比 3 4 4" xfId="48360" xr:uid="{00000000-0005-0000-0000-0000E8BC0000}"/>
    <cellStyle name="百分比 3 4 4 2" xfId="48361" xr:uid="{00000000-0005-0000-0000-0000E9BC0000}"/>
    <cellStyle name="百分比 3 4 4 2 2" xfId="48362" xr:uid="{00000000-0005-0000-0000-0000EABC0000}"/>
    <cellStyle name="百分比 3 4 4 2 3" xfId="48363" xr:uid="{00000000-0005-0000-0000-0000EBBC0000}"/>
    <cellStyle name="百分比 3 4 4 2 4" xfId="48364" xr:uid="{00000000-0005-0000-0000-0000ECBC0000}"/>
    <cellStyle name="百分比 3 4 4 3" xfId="48365" xr:uid="{00000000-0005-0000-0000-0000EDBC0000}"/>
    <cellStyle name="百分比 3 4 4 4" xfId="48366" xr:uid="{00000000-0005-0000-0000-0000EEBC0000}"/>
    <cellStyle name="百分比 3 4 4 5" xfId="48367" xr:uid="{00000000-0005-0000-0000-0000EFBC0000}"/>
    <cellStyle name="百分比 3 4 5" xfId="48368" xr:uid="{00000000-0005-0000-0000-0000F0BC0000}"/>
    <cellStyle name="百分比 3 4 5 2" xfId="48369" xr:uid="{00000000-0005-0000-0000-0000F1BC0000}"/>
    <cellStyle name="百分比 3 4 5 3" xfId="48370" xr:uid="{00000000-0005-0000-0000-0000F2BC0000}"/>
    <cellStyle name="百分比 3 4 5 4" xfId="48371" xr:uid="{00000000-0005-0000-0000-0000F3BC0000}"/>
    <cellStyle name="百分比 3 4 6" xfId="48372" xr:uid="{00000000-0005-0000-0000-0000F4BC0000}"/>
    <cellStyle name="百分比 3 4 7" xfId="48373" xr:uid="{00000000-0005-0000-0000-0000F5BC0000}"/>
    <cellStyle name="百分比 3 4 8" xfId="48374" xr:uid="{00000000-0005-0000-0000-0000F6BC0000}"/>
    <cellStyle name="百分比 3 5" xfId="48375" xr:uid="{00000000-0005-0000-0000-0000F7BC0000}"/>
    <cellStyle name="百分比 3 5 2" xfId="48376" xr:uid="{00000000-0005-0000-0000-0000F8BC0000}"/>
    <cellStyle name="百分比 3 5 2 2" xfId="48377" xr:uid="{00000000-0005-0000-0000-0000F9BC0000}"/>
    <cellStyle name="百分比 3 5 2 2 2" xfId="48378" xr:uid="{00000000-0005-0000-0000-0000FABC0000}"/>
    <cellStyle name="百分比 3 5 2 2 2 2" xfId="48379" xr:uid="{00000000-0005-0000-0000-0000FBBC0000}"/>
    <cellStyle name="百分比 3 5 2 2 2 2 2" xfId="48380" xr:uid="{00000000-0005-0000-0000-0000FCBC0000}"/>
    <cellStyle name="百分比 3 5 2 2 2 2 3" xfId="48381" xr:uid="{00000000-0005-0000-0000-0000FDBC0000}"/>
    <cellStyle name="百分比 3 5 2 2 2 2 4" xfId="48382" xr:uid="{00000000-0005-0000-0000-0000FEBC0000}"/>
    <cellStyle name="百分比 3 5 2 2 2 3" xfId="48383" xr:uid="{00000000-0005-0000-0000-0000FFBC0000}"/>
    <cellStyle name="百分比 3 5 2 2 2 4" xfId="48384" xr:uid="{00000000-0005-0000-0000-000000BD0000}"/>
    <cellStyle name="百分比 3 5 2 2 2 5" xfId="48385" xr:uid="{00000000-0005-0000-0000-000001BD0000}"/>
    <cellStyle name="百分比 3 5 2 2 3" xfId="48386" xr:uid="{00000000-0005-0000-0000-000002BD0000}"/>
    <cellStyle name="百分比 3 5 2 2 3 2" xfId="48387" xr:uid="{00000000-0005-0000-0000-000003BD0000}"/>
    <cellStyle name="百分比 3 5 2 2 3 2 2" xfId="48388" xr:uid="{00000000-0005-0000-0000-000004BD0000}"/>
    <cellStyle name="百分比 3 5 2 2 3 2 3" xfId="48389" xr:uid="{00000000-0005-0000-0000-000005BD0000}"/>
    <cellStyle name="百分比 3 5 2 2 3 2 4" xfId="48390" xr:uid="{00000000-0005-0000-0000-000006BD0000}"/>
    <cellStyle name="百分比 3 5 2 2 3 3" xfId="48391" xr:uid="{00000000-0005-0000-0000-000007BD0000}"/>
    <cellStyle name="百分比 3 5 2 2 3 4" xfId="48392" xr:uid="{00000000-0005-0000-0000-000008BD0000}"/>
    <cellStyle name="百分比 3 5 2 2 3 5" xfId="48393" xr:uid="{00000000-0005-0000-0000-000009BD0000}"/>
    <cellStyle name="百分比 3 5 2 2 4" xfId="48394" xr:uid="{00000000-0005-0000-0000-00000ABD0000}"/>
    <cellStyle name="百分比 3 5 2 2 4 2" xfId="48395" xr:uid="{00000000-0005-0000-0000-00000BBD0000}"/>
    <cellStyle name="百分比 3 5 2 2 4 3" xfId="48396" xr:uid="{00000000-0005-0000-0000-00000CBD0000}"/>
    <cellStyle name="百分比 3 5 2 2 4 4" xfId="48397" xr:uid="{00000000-0005-0000-0000-00000DBD0000}"/>
    <cellStyle name="百分比 3 5 2 2 5" xfId="48398" xr:uid="{00000000-0005-0000-0000-00000EBD0000}"/>
    <cellStyle name="百分比 3 5 2 2 6" xfId="48399" xr:uid="{00000000-0005-0000-0000-00000FBD0000}"/>
    <cellStyle name="百分比 3 5 2 2 7" xfId="48400" xr:uid="{00000000-0005-0000-0000-000010BD0000}"/>
    <cellStyle name="百分比 3 5 2 3" xfId="48401" xr:uid="{00000000-0005-0000-0000-000011BD0000}"/>
    <cellStyle name="百分比 3 5 2 3 2" xfId="48402" xr:uid="{00000000-0005-0000-0000-000012BD0000}"/>
    <cellStyle name="百分比 3 5 2 3 2 2" xfId="48403" xr:uid="{00000000-0005-0000-0000-000013BD0000}"/>
    <cellStyle name="百分比 3 5 2 3 2 3" xfId="48404" xr:uid="{00000000-0005-0000-0000-000014BD0000}"/>
    <cellStyle name="百分比 3 5 2 3 2 4" xfId="48405" xr:uid="{00000000-0005-0000-0000-000015BD0000}"/>
    <cellStyle name="百分比 3 5 2 3 3" xfId="48406" xr:uid="{00000000-0005-0000-0000-000016BD0000}"/>
    <cellStyle name="百分比 3 5 2 3 4" xfId="48407" xr:uid="{00000000-0005-0000-0000-000017BD0000}"/>
    <cellStyle name="百分比 3 5 2 3 5" xfId="48408" xr:uid="{00000000-0005-0000-0000-000018BD0000}"/>
    <cellStyle name="百分比 3 5 2 4" xfId="48409" xr:uid="{00000000-0005-0000-0000-000019BD0000}"/>
    <cellStyle name="百分比 3 5 2 4 2" xfId="48410" xr:uid="{00000000-0005-0000-0000-00001ABD0000}"/>
    <cellStyle name="百分比 3 5 2 4 2 2" xfId="48411" xr:uid="{00000000-0005-0000-0000-00001BBD0000}"/>
    <cellStyle name="百分比 3 5 2 4 2 3" xfId="48412" xr:uid="{00000000-0005-0000-0000-00001CBD0000}"/>
    <cellStyle name="百分比 3 5 2 4 2 4" xfId="48413" xr:uid="{00000000-0005-0000-0000-00001DBD0000}"/>
    <cellStyle name="百分比 3 5 2 4 3" xfId="48414" xr:uid="{00000000-0005-0000-0000-00001EBD0000}"/>
    <cellStyle name="百分比 3 5 2 4 4" xfId="48415" xr:uid="{00000000-0005-0000-0000-00001FBD0000}"/>
    <cellStyle name="百分比 3 5 2 4 5" xfId="48416" xr:uid="{00000000-0005-0000-0000-000020BD0000}"/>
    <cellStyle name="百分比 3 5 2 5" xfId="48417" xr:uid="{00000000-0005-0000-0000-000021BD0000}"/>
    <cellStyle name="百分比 3 5 2 5 2" xfId="48418" xr:uid="{00000000-0005-0000-0000-000022BD0000}"/>
    <cellStyle name="百分比 3 5 2 5 3" xfId="48419" xr:uid="{00000000-0005-0000-0000-000023BD0000}"/>
    <cellStyle name="百分比 3 5 2 5 4" xfId="48420" xr:uid="{00000000-0005-0000-0000-000024BD0000}"/>
    <cellStyle name="百分比 3 5 2 6" xfId="48421" xr:uid="{00000000-0005-0000-0000-000025BD0000}"/>
    <cellStyle name="百分比 3 5 2 7" xfId="48422" xr:uid="{00000000-0005-0000-0000-000026BD0000}"/>
    <cellStyle name="百分比 3 5 2 8" xfId="48423" xr:uid="{00000000-0005-0000-0000-000027BD0000}"/>
    <cellStyle name="百分比 3 5 3" xfId="48424" xr:uid="{00000000-0005-0000-0000-000028BD0000}"/>
    <cellStyle name="百分比 3 5 3 2" xfId="48425" xr:uid="{00000000-0005-0000-0000-000029BD0000}"/>
    <cellStyle name="百分比 3 5 3 2 2" xfId="48426" xr:uid="{00000000-0005-0000-0000-00002ABD0000}"/>
    <cellStyle name="百分比 3 5 3 2 3" xfId="48427" xr:uid="{00000000-0005-0000-0000-00002BBD0000}"/>
    <cellStyle name="百分比 3 5 3 2 4" xfId="48428" xr:uid="{00000000-0005-0000-0000-00002CBD0000}"/>
    <cellStyle name="百分比 3 5 3 3" xfId="48429" xr:uid="{00000000-0005-0000-0000-00002DBD0000}"/>
    <cellStyle name="百分比 3 5 3 4" xfId="48430" xr:uid="{00000000-0005-0000-0000-00002EBD0000}"/>
    <cellStyle name="百分比 3 5 3 5" xfId="48431" xr:uid="{00000000-0005-0000-0000-00002FBD0000}"/>
    <cellStyle name="百分比 3 5 4" xfId="48432" xr:uid="{00000000-0005-0000-0000-000030BD0000}"/>
    <cellStyle name="百分比 3 5 4 2" xfId="48433" xr:uid="{00000000-0005-0000-0000-000031BD0000}"/>
    <cellStyle name="百分比 3 5 4 2 2" xfId="48434" xr:uid="{00000000-0005-0000-0000-000032BD0000}"/>
    <cellStyle name="百分比 3 5 4 2 3" xfId="48435" xr:uid="{00000000-0005-0000-0000-000033BD0000}"/>
    <cellStyle name="百分比 3 5 4 2 4" xfId="48436" xr:uid="{00000000-0005-0000-0000-000034BD0000}"/>
    <cellStyle name="百分比 3 5 4 3" xfId="48437" xr:uid="{00000000-0005-0000-0000-000035BD0000}"/>
    <cellStyle name="百分比 3 5 4 4" xfId="48438" xr:uid="{00000000-0005-0000-0000-000036BD0000}"/>
    <cellStyle name="百分比 3 5 4 5" xfId="48439" xr:uid="{00000000-0005-0000-0000-000037BD0000}"/>
    <cellStyle name="百分比 3 5 5" xfId="48440" xr:uid="{00000000-0005-0000-0000-000038BD0000}"/>
    <cellStyle name="百分比 3 5 5 2" xfId="48441" xr:uid="{00000000-0005-0000-0000-000039BD0000}"/>
    <cellStyle name="百分比 3 5 5 3" xfId="48442" xr:uid="{00000000-0005-0000-0000-00003ABD0000}"/>
    <cellStyle name="百分比 3 5 5 4" xfId="48443" xr:uid="{00000000-0005-0000-0000-00003BBD0000}"/>
    <cellStyle name="百分比 3 5 6" xfId="48444" xr:uid="{00000000-0005-0000-0000-00003CBD0000}"/>
    <cellStyle name="百分比 3 5 7" xfId="48445" xr:uid="{00000000-0005-0000-0000-00003DBD0000}"/>
    <cellStyle name="百分比 3 5 8" xfId="48446" xr:uid="{00000000-0005-0000-0000-00003EBD0000}"/>
    <cellStyle name="百分比 3 6" xfId="48447" xr:uid="{00000000-0005-0000-0000-00003FBD0000}"/>
    <cellStyle name="百分比 3 6 2" xfId="48448" xr:uid="{00000000-0005-0000-0000-000040BD0000}"/>
    <cellStyle name="百分比 3 6 2 2" xfId="48449" xr:uid="{00000000-0005-0000-0000-000041BD0000}"/>
    <cellStyle name="百分比 3 6 2 2 2" xfId="48450" xr:uid="{00000000-0005-0000-0000-000042BD0000}"/>
    <cellStyle name="百分比 3 6 2 2 2 2" xfId="48451" xr:uid="{00000000-0005-0000-0000-000043BD0000}"/>
    <cellStyle name="百分比 3 6 2 2 2 2 2" xfId="48452" xr:uid="{00000000-0005-0000-0000-000044BD0000}"/>
    <cellStyle name="百分比 3 6 2 2 2 2 3" xfId="48453" xr:uid="{00000000-0005-0000-0000-000045BD0000}"/>
    <cellStyle name="百分比 3 6 2 2 2 2 4" xfId="48454" xr:uid="{00000000-0005-0000-0000-000046BD0000}"/>
    <cellStyle name="百分比 3 6 2 2 2 3" xfId="48455" xr:uid="{00000000-0005-0000-0000-000047BD0000}"/>
    <cellStyle name="百分比 3 6 2 2 2 4" xfId="48456" xr:uid="{00000000-0005-0000-0000-000048BD0000}"/>
    <cellStyle name="百分比 3 6 2 2 2 5" xfId="48457" xr:uid="{00000000-0005-0000-0000-000049BD0000}"/>
    <cellStyle name="百分比 3 6 2 2 3" xfId="48458" xr:uid="{00000000-0005-0000-0000-00004ABD0000}"/>
    <cellStyle name="百分比 3 6 2 2 3 2" xfId="48459" xr:uid="{00000000-0005-0000-0000-00004BBD0000}"/>
    <cellStyle name="百分比 3 6 2 2 3 2 2" xfId="48460" xr:uid="{00000000-0005-0000-0000-00004CBD0000}"/>
    <cellStyle name="百分比 3 6 2 2 3 2 3" xfId="48461" xr:uid="{00000000-0005-0000-0000-00004DBD0000}"/>
    <cellStyle name="百分比 3 6 2 2 3 2 4" xfId="48462" xr:uid="{00000000-0005-0000-0000-00004EBD0000}"/>
    <cellStyle name="百分比 3 6 2 2 3 3" xfId="48463" xr:uid="{00000000-0005-0000-0000-00004FBD0000}"/>
    <cellStyle name="百分比 3 6 2 2 3 4" xfId="48464" xr:uid="{00000000-0005-0000-0000-000050BD0000}"/>
    <cellStyle name="百分比 3 6 2 2 3 5" xfId="48465" xr:uid="{00000000-0005-0000-0000-000051BD0000}"/>
    <cellStyle name="百分比 3 6 2 2 4" xfId="48466" xr:uid="{00000000-0005-0000-0000-000052BD0000}"/>
    <cellStyle name="百分比 3 6 2 2 4 2" xfId="48467" xr:uid="{00000000-0005-0000-0000-000053BD0000}"/>
    <cellStyle name="百分比 3 6 2 2 4 3" xfId="48468" xr:uid="{00000000-0005-0000-0000-000054BD0000}"/>
    <cellStyle name="百分比 3 6 2 2 4 4" xfId="48469" xr:uid="{00000000-0005-0000-0000-000055BD0000}"/>
    <cellStyle name="百分比 3 6 2 2 5" xfId="48470" xr:uid="{00000000-0005-0000-0000-000056BD0000}"/>
    <cellStyle name="百分比 3 6 2 2 6" xfId="48471" xr:uid="{00000000-0005-0000-0000-000057BD0000}"/>
    <cellStyle name="百分比 3 6 2 2 7" xfId="48472" xr:uid="{00000000-0005-0000-0000-000058BD0000}"/>
    <cellStyle name="百分比 3 6 2 3" xfId="48473" xr:uid="{00000000-0005-0000-0000-000059BD0000}"/>
    <cellStyle name="百分比 3 6 2 3 2" xfId="48474" xr:uid="{00000000-0005-0000-0000-00005ABD0000}"/>
    <cellStyle name="百分比 3 6 2 3 2 2" xfId="48475" xr:uid="{00000000-0005-0000-0000-00005BBD0000}"/>
    <cellStyle name="百分比 3 6 2 3 2 3" xfId="48476" xr:uid="{00000000-0005-0000-0000-00005CBD0000}"/>
    <cellStyle name="百分比 3 6 2 3 2 4" xfId="48477" xr:uid="{00000000-0005-0000-0000-00005DBD0000}"/>
    <cellStyle name="百分比 3 6 2 3 3" xfId="48478" xr:uid="{00000000-0005-0000-0000-00005EBD0000}"/>
    <cellStyle name="百分比 3 6 2 3 4" xfId="48479" xr:uid="{00000000-0005-0000-0000-00005FBD0000}"/>
    <cellStyle name="百分比 3 6 2 3 5" xfId="48480" xr:uid="{00000000-0005-0000-0000-000060BD0000}"/>
    <cellStyle name="百分比 3 6 2 4" xfId="48481" xr:uid="{00000000-0005-0000-0000-000061BD0000}"/>
    <cellStyle name="百分比 3 6 2 4 2" xfId="48482" xr:uid="{00000000-0005-0000-0000-000062BD0000}"/>
    <cellStyle name="百分比 3 6 2 4 2 2" xfId="48483" xr:uid="{00000000-0005-0000-0000-000063BD0000}"/>
    <cellStyle name="百分比 3 6 2 4 2 3" xfId="48484" xr:uid="{00000000-0005-0000-0000-000064BD0000}"/>
    <cellStyle name="百分比 3 6 2 4 2 4" xfId="48485" xr:uid="{00000000-0005-0000-0000-000065BD0000}"/>
    <cellStyle name="百分比 3 6 2 4 3" xfId="48486" xr:uid="{00000000-0005-0000-0000-000066BD0000}"/>
    <cellStyle name="百分比 3 6 2 4 4" xfId="48487" xr:uid="{00000000-0005-0000-0000-000067BD0000}"/>
    <cellStyle name="百分比 3 6 2 4 5" xfId="48488" xr:uid="{00000000-0005-0000-0000-000068BD0000}"/>
    <cellStyle name="百分比 3 6 2 5" xfId="48489" xr:uid="{00000000-0005-0000-0000-000069BD0000}"/>
    <cellStyle name="百分比 3 6 2 5 2" xfId="48490" xr:uid="{00000000-0005-0000-0000-00006ABD0000}"/>
    <cellStyle name="百分比 3 6 2 5 3" xfId="48491" xr:uid="{00000000-0005-0000-0000-00006BBD0000}"/>
    <cellStyle name="百分比 3 6 2 5 4" xfId="48492" xr:uid="{00000000-0005-0000-0000-00006CBD0000}"/>
    <cellStyle name="百分比 3 6 2 6" xfId="48493" xr:uid="{00000000-0005-0000-0000-00006DBD0000}"/>
    <cellStyle name="百分比 3 6 2 7" xfId="48494" xr:uid="{00000000-0005-0000-0000-00006EBD0000}"/>
    <cellStyle name="百分比 3 6 2 8" xfId="48495" xr:uid="{00000000-0005-0000-0000-00006FBD0000}"/>
    <cellStyle name="百分比 3 6 3" xfId="48496" xr:uid="{00000000-0005-0000-0000-000070BD0000}"/>
    <cellStyle name="百分比 3 6 3 2" xfId="48497" xr:uid="{00000000-0005-0000-0000-000071BD0000}"/>
    <cellStyle name="百分比 3 6 3 2 2" xfId="48498" xr:uid="{00000000-0005-0000-0000-000072BD0000}"/>
    <cellStyle name="百分比 3 6 3 2 3" xfId="48499" xr:uid="{00000000-0005-0000-0000-000073BD0000}"/>
    <cellStyle name="百分比 3 6 3 2 4" xfId="48500" xr:uid="{00000000-0005-0000-0000-000074BD0000}"/>
    <cellStyle name="百分比 3 6 3 3" xfId="48501" xr:uid="{00000000-0005-0000-0000-000075BD0000}"/>
    <cellStyle name="百分比 3 6 3 4" xfId="48502" xr:uid="{00000000-0005-0000-0000-000076BD0000}"/>
    <cellStyle name="百分比 3 6 3 5" xfId="48503" xr:uid="{00000000-0005-0000-0000-000077BD0000}"/>
    <cellStyle name="百分比 3 6 4" xfId="48504" xr:uid="{00000000-0005-0000-0000-000078BD0000}"/>
    <cellStyle name="百分比 3 6 4 2" xfId="48505" xr:uid="{00000000-0005-0000-0000-000079BD0000}"/>
    <cellStyle name="百分比 3 6 4 2 2" xfId="48506" xr:uid="{00000000-0005-0000-0000-00007ABD0000}"/>
    <cellStyle name="百分比 3 6 4 2 3" xfId="48507" xr:uid="{00000000-0005-0000-0000-00007BBD0000}"/>
    <cellStyle name="百分比 3 6 4 2 4" xfId="48508" xr:uid="{00000000-0005-0000-0000-00007CBD0000}"/>
    <cellStyle name="百分比 3 6 4 3" xfId="48509" xr:uid="{00000000-0005-0000-0000-00007DBD0000}"/>
    <cellStyle name="百分比 3 6 4 4" xfId="48510" xr:uid="{00000000-0005-0000-0000-00007EBD0000}"/>
    <cellStyle name="百分比 3 6 4 5" xfId="48511" xr:uid="{00000000-0005-0000-0000-00007FBD0000}"/>
    <cellStyle name="百分比 3 6 5" xfId="48512" xr:uid="{00000000-0005-0000-0000-000080BD0000}"/>
    <cellStyle name="百分比 3 6 5 2" xfId="48513" xr:uid="{00000000-0005-0000-0000-000081BD0000}"/>
    <cellStyle name="百分比 3 6 5 3" xfId="48514" xr:uid="{00000000-0005-0000-0000-000082BD0000}"/>
    <cellStyle name="百分比 3 6 5 4" xfId="48515" xr:uid="{00000000-0005-0000-0000-000083BD0000}"/>
    <cellStyle name="百分比 3 6 6" xfId="48516" xr:uid="{00000000-0005-0000-0000-000084BD0000}"/>
    <cellStyle name="百分比 3 6 7" xfId="48517" xr:uid="{00000000-0005-0000-0000-000085BD0000}"/>
    <cellStyle name="百分比 3 6 8" xfId="48518" xr:uid="{00000000-0005-0000-0000-000086BD0000}"/>
    <cellStyle name="百分比 3 7" xfId="48519" xr:uid="{00000000-0005-0000-0000-000087BD0000}"/>
    <cellStyle name="百分比 3 7 2" xfId="48520" xr:uid="{00000000-0005-0000-0000-000088BD0000}"/>
    <cellStyle name="百分比 3 7 2 2" xfId="48521" xr:uid="{00000000-0005-0000-0000-000089BD0000}"/>
    <cellStyle name="百分比 3 7 2 2 2" xfId="48522" xr:uid="{00000000-0005-0000-0000-00008ABD0000}"/>
    <cellStyle name="百分比 3 7 2 2 2 2" xfId="48523" xr:uid="{00000000-0005-0000-0000-00008BBD0000}"/>
    <cellStyle name="百分比 3 7 2 2 2 3" xfId="48524" xr:uid="{00000000-0005-0000-0000-00008CBD0000}"/>
    <cellStyle name="百分比 3 7 2 2 2 4" xfId="48525" xr:uid="{00000000-0005-0000-0000-00008DBD0000}"/>
    <cellStyle name="百分比 3 7 2 2 3" xfId="48526" xr:uid="{00000000-0005-0000-0000-00008EBD0000}"/>
    <cellStyle name="百分比 3 7 2 2 4" xfId="48527" xr:uid="{00000000-0005-0000-0000-00008FBD0000}"/>
    <cellStyle name="百分比 3 7 2 2 5" xfId="48528" xr:uid="{00000000-0005-0000-0000-000090BD0000}"/>
    <cellStyle name="百分比 3 7 2 3" xfId="48529" xr:uid="{00000000-0005-0000-0000-000091BD0000}"/>
    <cellStyle name="百分比 3 7 2 3 2" xfId="48530" xr:uid="{00000000-0005-0000-0000-000092BD0000}"/>
    <cellStyle name="百分比 3 7 2 3 2 2" xfId="48531" xr:uid="{00000000-0005-0000-0000-000093BD0000}"/>
    <cellStyle name="百分比 3 7 2 3 2 3" xfId="48532" xr:uid="{00000000-0005-0000-0000-000094BD0000}"/>
    <cellStyle name="百分比 3 7 2 3 2 4" xfId="48533" xr:uid="{00000000-0005-0000-0000-000095BD0000}"/>
    <cellStyle name="百分比 3 7 2 3 3" xfId="48534" xr:uid="{00000000-0005-0000-0000-000096BD0000}"/>
    <cellStyle name="百分比 3 7 2 3 4" xfId="48535" xr:uid="{00000000-0005-0000-0000-000097BD0000}"/>
    <cellStyle name="百分比 3 7 2 3 5" xfId="48536" xr:uid="{00000000-0005-0000-0000-000098BD0000}"/>
    <cellStyle name="百分比 3 7 2 4" xfId="48537" xr:uid="{00000000-0005-0000-0000-000099BD0000}"/>
    <cellStyle name="百分比 3 7 2 4 2" xfId="48538" xr:uid="{00000000-0005-0000-0000-00009ABD0000}"/>
    <cellStyle name="百分比 3 7 2 4 3" xfId="48539" xr:uid="{00000000-0005-0000-0000-00009BBD0000}"/>
    <cellStyle name="百分比 3 7 2 4 4" xfId="48540" xr:uid="{00000000-0005-0000-0000-00009CBD0000}"/>
    <cellStyle name="百分比 3 7 2 5" xfId="48541" xr:uid="{00000000-0005-0000-0000-00009DBD0000}"/>
    <cellStyle name="百分比 3 7 2 6" xfId="48542" xr:uid="{00000000-0005-0000-0000-00009EBD0000}"/>
    <cellStyle name="百分比 3 7 2 7" xfId="48543" xr:uid="{00000000-0005-0000-0000-00009FBD0000}"/>
    <cellStyle name="百分比 3 7 3" xfId="48544" xr:uid="{00000000-0005-0000-0000-0000A0BD0000}"/>
    <cellStyle name="百分比 3 7 3 2" xfId="48545" xr:uid="{00000000-0005-0000-0000-0000A1BD0000}"/>
    <cellStyle name="百分比 3 7 3 2 2" xfId="48546" xr:uid="{00000000-0005-0000-0000-0000A2BD0000}"/>
    <cellStyle name="百分比 3 7 3 2 3" xfId="48547" xr:uid="{00000000-0005-0000-0000-0000A3BD0000}"/>
    <cellStyle name="百分比 3 7 3 2 4" xfId="48548" xr:uid="{00000000-0005-0000-0000-0000A4BD0000}"/>
    <cellStyle name="百分比 3 7 3 3" xfId="48549" xr:uid="{00000000-0005-0000-0000-0000A5BD0000}"/>
    <cellStyle name="百分比 3 7 3 4" xfId="48550" xr:uid="{00000000-0005-0000-0000-0000A6BD0000}"/>
    <cellStyle name="百分比 3 7 3 5" xfId="48551" xr:uid="{00000000-0005-0000-0000-0000A7BD0000}"/>
    <cellStyle name="百分比 3 7 4" xfId="48552" xr:uid="{00000000-0005-0000-0000-0000A8BD0000}"/>
    <cellStyle name="百分比 3 7 4 2" xfId="48553" xr:uid="{00000000-0005-0000-0000-0000A9BD0000}"/>
    <cellStyle name="百分比 3 7 4 2 2" xfId="48554" xr:uid="{00000000-0005-0000-0000-0000AABD0000}"/>
    <cellStyle name="百分比 3 7 4 2 3" xfId="48555" xr:uid="{00000000-0005-0000-0000-0000ABBD0000}"/>
    <cellStyle name="百分比 3 7 4 2 4" xfId="48556" xr:uid="{00000000-0005-0000-0000-0000ACBD0000}"/>
    <cellStyle name="百分比 3 7 4 3" xfId="48557" xr:uid="{00000000-0005-0000-0000-0000ADBD0000}"/>
    <cellStyle name="百分比 3 7 4 4" xfId="48558" xr:uid="{00000000-0005-0000-0000-0000AEBD0000}"/>
    <cellStyle name="百分比 3 7 4 5" xfId="48559" xr:uid="{00000000-0005-0000-0000-0000AFBD0000}"/>
    <cellStyle name="百分比 3 7 5" xfId="48560" xr:uid="{00000000-0005-0000-0000-0000B0BD0000}"/>
    <cellStyle name="百分比 3 7 5 2" xfId="48561" xr:uid="{00000000-0005-0000-0000-0000B1BD0000}"/>
    <cellStyle name="百分比 3 7 5 3" xfId="48562" xr:uid="{00000000-0005-0000-0000-0000B2BD0000}"/>
    <cellStyle name="百分比 3 7 5 4" xfId="48563" xr:uid="{00000000-0005-0000-0000-0000B3BD0000}"/>
    <cellStyle name="百分比 3 7 6" xfId="48564" xr:uid="{00000000-0005-0000-0000-0000B4BD0000}"/>
    <cellStyle name="百分比 3 7 7" xfId="48565" xr:uid="{00000000-0005-0000-0000-0000B5BD0000}"/>
    <cellStyle name="百分比 3 7 8" xfId="48566" xr:uid="{00000000-0005-0000-0000-0000B6BD0000}"/>
    <cellStyle name="百分比 3 8" xfId="48567" xr:uid="{00000000-0005-0000-0000-0000B7BD0000}"/>
    <cellStyle name="百分比 3 8 2" xfId="48568" xr:uid="{00000000-0005-0000-0000-0000B8BD0000}"/>
    <cellStyle name="百分比 3 8 2 2" xfId="48569" xr:uid="{00000000-0005-0000-0000-0000B9BD0000}"/>
    <cellStyle name="百分比 3 8 2 3" xfId="48570" xr:uid="{00000000-0005-0000-0000-0000BABD0000}"/>
    <cellStyle name="百分比 3 8 2 4" xfId="48571" xr:uid="{00000000-0005-0000-0000-0000BBBD0000}"/>
    <cellStyle name="百分比 3 8 3" xfId="48572" xr:uid="{00000000-0005-0000-0000-0000BCBD0000}"/>
    <cellStyle name="百分比 3 8 4" xfId="48573" xr:uid="{00000000-0005-0000-0000-0000BDBD0000}"/>
    <cellStyle name="百分比 3 8 5" xfId="48574" xr:uid="{00000000-0005-0000-0000-0000BEBD0000}"/>
    <cellStyle name="百分比 3 9" xfId="48575" xr:uid="{00000000-0005-0000-0000-0000BFBD0000}"/>
    <cellStyle name="百分比 3 9 2" xfId="48576" xr:uid="{00000000-0005-0000-0000-0000C0BD0000}"/>
    <cellStyle name="百分比 3 9 2 2" xfId="48577" xr:uid="{00000000-0005-0000-0000-0000C1BD0000}"/>
    <cellStyle name="百分比 3 9 2 3" xfId="48578" xr:uid="{00000000-0005-0000-0000-0000C2BD0000}"/>
    <cellStyle name="百分比 3 9 2 4" xfId="48579" xr:uid="{00000000-0005-0000-0000-0000C3BD0000}"/>
    <cellStyle name="百分比 3 9 3" xfId="48580" xr:uid="{00000000-0005-0000-0000-0000C4BD0000}"/>
    <cellStyle name="百分比 3 9 4" xfId="48581" xr:uid="{00000000-0005-0000-0000-0000C5BD0000}"/>
    <cellStyle name="百分比 3 9 5" xfId="48582" xr:uid="{00000000-0005-0000-0000-0000C6BD0000}"/>
    <cellStyle name="百分比 4" xfId="48583" xr:uid="{00000000-0005-0000-0000-0000C7BD0000}"/>
    <cellStyle name="百分比 4 10" xfId="48584" xr:uid="{00000000-0005-0000-0000-0000C8BD0000}"/>
    <cellStyle name="百分比 4 10 2" xfId="48585" xr:uid="{00000000-0005-0000-0000-0000C9BD0000}"/>
    <cellStyle name="百分比 4 10 3" xfId="48586" xr:uid="{00000000-0005-0000-0000-0000CABD0000}"/>
    <cellStyle name="百分比 4 10 4" xfId="48587" xr:uid="{00000000-0005-0000-0000-0000CBBD0000}"/>
    <cellStyle name="百分比 4 11" xfId="48588" xr:uid="{00000000-0005-0000-0000-0000CCBD0000}"/>
    <cellStyle name="百分比 4 12" xfId="48589" xr:uid="{00000000-0005-0000-0000-0000CDBD0000}"/>
    <cellStyle name="百分比 4 13" xfId="48590" xr:uid="{00000000-0005-0000-0000-0000CEBD0000}"/>
    <cellStyle name="百分比 4 2" xfId="48591" xr:uid="{00000000-0005-0000-0000-0000CFBD0000}"/>
    <cellStyle name="百分比 4 2 2" xfId="48592" xr:uid="{00000000-0005-0000-0000-0000D0BD0000}"/>
    <cellStyle name="百分比 4 2 2 2" xfId="48593" xr:uid="{00000000-0005-0000-0000-0000D1BD0000}"/>
    <cellStyle name="百分比 4 2 2 2 2" xfId="48594" xr:uid="{00000000-0005-0000-0000-0000D2BD0000}"/>
    <cellStyle name="百分比 4 2 2 2 2 2" xfId="48595" xr:uid="{00000000-0005-0000-0000-0000D3BD0000}"/>
    <cellStyle name="百分比 4 2 2 2 2 2 2" xfId="48596" xr:uid="{00000000-0005-0000-0000-0000D4BD0000}"/>
    <cellStyle name="百分比 4 2 2 2 2 2 3" xfId="48597" xr:uid="{00000000-0005-0000-0000-0000D5BD0000}"/>
    <cellStyle name="百分比 4 2 2 2 2 2 4" xfId="48598" xr:uid="{00000000-0005-0000-0000-0000D6BD0000}"/>
    <cellStyle name="百分比 4 2 2 2 2 3" xfId="48599" xr:uid="{00000000-0005-0000-0000-0000D7BD0000}"/>
    <cellStyle name="百分比 4 2 2 2 2 4" xfId="48600" xr:uid="{00000000-0005-0000-0000-0000D8BD0000}"/>
    <cellStyle name="百分比 4 2 2 2 2 5" xfId="48601" xr:uid="{00000000-0005-0000-0000-0000D9BD0000}"/>
    <cellStyle name="百分比 4 2 2 2 3" xfId="48602" xr:uid="{00000000-0005-0000-0000-0000DABD0000}"/>
    <cellStyle name="百分比 4 2 2 2 3 2" xfId="48603" xr:uid="{00000000-0005-0000-0000-0000DBBD0000}"/>
    <cellStyle name="百分比 4 2 2 2 3 2 2" xfId="48604" xr:uid="{00000000-0005-0000-0000-0000DCBD0000}"/>
    <cellStyle name="百分比 4 2 2 2 3 2 3" xfId="48605" xr:uid="{00000000-0005-0000-0000-0000DDBD0000}"/>
    <cellStyle name="百分比 4 2 2 2 3 2 4" xfId="48606" xr:uid="{00000000-0005-0000-0000-0000DEBD0000}"/>
    <cellStyle name="百分比 4 2 2 2 3 3" xfId="48607" xr:uid="{00000000-0005-0000-0000-0000DFBD0000}"/>
    <cellStyle name="百分比 4 2 2 2 3 4" xfId="48608" xr:uid="{00000000-0005-0000-0000-0000E0BD0000}"/>
    <cellStyle name="百分比 4 2 2 2 3 5" xfId="48609" xr:uid="{00000000-0005-0000-0000-0000E1BD0000}"/>
    <cellStyle name="百分比 4 2 2 2 4" xfId="48610" xr:uid="{00000000-0005-0000-0000-0000E2BD0000}"/>
    <cellStyle name="百分比 4 2 2 2 4 2" xfId="48611" xr:uid="{00000000-0005-0000-0000-0000E3BD0000}"/>
    <cellStyle name="百分比 4 2 2 2 4 3" xfId="48612" xr:uid="{00000000-0005-0000-0000-0000E4BD0000}"/>
    <cellStyle name="百分比 4 2 2 2 4 4" xfId="48613" xr:uid="{00000000-0005-0000-0000-0000E5BD0000}"/>
    <cellStyle name="百分比 4 2 2 2 5" xfId="48614" xr:uid="{00000000-0005-0000-0000-0000E6BD0000}"/>
    <cellStyle name="百分比 4 2 2 2 6" xfId="48615" xr:uid="{00000000-0005-0000-0000-0000E7BD0000}"/>
    <cellStyle name="百分比 4 2 2 2 7" xfId="48616" xr:uid="{00000000-0005-0000-0000-0000E8BD0000}"/>
    <cellStyle name="百分比 4 2 2 3" xfId="48617" xr:uid="{00000000-0005-0000-0000-0000E9BD0000}"/>
    <cellStyle name="百分比 4 2 2 3 2" xfId="48618" xr:uid="{00000000-0005-0000-0000-0000EABD0000}"/>
    <cellStyle name="百分比 4 2 2 3 2 2" xfId="48619" xr:uid="{00000000-0005-0000-0000-0000EBBD0000}"/>
    <cellStyle name="百分比 4 2 2 3 2 3" xfId="48620" xr:uid="{00000000-0005-0000-0000-0000ECBD0000}"/>
    <cellStyle name="百分比 4 2 2 3 2 4" xfId="48621" xr:uid="{00000000-0005-0000-0000-0000EDBD0000}"/>
    <cellStyle name="百分比 4 2 2 3 3" xfId="48622" xr:uid="{00000000-0005-0000-0000-0000EEBD0000}"/>
    <cellStyle name="百分比 4 2 2 3 4" xfId="48623" xr:uid="{00000000-0005-0000-0000-0000EFBD0000}"/>
    <cellStyle name="百分比 4 2 2 3 5" xfId="48624" xr:uid="{00000000-0005-0000-0000-0000F0BD0000}"/>
    <cellStyle name="百分比 4 2 2 4" xfId="48625" xr:uid="{00000000-0005-0000-0000-0000F1BD0000}"/>
    <cellStyle name="百分比 4 2 2 4 2" xfId="48626" xr:uid="{00000000-0005-0000-0000-0000F2BD0000}"/>
    <cellStyle name="百分比 4 2 2 4 2 2" xfId="48627" xr:uid="{00000000-0005-0000-0000-0000F3BD0000}"/>
    <cellStyle name="百分比 4 2 2 4 2 3" xfId="48628" xr:uid="{00000000-0005-0000-0000-0000F4BD0000}"/>
    <cellStyle name="百分比 4 2 2 4 2 4" xfId="48629" xr:uid="{00000000-0005-0000-0000-0000F5BD0000}"/>
    <cellStyle name="百分比 4 2 2 4 3" xfId="48630" xr:uid="{00000000-0005-0000-0000-0000F6BD0000}"/>
    <cellStyle name="百分比 4 2 2 4 4" xfId="48631" xr:uid="{00000000-0005-0000-0000-0000F7BD0000}"/>
    <cellStyle name="百分比 4 2 2 4 5" xfId="48632" xr:uid="{00000000-0005-0000-0000-0000F8BD0000}"/>
    <cellStyle name="百分比 4 2 2 5" xfId="48633" xr:uid="{00000000-0005-0000-0000-0000F9BD0000}"/>
    <cellStyle name="百分比 4 2 2 5 2" xfId="48634" xr:uid="{00000000-0005-0000-0000-0000FABD0000}"/>
    <cellStyle name="百分比 4 2 2 5 3" xfId="48635" xr:uid="{00000000-0005-0000-0000-0000FBBD0000}"/>
    <cellStyle name="百分比 4 2 2 5 4" xfId="48636" xr:uid="{00000000-0005-0000-0000-0000FCBD0000}"/>
    <cellStyle name="百分比 4 2 2 6" xfId="48637" xr:uid="{00000000-0005-0000-0000-0000FDBD0000}"/>
    <cellStyle name="百分比 4 2 2 7" xfId="48638" xr:uid="{00000000-0005-0000-0000-0000FEBD0000}"/>
    <cellStyle name="百分比 4 2 2 8" xfId="48639" xr:uid="{00000000-0005-0000-0000-0000FFBD0000}"/>
    <cellStyle name="百分比 4 2 3" xfId="48640" xr:uid="{00000000-0005-0000-0000-000000BE0000}"/>
    <cellStyle name="百分比 4 2 3 2" xfId="48641" xr:uid="{00000000-0005-0000-0000-000001BE0000}"/>
    <cellStyle name="百分比 4 2 3 2 2" xfId="48642" xr:uid="{00000000-0005-0000-0000-000002BE0000}"/>
    <cellStyle name="百分比 4 2 3 2 3" xfId="48643" xr:uid="{00000000-0005-0000-0000-000003BE0000}"/>
    <cellStyle name="百分比 4 2 3 2 4" xfId="48644" xr:uid="{00000000-0005-0000-0000-000004BE0000}"/>
    <cellStyle name="百分比 4 2 3 3" xfId="48645" xr:uid="{00000000-0005-0000-0000-000005BE0000}"/>
    <cellStyle name="百分比 4 2 3 4" xfId="48646" xr:uid="{00000000-0005-0000-0000-000006BE0000}"/>
    <cellStyle name="百分比 4 2 3 5" xfId="48647" xr:uid="{00000000-0005-0000-0000-000007BE0000}"/>
    <cellStyle name="百分比 4 2 4" xfId="48648" xr:uid="{00000000-0005-0000-0000-000008BE0000}"/>
    <cellStyle name="百分比 4 2 4 2" xfId="48649" xr:uid="{00000000-0005-0000-0000-000009BE0000}"/>
    <cellStyle name="百分比 4 2 4 2 2" xfId="48650" xr:uid="{00000000-0005-0000-0000-00000ABE0000}"/>
    <cellStyle name="百分比 4 2 4 2 3" xfId="48651" xr:uid="{00000000-0005-0000-0000-00000BBE0000}"/>
    <cellStyle name="百分比 4 2 4 2 4" xfId="48652" xr:uid="{00000000-0005-0000-0000-00000CBE0000}"/>
    <cellStyle name="百分比 4 2 4 3" xfId="48653" xr:uid="{00000000-0005-0000-0000-00000DBE0000}"/>
    <cellStyle name="百分比 4 2 4 4" xfId="48654" xr:uid="{00000000-0005-0000-0000-00000EBE0000}"/>
    <cellStyle name="百分比 4 2 4 5" xfId="48655" xr:uid="{00000000-0005-0000-0000-00000FBE0000}"/>
    <cellStyle name="百分比 4 2 5" xfId="48656" xr:uid="{00000000-0005-0000-0000-000010BE0000}"/>
    <cellStyle name="百分比 4 2 5 2" xfId="48657" xr:uid="{00000000-0005-0000-0000-000011BE0000}"/>
    <cellStyle name="百分比 4 2 5 3" xfId="48658" xr:uid="{00000000-0005-0000-0000-000012BE0000}"/>
    <cellStyle name="百分比 4 2 5 4" xfId="48659" xr:uid="{00000000-0005-0000-0000-000013BE0000}"/>
    <cellStyle name="百分比 4 2 6" xfId="48660" xr:uid="{00000000-0005-0000-0000-000014BE0000}"/>
    <cellStyle name="百分比 4 2 7" xfId="48661" xr:uid="{00000000-0005-0000-0000-000015BE0000}"/>
    <cellStyle name="百分比 4 2 8" xfId="48662" xr:uid="{00000000-0005-0000-0000-000016BE0000}"/>
    <cellStyle name="百分比 4 3" xfId="48663" xr:uid="{00000000-0005-0000-0000-000017BE0000}"/>
    <cellStyle name="百分比 4 3 2" xfId="48664" xr:uid="{00000000-0005-0000-0000-000018BE0000}"/>
    <cellStyle name="百分比 4 3 2 2" xfId="48665" xr:uid="{00000000-0005-0000-0000-000019BE0000}"/>
    <cellStyle name="百分比 4 3 2 2 2" xfId="48666" xr:uid="{00000000-0005-0000-0000-00001ABE0000}"/>
    <cellStyle name="百分比 4 3 2 2 2 2" xfId="48667" xr:uid="{00000000-0005-0000-0000-00001BBE0000}"/>
    <cellStyle name="百分比 4 3 2 2 2 2 2" xfId="48668" xr:uid="{00000000-0005-0000-0000-00001CBE0000}"/>
    <cellStyle name="百分比 4 3 2 2 2 2 3" xfId="48669" xr:uid="{00000000-0005-0000-0000-00001DBE0000}"/>
    <cellStyle name="百分比 4 3 2 2 2 2 4" xfId="48670" xr:uid="{00000000-0005-0000-0000-00001EBE0000}"/>
    <cellStyle name="百分比 4 3 2 2 2 3" xfId="48671" xr:uid="{00000000-0005-0000-0000-00001FBE0000}"/>
    <cellStyle name="百分比 4 3 2 2 2 4" xfId="48672" xr:uid="{00000000-0005-0000-0000-000020BE0000}"/>
    <cellStyle name="百分比 4 3 2 2 2 5" xfId="48673" xr:uid="{00000000-0005-0000-0000-000021BE0000}"/>
    <cellStyle name="百分比 4 3 2 2 3" xfId="48674" xr:uid="{00000000-0005-0000-0000-000022BE0000}"/>
    <cellStyle name="百分比 4 3 2 2 3 2" xfId="48675" xr:uid="{00000000-0005-0000-0000-000023BE0000}"/>
    <cellStyle name="百分比 4 3 2 2 3 2 2" xfId="48676" xr:uid="{00000000-0005-0000-0000-000024BE0000}"/>
    <cellStyle name="百分比 4 3 2 2 3 2 3" xfId="48677" xr:uid="{00000000-0005-0000-0000-000025BE0000}"/>
    <cellStyle name="百分比 4 3 2 2 3 2 4" xfId="48678" xr:uid="{00000000-0005-0000-0000-000026BE0000}"/>
    <cellStyle name="百分比 4 3 2 2 3 3" xfId="48679" xr:uid="{00000000-0005-0000-0000-000027BE0000}"/>
    <cellStyle name="百分比 4 3 2 2 3 4" xfId="48680" xr:uid="{00000000-0005-0000-0000-000028BE0000}"/>
    <cellStyle name="百分比 4 3 2 2 3 5" xfId="48681" xr:uid="{00000000-0005-0000-0000-000029BE0000}"/>
    <cellStyle name="百分比 4 3 2 2 4" xfId="48682" xr:uid="{00000000-0005-0000-0000-00002ABE0000}"/>
    <cellStyle name="百分比 4 3 2 2 4 2" xfId="48683" xr:uid="{00000000-0005-0000-0000-00002BBE0000}"/>
    <cellStyle name="百分比 4 3 2 2 4 3" xfId="48684" xr:uid="{00000000-0005-0000-0000-00002CBE0000}"/>
    <cellStyle name="百分比 4 3 2 2 4 4" xfId="48685" xr:uid="{00000000-0005-0000-0000-00002DBE0000}"/>
    <cellStyle name="百分比 4 3 2 2 5" xfId="48686" xr:uid="{00000000-0005-0000-0000-00002EBE0000}"/>
    <cellStyle name="百分比 4 3 2 2 6" xfId="48687" xr:uid="{00000000-0005-0000-0000-00002FBE0000}"/>
    <cellStyle name="百分比 4 3 2 2 7" xfId="48688" xr:uid="{00000000-0005-0000-0000-000030BE0000}"/>
    <cellStyle name="百分比 4 3 2 3" xfId="48689" xr:uid="{00000000-0005-0000-0000-000031BE0000}"/>
    <cellStyle name="百分比 4 3 2 3 2" xfId="48690" xr:uid="{00000000-0005-0000-0000-000032BE0000}"/>
    <cellStyle name="百分比 4 3 2 3 2 2" xfId="48691" xr:uid="{00000000-0005-0000-0000-000033BE0000}"/>
    <cellStyle name="百分比 4 3 2 3 2 3" xfId="48692" xr:uid="{00000000-0005-0000-0000-000034BE0000}"/>
    <cellStyle name="百分比 4 3 2 3 2 4" xfId="48693" xr:uid="{00000000-0005-0000-0000-000035BE0000}"/>
    <cellStyle name="百分比 4 3 2 3 3" xfId="48694" xr:uid="{00000000-0005-0000-0000-000036BE0000}"/>
    <cellStyle name="百分比 4 3 2 3 4" xfId="48695" xr:uid="{00000000-0005-0000-0000-000037BE0000}"/>
    <cellStyle name="百分比 4 3 2 3 5" xfId="48696" xr:uid="{00000000-0005-0000-0000-000038BE0000}"/>
    <cellStyle name="百分比 4 3 2 4" xfId="48697" xr:uid="{00000000-0005-0000-0000-000039BE0000}"/>
    <cellStyle name="百分比 4 3 2 4 2" xfId="48698" xr:uid="{00000000-0005-0000-0000-00003ABE0000}"/>
    <cellStyle name="百分比 4 3 2 4 2 2" xfId="48699" xr:uid="{00000000-0005-0000-0000-00003BBE0000}"/>
    <cellStyle name="百分比 4 3 2 4 2 3" xfId="48700" xr:uid="{00000000-0005-0000-0000-00003CBE0000}"/>
    <cellStyle name="百分比 4 3 2 4 2 4" xfId="48701" xr:uid="{00000000-0005-0000-0000-00003DBE0000}"/>
    <cellStyle name="百分比 4 3 2 4 3" xfId="48702" xr:uid="{00000000-0005-0000-0000-00003EBE0000}"/>
    <cellStyle name="百分比 4 3 2 4 4" xfId="48703" xr:uid="{00000000-0005-0000-0000-00003FBE0000}"/>
    <cellStyle name="百分比 4 3 2 4 5" xfId="48704" xr:uid="{00000000-0005-0000-0000-000040BE0000}"/>
    <cellStyle name="百分比 4 3 2 5" xfId="48705" xr:uid="{00000000-0005-0000-0000-000041BE0000}"/>
    <cellStyle name="百分比 4 3 2 5 2" xfId="48706" xr:uid="{00000000-0005-0000-0000-000042BE0000}"/>
    <cellStyle name="百分比 4 3 2 5 3" xfId="48707" xr:uid="{00000000-0005-0000-0000-000043BE0000}"/>
    <cellStyle name="百分比 4 3 2 5 4" xfId="48708" xr:uid="{00000000-0005-0000-0000-000044BE0000}"/>
    <cellStyle name="百分比 4 3 2 6" xfId="48709" xr:uid="{00000000-0005-0000-0000-000045BE0000}"/>
    <cellStyle name="百分比 4 3 2 7" xfId="48710" xr:uid="{00000000-0005-0000-0000-000046BE0000}"/>
    <cellStyle name="百分比 4 3 2 8" xfId="48711" xr:uid="{00000000-0005-0000-0000-000047BE0000}"/>
    <cellStyle name="百分比 4 3 3" xfId="48712" xr:uid="{00000000-0005-0000-0000-000048BE0000}"/>
    <cellStyle name="百分比 4 3 3 2" xfId="48713" xr:uid="{00000000-0005-0000-0000-000049BE0000}"/>
    <cellStyle name="百分比 4 3 3 2 2" xfId="48714" xr:uid="{00000000-0005-0000-0000-00004ABE0000}"/>
    <cellStyle name="百分比 4 3 3 2 3" xfId="48715" xr:uid="{00000000-0005-0000-0000-00004BBE0000}"/>
    <cellStyle name="百分比 4 3 3 2 4" xfId="48716" xr:uid="{00000000-0005-0000-0000-00004CBE0000}"/>
    <cellStyle name="百分比 4 3 3 3" xfId="48717" xr:uid="{00000000-0005-0000-0000-00004DBE0000}"/>
    <cellStyle name="百分比 4 3 3 4" xfId="48718" xr:uid="{00000000-0005-0000-0000-00004EBE0000}"/>
    <cellStyle name="百分比 4 3 3 5" xfId="48719" xr:uid="{00000000-0005-0000-0000-00004FBE0000}"/>
    <cellStyle name="百分比 4 3 4" xfId="48720" xr:uid="{00000000-0005-0000-0000-000050BE0000}"/>
    <cellStyle name="百分比 4 3 4 2" xfId="48721" xr:uid="{00000000-0005-0000-0000-000051BE0000}"/>
    <cellStyle name="百分比 4 3 4 2 2" xfId="48722" xr:uid="{00000000-0005-0000-0000-000052BE0000}"/>
    <cellStyle name="百分比 4 3 4 2 3" xfId="48723" xr:uid="{00000000-0005-0000-0000-000053BE0000}"/>
    <cellStyle name="百分比 4 3 4 2 4" xfId="48724" xr:uid="{00000000-0005-0000-0000-000054BE0000}"/>
    <cellStyle name="百分比 4 3 4 3" xfId="48725" xr:uid="{00000000-0005-0000-0000-000055BE0000}"/>
    <cellStyle name="百分比 4 3 4 4" xfId="48726" xr:uid="{00000000-0005-0000-0000-000056BE0000}"/>
    <cellStyle name="百分比 4 3 4 5" xfId="48727" xr:uid="{00000000-0005-0000-0000-000057BE0000}"/>
    <cellStyle name="百分比 4 3 5" xfId="48728" xr:uid="{00000000-0005-0000-0000-000058BE0000}"/>
    <cellStyle name="百分比 4 3 5 2" xfId="48729" xr:uid="{00000000-0005-0000-0000-000059BE0000}"/>
    <cellStyle name="百分比 4 3 5 3" xfId="48730" xr:uid="{00000000-0005-0000-0000-00005ABE0000}"/>
    <cellStyle name="百分比 4 3 5 4" xfId="48731" xr:uid="{00000000-0005-0000-0000-00005BBE0000}"/>
    <cellStyle name="百分比 4 3 6" xfId="48732" xr:uid="{00000000-0005-0000-0000-00005CBE0000}"/>
    <cellStyle name="百分比 4 3 7" xfId="48733" xr:uid="{00000000-0005-0000-0000-00005DBE0000}"/>
    <cellStyle name="百分比 4 3 8" xfId="48734" xr:uid="{00000000-0005-0000-0000-00005EBE0000}"/>
    <cellStyle name="百分比 4 4" xfId="48735" xr:uid="{00000000-0005-0000-0000-00005FBE0000}"/>
    <cellStyle name="百分比 4 4 2" xfId="48736" xr:uid="{00000000-0005-0000-0000-000060BE0000}"/>
    <cellStyle name="百分比 4 4 2 2" xfId="48737" xr:uid="{00000000-0005-0000-0000-000061BE0000}"/>
    <cellStyle name="百分比 4 4 2 2 2" xfId="48738" xr:uid="{00000000-0005-0000-0000-000062BE0000}"/>
    <cellStyle name="百分比 4 4 2 2 2 2" xfId="48739" xr:uid="{00000000-0005-0000-0000-000063BE0000}"/>
    <cellStyle name="百分比 4 4 2 2 2 2 2" xfId="48740" xr:uid="{00000000-0005-0000-0000-000064BE0000}"/>
    <cellStyle name="百分比 4 4 2 2 2 2 3" xfId="48741" xr:uid="{00000000-0005-0000-0000-000065BE0000}"/>
    <cellStyle name="百分比 4 4 2 2 2 2 4" xfId="48742" xr:uid="{00000000-0005-0000-0000-000066BE0000}"/>
    <cellStyle name="百分比 4 4 2 2 2 3" xfId="48743" xr:uid="{00000000-0005-0000-0000-000067BE0000}"/>
    <cellStyle name="百分比 4 4 2 2 2 4" xfId="48744" xr:uid="{00000000-0005-0000-0000-000068BE0000}"/>
    <cellStyle name="百分比 4 4 2 2 2 5" xfId="48745" xr:uid="{00000000-0005-0000-0000-000069BE0000}"/>
    <cellStyle name="百分比 4 4 2 2 3" xfId="48746" xr:uid="{00000000-0005-0000-0000-00006ABE0000}"/>
    <cellStyle name="百分比 4 4 2 2 3 2" xfId="48747" xr:uid="{00000000-0005-0000-0000-00006BBE0000}"/>
    <cellStyle name="百分比 4 4 2 2 3 2 2" xfId="48748" xr:uid="{00000000-0005-0000-0000-00006CBE0000}"/>
    <cellStyle name="百分比 4 4 2 2 3 2 3" xfId="48749" xr:uid="{00000000-0005-0000-0000-00006DBE0000}"/>
    <cellStyle name="百分比 4 4 2 2 3 2 4" xfId="48750" xr:uid="{00000000-0005-0000-0000-00006EBE0000}"/>
    <cellStyle name="百分比 4 4 2 2 3 3" xfId="48751" xr:uid="{00000000-0005-0000-0000-00006FBE0000}"/>
    <cellStyle name="百分比 4 4 2 2 3 4" xfId="48752" xr:uid="{00000000-0005-0000-0000-000070BE0000}"/>
    <cellStyle name="百分比 4 4 2 2 3 5" xfId="48753" xr:uid="{00000000-0005-0000-0000-000071BE0000}"/>
    <cellStyle name="百分比 4 4 2 2 4" xfId="48754" xr:uid="{00000000-0005-0000-0000-000072BE0000}"/>
    <cellStyle name="百分比 4 4 2 2 4 2" xfId="48755" xr:uid="{00000000-0005-0000-0000-000073BE0000}"/>
    <cellStyle name="百分比 4 4 2 2 4 3" xfId="48756" xr:uid="{00000000-0005-0000-0000-000074BE0000}"/>
    <cellStyle name="百分比 4 4 2 2 4 4" xfId="48757" xr:uid="{00000000-0005-0000-0000-000075BE0000}"/>
    <cellStyle name="百分比 4 4 2 2 5" xfId="48758" xr:uid="{00000000-0005-0000-0000-000076BE0000}"/>
    <cellStyle name="百分比 4 4 2 2 6" xfId="48759" xr:uid="{00000000-0005-0000-0000-000077BE0000}"/>
    <cellStyle name="百分比 4 4 2 2 7" xfId="48760" xr:uid="{00000000-0005-0000-0000-000078BE0000}"/>
    <cellStyle name="百分比 4 4 2 3" xfId="48761" xr:uid="{00000000-0005-0000-0000-000079BE0000}"/>
    <cellStyle name="百分比 4 4 2 3 2" xfId="48762" xr:uid="{00000000-0005-0000-0000-00007ABE0000}"/>
    <cellStyle name="百分比 4 4 2 3 2 2" xfId="48763" xr:uid="{00000000-0005-0000-0000-00007BBE0000}"/>
    <cellStyle name="百分比 4 4 2 3 2 3" xfId="48764" xr:uid="{00000000-0005-0000-0000-00007CBE0000}"/>
    <cellStyle name="百分比 4 4 2 3 2 4" xfId="48765" xr:uid="{00000000-0005-0000-0000-00007DBE0000}"/>
    <cellStyle name="百分比 4 4 2 3 3" xfId="48766" xr:uid="{00000000-0005-0000-0000-00007EBE0000}"/>
    <cellStyle name="百分比 4 4 2 3 4" xfId="48767" xr:uid="{00000000-0005-0000-0000-00007FBE0000}"/>
    <cellStyle name="百分比 4 4 2 3 5" xfId="48768" xr:uid="{00000000-0005-0000-0000-000080BE0000}"/>
    <cellStyle name="百分比 4 4 2 4" xfId="48769" xr:uid="{00000000-0005-0000-0000-000081BE0000}"/>
    <cellStyle name="百分比 4 4 2 4 2" xfId="48770" xr:uid="{00000000-0005-0000-0000-000082BE0000}"/>
    <cellStyle name="百分比 4 4 2 4 2 2" xfId="48771" xr:uid="{00000000-0005-0000-0000-000083BE0000}"/>
    <cellStyle name="百分比 4 4 2 4 2 3" xfId="48772" xr:uid="{00000000-0005-0000-0000-000084BE0000}"/>
    <cellStyle name="百分比 4 4 2 4 2 4" xfId="48773" xr:uid="{00000000-0005-0000-0000-000085BE0000}"/>
    <cellStyle name="百分比 4 4 2 4 3" xfId="48774" xr:uid="{00000000-0005-0000-0000-000086BE0000}"/>
    <cellStyle name="百分比 4 4 2 4 4" xfId="48775" xr:uid="{00000000-0005-0000-0000-000087BE0000}"/>
    <cellStyle name="百分比 4 4 2 4 5" xfId="48776" xr:uid="{00000000-0005-0000-0000-000088BE0000}"/>
    <cellStyle name="百分比 4 4 2 5" xfId="48777" xr:uid="{00000000-0005-0000-0000-000089BE0000}"/>
    <cellStyle name="百分比 4 4 2 5 2" xfId="48778" xr:uid="{00000000-0005-0000-0000-00008ABE0000}"/>
    <cellStyle name="百分比 4 4 2 5 3" xfId="48779" xr:uid="{00000000-0005-0000-0000-00008BBE0000}"/>
    <cellStyle name="百分比 4 4 2 5 4" xfId="48780" xr:uid="{00000000-0005-0000-0000-00008CBE0000}"/>
    <cellStyle name="百分比 4 4 2 6" xfId="48781" xr:uid="{00000000-0005-0000-0000-00008DBE0000}"/>
    <cellStyle name="百分比 4 4 2 7" xfId="48782" xr:uid="{00000000-0005-0000-0000-00008EBE0000}"/>
    <cellStyle name="百分比 4 4 2 8" xfId="48783" xr:uid="{00000000-0005-0000-0000-00008FBE0000}"/>
    <cellStyle name="百分比 4 4 3" xfId="48784" xr:uid="{00000000-0005-0000-0000-000090BE0000}"/>
    <cellStyle name="百分比 4 4 3 2" xfId="48785" xr:uid="{00000000-0005-0000-0000-000091BE0000}"/>
    <cellStyle name="百分比 4 4 3 2 2" xfId="48786" xr:uid="{00000000-0005-0000-0000-000092BE0000}"/>
    <cellStyle name="百分比 4 4 3 2 3" xfId="48787" xr:uid="{00000000-0005-0000-0000-000093BE0000}"/>
    <cellStyle name="百分比 4 4 3 2 4" xfId="48788" xr:uid="{00000000-0005-0000-0000-000094BE0000}"/>
    <cellStyle name="百分比 4 4 3 3" xfId="48789" xr:uid="{00000000-0005-0000-0000-000095BE0000}"/>
    <cellStyle name="百分比 4 4 3 4" xfId="48790" xr:uid="{00000000-0005-0000-0000-000096BE0000}"/>
    <cellStyle name="百分比 4 4 3 5" xfId="48791" xr:uid="{00000000-0005-0000-0000-000097BE0000}"/>
    <cellStyle name="百分比 4 4 4" xfId="48792" xr:uid="{00000000-0005-0000-0000-000098BE0000}"/>
    <cellStyle name="百分比 4 4 4 2" xfId="48793" xr:uid="{00000000-0005-0000-0000-000099BE0000}"/>
    <cellStyle name="百分比 4 4 4 2 2" xfId="48794" xr:uid="{00000000-0005-0000-0000-00009ABE0000}"/>
    <cellStyle name="百分比 4 4 4 2 3" xfId="48795" xr:uid="{00000000-0005-0000-0000-00009BBE0000}"/>
    <cellStyle name="百分比 4 4 4 2 4" xfId="48796" xr:uid="{00000000-0005-0000-0000-00009CBE0000}"/>
    <cellStyle name="百分比 4 4 4 3" xfId="48797" xr:uid="{00000000-0005-0000-0000-00009DBE0000}"/>
    <cellStyle name="百分比 4 4 4 4" xfId="48798" xr:uid="{00000000-0005-0000-0000-00009EBE0000}"/>
    <cellStyle name="百分比 4 4 4 5" xfId="48799" xr:uid="{00000000-0005-0000-0000-00009FBE0000}"/>
    <cellStyle name="百分比 4 4 5" xfId="48800" xr:uid="{00000000-0005-0000-0000-0000A0BE0000}"/>
    <cellStyle name="百分比 4 4 5 2" xfId="48801" xr:uid="{00000000-0005-0000-0000-0000A1BE0000}"/>
    <cellStyle name="百分比 4 4 5 3" xfId="48802" xr:uid="{00000000-0005-0000-0000-0000A2BE0000}"/>
    <cellStyle name="百分比 4 4 5 4" xfId="48803" xr:uid="{00000000-0005-0000-0000-0000A3BE0000}"/>
    <cellStyle name="百分比 4 4 6" xfId="48804" xr:uid="{00000000-0005-0000-0000-0000A4BE0000}"/>
    <cellStyle name="百分比 4 4 7" xfId="48805" xr:uid="{00000000-0005-0000-0000-0000A5BE0000}"/>
    <cellStyle name="百分比 4 4 8" xfId="48806" xr:uid="{00000000-0005-0000-0000-0000A6BE0000}"/>
    <cellStyle name="百分比 4 5" xfId="48807" xr:uid="{00000000-0005-0000-0000-0000A7BE0000}"/>
    <cellStyle name="百分比 4 5 2" xfId="48808" xr:uid="{00000000-0005-0000-0000-0000A8BE0000}"/>
    <cellStyle name="百分比 4 5 2 2" xfId="48809" xr:uid="{00000000-0005-0000-0000-0000A9BE0000}"/>
    <cellStyle name="百分比 4 5 2 2 2" xfId="48810" xr:uid="{00000000-0005-0000-0000-0000AABE0000}"/>
    <cellStyle name="百分比 4 5 2 2 2 2" xfId="48811" xr:uid="{00000000-0005-0000-0000-0000ABBE0000}"/>
    <cellStyle name="百分比 4 5 2 2 2 2 2" xfId="48812" xr:uid="{00000000-0005-0000-0000-0000ACBE0000}"/>
    <cellStyle name="百分比 4 5 2 2 2 2 3" xfId="48813" xr:uid="{00000000-0005-0000-0000-0000ADBE0000}"/>
    <cellStyle name="百分比 4 5 2 2 2 2 4" xfId="48814" xr:uid="{00000000-0005-0000-0000-0000AEBE0000}"/>
    <cellStyle name="百分比 4 5 2 2 2 3" xfId="48815" xr:uid="{00000000-0005-0000-0000-0000AFBE0000}"/>
    <cellStyle name="百分比 4 5 2 2 2 4" xfId="48816" xr:uid="{00000000-0005-0000-0000-0000B0BE0000}"/>
    <cellStyle name="百分比 4 5 2 2 2 5" xfId="48817" xr:uid="{00000000-0005-0000-0000-0000B1BE0000}"/>
    <cellStyle name="百分比 4 5 2 2 3" xfId="48818" xr:uid="{00000000-0005-0000-0000-0000B2BE0000}"/>
    <cellStyle name="百分比 4 5 2 2 3 2" xfId="48819" xr:uid="{00000000-0005-0000-0000-0000B3BE0000}"/>
    <cellStyle name="百分比 4 5 2 2 3 2 2" xfId="48820" xr:uid="{00000000-0005-0000-0000-0000B4BE0000}"/>
    <cellStyle name="百分比 4 5 2 2 3 2 3" xfId="48821" xr:uid="{00000000-0005-0000-0000-0000B5BE0000}"/>
    <cellStyle name="百分比 4 5 2 2 3 2 4" xfId="48822" xr:uid="{00000000-0005-0000-0000-0000B6BE0000}"/>
    <cellStyle name="百分比 4 5 2 2 3 3" xfId="48823" xr:uid="{00000000-0005-0000-0000-0000B7BE0000}"/>
    <cellStyle name="百分比 4 5 2 2 3 4" xfId="48824" xr:uid="{00000000-0005-0000-0000-0000B8BE0000}"/>
    <cellStyle name="百分比 4 5 2 2 3 5" xfId="48825" xr:uid="{00000000-0005-0000-0000-0000B9BE0000}"/>
    <cellStyle name="百分比 4 5 2 2 4" xfId="48826" xr:uid="{00000000-0005-0000-0000-0000BABE0000}"/>
    <cellStyle name="百分比 4 5 2 2 4 2" xfId="48827" xr:uid="{00000000-0005-0000-0000-0000BBBE0000}"/>
    <cellStyle name="百分比 4 5 2 2 4 3" xfId="48828" xr:uid="{00000000-0005-0000-0000-0000BCBE0000}"/>
    <cellStyle name="百分比 4 5 2 2 4 4" xfId="48829" xr:uid="{00000000-0005-0000-0000-0000BDBE0000}"/>
    <cellStyle name="百分比 4 5 2 2 5" xfId="48830" xr:uid="{00000000-0005-0000-0000-0000BEBE0000}"/>
    <cellStyle name="百分比 4 5 2 2 6" xfId="48831" xr:uid="{00000000-0005-0000-0000-0000BFBE0000}"/>
    <cellStyle name="百分比 4 5 2 2 7" xfId="48832" xr:uid="{00000000-0005-0000-0000-0000C0BE0000}"/>
    <cellStyle name="百分比 4 5 2 3" xfId="48833" xr:uid="{00000000-0005-0000-0000-0000C1BE0000}"/>
    <cellStyle name="百分比 4 5 2 3 2" xfId="48834" xr:uid="{00000000-0005-0000-0000-0000C2BE0000}"/>
    <cellStyle name="百分比 4 5 2 3 2 2" xfId="48835" xr:uid="{00000000-0005-0000-0000-0000C3BE0000}"/>
    <cellStyle name="百分比 4 5 2 3 2 3" xfId="48836" xr:uid="{00000000-0005-0000-0000-0000C4BE0000}"/>
    <cellStyle name="百分比 4 5 2 3 2 4" xfId="48837" xr:uid="{00000000-0005-0000-0000-0000C5BE0000}"/>
    <cellStyle name="百分比 4 5 2 3 3" xfId="48838" xr:uid="{00000000-0005-0000-0000-0000C6BE0000}"/>
    <cellStyle name="百分比 4 5 2 3 4" xfId="48839" xr:uid="{00000000-0005-0000-0000-0000C7BE0000}"/>
    <cellStyle name="百分比 4 5 2 3 5" xfId="48840" xr:uid="{00000000-0005-0000-0000-0000C8BE0000}"/>
    <cellStyle name="百分比 4 5 2 4" xfId="48841" xr:uid="{00000000-0005-0000-0000-0000C9BE0000}"/>
    <cellStyle name="百分比 4 5 2 4 2" xfId="48842" xr:uid="{00000000-0005-0000-0000-0000CABE0000}"/>
    <cellStyle name="百分比 4 5 2 4 2 2" xfId="48843" xr:uid="{00000000-0005-0000-0000-0000CBBE0000}"/>
    <cellStyle name="百分比 4 5 2 4 2 3" xfId="48844" xr:uid="{00000000-0005-0000-0000-0000CCBE0000}"/>
    <cellStyle name="百分比 4 5 2 4 2 4" xfId="48845" xr:uid="{00000000-0005-0000-0000-0000CDBE0000}"/>
    <cellStyle name="百分比 4 5 2 4 3" xfId="48846" xr:uid="{00000000-0005-0000-0000-0000CEBE0000}"/>
    <cellStyle name="百分比 4 5 2 4 4" xfId="48847" xr:uid="{00000000-0005-0000-0000-0000CFBE0000}"/>
    <cellStyle name="百分比 4 5 2 4 5" xfId="48848" xr:uid="{00000000-0005-0000-0000-0000D0BE0000}"/>
    <cellStyle name="百分比 4 5 2 5" xfId="48849" xr:uid="{00000000-0005-0000-0000-0000D1BE0000}"/>
    <cellStyle name="百分比 4 5 2 5 2" xfId="48850" xr:uid="{00000000-0005-0000-0000-0000D2BE0000}"/>
    <cellStyle name="百分比 4 5 2 5 3" xfId="48851" xr:uid="{00000000-0005-0000-0000-0000D3BE0000}"/>
    <cellStyle name="百分比 4 5 2 5 4" xfId="48852" xr:uid="{00000000-0005-0000-0000-0000D4BE0000}"/>
    <cellStyle name="百分比 4 5 2 6" xfId="48853" xr:uid="{00000000-0005-0000-0000-0000D5BE0000}"/>
    <cellStyle name="百分比 4 5 2 7" xfId="48854" xr:uid="{00000000-0005-0000-0000-0000D6BE0000}"/>
    <cellStyle name="百分比 4 5 2 8" xfId="48855" xr:uid="{00000000-0005-0000-0000-0000D7BE0000}"/>
    <cellStyle name="百分比 4 5 3" xfId="48856" xr:uid="{00000000-0005-0000-0000-0000D8BE0000}"/>
    <cellStyle name="百分比 4 5 3 2" xfId="48857" xr:uid="{00000000-0005-0000-0000-0000D9BE0000}"/>
    <cellStyle name="百分比 4 5 3 2 2" xfId="48858" xr:uid="{00000000-0005-0000-0000-0000DABE0000}"/>
    <cellStyle name="百分比 4 5 3 2 3" xfId="48859" xr:uid="{00000000-0005-0000-0000-0000DBBE0000}"/>
    <cellStyle name="百分比 4 5 3 2 4" xfId="48860" xr:uid="{00000000-0005-0000-0000-0000DCBE0000}"/>
    <cellStyle name="百分比 4 5 3 3" xfId="48861" xr:uid="{00000000-0005-0000-0000-0000DDBE0000}"/>
    <cellStyle name="百分比 4 5 3 4" xfId="48862" xr:uid="{00000000-0005-0000-0000-0000DEBE0000}"/>
    <cellStyle name="百分比 4 5 3 5" xfId="48863" xr:uid="{00000000-0005-0000-0000-0000DFBE0000}"/>
    <cellStyle name="百分比 4 5 4" xfId="48864" xr:uid="{00000000-0005-0000-0000-0000E0BE0000}"/>
    <cellStyle name="百分比 4 5 4 2" xfId="48865" xr:uid="{00000000-0005-0000-0000-0000E1BE0000}"/>
    <cellStyle name="百分比 4 5 4 2 2" xfId="48866" xr:uid="{00000000-0005-0000-0000-0000E2BE0000}"/>
    <cellStyle name="百分比 4 5 4 2 3" xfId="48867" xr:uid="{00000000-0005-0000-0000-0000E3BE0000}"/>
    <cellStyle name="百分比 4 5 4 2 4" xfId="48868" xr:uid="{00000000-0005-0000-0000-0000E4BE0000}"/>
    <cellStyle name="百分比 4 5 4 3" xfId="48869" xr:uid="{00000000-0005-0000-0000-0000E5BE0000}"/>
    <cellStyle name="百分比 4 5 4 4" xfId="48870" xr:uid="{00000000-0005-0000-0000-0000E6BE0000}"/>
    <cellStyle name="百分比 4 5 4 5" xfId="48871" xr:uid="{00000000-0005-0000-0000-0000E7BE0000}"/>
    <cellStyle name="百分比 4 5 5" xfId="48872" xr:uid="{00000000-0005-0000-0000-0000E8BE0000}"/>
    <cellStyle name="百分比 4 5 5 2" xfId="48873" xr:uid="{00000000-0005-0000-0000-0000E9BE0000}"/>
    <cellStyle name="百分比 4 5 5 3" xfId="48874" xr:uid="{00000000-0005-0000-0000-0000EABE0000}"/>
    <cellStyle name="百分比 4 5 5 4" xfId="48875" xr:uid="{00000000-0005-0000-0000-0000EBBE0000}"/>
    <cellStyle name="百分比 4 5 6" xfId="48876" xr:uid="{00000000-0005-0000-0000-0000ECBE0000}"/>
    <cellStyle name="百分比 4 5 7" xfId="48877" xr:uid="{00000000-0005-0000-0000-0000EDBE0000}"/>
    <cellStyle name="百分比 4 5 8" xfId="48878" xr:uid="{00000000-0005-0000-0000-0000EEBE0000}"/>
    <cellStyle name="百分比 4 6" xfId="48879" xr:uid="{00000000-0005-0000-0000-0000EFBE0000}"/>
    <cellStyle name="百分比 4 6 2" xfId="48880" xr:uid="{00000000-0005-0000-0000-0000F0BE0000}"/>
    <cellStyle name="百分比 4 6 2 2" xfId="48881" xr:uid="{00000000-0005-0000-0000-0000F1BE0000}"/>
    <cellStyle name="百分比 4 6 2 2 2" xfId="48882" xr:uid="{00000000-0005-0000-0000-0000F2BE0000}"/>
    <cellStyle name="百分比 4 6 2 2 2 2" xfId="48883" xr:uid="{00000000-0005-0000-0000-0000F3BE0000}"/>
    <cellStyle name="百分比 4 6 2 2 2 2 2" xfId="48884" xr:uid="{00000000-0005-0000-0000-0000F4BE0000}"/>
    <cellStyle name="百分比 4 6 2 2 2 2 3" xfId="48885" xr:uid="{00000000-0005-0000-0000-0000F5BE0000}"/>
    <cellStyle name="百分比 4 6 2 2 2 2 4" xfId="48886" xr:uid="{00000000-0005-0000-0000-0000F6BE0000}"/>
    <cellStyle name="百分比 4 6 2 2 2 3" xfId="48887" xr:uid="{00000000-0005-0000-0000-0000F7BE0000}"/>
    <cellStyle name="百分比 4 6 2 2 2 4" xfId="48888" xr:uid="{00000000-0005-0000-0000-0000F8BE0000}"/>
    <cellStyle name="百分比 4 6 2 2 2 5" xfId="48889" xr:uid="{00000000-0005-0000-0000-0000F9BE0000}"/>
    <cellStyle name="百分比 4 6 2 2 3" xfId="48890" xr:uid="{00000000-0005-0000-0000-0000FABE0000}"/>
    <cellStyle name="百分比 4 6 2 2 3 2" xfId="48891" xr:uid="{00000000-0005-0000-0000-0000FBBE0000}"/>
    <cellStyle name="百分比 4 6 2 2 3 2 2" xfId="48892" xr:uid="{00000000-0005-0000-0000-0000FCBE0000}"/>
    <cellStyle name="百分比 4 6 2 2 3 2 3" xfId="48893" xr:uid="{00000000-0005-0000-0000-0000FDBE0000}"/>
    <cellStyle name="百分比 4 6 2 2 3 2 4" xfId="48894" xr:uid="{00000000-0005-0000-0000-0000FEBE0000}"/>
    <cellStyle name="百分比 4 6 2 2 3 3" xfId="48895" xr:uid="{00000000-0005-0000-0000-0000FFBE0000}"/>
    <cellStyle name="百分比 4 6 2 2 3 4" xfId="48896" xr:uid="{00000000-0005-0000-0000-000000BF0000}"/>
    <cellStyle name="百分比 4 6 2 2 3 5" xfId="48897" xr:uid="{00000000-0005-0000-0000-000001BF0000}"/>
    <cellStyle name="百分比 4 6 2 2 4" xfId="48898" xr:uid="{00000000-0005-0000-0000-000002BF0000}"/>
    <cellStyle name="百分比 4 6 2 2 4 2" xfId="48899" xr:uid="{00000000-0005-0000-0000-000003BF0000}"/>
    <cellStyle name="百分比 4 6 2 2 4 3" xfId="48900" xr:uid="{00000000-0005-0000-0000-000004BF0000}"/>
    <cellStyle name="百分比 4 6 2 2 4 4" xfId="48901" xr:uid="{00000000-0005-0000-0000-000005BF0000}"/>
    <cellStyle name="百分比 4 6 2 2 5" xfId="48902" xr:uid="{00000000-0005-0000-0000-000006BF0000}"/>
    <cellStyle name="百分比 4 6 2 2 6" xfId="48903" xr:uid="{00000000-0005-0000-0000-000007BF0000}"/>
    <cellStyle name="百分比 4 6 2 2 7" xfId="48904" xr:uid="{00000000-0005-0000-0000-000008BF0000}"/>
    <cellStyle name="百分比 4 6 2 3" xfId="48905" xr:uid="{00000000-0005-0000-0000-000009BF0000}"/>
    <cellStyle name="百分比 4 6 2 3 2" xfId="48906" xr:uid="{00000000-0005-0000-0000-00000ABF0000}"/>
    <cellStyle name="百分比 4 6 2 3 2 2" xfId="48907" xr:uid="{00000000-0005-0000-0000-00000BBF0000}"/>
    <cellStyle name="百分比 4 6 2 3 2 3" xfId="48908" xr:uid="{00000000-0005-0000-0000-00000CBF0000}"/>
    <cellStyle name="百分比 4 6 2 3 2 4" xfId="48909" xr:uid="{00000000-0005-0000-0000-00000DBF0000}"/>
    <cellStyle name="百分比 4 6 2 3 3" xfId="48910" xr:uid="{00000000-0005-0000-0000-00000EBF0000}"/>
    <cellStyle name="百分比 4 6 2 3 4" xfId="48911" xr:uid="{00000000-0005-0000-0000-00000FBF0000}"/>
    <cellStyle name="百分比 4 6 2 3 5" xfId="48912" xr:uid="{00000000-0005-0000-0000-000010BF0000}"/>
    <cellStyle name="百分比 4 6 2 4" xfId="48913" xr:uid="{00000000-0005-0000-0000-000011BF0000}"/>
    <cellStyle name="百分比 4 6 2 4 2" xfId="48914" xr:uid="{00000000-0005-0000-0000-000012BF0000}"/>
    <cellStyle name="百分比 4 6 2 4 2 2" xfId="48915" xr:uid="{00000000-0005-0000-0000-000013BF0000}"/>
    <cellStyle name="百分比 4 6 2 4 2 3" xfId="48916" xr:uid="{00000000-0005-0000-0000-000014BF0000}"/>
    <cellStyle name="百分比 4 6 2 4 2 4" xfId="48917" xr:uid="{00000000-0005-0000-0000-000015BF0000}"/>
    <cellStyle name="百分比 4 6 2 4 3" xfId="48918" xr:uid="{00000000-0005-0000-0000-000016BF0000}"/>
    <cellStyle name="百分比 4 6 2 4 4" xfId="48919" xr:uid="{00000000-0005-0000-0000-000017BF0000}"/>
    <cellStyle name="百分比 4 6 2 4 5" xfId="48920" xr:uid="{00000000-0005-0000-0000-000018BF0000}"/>
    <cellStyle name="百分比 4 6 2 5" xfId="48921" xr:uid="{00000000-0005-0000-0000-000019BF0000}"/>
    <cellStyle name="百分比 4 6 2 5 2" xfId="48922" xr:uid="{00000000-0005-0000-0000-00001ABF0000}"/>
    <cellStyle name="百分比 4 6 2 5 3" xfId="48923" xr:uid="{00000000-0005-0000-0000-00001BBF0000}"/>
    <cellStyle name="百分比 4 6 2 5 4" xfId="48924" xr:uid="{00000000-0005-0000-0000-00001CBF0000}"/>
    <cellStyle name="百分比 4 6 2 6" xfId="48925" xr:uid="{00000000-0005-0000-0000-00001DBF0000}"/>
    <cellStyle name="百分比 4 6 2 7" xfId="48926" xr:uid="{00000000-0005-0000-0000-00001EBF0000}"/>
    <cellStyle name="百分比 4 6 2 8" xfId="48927" xr:uid="{00000000-0005-0000-0000-00001FBF0000}"/>
    <cellStyle name="百分比 4 6 3" xfId="48928" xr:uid="{00000000-0005-0000-0000-000020BF0000}"/>
    <cellStyle name="百分比 4 6 3 2" xfId="48929" xr:uid="{00000000-0005-0000-0000-000021BF0000}"/>
    <cellStyle name="百分比 4 6 3 2 2" xfId="48930" xr:uid="{00000000-0005-0000-0000-000022BF0000}"/>
    <cellStyle name="百分比 4 6 3 2 3" xfId="48931" xr:uid="{00000000-0005-0000-0000-000023BF0000}"/>
    <cellStyle name="百分比 4 6 3 2 4" xfId="48932" xr:uid="{00000000-0005-0000-0000-000024BF0000}"/>
    <cellStyle name="百分比 4 6 3 3" xfId="48933" xr:uid="{00000000-0005-0000-0000-000025BF0000}"/>
    <cellStyle name="百分比 4 6 3 4" xfId="48934" xr:uid="{00000000-0005-0000-0000-000026BF0000}"/>
    <cellStyle name="百分比 4 6 3 5" xfId="48935" xr:uid="{00000000-0005-0000-0000-000027BF0000}"/>
    <cellStyle name="百分比 4 6 4" xfId="48936" xr:uid="{00000000-0005-0000-0000-000028BF0000}"/>
    <cellStyle name="百分比 4 6 4 2" xfId="48937" xr:uid="{00000000-0005-0000-0000-000029BF0000}"/>
    <cellStyle name="百分比 4 6 4 2 2" xfId="48938" xr:uid="{00000000-0005-0000-0000-00002ABF0000}"/>
    <cellStyle name="百分比 4 6 4 2 3" xfId="48939" xr:uid="{00000000-0005-0000-0000-00002BBF0000}"/>
    <cellStyle name="百分比 4 6 4 2 4" xfId="48940" xr:uid="{00000000-0005-0000-0000-00002CBF0000}"/>
    <cellStyle name="百分比 4 6 4 3" xfId="48941" xr:uid="{00000000-0005-0000-0000-00002DBF0000}"/>
    <cellStyle name="百分比 4 6 4 4" xfId="48942" xr:uid="{00000000-0005-0000-0000-00002EBF0000}"/>
    <cellStyle name="百分比 4 6 4 5" xfId="48943" xr:uid="{00000000-0005-0000-0000-00002FBF0000}"/>
    <cellStyle name="百分比 4 6 5" xfId="48944" xr:uid="{00000000-0005-0000-0000-000030BF0000}"/>
    <cellStyle name="百分比 4 6 5 2" xfId="48945" xr:uid="{00000000-0005-0000-0000-000031BF0000}"/>
    <cellStyle name="百分比 4 6 5 3" xfId="48946" xr:uid="{00000000-0005-0000-0000-000032BF0000}"/>
    <cellStyle name="百分比 4 6 5 4" xfId="48947" xr:uid="{00000000-0005-0000-0000-000033BF0000}"/>
    <cellStyle name="百分比 4 6 6" xfId="48948" xr:uid="{00000000-0005-0000-0000-000034BF0000}"/>
    <cellStyle name="百分比 4 6 7" xfId="48949" xr:uid="{00000000-0005-0000-0000-000035BF0000}"/>
    <cellStyle name="百分比 4 6 8" xfId="48950" xr:uid="{00000000-0005-0000-0000-000036BF0000}"/>
    <cellStyle name="百分比 4 7" xfId="48951" xr:uid="{00000000-0005-0000-0000-000037BF0000}"/>
    <cellStyle name="百分比 4 7 2" xfId="48952" xr:uid="{00000000-0005-0000-0000-000038BF0000}"/>
    <cellStyle name="百分比 4 7 2 2" xfId="48953" xr:uid="{00000000-0005-0000-0000-000039BF0000}"/>
    <cellStyle name="百分比 4 7 2 2 2" xfId="48954" xr:uid="{00000000-0005-0000-0000-00003ABF0000}"/>
    <cellStyle name="百分比 4 7 2 2 2 2" xfId="48955" xr:uid="{00000000-0005-0000-0000-00003BBF0000}"/>
    <cellStyle name="百分比 4 7 2 2 2 3" xfId="48956" xr:uid="{00000000-0005-0000-0000-00003CBF0000}"/>
    <cellStyle name="百分比 4 7 2 2 2 4" xfId="48957" xr:uid="{00000000-0005-0000-0000-00003DBF0000}"/>
    <cellStyle name="百分比 4 7 2 2 3" xfId="48958" xr:uid="{00000000-0005-0000-0000-00003EBF0000}"/>
    <cellStyle name="百分比 4 7 2 2 4" xfId="48959" xr:uid="{00000000-0005-0000-0000-00003FBF0000}"/>
    <cellStyle name="百分比 4 7 2 2 5" xfId="48960" xr:uid="{00000000-0005-0000-0000-000040BF0000}"/>
    <cellStyle name="百分比 4 7 2 3" xfId="48961" xr:uid="{00000000-0005-0000-0000-000041BF0000}"/>
    <cellStyle name="百分比 4 7 2 3 2" xfId="48962" xr:uid="{00000000-0005-0000-0000-000042BF0000}"/>
    <cellStyle name="百分比 4 7 2 3 2 2" xfId="48963" xr:uid="{00000000-0005-0000-0000-000043BF0000}"/>
    <cellStyle name="百分比 4 7 2 3 2 3" xfId="48964" xr:uid="{00000000-0005-0000-0000-000044BF0000}"/>
    <cellStyle name="百分比 4 7 2 3 2 4" xfId="48965" xr:uid="{00000000-0005-0000-0000-000045BF0000}"/>
    <cellStyle name="百分比 4 7 2 3 3" xfId="48966" xr:uid="{00000000-0005-0000-0000-000046BF0000}"/>
    <cellStyle name="百分比 4 7 2 3 4" xfId="48967" xr:uid="{00000000-0005-0000-0000-000047BF0000}"/>
    <cellStyle name="百分比 4 7 2 3 5" xfId="48968" xr:uid="{00000000-0005-0000-0000-000048BF0000}"/>
    <cellStyle name="百分比 4 7 2 4" xfId="48969" xr:uid="{00000000-0005-0000-0000-000049BF0000}"/>
    <cellStyle name="百分比 4 7 2 4 2" xfId="48970" xr:uid="{00000000-0005-0000-0000-00004ABF0000}"/>
    <cellStyle name="百分比 4 7 2 4 3" xfId="48971" xr:uid="{00000000-0005-0000-0000-00004BBF0000}"/>
    <cellStyle name="百分比 4 7 2 4 4" xfId="48972" xr:uid="{00000000-0005-0000-0000-00004CBF0000}"/>
    <cellStyle name="百分比 4 7 2 5" xfId="48973" xr:uid="{00000000-0005-0000-0000-00004DBF0000}"/>
    <cellStyle name="百分比 4 7 2 6" xfId="48974" xr:uid="{00000000-0005-0000-0000-00004EBF0000}"/>
    <cellStyle name="百分比 4 7 2 7" xfId="48975" xr:uid="{00000000-0005-0000-0000-00004FBF0000}"/>
    <cellStyle name="百分比 4 7 3" xfId="48976" xr:uid="{00000000-0005-0000-0000-000050BF0000}"/>
    <cellStyle name="百分比 4 7 3 2" xfId="48977" xr:uid="{00000000-0005-0000-0000-000051BF0000}"/>
    <cellStyle name="百分比 4 7 3 2 2" xfId="48978" xr:uid="{00000000-0005-0000-0000-000052BF0000}"/>
    <cellStyle name="百分比 4 7 3 2 3" xfId="48979" xr:uid="{00000000-0005-0000-0000-000053BF0000}"/>
    <cellStyle name="百分比 4 7 3 2 4" xfId="48980" xr:uid="{00000000-0005-0000-0000-000054BF0000}"/>
    <cellStyle name="百分比 4 7 3 3" xfId="48981" xr:uid="{00000000-0005-0000-0000-000055BF0000}"/>
    <cellStyle name="百分比 4 7 3 4" xfId="48982" xr:uid="{00000000-0005-0000-0000-000056BF0000}"/>
    <cellStyle name="百分比 4 7 3 5" xfId="48983" xr:uid="{00000000-0005-0000-0000-000057BF0000}"/>
    <cellStyle name="百分比 4 7 4" xfId="48984" xr:uid="{00000000-0005-0000-0000-000058BF0000}"/>
    <cellStyle name="百分比 4 7 4 2" xfId="48985" xr:uid="{00000000-0005-0000-0000-000059BF0000}"/>
    <cellStyle name="百分比 4 7 4 2 2" xfId="48986" xr:uid="{00000000-0005-0000-0000-00005ABF0000}"/>
    <cellStyle name="百分比 4 7 4 2 3" xfId="48987" xr:uid="{00000000-0005-0000-0000-00005BBF0000}"/>
    <cellStyle name="百分比 4 7 4 2 4" xfId="48988" xr:uid="{00000000-0005-0000-0000-00005CBF0000}"/>
    <cellStyle name="百分比 4 7 4 3" xfId="48989" xr:uid="{00000000-0005-0000-0000-00005DBF0000}"/>
    <cellStyle name="百分比 4 7 4 4" xfId="48990" xr:uid="{00000000-0005-0000-0000-00005EBF0000}"/>
    <cellStyle name="百分比 4 7 4 5" xfId="48991" xr:uid="{00000000-0005-0000-0000-00005FBF0000}"/>
    <cellStyle name="百分比 4 7 5" xfId="48992" xr:uid="{00000000-0005-0000-0000-000060BF0000}"/>
    <cellStyle name="百分比 4 7 5 2" xfId="48993" xr:uid="{00000000-0005-0000-0000-000061BF0000}"/>
    <cellStyle name="百分比 4 7 5 3" xfId="48994" xr:uid="{00000000-0005-0000-0000-000062BF0000}"/>
    <cellStyle name="百分比 4 7 5 4" xfId="48995" xr:uid="{00000000-0005-0000-0000-000063BF0000}"/>
    <cellStyle name="百分比 4 7 6" xfId="48996" xr:uid="{00000000-0005-0000-0000-000064BF0000}"/>
    <cellStyle name="百分比 4 7 7" xfId="48997" xr:uid="{00000000-0005-0000-0000-000065BF0000}"/>
    <cellStyle name="百分比 4 7 8" xfId="48998" xr:uid="{00000000-0005-0000-0000-000066BF0000}"/>
    <cellStyle name="百分比 4 8" xfId="48999" xr:uid="{00000000-0005-0000-0000-000067BF0000}"/>
    <cellStyle name="百分比 4 8 2" xfId="49000" xr:uid="{00000000-0005-0000-0000-000068BF0000}"/>
    <cellStyle name="百分比 4 8 2 2" xfId="49001" xr:uid="{00000000-0005-0000-0000-000069BF0000}"/>
    <cellStyle name="百分比 4 8 2 3" xfId="49002" xr:uid="{00000000-0005-0000-0000-00006ABF0000}"/>
    <cellStyle name="百分比 4 8 2 4" xfId="49003" xr:uid="{00000000-0005-0000-0000-00006BBF0000}"/>
    <cellStyle name="百分比 4 8 3" xfId="49004" xr:uid="{00000000-0005-0000-0000-00006CBF0000}"/>
    <cellStyle name="百分比 4 8 4" xfId="49005" xr:uid="{00000000-0005-0000-0000-00006DBF0000}"/>
    <cellStyle name="百分比 4 8 5" xfId="49006" xr:uid="{00000000-0005-0000-0000-00006EBF0000}"/>
    <cellStyle name="百分比 4 9" xfId="49007" xr:uid="{00000000-0005-0000-0000-00006FBF0000}"/>
    <cellStyle name="百分比 4 9 2" xfId="49008" xr:uid="{00000000-0005-0000-0000-000070BF0000}"/>
    <cellStyle name="百分比 4 9 2 2" xfId="49009" xr:uid="{00000000-0005-0000-0000-000071BF0000}"/>
    <cellStyle name="百分比 4 9 2 3" xfId="49010" xr:uid="{00000000-0005-0000-0000-000072BF0000}"/>
    <cellStyle name="百分比 4 9 2 4" xfId="49011" xr:uid="{00000000-0005-0000-0000-000073BF0000}"/>
    <cellStyle name="百分比 4 9 3" xfId="49012" xr:uid="{00000000-0005-0000-0000-000074BF0000}"/>
    <cellStyle name="百分比 4 9 4" xfId="49013" xr:uid="{00000000-0005-0000-0000-000075BF0000}"/>
    <cellStyle name="百分比 4 9 5" xfId="49014" xr:uid="{00000000-0005-0000-0000-000076BF0000}"/>
    <cellStyle name="百分比 5" xfId="49015" xr:uid="{00000000-0005-0000-0000-000077BF0000}"/>
    <cellStyle name="百分比 5 2" xfId="49016" xr:uid="{00000000-0005-0000-0000-000078BF0000}"/>
    <cellStyle name="百分比 5 2 2" xfId="49017" xr:uid="{00000000-0005-0000-0000-000079BF0000}"/>
    <cellStyle name="百分比 5 2 3" xfId="49018" xr:uid="{00000000-0005-0000-0000-00007ABF0000}"/>
    <cellStyle name="百分比 5 2 4" xfId="49019" xr:uid="{00000000-0005-0000-0000-00007BBF0000}"/>
    <cellStyle name="百分比 5 3" xfId="49020" xr:uid="{00000000-0005-0000-0000-00007CBF0000}"/>
    <cellStyle name="百分比 5 4" xfId="49021" xr:uid="{00000000-0005-0000-0000-00007DBF0000}"/>
    <cellStyle name="百分比 5 5" xfId="49022" xr:uid="{00000000-0005-0000-0000-00007EBF0000}"/>
    <cellStyle name="百分比 6" xfId="49023" xr:uid="{00000000-0005-0000-0000-00007FBF0000}"/>
    <cellStyle name="百分比 6 2" xfId="49024" xr:uid="{00000000-0005-0000-0000-000080BF0000}"/>
    <cellStyle name="百分比 6 3" xfId="49025" xr:uid="{00000000-0005-0000-0000-000081BF0000}"/>
    <cellStyle name="解释性文本 2" xfId="49026" xr:uid="{00000000-0005-0000-0000-000082BF0000}"/>
    <cellStyle name="解释性文本 2 10" xfId="49027" xr:uid="{00000000-0005-0000-0000-000083BF0000}"/>
    <cellStyle name="解释性文本 2 11" xfId="49028" xr:uid="{00000000-0005-0000-0000-000084BF0000}"/>
    <cellStyle name="解释性文本 2 2" xfId="49029" xr:uid="{00000000-0005-0000-0000-000085BF0000}"/>
    <cellStyle name="解释性文本 2 2 10" xfId="49030" xr:uid="{00000000-0005-0000-0000-000086BF0000}"/>
    <cellStyle name="解释性文本 2 2 11" xfId="49031" xr:uid="{00000000-0005-0000-0000-000087BF0000}"/>
    <cellStyle name="解释性文本 2 2 2" xfId="49032" xr:uid="{00000000-0005-0000-0000-000088BF0000}"/>
    <cellStyle name="解释性文本 2 2 2 2" xfId="49033" xr:uid="{00000000-0005-0000-0000-000089BF0000}"/>
    <cellStyle name="解释性文本 2 2 2 2 2" xfId="49034" xr:uid="{00000000-0005-0000-0000-00008ABF0000}"/>
    <cellStyle name="解释性文本 2 2 2 2 2 2" xfId="49035" xr:uid="{00000000-0005-0000-0000-00008BBF0000}"/>
    <cellStyle name="解释性文本 2 2 2 2 2 3" xfId="49036" xr:uid="{00000000-0005-0000-0000-00008CBF0000}"/>
    <cellStyle name="解释性文本 2 2 2 2 2 3 2" xfId="49037" xr:uid="{00000000-0005-0000-0000-00008DBF0000}"/>
    <cellStyle name="解释性文本 2 2 2 2 2 3 2 2" xfId="49038" xr:uid="{00000000-0005-0000-0000-00008EBF0000}"/>
    <cellStyle name="解释性文本 2 2 2 2 2 4" xfId="49039" xr:uid="{00000000-0005-0000-0000-00008FBF0000}"/>
    <cellStyle name="解释性文本 2 2 2 2 2 4 2" xfId="49040" xr:uid="{00000000-0005-0000-0000-000090BF0000}"/>
    <cellStyle name="解释性文本 2 2 2 2 3" xfId="49041" xr:uid="{00000000-0005-0000-0000-000091BF0000}"/>
    <cellStyle name="解释性文本 2 2 2 2 3 2" xfId="49042" xr:uid="{00000000-0005-0000-0000-000092BF0000}"/>
    <cellStyle name="解释性文本 2 2 2 2 3 2 2" xfId="49043" xr:uid="{00000000-0005-0000-0000-000093BF0000}"/>
    <cellStyle name="解释性文本 2 2 2 2 3 2 2 2" xfId="49044" xr:uid="{00000000-0005-0000-0000-000094BF0000}"/>
    <cellStyle name="解释性文本 2 2 2 2 3 3" xfId="49045" xr:uid="{00000000-0005-0000-0000-000095BF0000}"/>
    <cellStyle name="解释性文本 2 2 2 2 3 3 2" xfId="49046" xr:uid="{00000000-0005-0000-0000-000096BF0000}"/>
    <cellStyle name="解释性文本 2 2 2 2 4" xfId="49047" xr:uid="{00000000-0005-0000-0000-000097BF0000}"/>
    <cellStyle name="解释性文本 2 2 2 2 5" xfId="49048" xr:uid="{00000000-0005-0000-0000-000098BF0000}"/>
    <cellStyle name="解释性文本 2 2 2 2 6" xfId="49049" xr:uid="{00000000-0005-0000-0000-000099BF0000}"/>
    <cellStyle name="解释性文本 2 2 2 3" xfId="49050" xr:uid="{00000000-0005-0000-0000-00009ABF0000}"/>
    <cellStyle name="解释性文本 2 2 2 3 2" xfId="49051" xr:uid="{00000000-0005-0000-0000-00009BBF0000}"/>
    <cellStyle name="解释性文本 2 2 2 3 3" xfId="49052" xr:uid="{00000000-0005-0000-0000-00009CBF0000}"/>
    <cellStyle name="解释性文本 2 2 2 3 3 2" xfId="49053" xr:uid="{00000000-0005-0000-0000-00009DBF0000}"/>
    <cellStyle name="解释性文本 2 2 2 3 3 2 2" xfId="49054" xr:uid="{00000000-0005-0000-0000-00009EBF0000}"/>
    <cellStyle name="解释性文本 2 2 2 3 4" xfId="49055" xr:uid="{00000000-0005-0000-0000-00009FBF0000}"/>
    <cellStyle name="解释性文本 2 2 2 3 4 2" xfId="49056" xr:uid="{00000000-0005-0000-0000-0000A0BF0000}"/>
    <cellStyle name="解释性文本 2 2 2 4" xfId="49057" xr:uid="{00000000-0005-0000-0000-0000A1BF0000}"/>
    <cellStyle name="解释性文本 2 2 2 4 2" xfId="49058" xr:uid="{00000000-0005-0000-0000-0000A2BF0000}"/>
    <cellStyle name="解释性文本 2 2 2 4 2 2" xfId="49059" xr:uid="{00000000-0005-0000-0000-0000A3BF0000}"/>
    <cellStyle name="解释性文本 2 2 2 4 2 2 2" xfId="49060" xr:uid="{00000000-0005-0000-0000-0000A4BF0000}"/>
    <cellStyle name="解释性文本 2 2 2 4 3" xfId="49061" xr:uid="{00000000-0005-0000-0000-0000A5BF0000}"/>
    <cellStyle name="解释性文本 2 2 2 4 3 2" xfId="49062" xr:uid="{00000000-0005-0000-0000-0000A6BF0000}"/>
    <cellStyle name="解释性文本 2 2 2 5" xfId="49063" xr:uid="{00000000-0005-0000-0000-0000A7BF0000}"/>
    <cellStyle name="解释性文本 2 2 2 6" xfId="49064" xr:uid="{00000000-0005-0000-0000-0000A8BF0000}"/>
    <cellStyle name="解释性文本 2 2 2 7" xfId="49065" xr:uid="{00000000-0005-0000-0000-0000A9BF0000}"/>
    <cellStyle name="解释性文本 2 2 3" xfId="49066" xr:uid="{00000000-0005-0000-0000-0000AABF0000}"/>
    <cellStyle name="解释性文本 2 2 3 2" xfId="49067" xr:uid="{00000000-0005-0000-0000-0000ABBF0000}"/>
    <cellStyle name="解释性文本 2 2 3 2 2" xfId="49068" xr:uid="{00000000-0005-0000-0000-0000ACBF0000}"/>
    <cellStyle name="解释性文本 2 2 3 2 3" xfId="49069" xr:uid="{00000000-0005-0000-0000-0000ADBF0000}"/>
    <cellStyle name="解释性文本 2 2 3 2 3 2" xfId="49070" xr:uid="{00000000-0005-0000-0000-0000AEBF0000}"/>
    <cellStyle name="解释性文本 2 2 3 2 3 2 2" xfId="49071" xr:uid="{00000000-0005-0000-0000-0000AFBF0000}"/>
    <cellStyle name="解释性文本 2 2 3 2 4" xfId="49072" xr:uid="{00000000-0005-0000-0000-0000B0BF0000}"/>
    <cellStyle name="解释性文本 2 2 3 2 4 2" xfId="49073" xr:uid="{00000000-0005-0000-0000-0000B1BF0000}"/>
    <cellStyle name="解释性文本 2 2 3 3" xfId="49074" xr:uid="{00000000-0005-0000-0000-0000B2BF0000}"/>
    <cellStyle name="解释性文本 2 2 3 3 2" xfId="49075" xr:uid="{00000000-0005-0000-0000-0000B3BF0000}"/>
    <cellStyle name="解释性文本 2 2 3 3 2 2" xfId="49076" xr:uid="{00000000-0005-0000-0000-0000B4BF0000}"/>
    <cellStyle name="解释性文本 2 2 3 3 2 2 2" xfId="49077" xr:uid="{00000000-0005-0000-0000-0000B5BF0000}"/>
    <cellStyle name="解释性文本 2 2 3 3 3" xfId="49078" xr:uid="{00000000-0005-0000-0000-0000B6BF0000}"/>
    <cellStyle name="解释性文本 2 2 3 3 3 2" xfId="49079" xr:uid="{00000000-0005-0000-0000-0000B7BF0000}"/>
    <cellStyle name="解释性文本 2 2 3 4" xfId="49080" xr:uid="{00000000-0005-0000-0000-0000B8BF0000}"/>
    <cellStyle name="解释性文本 2 2 3 5" xfId="49081" xr:uid="{00000000-0005-0000-0000-0000B9BF0000}"/>
    <cellStyle name="解释性文本 2 2 3 6" xfId="49082" xr:uid="{00000000-0005-0000-0000-0000BABF0000}"/>
    <cellStyle name="解释性文本 2 2 4" xfId="49083" xr:uid="{00000000-0005-0000-0000-0000BBBF0000}"/>
    <cellStyle name="解释性文本 2 2 4 2" xfId="49084" xr:uid="{00000000-0005-0000-0000-0000BCBF0000}"/>
    <cellStyle name="解释性文本 2 2 4 2 2" xfId="49085" xr:uid="{00000000-0005-0000-0000-0000BDBF0000}"/>
    <cellStyle name="解释性文本 2 2 4 2 3" xfId="49086" xr:uid="{00000000-0005-0000-0000-0000BEBF0000}"/>
    <cellStyle name="解释性文本 2 2 4 2 3 2" xfId="49087" xr:uid="{00000000-0005-0000-0000-0000BFBF0000}"/>
    <cellStyle name="解释性文本 2 2 4 2 3 2 2" xfId="49088" xr:uid="{00000000-0005-0000-0000-0000C0BF0000}"/>
    <cellStyle name="解释性文本 2 2 4 2 4" xfId="49089" xr:uid="{00000000-0005-0000-0000-0000C1BF0000}"/>
    <cellStyle name="解释性文本 2 2 4 2 4 2" xfId="49090" xr:uid="{00000000-0005-0000-0000-0000C2BF0000}"/>
    <cellStyle name="解释性文本 2 2 4 3" xfId="49091" xr:uid="{00000000-0005-0000-0000-0000C3BF0000}"/>
    <cellStyle name="解释性文本 2 2 4 4" xfId="49092" xr:uid="{00000000-0005-0000-0000-0000C4BF0000}"/>
    <cellStyle name="解释性文本 2 2 4 5" xfId="49093" xr:uid="{00000000-0005-0000-0000-0000C5BF0000}"/>
    <cellStyle name="解释性文本 2 2 4 6" xfId="49094" xr:uid="{00000000-0005-0000-0000-0000C6BF0000}"/>
    <cellStyle name="解释性文本 2 2 5" xfId="49095" xr:uid="{00000000-0005-0000-0000-0000C7BF0000}"/>
    <cellStyle name="解释性文本 2 2 5 2" xfId="49096" xr:uid="{00000000-0005-0000-0000-0000C8BF0000}"/>
    <cellStyle name="解释性文本 2 2 5 2 2" xfId="49097" xr:uid="{00000000-0005-0000-0000-0000C9BF0000}"/>
    <cellStyle name="解释性文本 2 2 5 2 2 2" xfId="49098" xr:uid="{00000000-0005-0000-0000-0000CABF0000}"/>
    <cellStyle name="解释性文本 2 2 5 2 2 2 2" xfId="49099" xr:uid="{00000000-0005-0000-0000-0000CBBF0000}"/>
    <cellStyle name="解释性文本 2 2 5 2 3" xfId="49100" xr:uid="{00000000-0005-0000-0000-0000CCBF0000}"/>
    <cellStyle name="解释性文本 2 2 5 2 3 2" xfId="49101" xr:uid="{00000000-0005-0000-0000-0000CDBF0000}"/>
    <cellStyle name="解释性文本 2 2 5 3" xfId="49102" xr:uid="{00000000-0005-0000-0000-0000CEBF0000}"/>
    <cellStyle name="解释性文本 2 2 5 3 2" xfId="49103" xr:uid="{00000000-0005-0000-0000-0000CFBF0000}"/>
    <cellStyle name="解释性文本 2 2 5 3 2 2" xfId="49104" xr:uid="{00000000-0005-0000-0000-0000D0BF0000}"/>
    <cellStyle name="解释性文本 2 2 5 4" xfId="49105" xr:uid="{00000000-0005-0000-0000-0000D1BF0000}"/>
    <cellStyle name="解释性文本 2 2 5 4 2" xfId="49106" xr:uid="{00000000-0005-0000-0000-0000D2BF0000}"/>
    <cellStyle name="解释性文本 2 2 6" xfId="49107" xr:uid="{00000000-0005-0000-0000-0000D3BF0000}"/>
    <cellStyle name="解释性文本 2 2 6 2" xfId="49108" xr:uid="{00000000-0005-0000-0000-0000D4BF0000}"/>
    <cellStyle name="解释性文本 2 2 6 2 2" xfId="49109" xr:uid="{00000000-0005-0000-0000-0000D5BF0000}"/>
    <cellStyle name="解释性文本 2 2 6 2 2 2" xfId="49110" xr:uid="{00000000-0005-0000-0000-0000D6BF0000}"/>
    <cellStyle name="解释性文本 2 2 6 2 2 2 2" xfId="49111" xr:uid="{00000000-0005-0000-0000-0000D7BF0000}"/>
    <cellStyle name="解释性文本 2 2 6 2 3" xfId="49112" xr:uid="{00000000-0005-0000-0000-0000D8BF0000}"/>
    <cellStyle name="解释性文本 2 2 6 2 3 2" xfId="49113" xr:uid="{00000000-0005-0000-0000-0000D9BF0000}"/>
    <cellStyle name="解释性文本 2 2 6 3" xfId="49114" xr:uid="{00000000-0005-0000-0000-0000DABF0000}"/>
    <cellStyle name="解释性文本 2 2 6 3 2" xfId="49115" xr:uid="{00000000-0005-0000-0000-0000DBBF0000}"/>
    <cellStyle name="解释性文本 2 2 6 3 2 2" xfId="49116" xr:uid="{00000000-0005-0000-0000-0000DCBF0000}"/>
    <cellStyle name="解释性文本 2 2 6 4" xfId="49117" xr:uid="{00000000-0005-0000-0000-0000DDBF0000}"/>
    <cellStyle name="解释性文本 2 2 6 4 2" xfId="49118" xr:uid="{00000000-0005-0000-0000-0000DEBF0000}"/>
    <cellStyle name="解释性文本 2 2 7" xfId="49119" xr:uid="{00000000-0005-0000-0000-0000DFBF0000}"/>
    <cellStyle name="解释性文本 2 2 7 2" xfId="49120" xr:uid="{00000000-0005-0000-0000-0000E0BF0000}"/>
    <cellStyle name="解释性文本 2 2 7 2 2" xfId="49121" xr:uid="{00000000-0005-0000-0000-0000E1BF0000}"/>
    <cellStyle name="解释性文本 2 2 7 2 2 2" xfId="49122" xr:uid="{00000000-0005-0000-0000-0000E2BF0000}"/>
    <cellStyle name="解释性文本 2 2 7 2 2 2 2" xfId="49123" xr:uid="{00000000-0005-0000-0000-0000E3BF0000}"/>
    <cellStyle name="解释性文本 2 2 7 2 3" xfId="49124" xr:uid="{00000000-0005-0000-0000-0000E4BF0000}"/>
    <cellStyle name="解释性文本 2 2 7 2 3 2" xfId="49125" xr:uid="{00000000-0005-0000-0000-0000E5BF0000}"/>
    <cellStyle name="解释性文本 2 2 7 3" xfId="49126" xr:uid="{00000000-0005-0000-0000-0000E6BF0000}"/>
    <cellStyle name="解释性文本 2 2 7 3 2" xfId="49127" xr:uid="{00000000-0005-0000-0000-0000E7BF0000}"/>
    <cellStyle name="解释性文本 2 2 7 3 2 2" xfId="49128" xr:uid="{00000000-0005-0000-0000-0000E8BF0000}"/>
    <cellStyle name="解释性文本 2 2 7 4" xfId="49129" xr:uid="{00000000-0005-0000-0000-0000E9BF0000}"/>
    <cellStyle name="解释性文本 2 2 7 4 2" xfId="49130" xr:uid="{00000000-0005-0000-0000-0000EABF0000}"/>
    <cellStyle name="解释性文本 2 2 8" xfId="49131" xr:uid="{00000000-0005-0000-0000-0000EBBF0000}"/>
    <cellStyle name="解释性文本 2 2 8 2" xfId="49132" xr:uid="{00000000-0005-0000-0000-0000ECBF0000}"/>
    <cellStyle name="解释性文本 2 2 8 2 2" xfId="49133" xr:uid="{00000000-0005-0000-0000-0000EDBF0000}"/>
    <cellStyle name="解释性文本 2 2 8 2 2 2" xfId="49134" xr:uid="{00000000-0005-0000-0000-0000EEBF0000}"/>
    <cellStyle name="解释性文本 2 2 8 3" xfId="49135" xr:uid="{00000000-0005-0000-0000-0000EFBF0000}"/>
    <cellStyle name="解释性文本 2 2 8 3 2" xfId="49136" xr:uid="{00000000-0005-0000-0000-0000F0BF0000}"/>
    <cellStyle name="解释性文本 2 2 9" xfId="49137" xr:uid="{00000000-0005-0000-0000-0000F1BF0000}"/>
    <cellStyle name="解释性文本 2 2 9 2" xfId="49138" xr:uid="{00000000-0005-0000-0000-0000F2BF0000}"/>
    <cellStyle name="解释性文本 2 2 9 2 2" xfId="49139" xr:uid="{00000000-0005-0000-0000-0000F3BF0000}"/>
    <cellStyle name="解释性文本 2 2 9 2 2 2" xfId="49140" xr:uid="{00000000-0005-0000-0000-0000F4BF0000}"/>
    <cellStyle name="解释性文本 2 2 9 3" xfId="49141" xr:uid="{00000000-0005-0000-0000-0000F5BF0000}"/>
    <cellStyle name="解释性文本 2 2 9 3 2" xfId="49142" xr:uid="{00000000-0005-0000-0000-0000F6BF0000}"/>
    <cellStyle name="解释性文本 2 3" xfId="49143" xr:uid="{00000000-0005-0000-0000-0000F7BF0000}"/>
    <cellStyle name="解释性文本 2 3 2" xfId="49144" xr:uid="{00000000-0005-0000-0000-0000F8BF0000}"/>
    <cellStyle name="解释性文本 2 3 2 2" xfId="49145" xr:uid="{00000000-0005-0000-0000-0000F9BF0000}"/>
    <cellStyle name="解释性文本 2 3 2 2 2" xfId="49146" xr:uid="{00000000-0005-0000-0000-0000FABF0000}"/>
    <cellStyle name="解释性文本 2 3 2 2 2 2" xfId="49147" xr:uid="{00000000-0005-0000-0000-0000FBBF0000}"/>
    <cellStyle name="解释性文本 2 3 2 2 2 3" xfId="49148" xr:uid="{00000000-0005-0000-0000-0000FCBF0000}"/>
    <cellStyle name="解释性文本 2 3 2 2 2 3 2" xfId="49149" xr:uid="{00000000-0005-0000-0000-0000FDBF0000}"/>
    <cellStyle name="解释性文本 2 3 2 2 2 3 2 2" xfId="49150" xr:uid="{00000000-0005-0000-0000-0000FEBF0000}"/>
    <cellStyle name="解释性文本 2 3 2 2 2 4" xfId="49151" xr:uid="{00000000-0005-0000-0000-0000FFBF0000}"/>
    <cellStyle name="解释性文本 2 3 2 2 2 4 2" xfId="49152" xr:uid="{00000000-0005-0000-0000-000000C00000}"/>
    <cellStyle name="解释性文本 2 3 2 2 3" xfId="49153" xr:uid="{00000000-0005-0000-0000-000001C00000}"/>
    <cellStyle name="解释性文本 2 3 2 2 3 2" xfId="49154" xr:uid="{00000000-0005-0000-0000-000002C00000}"/>
    <cellStyle name="解释性文本 2 3 2 2 3 2 2" xfId="49155" xr:uid="{00000000-0005-0000-0000-000003C00000}"/>
    <cellStyle name="解释性文本 2 3 2 2 3 2 2 2" xfId="49156" xr:uid="{00000000-0005-0000-0000-000004C00000}"/>
    <cellStyle name="解释性文本 2 3 2 2 3 3" xfId="49157" xr:uid="{00000000-0005-0000-0000-000005C00000}"/>
    <cellStyle name="解释性文本 2 3 2 2 3 3 2" xfId="49158" xr:uid="{00000000-0005-0000-0000-000006C00000}"/>
    <cellStyle name="解释性文本 2 3 2 2 4" xfId="49159" xr:uid="{00000000-0005-0000-0000-000007C00000}"/>
    <cellStyle name="解释性文本 2 3 2 2 5" xfId="49160" xr:uid="{00000000-0005-0000-0000-000008C00000}"/>
    <cellStyle name="解释性文本 2 3 2 2 6" xfId="49161" xr:uid="{00000000-0005-0000-0000-000009C00000}"/>
    <cellStyle name="解释性文本 2 3 2 3" xfId="49162" xr:uid="{00000000-0005-0000-0000-00000AC00000}"/>
    <cellStyle name="解释性文本 2 3 2 3 2" xfId="49163" xr:uid="{00000000-0005-0000-0000-00000BC00000}"/>
    <cellStyle name="解释性文本 2 3 2 3 3" xfId="49164" xr:uid="{00000000-0005-0000-0000-00000CC00000}"/>
    <cellStyle name="解释性文本 2 3 2 3 3 2" xfId="49165" xr:uid="{00000000-0005-0000-0000-00000DC00000}"/>
    <cellStyle name="解释性文本 2 3 2 3 3 2 2" xfId="49166" xr:uid="{00000000-0005-0000-0000-00000EC00000}"/>
    <cellStyle name="解释性文本 2 3 2 3 4" xfId="49167" xr:uid="{00000000-0005-0000-0000-00000FC00000}"/>
    <cellStyle name="解释性文本 2 3 2 3 4 2" xfId="49168" xr:uid="{00000000-0005-0000-0000-000010C00000}"/>
    <cellStyle name="解释性文本 2 3 2 4" xfId="49169" xr:uid="{00000000-0005-0000-0000-000011C00000}"/>
    <cellStyle name="解释性文本 2 3 2 4 2" xfId="49170" xr:uid="{00000000-0005-0000-0000-000012C00000}"/>
    <cellStyle name="解释性文本 2 3 2 4 2 2" xfId="49171" xr:uid="{00000000-0005-0000-0000-000013C00000}"/>
    <cellStyle name="解释性文本 2 3 2 4 2 2 2" xfId="49172" xr:uid="{00000000-0005-0000-0000-000014C00000}"/>
    <cellStyle name="解释性文本 2 3 2 4 3" xfId="49173" xr:uid="{00000000-0005-0000-0000-000015C00000}"/>
    <cellStyle name="解释性文本 2 3 2 4 3 2" xfId="49174" xr:uid="{00000000-0005-0000-0000-000016C00000}"/>
    <cellStyle name="解释性文本 2 3 2 5" xfId="49175" xr:uid="{00000000-0005-0000-0000-000017C00000}"/>
    <cellStyle name="解释性文本 2 3 2 6" xfId="49176" xr:uid="{00000000-0005-0000-0000-000018C00000}"/>
    <cellStyle name="解释性文本 2 3 2 7" xfId="49177" xr:uid="{00000000-0005-0000-0000-000019C00000}"/>
    <cellStyle name="解释性文本 2 3 3" xfId="49178" xr:uid="{00000000-0005-0000-0000-00001AC00000}"/>
    <cellStyle name="解释性文本 2 3 3 2" xfId="49179" xr:uid="{00000000-0005-0000-0000-00001BC00000}"/>
    <cellStyle name="解释性文本 2 3 3 2 2" xfId="49180" xr:uid="{00000000-0005-0000-0000-00001CC00000}"/>
    <cellStyle name="解释性文本 2 3 3 2 3" xfId="49181" xr:uid="{00000000-0005-0000-0000-00001DC00000}"/>
    <cellStyle name="解释性文本 2 3 3 2 3 2" xfId="49182" xr:uid="{00000000-0005-0000-0000-00001EC00000}"/>
    <cellStyle name="解释性文本 2 3 3 2 3 2 2" xfId="49183" xr:uid="{00000000-0005-0000-0000-00001FC00000}"/>
    <cellStyle name="解释性文本 2 3 3 2 4" xfId="49184" xr:uid="{00000000-0005-0000-0000-000020C00000}"/>
    <cellStyle name="解释性文本 2 3 3 2 4 2" xfId="49185" xr:uid="{00000000-0005-0000-0000-000021C00000}"/>
    <cellStyle name="解释性文本 2 3 3 3" xfId="49186" xr:uid="{00000000-0005-0000-0000-000022C00000}"/>
    <cellStyle name="解释性文本 2 3 3 3 2" xfId="49187" xr:uid="{00000000-0005-0000-0000-000023C00000}"/>
    <cellStyle name="解释性文本 2 3 3 3 2 2" xfId="49188" xr:uid="{00000000-0005-0000-0000-000024C00000}"/>
    <cellStyle name="解释性文本 2 3 3 3 2 2 2" xfId="49189" xr:uid="{00000000-0005-0000-0000-000025C00000}"/>
    <cellStyle name="解释性文本 2 3 3 3 3" xfId="49190" xr:uid="{00000000-0005-0000-0000-000026C00000}"/>
    <cellStyle name="解释性文本 2 3 3 3 3 2" xfId="49191" xr:uid="{00000000-0005-0000-0000-000027C00000}"/>
    <cellStyle name="解释性文本 2 3 3 4" xfId="49192" xr:uid="{00000000-0005-0000-0000-000028C00000}"/>
    <cellStyle name="解释性文本 2 3 3 5" xfId="49193" xr:uid="{00000000-0005-0000-0000-000029C00000}"/>
    <cellStyle name="解释性文本 2 3 3 6" xfId="49194" xr:uid="{00000000-0005-0000-0000-00002AC00000}"/>
    <cellStyle name="解释性文本 2 3 4" xfId="49195" xr:uid="{00000000-0005-0000-0000-00002BC00000}"/>
    <cellStyle name="解释性文本 2 3 4 2" xfId="49196" xr:uid="{00000000-0005-0000-0000-00002CC00000}"/>
    <cellStyle name="解释性文本 2 3 4 2 2" xfId="49197" xr:uid="{00000000-0005-0000-0000-00002DC00000}"/>
    <cellStyle name="解释性文本 2 3 4 2 3" xfId="49198" xr:uid="{00000000-0005-0000-0000-00002EC00000}"/>
    <cellStyle name="解释性文本 2 3 4 2 3 2" xfId="49199" xr:uid="{00000000-0005-0000-0000-00002FC00000}"/>
    <cellStyle name="解释性文本 2 3 4 2 3 2 2" xfId="49200" xr:uid="{00000000-0005-0000-0000-000030C00000}"/>
    <cellStyle name="解释性文本 2 3 4 2 4" xfId="49201" xr:uid="{00000000-0005-0000-0000-000031C00000}"/>
    <cellStyle name="解释性文本 2 3 4 2 4 2" xfId="49202" xr:uid="{00000000-0005-0000-0000-000032C00000}"/>
    <cellStyle name="解释性文本 2 3 4 3" xfId="49203" xr:uid="{00000000-0005-0000-0000-000033C00000}"/>
    <cellStyle name="解释性文本 2 3 4 4" xfId="49204" xr:uid="{00000000-0005-0000-0000-000034C00000}"/>
    <cellStyle name="解释性文本 2 3 4 5" xfId="49205" xr:uid="{00000000-0005-0000-0000-000035C00000}"/>
    <cellStyle name="解释性文本 2 3 4 6" xfId="49206" xr:uid="{00000000-0005-0000-0000-000036C00000}"/>
    <cellStyle name="解释性文本 2 3 5" xfId="49207" xr:uid="{00000000-0005-0000-0000-000037C00000}"/>
    <cellStyle name="解释性文本 2 3 5 2" xfId="49208" xr:uid="{00000000-0005-0000-0000-000038C00000}"/>
    <cellStyle name="解释性文本 2 3 5 2 2" xfId="49209" xr:uid="{00000000-0005-0000-0000-000039C00000}"/>
    <cellStyle name="解释性文本 2 3 5 2 2 2" xfId="49210" xr:uid="{00000000-0005-0000-0000-00003AC00000}"/>
    <cellStyle name="解释性文本 2 3 5 2 2 2 2" xfId="49211" xr:uid="{00000000-0005-0000-0000-00003BC00000}"/>
    <cellStyle name="解释性文本 2 3 5 2 3" xfId="49212" xr:uid="{00000000-0005-0000-0000-00003CC00000}"/>
    <cellStyle name="解释性文本 2 3 5 2 3 2" xfId="49213" xr:uid="{00000000-0005-0000-0000-00003DC00000}"/>
    <cellStyle name="解释性文本 2 3 5 3" xfId="49214" xr:uid="{00000000-0005-0000-0000-00003EC00000}"/>
    <cellStyle name="解释性文本 2 3 5 3 2" xfId="49215" xr:uid="{00000000-0005-0000-0000-00003FC00000}"/>
    <cellStyle name="解释性文本 2 3 5 3 2 2" xfId="49216" xr:uid="{00000000-0005-0000-0000-000040C00000}"/>
    <cellStyle name="解释性文本 2 3 5 4" xfId="49217" xr:uid="{00000000-0005-0000-0000-000041C00000}"/>
    <cellStyle name="解释性文本 2 3 5 4 2" xfId="49218" xr:uid="{00000000-0005-0000-0000-000042C00000}"/>
    <cellStyle name="解释性文本 2 3 6" xfId="49219" xr:uid="{00000000-0005-0000-0000-000043C00000}"/>
    <cellStyle name="解释性文本 2 3 6 2" xfId="49220" xr:uid="{00000000-0005-0000-0000-000044C00000}"/>
    <cellStyle name="解释性文本 2 3 6 2 2" xfId="49221" xr:uid="{00000000-0005-0000-0000-000045C00000}"/>
    <cellStyle name="解释性文本 2 3 6 2 2 2" xfId="49222" xr:uid="{00000000-0005-0000-0000-000046C00000}"/>
    <cellStyle name="解释性文本 2 3 6 3" xfId="49223" xr:uid="{00000000-0005-0000-0000-000047C00000}"/>
    <cellStyle name="解释性文本 2 3 6 3 2" xfId="49224" xr:uid="{00000000-0005-0000-0000-000048C00000}"/>
    <cellStyle name="解释性文本 2 3 7" xfId="49225" xr:uid="{00000000-0005-0000-0000-000049C00000}"/>
    <cellStyle name="解释性文本 2 3 7 2" xfId="49226" xr:uid="{00000000-0005-0000-0000-00004AC00000}"/>
    <cellStyle name="解释性文本 2 3 7 2 2" xfId="49227" xr:uid="{00000000-0005-0000-0000-00004BC00000}"/>
    <cellStyle name="解释性文本 2 3 7 2 2 2" xfId="49228" xr:uid="{00000000-0005-0000-0000-00004CC00000}"/>
    <cellStyle name="解释性文本 2 3 7 3" xfId="49229" xr:uid="{00000000-0005-0000-0000-00004DC00000}"/>
    <cellStyle name="解释性文本 2 3 7 3 2" xfId="49230" xr:uid="{00000000-0005-0000-0000-00004EC00000}"/>
    <cellStyle name="解释性文本 2 3 8" xfId="49231" xr:uid="{00000000-0005-0000-0000-00004FC00000}"/>
    <cellStyle name="解释性文本 2 3 9" xfId="49232" xr:uid="{00000000-0005-0000-0000-000050C00000}"/>
    <cellStyle name="解释性文本 2 4" xfId="49233" xr:uid="{00000000-0005-0000-0000-000051C00000}"/>
    <cellStyle name="解释性文本 2 4 2" xfId="49234" xr:uid="{00000000-0005-0000-0000-000052C00000}"/>
    <cellStyle name="解释性文本 2 4 2 2" xfId="49235" xr:uid="{00000000-0005-0000-0000-000053C00000}"/>
    <cellStyle name="解释性文本 2 4 2 3" xfId="49236" xr:uid="{00000000-0005-0000-0000-000054C00000}"/>
    <cellStyle name="解释性文本 2 4 2 3 2" xfId="49237" xr:uid="{00000000-0005-0000-0000-000055C00000}"/>
    <cellStyle name="解释性文本 2 4 2 3 2 2" xfId="49238" xr:uid="{00000000-0005-0000-0000-000056C00000}"/>
    <cellStyle name="解释性文本 2 4 2 4" xfId="49239" xr:uid="{00000000-0005-0000-0000-000057C00000}"/>
    <cellStyle name="解释性文本 2 4 2 4 2" xfId="49240" xr:uid="{00000000-0005-0000-0000-000058C00000}"/>
    <cellStyle name="解释性文本 2 4 3" xfId="49241" xr:uid="{00000000-0005-0000-0000-000059C00000}"/>
    <cellStyle name="解释性文本 2 4 3 2" xfId="49242" xr:uid="{00000000-0005-0000-0000-00005AC00000}"/>
    <cellStyle name="解释性文本 2 4 3 2 2" xfId="49243" xr:uid="{00000000-0005-0000-0000-00005BC00000}"/>
    <cellStyle name="解释性文本 2 4 3 2 2 2" xfId="49244" xr:uid="{00000000-0005-0000-0000-00005CC00000}"/>
    <cellStyle name="解释性文本 2 4 3 3" xfId="49245" xr:uid="{00000000-0005-0000-0000-00005DC00000}"/>
    <cellStyle name="解释性文本 2 4 3 3 2" xfId="49246" xr:uid="{00000000-0005-0000-0000-00005EC00000}"/>
    <cellStyle name="解释性文本 2 4 4" xfId="49247" xr:uid="{00000000-0005-0000-0000-00005FC00000}"/>
    <cellStyle name="解释性文本 2 4 5" xfId="49248" xr:uid="{00000000-0005-0000-0000-000060C00000}"/>
    <cellStyle name="解释性文本 2 4 6" xfId="49249" xr:uid="{00000000-0005-0000-0000-000061C00000}"/>
    <cellStyle name="解释性文本 2 5" xfId="49250" xr:uid="{00000000-0005-0000-0000-000062C00000}"/>
    <cellStyle name="解释性文本 2 5 2" xfId="49251" xr:uid="{00000000-0005-0000-0000-000063C00000}"/>
    <cellStyle name="解释性文本 2 5 2 2" xfId="49252" xr:uid="{00000000-0005-0000-0000-000064C00000}"/>
    <cellStyle name="解释性文本 2 5 2 3" xfId="49253" xr:uid="{00000000-0005-0000-0000-000065C00000}"/>
    <cellStyle name="解释性文本 2 5 2 3 2" xfId="49254" xr:uid="{00000000-0005-0000-0000-000066C00000}"/>
    <cellStyle name="解释性文本 2 5 2 3 2 2" xfId="49255" xr:uid="{00000000-0005-0000-0000-000067C00000}"/>
    <cellStyle name="解释性文本 2 5 2 4" xfId="49256" xr:uid="{00000000-0005-0000-0000-000068C00000}"/>
    <cellStyle name="解释性文本 2 5 2 4 2" xfId="49257" xr:uid="{00000000-0005-0000-0000-000069C00000}"/>
    <cellStyle name="解释性文本 2 5 3" xfId="49258" xr:uid="{00000000-0005-0000-0000-00006AC00000}"/>
    <cellStyle name="解释性文本 2 5 4" xfId="49259" xr:uid="{00000000-0005-0000-0000-00006BC00000}"/>
    <cellStyle name="解释性文本 2 5 5" xfId="49260" xr:uid="{00000000-0005-0000-0000-00006CC00000}"/>
    <cellStyle name="解释性文本 2 5 6" xfId="49261" xr:uid="{00000000-0005-0000-0000-00006DC00000}"/>
    <cellStyle name="解释性文本 2 6" xfId="49262" xr:uid="{00000000-0005-0000-0000-00006EC00000}"/>
    <cellStyle name="解释性文本 2 6 2" xfId="49263" xr:uid="{00000000-0005-0000-0000-00006FC00000}"/>
    <cellStyle name="解释性文本 2 6 2 2" xfId="49264" xr:uid="{00000000-0005-0000-0000-000070C00000}"/>
    <cellStyle name="解释性文本 2 6 2 2 2" xfId="49265" xr:uid="{00000000-0005-0000-0000-000071C00000}"/>
    <cellStyle name="解释性文本 2 6 2 2 2 2" xfId="49266" xr:uid="{00000000-0005-0000-0000-000072C00000}"/>
    <cellStyle name="解释性文本 2 6 2 3" xfId="49267" xr:uid="{00000000-0005-0000-0000-000073C00000}"/>
    <cellStyle name="解释性文本 2 6 2 3 2" xfId="49268" xr:uid="{00000000-0005-0000-0000-000074C00000}"/>
    <cellStyle name="解释性文本 2 6 3" xfId="49269" xr:uid="{00000000-0005-0000-0000-000075C00000}"/>
    <cellStyle name="解释性文本 2 6 3 2" xfId="49270" xr:uid="{00000000-0005-0000-0000-000076C00000}"/>
    <cellStyle name="解释性文本 2 6 3 2 2" xfId="49271" xr:uid="{00000000-0005-0000-0000-000077C00000}"/>
    <cellStyle name="解释性文本 2 6 4" xfId="49272" xr:uid="{00000000-0005-0000-0000-000078C00000}"/>
    <cellStyle name="解释性文本 2 6 4 2" xfId="49273" xr:uid="{00000000-0005-0000-0000-000079C00000}"/>
    <cellStyle name="解释性文本 2 7" xfId="49274" xr:uid="{00000000-0005-0000-0000-00007AC00000}"/>
    <cellStyle name="解释性文本 2 7 2" xfId="49275" xr:uid="{00000000-0005-0000-0000-00007BC00000}"/>
    <cellStyle name="解释性文本 2 7 2 2" xfId="49276" xr:uid="{00000000-0005-0000-0000-00007CC00000}"/>
    <cellStyle name="解释性文本 2 7 2 2 2" xfId="49277" xr:uid="{00000000-0005-0000-0000-00007DC00000}"/>
    <cellStyle name="解释性文本 2 7 2 2 2 2" xfId="49278" xr:uid="{00000000-0005-0000-0000-00007EC00000}"/>
    <cellStyle name="解释性文本 2 7 2 3" xfId="49279" xr:uid="{00000000-0005-0000-0000-00007FC00000}"/>
    <cellStyle name="解释性文本 2 7 2 3 2" xfId="49280" xr:uid="{00000000-0005-0000-0000-000080C00000}"/>
    <cellStyle name="解释性文本 2 7 3" xfId="49281" xr:uid="{00000000-0005-0000-0000-000081C00000}"/>
    <cellStyle name="解释性文本 2 7 3 2" xfId="49282" xr:uid="{00000000-0005-0000-0000-000082C00000}"/>
    <cellStyle name="解释性文本 2 7 3 2 2" xfId="49283" xr:uid="{00000000-0005-0000-0000-000083C00000}"/>
    <cellStyle name="解释性文本 2 7 4" xfId="49284" xr:uid="{00000000-0005-0000-0000-000084C00000}"/>
    <cellStyle name="解释性文本 2 7 4 2" xfId="49285" xr:uid="{00000000-0005-0000-0000-000085C00000}"/>
    <cellStyle name="解释性文本 2 8" xfId="49286" xr:uid="{00000000-0005-0000-0000-000086C00000}"/>
    <cellStyle name="解释性文本 2 8 2" xfId="49287" xr:uid="{00000000-0005-0000-0000-000087C00000}"/>
    <cellStyle name="解释性文本 2 8 2 2" xfId="49288" xr:uid="{00000000-0005-0000-0000-000088C00000}"/>
    <cellStyle name="解释性文本 2 8 2 2 2" xfId="49289" xr:uid="{00000000-0005-0000-0000-000089C00000}"/>
    <cellStyle name="解释性文本 2 8 2 2 2 2" xfId="49290" xr:uid="{00000000-0005-0000-0000-00008AC00000}"/>
    <cellStyle name="解释性文本 2 8 2 3" xfId="49291" xr:uid="{00000000-0005-0000-0000-00008BC00000}"/>
    <cellStyle name="解释性文本 2 8 2 3 2" xfId="49292" xr:uid="{00000000-0005-0000-0000-00008CC00000}"/>
    <cellStyle name="解释性文本 2 8 3" xfId="49293" xr:uid="{00000000-0005-0000-0000-00008DC00000}"/>
    <cellStyle name="解释性文本 2 8 3 2" xfId="49294" xr:uid="{00000000-0005-0000-0000-00008EC00000}"/>
    <cellStyle name="解释性文本 2 8 3 2 2" xfId="49295" xr:uid="{00000000-0005-0000-0000-00008FC00000}"/>
    <cellStyle name="解释性文本 2 8 4" xfId="49296" xr:uid="{00000000-0005-0000-0000-000090C00000}"/>
    <cellStyle name="解释性文本 2 8 4 2" xfId="49297" xr:uid="{00000000-0005-0000-0000-000091C00000}"/>
    <cellStyle name="解释性文本 2 9" xfId="49298" xr:uid="{00000000-0005-0000-0000-000092C00000}"/>
    <cellStyle name="解释性文本 2 9 2" xfId="49299" xr:uid="{00000000-0005-0000-0000-000093C00000}"/>
    <cellStyle name="解释性文本 2 9 2 2" xfId="49300" xr:uid="{00000000-0005-0000-0000-000094C00000}"/>
    <cellStyle name="解释性文本 2 9 2 2 2" xfId="49301" xr:uid="{00000000-0005-0000-0000-000095C00000}"/>
    <cellStyle name="解释性文本 2 9 3" xfId="49302" xr:uid="{00000000-0005-0000-0000-000096C00000}"/>
    <cellStyle name="解释性文本 2 9 3 2" xfId="49303" xr:uid="{00000000-0005-0000-0000-000097C00000}"/>
    <cellStyle name="解释性文本 3" xfId="49304" xr:uid="{00000000-0005-0000-0000-000098C00000}"/>
    <cellStyle name="解释性文本 3 2" xfId="49305" xr:uid="{00000000-0005-0000-0000-000099C00000}"/>
    <cellStyle name="解释性文本 3 2 2" xfId="49306" xr:uid="{00000000-0005-0000-0000-00009AC00000}"/>
    <cellStyle name="解释性文本 3 2 2 2" xfId="49307" xr:uid="{00000000-0005-0000-0000-00009BC00000}"/>
    <cellStyle name="解释性文本 3 2 2 2 2" xfId="49308" xr:uid="{00000000-0005-0000-0000-00009CC00000}"/>
    <cellStyle name="解释性文本 3 2 2 2 3" xfId="49309" xr:uid="{00000000-0005-0000-0000-00009DC00000}"/>
    <cellStyle name="解释性文本 3 2 2 2 3 2" xfId="49310" xr:uid="{00000000-0005-0000-0000-00009EC00000}"/>
    <cellStyle name="解释性文本 3 2 2 2 3 2 2" xfId="49311" xr:uid="{00000000-0005-0000-0000-00009FC00000}"/>
    <cellStyle name="解释性文本 3 2 2 2 4" xfId="49312" xr:uid="{00000000-0005-0000-0000-0000A0C00000}"/>
    <cellStyle name="解释性文本 3 2 2 2 4 2" xfId="49313" xr:uid="{00000000-0005-0000-0000-0000A1C00000}"/>
    <cellStyle name="解释性文本 3 2 2 3" xfId="49314" xr:uid="{00000000-0005-0000-0000-0000A2C00000}"/>
    <cellStyle name="解释性文本 3 2 2 3 2" xfId="49315" xr:uid="{00000000-0005-0000-0000-0000A3C00000}"/>
    <cellStyle name="解释性文本 3 2 2 3 2 2" xfId="49316" xr:uid="{00000000-0005-0000-0000-0000A4C00000}"/>
    <cellStyle name="解释性文本 3 2 2 3 2 2 2" xfId="49317" xr:uid="{00000000-0005-0000-0000-0000A5C00000}"/>
    <cellStyle name="解释性文本 3 2 2 3 3" xfId="49318" xr:uid="{00000000-0005-0000-0000-0000A6C00000}"/>
    <cellStyle name="解释性文本 3 2 2 3 3 2" xfId="49319" xr:uid="{00000000-0005-0000-0000-0000A7C00000}"/>
    <cellStyle name="解释性文本 3 2 2 4" xfId="49320" xr:uid="{00000000-0005-0000-0000-0000A8C00000}"/>
    <cellStyle name="解释性文本 3 2 2 5" xfId="49321" xr:uid="{00000000-0005-0000-0000-0000A9C00000}"/>
    <cellStyle name="解释性文本 3 2 2 6" xfId="49322" xr:uid="{00000000-0005-0000-0000-0000AAC00000}"/>
    <cellStyle name="解释性文本 3 2 3" xfId="49323" xr:uid="{00000000-0005-0000-0000-0000ABC00000}"/>
    <cellStyle name="解释性文本 3 2 3 2" xfId="49324" xr:uid="{00000000-0005-0000-0000-0000ACC00000}"/>
    <cellStyle name="解释性文本 3 2 3 3" xfId="49325" xr:uid="{00000000-0005-0000-0000-0000ADC00000}"/>
    <cellStyle name="解释性文本 3 2 3 3 2" xfId="49326" xr:uid="{00000000-0005-0000-0000-0000AEC00000}"/>
    <cellStyle name="解释性文本 3 2 3 3 2 2" xfId="49327" xr:uid="{00000000-0005-0000-0000-0000AFC00000}"/>
    <cellStyle name="解释性文本 3 2 3 4" xfId="49328" xr:uid="{00000000-0005-0000-0000-0000B0C00000}"/>
    <cellStyle name="解释性文本 3 2 3 4 2" xfId="49329" xr:uid="{00000000-0005-0000-0000-0000B1C00000}"/>
    <cellStyle name="解释性文本 3 2 4" xfId="49330" xr:uid="{00000000-0005-0000-0000-0000B2C00000}"/>
    <cellStyle name="解释性文本 3 2 4 2" xfId="49331" xr:uid="{00000000-0005-0000-0000-0000B3C00000}"/>
    <cellStyle name="解释性文本 3 2 4 2 2" xfId="49332" xr:uid="{00000000-0005-0000-0000-0000B4C00000}"/>
    <cellStyle name="解释性文本 3 2 4 2 2 2" xfId="49333" xr:uid="{00000000-0005-0000-0000-0000B5C00000}"/>
    <cellStyle name="解释性文本 3 2 4 3" xfId="49334" xr:uid="{00000000-0005-0000-0000-0000B6C00000}"/>
    <cellStyle name="解释性文本 3 2 4 3 2" xfId="49335" xr:uid="{00000000-0005-0000-0000-0000B7C00000}"/>
    <cellStyle name="解释性文本 3 2 5" xfId="49336" xr:uid="{00000000-0005-0000-0000-0000B8C00000}"/>
    <cellStyle name="解释性文本 3 2 6" xfId="49337" xr:uid="{00000000-0005-0000-0000-0000B9C00000}"/>
    <cellStyle name="解释性文本 3 2 7" xfId="49338" xr:uid="{00000000-0005-0000-0000-0000BAC00000}"/>
    <cellStyle name="解释性文本 3 3" xfId="49339" xr:uid="{00000000-0005-0000-0000-0000BBC00000}"/>
    <cellStyle name="解释性文本 3 3 2" xfId="49340" xr:uid="{00000000-0005-0000-0000-0000BCC00000}"/>
    <cellStyle name="解释性文本 3 3 2 2" xfId="49341" xr:uid="{00000000-0005-0000-0000-0000BDC00000}"/>
    <cellStyle name="解释性文本 3 3 2 3" xfId="49342" xr:uid="{00000000-0005-0000-0000-0000BEC00000}"/>
    <cellStyle name="解释性文本 3 3 2 3 2" xfId="49343" xr:uid="{00000000-0005-0000-0000-0000BFC00000}"/>
    <cellStyle name="解释性文本 3 3 2 3 2 2" xfId="49344" xr:uid="{00000000-0005-0000-0000-0000C0C00000}"/>
    <cellStyle name="解释性文本 3 3 2 4" xfId="49345" xr:uid="{00000000-0005-0000-0000-0000C1C00000}"/>
    <cellStyle name="解释性文本 3 3 2 4 2" xfId="49346" xr:uid="{00000000-0005-0000-0000-0000C2C00000}"/>
    <cellStyle name="解释性文本 3 3 3" xfId="49347" xr:uid="{00000000-0005-0000-0000-0000C3C00000}"/>
    <cellStyle name="解释性文本 3 3 3 2" xfId="49348" xr:uid="{00000000-0005-0000-0000-0000C4C00000}"/>
    <cellStyle name="解释性文本 3 3 3 2 2" xfId="49349" xr:uid="{00000000-0005-0000-0000-0000C5C00000}"/>
    <cellStyle name="解释性文本 3 3 3 2 2 2" xfId="49350" xr:uid="{00000000-0005-0000-0000-0000C6C00000}"/>
    <cellStyle name="解释性文本 3 3 3 3" xfId="49351" xr:uid="{00000000-0005-0000-0000-0000C7C00000}"/>
    <cellStyle name="解释性文本 3 3 3 3 2" xfId="49352" xr:uid="{00000000-0005-0000-0000-0000C8C00000}"/>
    <cellStyle name="解释性文本 3 3 4" xfId="49353" xr:uid="{00000000-0005-0000-0000-0000C9C00000}"/>
    <cellStyle name="解释性文本 3 3 5" xfId="49354" xr:uid="{00000000-0005-0000-0000-0000CAC00000}"/>
    <cellStyle name="解释性文本 3 3 6" xfId="49355" xr:uid="{00000000-0005-0000-0000-0000CBC00000}"/>
    <cellStyle name="解释性文本 3 4" xfId="49356" xr:uid="{00000000-0005-0000-0000-0000CCC00000}"/>
    <cellStyle name="解释性文本 3 4 2" xfId="49357" xr:uid="{00000000-0005-0000-0000-0000CDC00000}"/>
    <cellStyle name="解释性文本 3 4 2 2" xfId="49358" xr:uid="{00000000-0005-0000-0000-0000CEC00000}"/>
    <cellStyle name="解释性文本 3 4 2 3" xfId="49359" xr:uid="{00000000-0005-0000-0000-0000CFC00000}"/>
    <cellStyle name="解释性文本 3 4 2 3 2" xfId="49360" xr:uid="{00000000-0005-0000-0000-0000D0C00000}"/>
    <cellStyle name="解释性文本 3 4 2 3 2 2" xfId="49361" xr:uid="{00000000-0005-0000-0000-0000D1C00000}"/>
    <cellStyle name="解释性文本 3 4 2 4" xfId="49362" xr:uid="{00000000-0005-0000-0000-0000D2C00000}"/>
    <cellStyle name="解释性文本 3 4 2 4 2" xfId="49363" xr:uid="{00000000-0005-0000-0000-0000D3C00000}"/>
    <cellStyle name="解释性文本 3 4 3" xfId="49364" xr:uid="{00000000-0005-0000-0000-0000D4C00000}"/>
    <cellStyle name="解释性文本 3 4 4" xfId="49365" xr:uid="{00000000-0005-0000-0000-0000D5C00000}"/>
    <cellStyle name="解释性文本 3 4 5" xfId="49366" xr:uid="{00000000-0005-0000-0000-0000D6C00000}"/>
    <cellStyle name="解释性文本 3 4 6" xfId="49367" xr:uid="{00000000-0005-0000-0000-0000D7C00000}"/>
    <cellStyle name="解释性文本 3 5" xfId="49368" xr:uid="{00000000-0005-0000-0000-0000D8C00000}"/>
    <cellStyle name="解释性文本 3 5 2" xfId="49369" xr:uid="{00000000-0005-0000-0000-0000D9C00000}"/>
    <cellStyle name="解释性文本 3 5 2 2" xfId="49370" xr:uid="{00000000-0005-0000-0000-0000DAC00000}"/>
    <cellStyle name="解释性文本 3 5 2 2 2" xfId="49371" xr:uid="{00000000-0005-0000-0000-0000DBC00000}"/>
    <cellStyle name="解释性文本 3 5 2 2 2 2" xfId="49372" xr:uid="{00000000-0005-0000-0000-0000DCC00000}"/>
    <cellStyle name="解释性文本 3 5 2 3" xfId="49373" xr:uid="{00000000-0005-0000-0000-0000DDC00000}"/>
    <cellStyle name="解释性文本 3 5 2 3 2" xfId="49374" xr:uid="{00000000-0005-0000-0000-0000DEC00000}"/>
    <cellStyle name="解释性文本 3 5 3" xfId="49375" xr:uid="{00000000-0005-0000-0000-0000DFC00000}"/>
    <cellStyle name="解释性文本 3 5 3 2" xfId="49376" xr:uid="{00000000-0005-0000-0000-0000E0C00000}"/>
    <cellStyle name="解释性文本 3 5 3 2 2" xfId="49377" xr:uid="{00000000-0005-0000-0000-0000E1C00000}"/>
    <cellStyle name="解释性文本 3 5 4" xfId="49378" xr:uid="{00000000-0005-0000-0000-0000E2C00000}"/>
    <cellStyle name="解释性文本 3 5 4 2" xfId="49379" xr:uid="{00000000-0005-0000-0000-0000E3C00000}"/>
    <cellStyle name="解释性文本 3 6" xfId="49380" xr:uid="{00000000-0005-0000-0000-0000E4C00000}"/>
    <cellStyle name="解释性文本 3 6 2" xfId="49381" xr:uid="{00000000-0005-0000-0000-0000E5C00000}"/>
    <cellStyle name="解释性文本 3 6 2 2" xfId="49382" xr:uid="{00000000-0005-0000-0000-0000E6C00000}"/>
    <cellStyle name="解释性文本 3 6 2 2 2" xfId="49383" xr:uid="{00000000-0005-0000-0000-0000E7C00000}"/>
    <cellStyle name="解释性文本 3 6 3" xfId="49384" xr:uid="{00000000-0005-0000-0000-0000E8C00000}"/>
    <cellStyle name="解释性文本 3 6 3 2" xfId="49385" xr:uid="{00000000-0005-0000-0000-0000E9C00000}"/>
    <cellStyle name="解释性文本 3 7" xfId="49386" xr:uid="{00000000-0005-0000-0000-0000EAC00000}"/>
    <cellStyle name="解释性文本 3 8" xfId="49387" xr:uid="{00000000-0005-0000-0000-0000EBC00000}"/>
    <cellStyle name="警告文本 2" xfId="49388" xr:uid="{00000000-0005-0000-0000-0000ECC00000}"/>
    <cellStyle name="警告文本 2 10" xfId="49389" xr:uid="{00000000-0005-0000-0000-0000EDC00000}"/>
    <cellStyle name="警告文本 2 11" xfId="49390" xr:uid="{00000000-0005-0000-0000-0000EEC00000}"/>
    <cellStyle name="警告文本 2 2" xfId="49391" xr:uid="{00000000-0005-0000-0000-0000EFC00000}"/>
    <cellStyle name="警告文本 2 2 10" xfId="49392" xr:uid="{00000000-0005-0000-0000-0000F0C00000}"/>
    <cellStyle name="警告文本 2 2 11" xfId="49393" xr:uid="{00000000-0005-0000-0000-0000F1C00000}"/>
    <cellStyle name="警告文本 2 2 2" xfId="49394" xr:uid="{00000000-0005-0000-0000-0000F2C00000}"/>
    <cellStyle name="警告文本 2 2 2 2" xfId="49395" xr:uid="{00000000-0005-0000-0000-0000F3C00000}"/>
    <cellStyle name="警告文本 2 2 2 2 2" xfId="49396" xr:uid="{00000000-0005-0000-0000-0000F4C00000}"/>
    <cellStyle name="警告文本 2 2 2 2 2 2" xfId="49397" xr:uid="{00000000-0005-0000-0000-0000F5C00000}"/>
    <cellStyle name="警告文本 2 2 2 2 2 3" xfId="49398" xr:uid="{00000000-0005-0000-0000-0000F6C00000}"/>
    <cellStyle name="警告文本 2 2 2 2 2 3 2" xfId="49399" xr:uid="{00000000-0005-0000-0000-0000F7C00000}"/>
    <cellStyle name="警告文本 2 2 2 2 2 3 2 2" xfId="49400" xr:uid="{00000000-0005-0000-0000-0000F8C00000}"/>
    <cellStyle name="警告文本 2 2 2 2 2 4" xfId="49401" xr:uid="{00000000-0005-0000-0000-0000F9C00000}"/>
    <cellStyle name="警告文本 2 2 2 2 2 4 2" xfId="49402" xr:uid="{00000000-0005-0000-0000-0000FAC00000}"/>
    <cellStyle name="警告文本 2 2 2 2 3" xfId="49403" xr:uid="{00000000-0005-0000-0000-0000FBC00000}"/>
    <cellStyle name="警告文本 2 2 2 2 3 2" xfId="49404" xr:uid="{00000000-0005-0000-0000-0000FCC00000}"/>
    <cellStyle name="警告文本 2 2 2 2 3 2 2" xfId="49405" xr:uid="{00000000-0005-0000-0000-0000FDC00000}"/>
    <cellStyle name="警告文本 2 2 2 2 3 2 2 2" xfId="49406" xr:uid="{00000000-0005-0000-0000-0000FEC00000}"/>
    <cellStyle name="警告文本 2 2 2 2 3 3" xfId="49407" xr:uid="{00000000-0005-0000-0000-0000FFC00000}"/>
    <cellStyle name="警告文本 2 2 2 2 3 3 2" xfId="49408" xr:uid="{00000000-0005-0000-0000-000000C10000}"/>
    <cellStyle name="警告文本 2 2 2 2 4" xfId="49409" xr:uid="{00000000-0005-0000-0000-000001C10000}"/>
    <cellStyle name="警告文本 2 2 2 2 5" xfId="49410" xr:uid="{00000000-0005-0000-0000-000002C10000}"/>
    <cellStyle name="警告文本 2 2 2 2 6" xfId="49411" xr:uid="{00000000-0005-0000-0000-000003C10000}"/>
    <cellStyle name="警告文本 2 2 2 3" xfId="49412" xr:uid="{00000000-0005-0000-0000-000004C10000}"/>
    <cellStyle name="警告文本 2 2 2 3 2" xfId="49413" xr:uid="{00000000-0005-0000-0000-000005C10000}"/>
    <cellStyle name="警告文本 2 2 2 3 3" xfId="49414" xr:uid="{00000000-0005-0000-0000-000006C10000}"/>
    <cellStyle name="警告文本 2 2 2 3 3 2" xfId="49415" xr:uid="{00000000-0005-0000-0000-000007C10000}"/>
    <cellStyle name="警告文本 2 2 2 3 3 2 2" xfId="49416" xr:uid="{00000000-0005-0000-0000-000008C10000}"/>
    <cellStyle name="警告文本 2 2 2 3 4" xfId="49417" xr:uid="{00000000-0005-0000-0000-000009C10000}"/>
    <cellStyle name="警告文本 2 2 2 3 4 2" xfId="49418" xr:uid="{00000000-0005-0000-0000-00000AC10000}"/>
    <cellStyle name="警告文本 2 2 2 4" xfId="49419" xr:uid="{00000000-0005-0000-0000-00000BC10000}"/>
    <cellStyle name="警告文本 2 2 2 4 2" xfId="49420" xr:uid="{00000000-0005-0000-0000-00000CC10000}"/>
    <cellStyle name="警告文本 2 2 2 4 2 2" xfId="49421" xr:uid="{00000000-0005-0000-0000-00000DC10000}"/>
    <cellStyle name="警告文本 2 2 2 4 2 2 2" xfId="49422" xr:uid="{00000000-0005-0000-0000-00000EC10000}"/>
    <cellStyle name="警告文本 2 2 2 4 3" xfId="49423" xr:uid="{00000000-0005-0000-0000-00000FC10000}"/>
    <cellStyle name="警告文本 2 2 2 4 3 2" xfId="49424" xr:uid="{00000000-0005-0000-0000-000010C10000}"/>
    <cellStyle name="警告文本 2 2 2 5" xfId="49425" xr:uid="{00000000-0005-0000-0000-000011C10000}"/>
    <cellStyle name="警告文本 2 2 2 6" xfId="49426" xr:uid="{00000000-0005-0000-0000-000012C10000}"/>
    <cellStyle name="警告文本 2 2 2 7" xfId="49427" xr:uid="{00000000-0005-0000-0000-000013C10000}"/>
    <cellStyle name="警告文本 2 2 3" xfId="49428" xr:uid="{00000000-0005-0000-0000-000014C10000}"/>
    <cellStyle name="警告文本 2 2 3 2" xfId="49429" xr:uid="{00000000-0005-0000-0000-000015C10000}"/>
    <cellStyle name="警告文本 2 2 3 2 2" xfId="49430" xr:uid="{00000000-0005-0000-0000-000016C10000}"/>
    <cellStyle name="警告文本 2 2 3 2 3" xfId="49431" xr:uid="{00000000-0005-0000-0000-000017C10000}"/>
    <cellStyle name="警告文本 2 2 3 2 3 2" xfId="49432" xr:uid="{00000000-0005-0000-0000-000018C10000}"/>
    <cellStyle name="警告文本 2 2 3 2 3 2 2" xfId="49433" xr:uid="{00000000-0005-0000-0000-000019C10000}"/>
    <cellStyle name="警告文本 2 2 3 2 4" xfId="49434" xr:uid="{00000000-0005-0000-0000-00001AC10000}"/>
    <cellStyle name="警告文本 2 2 3 2 4 2" xfId="49435" xr:uid="{00000000-0005-0000-0000-00001BC10000}"/>
    <cellStyle name="警告文本 2 2 3 3" xfId="49436" xr:uid="{00000000-0005-0000-0000-00001CC10000}"/>
    <cellStyle name="警告文本 2 2 3 3 2" xfId="49437" xr:uid="{00000000-0005-0000-0000-00001DC10000}"/>
    <cellStyle name="警告文本 2 2 3 3 2 2" xfId="49438" xr:uid="{00000000-0005-0000-0000-00001EC10000}"/>
    <cellStyle name="警告文本 2 2 3 3 2 2 2" xfId="49439" xr:uid="{00000000-0005-0000-0000-00001FC10000}"/>
    <cellStyle name="警告文本 2 2 3 3 3" xfId="49440" xr:uid="{00000000-0005-0000-0000-000020C10000}"/>
    <cellStyle name="警告文本 2 2 3 3 3 2" xfId="49441" xr:uid="{00000000-0005-0000-0000-000021C10000}"/>
    <cellStyle name="警告文本 2 2 3 4" xfId="49442" xr:uid="{00000000-0005-0000-0000-000022C10000}"/>
    <cellStyle name="警告文本 2 2 3 5" xfId="49443" xr:uid="{00000000-0005-0000-0000-000023C10000}"/>
    <cellStyle name="警告文本 2 2 3 6" xfId="49444" xr:uid="{00000000-0005-0000-0000-000024C10000}"/>
    <cellStyle name="警告文本 2 2 4" xfId="49445" xr:uid="{00000000-0005-0000-0000-000025C10000}"/>
    <cellStyle name="警告文本 2 2 4 2" xfId="49446" xr:uid="{00000000-0005-0000-0000-000026C10000}"/>
    <cellStyle name="警告文本 2 2 4 2 2" xfId="49447" xr:uid="{00000000-0005-0000-0000-000027C10000}"/>
    <cellStyle name="警告文本 2 2 4 2 3" xfId="49448" xr:uid="{00000000-0005-0000-0000-000028C10000}"/>
    <cellStyle name="警告文本 2 2 4 2 3 2" xfId="49449" xr:uid="{00000000-0005-0000-0000-000029C10000}"/>
    <cellStyle name="警告文本 2 2 4 2 3 2 2" xfId="49450" xr:uid="{00000000-0005-0000-0000-00002AC10000}"/>
    <cellStyle name="警告文本 2 2 4 2 4" xfId="49451" xr:uid="{00000000-0005-0000-0000-00002BC10000}"/>
    <cellStyle name="警告文本 2 2 4 2 4 2" xfId="49452" xr:uid="{00000000-0005-0000-0000-00002CC10000}"/>
    <cellStyle name="警告文本 2 2 4 3" xfId="49453" xr:uid="{00000000-0005-0000-0000-00002DC10000}"/>
    <cellStyle name="警告文本 2 2 4 4" xfId="49454" xr:uid="{00000000-0005-0000-0000-00002EC10000}"/>
    <cellStyle name="警告文本 2 2 4 5" xfId="49455" xr:uid="{00000000-0005-0000-0000-00002FC10000}"/>
    <cellStyle name="警告文本 2 2 4 6" xfId="49456" xr:uid="{00000000-0005-0000-0000-000030C10000}"/>
    <cellStyle name="警告文本 2 2 5" xfId="49457" xr:uid="{00000000-0005-0000-0000-000031C10000}"/>
    <cellStyle name="警告文本 2 2 5 2" xfId="49458" xr:uid="{00000000-0005-0000-0000-000032C10000}"/>
    <cellStyle name="警告文本 2 2 5 2 2" xfId="49459" xr:uid="{00000000-0005-0000-0000-000033C10000}"/>
    <cellStyle name="警告文本 2 2 5 2 2 2" xfId="49460" xr:uid="{00000000-0005-0000-0000-000034C10000}"/>
    <cellStyle name="警告文本 2 2 5 2 2 2 2" xfId="49461" xr:uid="{00000000-0005-0000-0000-000035C10000}"/>
    <cellStyle name="警告文本 2 2 5 2 3" xfId="49462" xr:uid="{00000000-0005-0000-0000-000036C10000}"/>
    <cellStyle name="警告文本 2 2 5 2 3 2" xfId="49463" xr:uid="{00000000-0005-0000-0000-000037C10000}"/>
    <cellStyle name="警告文本 2 2 5 3" xfId="49464" xr:uid="{00000000-0005-0000-0000-000038C10000}"/>
    <cellStyle name="警告文本 2 2 5 3 2" xfId="49465" xr:uid="{00000000-0005-0000-0000-000039C10000}"/>
    <cellStyle name="警告文本 2 2 5 3 2 2" xfId="49466" xr:uid="{00000000-0005-0000-0000-00003AC10000}"/>
    <cellStyle name="警告文本 2 2 5 4" xfId="49467" xr:uid="{00000000-0005-0000-0000-00003BC10000}"/>
    <cellStyle name="警告文本 2 2 5 4 2" xfId="49468" xr:uid="{00000000-0005-0000-0000-00003CC10000}"/>
    <cellStyle name="警告文本 2 2 6" xfId="49469" xr:uid="{00000000-0005-0000-0000-00003DC10000}"/>
    <cellStyle name="警告文本 2 2 6 2" xfId="49470" xr:uid="{00000000-0005-0000-0000-00003EC10000}"/>
    <cellStyle name="警告文本 2 2 6 2 2" xfId="49471" xr:uid="{00000000-0005-0000-0000-00003FC10000}"/>
    <cellStyle name="警告文本 2 2 6 2 2 2" xfId="49472" xr:uid="{00000000-0005-0000-0000-000040C10000}"/>
    <cellStyle name="警告文本 2 2 6 2 2 2 2" xfId="49473" xr:uid="{00000000-0005-0000-0000-000041C10000}"/>
    <cellStyle name="警告文本 2 2 6 2 3" xfId="49474" xr:uid="{00000000-0005-0000-0000-000042C10000}"/>
    <cellStyle name="警告文本 2 2 6 2 3 2" xfId="49475" xr:uid="{00000000-0005-0000-0000-000043C10000}"/>
    <cellStyle name="警告文本 2 2 6 3" xfId="49476" xr:uid="{00000000-0005-0000-0000-000044C10000}"/>
    <cellStyle name="警告文本 2 2 6 3 2" xfId="49477" xr:uid="{00000000-0005-0000-0000-000045C10000}"/>
    <cellStyle name="警告文本 2 2 6 3 2 2" xfId="49478" xr:uid="{00000000-0005-0000-0000-000046C10000}"/>
    <cellStyle name="警告文本 2 2 6 4" xfId="49479" xr:uid="{00000000-0005-0000-0000-000047C10000}"/>
    <cellStyle name="警告文本 2 2 6 4 2" xfId="49480" xr:uid="{00000000-0005-0000-0000-000048C10000}"/>
    <cellStyle name="警告文本 2 2 7" xfId="49481" xr:uid="{00000000-0005-0000-0000-000049C10000}"/>
    <cellStyle name="警告文本 2 2 7 2" xfId="49482" xr:uid="{00000000-0005-0000-0000-00004AC10000}"/>
    <cellStyle name="警告文本 2 2 7 2 2" xfId="49483" xr:uid="{00000000-0005-0000-0000-00004BC10000}"/>
    <cellStyle name="警告文本 2 2 7 2 2 2" xfId="49484" xr:uid="{00000000-0005-0000-0000-00004CC10000}"/>
    <cellStyle name="警告文本 2 2 7 2 2 2 2" xfId="49485" xr:uid="{00000000-0005-0000-0000-00004DC10000}"/>
    <cellStyle name="警告文本 2 2 7 2 3" xfId="49486" xr:uid="{00000000-0005-0000-0000-00004EC10000}"/>
    <cellStyle name="警告文本 2 2 7 2 3 2" xfId="49487" xr:uid="{00000000-0005-0000-0000-00004FC10000}"/>
    <cellStyle name="警告文本 2 2 7 3" xfId="49488" xr:uid="{00000000-0005-0000-0000-000050C10000}"/>
    <cellStyle name="警告文本 2 2 7 3 2" xfId="49489" xr:uid="{00000000-0005-0000-0000-000051C10000}"/>
    <cellStyle name="警告文本 2 2 7 3 2 2" xfId="49490" xr:uid="{00000000-0005-0000-0000-000052C10000}"/>
    <cellStyle name="警告文本 2 2 7 4" xfId="49491" xr:uid="{00000000-0005-0000-0000-000053C10000}"/>
    <cellStyle name="警告文本 2 2 7 4 2" xfId="49492" xr:uid="{00000000-0005-0000-0000-000054C10000}"/>
    <cellStyle name="警告文本 2 2 8" xfId="49493" xr:uid="{00000000-0005-0000-0000-000055C10000}"/>
    <cellStyle name="警告文本 2 2 8 2" xfId="49494" xr:uid="{00000000-0005-0000-0000-000056C10000}"/>
    <cellStyle name="警告文本 2 2 8 2 2" xfId="49495" xr:uid="{00000000-0005-0000-0000-000057C10000}"/>
    <cellStyle name="警告文本 2 2 8 2 2 2" xfId="49496" xr:uid="{00000000-0005-0000-0000-000058C10000}"/>
    <cellStyle name="警告文本 2 2 8 3" xfId="49497" xr:uid="{00000000-0005-0000-0000-000059C10000}"/>
    <cellStyle name="警告文本 2 2 8 3 2" xfId="49498" xr:uid="{00000000-0005-0000-0000-00005AC10000}"/>
    <cellStyle name="警告文本 2 2 9" xfId="49499" xr:uid="{00000000-0005-0000-0000-00005BC10000}"/>
    <cellStyle name="警告文本 2 2 9 2" xfId="49500" xr:uid="{00000000-0005-0000-0000-00005CC10000}"/>
    <cellStyle name="警告文本 2 2 9 2 2" xfId="49501" xr:uid="{00000000-0005-0000-0000-00005DC10000}"/>
    <cellStyle name="警告文本 2 2 9 2 2 2" xfId="49502" xr:uid="{00000000-0005-0000-0000-00005EC10000}"/>
    <cellStyle name="警告文本 2 2 9 3" xfId="49503" xr:uid="{00000000-0005-0000-0000-00005FC10000}"/>
    <cellStyle name="警告文本 2 2 9 3 2" xfId="49504" xr:uid="{00000000-0005-0000-0000-000060C10000}"/>
    <cellStyle name="警告文本 2 3" xfId="49505" xr:uid="{00000000-0005-0000-0000-000061C10000}"/>
    <cellStyle name="警告文本 2 3 2" xfId="49506" xr:uid="{00000000-0005-0000-0000-000062C10000}"/>
    <cellStyle name="警告文本 2 3 2 2" xfId="49507" xr:uid="{00000000-0005-0000-0000-000063C10000}"/>
    <cellStyle name="警告文本 2 3 2 2 2" xfId="49508" xr:uid="{00000000-0005-0000-0000-000064C10000}"/>
    <cellStyle name="警告文本 2 3 2 2 2 2" xfId="49509" xr:uid="{00000000-0005-0000-0000-000065C10000}"/>
    <cellStyle name="警告文本 2 3 2 2 2 3" xfId="49510" xr:uid="{00000000-0005-0000-0000-000066C10000}"/>
    <cellStyle name="警告文本 2 3 2 2 2 3 2" xfId="49511" xr:uid="{00000000-0005-0000-0000-000067C10000}"/>
    <cellStyle name="警告文本 2 3 2 2 2 3 2 2" xfId="49512" xr:uid="{00000000-0005-0000-0000-000068C10000}"/>
    <cellStyle name="警告文本 2 3 2 2 2 4" xfId="49513" xr:uid="{00000000-0005-0000-0000-000069C10000}"/>
    <cellStyle name="警告文本 2 3 2 2 2 4 2" xfId="49514" xr:uid="{00000000-0005-0000-0000-00006AC10000}"/>
    <cellStyle name="警告文本 2 3 2 2 3" xfId="49515" xr:uid="{00000000-0005-0000-0000-00006BC10000}"/>
    <cellStyle name="警告文本 2 3 2 2 3 2" xfId="49516" xr:uid="{00000000-0005-0000-0000-00006CC10000}"/>
    <cellStyle name="警告文本 2 3 2 2 3 2 2" xfId="49517" xr:uid="{00000000-0005-0000-0000-00006DC10000}"/>
    <cellStyle name="警告文本 2 3 2 2 3 2 2 2" xfId="49518" xr:uid="{00000000-0005-0000-0000-00006EC10000}"/>
    <cellStyle name="警告文本 2 3 2 2 3 3" xfId="49519" xr:uid="{00000000-0005-0000-0000-00006FC10000}"/>
    <cellStyle name="警告文本 2 3 2 2 3 3 2" xfId="49520" xr:uid="{00000000-0005-0000-0000-000070C10000}"/>
    <cellStyle name="警告文本 2 3 2 2 4" xfId="49521" xr:uid="{00000000-0005-0000-0000-000071C10000}"/>
    <cellStyle name="警告文本 2 3 2 2 5" xfId="49522" xr:uid="{00000000-0005-0000-0000-000072C10000}"/>
    <cellStyle name="警告文本 2 3 2 2 6" xfId="49523" xr:uid="{00000000-0005-0000-0000-000073C10000}"/>
    <cellStyle name="警告文本 2 3 2 3" xfId="49524" xr:uid="{00000000-0005-0000-0000-000074C10000}"/>
    <cellStyle name="警告文本 2 3 2 3 2" xfId="49525" xr:uid="{00000000-0005-0000-0000-000075C10000}"/>
    <cellStyle name="警告文本 2 3 2 3 3" xfId="49526" xr:uid="{00000000-0005-0000-0000-000076C10000}"/>
    <cellStyle name="警告文本 2 3 2 3 3 2" xfId="49527" xr:uid="{00000000-0005-0000-0000-000077C10000}"/>
    <cellStyle name="警告文本 2 3 2 3 3 2 2" xfId="49528" xr:uid="{00000000-0005-0000-0000-000078C10000}"/>
    <cellStyle name="警告文本 2 3 2 3 4" xfId="49529" xr:uid="{00000000-0005-0000-0000-000079C10000}"/>
    <cellStyle name="警告文本 2 3 2 3 4 2" xfId="49530" xr:uid="{00000000-0005-0000-0000-00007AC10000}"/>
    <cellStyle name="警告文本 2 3 2 4" xfId="49531" xr:uid="{00000000-0005-0000-0000-00007BC10000}"/>
    <cellStyle name="警告文本 2 3 2 4 2" xfId="49532" xr:uid="{00000000-0005-0000-0000-00007CC10000}"/>
    <cellStyle name="警告文本 2 3 2 4 2 2" xfId="49533" xr:uid="{00000000-0005-0000-0000-00007DC10000}"/>
    <cellStyle name="警告文本 2 3 2 4 2 2 2" xfId="49534" xr:uid="{00000000-0005-0000-0000-00007EC10000}"/>
    <cellStyle name="警告文本 2 3 2 4 3" xfId="49535" xr:uid="{00000000-0005-0000-0000-00007FC10000}"/>
    <cellStyle name="警告文本 2 3 2 4 3 2" xfId="49536" xr:uid="{00000000-0005-0000-0000-000080C10000}"/>
    <cellStyle name="警告文本 2 3 2 5" xfId="49537" xr:uid="{00000000-0005-0000-0000-000081C10000}"/>
    <cellStyle name="警告文本 2 3 2 6" xfId="49538" xr:uid="{00000000-0005-0000-0000-000082C10000}"/>
    <cellStyle name="警告文本 2 3 2 7" xfId="49539" xr:uid="{00000000-0005-0000-0000-000083C10000}"/>
    <cellStyle name="警告文本 2 3 3" xfId="49540" xr:uid="{00000000-0005-0000-0000-000084C10000}"/>
    <cellStyle name="警告文本 2 3 3 2" xfId="49541" xr:uid="{00000000-0005-0000-0000-000085C10000}"/>
    <cellStyle name="警告文本 2 3 3 2 2" xfId="49542" xr:uid="{00000000-0005-0000-0000-000086C10000}"/>
    <cellStyle name="警告文本 2 3 3 2 3" xfId="49543" xr:uid="{00000000-0005-0000-0000-000087C10000}"/>
    <cellStyle name="警告文本 2 3 3 2 3 2" xfId="49544" xr:uid="{00000000-0005-0000-0000-000088C10000}"/>
    <cellStyle name="警告文本 2 3 3 2 3 2 2" xfId="49545" xr:uid="{00000000-0005-0000-0000-000089C10000}"/>
    <cellStyle name="警告文本 2 3 3 2 4" xfId="49546" xr:uid="{00000000-0005-0000-0000-00008AC10000}"/>
    <cellStyle name="警告文本 2 3 3 2 4 2" xfId="49547" xr:uid="{00000000-0005-0000-0000-00008BC10000}"/>
    <cellStyle name="警告文本 2 3 3 3" xfId="49548" xr:uid="{00000000-0005-0000-0000-00008CC10000}"/>
    <cellStyle name="警告文本 2 3 3 3 2" xfId="49549" xr:uid="{00000000-0005-0000-0000-00008DC10000}"/>
    <cellStyle name="警告文本 2 3 3 3 2 2" xfId="49550" xr:uid="{00000000-0005-0000-0000-00008EC10000}"/>
    <cellStyle name="警告文本 2 3 3 3 2 2 2" xfId="49551" xr:uid="{00000000-0005-0000-0000-00008FC10000}"/>
    <cellStyle name="警告文本 2 3 3 3 3" xfId="49552" xr:uid="{00000000-0005-0000-0000-000090C10000}"/>
    <cellStyle name="警告文本 2 3 3 3 3 2" xfId="49553" xr:uid="{00000000-0005-0000-0000-000091C10000}"/>
    <cellStyle name="警告文本 2 3 3 4" xfId="49554" xr:uid="{00000000-0005-0000-0000-000092C10000}"/>
    <cellStyle name="警告文本 2 3 3 5" xfId="49555" xr:uid="{00000000-0005-0000-0000-000093C10000}"/>
    <cellStyle name="警告文本 2 3 3 6" xfId="49556" xr:uid="{00000000-0005-0000-0000-000094C10000}"/>
    <cellStyle name="警告文本 2 3 4" xfId="49557" xr:uid="{00000000-0005-0000-0000-000095C10000}"/>
    <cellStyle name="警告文本 2 3 4 2" xfId="49558" xr:uid="{00000000-0005-0000-0000-000096C10000}"/>
    <cellStyle name="警告文本 2 3 4 2 2" xfId="49559" xr:uid="{00000000-0005-0000-0000-000097C10000}"/>
    <cellStyle name="警告文本 2 3 4 2 3" xfId="49560" xr:uid="{00000000-0005-0000-0000-000098C10000}"/>
    <cellStyle name="警告文本 2 3 4 2 3 2" xfId="49561" xr:uid="{00000000-0005-0000-0000-000099C10000}"/>
    <cellStyle name="警告文本 2 3 4 2 3 2 2" xfId="49562" xr:uid="{00000000-0005-0000-0000-00009AC10000}"/>
    <cellStyle name="警告文本 2 3 4 2 4" xfId="49563" xr:uid="{00000000-0005-0000-0000-00009BC10000}"/>
    <cellStyle name="警告文本 2 3 4 2 4 2" xfId="49564" xr:uid="{00000000-0005-0000-0000-00009CC10000}"/>
    <cellStyle name="警告文本 2 3 4 3" xfId="49565" xr:uid="{00000000-0005-0000-0000-00009DC10000}"/>
    <cellStyle name="警告文本 2 3 4 4" xfId="49566" xr:uid="{00000000-0005-0000-0000-00009EC10000}"/>
    <cellStyle name="警告文本 2 3 4 5" xfId="49567" xr:uid="{00000000-0005-0000-0000-00009FC10000}"/>
    <cellStyle name="警告文本 2 3 4 6" xfId="49568" xr:uid="{00000000-0005-0000-0000-0000A0C10000}"/>
    <cellStyle name="警告文本 2 3 5" xfId="49569" xr:uid="{00000000-0005-0000-0000-0000A1C10000}"/>
    <cellStyle name="警告文本 2 3 5 2" xfId="49570" xr:uid="{00000000-0005-0000-0000-0000A2C10000}"/>
    <cellStyle name="警告文本 2 3 5 2 2" xfId="49571" xr:uid="{00000000-0005-0000-0000-0000A3C10000}"/>
    <cellStyle name="警告文本 2 3 5 2 2 2" xfId="49572" xr:uid="{00000000-0005-0000-0000-0000A4C10000}"/>
    <cellStyle name="警告文本 2 3 5 2 2 2 2" xfId="49573" xr:uid="{00000000-0005-0000-0000-0000A5C10000}"/>
    <cellStyle name="警告文本 2 3 5 2 3" xfId="49574" xr:uid="{00000000-0005-0000-0000-0000A6C10000}"/>
    <cellStyle name="警告文本 2 3 5 2 3 2" xfId="49575" xr:uid="{00000000-0005-0000-0000-0000A7C10000}"/>
    <cellStyle name="警告文本 2 3 5 3" xfId="49576" xr:uid="{00000000-0005-0000-0000-0000A8C10000}"/>
    <cellStyle name="警告文本 2 3 5 3 2" xfId="49577" xr:uid="{00000000-0005-0000-0000-0000A9C10000}"/>
    <cellStyle name="警告文本 2 3 5 3 2 2" xfId="49578" xr:uid="{00000000-0005-0000-0000-0000AAC10000}"/>
    <cellStyle name="警告文本 2 3 5 4" xfId="49579" xr:uid="{00000000-0005-0000-0000-0000ABC10000}"/>
    <cellStyle name="警告文本 2 3 5 4 2" xfId="49580" xr:uid="{00000000-0005-0000-0000-0000ACC10000}"/>
    <cellStyle name="警告文本 2 3 6" xfId="49581" xr:uid="{00000000-0005-0000-0000-0000ADC10000}"/>
    <cellStyle name="警告文本 2 3 6 2" xfId="49582" xr:uid="{00000000-0005-0000-0000-0000AEC10000}"/>
    <cellStyle name="警告文本 2 3 6 2 2" xfId="49583" xr:uid="{00000000-0005-0000-0000-0000AFC10000}"/>
    <cellStyle name="警告文本 2 3 6 2 2 2" xfId="49584" xr:uid="{00000000-0005-0000-0000-0000B0C10000}"/>
    <cellStyle name="警告文本 2 3 6 3" xfId="49585" xr:uid="{00000000-0005-0000-0000-0000B1C10000}"/>
    <cellStyle name="警告文本 2 3 6 3 2" xfId="49586" xr:uid="{00000000-0005-0000-0000-0000B2C10000}"/>
    <cellStyle name="警告文本 2 3 7" xfId="49587" xr:uid="{00000000-0005-0000-0000-0000B3C10000}"/>
    <cellStyle name="警告文本 2 3 7 2" xfId="49588" xr:uid="{00000000-0005-0000-0000-0000B4C10000}"/>
    <cellStyle name="警告文本 2 3 7 2 2" xfId="49589" xr:uid="{00000000-0005-0000-0000-0000B5C10000}"/>
    <cellStyle name="警告文本 2 3 7 2 2 2" xfId="49590" xr:uid="{00000000-0005-0000-0000-0000B6C10000}"/>
    <cellStyle name="警告文本 2 3 7 3" xfId="49591" xr:uid="{00000000-0005-0000-0000-0000B7C10000}"/>
    <cellStyle name="警告文本 2 3 7 3 2" xfId="49592" xr:uid="{00000000-0005-0000-0000-0000B8C10000}"/>
    <cellStyle name="警告文本 2 3 8" xfId="49593" xr:uid="{00000000-0005-0000-0000-0000B9C10000}"/>
    <cellStyle name="警告文本 2 3 9" xfId="49594" xr:uid="{00000000-0005-0000-0000-0000BAC10000}"/>
    <cellStyle name="警告文本 2 4" xfId="49595" xr:uid="{00000000-0005-0000-0000-0000BBC10000}"/>
    <cellStyle name="警告文本 2 4 2" xfId="49596" xr:uid="{00000000-0005-0000-0000-0000BCC10000}"/>
    <cellStyle name="警告文本 2 4 2 2" xfId="49597" xr:uid="{00000000-0005-0000-0000-0000BDC10000}"/>
    <cellStyle name="警告文本 2 4 2 3" xfId="49598" xr:uid="{00000000-0005-0000-0000-0000BEC10000}"/>
    <cellStyle name="警告文本 2 4 2 3 2" xfId="49599" xr:uid="{00000000-0005-0000-0000-0000BFC10000}"/>
    <cellStyle name="警告文本 2 4 2 3 2 2" xfId="49600" xr:uid="{00000000-0005-0000-0000-0000C0C10000}"/>
    <cellStyle name="警告文本 2 4 2 4" xfId="49601" xr:uid="{00000000-0005-0000-0000-0000C1C10000}"/>
    <cellStyle name="警告文本 2 4 2 4 2" xfId="49602" xr:uid="{00000000-0005-0000-0000-0000C2C10000}"/>
    <cellStyle name="警告文本 2 4 3" xfId="49603" xr:uid="{00000000-0005-0000-0000-0000C3C10000}"/>
    <cellStyle name="警告文本 2 4 3 2" xfId="49604" xr:uid="{00000000-0005-0000-0000-0000C4C10000}"/>
    <cellStyle name="警告文本 2 4 3 2 2" xfId="49605" xr:uid="{00000000-0005-0000-0000-0000C5C10000}"/>
    <cellStyle name="警告文本 2 4 3 2 2 2" xfId="49606" xr:uid="{00000000-0005-0000-0000-0000C6C10000}"/>
    <cellStyle name="警告文本 2 4 3 3" xfId="49607" xr:uid="{00000000-0005-0000-0000-0000C7C10000}"/>
    <cellStyle name="警告文本 2 4 3 3 2" xfId="49608" xr:uid="{00000000-0005-0000-0000-0000C8C10000}"/>
    <cellStyle name="警告文本 2 4 4" xfId="49609" xr:uid="{00000000-0005-0000-0000-0000C9C10000}"/>
    <cellStyle name="警告文本 2 4 5" xfId="49610" xr:uid="{00000000-0005-0000-0000-0000CAC10000}"/>
    <cellStyle name="警告文本 2 4 6" xfId="49611" xr:uid="{00000000-0005-0000-0000-0000CBC10000}"/>
    <cellStyle name="警告文本 2 5" xfId="49612" xr:uid="{00000000-0005-0000-0000-0000CCC10000}"/>
    <cellStyle name="警告文本 2 5 2" xfId="49613" xr:uid="{00000000-0005-0000-0000-0000CDC10000}"/>
    <cellStyle name="警告文本 2 5 2 2" xfId="49614" xr:uid="{00000000-0005-0000-0000-0000CEC10000}"/>
    <cellStyle name="警告文本 2 5 2 3" xfId="49615" xr:uid="{00000000-0005-0000-0000-0000CFC10000}"/>
    <cellStyle name="警告文本 2 5 2 3 2" xfId="49616" xr:uid="{00000000-0005-0000-0000-0000D0C10000}"/>
    <cellStyle name="警告文本 2 5 2 3 2 2" xfId="49617" xr:uid="{00000000-0005-0000-0000-0000D1C10000}"/>
    <cellStyle name="警告文本 2 5 2 4" xfId="49618" xr:uid="{00000000-0005-0000-0000-0000D2C10000}"/>
    <cellStyle name="警告文本 2 5 2 4 2" xfId="49619" xr:uid="{00000000-0005-0000-0000-0000D3C10000}"/>
    <cellStyle name="警告文本 2 5 3" xfId="49620" xr:uid="{00000000-0005-0000-0000-0000D4C10000}"/>
    <cellStyle name="警告文本 2 5 4" xfId="49621" xr:uid="{00000000-0005-0000-0000-0000D5C10000}"/>
    <cellStyle name="警告文本 2 5 5" xfId="49622" xr:uid="{00000000-0005-0000-0000-0000D6C10000}"/>
    <cellStyle name="警告文本 2 5 6" xfId="49623" xr:uid="{00000000-0005-0000-0000-0000D7C10000}"/>
    <cellStyle name="警告文本 2 6" xfId="49624" xr:uid="{00000000-0005-0000-0000-0000D8C10000}"/>
    <cellStyle name="警告文本 2 6 2" xfId="49625" xr:uid="{00000000-0005-0000-0000-0000D9C10000}"/>
    <cellStyle name="警告文本 2 6 2 2" xfId="49626" xr:uid="{00000000-0005-0000-0000-0000DAC10000}"/>
    <cellStyle name="警告文本 2 6 2 2 2" xfId="49627" xr:uid="{00000000-0005-0000-0000-0000DBC10000}"/>
    <cellStyle name="警告文本 2 6 2 2 2 2" xfId="49628" xr:uid="{00000000-0005-0000-0000-0000DCC10000}"/>
    <cellStyle name="警告文本 2 6 2 3" xfId="49629" xr:uid="{00000000-0005-0000-0000-0000DDC10000}"/>
    <cellStyle name="警告文本 2 6 2 3 2" xfId="49630" xr:uid="{00000000-0005-0000-0000-0000DEC10000}"/>
    <cellStyle name="警告文本 2 6 3" xfId="49631" xr:uid="{00000000-0005-0000-0000-0000DFC10000}"/>
    <cellStyle name="警告文本 2 6 3 2" xfId="49632" xr:uid="{00000000-0005-0000-0000-0000E0C10000}"/>
    <cellStyle name="警告文本 2 6 3 2 2" xfId="49633" xr:uid="{00000000-0005-0000-0000-0000E1C10000}"/>
    <cellStyle name="警告文本 2 6 4" xfId="49634" xr:uid="{00000000-0005-0000-0000-0000E2C10000}"/>
    <cellStyle name="警告文本 2 6 4 2" xfId="49635" xr:uid="{00000000-0005-0000-0000-0000E3C10000}"/>
    <cellStyle name="警告文本 2 7" xfId="49636" xr:uid="{00000000-0005-0000-0000-0000E4C10000}"/>
    <cellStyle name="警告文本 2 7 2" xfId="49637" xr:uid="{00000000-0005-0000-0000-0000E5C10000}"/>
    <cellStyle name="警告文本 2 7 2 2" xfId="49638" xr:uid="{00000000-0005-0000-0000-0000E6C10000}"/>
    <cellStyle name="警告文本 2 7 2 2 2" xfId="49639" xr:uid="{00000000-0005-0000-0000-0000E7C10000}"/>
    <cellStyle name="警告文本 2 7 2 2 2 2" xfId="49640" xr:uid="{00000000-0005-0000-0000-0000E8C10000}"/>
    <cellStyle name="警告文本 2 7 2 3" xfId="49641" xr:uid="{00000000-0005-0000-0000-0000E9C10000}"/>
    <cellStyle name="警告文本 2 7 2 3 2" xfId="49642" xr:uid="{00000000-0005-0000-0000-0000EAC10000}"/>
    <cellStyle name="警告文本 2 7 3" xfId="49643" xr:uid="{00000000-0005-0000-0000-0000EBC10000}"/>
    <cellStyle name="警告文本 2 7 3 2" xfId="49644" xr:uid="{00000000-0005-0000-0000-0000ECC10000}"/>
    <cellStyle name="警告文本 2 7 3 2 2" xfId="49645" xr:uid="{00000000-0005-0000-0000-0000EDC10000}"/>
    <cellStyle name="警告文本 2 7 4" xfId="49646" xr:uid="{00000000-0005-0000-0000-0000EEC10000}"/>
    <cellStyle name="警告文本 2 7 4 2" xfId="49647" xr:uid="{00000000-0005-0000-0000-0000EFC10000}"/>
    <cellStyle name="警告文本 2 8" xfId="49648" xr:uid="{00000000-0005-0000-0000-0000F0C10000}"/>
    <cellStyle name="警告文本 2 8 2" xfId="49649" xr:uid="{00000000-0005-0000-0000-0000F1C10000}"/>
    <cellStyle name="警告文本 2 8 2 2" xfId="49650" xr:uid="{00000000-0005-0000-0000-0000F2C10000}"/>
    <cellStyle name="警告文本 2 8 2 2 2" xfId="49651" xr:uid="{00000000-0005-0000-0000-0000F3C10000}"/>
    <cellStyle name="警告文本 2 8 2 2 2 2" xfId="49652" xr:uid="{00000000-0005-0000-0000-0000F4C10000}"/>
    <cellStyle name="警告文本 2 8 2 3" xfId="49653" xr:uid="{00000000-0005-0000-0000-0000F5C10000}"/>
    <cellStyle name="警告文本 2 8 2 3 2" xfId="49654" xr:uid="{00000000-0005-0000-0000-0000F6C10000}"/>
    <cellStyle name="警告文本 2 8 3" xfId="49655" xr:uid="{00000000-0005-0000-0000-0000F7C10000}"/>
    <cellStyle name="警告文本 2 8 3 2" xfId="49656" xr:uid="{00000000-0005-0000-0000-0000F8C10000}"/>
    <cellStyle name="警告文本 2 8 3 2 2" xfId="49657" xr:uid="{00000000-0005-0000-0000-0000F9C10000}"/>
    <cellStyle name="警告文本 2 8 4" xfId="49658" xr:uid="{00000000-0005-0000-0000-0000FAC10000}"/>
    <cellStyle name="警告文本 2 8 4 2" xfId="49659" xr:uid="{00000000-0005-0000-0000-0000FBC10000}"/>
    <cellStyle name="警告文本 2 9" xfId="49660" xr:uid="{00000000-0005-0000-0000-0000FCC10000}"/>
    <cellStyle name="警告文本 2 9 2" xfId="49661" xr:uid="{00000000-0005-0000-0000-0000FDC10000}"/>
    <cellStyle name="警告文本 2 9 2 2" xfId="49662" xr:uid="{00000000-0005-0000-0000-0000FEC10000}"/>
    <cellStyle name="警告文本 2 9 2 2 2" xfId="49663" xr:uid="{00000000-0005-0000-0000-0000FFC10000}"/>
    <cellStyle name="警告文本 2 9 3" xfId="49664" xr:uid="{00000000-0005-0000-0000-000000C20000}"/>
    <cellStyle name="警告文本 2 9 3 2" xfId="49665" xr:uid="{00000000-0005-0000-0000-000001C20000}"/>
    <cellStyle name="警告文本 3" xfId="49666" xr:uid="{00000000-0005-0000-0000-000002C20000}"/>
    <cellStyle name="警告文本 3 2" xfId="49667" xr:uid="{00000000-0005-0000-0000-000003C20000}"/>
    <cellStyle name="警告文本 3 2 2" xfId="49668" xr:uid="{00000000-0005-0000-0000-000004C20000}"/>
    <cellStyle name="警告文本 3 2 2 2" xfId="49669" xr:uid="{00000000-0005-0000-0000-000005C20000}"/>
    <cellStyle name="警告文本 3 2 2 2 2" xfId="49670" xr:uid="{00000000-0005-0000-0000-000006C20000}"/>
    <cellStyle name="警告文本 3 2 2 2 3" xfId="49671" xr:uid="{00000000-0005-0000-0000-000007C20000}"/>
    <cellStyle name="警告文本 3 2 2 2 3 2" xfId="49672" xr:uid="{00000000-0005-0000-0000-000008C20000}"/>
    <cellStyle name="警告文本 3 2 2 2 3 2 2" xfId="49673" xr:uid="{00000000-0005-0000-0000-000009C20000}"/>
    <cellStyle name="警告文本 3 2 2 2 4" xfId="49674" xr:uid="{00000000-0005-0000-0000-00000AC20000}"/>
    <cellStyle name="警告文本 3 2 2 2 4 2" xfId="49675" xr:uid="{00000000-0005-0000-0000-00000BC20000}"/>
    <cellStyle name="警告文本 3 2 2 3" xfId="49676" xr:uid="{00000000-0005-0000-0000-00000CC20000}"/>
    <cellStyle name="警告文本 3 2 2 3 2" xfId="49677" xr:uid="{00000000-0005-0000-0000-00000DC20000}"/>
    <cellStyle name="警告文本 3 2 2 3 2 2" xfId="49678" xr:uid="{00000000-0005-0000-0000-00000EC20000}"/>
    <cellStyle name="警告文本 3 2 2 3 2 2 2" xfId="49679" xr:uid="{00000000-0005-0000-0000-00000FC20000}"/>
    <cellStyle name="警告文本 3 2 2 3 3" xfId="49680" xr:uid="{00000000-0005-0000-0000-000010C20000}"/>
    <cellStyle name="警告文本 3 2 2 3 3 2" xfId="49681" xr:uid="{00000000-0005-0000-0000-000011C20000}"/>
    <cellStyle name="警告文本 3 2 2 4" xfId="49682" xr:uid="{00000000-0005-0000-0000-000012C20000}"/>
    <cellStyle name="警告文本 3 2 2 5" xfId="49683" xr:uid="{00000000-0005-0000-0000-000013C20000}"/>
    <cellStyle name="警告文本 3 2 2 6" xfId="49684" xr:uid="{00000000-0005-0000-0000-000014C20000}"/>
    <cellStyle name="警告文本 3 2 3" xfId="49685" xr:uid="{00000000-0005-0000-0000-000015C20000}"/>
    <cellStyle name="警告文本 3 2 3 2" xfId="49686" xr:uid="{00000000-0005-0000-0000-000016C20000}"/>
    <cellStyle name="警告文本 3 2 3 3" xfId="49687" xr:uid="{00000000-0005-0000-0000-000017C20000}"/>
    <cellStyle name="警告文本 3 2 3 3 2" xfId="49688" xr:uid="{00000000-0005-0000-0000-000018C20000}"/>
    <cellStyle name="警告文本 3 2 3 3 2 2" xfId="49689" xr:uid="{00000000-0005-0000-0000-000019C20000}"/>
    <cellStyle name="警告文本 3 2 3 4" xfId="49690" xr:uid="{00000000-0005-0000-0000-00001AC20000}"/>
    <cellStyle name="警告文本 3 2 3 4 2" xfId="49691" xr:uid="{00000000-0005-0000-0000-00001BC20000}"/>
    <cellStyle name="警告文本 3 2 4" xfId="49692" xr:uid="{00000000-0005-0000-0000-00001CC20000}"/>
    <cellStyle name="警告文本 3 2 4 2" xfId="49693" xr:uid="{00000000-0005-0000-0000-00001DC20000}"/>
    <cellStyle name="警告文本 3 2 4 2 2" xfId="49694" xr:uid="{00000000-0005-0000-0000-00001EC20000}"/>
    <cellStyle name="警告文本 3 2 4 2 2 2" xfId="49695" xr:uid="{00000000-0005-0000-0000-00001FC20000}"/>
    <cellStyle name="警告文本 3 2 4 3" xfId="49696" xr:uid="{00000000-0005-0000-0000-000020C20000}"/>
    <cellStyle name="警告文本 3 2 4 3 2" xfId="49697" xr:uid="{00000000-0005-0000-0000-000021C20000}"/>
    <cellStyle name="警告文本 3 2 5" xfId="49698" xr:uid="{00000000-0005-0000-0000-000022C20000}"/>
    <cellStyle name="警告文本 3 2 6" xfId="49699" xr:uid="{00000000-0005-0000-0000-000023C20000}"/>
    <cellStyle name="警告文本 3 2 7" xfId="49700" xr:uid="{00000000-0005-0000-0000-000024C20000}"/>
    <cellStyle name="警告文本 3 3" xfId="49701" xr:uid="{00000000-0005-0000-0000-000025C20000}"/>
    <cellStyle name="警告文本 3 3 2" xfId="49702" xr:uid="{00000000-0005-0000-0000-000026C20000}"/>
    <cellStyle name="警告文本 3 3 2 2" xfId="49703" xr:uid="{00000000-0005-0000-0000-000027C20000}"/>
    <cellStyle name="警告文本 3 3 2 3" xfId="49704" xr:uid="{00000000-0005-0000-0000-000028C20000}"/>
    <cellStyle name="警告文本 3 3 2 3 2" xfId="49705" xr:uid="{00000000-0005-0000-0000-000029C20000}"/>
    <cellStyle name="警告文本 3 3 2 3 2 2" xfId="49706" xr:uid="{00000000-0005-0000-0000-00002AC20000}"/>
    <cellStyle name="警告文本 3 3 2 4" xfId="49707" xr:uid="{00000000-0005-0000-0000-00002BC20000}"/>
    <cellStyle name="警告文本 3 3 2 4 2" xfId="49708" xr:uid="{00000000-0005-0000-0000-00002CC20000}"/>
    <cellStyle name="警告文本 3 3 3" xfId="49709" xr:uid="{00000000-0005-0000-0000-00002DC20000}"/>
    <cellStyle name="警告文本 3 3 3 2" xfId="49710" xr:uid="{00000000-0005-0000-0000-00002EC20000}"/>
    <cellStyle name="警告文本 3 3 3 2 2" xfId="49711" xr:uid="{00000000-0005-0000-0000-00002FC20000}"/>
    <cellStyle name="警告文本 3 3 3 2 2 2" xfId="49712" xr:uid="{00000000-0005-0000-0000-000030C20000}"/>
    <cellStyle name="警告文本 3 3 3 3" xfId="49713" xr:uid="{00000000-0005-0000-0000-000031C20000}"/>
    <cellStyle name="警告文本 3 3 3 3 2" xfId="49714" xr:uid="{00000000-0005-0000-0000-000032C20000}"/>
    <cellStyle name="警告文本 3 3 4" xfId="49715" xr:uid="{00000000-0005-0000-0000-000033C20000}"/>
    <cellStyle name="警告文本 3 3 5" xfId="49716" xr:uid="{00000000-0005-0000-0000-000034C20000}"/>
    <cellStyle name="警告文本 3 3 6" xfId="49717" xr:uid="{00000000-0005-0000-0000-000035C20000}"/>
    <cellStyle name="警告文本 3 4" xfId="49718" xr:uid="{00000000-0005-0000-0000-000036C20000}"/>
    <cellStyle name="警告文本 3 4 2" xfId="49719" xr:uid="{00000000-0005-0000-0000-000037C20000}"/>
    <cellStyle name="警告文本 3 4 2 2" xfId="49720" xr:uid="{00000000-0005-0000-0000-000038C20000}"/>
    <cellStyle name="警告文本 3 4 2 3" xfId="49721" xr:uid="{00000000-0005-0000-0000-000039C20000}"/>
    <cellStyle name="警告文本 3 4 2 3 2" xfId="49722" xr:uid="{00000000-0005-0000-0000-00003AC20000}"/>
    <cellStyle name="警告文本 3 4 2 3 2 2" xfId="49723" xr:uid="{00000000-0005-0000-0000-00003BC20000}"/>
    <cellStyle name="警告文本 3 4 2 4" xfId="49724" xr:uid="{00000000-0005-0000-0000-00003CC20000}"/>
    <cellStyle name="警告文本 3 4 2 4 2" xfId="49725" xr:uid="{00000000-0005-0000-0000-00003DC20000}"/>
    <cellStyle name="警告文本 3 4 3" xfId="49726" xr:uid="{00000000-0005-0000-0000-00003EC20000}"/>
    <cellStyle name="警告文本 3 4 4" xfId="49727" xr:uid="{00000000-0005-0000-0000-00003FC20000}"/>
    <cellStyle name="警告文本 3 4 5" xfId="49728" xr:uid="{00000000-0005-0000-0000-000040C20000}"/>
    <cellStyle name="警告文本 3 4 6" xfId="49729" xr:uid="{00000000-0005-0000-0000-000041C20000}"/>
    <cellStyle name="警告文本 3 5" xfId="49730" xr:uid="{00000000-0005-0000-0000-000042C20000}"/>
    <cellStyle name="警告文本 3 5 2" xfId="49731" xr:uid="{00000000-0005-0000-0000-000043C20000}"/>
    <cellStyle name="警告文本 3 5 2 2" xfId="49732" xr:uid="{00000000-0005-0000-0000-000044C20000}"/>
    <cellStyle name="警告文本 3 5 2 2 2" xfId="49733" xr:uid="{00000000-0005-0000-0000-000045C20000}"/>
    <cellStyle name="警告文本 3 5 2 2 2 2" xfId="49734" xr:uid="{00000000-0005-0000-0000-000046C20000}"/>
    <cellStyle name="警告文本 3 5 2 3" xfId="49735" xr:uid="{00000000-0005-0000-0000-000047C20000}"/>
    <cellStyle name="警告文本 3 5 2 3 2" xfId="49736" xr:uid="{00000000-0005-0000-0000-000048C20000}"/>
    <cellStyle name="警告文本 3 5 3" xfId="49737" xr:uid="{00000000-0005-0000-0000-000049C20000}"/>
    <cellStyle name="警告文本 3 5 3 2" xfId="49738" xr:uid="{00000000-0005-0000-0000-00004AC20000}"/>
    <cellStyle name="警告文本 3 5 3 2 2" xfId="49739" xr:uid="{00000000-0005-0000-0000-00004BC20000}"/>
    <cellStyle name="警告文本 3 5 4" xfId="49740" xr:uid="{00000000-0005-0000-0000-00004CC20000}"/>
    <cellStyle name="警告文本 3 5 4 2" xfId="49741" xr:uid="{00000000-0005-0000-0000-00004DC20000}"/>
    <cellStyle name="警告文本 3 6" xfId="49742" xr:uid="{00000000-0005-0000-0000-00004EC20000}"/>
    <cellStyle name="警告文本 3 6 2" xfId="49743" xr:uid="{00000000-0005-0000-0000-00004FC20000}"/>
    <cellStyle name="警告文本 3 6 2 2" xfId="49744" xr:uid="{00000000-0005-0000-0000-000050C20000}"/>
    <cellStyle name="警告文本 3 6 2 2 2" xfId="49745" xr:uid="{00000000-0005-0000-0000-000051C20000}"/>
    <cellStyle name="警告文本 3 6 3" xfId="49746" xr:uid="{00000000-0005-0000-0000-000052C20000}"/>
    <cellStyle name="警告文本 3 6 3 2" xfId="49747" xr:uid="{00000000-0005-0000-0000-000053C20000}"/>
    <cellStyle name="警告文本 3 7" xfId="49748" xr:uid="{00000000-0005-0000-0000-000054C20000}"/>
    <cellStyle name="警告文本 3 8" xfId="49749" xr:uid="{00000000-0005-0000-0000-000055C20000}"/>
    <cellStyle name="计算 2" xfId="49750" xr:uid="{00000000-0005-0000-0000-000056C20000}"/>
    <cellStyle name="计算 2 10" xfId="49751" xr:uid="{00000000-0005-0000-0000-000057C20000}"/>
    <cellStyle name="计算 2 11" xfId="49752" xr:uid="{00000000-0005-0000-0000-000058C20000}"/>
    <cellStyle name="计算 2 2" xfId="49753" xr:uid="{00000000-0005-0000-0000-000059C20000}"/>
    <cellStyle name="计算 2 2 10" xfId="49754" xr:uid="{00000000-0005-0000-0000-00005AC20000}"/>
    <cellStyle name="计算 2 2 11" xfId="49755" xr:uid="{00000000-0005-0000-0000-00005BC20000}"/>
    <cellStyle name="计算 2 2 2" xfId="49756" xr:uid="{00000000-0005-0000-0000-00005CC20000}"/>
    <cellStyle name="计算 2 2 2 2" xfId="49757" xr:uid="{00000000-0005-0000-0000-00005DC20000}"/>
    <cellStyle name="计算 2 2 2 2 2" xfId="49758" xr:uid="{00000000-0005-0000-0000-00005EC20000}"/>
    <cellStyle name="计算 2 2 2 2 2 2" xfId="49759" xr:uid="{00000000-0005-0000-0000-00005FC20000}"/>
    <cellStyle name="计算 2 2 2 2 2 3" xfId="49760" xr:uid="{00000000-0005-0000-0000-000060C20000}"/>
    <cellStyle name="计算 2 2 2 2 2 3 2" xfId="49761" xr:uid="{00000000-0005-0000-0000-000061C20000}"/>
    <cellStyle name="计算 2 2 2 2 2 3 2 2" xfId="49762" xr:uid="{00000000-0005-0000-0000-000062C20000}"/>
    <cellStyle name="计算 2 2 2 2 2 4" xfId="49763" xr:uid="{00000000-0005-0000-0000-000063C20000}"/>
    <cellStyle name="计算 2 2 2 2 2 4 2" xfId="49764" xr:uid="{00000000-0005-0000-0000-000064C20000}"/>
    <cellStyle name="计算 2 2 2 2 3" xfId="49765" xr:uid="{00000000-0005-0000-0000-000065C20000}"/>
    <cellStyle name="计算 2 2 2 2 3 2" xfId="49766" xr:uid="{00000000-0005-0000-0000-000066C20000}"/>
    <cellStyle name="计算 2 2 2 2 3 2 2" xfId="49767" xr:uid="{00000000-0005-0000-0000-000067C20000}"/>
    <cellStyle name="计算 2 2 2 2 3 2 2 2" xfId="49768" xr:uid="{00000000-0005-0000-0000-000068C20000}"/>
    <cellStyle name="计算 2 2 2 2 3 3" xfId="49769" xr:uid="{00000000-0005-0000-0000-000069C20000}"/>
    <cellStyle name="计算 2 2 2 2 3 3 2" xfId="49770" xr:uid="{00000000-0005-0000-0000-00006AC20000}"/>
    <cellStyle name="计算 2 2 2 2 4" xfId="49771" xr:uid="{00000000-0005-0000-0000-00006BC20000}"/>
    <cellStyle name="计算 2 2 2 2 5" xfId="49772" xr:uid="{00000000-0005-0000-0000-00006CC20000}"/>
    <cellStyle name="计算 2 2 2 2 6" xfId="49773" xr:uid="{00000000-0005-0000-0000-00006DC20000}"/>
    <cellStyle name="计算 2 2 2 3" xfId="49774" xr:uid="{00000000-0005-0000-0000-00006EC20000}"/>
    <cellStyle name="计算 2 2 2 3 2" xfId="49775" xr:uid="{00000000-0005-0000-0000-00006FC20000}"/>
    <cellStyle name="计算 2 2 2 3 3" xfId="49776" xr:uid="{00000000-0005-0000-0000-000070C20000}"/>
    <cellStyle name="计算 2 2 2 3 3 2" xfId="49777" xr:uid="{00000000-0005-0000-0000-000071C20000}"/>
    <cellStyle name="计算 2 2 2 3 3 2 2" xfId="49778" xr:uid="{00000000-0005-0000-0000-000072C20000}"/>
    <cellStyle name="计算 2 2 2 3 4" xfId="49779" xr:uid="{00000000-0005-0000-0000-000073C20000}"/>
    <cellStyle name="计算 2 2 2 3 4 2" xfId="49780" xr:uid="{00000000-0005-0000-0000-000074C20000}"/>
    <cellStyle name="计算 2 2 2 4" xfId="49781" xr:uid="{00000000-0005-0000-0000-000075C20000}"/>
    <cellStyle name="计算 2 2 2 4 2" xfId="49782" xr:uid="{00000000-0005-0000-0000-000076C20000}"/>
    <cellStyle name="计算 2 2 2 4 2 2" xfId="49783" xr:uid="{00000000-0005-0000-0000-000077C20000}"/>
    <cellStyle name="计算 2 2 2 4 2 2 2" xfId="49784" xr:uid="{00000000-0005-0000-0000-000078C20000}"/>
    <cellStyle name="计算 2 2 2 4 3" xfId="49785" xr:uid="{00000000-0005-0000-0000-000079C20000}"/>
    <cellStyle name="计算 2 2 2 4 3 2" xfId="49786" xr:uid="{00000000-0005-0000-0000-00007AC20000}"/>
    <cellStyle name="计算 2 2 2 5" xfId="49787" xr:uid="{00000000-0005-0000-0000-00007BC20000}"/>
    <cellStyle name="计算 2 2 2 6" xfId="49788" xr:uid="{00000000-0005-0000-0000-00007CC20000}"/>
    <cellStyle name="计算 2 2 2 7" xfId="49789" xr:uid="{00000000-0005-0000-0000-00007DC20000}"/>
    <cellStyle name="计算 2 2 3" xfId="49790" xr:uid="{00000000-0005-0000-0000-00007EC20000}"/>
    <cellStyle name="计算 2 2 3 2" xfId="49791" xr:uid="{00000000-0005-0000-0000-00007FC20000}"/>
    <cellStyle name="计算 2 2 3 2 2" xfId="49792" xr:uid="{00000000-0005-0000-0000-000080C20000}"/>
    <cellStyle name="计算 2 2 3 2 3" xfId="49793" xr:uid="{00000000-0005-0000-0000-000081C20000}"/>
    <cellStyle name="计算 2 2 3 2 3 2" xfId="49794" xr:uid="{00000000-0005-0000-0000-000082C20000}"/>
    <cellStyle name="计算 2 2 3 2 3 2 2" xfId="49795" xr:uid="{00000000-0005-0000-0000-000083C20000}"/>
    <cellStyle name="计算 2 2 3 2 4" xfId="49796" xr:uid="{00000000-0005-0000-0000-000084C20000}"/>
    <cellStyle name="计算 2 2 3 2 4 2" xfId="49797" xr:uid="{00000000-0005-0000-0000-000085C20000}"/>
    <cellStyle name="计算 2 2 3 3" xfId="49798" xr:uid="{00000000-0005-0000-0000-000086C20000}"/>
    <cellStyle name="计算 2 2 3 3 2" xfId="49799" xr:uid="{00000000-0005-0000-0000-000087C20000}"/>
    <cellStyle name="计算 2 2 3 3 2 2" xfId="49800" xr:uid="{00000000-0005-0000-0000-000088C20000}"/>
    <cellStyle name="计算 2 2 3 3 2 2 2" xfId="49801" xr:uid="{00000000-0005-0000-0000-000089C20000}"/>
    <cellStyle name="计算 2 2 3 3 3" xfId="49802" xr:uid="{00000000-0005-0000-0000-00008AC20000}"/>
    <cellStyle name="计算 2 2 3 3 3 2" xfId="49803" xr:uid="{00000000-0005-0000-0000-00008BC20000}"/>
    <cellStyle name="计算 2 2 3 4" xfId="49804" xr:uid="{00000000-0005-0000-0000-00008CC20000}"/>
    <cellStyle name="计算 2 2 3 5" xfId="49805" xr:uid="{00000000-0005-0000-0000-00008DC20000}"/>
    <cellStyle name="计算 2 2 3 6" xfId="49806" xr:uid="{00000000-0005-0000-0000-00008EC20000}"/>
    <cellStyle name="计算 2 2 4" xfId="49807" xr:uid="{00000000-0005-0000-0000-00008FC20000}"/>
    <cellStyle name="计算 2 2 4 2" xfId="49808" xr:uid="{00000000-0005-0000-0000-000090C20000}"/>
    <cellStyle name="计算 2 2 4 2 2" xfId="49809" xr:uid="{00000000-0005-0000-0000-000091C20000}"/>
    <cellStyle name="计算 2 2 4 2 3" xfId="49810" xr:uid="{00000000-0005-0000-0000-000092C20000}"/>
    <cellStyle name="计算 2 2 4 2 3 2" xfId="49811" xr:uid="{00000000-0005-0000-0000-000093C20000}"/>
    <cellStyle name="计算 2 2 4 2 3 2 2" xfId="49812" xr:uid="{00000000-0005-0000-0000-000094C20000}"/>
    <cellStyle name="计算 2 2 4 2 4" xfId="49813" xr:uid="{00000000-0005-0000-0000-000095C20000}"/>
    <cellStyle name="计算 2 2 4 2 4 2" xfId="49814" xr:uid="{00000000-0005-0000-0000-000096C20000}"/>
    <cellStyle name="计算 2 2 4 3" xfId="49815" xr:uid="{00000000-0005-0000-0000-000097C20000}"/>
    <cellStyle name="计算 2 2 4 4" xfId="49816" xr:uid="{00000000-0005-0000-0000-000098C20000}"/>
    <cellStyle name="计算 2 2 4 5" xfId="49817" xr:uid="{00000000-0005-0000-0000-000099C20000}"/>
    <cellStyle name="计算 2 2 4 6" xfId="49818" xr:uid="{00000000-0005-0000-0000-00009AC20000}"/>
    <cellStyle name="计算 2 2 5" xfId="49819" xr:uid="{00000000-0005-0000-0000-00009BC20000}"/>
    <cellStyle name="计算 2 2 5 2" xfId="49820" xr:uid="{00000000-0005-0000-0000-00009CC20000}"/>
    <cellStyle name="计算 2 2 5 2 2" xfId="49821" xr:uid="{00000000-0005-0000-0000-00009DC20000}"/>
    <cellStyle name="计算 2 2 5 2 2 2" xfId="49822" xr:uid="{00000000-0005-0000-0000-00009EC20000}"/>
    <cellStyle name="计算 2 2 5 2 2 2 2" xfId="49823" xr:uid="{00000000-0005-0000-0000-00009FC20000}"/>
    <cellStyle name="计算 2 2 5 2 3" xfId="49824" xr:uid="{00000000-0005-0000-0000-0000A0C20000}"/>
    <cellStyle name="计算 2 2 5 2 3 2" xfId="49825" xr:uid="{00000000-0005-0000-0000-0000A1C20000}"/>
    <cellStyle name="计算 2 2 5 3" xfId="49826" xr:uid="{00000000-0005-0000-0000-0000A2C20000}"/>
    <cellStyle name="计算 2 2 5 3 2" xfId="49827" xr:uid="{00000000-0005-0000-0000-0000A3C20000}"/>
    <cellStyle name="计算 2 2 5 3 2 2" xfId="49828" xr:uid="{00000000-0005-0000-0000-0000A4C20000}"/>
    <cellStyle name="计算 2 2 5 4" xfId="49829" xr:uid="{00000000-0005-0000-0000-0000A5C20000}"/>
    <cellStyle name="计算 2 2 5 4 2" xfId="49830" xr:uid="{00000000-0005-0000-0000-0000A6C20000}"/>
    <cellStyle name="计算 2 2 6" xfId="49831" xr:uid="{00000000-0005-0000-0000-0000A7C20000}"/>
    <cellStyle name="计算 2 2 6 2" xfId="49832" xr:uid="{00000000-0005-0000-0000-0000A8C20000}"/>
    <cellStyle name="计算 2 2 6 2 2" xfId="49833" xr:uid="{00000000-0005-0000-0000-0000A9C20000}"/>
    <cellStyle name="计算 2 2 6 2 2 2" xfId="49834" xr:uid="{00000000-0005-0000-0000-0000AAC20000}"/>
    <cellStyle name="计算 2 2 6 2 2 2 2" xfId="49835" xr:uid="{00000000-0005-0000-0000-0000ABC20000}"/>
    <cellStyle name="计算 2 2 6 2 3" xfId="49836" xr:uid="{00000000-0005-0000-0000-0000ACC20000}"/>
    <cellStyle name="计算 2 2 6 2 3 2" xfId="49837" xr:uid="{00000000-0005-0000-0000-0000ADC20000}"/>
    <cellStyle name="计算 2 2 6 3" xfId="49838" xr:uid="{00000000-0005-0000-0000-0000AEC20000}"/>
    <cellStyle name="计算 2 2 6 3 2" xfId="49839" xr:uid="{00000000-0005-0000-0000-0000AFC20000}"/>
    <cellStyle name="计算 2 2 6 3 2 2" xfId="49840" xr:uid="{00000000-0005-0000-0000-0000B0C20000}"/>
    <cellStyle name="计算 2 2 6 4" xfId="49841" xr:uid="{00000000-0005-0000-0000-0000B1C20000}"/>
    <cellStyle name="计算 2 2 6 4 2" xfId="49842" xr:uid="{00000000-0005-0000-0000-0000B2C20000}"/>
    <cellStyle name="计算 2 2 7" xfId="49843" xr:uid="{00000000-0005-0000-0000-0000B3C20000}"/>
    <cellStyle name="计算 2 2 7 2" xfId="49844" xr:uid="{00000000-0005-0000-0000-0000B4C20000}"/>
    <cellStyle name="计算 2 2 7 2 2" xfId="49845" xr:uid="{00000000-0005-0000-0000-0000B5C20000}"/>
    <cellStyle name="计算 2 2 7 2 2 2" xfId="49846" xr:uid="{00000000-0005-0000-0000-0000B6C20000}"/>
    <cellStyle name="计算 2 2 7 2 2 2 2" xfId="49847" xr:uid="{00000000-0005-0000-0000-0000B7C20000}"/>
    <cellStyle name="计算 2 2 7 2 3" xfId="49848" xr:uid="{00000000-0005-0000-0000-0000B8C20000}"/>
    <cellStyle name="计算 2 2 7 2 3 2" xfId="49849" xr:uid="{00000000-0005-0000-0000-0000B9C20000}"/>
    <cellStyle name="计算 2 2 7 3" xfId="49850" xr:uid="{00000000-0005-0000-0000-0000BAC20000}"/>
    <cellStyle name="计算 2 2 7 3 2" xfId="49851" xr:uid="{00000000-0005-0000-0000-0000BBC20000}"/>
    <cellStyle name="计算 2 2 7 3 2 2" xfId="49852" xr:uid="{00000000-0005-0000-0000-0000BCC20000}"/>
    <cellStyle name="计算 2 2 7 4" xfId="49853" xr:uid="{00000000-0005-0000-0000-0000BDC20000}"/>
    <cellStyle name="计算 2 2 7 4 2" xfId="49854" xr:uid="{00000000-0005-0000-0000-0000BEC20000}"/>
    <cellStyle name="计算 2 2 8" xfId="49855" xr:uid="{00000000-0005-0000-0000-0000BFC20000}"/>
    <cellStyle name="计算 2 2 8 2" xfId="49856" xr:uid="{00000000-0005-0000-0000-0000C0C20000}"/>
    <cellStyle name="计算 2 2 8 2 2" xfId="49857" xr:uid="{00000000-0005-0000-0000-0000C1C20000}"/>
    <cellStyle name="计算 2 2 8 2 2 2" xfId="49858" xr:uid="{00000000-0005-0000-0000-0000C2C20000}"/>
    <cellStyle name="计算 2 2 8 3" xfId="49859" xr:uid="{00000000-0005-0000-0000-0000C3C20000}"/>
    <cellStyle name="计算 2 2 8 3 2" xfId="49860" xr:uid="{00000000-0005-0000-0000-0000C4C20000}"/>
    <cellStyle name="计算 2 2 9" xfId="49861" xr:uid="{00000000-0005-0000-0000-0000C5C20000}"/>
    <cellStyle name="计算 2 2 9 2" xfId="49862" xr:uid="{00000000-0005-0000-0000-0000C6C20000}"/>
    <cellStyle name="计算 2 2 9 2 2" xfId="49863" xr:uid="{00000000-0005-0000-0000-0000C7C20000}"/>
    <cellStyle name="计算 2 2 9 2 2 2" xfId="49864" xr:uid="{00000000-0005-0000-0000-0000C8C20000}"/>
    <cellStyle name="计算 2 2 9 3" xfId="49865" xr:uid="{00000000-0005-0000-0000-0000C9C20000}"/>
    <cellStyle name="计算 2 2 9 3 2" xfId="49866" xr:uid="{00000000-0005-0000-0000-0000CAC20000}"/>
    <cellStyle name="计算 2 3" xfId="49867" xr:uid="{00000000-0005-0000-0000-0000CBC20000}"/>
    <cellStyle name="计算 2 3 2" xfId="49868" xr:uid="{00000000-0005-0000-0000-0000CCC20000}"/>
    <cellStyle name="计算 2 3 2 2" xfId="49869" xr:uid="{00000000-0005-0000-0000-0000CDC20000}"/>
    <cellStyle name="计算 2 3 2 2 2" xfId="49870" xr:uid="{00000000-0005-0000-0000-0000CEC20000}"/>
    <cellStyle name="计算 2 3 2 2 2 2" xfId="49871" xr:uid="{00000000-0005-0000-0000-0000CFC20000}"/>
    <cellStyle name="计算 2 3 2 2 2 3" xfId="49872" xr:uid="{00000000-0005-0000-0000-0000D0C20000}"/>
    <cellStyle name="计算 2 3 2 2 2 3 2" xfId="49873" xr:uid="{00000000-0005-0000-0000-0000D1C20000}"/>
    <cellStyle name="计算 2 3 2 2 2 3 2 2" xfId="49874" xr:uid="{00000000-0005-0000-0000-0000D2C20000}"/>
    <cellStyle name="计算 2 3 2 2 2 4" xfId="49875" xr:uid="{00000000-0005-0000-0000-0000D3C20000}"/>
    <cellStyle name="计算 2 3 2 2 2 4 2" xfId="49876" xr:uid="{00000000-0005-0000-0000-0000D4C20000}"/>
    <cellStyle name="计算 2 3 2 2 3" xfId="49877" xr:uid="{00000000-0005-0000-0000-0000D5C20000}"/>
    <cellStyle name="计算 2 3 2 2 3 2" xfId="49878" xr:uid="{00000000-0005-0000-0000-0000D6C20000}"/>
    <cellStyle name="计算 2 3 2 2 3 2 2" xfId="49879" xr:uid="{00000000-0005-0000-0000-0000D7C20000}"/>
    <cellStyle name="计算 2 3 2 2 3 2 2 2" xfId="49880" xr:uid="{00000000-0005-0000-0000-0000D8C20000}"/>
    <cellStyle name="计算 2 3 2 2 3 3" xfId="49881" xr:uid="{00000000-0005-0000-0000-0000D9C20000}"/>
    <cellStyle name="计算 2 3 2 2 3 3 2" xfId="49882" xr:uid="{00000000-0005-0000-0000-0000DAC20000}"/>
    <cellStyle name="计算 2 3 2 2 4" xfId="49883" xr:uid="{00000000-0005-0000-0000-0000DBC20000}"/>
    <cellStyle name="计算 2 3 2 2 5" xfId="49884" xr:uid="{00000000-0005-0000-0000-0000DCC20000}"/>
    <cellStyle name="计算 2 3 2 2 6" xfId="49885" xr:uid="{00000000-0005-0000-0000-0000DDC20000}"/>
    <cellStyle name="计算 2 3 2 3" xfId="49886" xr:uid="{00000000-0005-0000-0000-0000DEC20000}"/>
    <cellStyle name="计算 2 3 2 3 2" xfId="49887" xr:uid="{00000000-0005-0000-0000-0000DFC20000}"/>
    <cellStyle name="计算 2 3 2 3 3" xfId="49888" xr:uid="{00000000-0005-0000-0000-0000E0C20000}"/>
    <cellStyle name="计算 2 3 2 3 3 2" xfId="49889" xr:uid="{00000000-0005-0000-0000-0000E1C20000}"/>
    <cellStyle name="计算 2 3 2 3 3 2 2" xfId="49890" xr:uid="{00000000-0005-0000-0000-0000E2C20000}"/>
    <cellStyle name="计算 2 3 2 3 4" xfId="49891" xr:uid="{00000000-0005-0000-0000-0000E3C20000}"/>
    <cellStyle name="计算 2 3 2 3 4 2" xfId="49892" xr:uid="{00000000-0005-0000-0000-0000E4C20000}"/>
    <cellStyle name="计算 2 3 2 4" xfId="49893" xr:uid="{00000000-0005-0000-0000-0000E5C20000}"/>
    <cellStyle name="计算 2 3 2 4 2" xfId="49894" xr:uid="{00000000-0005-0000-0000-0000E6C20000}"/>
    <cellStyle name="计算 2 3 2 4 2 2" xfId="49895" xr:uid="{00000000-0005-0000-0000-0000E7C20000}"/>
    <cellStyle name="计算 2 3 2 4 2 2 2" xfId="49896" xr:uid="{00000000-0005-0000-0000-0000E8C20000}"/>
    <cellStyle name="计算 2 3 2 4 3" xfId="49897" xr:uid="{00000000-0005-0000-0000-0000E9C20000}"/>
    <cellStyle name="计算 2 3 2 4 3 2" xfId="49898" xr:uid="{00000000-0005-0000-0000-0000EAC20000}"/>
    <cellStyle name="计算 2 3 2 5" xfId="49899" xr:uid="{00000000-0005-0000-0000-0000EBC20000}"/>
    <cellStyle name="计算 2 3 2 6" xfId="49900" xr:uid="{00000000-0005-0000-0000-0000ECC20000}"/>
    <cellStyle name="计算 2 3 2 7" xfId="49901" xr:uid="{00000000-0005-0000-0000-0000EDC20000}"/>
    <cellStyle name="计算 2 3 3" xfId="49902" xr:uid="{00000000-0005-0000-0000-0000EEC20000}"/>
    <cellStyle name="计算 2 3 3 2" xfId="49903" xr:uid="{00000000-0005-0000-0000-0000EFC20000}"/>
    <cellStyle name="计算 2 3 3 2 2" xfId="49904" xr:uid="{00000000-0005-0000-0000-0000F0C20000}"/>
    <cellStyle name="计算 2 3 3 2 3" xfId="49905" xr:uid="{00000000-0005-0000-0000-0000F1C20000}"/>
    <cellStyle name="计算 2 3 3 2 3 2" xfId="49906" xr:uid="{00000000-0005-0000-0000-0000F2C20000}"/>
    <cellStyle name="计算 2 3 3 2 3 2 2" xfId="49907" xr:uid="{00000000-0005-0000-0000-0000F3C20000}"/>
    <cellStyle name="计算 2 3 3 2 4" xfId="49908" xr:uid="{00000000-0005-0000-0000-0000F4C20000}"/>
    <cellStyle name="计算 2 3 3 2 4 2" xfId="49909" xr:uid="{00000000-0005-0000-0000-0000F5C20000}"/>
    <cellStyle name="计算 2 3 3 3" xfId="49910" xr:uid="{00000000-0005-0000-0000-0000F6C20000}"/>
    <cellStyle name="计算 2 3 3 3 2" xfId="49911" xr:uid="{00000000-0005-0000-0000-0000F7C20000}"/>
    <cellStyle name="计算 2 3 3 3 2 2" xfId="49912" xr:uid="{00000000-0005-0000-0000-0000F8C20000}"/>
    <cellStyle name="计算 2 3 3 3 2 2 2" xfId="49913" xr:uid="{00000000-0005-0000-0000-0000F9C20000}"/>
    <cellStyle name="计算 2 3 3 3 3" xfId="49914" xr:uid="{00000000-0005-0000-0000-0000FAC20000}"/>
    <cellStyle name="计算 2 3 3 3 3 2" xfId="49915" xr:uid="{00000000-0005-0000-0000-0000FBC20000}"/>
    <cellStyle name="计算 2 3 3 4" xfId="49916" xr:uid="{00000000-0005-0000-0000-0000FCC20000}"/>
    <cellStyle name="计算 2 3 3 5" xfId="49917" xr:uid="{00000000-0005-0000-0000-0000FDC20000}"/>
    <cellStyle name="计算 2 3 3 6" xfId="49918" xr:uid="{00000000-0005-0000-0000-0000FEC20000}"/>
    <cellStyle name="计算 2 3 4" xfId="49919" xr:uid="{00000000-0005-0000-0000-0000FFC20000}"/>
    <cellStyle name="计算 2 3 4 2" xfId="49920" xr:uid="{00000000-0005-0000-0000-000000C30000}"/>
    <cellStyle name="计算 2 3 4 2 2" xfId="49921" xr:uid="{00000000-0005-0000-0000-000001C30000}"/>
    <cellStyle name="计算 2 3 4 2 3" xfId="49922" xr:uid="{00000000-0005-0000-0000-000002C30000}"/>
    <cellStyle name="计算 2 3 4 2 3 2" xfId="49923" xr:uid="{00000000-0005-0000-0000-000003C30000}"/>
    <cellStyle name="计算 2 3 4 2 3 2 2" xfId="49924" xr:uid="{00000000-0005-0000-0000-000004C30000}"/>
    <cellStyle name="计算 2 3 4 2 4" xfId="49925" xr:uid="{00000000-0005-0000-0000-000005C30000}"/>
    <cellStyle name="计算 2 3 4 2 4 2" xfId="49926" xr:uid="{00000000-0005-0000-0000-000006C30000}"/>
    <cellStyle name="计算 2 3 4 3" xfId="49927" xr:uid="{00000000-0005-0000-0000-000007C30000}"/>
    <cellStyle name="计算 2 3 4 4" xfId="49928" xr:uid="{00000000-0005-0000-0000-000008C30000}"/>
    <cellStyle name="计算 2 3 4 5" xfId="49929" xr:uid="{00000000-0005-0000-0000-000009C30000}"/>
    <cellStyle name="计算 2 3 4 6" xfId="49930" xr:uid="{00000000-0005-0000-0000-00000AC30000}"/>
    <cellStyle name="计算 2 3 5" xfId="49931" xr:uid="{00000000-0005-0000-0000-00000BC30000}"/>
    <cellStyle name="计算 2 3 5 2" xfId="49932" xr:uid="{00000000-0005-0000-0000-00000CC30000}"/>
    <cellStyle name="计算 2 3 5 2 2" xfId="49933" xr:uid="{00000000-0005-0000-0000-00000DC30000}"/>
    <cellStyle name="计算 2 3 5 2 2 2" xfId="49934" xr:uid="{00000000-0005-0000-0000-00000EC30000}"/>
    <cellStyle name="计算 2 3 5 2 2 2 2" xfId="49935" xr:uid="{00000000-0005-0000-0000-00000FC30000}"/>
    <cellStyle name="计算 2 3 5 2 3" xfId="49936" xr:uid="{00000000-0005-0000-0000-000010C30000}"/>
    <cellStyle name="计算 2 3 5 2 3 2" xfId="49937" xr:uid="{00000000-0005-0000-0000-000011C30000}"/>
    <cellStyle name="计算 2 3 5 3" xfId="49938" xr:uid="{00000000-0005-0000-0000-000012C30000}"/>
    <cellStyle name="计算 2 3 5 3 2" xfId="49939" xr:uid="{00000000-0005-0000-0000-000013C30000}"/>
    <cellStyle name="计算 2 3 5 3 2 2" xfId="49940" xr:uid="{00000000-0005-0000-0000-000014C30000}"/>
    <cellStyle name="计算 2 3 5 4" xfId="49941" xr:uid="{00000000-0005-0000-0000-000015C30000}"/>
    <cellStyle name="计算 2 3 5 4 2" xfId="49942" xr:uid="{00000000-0005-0000-0000-000016C30000}"/>
    <cellStyle name="计算 2 3 6" xfId="49943" xr:uid="{00000000-0005-0000-0000-000017C30000}"/>
    <cellStyle name="计算 2 3 6 2" xfId="49944" xr:uid="{00000000-0005-0000-0000-000018C30000}"/>
    <cellStyle name="计算 2 3 6 2 2" xfId="49945" xr:uid="{00000000-0005-0000-0000-000019C30000}"/>
    <cellStyle name="计算 2 3 6 2 2 2" xfId="49946" xr:uid="{00000000-0005-0000-0000-00001AC30000}"/>
    <cellStyle name="计算 2 3 6 3" xfId="49947" xr:uid="{00000000-0005-0000-0000-00001BC30000}"/>
    <cellStyle name="计算 2 3 6 3 2" xfId="49948" xr:uid="{00000000-0005-0000-0000-00001CC30000}"/>
    <cellStyle name="计算 2 3 7" xfId="49949" xr:uid="{00000000-0005-0000-0000-00001DC30000}"/>
    <cellStyle name="计算 2 3 7 2" xfId="49950" xr:uid="{00000000-0005-0000-0000-00001EC30000}"/>
    <cellStyle name="计算 2 3 7 2 2" xfId="49951" xr:uid="{00000000-0005-0000-0000-00001FC30000}"/>
    <cellStyle name="计算 2 3 7 2 2 2" xfId="49952" xr:uid="{00000000-0005-0000-0000-000020C30000}"/>
    <cellStyle name="计算 2 3 7 3" xfId="49953" xr:uid="{00000000-0005-0000-0000-000021C30000}"/>
    <cellStyle name="计算 2 3 7 3 2" xfId="49954" xr:uid="{00000000-0005-0000-0000-000022C30000}"/>
    <cellStyle name="计算 2 3 8" xfId="49955" xr:uid="{00000000-0005-0000-0000-000023C30000}"/>
    <cellStyle name="计算 2 3 9" xfId="49956" xr:uid="{00000000-0005-0000-0000-000024C30000}"/>
    <cellStyle name="计算 2 4" xfId="49957" xr:uid="{00000000-0005-0000-0000-000025C30000}"/>
    <cellStyle name="计算 2 4 2" xfId="49958" xr:uid="{00000000-0005-0000-0000-000026C30000}"/>
    <cellStyle name="计算 2 4 2 2" xfId="49959" xr:uid="{00000000-0005-0000-0000-000027C30000}"/>
    <cellStyle name="计算 2 4 2 3" xfId="49960" xr:uid="{00000000-0005-0000-0000-000028C30000}"/>
    <cellStyle name="计算 2 4 2 3 2" xfId="49961" xr:uid="{00000000-0005-0000-0000-000029C30000}"/>
    <cellStyle name="计算 2 4 2 3 2 2" xfId="49962" xr:uid="{00000000-0005-0000-0000-00002AC30000}"/>
    <cellStyle name="计算 2 4 2 4" xfId="49963" xr:uid="{00000000-0005-0000-0000-00002BC30000}"/>
    <cellStyle name="计算 2 4 2 4 2" xfId="49964" xr:uid="{00000000-0005-0000-0000-00002CC30000}"/>
    <cellStyle name="计算 2 4 3" xfId="49965" xr:uid="{00000000-0005-0000-0000-00002DC30000}"/>
    <cellStyle name="计算 2 4 3 2" xfId="49966" xr:uid="{00000000-0005-0000-0000-00002EC30000}"/>
    <cellStyle name="计算 2 4 3 2 2" xfId="49967" xr:uid="{00000000-0005-0000-0000-00002FC30000}"/>
    <cellStyle name="计算 2 4 3 2 2 2" xfId="49968" xr:uid="{00000000-0005-0000-0000-000030C30000}"/>
    <cellStyle name="计算 2 4 3 3" xfId="49969" xr:uid="{00000000-0005-0000-0000-000031C30000}"/>
    <cellStyle name="计算 2 4 3 3 2" xfId="49970" xr:uid="{00000000-0005-0000-0000-000032C30000}"/>
    <cellStyle name="计算 2 4 4" xfId="49971" xr:uid="{00000000-0005-0000-0000-000033C30000}"/>
    <cellStyle name="计算 2 4 5" xfId="49972" xr:uid="{00000000-0005-0000-0000-000034C30000}"/>
    <cellStyle name="计算 2 4 6" xfId="49973" xr:uid="{00000000-0005-0000-0000-000035C30000}"/>
    <cellStyle name="计算 2 5" xfId="49974" xr:uid="{00000000-0005-0000-0000-000036C30000}"/>
    <cellStyle name="计算 2 5 2" xfId="49975" xr:uid="{00000000-0005-0000-0000-000037C30000}"/>
    <cellStyle name="计算 2 5 2 2" xfId="49976" xr:uid="{00000000-0005-0000-0000-000038C30000}"/>
    <cellStyle name="计算 2 5 2 3" xfId="49977" xr:uid="{00000000-0005-0000-0000-000039C30000}"/>
    <cellStyle name="计算 2 5 2 3 2" xfId="49978" xr:uid="{00000000-0005-0000-0000-00003AC30000}"/>
    <cellStyle name="计算 2 5 2 3 2 2" xfId="49979" xr:uid="{00000000-0005-0000-0000-00003BC30000}"/>
    <cellStyle name="计算 2 5 2 4" xfId="49980" xr:uid="{00000000-0005-0000-0000-00003CC30000}"/>
    <cellStyle name="计算 2 5 2 4 2" xfId="49981" xr:uid="{00000000-0005-0000-0000-00003DC30000}"/>
    <cellStyle name="计算 2 5 3" xfId="49982" xr:uid="{00000000-0005-0000-0000-00003EC30000}"/>
    <cellStyle name="计算 2 5 4" xfId="49983" xr:uid="{00000000-0005-0000-0000-00003FC30000}"/>
    <cellStyle name="计算 2 5 5" xfId="49984" xr:uid="{00000000-0005-0000-0000-000040C30000}"/>
    <cellStyle name="计算 2 5 6" xfId="49985" xr:uid="{00000000-0005-0000-0000-000041C30000}"/>
    <cellStyle name="计算 2 6" xfId="49986" xr:uid="{00000000-0005-0000-0000-000042C30000}"/>
    <cellStyle name="计算 2 6 2" xfId="49987" xr:uid="{00000000-0005-0000-0000-000043C30000}"/>
    <cellStyle name="计算 2 6 2 2" xfId="49988" xr:uid="{00000000-0005-0000-0000-000044C30000}"/>
    <cellStyle name="计算 2 6 2 2 2" xfId="49989" xr:uid="{00000000-0005-0000-0000-000045C30000}"/>
    <cellStyle name="计算 2 6 2 2 2 2" xfId="49990" xr:uid="{00000000-0005-0000-0000-000046C30000}"/>
    <cellStyle name="计算 2 6 2 3" xfId="49991" xr:uid="{00000000-0005-0000-0000-000047C30000}"/>
    <cellStyle name="计算 2 6 2 3 2" xfId="49992" xr:uid="{00000000-0005-0000-0000-000048C30000}"/>
    <cellStyle name="计算 2 6 3" xfId="49993" xr:uid="{00000000-0005-0000-0000-000049C30000}"/>
    <cellStyle name="计算 2 6 3 2" xfId="49994" xr:uid="{00000000-0005-0000-0000-00004AC30000}"/>
    <cellStyle name="计算 2 6 3 2 2" xfId="49995" xr:uid="{00000000-0005-0000-0000-00004BC30000}"/>
    <cellStyle name="计算 2 6 4" xfId="49996" xr:uid="{00000000-0005-0000-0000-00004CC30000}"/>
    <cellStyle name="计算 2 6 4 2" xfId="49997" xr:uid="{00000000-0005-0000-0000-00004DC30000}"/>
    <cellStyle name="计算 2 7" xfId="49998" xr:uid="{00000000-0005-0000-0000-00004EC30000}"/>
    <cellStyle name="计算 2 7 2" xfId="49999" xr:uid="{00000000-0005-0000-0000-00004FC30000}"/>
    <cellStyle name="计算 2 7 2 2" xfId="50000" xr:uid="{00000000-0005-0000-0000-000050C30000}"/>
    <cellStyle name="计算 2 7 2 2 2" xfId="50001" xr:uid="{00000000-0005-0000-0000-000051C30000}"/>
    <cellStyle name="计算 2 7 2 2 2 2" xfId="50002" xr:uid="{00000000-0005-0000-0000-000052C30000}"/>
    <cellStyle name="计算 2 7 2 3" xfId="50003" xr:uid="{00000000-0005-0000-0000-000053C30000}"/>
    <cellStyle name="计算 2 7 2 3 2" xfId="50004" xr:uid="{00000000-0005-0000-0000-000054C30000}"/>
    <cellStyle name="计算 2 7 3" xfId="50005" xr:uid="{00000000-0005-0000-0000-000055C30000}"/>
    <cellStyle name="计算 2 7 3 2" xfId="50006" xr:uid="{00000000-0005-0000-0000-000056C30000}"/>
    <cellStyle name="计算 2 7 3 2 2" xfId="50007" xr:uid="{00000000-0005-0000-0000-000057C30000}"/>
    <cellStyle name="计算 2 7 4" xfId="50008" xr:uid="{00000000-0005-0000-0000-000058C30000}"/>
    <cellStyle name="计算 2 7 4 2" xfId="50009" xr:uid="{00000000-0005-0000-0000-000059C30000}"/>
    <cellStyle name="计算 2 8" xfId="50010" xr:uid="{00000000-0005-0000-0000-00005AC30000}"/>
    <cellStyle name="计算 2 8 2" xfId="50011" xr:uid="{00000000-0005-0000-0000-00005BC30000}"/>
    <cellStyle name="计算 2 8 2 2" xfId="50012" xr:uid="{00000000-0005-0000-0000-00005CC30000}"/>
    <cellStyle name="计算 2 8 2 2 2" xfId="50013" xr:uid="{00000000-0005-0000-0000-00005DC30000}"/>
    <cellStyle name="计算 2 8 2 2 2 2" xfId="50014" xr:uid="{00000000-0005-0000-0000-00005EC30000}"/>
    <cellStyle name="计算 2 8 2 3" xfId="50015" xr:uid="{00000000-0005-0000-0000-00005FC30000}"/>
    <cellStyle name="计算 2 8 2 3 2" xfId="50016" xr:uid="{00000000-0005-0000-0000-000060C30000}"/>
    <cellStyle name="计算 2 8 3" xfId="50017" xr:uid="{00000000-0005-0000-0000-000061C30000}"/>
    <cellStyle name="计算 2 8 3 2" xfId="50018" xr:uid="{00000000-0005-0000-0000-000062C30000}"/>
    <cellStyle name="计算 2 8 3 2 2" xfId="50019" xr:uid="{00000000-0005-0000-0000-000063C30000}"/>
    <cellStyle name="计算 2 8 4" xfId="50020" xr:uid="{00000000-0005-0000-0000-000064C30000}"/>
    <cellStyle name="计算 2 8 4 2" xfId="50021" xr:uid="{00000000-0005-0000-0000-000065C30000}"/>
    <cellStyle name="计算 2 9" xfId="50022" xr:uid="{00000000-0005-0000-0000-000066C30000}"/>
    <cellStyle name="计算 2 9 2" xfId="50023" xr:uid="{00000000-0005-0000-0000-000067C30000}"/>
    <cellStyle name="计算 2 9 2 2" xfId="50024" xr:uid="{00000000-0005-0000-0000-000068C30000}"/>
    <cellStyle name="计算 2 9 2 2 2" xfId="50025" xr:uid="{00000000-0005-0000-0000-000069C30000}"/>
    <cellStyle name="计算 2 9 3" xfId="50026" xr:uid="{00000000-0005-0000-0000-00006AC30000}"/>
    <cellStyle name="计算 2 9 3 2" xfId="50027" xr:uid="{00000000-0005-0000-0000-00006BC30000}"/>
    <cellStyle name="计算 3" xfId="50028" xr:uid="{00000000-0005-0000-0000-00006CC30000}"/>
    <cellStyle name="计算 3 2" xfId="50029" xr:uid="{00000000-0005-0000-0000-00006DC30000}"/>
    <cellStyle name="计算 3 2 2" xfId="50030" xr:uid="{00000000-0005-0000-0000-00006EC30000}"/>
    <cellStyle name="计算 3 2 2 2" xfId="50031" xr:uid="{00000000-0005-0000-0000-00006FC30000}"/>
    <cellStyle name="计算 3 2 2 2 2" xfId="50032" xr:uid="{00000000-0005-0000-0000-000070C30000}"/>
    <cellStyle name="计算 3 2 2 2 3" xfId="50033" xr:uid="{00000000-0005-0000-0000-000071C30000}"/>
    <cellStyle name="计算 3 2 2 2 3 2" xfId="50034" xr:uid="{00000000-0005-0000-0000-000072C30000}"/>
    <cellStyle name="计算 3 2 2 2 3 2 2" xfId="50035" xr:uid="{00000000-0005-0000-0000-000073C30000}"/>
    <cellStyle name="计算 3 2 2 2 4" xfId="50036" xr:uid="{00000000-0005-0000-0000-000074C30000}"/>
    <cellStyle name="计算 3 2 2 2 4 2" xfId="50037" xr:uid="{00000000-0005-0000-0000-000075C30000}"/>
    <cellStyle name="计算 3 2 2 3" xfId="50038" xr:uid="{00000000-0005-0000-0000-000076C30000}"/>
    <cellStyle name="计算 3 2 2 3 2" xfId="50039" xr:uid="{00000000-0005-0000-0000-000077C30000}"/>
    <cellStyle name="计算 3 2 2 3 2 2" xfId="50040" xr:uid="{00000000-0005-0000-0000-000078C30000}"/>
    <cellStyle name="计算 3 2 2 3 2 2 2" xfId="50041" xr:uid="{00000000-0005-0000-0000-000079C30000}"/>
    <cellStyle name="计算 3 2 2 3 3" xfId="50042" xr:uid="{00000000-0005-0000-0000-00007AC30000}"/>
    <cellStyle name="计算 3 2 2 3 3 2" xfId="50043" xr:uid="{00000000-0005-0000-0000-00007BC30000}"/>
    <cellStyle name="计算 3 2 2 4" xfId="50044" xr:uid="{00000000-0005-0000-0000-00007CC30000}"/>
    <cellStyle name="计算 3 2 2 5" xfId="50045" xr:uid="{00000000-0005-0000-0000-00007DC30000}"/>
    <cellStyle name="计算 3 2 2 6" xfId="50046" xr:uid="{00000000-0005-0000-0000-00007EC30000}"/>
    <cellStyle name="计算 3 2 3" xfId="50047" xr:uid="{00000000-0005-0000-0000-00007FC30000}"/>
    <cellStyle name="计算 3 2 3 2" xfId="50048" xr:uid="{00000000-0005-0000-0000-000080C30000}"/>
    <cellStyle name="计算 3 2 3 3" xfId="50049" xr:uid="{00000000-0005-0000-0000-000081C30000}"/>
    <cellStyle name="计算 3 2 3 3 2" xfId="50050" xr:uid="{00000000-0005-0000-0000-000082C30000}"/>
    <cellStyle name="计算 3 2 3 3 2 2" xfId="50051" xr:uid="{00000000-0005-0000-0000-000083C30000}"/>
    <cellStyle name="计算 3 2 3 4" xfId="50052" xr:uid="{00000000-0005-0000-0000-000084C30000}"/>
    <cellStyle name="计算 3 2 3 4 2" xfId="50053" xr:uid="{00000000-0005-0000-0000-000085C30000}"/>
    <cellStyle name="计算 3 2 4" xfId="50054" xr:uid="{00000000-0005-0000-0000-000086C30000}"/>
    <cellStyle name="计算 3 2 4 2" xfId="50055" xr:uid="{00000000-0005-0000-0000-000087C30000}"/>
    <cellStyle name="计算 3 2 4 2 2" xfId="50056" xr:uid="{00000000-0005-0000-0000-000088C30000}"/>
    <cellStyle name="计算 3 2 4 2 2 2" xfId="50057" xr:uid="{00000000-0005-0000-0000-000089C30000}"/>
    <cellStyle name="计算 3 2 4 3" xfId="50058" xr:uid="{00000000-0005-0000-0000-00008AC30000}"/>
    <cellStyle name="计算 3 2 4 3 2" xfId="50059" xr:uid="{00000000-0005-0000-0000-00008BC30000}"/>
    <cellStyle name="计算 3 2 5" xfId="50060" xr:uid="{00000000-0005-0000-0000-00008CC30000}"/>
    <cellStyle name="计算 3 2 6" xfId="50061" xr:uid="{00000000-0005-0000-0000-00008DC30000}"/>
    <cellStyle name="计算 3 2 7" xfId="50062" xr:uid="{00000000-0005-0000-0000-00008EC30000}"/>
    <cellStyle name="计算 3 3" xfId="50063" xr:uid="{00000000-0005-0000-0000-00008FC30000}"/>
    <cellStyle name="计算 3 3 2" xfId="50064" xr:uid="{00000000-0005-0000-0000-000090C30000}"/>
    <cellStyle name="计算 3 3 2 2" xfId="50065" xr:uid="{00000000-0005-0000-0000-000091C30000}"/>
    <cellStyle name="计算 3 3 2 3" xfId="50066" xr:uid="{00000000-0005-0000-0000-000092C30000}"/>
    <cellStyle name="计算 3 3 2 3 2" xfId="50067" xr:uid="{00000000-0005-0000-0000-000093C30000}"/>
    <cellStyle name="计算 3 3 2 3 2 2" xfId="50068" xr:uid="{00000000-0005-0000-0000-000094C30000}"/>
    <cellStyle name="计算 3 3 2 4" xfId="50069" xr:uid="{00000000-0005-0000-0000-000095C30000}"/>
    <cellStyle name="计算 3 3 2 4 2" xfId="50070" xr:uid="{00000000-0005-0000-0000-000096C30000}"/>
    <cellStyle name="计算 3 3 3" xfId="50071" xr:uid="{00000000-0005-0000-0000-000097C30000}"/>
    <cellStyle name="计算 3 3 3 2" xfId="50072" xr:uid="{00000000-0005-0000-0000-000098C30000}"/>
    <cellStyle name="计算 3 3 3 2 2" xfId="50073" xr:uid="{00000000-0005-0000-0000-000099C30000}"/>
    <cellStyle name="计算 3 3 3 2 2 2" xfId="50074" xr:uid="{00000000-0005-0000-0000-00009AC30000}"/>
    <cellStyle name="计算 3 3 3 3" xfId="50075" xr:uid="{00000000-0005-0000-0000-00009BC30000}"/>
    <cellStyle name="计算 3 3 3 3 2" xfId="50076" xr:uid="{00000000-0005-0000-0000-00009CC30000}"/>
    <cellStyle name="计算 3 3 4" xfId="50077" xr:uid="{00000000-0005-0000-0000-00009DC30000}"/>
    <cellStyle name="计算 3 3 5" xfId="50078" xr:uid="{00000000-0005-0000-0000-00009EC30000}"/>
    <cellStyle name="计算 3 3 6" xfId="50079" xr:uid="{00000000-0005-0000-0000-00009FC30000}"/>
    <cellStyle name="计算 3 4" xfId="50080" xr:uid="{00000000-0005-0000-0000-0000A0C30000}"/>
    <cellStyle name="计算 3 4 2" xfId="50081" xr:uid="{00000000-0005-0000-0000-0000A1C30000}"/>
    <cellStyle name="计算 3 4 2 2" xfId="50082" xr:uid="{00000000-0005-0000-0000-0000A2C30000}"/>
    <cellStyle name="计算 3 4 2 3" xfId="50083" xr:uid="{00000000-0005-0000-0000-0000A3C30000}"/>
    <cellStyle name="计算 3 4 2 3 2" xfId="50084" xr:uid="{00000000-0005-0000-0000-0000A4C30000}"/>
    <cellStyle name="计算 3 4 2 3 2 2" xfId="50085" xr:uid="{00000000-0005-0000-0000-0000A5C30000}"/>
    <cellStyle name="计算 3 4 2 4" xfId="50086" xr:uid="{00000000-0005-0000-0000-0000A6C30000}"/>
    <cellStyle name="计算 3 4 2 4 2" xfId="50087" xr:uid="{00000000-0005-0000-0000-0000A7C30000}"/>
    <cellStyle name="计算 3 4 3" xfId="50088" xr:uid="{00000000-0005-0000-0000-0000A8C30000}"/>
    <cellStyle name="计算 3 4 4" xfId="50089" xr:uid="{00000000-0005-0000-0000-0000A9C30000}"/>
    <cellStyle name="计算 3 4 5" xfId="50090" xr:uid="{00000000-0005-0000-0000-0000AAC30000}"/>
    <cellStyle name="计算 3 4 6" xfId="50091" xr:uid="{00000000-0005-0000-0000-0000ABC30000}"/>
    <cellStyle name="计算 3 5" xfId="50092" xr:uid="{00000000-0005-0000-0000-0000ACC30000}"/>
    <cellStyle name="计算 3 5 2" xfId="50093" xr:uid="{00000000-0005-0000-0000-0000ADC30000}"/>
    <cellStyle name="计算 3 5 2 2" xfId="50094" xr:uid="{00000000-0005-0000-0000-0000AEC30000}"/>
    <cellStyle name="计算 3 5 2 2 2" xfId="50095" xr:uid="{00000000-0005-0000-0000-0000AFC30000}"/>
    <cellStyle name="计算 3 5 2 2 2 2" xfId="50096" xr:uid="{00000000-0005-0000-0000-0000B0C30000}"/>
    <cellStyle name="计算 3 5 2 3" xfId="50097" xr:uid="{00000000-0005-0000-0000-0000B1C30000}"/>
    <cellStyle name="计算 3 5 2 3 2" xfId="50098" xr:uid="{00000000-0005-0000-0000-0000B2C30000}"/>
    <cellStyle name="计算 3 5 3" xfId="50099" xr:uid="{00000000-0005-0000-0000-0000B3C30000}"/>
    <cellStyle name="计算 3 5 3 2" xfId="50100" xr:uid="{00000000-0005-0000-0000-0000B4C30000}"/>
    <cellStyle name="计算 3 5 3 2 2" xfId="50101" xr:uid="{00000000-0005-0000-0000-0000B5C30000}"/>
    <cellStyle name="计算 3 5 4" xfId="50102" xr:uid="{00000000-0005-0000-0000-0000B6C30000}"/>
    <cellStyle name="计算 3 5 4 2" xfId="50103" xr:uid="{00000000-0005-0000-0000-0000B7C30000}"/>
    <cellStyle name="计算 3 6" xfId="50104" xr:uid="{00000000-0005-0000-0000-0000B8C30000}"/>
    <cellStyle name="计算 3 6 2" xfId="50105" xr:uid="{00000000-0005-0000-0000-0000B9C30000}"/>
    <cellStyle name="计算 3 6 2 2" xfId="50106" xr:uid="{00000000-0005-0000-0000-0000BAC30000}"/>
    <cellStyle name="计算 3 6 2 2 2" xfId="50107" xr:uid="{00000000-0005-0000-0000-0000BBC30000}"/>
    <cellStyle name="计算 3 6 3" xfId="50108" xr:uid="{00000000-0005-0000-0000-0000BCC30000}"/>
    <cellStyle name="计算 3 6 3 2" xfId="50109" xr:uid="{00000000-0005-0000-0000-0000BDC30000}"/>
    <cellStyle name="计算 3 7" xfId="50110" xr:uid="{00000000-0005-0000-0000-0000BEC30000}"/>
    <cellStyle name="计算 3 8" xfId="50111" xr:uid="{00000000-0005-0000-0000-0000BFC30000}"/>
    <cellStyle name="貨幣 [0]_DrayageRevenueWorking" xfId="50112" xr:uid="{00000000-0005-0000-0000-0000C0C30000}"/>
    <cellStyle name="貨幣[0]_ 活動指標 (S1)" xfId="50113" xr:uid="{00000000-0005-0000-0000-0000C1C30000}"/>
    <cellStyle name="貨幣_DrayageRevenueWorking" xfId="50114" xr:uid="{00000000-0005-0000-0000-0000C2C30000}"/>
    <cellStyle name="货币 2" xfId="50115" xr:uid="{00000000-0005-0000-0000-0000C3C30000}"/>
    <cellStyle name="货币 2 2" xfId="50116" xr:uid="{00000000-0005-0000-0000-0000C4C30000}"/>
    <cellStyle name="货币 2 2 2" xfId="50117" xr:uid="{00000000-0005-0000-0000-0000C5C30000}"/>
    <cellStyle name="货币 2 2 2 2" xfId="50118" xr:uid="{00000000-0005-0000-0000-0000C6C30000}"/>
    <cellStyle name="货币 2 2 2 2 2" xfId="50119" xr:uid="{00000000-0005-0000-0000-0000C7C30000}"/>
    <cellStyle name="货币 2 2 2 2 3" xfId="50120" xr:uid="{00000000-0005-0000-0000-0000C8C30000}"/>
    <cellStyle name="货币 2 2 2 3" xfId="50121" xr:uid="{00000000-0005-0000-0000-0000C9C30000}"/>
    <cellStyle name="货币 2 2 2 4" xfId="50122" xr:uid="{00000000-0005-0000-0000-0000CAC30000}"/>
    <cellStyle name="货币 2 2 2 5" xfId="50123" xr:uid="{00000000-0005-0000-0000-0000CBC30000}"/>
    <cellStyle name="货币 2 2 2 6" xfId="50124" xr:uid="{00000000-0005-0000-0000-0000CCC30000}"/>
    <cellStyle name="货币 2 2 2 6 2" xfId="50125" xr:uid="{00000000-0005-0000-0000-0000CDC30000}"/>
    <cellStyle name="货币 2 2 2 7" xfId="50126" xr:uid="{00000000-0005-0000-0000-0000CEC30000}"/>
    <cellStyle name="货币 2 2 2 7 2" xfId="50127" xr:uid="{00000000-0005-0000-0000-0000CFC30000}"/>
    <cellStyle name="货币 2 2 2 7 3" xfId="50128" xr:uid="{00000000-0005-0000-0000-0000D0C30000}"/>
    <cellStyle name="货币 2 2 2 8" xfId="50129" xr:uid="{00000000-0005-0000-0000-0000D1C30000}"/>
    <cellStyle name="货币 2 2 3" xfId="50130" xr:uid="{00000000-0005-0000-0000-0000D2C30000}"/>
    <cellStyle name="货币 2 2 3 2" xfId="50131" xr:uid="{00000000-0005-0000-0000-0000D3C30000}"/>
    <cellStyle name="货币 2 2 3 3" xfId="50132" xr:uid="{00000000-0005-0000-0000-0000D4C30000}"/>
    <cellStyle name="货币 2 2 4" xfId="50133" xr:uid="{00000000-0005-0000-0000-0000D5C30000}"/>
    <cellStyle name="货币 2 2 5" xfId="50134" xr:uid="{00000000-0005-0000-0000-0000D6C30000}"/>
    <cellStyle name="货币 2 2 6" xfId="50135" xr:uid="{00000000-0005-0000-0000-0000D7C30000}"/>
    <cellStyle name="货币 2 2 7" xfId="50136" xr:uid="{00000000-0005-0000-0000-0000D8C30000}"/>
    <cellStyle name="货币 2 2 7 2" xfId="50137" xr:uid="{00000000-0005-0000-0000-0000D9C30000}"/>
    <cellStyle name="货币 2 2 7 2 2" xfId="50138" xr:uid="{00000000-0005-0000-0000-0000DAC30000}"/>
    <cellStyle name="货币 2 2 7 3" xfId="50139" xr:uid="{00000000-0005-0000-0000-0000DBC30000}"/>
    <cellStyle name="货币 2 2 8" xfId="50140" xr:uid="{00000000-0005-0000-0000-0000DCC30000}"/>
    <cellStyle name="货币 2 2 8 2" xfId="50141" xr:uid="{00000000-0005-0000-0000-0000DDC30000}"/>
    <cellStyle name="货币 2 2 9" xfId="50142" xr:uid="{00000000-0005-0000-0000-0000DEC30000}"/>
    <cellStyle name="货币 2 2 9 2" xfId="50143" xr:uid="{00000000-0005-0000-0000-0000DFC30000}"/>
    <cellStyle name="货币 2 3" xfId="50144" xr:uid="{00000000-0005-0000-0000-0000E0C30000}"/>
    <cellStyle name="货币 2 3 2" xfId="50145" xr:uid="{00000000-0005-0000-0000-0000E1C30000}"/>
    <cellStyle name="货币 2 3 2 2" xfId="50146" xr:uid="{00000000-0005-0000-0000-0000E2C30000}"/>
    <cellStyle name="货币 2 3 2 3" xfId="50147" xr:uid="{00000000-0005-0000-0000-0000E3C30000}"/>
    <cellStyle name="货币 2 3 3" xfId="50148" xr:uid="{00000000-0005-0000-0000-0000E4C30000}"/>
    <cellStyle name="货币 2 3 4" xfId="50149" xr:uid="{00000000-0005-0000-0000-0000E5C30000}"/>
    <cellStyle name="货币 2 3 5" xfId="50150" xr:uid="{00000000-0005-0000-0000-0000E6C30000}"/>
    <cellStyle name="货币 2 3 6" xfId="50151" xr:uid="{00000000-0005-0000-0000-0000E7C30000}"/>
    <cellStyle name="货币 2 3 6 2" xfId="50152" xr:uid="{00000000-0005-0000-0000-0000E8C30000}"/>
    <cellStyle name="货币 2 3 6 2 2" xfId="50153" xr:uid="{00000000-0005-0000-0000-0000E9C30000}"/>
    <cellStyle name="货币 2 3 6 3" xfId="50154" xr:uid="{00000000-0005-0000-0000-0000EAC30000}"/>
    <cellStyle name="货币 2 3 7" xfId="50155" xr:uid="{00000000-0005-0000-0000-0000EBC30000}"/>
    <cellStyle name="货币 2 3 7 2" xfId="50156" xr:uid="{00000000-0005-0000-0000-0000ECC30000}"/>
    <cellStyle name="货币 2 3 8" xfId="50157" xr:uid="{00000000-0005-0000-0000-0000EDC30000}"/>
    <cellStyle name="货币 2 3 8 2" xfId="50158" xr:uid="{00000000-0005-0000-0000-0000EEC30000}"/>
    <cellStyle name="货币 2 4" xfId="50159" xr:uid="{00000000-0005-0000-0000-0000EFC30000}"/>
    <cellStyle name="货币 2 4 2" xfId="50160" xr:uid="{00000000-0005-0000-0000-0000F0C30000}"/>
    <cellStyle name="货币 2 4 2 2" xfId="50161" xr:uid="{00000000-0005-0000-0000-0000F1C30000}"/>
    <cellStyle name="货币 2 4 2 3" xfId="50162" xr:uid="{00000000-0005-0000-0000-0000F2C30000}"/>
    <cellStyle name="货币 2 4 3" xfId="50163" xr:uid="{00000000-0005-0000-0000-0000F3C30000}"/>
    <cellStyle name="货币 2 4 4" xfId="50164" xr:uid="{00000000-0005-0000-0000-0000F4C30000}"/>
    <cellStyle name="货币 2 4 5" xfId="50165" xr:uid="{00000000-0005-0000-0000-0000F5C30000}"/>
    <cellStyle name="货币 2 4 6" xfId="50166" xr:uid="{00000000-0005-0000-0000-0000F6C30000}"/>
    <cellStyle name="货币 2 4 6 2" xfId="50167" xr:uid="{00000000-0005-0000-0000-0000F7C30000}"/>
    <cellStyle name="货币 2 4 7" xfId="50168" xr:uid="{00000000-0005-0000-0000-0000F8C30000}"/>
    <cellStyle name="货币 2 4 7 2" xfId="50169" xr:uid="{00000000-0005-0000-0000-0000F9C30000}"/>
    <cellStyle name="货币 2 4 7 3" xfId="50170" xr:uid="{00000000-0005-0000-0000-0000FAC30000}"/>
    <cellStyle name="货币 2 4 8" xfId="50171" xr:uid="{00000000-0005-0000-0000-0000FBC30000}"/>
    <cellStyle name="货币 2 5" xfId="50172" xr:uid="{00000000-0005-0000-0000-0000FCC30000}"/>
    <cellStyle name="货币 2 5 2" xfId="50173" xr:uid="{00000000-0005-0000-0000-0000FDC30000}"/>
    <cellStyle name="货币 2 5 2 2" xfId="50174" xr:uid="{00000000-0005-0000-0000-0000FEC30000}"/>
    <cellStyle name="货币 2 5 2 2 2" xfId="50175" xr:uid="{00000000-0005-0000-0000-0000FFC30000}"/>
    <cellStyle name="货币 2 5 3" xfId="50176" xr:uid="{00000000-0005-0000-0000-000000C40000}"/>
    <cellStyle name="货币 2 5 3 2" xfId="50177" xr:uid="{00000000-0005-0000-0000-000001C40000}"/>
    <cellStyle name="货币 2 5 4" xfId="50178" xr:uid="{00000000-0005-0000-0000-000002C40000}"/>
    <cellStyle name="货币 2 5 4 2" xfId="50179" xr:uid="{00000000-0005-0000-0000-000003C40000}"/>
    <cellStyle name="货币 2 5 5" xfId="50180" xr:uid="{00000000-0005-0000-0000-000004C40000}"/>
    <cellStyle name="货币 2 6" xfId="50181" xr:uid="{00000000-0005-0000-0000-000005C40000}"/>
    <cellStyle name="货币 2 6 2" xfId="50182" xr:uid="{00000000-0005-0000-0000-000006C40000}"/>
    <cellStyle name="货币[0]_061 explanation" xfId="50183" xr:uid="{00000000-0005-0000-0000-000007C40000}"/>
    <cellStyle name="货币_061 explanation" xfId="50184" xr:uid="{00000000-0005-0000-0000-000008C40000}"/>
    <cellStyle name="超级链接_Ji Fa - SOICT Pd 023 Mgmt Report" xfId="50185" xr:uid="{00000000-0005-0000-0000-000009C40000}"/>
    <cellStyle name="超链接 2" xfId="50186" xr:uid="{00000000-0005-0000-0000-00000AC40000}"/>
    <cellStyle name="超链接 2 2" xfId="50187" xr:uid="{00000000-0005-0000-0000-00000BC40000}"/>
    <cellStyle name="超链接 2 2 2" xfId="50188" xr:uid="{00000000-0005-0000-0000-00000CC40000}"/>
    <cellStyle name="超链接 2 2 2 2" xfId="50189" xr:uid="{00000000-0005-0000-0000-00000DC40000}"/>
    <cellStyle name="超链接 2 2 2 3" xfId="50190" xr:uid="{00000000-0005-0000-0000-00000EC40000}"/>
    <cellStyle name="超链接 2 2 3" xfId="50191" xr:uid="{00000000-0005-0000-0000-00000FC40000}"/>
    <cellStyle name="超链接 2 2 4" xfId="50192" xr:uid="{00000000-0005-0000-0000-000010C40000}"/>
    <cellStyle name="超链接 2 2 5" xfId="50193" xr:uid="{00000000-0005-0000-0000-000011C40000}"/>
    <cellStyle name="超链接 2 2 6" xfId="50194" xr:uid="{00000000-0005-0000-0000-000012C40000}"/>
    <cellStyle name="超链接 2 3" xfId="50195" xr:uid="{00000000-0005-0000-0000-000013C40000}"/>
    <cellStyle name="超链接 2 3 2" xfId="50196" xr:uid="{00000000-0005-0000-0000-000014C40000}"/>
    <cellStyle name="超链接 2 3 3" xfId="50197" xr:uid="{00000000-0005-0000-0000-000015C40000}"/>
    <cellStyle name="超链接 2 4" xfId="50198" xr:uid="{00000000-0005-0000-0000-000016C40000}"/>
    <cellStyle name="超链接 2 5" xfId="50199" xr:uid="{00000000-0005-0000-0000-000017C40000}"/>
    <cellStyle name="超链接 2 6" xfId="50200" xr:uid="{00000000-0005-0000-0000-000018C40000}"/>
    <cellStyle name="超链接 2 7" xfId="50201" xr:uid="{00000000-0005-0000-0000-000019C40000}"/>
    <cellStyle name="输入 2" xfId="50202" xr:uid="{00000000-0005-0000-0000-00001AC40000}"/>
    <cellStyle name="输入 2 10" xfId="50203" xr:uid="{00000000-0005-0000-0000-00001BC40000}"/>
    <cellStyle name="输入 2 11" xfId="50204" xr:uid="{00000000-0005-0000-0000-00001CC40000}"/>
    <cellStyle name="输入 2 2" xfId="50205" xr:uid="{00000000-0005-0000-0000-00001DC40000}"/>
    <cellStyle name="输入 2 2 10" xfId="50206" xr:uid="{00000000-0005-0000-0000-00001EC40000}"/>
    <cellStyle name="输入 2 2 11" xfId="50207" xr:uid="{00000000-0005-0000-0000-00001FC40000}"/>
    <cellStyle name="输入 2 2 2" xfId="50208" xr:uid="{00000000-0005-0000-0000-000020C40000}"/>
    <cellStyle name="输入 2 2 2 2" xfId="50209" xr:uid="{00000000-0005-0000-0000-000021C40000}"/>
    <cellStyle name="输入 2 2 2 2 2" xfId="50210" xr:uid="{00000000-0005-0000-0000-000022C40000}"/>
    <cellStyle name="输入 2 2 2 2 2 2" xfId="50211" xr:uid="{00000000-0005-0000-0000-000023C40000}"/>
    <cellStyle name="输入 2 2 2 2 2 3" xfId="50212" xr:uid="{00000000-0005-0000-0000-000024C40000}"/>
    <cellStyle name="输入 2 2 2 2 2 3 2" xfId="50213" xr:uid="{00000000-0005-0000-0000-000025C40000}"/>
    <cellStyle name="输入 2 2 2 2 2 3 2 2" xfId="50214" xr:uid="{00000000-0005-0000-0000-000026C40000}"/>
    <cellStyle name="输入 2 2 2 2 2 4" xfId="50215" xr:uid="{00000000-0005-0000-0000-000027C40000}"/>
    <cellStyle name="输入 2 2 2 2 2 4 2" xfId="50216" xr:uid="{00000000-0005-0000-0000-000028C40000}"/>
    <cellStyle name="输入 2 2 2 2 3" xfId="50217" xr:uid="{00000000-0005-0000-0000-000029C40000}"/>
    <cellStyle name="输入 2 2 2 2 3 2" xfId="50218" xr:uid="{00000000-0005-0000-0000-00002AC40000}"/>
    <cellStyle name="输入 2 2 2 2 3 2 2" xfId="50219" xr:uid="{00000000-0005-0000-0000-00002BC40000}"/>
    <cellStyle name="输入 2 2 2 2 3 2 2 2" xfId="50220" xr:uid="{00000000-0005-0000-0000-00002CC40000}"/>
    <cellStyle name="输入 2 2 2 2 3 3" xfId="50221" xr:uid="{00000000-0005-0000-0000-00002DC40000}"/>
    <cellStyle name="输入 2 2 2 2 3 3 2" xfId="50222" xr:uid="{00000000-0005-0000-0000-00002EC40000}"/>
    <cellStyle name="输入 2 2 2 2 4" xfId="50223" xr:uid="{00000000-0005-0000-0000-00002FC40000}"/>
    <cellStyle name="输入 2 2 2 2 5" xfId="50224" xr:uid="{00000000-0005-0000-0000-000030C40000}"/>
    <cellStyle name="输入 2 2 2 2 6" xfId="50225" xr:uid="{00000000-0005-0000-0000-000031C40000}"/>
    <cellStyle name="输入 2 2 2 3" xfId="50226" xr:uid="{00000000-0005-0000-0000-000032C40000}"/>
    <cellStyle name="输入 2 2 2 3 2" xfId="50227" xr:uid="{00000000-0005-0000-0000-000033C40000}"/>
    <cellStyle name="输入 2 2 2 3 3" xfId="50228" xr:uid="{00000000-0005-0000-0000-000034C40000}"/>
    <cellStyle name="输入 2 2 2 3 3 2" xfId="50229" xr:uid="{00000000-0005-0000-0000-000035C40000}"/>
    <cellStyle name="输入 2 2 2 3 3 2 2" xfId="50230" xr:uid="{00000000-0005-0000-0000-000036C40000}"/>
    <cellStyle name="输入 2 2 2 3 4" xfId="50231" xr:uid="{00000000-0005-0000-0000-000037C40000}"/>
    <cellStyle name="输入 2 2 2 3 4 2" xfId="50232" xr:uid="{00000000-0005-0000-0000-000038C40000}"/>
    <cellStyle name="输入 2 2 2 4" xfId="50233" xr:uid="{00000000-0005-0000-0000-000039C40000}"/>
    <cellStyle name="输入 2 2 2 4 2" xfId="50234" xr:uid="{00000000-0005-0000-0000-00003AC40000}"/>
    <cellStyle name="输入 2 2 2 4 2 2" xfId="50235" xr:uid="{00000000-0005-0000-0000-00003BC40000}"/>
    <cellStyle name="输入 2 2 2 4 2 2 2" xfId="50236" xr:uid="{00000000-0005-0000-0000-00003CC40000}"/>
    <cellStyle name="输入 2 2 2 4 3" xfId="50237" xr:uid="{00000000-0005-0000-0000-00003DC40000}"/>
    <cellStyle name="输入 2 2 2 4 3 2" xfId="50238" xr:uid="{00000000-0005-0000-0000-00003EC40000}"/>
    <cellStyle name="输入 2 2 2 5" xfId="50239" xr:uid="{00000000-0005-0000-0000-00003FC40000}"/>
    <cellStyle name="输入 2 2 2 6" xfId="50240" xr:uid="{00000000-0005-0000-0000-000040C40000}"/>
    <cellStyle name="输入 2 2 2 7" xfId="50241" xr:uid="{00000000-0005-0000-0000-000041C40000}"/>
    <cellStyle name="输入 2 2 3" xfId="50242" xr:uid="{00000000-0005-0000-0000-000042C40000}"/>
    <cellStyle name="输入 2 2 3 2" xfId="50243" xr:uid="{00000000-0005-0000-0000-000043C40000}"/>
    <cellStyle name="输入 2 2 3 2 2" xfId="50244" xr:uid="{00000000-0005-0000-0000-000044C40000}"/>
    <cellStyle name="输入 2 2 3 2 3" xfId="50245" xr:uid="{00000000-0005-0000-0000-000045C40000}"/>
    <cellStyle name="输入 2 2 3 2 3 2" xfId="50246" xr:uid="{00000000-0005-0000-0000-000046C40000}"/>
    <cellStyle name="输入 2 2 3 2 3 2 2" xfId="50247" xr:uid="{00000000-0005-0000-0000-000047C40000}"/>
    <cellStyle name="输入 2 2 3 2 4" xfId="50248" xr:uid="{00000000-0005-0000-0000-000048C40000}"/>
    <cellStyle name="输入 2 2 3 2 4 2" xfId="50249" xr:uid="{00000000-0005-0000-0000-000049C40000}"/>
    <cellStyle name="输入 2 2 3 3" xfId="50250" xr:uid="{00000000-0005-0000-0000-00004AC40000}"/>
    <cellStyle name="输入 2 2 3 3 2" xfId="50251" xr:uid="{00000000-0005-0000-0000-00004BC40000}"/>
    <cellStyle name="输入 2 2 3 3 2 2" xfId="50252" xr:uid="{00000000-0005-0000-0000-00004CC40000}"/>
    <cellStyle name="输入 2 2 3 3 2 2 2" xfId="50253" xr:uid="{00000000-0005-0000-0000-00004DC40000}"/>
    <cellStyle name="输入 2 2 3 3 3" xfId="50254" xr:uid="{00000000-0005-0000-0000-00004EC40000}"/>
    <cellStyle name="输入 2 2 3 3 3 2" xfId="50255" xr:uid="{00000000-0005-0000-0000-00004FC40000}"/>
    <cellStyle name="输入 2 2 3 4" xfId="50256" xr:uid="{00000000-0005-0000-0000-000050C40000}"/>
    <cellStyle name="输入 2 2 3 5" xfId="50257" xr:uid="{00000000-0005-0000-0000-000051C40000}"/>
    <cellStyle name="输入 2 2 3 6" xfId="50258" xr:uid="{00000000-0005-0000-0000-000052C40000}"/>
    <cellStyle name="输入 2 2 4" xfId="50259" xr:uid="{00000000-0005-0000-0000-000053C40000}"/>
    <cellStyle name="输入 2 2 4 2" xfId="50260" xr:uid="{00000000-0005-0000-0000-000054C40000}"/>
    <cellStyle name="输入 2 2 4 2 2" xfId="50261" xr:uid="{00000000-0005-0000-0000-000055C40000}"/>
    <cellStyle name="输入 2 2 4 2 3" xfId="50262" xr:uid="{00000000-0005-0000-0000-000056C40000}"/>
    <cellStyle name="输入 2 2 4 2 3 2" xfId="50263" xr:uid="{00000000-0005-0000-0000-000057C40000}"/>
    <cellStyle name="输入 2 2 4 2 3 2 2" xfId="50264" xr:uid="{00000000-0005-0000-0000-000058C40000}"/>
    <cellStyle name="输入 2 2 4 2 4" xfId="50265" xr:uid="{00000000-0005-0000-0000-000059C40000}"/>
    <cellStyle name="输入 2 2 4 2 4 2" xfId="50266" xr:uid="{00000000-0005-0000-0000-00005AC40000}"/>
    <cellStyle name="输入 2 2 4 3" xfId="50267" xr:uid="{00000000-0005-0000-0000-00005BC40000}"/>
    <cellStyle name="输入 2 2 4 4" xfId="50268" xr:uid="{00000000-0005-0000-0000-00005CC40000}"/>
    <cellStyle name="输入 2 2 4 5" xfId="50269" xr:uid="{00000000-0005-0000-0000-00005DC40000}"/>
    <cellStyle name="输入 2 2 4 6" xfId="50270" xr:uid="{00000000-0005-0000-0000-00005EC40000}"/>
    <cellStyle name="输入 2 2 5" xfId="50271" xr:uid="{00000000-0005-0000-0000-00005FC40000}"/>
    <cellStyle name="输入 2 2 5 2" xfId="50272" xr:uid="{00000000-0005-0000-0000-000060C40000}"/>
    <cellStyle name="输入 2 2 5 2 2" xfId="50273" xr:uid="{00000000-0005-0000-0000-000061C40000}"/>
    <cellStyle name="输入 2 2 5 2 2 2" xfId="50274" xr:uid="{00000000-0005-0000-0000-000062C40000}"/>
    <cellStyle name="输入 2 2 5 2 2 2 2" xfId="50275" xr:uid="{00000000-0005-0000-0000-000063C40000}"/>
    <cellStyle name="输入 2 2 5 2 3" xfId="50276" xr:uid="{00000000-0005-0000-0000-000064C40000}"/>
    <cellStyle name="输入 2 2 5 2 3 2" xfId="50277" xr:uid="{00000000-0005-0000-0000-000065C40000}"/>
    <cellStyle name="输入 2 2 5 3" xfId="50278" xr:uid="{00000000-0005-0000-0000-000066C40000}"/>
    <cellStyle name="输入 2 2 5 3 2" xfId="50279" xr:uid="{00000000-0005-0000-0000-000067C40000}"/>
    <cellStyle name="输入 2 2 5 3 2 2" xfId="50280" xr:uid="{00000000-0005-0000-0000-000068C40000}"/>
    <cellStyle name="输入 2 2 5 4" xfId="50281" xr:uid="{00000000-0005-0000-0000-000069C40000}"/>
    <cellStyle name="输入 2 2 5 4 2" xfId="50282" xr:uid="{00000000-0005-0000-0000-00006AC40000}"/>
    <cellStyle name="输入 2 2 6" xfId="50283" xr:uid="{00000000-0005-0000-0000-00006BC40000}"/>
    <cellStyle name="输入 2 2 6 2" xfId="50284" xr:uid="{00000000-0005-0000-0000-00006CC40000}"/>
    <cellStyle name="输入 2 2 6 2 2" xfId="50285" xr:uid="{00000000-0005-0000-0000-00006DC40000}"/>
    <cellStyle name="输入 2 2 6 2 2 2" xfId="50286" xr:uid="{00000000-0005-0000-0000-00006EC40000}"/>
    <cellStyle name="输入 2 2 6 2 2 2 2" xfId="50287" xr:uid="{00000000-0005-0000-0000-00006FC40000}"/>
    <cellStyle name="输入 2 2 6 2 3" xfId="50288" xr:uid="{00000000-0005-0000-0000-000070C40000}"/>
    <cellStyle name="输入 2 2 6 2 3 2" xfId="50289" xr:uid="{00000000-0005-0000-0000-000071C40000}"/>
    <cellStyle name="输入 2 2 6 3" xfId="50290" xr:uid="{00000000-0005-0000-0000-000072C40000}"/>
    <cellStyle name="输入 2 2 6 3 2" xfId="50291" xr:uid="{00000000-0005-0000-0000-000073C40000}"/>
    <cellStyle name="输入 2 2 6 3 2 2" xfId="50292" xr:uid="{00000000-0005-0000-0000-000074C40000}"/>
    <cellStyle name="输入 2 2 6 4" xfId="50293" xr:uid="{00000000-0005-0000-0000-000075C40000}"/>
    <cellStyle name="输入 2 2 6 4 2" xfId="50294" xr:uid="{00000000-0005-0000-0000-000076C40000}"/>
    <cellStyle name="输入 2 2 7" xfId="50295" xr:uid="{00000000-0005-0000-0000-000077C40000}"/>
    <cellStyle name="输入 2 2 7 2" xfId="50296" xr:uid="{00000000-0005-0000-0000-000078C40000}"/>
    <cellStyle name="输入 2 2 7 2 2" xfId="50297" xr:uid="{00000000-0005-0000-0000-000079C40000}"/>
    <cellStyle name="输入 2 2 7 2 2 2" xfId="50298" xr:uid="{00000000-0005-0000-0000-00007AC40000}"/>
    <cellStyle name="输入 2 2 7 2 2 2 2" xfId="50299" xr:uid="{00000000-0005-0000-0000-00007BC40000}"/>
    <cellStyle name="输入 2 2 7 2 3" xfId="50300" xr:uid="{00000000-0005-0000-0000-00007CC40000}"/>
    <cellStyle name="输入 2 2 7 2 3 2" xfId="50301" xr:uid="{00000000-0005-0000-0000-00007DC40000}"/>
    <cellStyle name="输入 2 2 7 3" xfId="50302" xr:uid="{00000000-0005-0000-0000-00007EC40000}"/>
    <cellStyle name="输入 2 2 7 3 2" xfId="50303" xr:uid="{00000000-0005-0000-0000-00007FC40000}"/>
    <cellStyle name="输入 2 2 7 3 2 2" xfId="50304" xr:uid="{00000000-0005-0000-0000-000080C40000}"/>
    <cellStyle name="输入 2 2 7 4" xfId="50305" xr:uid="{00000000-0005-0000-0000-000081C40000}"/>
    <cellStyle name="输入 2 2 7 4 2" xfId="50306" xr:uid="{00000000-0005-0000-0000-000082C40000}"/>
    <cellStyle name="输入 2 2 8" xfId="50307" xr:uid="{00000000-0005-0000-0000-000083C40000}"/>
    <cellStyle name="输入 2 2 8 2" xfId="50308" xr:uid="{00000000-0005-0000-0000-000084C40000}"/>
    <cellStyle name="输入 2 2 8 2 2" xfId="50309" xr:uid="{00000000-0005-0000-0000-000085C40000}"/>
    <cellStyle name="输入 2 2 8 2 2 2" xfId="50310" xr:uid="{00000000-0005-0000-0000-000086C40000}"/>
    <cellStyle name="输入 2 2 8 3" xfId="50311" xr:uid="{00000000-0005-0000-0000-000087C40000}"/>
    <cellStyle name="输入 2 2 8 3 2" xfId="50312" xr:uid="{00000000-0005-0000-0000-000088C40000}"/>
    <cellStyle name="输入 2 2 9" xfId="50313" xr:uid="{00000000-0005-0000-0000-000089C40000}"/>
    <cellStyle name="输入 2 2 9 2" xfId="50314" xr:uid="{00000000-0005-0000-0000-00008AC40000}"/>
    <cellStyle name="输入 2 2 9 2 2" xfId="50315" xr:uid="{00000000-0005-0000-0000-00008BC40000}"/>
    <cellStyle name="输入 2 2 9 2 2 2" xfId="50316" xr:uid="{00000000-0005-0000-0000-00008CC40000}"/>
    <cellStyle name="输入 2 2 9 3" xfId="50317" xr:uid="{00000000-0005-0000-0000-00008DC40000}"/>
    <cellStyle name="输入 2 2 9 3 2" xfId="50318" xr:uid="{00000000-0005-0000-0000-00008EC40000}"/>
    <cellStyle name="输入 2 3" xfId="50319" xr:uid="{00000000-0005-0000-0000-00008FC40000}"/>
    <cellStyle name="输入 2 3 2" xfId="50320" xr:uid="{00000000-0005-0000-0000-000090C40000}"/>
    <cellStyle name="输入 2 3 2 2" xfId="50321" xr:uid="{00000000-0005-0000-0000-000091C40000}"/>
    <cellStyle name="输入 2 3 2 2 2" xfId="50322" xr:uid="{00000000-0005-0000-0000-000092C40000}"/>
    <cellStyle name="输入 2 3 2 2 2 2" xfId="50323" xr:uid="{00000000-0005-0000-0000-000093C40000}"/>
    <cellStyle name="输入 2 3 2 2 2 3" xfId="50324" xr:uid="{00000000-0005-0000-0000-000094C40000}"/>
    <cellStyle name="输入 2 3 2 2 2 3 2" xfId="50325" xr:uid="{00000000-0005-0000-0000-000095C40000}"/>
    <cellStyle name="输入 2 3 2 2 2 3 2 2" xfId="50326" xr:uid="{00000000-0005-0000-0000-000096C40000}"/>
    <cellStyle name="输入 2 3 2 2 2 4" xfId="50327" xr:uid="{00000000-0005-0000-0000-000097C40000}"/>
    <cellStyle name="输入 2 3 2 2 2 4 2" xfId="50328" xr:uid="{00000000-0005-0000-0000-000098C40000}"/>
    <cellStyle name="输入 2 3 2 2 3" xfId="50329" xr:uid="{00000000-0005-0000-0000-000099C40000}"/>
    <cellStyle name="输入 2 3 2 2 3 2" xfId="50330" xr:uid="{00000000-0005-0000-0000-00009AC40000}"/>
    <cellStyle name="输入 2 3 2 2 3 2 2" xfId="50331" xr:uid="{00000000-0005-0000-0000-00009BC40000}"/>
    <cellStyle name="输入 2 3 2 2 3 2 2 2" xfId="50332" xr:uid="{00000000-0005-0000-0000-00009CC40000}"/>
    <cellStyle name="输入 2 3 2 2 3 3" xfId="50333" xr:uid="{00000000-0005-0000-0000-00009DC40000}"/>
    <cellStyle name="输入 2 3 2 2 3 3 2" xfId="50334" xr:uid="{00000000-0005-0000-0000-00009EC40000}"/>
    <cellStyle name="输入 2 3 2 2 4" xfId="50335" xr:uid="{00000000-0005-0000-0000-00009FC40000}"/>
    <cellStyle name="输入 2 3 2 2 5" xfId="50336" xr:uid="{00000000-0005-0000-0000-0000A0C40000}"/>
    <cellStyle name="输入 2 3 2 2 6" xfId="50337" xr:uid="{00000000-0005-0000-0000-0000A1C40000}"/>
    <cellStyle name="输入 2 3 2 3" xfId="50338" xr:uid="{00000000-0005-0000-0000-0000A2C40000}"/>
    <cellStyle name="输入 2 3 2 3 2" xfId="50339" xr:uid="{00000000-0005-0000-0000-0000A3C40000}"/>
    <cellStyle name="输入 2 3 2 3 3" xfId="50340" xr:uid="{00000000-0005-0000-0000-0000A4C40000}"/>
    <cellStyle name="输入 2 3 2 3 3 2" xfId="50341" xr:uid="{00000000-0005-0000-0000-0000A5C40000}"/>
    <cellStyle name="输入 2 3 2 3 3 2 2" xfId="50342" xr:uid="{00000000-0005-0000-0000-0000A6C40000}"/>
    <cellStyle name="输入 2 3 2 3 4" xfId="50343" xr:uid="{00000000-0005-0000-0000-0000A7C40000}"/>
    <cellStyle name="输入 2 3 2 3 4 2" xfId="50344" xr:uid="{00000000-0005-0000-0000-0000A8C40000}"/>
    <cellStyle name="输入 2 3 2 4" xfId="50345" xr:uid="{00000000-0005-0000-0000-0000A9C40000}"/>
    <cellStyle name="输入 2 3 2 4 2" xfId="50346" xr:uid="{00000000-0005-0000-0000-0000AAC40000}"/>
    <cellStyle name="输入 2 3 2 4 2 2" xfId="50347" xr:uid="{00000000-0005-0000-0000-0000ABC40000}"/>
    <cellStyle name="输入 2 3 2 4 2 2 2" xfId="50348" xr:uid="{00000000-0005-0000-0000-0000ACC40000}"/>
    <cellStyle name="输入 2 3 2 4 3" xfId="50349" xr:uid="{00000000-0005-0000-0000-0000ADC40000}"/>
    <cellStyle name="输入 2 3 2 4 3 2" xfId="50350" xr:uid="{00000000-0005-0000-0000-0000AEC40000}"/>
    <cellStyle name="输入 2 3 2 5" xfId="50351" xr:uid="{00000000-0005-0000-0000-0000AFC40000}"/>
    <cellStyle name="输入 2 3 2 6" xfId="50352" xr:uid="{00000000-0005-0000-0000-0000B0C40000}"/>
    <cellStyle name="输入 2 3 2 7" xfId="50353" xr:uid="{00000000-0005-0000-0000-0000B1C40000}"/>
    <cellStyle name="输入 2 3 3" xfId="50354" xr:uid="{00000000-0005-0000-0000-0000B2C40000}"/>
    <cellStyle name="输入 2 3 3 2" xfId="50355" xr:uid="{00000000-0005-0000-0000-0000B3C40000}"/>
    <cellStyle name="输入 2 3 3 2 2" xfId="50356" xr:uid="{00000000-0005-0000-0000-0000B4C40000}"/>
    <cellStyle name="输入 2 3 3 2 3" xfId="50357" xr:uid="{00000000-0005-0000-0000-0000B5C40000}"/>
    <cellStyle name="输入 2 3 3 2 3 2" xfId="50358" xr:uid="{00000000-0005-0000-0000-0000B6C40000}"/>
    <cellStyle name="输入 2 3 3 2 3 2 2" xfId="50359" xr:uid="{00000000-0005-0000-0000-0000B7C40000}"/>
    <cellStyle name="输入 2 3 3 2 4" xfId="50360" xr:uid="{00000000-0005-0000-0000-0000B8C40000}"/>
    <cellStyle name="输入 2 3 3 2 4 2" xfId="50361" xr:uid="{00000000-0005-0000-0000-0000B9C40000}"/>
    <cellStyle name="输入 2 3 3 3" xfId="50362" xr:uid="{00000000-0005-0000-0000-0000BAC40000}"/>
    <cellStyle name="输入 2 3 3 3 2" xfId="50363" xr:uid="{00000000-0005-0000-0000-0000BBC40000}"/>
    <cellStyle name="输入 2 3 3 3 2 2" xfId="50364" xr:uid="{00000000-0005-0000-0000-0000BCC40000}"/>
    <cellStyle name="输入 2 3 3 3 2 2 2" xfId="50365" xr:uid="{00000000-0005-0000-0000-0000BDC40000}"/>
    <cellStyle name="输入 2 3 3 3 3" xfId="50366" xr:uid="{00000000-0005-0000-0000-0000BEC40000}"/>
    <cellStyle name="输入 2 3 3 3 3 2" xfId="50367" xr:uid="{00000000-0005-0000-0000-0000BFC40000}"/>
    <cellStyle name="输入 2 3 3 4" xfId="50368" xr:uid="{00000000-0005-0000-0000-0000C0C40000}"/>
    <cellStyle name="输入 2 3 3 5" xfId="50369" xr:uid="{00000000-0005-0000-0000-0000C1C40000}"/>
    <cellStyle name="输入 2 3 3 6" xfId="50370" xr:uid="{00000000-0005-0000-0000-0000C2C40000}"/>
    <cellStyle name="输入 2 3 4" xfId="50371" xr:uid="{00000000-0005-0000-0000-0000C3C40000}"/>
    <cellStyle name="输入 2 3 4 2" xfId="50372" xr:uid="{00000000-0005-0000-0000-0000C4C40000}"/>
    <cellStyle name="输入 2 3 4 2 2" xfId="50373" xr:uid="{00000000-0005-0000-0000-0000C5C40000}"/>
    <cellStyle name="输入 2 3 4 2 3" xfId="50374" xr:uid="{00000000-0005-0000-0000-0000C6C40000}"/>
    <cellStyle name="输入 2 3 4 2 3 2" xfId="50375" xr:uid="{00000000-0005-0000-0000-0000C7C40000}"/>
    <cellStyle name="输入 2 3 4 2 3 2 2" xfId="50376" xr:uid="{00000000-0005-0000-0000-0000C8C40000}"/>
    <cellStyle name="输入 2 3 4 2 4" xfId="50377" xr:uid="{00000000-0005-0000-0000-0000C9C40000}"/>
    <cellStyle name="输入 2 3 4 2 4 2" xfId="50378" xr:uid="{00000000-0005-0000-0000-0000CAC40000}"/>
    <cellStyle name="输入 2 3 4 3" xfId="50379" xr:uid="{00000000-0005-0000-0000-0000CBC40000}"/>
    <cellStyle name="输入 2 3 4 4" xfId="50380" xr:uid="{00000000-0005-0000-0000-0000CCC40000}"/>
    <cellStyle name="输入 2 3 4 5" xfId="50381" xr:uid="{00000000-0005-0000-0000-0000CDC40000}"/>
    <cellStyle name="输入 2 3 4 6" xfId="50382" xr:uid="{00000000-0005-0000-0000-0000CEC40000}"/>
    <cellStyle name="输入 2 3 5" xfId="50383" xr:uid="{00000000-0005-0000-0000-0000CFC40000}"/>
    <cellStyle name="输入 2 3 5 2" xfId="50384" xr:uid="{00000000-0005-0000-0000-0000D0C40000}"/>
    <cellStyle name="输入 2 3 5 2 2" xfId="50385" xr:uid="{00000000-0005-0000-0000-0000D1C40000}"/>
    <cellStyle name="输入 2 3 5 2 2 2" xfId="50386" xr:uid="{00000000-0005-0000-0000-0000D2C40000}"/>
    <cellStyle name="输入 2 3 5 2 2 2 2" xfId="50387" xr:uid="{00000000-0005-0000-0000-0000D3C40000}"/>
    <cellStyle name="输入 2 3 5 2 3" xfId="50388" xr:uid="{00000000-0005-0000-0000-0000D4C40000}"/>
    <cellStyle name="输入 2 3 5 2 3 2" xfId="50389" xr:uid="{00000000-0005-0000-0000-0000D5C40000}"/>
    <cellStyle name="输入 2 3 5 3" xfId="50390" xr:uid="{00000000-0005-0000-0000-0000D6C40000}"/>
    <cellStyle name="输入 2 3 5 3 2" xfId="50391" xr:uid="{00000000-0005-0000-0000-0000D7C40000}"/>
    <cellStyle name="输入 2 3 5 3 2 2" xfId="50392" xr:uid="{00000000-0005-0000-0000-0000D8C40000}"/>
    <cellStyle name="输入 2 3 5 4" xfId="50393" xr:uid="{00000000-0005-0000-0000-0000D9C40000}"/>
    <cellStyle name="输入 2 3 5 4 2" xfId="50394" xr:uid="{00000000-0005-0000-0000-0000DAC40000}"/>
    <cellStyle name="输入 2 3 6" xfId="50395" xr:uid="{00000000-0005-0000-0000-0000DBC40000}"/>
    <cellStyle name="输入 2 3 6 2" xfId="50396" xr:uid="{00000000-0005-0000-0000-0000DCC40000}"/>
    <cellStyle name="输入 2 3 6 2 2" xfId="50397" xr:uid="{00000000-0005-0000-0000-0000DDC40000}"/>
    <cellStyle name="输入 2 3 6 2 2 2" xfId="50398" xr:uid="{00000000-0005-0000-0000-0000DEC40000}"/>
    <cellStyle name="输入 2 3 6 3" xfId="50399" xr:uid="{00000000-0005-0000-0000-0000DFC40000}"/>
    <cellStyle name="输入 2 3 6 3 2" xfId="50400" xr:uid="{00000000-0005-0000-0000-0000E0C40000}"/>
    <cellStyle name="输入 2 3 7" xfId="50401" xr:uid="{00000000-0005-0000-0000-0000E1C40000}"/>
    <cellStyle name="输入 2 3 7 2" xfId="50402" xr:uid="{00000000-0005-0000-0000-0000E2C40000}"/>
    <cellStyle name="输入 2 3 7 2 2" xfId="50403" xr:uid="{00000000-0005-0000-0000-0000E3C40000}"/>
    <cellStyle name="输入 2 3 7 2 2 2" xfId="50404" xr:uid="{00000000-0005-0000-0000-0000E4C40000}"/>
    <cellStyle name="输入 2 3 7 3" xfId="50405" xr:uid="{00000000-0005-0000-0000-0000E5C40000}"/>
    <cellStyle name="输入 2 3 7 3 2" xfId="50406" xr:uid="{00000000-0005-0000-0000-0000E6C40000}"/>
    <cellStyle name="输入 2 3 8" xfId="50407" xr:uid="{00000000-0005-0000-0000-0000E7C40000}"/>
    <cellStyle name="输入 2 3 9" xfId="50408" xr:uid="{00000000-0005-0000-0000-0000E8C40000}"/>
    <cellStyle name="输入 2 4" xfId="50409" xr:uid="{00000000-0005-0000-0000-0000E9C40000}"/>
    <cellStyle name="输入 2 4 2" xfId="50410" xr:uid="{00000000-0005-0000-0000-0000EAC40000}"/>
    <cellStyle name="输入 2 4 2 2" xfId="50411" xr:uid="{00000000-0005-0000-0000-0000EBC40000}"/>
    <cellStyle name="输入 2 4 2 3" xfId="50412" xr:uid="{00000000-0005-0000-0000-0000ECC40000}"/>
    <cellStyle name="输入 2 4 2 3 2" xfId="50413" xr:uid="{00000000-0005-0000-0000-0000EDC40000}"/>
    <cellStyle name="输入 2 4 2 3 2 2" xfId="50414" xr:uid="{00000000-0005-0000-0000-0000EEC40000}"/>
    <cellStyle name="输入 2 4 2 4" xfId="50415" xr:uid="{00000000-0005-0000-0000-0000EFC40000}"/>
    <cellStyle name="输入 2 4 2 4 2" xfId="50416" xr:uid="{00000000-0005-0000-0000-0000F0C40000}"/>
    <cellStyle name="输入 2 4 3" xfId="50417" xr:uid="{00000000-0005-0000-0000-0000F1C40000}"/>
    <cellStyle name="输入 2 4 3 2" xfId="50418" xr:uid="{00000000-0005-0000-0000-0000F2C40000}"/>
    <cellStyle name="输入 2 4 3 2 2" xfId="50419" xr:uid="{00000000-0005-0000-0000-0000F3C40000}"/>
    <cellStyle name="输入 2 4 3 2 2 2" xfId="50420" xr:uid="{00000000-0005-0000-0000-0000F4C40000}"/>
    <cellStyle name="输入 2 4 3 3" xfId="50421" xr:uid="{00000000-0005-0000-0000-0000F5C40000}"/>
    <cellStyle name="输入 2 4 3 3 2" xfId="50422" xr:uid="{00000000-0005-0000-0000-0000F6C40000}"/>
    <cellStyle name="输入 2 4 4" xfId="50423" xr:uid="{00000000-0005-0000-0000-0000F7C40000}"/>
    <cellStyle name="输入 2 4 5" xfId="50424" xr:uid="{00000000-0005-0000-0000-0000F8C40000}"/>
    <cellStyle name="输入 2 4 6" xfId="50425" xr:uid="{00000000-0005-0000-0000-0000F9C40000}"/>
    <cellStyle name="输入 2 5" xfId="50426" xr:uid="{00000000-0005-0000-0000-0000FAC40000}"/>
    <cellStyle name="输入 2 5 2" xfId="50427" xr:uid="{00000000-0005-0000-0000-0000FBC40000}"/>
    <cellStyle name="输入 2 5 2 2" xfId="50428" xr:uid="{00000000-0005-0000-0000-0000FCC40000}"/>
    <cellStyle name="输入 2 5 2 3" xfId="50429" xr:uid="{00000000-0005-0000-0000-0000FDC40000}"/>
    <cellStyle name="输入 2 5 2 3 2" xfId="50430" xr:uid="{00000000-0005-0000-0000-0000FEC40000}"/>
    <cellStyle name="输入 2 5 2 3 2 2" xfId="50431" xr:uid="{00000000-0005-0000-0000-0000FFC40000}"/>
    <cellStyle name="输入 2 5 2 4" xfId="50432" xr:uid="{00000000-0005-0000-0000-000000C50000}"/>
    <cellStyle name="输入 2 5 2 4 2" xfId="50433" xr:uid="{00000000-0005-0000-0000-000001C50000}"/>
    <cellStyle name="输入 2 5 3" xfId="50434" xr:uid="{00000000-0005-0000-0000-000002C50000}"/>
    <cellStyle name="输入 2 5 4" xfId="50435" xr:uid="{00000000-0005-0000-0000-000003C50000}"/>
    <cellStyle name="输入 2 5 5" xfId="50436" xr:uid="{00000000-0005-0000-0000-000004C50000}"/>
    <cellStyle name="输入 2 5 6" xfId="50437" xr:uid="{00000000-0005-0000-0000-000005C50000}"/>
    <cellStyle name="输入 2 6" xfId="50438" xr:uid="{00000000-0005-0000-0000-000006C50000}"/>
    <cellStyle name="输入 2 6 2" xfId="50439" xr:uid="{00000000-0005-0000-0000-000007C50000}"/>
    <cellStyle name="输入 2 6 2 2" xfId="50440" xr:uid="{00000000-0005-0000-0000-000008C50000}"/>
    <cellStyle name="输入 2 6 2 2 2" xfId="50441" xr:uid="{00000000-0005-0000-0000-000009C50000}"/>
    <cellStyle name="输入 2 6 2 2 2 2" xfId="50442" xr:uid="{00000000-0005-0000-0000-00000AC50000}"/>
    <cellStyle name="输入 2 6 2 3" xfId="50443" xr:uid="{00000000-0005-0000-0000-00000BC50000}"/>
    <cellStyle name="输入 2 6 2 3 2" xfId="50444" xr:uid="{00000000-0005-0000-0000-00000CC50000}"/>
    <cellStyle name="输入 2 6 3" xfId="50445" xr:uid="{00000000-0005-0000-0000-00000DC50000}"/>
    <cellStyle name="输入 2 6 3 2" xfId="50446" xr:uid="{00000000-0005-0000-0000-00000EC50000}"/>
    <cellStyle name="输入 2 6 3 2 2" xfId="50447" xr:uid="{00000000-0005-0000-0000-00000FC50000}"/>
    <cellStyle name="输入 2 6 4" xfId="50448" xr:uid="{00000000-0005-0000-0000-000010C50000}"/>
    <cellStyle name="输入 2 6 4 2" xfId="50449" xr:uid="{00000000-0005-0000-0000-000011C50000}"/>
    <cellStyle name="输入 2 7" xfId="50450" xr:uid="{00000000-0005-0000-0000-000012C50000}"/>
    <cellStyle name="输入 2 7 2" xfId="50451" xr:uid="{00000000-0005-0000-0000-000013C50000}"/>
    <cellStyle name="输入 2 7 2 2" xfId="50452" xr:uid="{00000000-0005-0000-0000-000014C50000}"/>
    <cellStyle name="输入 2 7 2 2 2" xfId="50453" xr:uid="{00000000-0005-0000-0000-000015C50000}"/>
    <cellStyle name="输入 2 7 2 2 2 2" xfId="50454" xr:uid="{00000000-0005-0000-0000-000016C50000}"/>
    <cellStyle name="输入 2 7 2 3" xfId="50455" xr:uid="{00000000-0005-0000-0000-000017C50000}"/>
    <cellStyle name="输入 2 7 2 3 2" xfId="50456" xr:uid="{00000000-0005-0000-0000-000018C50000}"/>
    <cellStyle name="输入 2 7 3" xfId="50457" xr:uid="{00000000-0005-0000-0000-000019C50000}"/>
    <cellStyle name="输入 2 7 3 2" xfId="50458" xr:uid="{00000000-0005-0000-0000-00001AC50000}"/>
    <cellStyle name="输入 2 7 3 2 2" xfId="50459" xr:uid="{00000000-0005-0000-0000-00001BC50000}"/>
    <cellStyle name="输入 2 7 4" xfId="50460" xr:uid="{00000000-0005-0000-0000-00001CC50000}"/>
    <cellStyle name="输入 2 7 4 2" xfId="50461" xr:uid="{00000000-0005-0000-0000-00001DC50000}"/>
    <cellStyle name="输入 2 8" xfId="50462" xr:uid="{00000000-0005-0000-0000-00001EC50000}"/>
    <cellStyle name="输入 2 8 2" xfId="50463" xr:uid="{00000000-0005-0000-0000-00001FC50000}"/>
    <cellStyle name="输入 2 8 2 2" xfId="50464" xr:uid="{00000000-0005-0000-0000-000020C50000}"/>
    <cellStyle name="输入 2 8 2 2 2" xfId="50465" xr:uid="{00000000-0005-0000-0000-000021C50000}"/>
    <cellStyle name="输入 2 8 2 2 2 2" xfId="50466" xr:uid="{00000000-0005-0000-0000-000022C50000}"/>
    <cellStyle name="输入 2 8 2 3" xfId="50467" xr:uid="{00000000-0005-0000-0000-000023C50000}"/>
    <cellStyle name="输入 2 8 2 3 2" xfId="50468" xr:uid="{00000000-0005-0000-0000-000024C50000}"/>
    <cellStyle name="输入 2 8 3" xfId="50469" xr:uid="{00000000-0005-0000-0000-000025C50000}"/>
    <cellStyle name="输入 2 8 3 2" xfId="50470" xr:uid="{00000000-0005-0000-0000-000026C50000}"/>
    <cellStyle name="输入 2 8 3 2 2" xfId="50471" xr:uid="{00000000-0005-0000-0000-000027C50000}"/>
    <cellStyle name="输入 2 8 4" xfId="50472" xr:uid="{00000000-0005-0000-0000-000028C50000}"/>
    <cellStyle name="输入 2 8 4 2" xfId="50473" xr:uid="{00000000-0005-0000-0000-000029C50000}"/>
    <cellStyle name="输入 2 9" xfId="50474" xr:uid="{00000000-0005-0000-0000-00002AC50000}"/>
    <cellStyle name="输入 2 9 2" xfId="50475" xr:uid="{00000000-0005-0000-0000-00002BC50000}"/>
    <cellStyle name="输入 2 9 2 2" xfId="50476" xr:uid="{00000000-0005-0000-0000-00002CC50000}"/>
    <cellStyle name="输入 2 9 2 2 2" xfId="50477" xr:uid="{00000000-0005-0000-0000-00002DC50000}"/>
    <cellStyle name="输入 2 9 3" xfId="50478" xr:uid="{00000000-0005-0000-0000-00002EC50000}"/>
    <cellStyle name="输入 2 9 3 2" xfId="50479" xr:uid="{00000000-0005-0000-0000-00002FC50000}"/>
    <cellStyle name="输入 3" xfId="50480" xr:uid="{00000000-0005-0000-0000-000030C50000}"/>
    <cellStyle name="输入 3 2" xfId="50481" xr:uid="{00000000-0005-0000-0000-000031C50000}"/>
    <cellStyle name="输入 3 2 2" xfId="50482" xr:uid="{00000000-0005-0000-0000-000032C50000}"/>
    <cellStyle name="输入 3 2 2 2" xfId="50483" xr:uid="{00000000-0005-0000-0000-000033C50000}"/>
    <cellStyle name="输入 3 2 2 2 2" xfId="50484" xr:uid="{00000000-0005-0000-0000-000034C50000}"/>
    <cellStyle name="输入 3 2 2 2 3" xfId="50485" xr:uid="{00000000-0005-0000-0000-000035C50000}"/>
    <cellStyle name="输入 3 2 2 2 3 2" xfId="50486" xr:uid="{00000000-0005-0000-0000-000036C50000}"/>
    <cellStyle name="输入 3 2 2 2 3 2 2" xfId="50487" xr:uid="{00000000-0005-0000-0000-000037C50000}"/>
    <cellStyle name="输入 3 2 2 2 4" xfId="50488" xr:uid="{00000000-0005-0000-0000-000038C50000}"/>
    <cellStyle name="输入 3 2 2 2 4 2" xfId="50489" xr:uid="{00000000-0005-0000-0000-000039C50000}"/>
    <cellStyle name="输入 3 2 2 3" xfId="50490" xr:uid="{00000000-0005-0000-0000-00003AC50000}"/>
    <cellStyle name="输入 3 2 2 3 2" xfId="50491" xr:uid="{00000000-0005-0000-0000-00003BC50000}"/>
    <cellStyle name="输入 3 2 2 3 2 2" xfId="50492" xr:uid="{00000000-0005-0000-0000-00003CC50000}"/>
    <cellStyle name="输入 3 2 2 3 2 2 2" xfId="50493" xr:uid="{00000000-0005-0000-0000-00003DC50000}"/>
    <cellStyle name="输入 3 2 2 3 3" xfId="50494" xr:uid="{00000000-0005-0000-0000-00003EC50000}"/>
    <cellStyle name="输入 3 2 2 3 3 2" xfId="50495" xr:uid="{00000000-0005-0000-0000-00003FC50000}"/>
    <cellStyle name="输入 3 2 2 4" xfId="50496" xr:uid="{00000000-0005-0000-0000-000040C50000}"/>
    <cellStyle name="输入 3 2 2 5" xfId="50497" xr:uid="{00000000-0005-0000-0000-000041C50000}"/>
    <cellStyle name="输入 3 2 2 6" xfId="50498" xr:uid="{00000000-0005-0000-0000-000042C50000}"/>
    <cellStyle name="输入 3 2 3" xfId="50499" xr:uid="{00000000-0005-0000-0000-000043C50000}"/>
    <cellStyle name="输入 3 2 3 2" xfId="50500" xr:uid="{00000000-0005-0000-0000-000044C50000}"/>
    <cellStyle name="输入 3 2 3 3" xfId="50501" xr:uid="{00000000-0005-0000-0000-000045C50000}"/>
    <cellStyle name="输入 3 2 3 3 2" xfId="50502" xr:uid="{00000000-0005-0000-0000-000046C50000}"/>
    <cellStyle name="输入 3 2 3 3 2 2" xfId="50503" xr:uid="{00000000-0005-0000-0000-000047C50000}"/>
    <cellStyle name="输入 3 2 3 4" xfId="50504" xr:uid="{00000000-0005-0000-0000-000048C50000}"/>
    <cellStyle name="输入 3 2 3 4 2" xfId="50505" xr:uid="{00000000-0005-0000-0000-000049C50000}"/>
    <cellStyle name="输入 3 2 4" xfId="50506" xr:uid="{00000000-0005-0000-0000-00004AC50000}"/>
    <cellStyle name="输入 3 2 4 2" xfId="50507" xr:uid="{00000000-0005-0000-0000-00004BC50000}"/>
    <cellStyle name="输入 3 2 4 2 2" xfId="50508" xr:uid="{00000000-0005-0000-0000-00004CC50000}"/>
    <cellStyle name="输入 3 2 4 2 2 2" xfId="50509" xr:uid="{00000000-0005-0000-0000-00004DC50000}"/>
    <cellStyle name="输入 3 2 4 3" xfId="50510" xr:uid="{00000000-0005-0000-0000-00004EC50000}"/>
    <cellStyle name="输入 3 2 4 3 2" xfId="50511" xr:uid="{00000000-0005-0000-0000-00004FC50000}"/>
    <cellStyle name="输入 3 2 5" xfId="50512" xr:uid="{00000000-0005-0000-0000-000050C50000}"/>
    <cellStyle name="输入 3 2 6" xfId="50513" xr:uid="{00000000-0005-0000-0000-000051C50000}"/>
    <cellStyle name="输入 3 2 7" xfId="50514" xr:uid="{00000000-0005-0000-0000-000052C50000}"/>
    <cellStyle name="输入 3 3" xfId="50515" xr:uid="{00000000-0005-0000-0000-000053C50000}"/>
    <cellStyle name="输入 3 3 2" xfId="50516" xr:uid="{00000000-0005-0000-0000-000054C50000}"/>
    <cellStyle name="输入 3 3 2 2" xfId="50517" xr:uid="{00000000-0005-0000-0000-000055C50000}"/>
    <cellStyle name="输入 3 3 2 3" xfId="50518" xr:uid="{00000000-0005-0000-0000-000056C50000}"/>
    <cellStyle name="输入 3 3 2 3 2" xfId="50519" xr:uid="{00000000-0005-0000-0000-000057C50000}"/>
    <cellStyle name="输入 3 3 2 3 2 2" xfId="50520" xr:uid="{00000000-0005-0000-0000-000058C50000}"/>
    <cellStyle name="输入 3 3 2 4" xfId="50521" xr:uid="{00000000-0005-0000-0000-000059C50000}"/>
    <cellStyle name="输入 3 3 2 4 2" xfId="50522" xr:uid="{00000000-0005-0000-0000-00005AC50000}"/>
    <cellStyle name="输入 3 3 3" xfId="50523" xr:uid="{00000000-0005-0000-0000-00005BC50000}"/>
    <cellStyle name="输入 3 3 3 2" xfId="50524" xr:uid="{00000000-0005-0000-0000-00005CC50000}"/>
    <cellStyle name="输入 3 3 3 2 2" xfId="50525" xr:uid="{00000000-0005-0000-0000-00005DC50000}"/>
    <cellStyle name="输入 3 3 3 2 2 2" xfId="50526" xr:uid="{00000000-0005-0000-0000-00005EC50000}"/>
    <cellStyle name="输入 3 3 3 3" xfId="50527" xr:uid="{00000000-0005-0000-0000-00005FC50000}"/>
    <cellStyle name="输入 3 3 3 3 2" xfId="50528" xr:uid="{00000000-0005-0000-0000-000060C50000}"/>
    <cellStyle name="输入 3 3 4" xfId="50529" xr:uid="{00000000-0005-0000-0000-000061C50000}"/>
    <cellStyle name="输入 3 3 5" xfId="50530" xr:uid="{00000000-0005-0000-0000-000062C50000}"/>
    <cellStyle name="输入 3 3 6" xfId="50531" xr:uid="{00000000-0005-0000-0000-000063C50000}"/>
    <cellStyle name="输入 3 4" xfId="50532" xr:uid="{00000000-0005-0000-0000-000064C50000}"/>
    <cellStyle name="输入 3 4 2" xfId="50533" xr:uid="{00000000-0005-0000-0000-000065C50000}"/>
    <cellStyle name="输入 3 4 2 2" xfId="50534" xr:uid="{00000000-0005-0000-0000-000066C50000}"/>
    <cellStyle name="输入 3 4 2 3" xfId="50535" xr:uid="{00000000-0005-0000-0000-000067C50000}"/>
    <cellStyle name="输入 3 4 2 3 2" xfId="50536" xr:uid="{00000000-0005-0000-0000-000068C50000}"/>
    <cellStyle name="输入 3 4 2 3 2 2" xfId="50537" xr:uid="{00000000-0005-0000-0000-000069C50000}"/>
    <cellStyle name="输入 3 4 2 4" xfId="50538" xr:uid="{00000000-0005-0000-0000-00006AC50000}"/>
    <cellStyle name="输入 3 4 2 4 2" xfId="50539" xr:uid="{00000000-0005-0000-0000-00006BC50000}"/>
    <cellStyle name="输入 3 4 3" xfId="50540" xr:uid="{00000000-0005-0000-0000-00006CC50000}"/>
    <cellStyle name="输入 3 4 4" xfId="50541" xr:uid="{00000000-0005-0000-0000-00006DC50000}"/>
    <cellStyle name="输入 3 4 5" xfId="50542" xr:uid="{00000000-0005-0000-0000-00006EC50000}"/>
    <cellStyle name="输入 3 4 6" xfId="50543" xr:uid="{00000000-0005-0000-0000-00006FC50000}"/>
    <cellStyle name="输入 3 5" xfId="50544" xr:uid="{00000000-0005-0000-0000-000070C50000}"/>
    <cellStyle name="输入 3 5 2" xfId="50545" xr:uid="{00000000-0005-0000-0000-000071C50000}"/>
    <cellStyle name="输入 3 5 2 2" xfId="50546" xr:uid="{00000000-0005-0000-0000-000072C50000}"/>
    <cellStyle name="输入 3 5 2 2 2" xfId="50547" xr:uid="{00000000-0005-0000-0000-000073C50000}"/>
    <cellStyle name="输入 3 5 2 2 2 2" xfId="50548" xr:uid="{00000000-0005-0000-0000-000074C50000}"/>
    <cellStyle name="输入 3 5 2 3" xfId="50549" xr:uid="{00000000-0005-0000-0000-000075C50000}"/>
    <cellStyle name="输入 3 5 2 3 2" xfId="50550" xr:uid="{00000000-0005-0000-0000-000076C50000}"/>
    <cellStyle name="输入 3 5 3" xfId="50551" xr:uid="{00000000-0005-0000-0000-000077C50000}"/>
    <cellStyle name="输入 3 5 3 2" xfId="50552" xr:uid="{00000000-0005-0000-0000-000078C50000}"/>
    <cellStyle name="输入 3 5 3 2 2" xfId="50553" xr:uid="{00000000-0005-0000-0000-000079C50000}"/>
    <cellStyle name="输入 3 5 4" xfId="50554" xr:uid="{00000000-0005-0000-0000-00007AC50000}"/>
    <cellStyle name="输入 3 5 4 2" xfId="50555" xr:uid="{00000000-0005-0000-0000-00007BC50000}"/>
    <cellStyle name="输入 3 6" xfId="50556" xr:uid="{00000000-0005-0000-0000-00007CC50000}"/>
    <cellStyle name="输入 3 6 2" xfId="50557" xr:uid="{00000000-0005-0000-0000-00007DC50000}"/>
    <cellStyle name="输入 3 6 2 2" xfId="50558" xr:uid="{00000000-0005-0000-0000-00007EC50000}"/>
    <cellStyle name="输入 3 6 2 2 2" xfId="50559" xr:uid="{00000000-0005-0000-0000-00007FC50000}"/>
    <cellStyle name="输入 3 6 3" xfId="50560" xr:uid="{00000000-0005-0000-0000-000080C50000}"/>
    <cellStyle name="输入 3 6 3 2" xfId="50561" xr:uid="{00000000-0005-0000-0000-000081C50000}"/>
    <cellStyle name="输入 3 7" xfId="50562" xr:uid="{00000000-0005-0000-0000-000082C50000}"/>
    <cellStyle name="输入 3 8" xfId="50563" xr:uid="{00000000-0005-0000-0000-000083C50000}"/>
    <cellStyle name="输出 2" xfId="50564" xr:uid="{00000000-0005-0000-0000-000084C50000}"/>
    <cellStyle name="输出 2 10" xfId="50565" xr:uid="{00000000-0005-0000-0000-000085C50000}"/>
    <cellStyle name="输出 2 11" xfId="50566" xr:uid="{00000000-0005-0000-0000-000086C50000}"/>
    <cellStyle name="输出 2 2" xfId="50567" xr:uid="{00000000-0005-0000-0000-000087C50000}"/>
    <cellStyle name="输出 2 2 10" xfId="50568" xr:uid="{00000000-0005-0000-0000-000088C50000}"/>
    <cellStyle name="输出 2 2 11" xfId="50569" xr:uid="{00000000-0005-0000-0000-000089C50000}"/>
    <cellStyle name="输出 2 2 2" xfId="50570" xr:uid="{00000000-0005-0000-0000-00008AC50000}"/>
    <cellStyle name="输出 2 2 2 2" xfId="50571" xr:uid="{00000000-0005-0000-0000-00008BC50000}"/>
    <cellStyle name="输出 2 2 2 2 2" xfId="50572" xr:uid="{00000000-0005-0000-0000-00008CC50000}"/>
    <cellStyle name="输出 2 2 2 2 2 2" xfId="50573" xr:uid="{00000000-0005-0000-0000-00008DC50000}"/>
    <cellStyle name="输出 2 2 2 2 2 3" xfId="50574" xr:uid="{00000000-0005-0000-0000-00008EC50000}"/>
    <cellStyle name="输出 2 2 2 2 2 3 2" xfId="50575" xr:uid="{00000000-0005-0000-0000-00008FC50000}"/>
    <cellStyle name="输出 2 2 2 2 2 3 2 2" xfId="50576" xr:uid="{00000000-0005-0000-0000-000090C50000}"/>
    <cellStyle name="输出 2 2 2 2 2 4" xfId="50577" xr:uid="{00000000-0005-0000-0000-000091C50000}"/>
    <cellStyle name="输出 2 2 2 2 2 4 2" xfId="50578" xr:uid="{00000000-0005-0000-0000-000092C50000}"/>
    <cellStyle name="输出 2 2 2 2 3" xfId="50579" xr:uid="{00000000-0005-0000-0000-000093C50000}"/>
    <cellStyle name="输出 2 2 2 2 3 2" xfId="50580" xr:uid="{00000000-0005-0000-0000-000094C50000}"/>
    <cellStyle name="输出 2 2 2 2 3 2 2" xfId="50581" xr:uid="{00000000-0005-0000-0000-000095C50000}"/>
    <cellStyle name="输出 2 2 2 2 3 2 2 2" xfId="50582" xr:uid="{00000000-0005-0000-0000-000096C50000}"/>
    <cellStyle name="输出 2 2 2 2 3 3" xfId="50583" xr:uid="{00000000-0005-0000-0000-000097C50000}"/>
    <cellStyle name="输出 2 2 2 2 3 3 2" xfId="50584" xr:uid="{00000000-0005-0000-0000-000098C50000}"/>
    <cellStyle name="输出 2 2 2 2 4" xfId="50585" xr:uid="{00000000-0005-0000-0000-000099C50000}"/>
    <cellStyle name="输出 2 2 2 2 5" xfId="50586" xr:uid="{00000000-0005-0000-0000-00009AC50000}"/>
    <cellStyle name="输出 2 2 2 2 6" xfId="50587" xr:uid="{00000000-0005-0000-0000-00009BC50000}"/>
    <cellStyle name="输出 2 2 2 3" xfId="50588" xr:uid="{00000000-0005-0000-0000-00009CC50000}"/>
    <cellStyle name="输出 2 2 2 3 2" xfId="50589" xr:uid="{00000000-0005-0000-0000-00009DC50000}"/>
    <cellStyle name="输出 2 2 2 3 3" xfId="50590" xr:uid="{00000000-0005-0000-0000-00009EC50000}"/>
    <cellStyle name="输出 2 2 2 3 3 2" xfId="50591" xr:uid="{00000000-0005-0000-0000-00009FC50000}"/>
    <cellStyle name="输出 2 2 2 3 3 2 2" xfId="50592" xr:uid="{00000000-0005-0000-0000-0000A0C50000}"/>
    <cellStyle name="输出 2 2 2 3 4" xfId="50593" xr:uid="{00000000-0005-0000-0000-0000A1C50000}"/>
    <cellStyle name="输出 2 2 2 3 4 2" xfId="50594" xr:uid="{00000000-0005-0000-0000-0000A2C50000}"/>
    <cellStyle name="输出 2 2 2 4" xfId="50595" xr:uid="{00000000-0005-0000-0000-0000A3C50000}"/>
    <cellStyle name="输出 2 2 2 4 2" xfId="50596" xr:uid="{00000000-0005-0000-0000-0000A4C50000}"/>
    <cellStyle name="输出 2 2 2 4 2 2" xfId="50597" xr:uid="{00000000-0005-0000-0000-0000A5C50000}"/>
    <cellStyle name="输出 2 2 2 4 2 2 2" xfId="50598" xr:uid="{00000000-0005-0000-0000-0000A6C50000}"/>
    <cellStyle name="输出 2 2 2 4 3" xfId="50599" xr:uid="{00000000-0005-0000-0000-0000A7C50000}"/>
    <cellStyle name="输出 2 2 2 4 3 2" xfId="50600" xr:uid="{00000000-0005-0000-0000-0000A8C50000}"/>
    <cellStyle name="输出 2 2 2 5" xfId="50601" xr:uid="{00000000-0005-0000-0000-0000A9C50000}"/>
    <cellStyle name="输出 2 2 2 6" xfId="50602" xr:uid="{00000000-0005-0000-0000-0000AAC50000}"/>
    <cellStyle name="输出 2 2 2 7" xfId="50603" xr:uid="{00000000-0005-0000-0000-0000ABC50000}"/>
    <cellStyle name="输出 2 2 3" xfId="50604" xr:uid="{00000000-0005-0000-0000-0000ACC50000}"/>
    <cellStyle name="输出 2 2 3 2" xfId="50605" xr:uid="{00000000-0005-0000-0000-0000ADC50000}"/>
    <cellStyle name="输出 2 2 3 2 2" xfId="50606" xr:uid="{00000000-0005-0000-0000-0000AEC50000}"/>
    <cellStyle name="输出 2 2 3 2 3" xfId="50607" xr:uid="{00000000-0005-0000-0000-0000AFC50000}"/>
    <cellStyle name="输出 2 2 3 2 3 2" xfId="50608" xr:uid="{00000000-0005-0000-0000-0000B0C50000}"/>
    <cellStyle name="输出 2 2 3 2 3 2 2" xfId="50609" xr:uid="{00000000-0005-0000-0000-0000B1C50000}"/>
    <cellStyle name="输出 2 2 3 2 4" xfId="50610" xr:uid="{00000000-0005-0000-0000-0000B2C50000}"/>
    <cellStyle name="输出 2 2 3 2 4 2" xfId="50611" xr:uid="{00000000-0005-0000-0000-0000B3C50000}"/>
    <cellStyle name="输出 2 2 3 3" xfId="50612" xr:uid="{00000000-0005-0000-0000-0000B4C50000}"/>
    <cellStyle name="输出 2 2 3 3 2" xfId="50613" xr:uid="{00000000-0005-0000-0000-0000B5C50000}"/>
    <cellStyle name="输出 2 2 3 3 2 2" xfId="50614" xr:uid="{00000000-0005-0000-0000-0000B6C50000}"/>
    <cellStyle name="输出 2 2 3 3 2 2 2" xfId="50615" xr:uid="{00000000-0005-0000-0000-0000B7C50000}"/>
    <cellStyle name="输出 2 2 3 3 3" xfId="50616" xr:uid="{00000000-0005-0000-0000-0000B8C50000}"/>
    <cellStyle name="输出 2 2 3 3 3 2" xfId="50617" xr:uid="{00000000-0005-0000-0000-0000B9C50000}"/>
    <cellStyle name="输出 2 2 3 4" xfId="50618" xr:uid="{00000000-0005-0000-0000-0000BAC50000}"/>
    <cellStyle name="输出 2 2 3 5" xfId="50619" xr:uid="{00000000-0005-0000-0000-0000BBC50000}"/>
    <cellStyle name="输出 2 2 3 6" xfId="50620" xr:uid="{00000000-0005-0000-0000-0000BCC50000}"/>
    <cellStyle name="输出 2 2 4" xfId="50621" xr:uid="{00000000-0005-0000-0000-0000BDC50000}"/>
    <cellStyle name="输出 2 2 4 2" xfId="50622" xr:uid="{00000000-0005-0000-0000-0000BEC50000}"/>
    <cellStyle name="输出 2 2 4 2 2" xfId="50623" xr:uid="{00000000-0005-0000-0000-0000BFC50000}"/>
    <cellStyle name="输出 2 2 4 2 3" xfId="50624" xr:uid="{00000000-0005-0000-0000-0000C0C50000}"/>
    <cellStyle name="输出 2 2 4 2 3 2" xfId="50625" xr:uid="{00000000-0005-0000-0000-0000C1C50000}"/>
    <cellStyle name="输出 2 2 4 2 3 2 2" xfId="50626" xr:uid="{00000000-0005-0000-0000-0000C2C50000}"/>
    <cellStyle name="输出 2 2 4 2 4" xfId="50627" xr:uid="{00000000-0005-0000-0000-0000C3C50000}"/>
    <cellStyle name="输出 2 2 4 2 4 2" xfId="50628" xr:uid="{00000000-0005-0000-0000-0000C4C50000}"/>
    <cellStyle name="输出 2 2 4 3" xfId="50629" xr:uid="{00000000-0005-0000-0000-0000C5C50000}"/>
    <cellStyle name="输出 2 2 4 4" xfId="50630" xr:uid="{00000000-0005-0000-0000-0000C6C50000}"/>
    <cellStyle name="输出 2 2 4 5" xfId="50631" xr:uid="{00000000-0005-0000-0000-0000C7C50000}"/>
    <cellStyle name="输出 2 2 4 6" xfId="50632" xr:uid="{00000000-0005-0000-0000-0000C8C50000}"/>
    <cellStyle name="输出 2 2 5" xfId="50633" xr:uid="{00000000-0005-0000-0000-0000C9C50000}"/>
    <cellStyle name="输出 2 2 5 2" xfId="50634" xr:uid="{00000000-0005-0000-0000-0000CAC50000}"/>
    <cellStyle name="输出 2 2 5 2 2" xfId="50635" xr:uid="{00000000-0005-0000-0000-0000CBC50000}"/>
    <cellStyle name="输出 2 2 5 2 2 2" xfId="50636" xr:uid="{00000000-0005-0000-0000-0000CCC50000}"/>
    <cellStyle name="输出 2 2 5 2 2 2 2" xfId="50637" xr:uid="{00000000-0005-0000-0000-0000CDC50000}"/>
    <cellStyle name="输出 2 2 5 2 3" xfId="50638" xr:uid="{00000000-0005-0000-0000-0000CEC50000}"/>
    <cellStyle name="输出 2 2 5 2 3 2" xfId="50639" xr:uid="{00000000-0005-0000-0000-0000CFC50000}"/>
    <cellStyle name="输出 2 2 5 3" xfId="50640" xr:uid="{00000000-0005-0000-0000-0000D0C50000}"/>
    <cellStyle name="输出 2 2 5 3 2" xfId="50641" xr:uid="{00000000-0005-0000-0000-0000D1C50000}"/>
    <cellStyle name="输出 2 2 5 3 2 2" xfId="50642" xr:uid="{00000000-0005-0000-0000-0000D2C50000}"/>
    <cellStyle name="输出 2 2 5 4" xfId="50643" xr:uid="{00000000-0005-0000-0000-0000D3C50000}"/>
    <cellStyle name="输出 2 2 5 4 2" xfId="50644" xr:uid="{00000000-0005-0000-0000-0000D4C50000}"/>
    <cellStyle name="输出 2 2 6" xfId="50645" xr:uid="{00000000-0005-0000-0000-0000D5C50000}"/>
    <cellStyle name="输出 2 2 6 2" xfId="50646" xr:uid="{00000000-0005-0000-0000-0000D6C50000}"/>
    <cellStyle name="输出 2 2 6 2 2" xfId="50647" xr:uid="{00000000-0005-0000-0000-0000D7C50000}"/>
    <cellStyle name="输出 2 2 6 2 2 2" xfId="50648" xr:uid="{00000000-0005-0000-0000-0000D8C50000}"/>
    <cellStyle name="输出 2 2 6 2 2 2 2" xfId="50649" xr:uid="{00000000-0005-0000-0000-0000D9C50000}"/>
    <cellStyle name="输出 2 2 6 2 3" xfId="50650" xr:uid="{00000000-0005-0000-0000-0000DAC50000}"/>
    <cellStyle name="输出 2 2 6 2 3 2" xfId="50651" xr:uid="{00000000-0005-0000-0000-0000DBC50000}"/>
    <cellStyle name="输出 2 2 6 3" xfId="50652" xr:uid="{00000000-0005-0000-0000-0000DCC50000}"/>
    <cellStyle name="输出 2 2 6 3 2" xfId="50653" xr:uid="{00000000-0005-0000-0000-0000DDC50000}"/>
    <cellStyle name="输出 2 2 6 3 2 2" xfId="50654" xr:uid="{00000000-0005-0000-0000-0000DEC50000}"/>
    <cellStyle name="输出 2 2 6 4" xfId="50655" xr:uid="{00000000-0005-0000-0000-0000DFC50000}"/>
    <cellStyle name="输出 2 2 6 4 2" xfId="50656" xr:uid="{00000000-0005-0000-0000-0000E0C50000}"/>
    <cellStyle name="输出 2 2 7" xfId="50657" xr:uid="{00000000-0005-0000-0000-0000E1C50000}"/>
    <cellStyle name="输出 2 2 7 2" xfId="50658" xr:uid="{00000000-0005-0000-0000-0000E2C50000}"/>
    <cellStyle name="输出 2 2 7 2 2" xfId="50659" xr:uid="{00000000-0005-0000-0000-0000E3C50000}"/>
    <cellStyle name="输出 2 2 7 2 2 2" xfId="50660" xr:uid="{00000000-0005-0000-0000-0000E4C50000}"/>
    <cellStyle name="输出 2 2 7 2 2 2 2" xfId="50661" xr:uid="{00000000-0005-0000-0000-0000E5C50000}"/>
    <cellStyle name="输出 2 2 7 2 3" xfId="50662" xr:uid="{00000000-0005-0000-0000-0000E6C50000}"/>
    <cellStyle name="输出 2 2 7 2 3 2" xfId="50663" xr:uid="{00000000-0005-0000-0000-0000E7C50000}"/>
    <cellStyle name="输出 2 2 7 3" xfId="50664" xr:uid="{00000000-0005-0000-0000-0000E8C50000}"/>
    <cellStyle name="输出 2 2 7 3 2" xfId="50665" xr:uid="{00000000-0005-0000-0000-0000E9C50000}"/>
    <cellStyle name="输出 2 2 7 3 2 2" xfId="50666" xr:uid="{00000000-0005-0000-0000-0000EAC50000}"/>
    <cellStyle name="输出 2 2 7 4" xfId="50667" xr:uid="{00000000-0005-0000-0000-0000EBC50000}"/>
    <cellStyle name="输出 2 2 7 4 2" xfId="50668" xr:uid="{00000000-0005-0000-0000-0000ECC50000}"/>
    <cellStyle name="输出 2 2 8" xfId="50669" xr:uid="{00000000-0005-0000-0000-0000EDC50000}"/>
    <cellStyle name="输出 2 2 8 2" xfId="50670" xr:uid="{00000000-0005-0000-0000-0000EEC50000}"/>
    <cellStyle name="输出 2 2 8 2 2" xfId="50671" xr:uid="{00000000-0005-0000-0000-0000EFC50000}"/>
    <cellStyle name="输出 2 2 8 2 2 2" xfId="50672" xr:uid="{00000000-0005-0000-0000-0000F0C50000}"/>
    <cellStyle name="输出 2 2 8 3" xfId="50673" xr:uid="{00000000-0005-0000-0000-0000F1C50000}"/>
    <cellStyle name="输出 2 2 8 3 2" xfId="50674" xr:uid="{00000000-0005-0000-0000-0000F2C50000}"/>
    <cellStyle name="输出 2 2 9" xfId="50675" xr:uid="{00000000-0005-0000-0000-0000F3C50000}"/>
    <cellStyle name="输出 2 2 9 2" xfId="50676" xr:uid="{00000000-0005-0000-0000-0000F4C50000}"/>
    <cellStyle name="输出 2 2 9 2 2" xfId="50677" xr:uid="{00000000-0005-0000-0000-0000F5C50000}"/>
    <cellStyle name="输出 2 2 9 2 2 2" xfId="50678" xr:uid="{00000000-0005-0000-0000-0000F6C50000}"/>
    <cellStyle name="输出 2 2 9 3" xfId="50679" xr:uid="{00000000-0005-0000-0000-0000F7C50000}"/>
    <cellStyle name="输出 2 2 9 3 2" xfId="50680" xr:uid="{00000000-0005-0000-0000-0000F8C50000}"/>
    <cellStyle name="输出 2 3" xfId="50681" xr:uid="{00000000-0005-0000-0000-0000F9C50000}"/>
    <cellStyle name="输出 2 3 2" xfId="50682" xr:uid="{00000000-0005-0000-0000-0000FAC50000}"/>
    <cellStyle name="输出 2 3 2 2" xfId="50683" xr:uid="{00000000-0005-0000-0000-0000FBC50000}"/>
    <cellStyle name="输出 2 3 2 2 2" xfId="50684" xr:uid="{00000000-0005-0000-0000-0000FCC50000}"/>
    <cellStyle name="输出 2 3 2 2 2 2" xfId="50685" xr:uid="{00000000-0005-0000-0000-0000FDC50000}"/>
    <cellStyle name="输出 2 3 2 2 2 3" xfId="50686" xr:uid="{00000000-0005-0000-0000-0000FEC50000}"/>
    <cellStyle name="输出 2 3 2 2 2 3 2" xfId="50687" xr:uid="{00000000-0005-0000-0000-0000FFC50000}"/>
    <cellStyle name="输出 2 3 2 2 2 3 2 2" xfId="50688" xr:uid="{00000000-0005-0000-0000-000000C60000}"/>
    <cellStyle name="输出 2 3 2 2 2 4" xfId="50689" xr:uid="{00000000-0005-0000-0000-000001C60000}"/>
    <cellStyle name="输出 2 3 2 2 2 4 2" xfId="50690" xr:uid="{00000000-0005-0000-0000-000002C60000}"/>
    <cellStyle name="输出 2 3 2 2 3" xfId="50691" xr:uid="{00000000-0005-0000-0000-000003C60000}"/>
    <cellStyle name="输出 2 3 2 2 3 2" xfId="50692" xr:uid="{00000000-0005-0000-0000-000004C60000}"/>
    <cellStyle name="输出 2 3 2 2 3 2 2" xfId="50693" xr:uid="{00000000-0005-0000-0000-000005C60000}"/>
    <cellStyle name="输出 2 3 2 2 3 2 2 2" xfId="50694" xr:uid="{00000000-0005-0000-0000-000006C60000}"/>
    <cellStyle name="输出 2 3 2 2 3 3" xfId="50695" xr:uid="{00000000-0005-0000-0000-000007C60000}"/>
    <cellStyle name="输出 2 3 2 2 3 3 2" xfId="50696" xr:uid="{00000000-0005-0000-0000-000008C60000}"/>
    <cellStyle name="输出 2 3 2 2 4" xfId="50697" xr:uid="{00000000-0005-0000-0000-000009C60000}"/>
    <cellStyle name="输出 2 3 2 2 5" xfId="50698" xr:uid="{00000000-0005-0000-0000-00000AC60000}"/>
    <cellStyle name="输出 2 3 2 2 6" xfId="50699" xr:uid="{00000000-0005-0000-0000-00000BC60000}"/>
    <cellStyle name="输出 2 3 2 3" xfId="50700" xr:uid="{00000000-0005-0000-0000-00000CC60000}"/>
    <cellStyle name="输出 2 3 2 3 2" xfId="50701" xr:uid="{00000000-0005-0000-0000-00000DC60000}"/>
    <cellStyle name="输出 2 3 2 3 3" xfId="50702" xr:uid="{00000000-0005-0000-0000-00000EC60000}"/>
    <cellStyle name="输出 2 3 2 3 3 2" xfId="50703" xr:uid="{00000000-0005-0000-0000-00000FC60000}"/>
    <cellStyle name="输出 2 3 2 3 3 2 2" xfId="50704" xr:uid="{00000000-0005-0000-0000-000010C60000}"/>
    <cellStyle name="输出 2 3 2 3 4" xfId="50705" xr:uid="{00000000-0005-0000-0000-000011C60000}"/>
    <cellStyle name="输出 2 3 2 3 4 2" xfId="50706" xr:uid="{00000000-0005-0000-0000-000012C60000}"/>
    <cellStyle name="输出 2 3 2 4" xfId="50707" xr:uid="{00000000-0005-0000-0000-000013C60000}"/>
    <cellStyle name="输出 2 3 2 4 2" xfId="50708" xr:uid="{00000000-0005-0000-0000-000014C60000}"/>
    <cellStyle name="输出 2 3 2 4 2 2" xfId="50709" xr:uid="{00000000-0005-0000-0000-000015C60000}"/>
    <cellStyle name="输出 2 3 2 4 2 2 2" xfId="50710" xr:uid="{00000000-0005-0000-0000-000016C60000}"/>
    <cellStyle name="输出 2 3 2 4 3" xfId="50711" xr:uid="{00000000-0005-0000-0000-000017C60000}"/>
    <cellStyle name="输出 2 3 2 4 3 2" xfId="50712" xr:uid="{00000000-0005-0000-0000-000018C60000}"/>
    <cellStyle name="输出 2 3 2 5" xfId="50713" xr:uid="{00000000-0005-0000-0000-000019C60000}"/>
    <cellStyle name="输出 2 3 2 6" xfId="50714" xr:uid="{00000000-0005-0000-0000-00001AC60000}"/>
    <cellStyle name="输出 2 3 2 7" xfId="50715" xr:uid="{00000000-0005-0000-0000-00001BC60000}"/>
    <cellStyle name="输出 2 3 3" xfId="50716" xr:uid="{00000000-0005-0000-0000-00001CC60000}"/>
    <cellStyle name="输出 2 3 3 2" xfId="50717" xr:uid="{00000000-0005-0000-0000-00001DC60000}"/>
    <cellStyle name="输出 2 3 3 2 2" xfId="50718" xr:uid="{00000000-0005-0000-0000-00001EC60000}"/>
    <cellStyle name="输出 2 3 3 2 3" xfId="50719" xr:uid="{00000000-0005-0000-0000-00001FC60000}"/>
    <cellStyle name="输出 2 3 3 2 3 2" xfId="50720" xr:uid="{00000000-0005-0000-0000-000020C60000}"/>
    <cellStyle name="输出 2 3 3 2 3 2 2" xfId="50721" xr:uid="{00000000-0005-0000-0000-000021C60000}"/>
    <cellStyle name="输出 2 3 3 2 4" xfId="50722" xr:uid="{00000000-0005-0000-0000-000022C60000}"/>
    <cellStyle name="输出 2 3 3 2 4 2" xfId="50723" xr:uid="{00000000-0005-0000-0000-000023C60000}"/>
    <cellStyle name="输出 2 3 3 3" xfId="50724" xr:uid="{00000000-0005-0000-0000-000024C60000}"/>
    <cellStyle name="输出 2 3 3 3 2" xfId="50725" xr:uid="{00000000-0005-0000-0000-000025C60000}"/>
    <cellStyle name="输出 2 3 3 3 2 2" xfId="50726" xr:uid="{00000000-0005-0000-0000-000026C60000}"/>
    <cellStyle name="输出 2 3 3 3 2 2 2" xfId="50727" xr:uid="{00000000-0005-0000-0000-000027C60000}"/>
    <cellStyle name="输出 2 3 3 3 3" xfId="50728" xr:uid="{00000000-0005-0000-0000-000028C60000}"/>
    <cellStyle name="输出 2 3 3 3 3 2" xfId="50729" xr:uid="{00000000-0005-0000-0000-000029C60000}"/>
    <cellStyle name="输出 2 3 3 4" xfId="50730" xr:uid="{00000000-0005-0000-0000-00002AC60000}"/>
    <cellStyle name="输出 2 3 3 5" xfId="50731" xr:uid="{00000000-0005-0000-0000-00002BC60000}"/>
    <cellStyle name="输出 2 3 3 6" xfId="50732" xr:uid="{00000000-0005-0000-0000-00002CC60000}"/>
    <cellStyle name="输出 2 3 4" xfId="50733" xr:uid="{00000000-0005-0000-0000-00002DC60000}"/>
    <cellStyle name="输出 2 3 4 2" xfId="50734" xr:uid="{00000000-0005-0000-0000-00002EC60000}"/>
    <cellStyle name="输出 2 3 4 2 2" xfId="50735" xr:uid="{00000000-0005-0000-0000-00002FC60000}"/>
    <cellStyle name="输出 2 3 4 2 3" xfId="50736" xr:uid="{00000000-0005-0000-0000-000030C60000}"/>
    <cellStyle name="输出 2 3 4 2 3 2" xfId="50737" xr:uid="{00000000-0005-0000-0000-000031C60000}"/>
    <cellStyle name="输出 2 3 4 2 3 2 2" xfId="50738" xr:uid="{00000000-0005-0000-0000-000032C60000}"/>
    <cellStyle name="输出 2 3 4 2 4" xfId="50739" xr:uid="{00000000-0005-0000-0000-000033C60000}"/>
    <cellStyle name="输出 2 3 4 2 4 2" xfId="50740" xr:uid="{00000000-0005-0000-0000-000034C60000}"/>
    <cellStyle name="输出 2 3 4 3" xfId="50741" xr:uid="{00000000-0005-0000-0000-000035C60000}"/>
    <cellStyle name="输出 2 3 4 4" xfId="50742" xr:uid="{00000000-0005-0000-0000-000036C60000}"/>
    <cellStyle name="输出 2 3 4 5" xfId="50743" xr:uid="{00000000-0005-0000-0000-000037C60000}"/>
    <cellStyle name="输出 2 3 4 6" xfId="50744" xr:uid="{00000000-0005-0000-0000-000038C60000}"/>
    <cellStyle name="输出 2 3 5" xfId="50745" xr:uid="{00000000-0005-0000-0000-000039C60000}"/>
    <cellStyle name="输出 2 3 5 2" xfId="50746" xr:uid="{00000000-0005-0000-0000-00003AC60000}"/>
    <cellStyle name="输出 2 3 5 2 2" xfId="50747" xr:uid="{00000000-0005-0000-0000-00003BC60000}"/>
    <cellStyle name="输出 2 3 5 2 2 2" xfId="50748" xr:uid="{00000000-0005-0000-0000-00003CC60000}"/>
    <cellStyle name="输出 2 3 5 2 2 2 2" xfId="50749" xr:uid="{00000000-0005-0000-0000-00003DC60000}"/>
    <cellStyle name="输出 2 3 5 2 3" xfId="50750" xr:uid="{00000000-0005-0000-0000-00003EC60000}"/>
    <cellStyle name="输出 2 3 5 2 3 2" xfId="50751" xr:uid="{00000000-0005-0000-0000-00003FC60000}"/>
    <cellStyle name="输出 2 3 5 3" xfId="50752" xr:uid="{00000000-0005-0000-0000-000040C60000}"/>
    <cellStyle name="输出 2 3 5 3 2" xfId="50753" xr:uid="{00000000-0005-0000-0000-000041C60000}"/>
    <cellStyle name="输出 2 3 5 3 2 2" xfId="50754" xr:uid="{00000000-0005-0000-0000-000042C60000}"/>
    <cellStyle name="输出 2 3 5 4" xfId="50755" xr:uid="{00000000-0005-0000-0000-000043C60000}"/>
    <cellStyle name="输出 2 3 5 4 2" xfId="50756" xr:uid="{00000000-0005-0000-0000-000044C60000}"/>
    <cellStyle name="输出 2 3 6" xfId="50757" xr:uid="{00000000-0005-0000-0000-000045C60000}"/>
    <cellStyle name="输出 2 3 6 2" xfId="50758" xr:uid="{00000000-0005-0000-0000-000046C60000}"/>
    <cellStyle name="输出 2 3 6 2 2" xfId="50759" xr:uid="{00000000-0005-0000-0000-000047C60000}"/>
    <cellStyle name="输出 2 3 6 2 2 2" xfId="50760" xr:uid="{00000000-0005-0000-0000-000048C60000}"/>
    <cellStyle name="输出 2 3 6 3" xfId="50761" xr:uid="{00000000-0005-0000-0000-000049C60000}"/>
    <cellStyle name="输出 2 3 6 3 2" xfId="50762" xr:uid="{00000000-0005-0000-0000-00004AC60000}"/>
    <cellStyle name="输出 2 3 7" xfId="50763" xr:uid="{00000000-0005-0000-0000-00004BC60000}"/>
    <cellStyle name="输出 2 3 7 2" xfId="50764" xr:uid="{00000000-0005-0000-0000-00004CC60000}"/>
    <cellStyle name="输出 2 3 7 2 2" xfId="50765" xr:uid="{00000000-0005-0000-0000-00004DC60000}"/>
    <cellStyle name="输出 2 3 7 2 2 2" xfId="50766" xr:uid="{00000000-0005-0000-0000-00004EC60000}"/>
    <cellStyle name="输出 2 3 7 3" xfId="50767" xr:uid="{00000000-0005-0000-0000-00004FC60000}"/>
    <cellStyle name="输出 2 3 7 3 2" xfId="50768" xr:uid="{00000000-0005-0000-0000-000050C60000}"/>
    <cellStyle name="输出 2 3 8" xfId="50769" xr:uid="{00000000-0005-0000-0000-000051C60000}"/>
    <cellStyle name="输出 2 3 9" xfId="50770" xr:uid="{00000000-0005-0000-0000-000052C60000}"/>
    <cellStyle name="输出 2 4" xfId="50771" xr:uid="{00000000-0005-0000-0000-000053C60000}"/>
    <cellStyle name="输出 2 4 2" xfId="50772" xr:uid="{00000000-0005-0000-0000-000054C60000}"/>
    <cellStyle name="输出 2 4 2 2" xfId="50773" xr:uid="{00000000-0005-0000-0000-000055C60000}"/>
    <cellStyle name="输出 2 4 2 3" xfId="50774" xr:uid="{00000000-0005-0000-0000-000056C60000}"/>
    <cellStyle name="输出 2 4 2 3 2" xfId="50775" xr:uid="{00000000-0005-0000-0000-000057C60000}"/>
    <cellStyle name="输出 2 4 2 3 2 2" xfId="50776" xr:uid="{00000000-0005-0000-0000-000058C60000}"/>
    <cellStyle name="输出 2 4 2 4" xfId="50777" xr:uid="{00000000-0005-0000-0000-000059C60000}"/>
    <cellStyle name="输出 2 4 2 4 2" xfId="50778" xr:uid="{00000000-0005-0000-0000-00005AC60000}"/>
    <cellStyle name="输出 2 4 3" xfId="50779" xr:uid="{00000000-0005-0000-0000-00005BC60000}"/>
    <cellStyle name="输出 2 4 3 2" xfId="50780" xr:uid="{00000000-0005-0000-0000-00005CC60000}"/>
    <cellStyle name="输出 2 4 3 2 2" xfId="50781" xr:uid="{00000000-0005-0000-0000-00005DC60000}"/>
    <cellStyle name="输出 2 4 3 2 2 2" xfId="50782" xr:uid="{00000000-0005-0000-0000-00005EC60000}"/>
    <cellStyle name="输出 2 4 3 3" xfId="50783" xr:uid="{00000000-0005-0000-0000-00005FC60000}"/>
    <cellStyle name="输出 2 4 3 3 2" xfId="50784" xr:uid="{00000000-0005-0000-0000-000060C60000}"/>
    <cellStyle name="输出 2 4 4" xfId="50785" xr:uid="{00000000-0005-0000-0000-000061C60000}"/>
    <cellStyle name="输出 2 4 5" xfId="50786" xr:uid="{00000000-0005-0000-0000-000062C60000}"/>
    <cellStyle name="输出 2 4 6" xfId="50787" xr:uid="{00000000-0005-0000-0000-000063C60000}"/>
    <cellStyle name="输出 2 5" xfId="50788" xr:uid="{00000000-0005-0000-0000-000064C60000}"/>
    <cellStyle name="输出 2 5 2" xfId="50789" xr:uid="{00000000-0005-0000-0000-000065C60000}"/>
    <cellStyle name="输出 2 5 2 2" xfId="50790" xr:uid="{00000000-0005-0000-0000-000066C60000}"/>
    <cellStyle name="输出 2 5 2 3" xfId="50791" xr:uid="{00000000-0005-0000-0000-000067C60000}"/>
    <cellStyle name="输出 2 5 2 3 2" xfId="50792" xr:uid="{00000000-0005-0000-0000-000068C60000}"/>
    <cellStyle name="输出 2 5 2 3 2 2" xfId="50793" xr:uid="{00000000-0005-0000-0000-000069C60000}"/>
    <cellStyle name="输出 2 5 2 4" xfId="50794" xr:uid="{00000000-0005-0000-0000-00006AC60000}"/>
    <cellStyle name="输出 2 5 2 4 2" xfId="50795" xr:uid="{00000000-0005-0000-0000-00006BC60000}"/>
    <cellStyle name="输出 2 5 3" xfId="50796" xr:uid="{00000000-0005-0000-0000-00006CC60000}"/>
    <cellStyle name="输出 2 5 4" xfId="50797" xr:uid="{00000000-0005-0000-0000-00006DC60000}"/>
    <cellStyle name="输出 2 5 5" xfId="50798" xr:uid="{00000000-0005-0000-0000-00006EC60000}"/>
    <cellStyle name="输出 2 5 6" xfId="50799" xr:uid="{00000000-0005-0000-0000-00006FC60000}"/>
    <cellStyle name="输出 2 6" xfId="50800" xr:uid="{00000000-0005-0000-0000-000070C60000}"/>
    <cellStyle name="输出 2 6 2" xfId="50801" xr:uid="{00000000-0005-0000-0000-000071C60000}"/>
    <cellStyle name="输出 2 6 2 2" xfId="50802" xr:uid="{00000000-0005-0000-0000-000072C60000}"/>
    <cellStyle name="输出 2 6 2 2 2" xfId="50803" xr:uid="{00000000-0005-0000-0000-000073C60000}"/>
    <cellStyle name="输出 2 6 2 2 2 2" xfId="50804" xr:uid="{00000000-0005-0000-0000-000074C60000}"/>
    <cellStyle name="输出 2 6 2 3" xfId="50805" xr:uid="{00000000-0005-0000-0000-000075C60000}"/>
    <cellStyle name="输出 2 6 2 3 2" xfId="50806" xr:uid="{00000000-0005-0000-0000-000076C60000}"/>
    <cellStyle name="输出 2 6 3" xfId="50807" xr:uid="{00000000-0005-0000-0000-000077C60000}"/>
    <cellStyle name="输出 2 6 3 2" xfId="50808" xr:uid="{00000000-0005-0000-0000-000078C60000}"/>
    <cellStyle name="输出 2 6 3 2 2" xfId="50809" xr:uid="{00000000-0005-0000-0000-000079C60000}"/>
    <cellStyle name="输出 2 6 4" xfId="50810" xr:uid="{00000000-0005-0000-0000-00007AC60000}"/>
    <cellStyle name="输出 2 6 4 2" xfId="50811" xr:uid="{00000000-0005-0000-0000-00007BC60000}"/>
    <cellStyle name="输出 2 7" xfId="50812" xr:uid="{00000000-0005-0000-0000-00007CC60000}"/>
    <cellStyle name="输出 2 7 2" xfId="50813" xr:uid="{00000000-0005-0000-0000-00007DC60000}"/>
    <cellStyle name="输出 2 7 2 2" xfId="50814" xr:uid="{00000000-0005-0000-0000-00007EC60000}"/>
    <cellStyle name="输出 2 7 2 2 2" xfId="50815" xr:uid="{00000000-0005-0000-0000-00007FC60000}"/>
    <cellStyle name="输出 2 7 2 2 2 2" xfId="50816" xr:uid="{00000000-0005-0000-0000-000080C60000}"/>
    <cellStyle name="输出 2 7 2 3" xfId="50817" xr:uid="{00000000-0005-0000-0000-000081C60000}"/>
    <cellStyle name="输出 2 7 2 3 2" xfId="50818" xr:uid="{00000000-0005-0000-0000-000082C60000}"/>
    <cellStyle name="输出 2 7 3" xfId="50819" xr:uid="{00000000-0005-0000-0000-000083C60000}"/>
    <cellStyle name="输出 2 7 3 2" xfId="50820" xr:uid="{00000000-0005-0000-0000-000084C60000}"/>
    <cellStyle name="输出 2 7 3 2 2" xfId="50821" xr:uid="{00000000-0005-0000-0000-000085C60000}"/>
    <cellStyle name="输出 2 7 4" xfId="50822" xr:uid="{00000000-0005-0000-0000-000086C60000}"/>
    <cellStyle name="输出 2 7 4 2" xfId="50823" xr:uid="{00000000-0005-0000-0000-000087C60000}"/>
    <cellStyle name="输出 2 8" xfId="50824" xr:uid="{00000000-0005-0000-0000-000088C60000}"/>
    <cellStyle name="输出 2 8 2" xfId="50825" xr:uid="{00000000-0005-0000-0000-000089C60000}"/>
    <cellStyle name="输出 2 8 2 2" xfId="50826" xr:uid="{00000000-0005-0000-0000-00008AC60000}"/>
    <cellStyle name="输出 2 8 2 2 2" xfId="50827" xr:uid="{00000000-0005-0000-0000-00008BC60000}"/>
    <cellStyle name="输出 2 8 2 2 2 2" xfId="50828" xr:uid="{00000000-0005-0000-0000-00008CC60000}"/>
    <cellStyle name="输出 2 8 2 3" xfId="50829" xr:uid="{00000000-0005-0000-0000-00008DC60000}"/>
    <cellStyle name="输出 2 8 2 3 2" xfId="50830" xr:uid="{00000000-0005-0000-0000-00008EC60000}"/>
    <cellStyle name="输出 2 8 3" xfId="50831" xr:uid="{00000000-0005-0000-0000-00008FC60000}"/>
    <cellStyle name="输出 2 8 3 2" xfId="50832" xr:uid="{00000000-0005-0000-0000-000090C60000}"/>
    <cellStyle name="输出 2 8 3 2 2" xfId="50833" xr:uid="{00000000-0005-0000-0000-000091C60000}"/>
    <cellStyle name="输出 2 8 4" xfId="50834" xr:uid="{00000000-0005-0000-0000-000092C60000}"/>
    <cellStyle name="输出 2 8 4 2" xfId="50835" xr:uid="{00000000-0005-0000-0000-000093C60000}"/>
    <cellStyle name="输出 2 9" xfId="50836" xr:uid="{00000000-0005-0000-0000-000094C60000}"/>
    <cellStyle name="输出 2 9 2" xfId="50837" xr:uid="{00000000-0005-0000-0000-000095C60000}"/>
    <cellStyle name="输出 2 9 2 2" xfId="50838" xr:uid="{00000000-0005-0000-0000-000096C60000}"/>
    <cellStyle name="输出 2 9 2 2 2" xfId="50839" xr:uid="{00000000-0005-0000-0000-000097C60000}"/>
    <cellStyle name="输出 2 9 3" xfId="50840" xr:uid="{00000000-0005-0000-0000-000098C60000}"/>
    <cellStyle name="输出 2 9 3 2" xfId="50841" xr:uid="{00000000-0005-0000-0000-000099C60000}"/>
    <cellStyle name="输出 3" xfId="50842" xr:uid="{00000000-0005-0000-0000-00009AC60000}"/>
    <cellStyle name="输出 3 2" xfId="50843" xr:uid="{00000000-0005-0000-0000-00009BC60000}"/>
    <cellStyle name="输出 3 2 2" xfId="50844" xr:uid="{00000000-0005-0000-0000-00009CC60000}"/>
    <cellStyle name="输出 3 2 2 2" xfId="50845" xr:uid="{00000000-0005-0000-0000-00009DC60000}"/>
    <cellStyle name="输出 3 2 2 2 2" xfId="50846" xr:uid="{00000000-0005-0000-0000-00009EC60000}"/>
    <cellStyle name="输出 3 2 2 2 3" xfId="50847" xr:uid="{00000000-0005-0000-0000-00009FC60000}"/>
    <cellStyle name="输出 3 2 2 2 3 2" xfId="50848" xr:uid="{00000000-0005-0000-0000-0000A0C60000}"/>
    <cellStyle name="输出 3 2 2 2 3 2 2" xfId="50849" xr:uid="{00000000-0005-0000-0000-0000A1C60000}"/>
    <cellStyle name="输出 3 2 2 2 4" xfId="50850" xr:uid="{00000000-0005-0000-0000-0000A2C60000}"/>
    <cellStyle name="输出 3 2 2 2 4 2" xfId="50851" xr:uid="{00000000-0005-0000-0000-0000A3C60000}"/>
    <cellStyle name="输出 3 2 2 3" xfId="50852" xr:uid="{00000000-0005-0000-0000-0000A4C60000}"/>
    <cellStyle name="输出 3 2 2 3 2" xfId="50853" xr:uid="{00000000-0005-0000-0000-0000A5C60000}"/>
    <cellStyle name="输出 3 2 2 3 2 2" xfId="50854" xr:uid="{00000000-0005-0000-0000-0000A6C60000}"/>
    <cellStyle name="输出 3 2 2 3 2 2 2" xfId="50855" xr:uid="{00000000-0005-0000-0000-0000A7C60000}"/>
    <cellStyle name="输出 3 2 2 3 3" xfId="50856" xr:uid="{00000000-0005-0000-0000-0000A8C60000}"/>
    <cellStyle name="输出 3 2 2 3 3 2" xfId="50857" xr:uid="{00000000-0005-0000-0000-0000A9C60000}"/>
    <cellStyle name="输出 3 2 2 4" xfId="50858" xr:uid="{00000000-0005-0000-0000-0000AAC60000}"/>
    <cellStyle name="输出 3 2 2 5" xfId="50859" xr:uid="{00000000-0005-0000-0000-0000ABC60000}"/>
    <cellStyle name="输出 3 2 2 6" xfId="50860" xr:uid="{00000000-0005-0000-0000-0000ACC60000}"/>
    <cellStyle name="输出 3 2 3" xfId="50861" xr:uid="{00000000-0005-0000-0000-0000ADC60000}"/>
    <cellStyle name="输出 3 2 3 2" xfId="50862" xr:uid="{00000000-0005-0000-0000-0000AEC60000}"/>
    <cellStyle name="输出 3 2 3 3" xfId="50863" xr:uid="{00000000-0005-0000-0000-0000AFC60000}"/>
    <cellStyle name="输出 3 2 3 3 2" xfId="50864" xr:uid="{00000000-0005-0000-0000-0000B0C60000}"/>
    <cellStyle name="输出 3 2 3 3 2 2" xfId="50865" xr:uid="{00000000-0005-0000-0000-0000B1C60000}"/>
    <cellStyle name="输出 3 2 3 4" xfId="50866" xr:uid="{00000000-0005-0000-0000-0000B2C60000}"/>
    <cellStyle name="输出 3 2 3 4 2" xfId="50867" xr:uid="{00000000-0005-0000-0000-0000B3C60000}"/>
    <cellStyle name="输出 3 2 4" xfId="50868" xr:uid="{00000000-0005-0000-0000-0000B4C60000}"/>
    <cellStyle name="输出 3 2 4 2" xfId="50869" xr:uid="{00000000-0005-0000-0000-0000B5C60000}"/>
    <cellStyle name="输出 3 2 4 2 2" xfId="50870" xr:uid="{00000000-0005-0000-0000-0000B6C60000}"/>
    <cellStyle name="输出 3 2 4 2 2 2" xfId="50871" xr:uid="{00000000-0005-0000-0000-0000B7C60000}"/>
    <cellStyle name="输出 3 2 4 3" xfId="50872" xr:uid="{00000000-0005-0000-0000-0000B8C60000}"/>
    <cellStyle name="输出 3 2 4 3 2" xfId="50873" xr:uid="{00000000-0005-0000-0000-0000B9C60000}"/>
    <cellStyle name="输出 3 2 5" xfId="50874" xr:uid="{00000000-0005-0000-0000-0000BAC60000}"/>
    <cellStyle name="输出 3 2 6" xfId="50875" xr:uid="{00000000-0005-0000-0000-0000BBC60000}"/>
    <cellStyle name="输出 3 2 7" xfId="50876" xr:uid="{00000000-0005-0000-0000-0000BCC60000}"/>
    <cellStyle name="输出 3 3" xfId="50877" xr:uid="{00000000-0005-0000-0000-0000BDC60000}"/>
    <cellStyle name="输出 3 3 2" xfId="50878" xr:uid="{00000000-0005-0000-0000-0000BEC60000}"/>
    <cellStyle name="输出 3 3 2 2" xfId="50879" xr:uid="{00000000-0005-0000-0000-0000BFC60000}"/>
    <cellStyle name="输出 3 3 2 3" xfId="50880" xr:uid="{00000000-0005-0000-0000-0000C0C60000}"/>
    <cellStyle name="输出 3 3 2 3 2" xfId="50881" xr:uid="{00000000-0005-0000-0000-0000C1C60000}"/>
    <cellStyle name="输出 3 3 2 3 2 2" xfId="50882" xr:uid="{00000000-0005-0000-0000-0000C2C60000}"/>
    <cellStyle name="输出 3 3 2 4" xfId="50883" xr:uid="{00000000-0005-0000-0000-0000C3C60000}"/>
    <cellStyle name="输出 3 3 2 4 2" xfId="50884" xr:uid="{00000000-0005-0000-0000-0000C4C60000}"/>
    <cellStyle name="输出 3 3 3" xfId="50885" xr:uid="{00000000-0005-0000-0000-0000C5C60000}"/>
    <cellStyle name="输出 3 3 3 2" xfId="50886" xr:uid="{00000000-0005-0000-0000-0000C6C60000}"/>
    <cellStyle name="输出 3 3 3 2 2" xfId="50887" xr:uid="{00000000-0005-0000-0000-0000C7C60000}"/>
    <cellStyle name="输出 3 3 3 2 2 2" xfId="50888" xr:uid="{00000000-0005-0000-0000-0000C8C60000}"/>
    <cellStyle name="输出 3 3 3 3" xfId="50889" xr:uid="{00000000-0005-0000-0000-0000C9C60000}"/>
    <cellStyle name="输出 3 3 3 3 2" xfId="50890" xr:uid="{00000000-0005-0000-0000-0000CAC60000}"/>
    <cellStyle name="输出 3 3 4" xfId="50891" xr:uid="{00000000-0005-0000-0000-0000CBC60000}"/>
    <cellStyle name="输出 3 3 5" xfId="50892" xr:uid="{00000000-0005-0000-0000-0000CCC60000}"/>
    <cellStyle name="输出 3 3 6" xfId="50893" xr:uid="{00000000-0005-0000-0000-0000CDC60000}"/>
    <cellStyle name="输出 3 4" xfId="50894" xr:uid="{00000000-0005-0000-0000-0000CEC60000}"/>
    <cellStyle name="输出 3 4 2" xfId="50895" xr:uid="{00000000-0005-0000-0000-0000CFC60000}"/>
    <cellStyle name="输出 3 4 2 2" xfId="50896" xr:uid="{00000000-0005-0000-0000-0000D0C60000}"/>
    <cellStyle name="输出 3 4 2 3" xfId="50897" xr:uid="{00000000-0005-0000-0000-0000D1C60000}"/>
    <cellStyle name="输出 3 4 2 3 2" xfId="50898" xr:uid="{00000000-0005-0000-0000-0000D2C60000}"/>
    <cellStyle name="输出 3 4 2 3 2 2" xfId="50899" xr:uid="{00000000-0005-0000-0000-0000D3C60000}"/>
    <cellStyle name="输出 3 4 2 4" xfId="50900" xr:uid="{00000000-0005-0000-0000-0000D4C60000}"/>
    <cellStyle name="输出 3 4 2 4 2" xfId="50901" xr:uid="{00000000-0005-0000-0000-0000D5C60000}"/>
    <cellStyle name="输出 3 4 3" xfId="50902" xr:uid="{00000000-0005-0000-0000-0000D6C60000}"/>
    <cellStyle name="输出 3 4 4" xfId="50903" xr:uid="{00000000-0005-0000-0000-0000D7C60000}"/>
    <cellStyle name="输出 3 4 5" xfId="50904" xr:uid="{00000000-0005-0000-0000-0000D8C60000}"/>
    <cellStyle name="输出 3 4 6" xfId="50905" xr:uid="{00000000-0005-0000-0000-0000D9C60000}"/>
    <cellStyle name="输出 3 5" xfId="50906" xr:uid="{00000000-0005-0000-0000-0000DAC60000}"/>
    <cellStyle name="输出 3 5 2" xfId="50907" xr:uid="{00000000-0005-0000-0000-0000DBC60000}"/>
    <cellStyle name="输出 3 5 2 2" xfId="50908" xr:uid="{00000000-0005-0000-0000-0000DCC60000}"/>
    <cellStyle name="输出 3 5 2 2 2" xfId="50909" xr:uid="{00000000-0005-0000-0000-0000DDC60000}"/>
    <cellStyle name="输出 3 5 2 2 2 2" xfId="50910" xr:uid="{00000000-0005-0000-0000-0000DEC60000}"/>
    <cellStyle name="输出 3 5 2 3" xfId="50911" xr:uid="{00000000-0005-0000-0000-0000DFC60000}"/>
    <cellStyle name="输出 3 5 2 3 2" xfId="50912" xr:uid="{00000000-0005-0000-0000-0000E0C60000}"/>
    <cellStyle name="输出 3 5 3" xfId="50913" xr:uid="{00000000-0005-0000-0000-0000E1C60000}"/>
    <cellStyle name="输出 3 5 3 2" xfId="50914" xr:uid="{00000000-0005-0000-0000-0000E2C60000}"/>
    <cellStyle name="输出 3 5 3 2 2" xfId="50915" xr:uid="{00000000-0005-0000-0000-0000E3C60000}"/>
    <cellStyle name="输出 3 5 4" xfId="50916" xr:uid="{00000000-0005-0000-0000-0000E4C60000}"/>
    <cellStyle name="输出 3 5 4 2" xfId="50917" xr:uid="{00000000-0005-0000-0000-0000E5C60000}"/>
    <cellStyle name="输出 3 6" xfId="50918" xr:uid="{00000000-0005-0000-0000-0000E6C60000}"/>
    <cellStyle name="输出 3 6 2" xfId="50919" xr:uid="{00000000-0005-0000-0000-0000E7C60000}"/>
    <cellStyle name="输出 3 6 2 2" xfId="50920" xr:uid="{00000000-0005-0000-0000-0000E8C60000}"/>
    <cellStyle name="输出 3 6 2 2 2" xfId="50921" xr:uid="{00000000-0005-0000-0000-0000E9C60000}"/>
    <cellStyle name="输出 3 6 3" xfId="50922" xr:uid="{00000000-0005-0000-0000-0000EAC60000}"/>
    <cellStyle name="输出 3 6 3 2" xfId="50923" xr:uid="{00000000-0005-0000-0000-0000EBC60000}"/>
    <cellStyle name="输出 3 7" xfId="50924" xr:uid="{00000000-0005-0000-0000-0000ECC60000}"/>
    <cellStyle name="输出 3 8" xfId="50925" xr:uid="{00000000-0005-0000-0000-0000EDC60000}"/>
    <cellStyle name="适中 2" xfId="50926" xr:uid="{00000000-0005-0000-0000-0000EEC60000}"/>
    <cellStyle name="适中 2 10" xfId="50927" xr:uid="{00000000-0005-0000-0000-0000EFC60000}"/>
    <cellStyle name="适中 2 11" xfId="50928" xr:uid="{00000000-0005-0000-0000-0000F0C60000}"/>
    <cellStyle name="适中 2 2" xfId="50929" xr:uid="{00000000-0005-0000-0000-0000F1C60000}"/>
    <cellStyle name="适中 2 2 10" xfId="50930" xr:uid="{00000000-0005-0000-0000-0000F2C60000}"/>
    <cellStyle name="适中 2 2 11" xfId="50931" xr:uid="{00000000-0005-0000-0000-0000F3C60000}"/>
    <cellStyle name="适中 2 2 2" xfId="50932" xr:uid="{00000000-0005-0000-0000-0000F4C60000}"/>
    <cellStyle name="适中 2 2 2 2" xfId="50933" xr:uid="{00000000-0005-0000-0000-0000F5C60000}"/>
    <cellStyle name="适中 2 2 2 2 2" xfId="50934" xr:uid="{00000000-0005-0000-0000-0000F6C60000}"/>
    <cellStyle name="适中 2 2 2 2 2 2" xfId="50935" xr:uid="{00000000-0005-0000-0000-0000F7C60000}"/>
    <cellStyle name="适中 2 2 2 2 2 3" xfId="50936" xr:uid="{00000000-0005-0000-0000-0000F8C60000}"/>
    <cellStyle name="适中 2 2 2 2 2 3 2" xfId="50937" xr:uid="{00000000-0005-0000-0000-0000F9C60000}"/>
    <cellStyle name="适中 2 2 2 2 2 3 2 2" xfId="50938" xr:uid="{00000000-0005-0000-0000-0000FAC60000}"/>
    <cellStyle name="适中 2 2 2 2 2 4" xfId="50939" xr:uid="{00000000-0005-0000-0000-0000FBC60000}"/>
    <cellStyle name="适中 2 2 2 2 2 4 2" xfId="50940" xr:uid="{00000000-0005-0000-0000-0000FCC60000}"/>
    <cellStyle name="适中 2 2 2 2 3" xfId="50941" xr:uid="{00000000-0005-0000-0000-0000FDC60000}"/>
    <cellStyle name="适中 2 2 2 2 3 2" xfId="50942" xr:uid="{00000000-0005-0000-0000-0000FEC60000}"/>
    <cellStyle name="适中 2 2 2 2 3 2 2" xfId="50943" xr:uid="{00000000-0005-0000-0000-0000FFC60000}"/>
    <cellStyle name="适中 2 2 2 2 3 2 2 2" xfId="50944" xr:uid="{00000000-0005-0000-0000-000000C70000}"/>
    <cellStyle name="适中 2 2 2 2 3 3" xfId="50945" xr:uid="{00000000-0005-0000-0000-000001C70000}"/>
    <cellStyle name="适中 2 2 2 2 3 3 2" xfId="50946" xr:uid="{00000000-0005-0000-0000-000002C70000}"/>
    <cellStyle name="适中 2 2 2 2 4" xfId="50947" xr:uid="{00000000-0005-0000-0000-000003C70000}"/>
    <cellStyle name="适中 2 2 2 2 5" xfId="50948" xr:uid="{00000000-0005-0000-0000-000004C70000}"/>
    <cellStyle name="适中 2 2 2 2 6" xfId="50949" xr:uid="{00000000-0005-0000-0000-000005C70000}"/>
    <cellStyle name="适中 2 2 2 3" xfId="50950" xr:uid="{00000000-0005-0000-0000-000006C70000}"/>
    <cellStyle name="适中 2 2 2 3 2" xfId="50951" xr:uid="{00000000-0005-0000-0000-000007C70000}"/>
    <cellStyle name="适中 2 2 2 3 3" xfId="50952" xr:uid="{00000000-0005-0000-0000-000008C70000}"/>
    <cellStyle name="适中 2 2 2 3 3 2" xfId="50953" xr:uid="{00000000-0005-0000-0000-000009C70000}"/>
    <cellStyle name="适中 2 2 2 3 3 2 2" xfId="50954" xr:uid="{00000000-0005-0000-0000-00000AC70000}"/>
    <cellStyle name="适中 2 2 2 3 4" xfId="50955" xr:uid="{00000000-0005-0000-0000-00000BC70000}"/>
    <cellStyle name="适中 2 2 2 3 4 2" xfId="50956" xr:uid="{00000000-0005-0000-0000-00000CC70000}"/>
    <cellStyle name="适中 2 2 2 4" xfId="50957" xr:uid="{00000000-0005-0000-0000-00000DC70000}"/>
    <cellStyle name="适中 2 2 2 4 2" xfId="50958" xr:uid="{00000000-0005-0000-0000-00000EC70000}"/>
    <cellStyle name="适中 2 2 2 4 2 2" xfId="50959" xr:uid="{00000000-0005-0000-0000-00000FC70000}"/>
    <cellStyle name="适中 2 2 2 4 2 2 2" xfId="50960" xr:uid="{00000000-0005-0000-0000-000010C70000}"/>
    <cellStyle name="适中 2 2 2 4 3" xfId="50961" xr:uid="{00000000-0005-0000-0000-000011C70000}"/>
    <cellStyle name="适中 2 2 2 4 3 2" xfId="50962" xr:uid="{00000000-0005-0000-0000-000012C70000}"/>
    <cellStyle name="适中 2 2 2 5" xfId="50963" xr:uid="{00000000-0005-0000-0000-000013C70000}"/>
    <cellStyle name="适中 2 2 2 6" xfId="50964" xr:uid="{00000000-0005-0000-0000-000014C70000}"/>
    <cellStyle name="适中 2 2 2 7" xfId="50965" xr:uid="{00000000-0005-0000-0000-000015C70000}"/>
    <cellStyle name="适中 2 2 3" xfId="50966" xr:uid="{00000000-0005-0000-0000-000016C70000}"/>
    <cellStyle name="适中 2 2 3 2" xfId="50967" xr:uid="{00000000-0005-0000-0000-000017C70000}"/>
    <cellStyle name="适中 2 2 3 2 2" xfId="50968" xr:uid="{00000000-0005-0000-0000-000018C70000}"/>
    <cellStyle name="适中 2 2 3 2 3" xfId="50969" xr:uid="{00000000-0005-0000-0000-000019C70000}"/>
    <cellStyle name="适中 2 2 3 2 3 2" xfId="50970" xr:uid="{00000000-0005-0000-0000-00001AC70000}"/>
    <cellStyle name="适中 2 2 3 2 3 2 2" xfId="50971" xr:uid="{00000000-0005-0000-0000-00001BC70000}"/>
    <cellStyle name="适中 2 2 3 2 4" xfId="50972" xr:uid="{00000000-0005-0000-0000-00001CC70000}"/>
    <cellStyle name="适中 2 2 3 2 4 2" xfId="50973" xr:uid="{00000000-0005-0000-0000-00001DC70000}"/>
    <cellStyle name="适中 2 2 3 3" xfId="50974" xr:uid="{00000000-0005-0000-0000-00001EC70000}"/>
    <cellStyle name="适中 2 2 3 3 2" xfId="50975" xr:uid="{00000000-0005-0000-0000-00001FC70000}"/>
    <cellStyle name="适中 2 2 3 3 2 2" xfId="50976" xr:uid="{00000000-0005-0000-0000-000020C70000}"/>
    <cellStyle name="适中 2 2 3 3 2 2 2" xfId="50977" xr:uid="{00000000-0005-0000-0000-000021C70000}"/>
    <cellStyle name="适中 2 2 3 3 3" xfId="50978" xr:uid="{00000000-0005-0000-0000-000022C70000}"/>
    <cellStyle name="适中 2 2 3 3 3 2" xfId="50979" xr:uid="{00000000-0005-0000-0000-000023C70000}"/>
    <cellStyle name="适中 2 2 3 4" xfId="50980" xr:uid="{00000000-0005-0000-0000-000024C70000}"/>
    <cellStyle name="适中 2 2 3 5" xfId="50981" xr:uid="{00000000-0005-0000-0000-000025C70000}"/>
    <cellStyle name="适中 2 2 3 6" xfId="50982" xr:uid="{00000000-0005-0000-0000-000026C70000}"/>
    <cellStyle name="适中 2 2 4" xfId="50983" xr:uid="{00000000-0005-0000-0000-000027C70000}"/>
    <cellStyle name="适中 2 2 4 2" xfId="50984" xr:uid="{00000000-0005-0000-0000-000028C70000}"/>
    <cellStyle name="适中 2 2 4 2 2" xfId="50985" xr:uid="{00000000-0005-0000-0000-000029C70000}"/>
    <cellStyle name="适中 2 2 4 2 3" xfId="50986" xr:uid="{00000000-0005-0000-0000-00002AC70000}"/>
    <cellStyle name="适中 2 2 4 2 3 2" xfId="50987" xr:uid="{00000000-0005-0000-0000-00002BC70000}"/>
    <cellStyle name="适中 2 2 4 2 3 2 2" xfId="50988" xr:uid="{00000000-0005-0000-0000-00002CC70000}"/>
    <cellStyle name="适中 2 2 4 2 4" xfId="50989" xr:uid="{00000000-0005-0000-0000-00002DC70000}"/>
    <cellStyle name="适中 2 2 4 2 4 2" xfId="50990" xr:uid="{00000000-0005-0000-0000-00002EC70000}"/>
    <cellStyle name="适中 2 2 4 3" xfId="50991" xr:uid="{00000000-0005-0000-0000-00002FC70000}"/>
    <cellStyle name="适中 2 2 4 4" xfId="50992" xr:uid="{00000000-0005-0000-0000-000030C70000}"/>
    <cellStyle name="适中 2 2 4 5" xfId="50993" xr:uid="{00000000-0005-0000-0000-000031C70000}"/>
    <cellStyle name="适中 2 2 4 6" xfId="50994" xr:uid="{00000000-0005-0000-0000-000032C70000}"/>
    <cellStyle name="适中 2 2 5" xfId="50995" xr:uid="{00000000-0005-0000-0000-000033C70000}"/>
    <cellStyle name="适中 2 2 5 2" xfId="50996" xr:uid="{00000000-0005-0000-0000-000034C70000}"/>
    <cellStyle name="适中 2 2 5 2 2" xfId="50997" xr:uid="{00000000-0005-0000-0000-000035C70000}"/>
    <cellStyle name="适中 2 2 5 2 2 2" xfId="50998" xr:uid="{00000000-0005-0000-0000-000036C70000}"/>
    <cellStyle name="适中 2 2 5 2 2 2 2" xfId="50999" xr:uid="{00000000-0005-0000-0000-000037C70000}"/>
    <cellStyle name="适中 2 2 5 2 3" xfId="51000" xr:uid="{00000000-0005-0000-0000-000038C70000}"/>
    <cellStyle name="适中 2 2 5 2 3 2" xfId="51001" xr:uid="{00000000-0005-0000-0000-000039C70000}"/>
    <cellStyle name="适中 2 2 5 3" xfId="51002" xr:uid="{00000000-0005-0000-0000-00003AC70000}"/>
    <cellStyle name="适中 2 2 5 3 2" xfId="51003" xr:uid="{00000000-0005-0000-0000-00003BC70000}"/>
    <cellStyle name="适中 2 2 5 3 2 2" xfId="51004" xr:uid="{00000000-0005-0000-0000-00003CC70000}"/>
    <cellStyle name="适中 2 2 5 4" xfId="51005" xr:uid="{00000000-0005-0000-0000-00003DC70000}"/>
    <cellStyle name="适中 2 2 5 4 2" xfId="51006" xr:uid="{00000000-0005-0000-0000-00003EC70000}"/>
    <cellStyle name="适中 2 2 6" xfId="51007" xr:uid="{00000000-0005-0000-0000-00003FC70000}"/>
    <cellStyle name="适中 2 2 6 2" xfId="51008" xr:uid="{00000000-0005-0000-0000-000040C70000}"/>
    <cellStyle name="适中 2 2 6 2 2" xfId="51009" xr:uid="{00000000-0005-0000-0000-000041C70000}"/>
    <cellStyle name="适中 2 2 6 2 2 2" xfId="51010" xr:uid="{00000000-0005-0000-0000-000042C70000}"/>
    <cellStyle name="适中 2 2 6 2 2 2 2" xfId="51011" xr:uid="{00000000-0005-0000-0000-000043C70000}"/>
    <cellStyle name="适中 2 2 6 2 3" xfId="51012" xr:uid="{00000000-0005-0000-0000-000044C70000}"/>
    <cellStyle name="适中 2 2 6 2 3 2" xfId="51013" xr:uid="{00000000-0005-0000-0000-000045C70000}"/>
    <cellStyle name="适中 2 2 6 3" xfId="51014" xr:uid="{00000000-0005-0000-0000-000046C70000}"/>
    <cellStyle name="适中 2 2 6 3 2" xfId="51015" xr:uid="{00000000-0005-0000-0000-000047C70000}"/>
    <cellStyle name="适中 2 2 6 3 2 2" xfId="51016" xr:uid="{00000000-0005-0000-0000-000048C70000}"/>
    <cellStyle name="适中 2 2 6 4" xfId="51017" xr:uid="{00000000-0005-0000-0000-000049C70000}"/>
    <cellStyle name="适中 2 2 6 4 2" xfId="51018" xr:uid="{00000000-0005-0000-0000-00004AC70000}"/>
    <cellStyle name="适中 2 2 7" xfId="51019" xr:uid="{00000000-0005-0000-0000-00004BC70000}"/>
    <cellStyle name="适中 2 2 7 2" xfId="51020" xr:uid="{00000000-0005-0000-0000-00004CC70000}"/>
    <cellStyle name="适中 2 2 7 2 2" xfId="51021" xr:uid="{00000000-0005-0000-0000-00004DC70000}"/>
    <cellStyle name="适中 2 2 7 2 2 2" xfId="51022" xr:uid="{00000000-0005-0000-0000-00004EC70000}"/>
    <cellStyle name="适中 2 2 7 2 2 2 2" xfId="51023" xr:uid="{00000000-0005-0000-0000-00004FC70000}"/>
    <cellStyle name="适中 2 2 7 2 3" xfId="51024" xr:uid="{00000000-0005-0000-0000-000050C70000}"/>
    <cellStyle name="适中 2 2 7 2 3 2" xfId="51025" xr:uid="{00000000-0005-0000-0000-000051C70000}"/>
    <cellStyle name="适中 2 2 7 3" xfId="51026" xr:uid="{00000000-0005-0000-0000-000052C70000}"/>
    <cellStyle name="适中 2 2 7 3 2" xfId="51027" xr:uid="{00000000-0005-0000-0000-000053C70000}"/>
    <cellStyle name="适中 2 2 7 3 2 2" xfId="51028" xr:uid="{00000000-0005-0000-0000-000054C70000}"/>
    <cellStyle name="适中 2 2 7 4" xfId="51029" xr:uid="{00000000-0005-0000-0000-000055C70000}"/>
    <cellStyle name="适中 2 2 7 4 2" xfId="51030" xr:uid="{00000000-0005-0000-0000-000056C70000}"/>
    <cellStyle name="适中 2 2 8" xfId="51031" xr:uid="{00000000-0005-0000-0000-000057C70000}"/>
    <cellStyle name="适中 2 2 8 2" xfId="51032" xr:uid="{00000000-0005-0000-0000-000058C70000}"/>
    <cellStyle name="适中 2 2 8 2 2" xfId="51033" xr:uid="{00000000-0005-0000-0000-000059C70000}"/>
    <cellStyle name="适中 2 2 8 2 2 2" xfId="51034" xr:uid="{00000000-0005-0000-0000-00005AC70000}"/>
    <cellStyle name="适中 2 2 8 3" xfId="51035" xr:uid="{00000000-0005-0000-0000-00005BC70000}"/>
    <cellStyle name="适中 2 2 8 3 2" xfId="51036" xr:uid="{00000000-0005-0000-0000-00005CC70000}"/>
    <cellStyle name="适中 2 2 9" xfId="51037" xr:uid="{00000000-0005-0000-0000-00005DC70000}"/>
    <cellStyle name="适中 2 2 9 2" xfId="51038" xr:uid="{00000000-0005-0000-0000-00005EC70000}"/>
    <cellStyle name="适中 2 2 9 2 2" xfId="51039" xr:uid="{00000000-0005-0000-0000-00005FC70000}"/>
    <cellStyle name="适中 2 2 9 2 2 2" xfId="51040" xr:uid="{00000000-0005-0000-0000-000060C70000}"/>
    <cellStyle name="适中 2 2 9 3" xfId="51041" xr:uid="{00000000-0005-0000-0000-000061C70000}"/>
    <cellStyle name="适中 2 2 9 3 2" xfId="51042" xr:uid="{00000000-0005-0000-0000-000062C70000}"/>
    <cellStyle name="适中 2 3" xfId="51043" xr:uid="{00000000-0005-0000-0000-000063C70000}"/>
    <cellStyle name="适中 2 3 2" xfId="51044" xr:uid="{00000000-0005-0000-0000-000064C70000}"/>
    <cellStyle name="适中 2 3 2 2" xfId="51045" xr:uid="{00000000-0005-0000-0000-000065C70000}"/>
    <cellStyle name="适中 2 3 2 2 2" xfId="51046" xr:uid="{00000000-0005-0000-0000-000066C70000}"/>
    <cellStyle name="适中 2 3 2 2 2 2" xfId="51047" xr:uid="{00000000-0005-0000-0000-000067C70000}"/>
    <cellStyle name="适中 2 3 2 2 2 3" xfId="51048" xr:uid="{00000000-0005-0000-0000-000068C70000}"/>
    <cellStyle name="适中 2 3 2 2 2 3 2" xfId="51049" xr:uid="{00000000-0005-0000-0000-000069C70000}"/>
    <cellStyle name="适中 2 3 2 2 2 3 2 2" xfId="51050" xr:uid="{00000000-0005-0000-0000-00006AC70000}"/>
    <cellStyle name="适中 2 3 2 2 2 4" xfId="51051" xr:uid="{00000000-0005-0000-0000-00006BC70000}"/>
    <cellStyle name="适中 2 3 2 2 2 4 2" xfId="51052" xr:uid="{00000000-0005-0000-0000-00006CC70000}"/>
    <cellStyle name="适中 2 3 2 2 3" xfId="51053" xr:uid="{00000000-0005-0000-0000-00006DC70000}"/>
    <cellStyle name="适中 2 3 2 2 3 2" xfId="51054" xr:uid="{00000000-0005-0000-0000-00006EC70000}"/>
    <cellStyle name="适中 2 3 2 2 3 2 2" xfId="51055" xr:uid="{00000000-0005-0000-0000-00006FC70000}"/>
    <cellStyle name="适中 2 3 2 2 3 2 2 2" xfId="51056" xr:uid="{00000000-0005-0000-0000-000070C70000}"/>
    <cellStyle name="适中 2 3 2 2 3 3" xfId="51057" xr:uid="{00000000-0005-0000-0000-000071C70000}"/>
    <cellStyle name="适中 2 3 2 2 3 3 2" xfId="51058" xr:uid="{00000000-0005-0000-0000-000072C70000}"/>
    <cellStyle name="适中 2 3 2 2 4" xfId="51059" xr:uid="{00000000-0005-0000-0000-000073C70000}"/>
    <cellStyle name="适中 2 3 2 2 5" xfId="51060" xr:uid="{00000000-0005-0000-0000-000074C70000}"/>
    <cellStyle name="适中 2 3 2 2 6" xfId="51061" xr:uid="{00000000-0005-0000-0000-000075C70000}"/>
    <cellStyle name="适中 2 3 2 3" xfId="51062" xr:uid="{00000000-0005-0000-0000-000076C70000}"/>
    <cellStyle name="适中 2 3 2 3 2" xfId="51063" xr:uid="{00000000-0005-0000-0000-000077C70000}"/>
    <cellStyle name="适中 2 3 2 3 3" xfId="51064" xr:uid="{00000000-0005-0000-0000-000078C70000}"/>
    <cellStyle name="适中 2 3 2 3 3 2" xfId="51065" xr:uid="{00000000-0005-0000-0000-000079C70000}"/>
    <cellStyle name="适中 2 3 2 3 3 2 2" xfId="51066" xr:uid="{00000000-0005-0000-0000-00007AC70000}"/>
    <cellStyle name="适中 2 3 2 3 4" xfId="51067" xr:uid="{00000000-0005-0000-0000-00007BC70000}"/>
    <cellStyle name="适中 2 3 2 3 4 2" xfId="51068" xr:uid="{00000000-0005-0000-0000-00007CC70000}"/>
    <cellStyle name="适中 2 3 2 4" xfId="51069" xr:uid="{00000000-0005-0000-0000-00007DC70000}"/>
    <cellStyle name="适中 2 3 2 4 2" xfId="51070" xr:uid="{00000000-0005-0000-0000-00007EC70000}"/>
    <cellStyle name="适中 2 3 2 4 2 2" xfId="51071" xr:uid="{00000000-0005-0000-0000-00007FC70000}"/>
    <cellStyle name="适中 2 3 2 4 2 2 2" xfId="51072" xr:uid="{00000000-0005-0000-0000-000080C70000}"/>
    <cellStyle name="适中 2 3 2 4 3" xfId="51073" xr:uid="{00000000-0005-0000-0000-000081C70000}"/>
    <cellStyle name="适中 2 3 2 4 3 2" xfId="51074" xr:uid="{00000000-0005-0000-0000-000082C70000}"/>
    <cellStyle name="适中 2 3 2 5" xfId="51075" xr:uid="{00000000-0005-0000-0000-000083C70000}"/>
    <cellStyle name="适中 2 3 2 6" xfId="51076" xr:uid="{00000000-0005-0000-0000-000084C70000}"/>
    <cellStyle name="适中 2 3 2 7" xfId="51077" xr:uid="{00000000-0005-0000-0000-000085C70000}"/>
    <cellStyle name="适中 2 3 3" xfId="51078" xr:uid="{00000000-0005-0000-0000-000086C70000}"/>
    <cellStyle name="适中 2 3 3 2" xfId="51079" xr:uid="{00000000-0005-0000-0000-000087C70000}"/>
    <cellStyle name="适中 2 3 3 2 2" xfId="51080" xr:uid="{00000000-0005-0000-0000-000088C70000}"/>
    <cellStyle name="适中 2 3 3 2 3" xfId="51081" xr:uid="{00000000-0005-0000-0000-000089C70000}"/>
    <cellStyle name="适中 2 3 3 2 3 2" xfId="51082" xr:uid="{00000000-0005-0000-0000-00008AC70000}"/>
    <cellStyle name="适中 2 3 3 2 3 2 2" xfId="51083" xr:uid="{00000000-0005-0000-0000-00008BC70000}"/>
    <cellStyle name="适中 2 3 3 2 4" xfId="51084" xr:uid="{00000000-0005-0000-0000-00008CC70000}"/>
    <cellStyle name="适中 2 3 3 2 4 2" xfId="51085" xr:uid="{00000000-0005-0000-0000-00008DC70000}"/>
    <cellStyle name="适中 2 3 3 3" xfId="51086" xr:uid="{00000000-0005-0000-0000-00008EC70000}"/>
    <cellStyle name="适中 2 3 3 3 2" xfId="51087" xr:uid="{00000000-0005-0000-0000-00008FC70000}"/>
    <cellStyle name="适中 2 3 3 3 2 2" xfId="51088" xr:uid="{00000000-0005-0000-0000-000090C70000}"/>
    <cellStyle name="适中 2 3 3 3 2 2 2" xfId="51089" xr:uid="{00000000-0005-0000-0000-000091C70000}"/>
    <cellStyle name="适中 2 3 3 3 3" xfId="51090" xr:uid="{00000000-0005-0000-0000-000092C70000}"/>
    <cellStyle name="适中 2 3 3 3 3 2" xfId="51091" xr:uid="{00000000-0005-0000-0000-000093C70000}"/>
    <cellStyle name="适中 2 3 3 4" xfId="51092" xr:uid="{00000000-0005-0000-0000-000094C70000}"/>
    <cellStyle name="适中 2 3 3 5" xfId="51093" xr:uid="{00000000-0005-0000-0000-000095C70000}"/>
    <cellStyle name="适中 2 3 3 6" xfId="51094" xr:uid="{00000000-0005-0000-0000-000096C70000}"/>
    <cellStyle name="适中 2 3 4" xfId="51095" xr:uid="{00000000-0005-0000-0000-000097C70000}"/>
    <cellStyle name="适中 2 3 4 2" xfId="51096" xr:uid="{00000000-0005-0000-0000-000098C70000}"/>
    <cellStyle name="适中 2 3 4 2 2" xfId="51097" xr:uid="{00000000-0005-0000-0000-000099C70000}"/>
    <cellStyle name="适中 2 3 4 2 3" xfId="51098" xr:uid="{00000000-0005-0000-0000-00009AC70000}"/>
    <cellStyle name="适中 2 3 4 2 3 2" xfId="51099" xr:uid="{00000000-0005-0000-0000-00009BC70000}"/>
    <cellStyle name="适中 2 3 4 2 3 2 2" xfId="51100" xr:uid="{00000000-0005-0000-0000-00009CC70000}"/>
    <cellStyle name="适中 2 3 4 2 4" xfId="51101" xr:uid="{00000000-0005-0000-0000-00009DC70000}"/>
    <cellStyle name="适中 2 3 4 2 4 2" xfId="51102" xr:uid="{00000000-0005-0000-0000-00009EC70000}"/>
    <cellStyle name="适中 2 3 4 3" xfId="51103" xr:uid="{00000000-0005-0000-0000-00009FC70000}"/>
    <cellStyle name="适中 2 3 4 4" xfId="51104" xr:uid="{00000000-0005-0000-0000-0000A0C70000}"/>
    <cellStyle name="适中 2 3 4 5" xfId="51105" xr:uid="{00000000-0005-0000-0000-0000A1C70000}"/>
    <cellStyle name="适中 2 3 4 6" xfId="51106" xr:uid="{00000000-0005-0000-0000-0000A2C70000}"/>
    <cellStyle name="适中 2 3 5" xfId="51107" xr:uid="{00000000-0005-0000-0000-0000A3C70000}"/>
    <cellStyle name="适中 2 3 5 2" xfId="51108" xr:uid="{00000000-0005-0000-0000-0000A4C70000}"/>
    <cellStyle name="适中 2 3 5 2 2" xfId="51109" xr:uid="{00000000-0005-0000-0000-0000A5C70000}"/>
    <cellStyle name="适中 2 3 5 2 2 2" xfId="51110" xr:uid="{00000000-0005-0000-0000-0000A6C70000}"/>
    <cellStyle name="适中 2 3 5 2 2 2 2" xfId="51111" xr:uid="{00000000-0005-0000-0000-0000A7C70000}"/>
    <cellStyle name="适中 2 3 5 2 3" xfId="51112" xr:uid="{00000000-0005-0000-0000-0000A8C70000}"/>
    <cellStyle name="适中 2 3 5 2 3 2" xfId="51113" xr:uid="{00000000-0005-0000-0000-0000A9C70000}"/>
    <cellStyle name="适中 2 3 5 3" xfId="51114" xr:uid="{00000000-0005-0000-0000-0000AAC70000}"/>
    <cellStyle name="适中 2 3 5 3 2" xfId="51115" xr:uid="{00000000-0005-0000-0000-0000ABC70000}"/>
    <cellStyle name="适中 2 3 5 3 2 2" xfId="51116" xr:uid="{00000000-0005-0000-0000-0000ACC70000}"/>
    <cellStyle name="适中 2 3 5 4" xfId="51117" xr:uid="{00000000-0005-0000-0000-0000ADC70000}"/>
    <cellStyle name="适中 2 3 5 4 2" xfId="51118" xr:uid="{00000000-0005-0000-0000-0000AEC70000}"/>
    <cellStyle name="适中 2 3 6" xfId="51119" xr:uid="{00000000-0005-0000-0000-0000AFC70000}"/>
    <cellStyle name="适中 2 3 6 2" xfId="51120" xr:uid="{00000000-0005-0000-0000-0000B0C70000}"/>
    <cellStyle name="适中 2 3 6 2 2" xfId="51121" xr:uid="{00000000-0005-0000-0000-0000B1C70000}"/>
    <cellStyle name="适中 2 3 6 2 2 2" xfId="51122" xr:uid="{00000000-0005-0000-0000-0000B2C70000}"/>
    <cellStyle name="适中 2 3 6 3" xfId="51123" xr:uid="{00000000-0005-0000-0000-0000B3C70000}"/>
    <cellStyle name="适中 2 3 6 3 2" xfId="51124" xr:uid="{00000000-0005-0000-0000-0000B4C70000}"/>
    <cellStyle name="适中 2 3 7" xfId="51125" xr:uid="{00000000-0005-0000-0000-0000B5C70000}"/>
    <cellStyle name="适中 2 3 7 2" xfId="51126" xr:uid="{00000000-0005-0000-0000-0000B6C70000}"/>
    <cellStyle name="适中 2 3 7 2 2" xfId="51127" xr:uid="{00000000-0005-0000-0000-0000B7C70000}"/>
    <cellStyle name="适中 2 3 7 2 2 2" xfId="51128" xr:uid="{00000000-0005-0000-0000-0000B8C70000}"/>
    <cellStyle name="适中 2 3 7 3" xfId="51129" xr:uid="{00000000-0005-0000-0000-0000B9C70000}"/>
    <cellStyle name="适中 2 3 7 3 2" xfId="51130" xr:uid="{00000000-0005-0000-0000-0000BAC70000}"/>
    <cellStyle name="适中 2 3 8" xfId="51131" xr:uid="{00000000-0005-0000-0000-0000BBC70000}"/>
    <cellStyle name="适中 2 3 9" xfId="51132" xr:uid="{00000000-0005-0000-0000-0000BCC70000}"/>
    <cellStyle name="适中 2 4" xfId="51133" xr:uid="{00000000-0005-0000-0000-0000BDC70000}"/>
    <cellStyle name="适中 2 4 2" xfId="51134" xr:uid="{00000000-0005-0000-0000-0000BEC70000}"/>
    <cellStyle name="适中 2 4 2 2" xfId="51135" xr:uid="{00000000-0005-0000-0000-0000BFC70000}"/>
    <cellStyle name="适中 2 4 2 3" xfId="51136" xr:uid="{00000000-0005-0000-0000-0000C0C70000}"/>
    <cellStyle name="适中 2 4 2 3 2" xfId="51137" xr:uid="{00000000-0005-0000-0000-0000C1C70000}"/>
    <cellStyle name="适中 2 4 2 3 2 2" xfId="51138" xr:uid="{00000000-0005-0000-0000-0000C2C70000}"/>
    <cellStyle name="适中 2 4 2 4" xfId="51139" xr:uid="{00000000-0005-0000-0000-0000C3C70000}"/>
    <cellStyle name="适中 2 4 2 4 2" xfId="51140" xr:uid="{00000000-0005-0000-0000-0000C4C70000}"/>
    <cellStyle name="适中 2 4 3" xfId="51141" xr:uid="{00000000-0005-0000-0000-0000C5C70000}"/>
    <cellStyle name="适中 2 4 3 2" xfId="51142" xr:uid="{00000000-0005-0000-0000-0000C6C70000}"/>
    <cellStyle name="适中 2 4 3 2 2" xfId="51143" xr:uid="{00000000-0005-0000-0000-0000C7C70000}"/>
    <cellStyle name="适中 2 4 3 2 2 2" xfId="51144" xr:uid="{00000000-0005-0000-0000-0000C8C70000}"/>
    <cellStyle name="适中 2 4 3 3" xfId="51145" xr:uid="{00000000-0005-0000-0000-0000C9C70000}"/>
    <cellStyle name="适中 2 4 3 3 2" xfId="51146" xr:uid="{00000000-0005-0000-0000-0000CAC70000}"/>
    <cellStyle name="适中 2 4 4" xfId="51147" xr:uid="{00000000-0005-0000-0000-0000CBC70000}"/>
    <cellStyle name="适中 2 4 5" xfId="51148" xr:uid="{00000000-0005-0000-0000-0000CCC70000}"/>
    <cellStyle name="适中 2 4 6" xfId="51149" xr:uid="{00000000-0005-0000-0000-0000CDC70000}"/>
    <cellStyle name="适中 2 5" xfId="51150" xr:uid="{00000000-0005-0000-0000-0000CEC70000}"/>
    <cellStyle name="适中 2 5 2" xfId="51151" xr:uid="{00000000-0005-0000-0000-0000CFC70000}"/>
    <cellStyle name="适中 2 5 2 2" xfId="51152" xr:uid="{00000000-0005-0000-0000-0000D0C70000}"/>
    <cellStyle name="适中 2 5 2 3" xfId="51153" xr:uid="{00000000-0005-0000-0000-0000D1C70000}"/>
    <cellStyle name="适中 2 5 2 3 2" xfId="51154" xr:uid="{00000000-0005-0000-0000-0000D2C70000}"/>
    <cellStyle name="适中 2 5 2 3 2 2" xfId="51155" xr:uid="{00000000-0005-0000-0000-0000D3C70000}"/>
    <cellStyle name="适中 2 5 2 4" xfId="51156" xr:uid="{00000000-0005-0000-0000-0000D4C70000}"/>
    <cellStyle name="适中 2 5 2 4 2" xfId="51157" xr:uid="{00000000-0005-0000-0000-0000D5C70000}"/>
    <cellStyle name="适中 2 5 3" xfId="51158" xr:uid="{00000000-0005-0000-0000-0000D6C70000}"/>
    <cellStyle name="适中 2 5 4" xfId="51159" xr:uid="{00000000-0005-0000-0000-0000D7C70000}"/>
    <cellStyle name="适中 2 5 5" xfId="51160" xr:uid="{00000000-0005-0000-0000-0000D8C70000}"/>
    <cellStyle name="适中 2 5 6" xfId="51161" xr:uid="{00000000-0005-0000-0000-0000D9C70000}"/>
    <cellStyle name="适中 2 6" xfId="51162" xr:uid="{00000000-0005-0000-0000-0000DAC70000}"/>
    <cellStyle name="适中 2 6 2" xfId="51163" xr:uid="{00000000-0005-0000-0000-0000DBC70000}"/>
    <cellStyle name="适中 2 6 2 2" xfId="51164" xr:uid="{00000000-0005-0000-0000-0000DCC70000}"/>
    <cellStyle name="适中 2 6 2 2 2" xfId="51165" xr:uid="{00000000-0005-0000-0000-0000DDC70000}"/>
    <cellStyle name="适中 2 6 2 2 2 2" xfId="51166" xr:uid="{00000000-0005-0000-0000-0000DEC70000}"/>
    <cellStyle name="适中 2 6 2 3" xfId="51167" xr:uid="{00000000-0005-0000-0000-0000DFC70000}"/>
    <cellStyle name="适中 2 6 2 3 2" xfId="51168" xr:uid="{00000000-0005-0000-0000-0000E0C70000}"/>
    <cellStyle name="适中 2 6 3" xfId="51169" xr:uid="{00000000-0005-0000-0000-0000E1C70000}"/>
    <cellStyle name="适中 2 6 3 2" xfId="51170" xr:uid="{00000000-0005-0000-0000-0000E2C70000}"/>
    <cellStyle name="适中 2 6 3 2 2" xfId="51171" xr:uid="{00000000-0005-0000-0000-0000E3C70000}"/>
    <cellStyle name="适中 2 6 4" xfId="51172" xr:uid="{00000000-0005-0000-0000-0000E4C70000}"/>
    <cellStyle name="适中 2 6 4 2" xfId="51173" xr:uid="{00000000-0005-0000-0000-0000E5C70000}"/>
    <cellStyle name="适中 2 7" xfId="51174" xr:uid="{00000000-0005-0000-0000-0000E6C70000}"/>
    <cellStyle name="适中 2 7 2" xfId="51175" xr:uid="{00000000-0005-0000-0000-0000E7C70000}"/>
    <cellStyle name="适中 2 7 2 2" xfId="51176" xr:uid="{00000000-0005-0000-0000-0000E8C70000}"/>
    <cellStyle name="适中 2 7 2 2 2" xfId="51177" xr:uid="{00000000-0005-0000-0000-0000E9C70000}"/>
    <cellStyle name="适中 2 7 2 2 2 2" xfId="51178" xr:uid="{00000000-0005-0000-0000-0000EAC70000}"/>
    <cellStyle name="适中 2 7 2 3" xfId="51179" xr:uid="{00000000-0005-0000-0000-0000EBC70000}"/>
    <cellStyle name="适中 2 7 2 3 2" xfId="51180" xr:uid="{00000000-0005-0000-0000-0000ECC70000}"/>
    <cellStyle name="适中 2 7 3" xfId="51181" xr:uid="{00000000-0005-0000-0000-0000EDC70000}"/>
    <cellStyle name="适中 2 7 3 2" xfId="51182" xr:uid="{00000000-0005-0000-0000-0000EEC70000}"/>
    <cellStyle name="适中 2 7 3 2 2" xfId="51183" xr:uid="{00000000-0005-0000-0000-0000EFC70000}"/>
    <cellStyle name="适中 2 7 4" xfId="51184" xr:uid="{00000000-0005-0000-0000-0000F0C70000}"/>
    <cellStyle name="适中 2 7 4 2" xfId="51185" xr:uid="{00000000-0005-0000-0000-0000F1C70000}"/>
    <cellStyle name="适中 2 8" xfId="51186" xr:uid="{00000000-0005-0000-0000-0000F2C70000}"/>
    <cellStyle name="适中 2 8 2" xfId="51187" xr:uid="{00000000-0005-0000-0000-0000F3C70000}"/>
    <cellStyle name="适中 2 8 2 2" xfId="51188" xr:uid="{00000000-0005-0000-0000-0000F4C70000}"/>
    <cellStyle name="适中 2 8 2 2 2" xfId="51189" xr:uid="{00000000-0005-0000-0000-0000F5C70000}"/>
    <cellStyle name="适中 2 8 2 2 2 2" xfId="51190" xr:uid="{00000000-0005-0000-0000-0000F6C70000}"/>
    <cellStyle name="适中 2 8 2 3" xfId="51191" xr:uid="{00000000-0005-0000-0000-0000F7C70000}"/>
    <cellStyle name="适中 2 8 2 3 2" xfId="51192" xr:uid="{00000000-0005-0000-0000-0000F8C70000}"/>
    <cellStyle name="适中 2 8 3" xfId="51193" xr:uid="{00000000-0005-0000-0000-0000F9C70000}"/>
    <cellStyle name="适中 2 8 3 2" xfId="51194" xr:uid="{00000000-0005-0000-0000-0000FAC70000}"/>
    <cellStyle name="适中 2 8 3 2 2" xfId="51195" xr:uid="{00000000-0005-0000-0000-0000FBC70000}"/>
    <cellStyle name="适中 2 8 4" xfId="51196" xr:uid="{00000000-0005-0000-0000-0000FCC70000}"/>
    <cellStyle name="适中 2 8 4 2" xfId="51197" xr:uid="{00000000-0005-0000-0000-0000FDC70000}"/>
    <cellStyle name="适中 2 9" xfId="51198" xr:uid="{00000000-0005-0000-0000-0000FEC70000}"/>
    <cellStyle name="适中 2 9 2" xfId="51199" xr:uid="{00000000-0005-0000-0000-0000FFC70000}"/>
    <cellStyle name="适中 2 9 2 2" xfId="51200" xr:uid="{00000000-0005-0000-0000-000000C80000}"/>
    <cellStyle name="适中 2 9 2 2 2" xfId="51201" xr:uid="{00000000-0005-0000-0000-000001C80000}"/>
    <cellStyle name="适中 2 9 3" xfId="51202" xr:uid="{00000000-0005-0000-0000-000002C80000}"/>
    <cellStyle name="适中 2 9 3 2" xfId="51203" xr:uid="{00000000-0005-0000-0000-000003C80000}"/>
    <cellStyle name="适中 3" xfId="51204" xr:uid="{00000000-0005-0000-0000-000004C80000}"/>
    <cellStyle name="适中 3 2" xfId="51205" xr:uid="{00000000-0005-0000-0000-000005C80000}"/>
    <cellStyle name="适中 3 2 2" xfId="51206" xr:uid="{00000000-0005-0000-0000-000006C80000}"/>
    <cellStyle name="适中 3 2 2 2" xfId="51207" xr:uid="{00000000-0005-0000-0000-000007C80000}"/>
    <cellStyle name="适中 3 2 2 2 2" xfId="51208" xr:uid="{00000000-0005-0000-0000-000008C80000}"/>
    <cellStyle name="适中 3 2 2 2 3" xfId="51209" xr:uid="{00000000-0005-0000-0000-000009C80000}"/>
    <cellStyle name="适中 3 2 2 2 3 2" xfId="51210" xr:uid="{00000000-0005-0000-0000-00000AC80000}"/>
    <cellStyle name="适中 3 2 2 2 3 2 2" xfId="51211" xr:uid="{00000000-0005-0000-0000-00000BC80000}"/>
    <cellStyle name="适中 3 2 2 2 4" xfId="51212" xr:uid="{00000000-0005-0000-0000-00000CC80000}"/>
    <cellStyle name="适中 3 2 2 2 4 2" xfId="51213" xr:uid="{00000000-0005-0000-0000-00000DC80000}"/>
    <cellStyle name="适中 3 2 2 3" xfId="51214" xr:uid="{00000000-0005-0000-0000-00000EC80000}"/>
    <cellStyle name="适中 3 2 2 3 2" xfId="51215" xr:uid="{00000000-0005-0000-0000-00000FC80000}"/>
    <cellStyle name="适中 3 2 2 3 2 2" xfId="51216" xr:uid="{00000000-0005-0000-0000-000010C80000}"/>
    <cellStyle name="适中 3 2 2 3 2 2 2" xfId="51217" xr:uid="{00000000-0005-0000-0000-000011C80000}"/>
    <cellStyle name="适中 3 2 2 3 3" xfId="51218" xr:uid="{00000000-0005-0000-0000-000012C80000}"/>
    <cellStyle name="适中 3 2 2 3 3 2" xfId="51219" xr:uid="{00000000-0005-0000-0000-000013C80000}"/>
    <cellStyle name="适中 3 2 2 4" xfId="51220" xr:uid="{00000000-0005-0000-0000-000014C80000}"/>
    <cellStyle name="适中 3 2 2 5" xfId="51221" xr:uid="{00000000-0005-0000-0000-000015C80000}"/>
    <cellStyle name="适中 3 2 2 6" xfId="51222" xr:uid="{00000000-0005-0000-0000-000016C80000}"/>
    <cellStyle name="适中 3 2 3" xfId="51223" xr:uid="{00000000-0005-0000-0000-000017C80000}"/>
    <cellStyle name="适中 3 2 3 2" xfId="51224" xr:uid="{00000000-0005-0000-0000-000018C80000}"/>
    <cellStyle name="适中 3 2 3 3" xfId="51225" xr:uid="{00000000-0005-0000-0000-000019C80000}"/>
    <cellStyle name="适中 3 2 3 3 2" xfId="51226" xr:uid="{00000000-0005-0000-0000-00001AC80000}"/>
    <cellStyle name="适中 3 2 3 3 2 2" xfId="51227" xr:uid="{00000000-0005-0000-0000-00001BC80000}"/>
    <cellStyle name="适中 3 2 3 4" xfId="51228" xr:uid="{00000000-0005-0000-0000-00001CC80000}"/>
    <cellStyle name="适中 3 2 3 4 2" xfId="51229" xr:uid="{00000000-0005-0000-0000-00001DC80000}"/>
    <cellStyle name="适中 3 2 4" xfId="51230" xr:uid="{00000000-0005-0000-0000-00001EC80000}"/>
    <cellStyle name="适中 3 2 4 2" xfId="51231" xr:uid="{00000000-0005-0000-0000-00001FC80000}"/>
    <cellStyle name="适中 3 2 4 2 2" xfId="51232" xr:uid="{00000000-0005-0000-0000-000020C80000}"/>
    <cellStyle name="适中 3 2 4 2 2 2" xfId="51233" xr:uid="{00000000-0005-0000-0000-000021C80000}"/>
    <cellStyle name="适中 3 2 4 3" xfId="51234" xr:uid="{00000000-0005-0000-0000-000022C80000}"/>
    <cellStyle name="适中 3 2 4 3 2" xfId="51235" xr:uid="{00000000-0005-0000-0000-000023C80000}"/>
    <cellStyle name="适中 3 2 5" xfId="51236" xr:uid="{00000000-0005-0000-0000-000024C80000}"/>
    <cellStyle name="适中 3 2 6" xfId="51237" xr:uid="{00000000-0005-0000-0000-000025C80000}"/>
    <cellStyle name="适中 3 2 7" xfId="51238" xr:uid="{00000000-0005-0000-0000-000026C80000}"/>
    <cellStyle name="适中 3 3" xfId="51239" xr:uid="{00000000-0005-0000-0000-000027C80000}"/>
    <cellStyle name="适中 3 3 2" xfId="51240" xr:uid="{00000000-0005-0000-0000-000028C80000}"/>
    <cellStyle name="适中 3 3 2 2" xfId="51241" xr:uid="{00000000-0005-0000-0000-000029C80000}"/>
    <cellStyle name="适中 3 3 2 3" xfId="51242" xr:uid="{00000000-0005-0000-0000-00002AC80000}"/>
    <cellStyle name="适中 3 3 2 3 2" xfId="51243" xr:uid="{00000000-0005-0000-0000-00002BC80000}"/>
    <cellStyle name="适中 3 3 2 3 2 2" xfId="51244" xr:uid="{00000000-0005-0000-0000-00002CC80000}"/>
    <cellStyle name="适中 3 3 2 4" xfId="51245" xr:uid="{00000000-0005-0000-0000-00002DC80000}"/>
    <cellStyle name="适中 3 3 2 4 2" xfId="51246" xr:uid="{00000000-0005-0000-0000-00002EC80000}"/>
    <cellStyle name="适中 3 3 3" xfId="51247" xr:uid="{00000000-0005-0000-0000-00002FC80000}"/>
    <cellStyle name="适中 3 3 3 2" xfId="51248" xr:uid="{00000000-0005-0000-0000-000030C80000}"/>
    <cellStyle name="适中 3 3 3 2 2" xfId="51249" xr:uid="{00000000-0005-0000-0000-000031C80000}"/>
    <cellStyle name="适中 3 3 3 2 2 2" xfId="51250" xr:uid="{00000000-0005-0000-0000-000032C80000}"/>
    <cellStyle name="适中 3 3 3 3" xfId="51251" xr:uid="{00000000-0005-0000-0000-000033C80000}"/>
    <cellStyle name="适中 3 3 3 3 2" xfId="51252" xr:uid="{00000000-0005-0000-0000-000034C80000}"/>
    <cellStyle name="适中 3 3 4" xfId="51253" xr:uid="{00000000-0005-0000-0000-000035C80000}"/>
    <cellStyle name="适中 3 3 5" xfId="51254" xr:uid="{00000000-0005-0000-0000-000036C80000}"/>
    <cellStyle name="适中 3 3 6" xfId="51255" xr:uid="{00000000-0005-0000-0000-000037C80000}"/>
    <cellStyle name="适中 3 4" xfId="51256" xr:uid="{00000000-0005-0000-0000-000038C80000}"/>
    <cellStyle name="适中 3 4 2" xfId="51257" xr:uid="{00000000-0005-0000-0000-000039C80000}"/>
    <cellStyle name="适中 3 4 2 2" xfId="51258" xr:uid="{00000000-0005-0000-0000-00003AC80000}"/>
    <cellStyle name="适中 3 4 2 3" xfId="51259" xr:uid="{00000000-0005-0000-0000-00003BC80000}"/>
    <cellStyle name="适中 3 4 2 3 2" xfId="51260" xr:uid="{00000000-0005-0000-0000-00003CC80000}"/>
    <cellStyle name="适中 3 4 2 3 2 2" xfId="51261" xr:uid="{00000000-0005-0000-0000-00003DC80000}"/>
    <cellStyle name="适中 3 4 2 4" xfId="51262" xr:uid="{00000000-0005-0000-0000-00003EC80000}"/>
    <cellStyle name="适中 3 4 2 4 2" xfId="51263" xr:uid="{00000000-0005-0000-0000-00003FC80000}"/>
    <cellStyle name="适中 3 4 3" xfId="51264" xr:uid="{00000000-0005-0000-0000-000040C80000}"/>
    <cellStyle name="适中 3 4 4" xfId="51265" xr:uid="{00000000-0005-0000-0000-000041C80000}"/>
    <cellStyle name="适中 3 4 5" xfId="51266" xr:uid="{00000000-0005-0000-0000-000042C80000}"/>
    <cellStyle name="适中 3 4 6" xfId="51267" xr:uid="{00000000-0005-0000-0000-000043C80000}"/>
    <cellStyle name="适中 3 5" xfId="51268" xr:uid="{00000000-0005-0000-0000-000044C80000}"/>
    <cellStyle name="适中 3 5 2" xfId="51269" xr:uid="{00000000-0005-0000-0000-000045C80000}"/>
    <cellStyle name="适中 3 5 2 2" xfId="51270" xr:uid="{00000000-0005-0000-0000-000046C80000}"/>
    <cellStyle name="适中 3 5 2 2 2" xfId="51271" xr:uid="{00000000-0005-0000-0000-000047C80000}"/>
    <cellStyle name="适中 3 5 2 2 2 2" xfId="51272" xr:uid="{00000000-0005-0000-0000-000048C80000}"/>
    <cellStyle name="适中 3 5 2 3" xfId="51273" xr:uid="{00000000-0005-0000-0000-000049C80000}"/>
    <cellStyle name="适中 3 5 2 3 2" xfId="51274" xr:uid="{00000000-0005-0000-0000-00004AC80000}"/>
    <cellStyle name="适中 3 5 3" xfId="51275" xr:uid="{00000000-0005-0000-0000-00004BC80000}"/>
    <cellStyle name="适中 3 5 3 2" xfId="51276" xr:uid="{00000000-0005-0000-0000-00004CC80000}"/>
    <cellStyle name="适中 3 5 3 2 2" xfId="51277" xr:uid="{00000000-0005-0000-0000-00004DC80000}"/>
    <cellStyle name="适中 3 5 4" xfId="51278" xr:uid="{00000000-0005-0000-0000-00004EC80000}"/>
    <cellStyle name="适中 3 5 4 2" xfId="51279" xr:uid="{00000000-0005-0000-0000-00004FC80000}"/>
    <cellStyle name="适中 3 6" xfId="51280" xr:uid="{00000000-0005-0000-0000-000050C80000}"/>
    <cellStyle name="适中 3 6 2" xfId="51281" xr:uid="{00000000-0005-0000-0000-000051C80000}"/>
    <cellStyle name="适中 3 6 2 2" xfId="51282" xr:uid="{00000000-0005-0000-0000-000052C80000}"/>
    <cellStyle name="适中 3 6 2 2 2" xfId="51283" xr:uid="{00000000-0005-0000-0000-000053C80000}"/>
    <cellStyle name="适中 3 6 3" xfId="51284" xr:uid="{00000000-0005-0000-0000-000054C80000}"/>
    <cellStyle name="适中 3 6 3 2" xfId="51285" xr:uid="{00000000-0005-0000-0000-000055C80000}"/>
    <cellStyle name="适中 3 7" xfId="51286" xr:uid="{00000000-0005-0000-0000-000056C80000}"/>
    <cellStyle name="适中 3 8" xfId="51287" xr:uid="{00000000-0005-0000-0000-000057C80000}"/>
    <cellStyle name="链接单元格 2" xfId="51288" xr:uid="{00000000-0005-0000-0000-000058C80000}"/>
    <cellStyle name="链接单元格 2 10" xfId="51289" xr:uid="{00000000-0005-0000-0000-000059C80000}"/>
    <cellStyle name="链接单元格 2 11" xfId="51290" xr:uid="{00000000-0005-0000-0000-00005AC80000}"/>
    <cellStyle name="链接单元格 2 2" xfId="51291" xr:uid="{00000000-0005-0000-0000-00005BC80000}"/>
    <cellStyle name="链接单元格 2 2 10" xfId="51292" xr:uid="{00000000-0005-0000-0000-00005CC80000}"/>
    <cellStyle name="链接单元格 2 2 11" xfId="51293" xr:uid="{00000000-0005-0000-0000-00005DC80000}"/>
    <cellStyle name="链接单元格 2 2 2" xfId="51294" xr:uid="{00000000-0005-0000-0000-00005EC80000}"/>
    <cellStyle name="链接单元格 2 2 2 2" xfId="51295" xr:uid="{00000000-0005-0000-0000-00005FC80000}"/>
    <cellStyle name="链接单元格 2 2 2 2 2" xfId="51296" xr:uid="{00000000-0005-0000-0000-000060C80000}"/>
    <cellStyle name="链接单元格 2 2 2 2 2 2" xfId="51297" xr:uid="{00000000-0005-0000-0000-000061C80000}"/>
    <cellStyle name="链接单元格 2 2 2 2 2 3" xfId="51298" xr:uid="{00000000-0005-0000-0000-000062C80000}"/>
    <cellStyle name="链接单元格 2 2 2 2 2 3 2" xfId="51299" xr:uid="{00000000-0005-0000-0000-000063C80000}"/>
    <cellStyle name="链接单元格 2 2 2 2 2 3 2 2" xfId="51300" xr:uid="{00000000-0005-0000-0000-000064C80000}"/>
    <cellStyle name="链接单元格 2 2 2 2 2 4" xfId="51301" xr:uid="{00000000-0005-0000-0000-000065C80000}"/>
    <cellStyle name="链接单元格 2 2 2 2 2 4 2" xfId="51302" xr:uid="{00000000-0005-0000-0000-000066C80000}"/>
    <cellStyle name="链接单元格 2 2 2 2 3" xfId="51303" xr:uid="{00000000-0005-0000-0000-000067C80000}"/>
    <cellStyle name="链接单元格 2 2 2 2 3 2" xfId="51304" xr:uid="{00000000-0005-0000-0000-000068C80000}"/>
    <cellStyle name="链接单元格 2 2 2 2 3 2 2" xfId="51305" xr:uid="{00000000-0005-0000-0000-000069C80000}"/>
    <cellStyle name="链接单元格 2 2 2 2 3 2 2 2" xfId="51306" xr:uid="{00000000-0005-0000-0000-00006AC80000}"/>
    <cellStyle name="链接单元格 2 2 2 2 3 3" xfId="51307" xr:uid="{00000000-0005-0000-0000-00006BC80000}"/>
    <cellStyle name="链接单元格 2 2 2 2 3 3 2" xfId="51308" xr:uid="{00000000-0005-0000-0000-00006CC80000}"/>
    <cellStyle name="链接单元格 2 2 2 2 4" xfId="51309" xr:uid="{00000000-0005-0000-0000-00006DC80000}"/>
    <cellStyle name="链接单元格 2 2 2 2 5" xfId="51310" xr:uid="{00000000-0005-0000-0000-00006EC80000}"/>
    <cellStyle name="链接单元格 2 2 2 2 6" xfId="51311" xr:uid="{00000000-0005-0000-0000-00006FC80000}"/>
    <cellStyle name="链接单元格 2 2 2 3" xfId="51312" xr:uid="{00000000-0005-0000-0000-000070C80000}"/>
    <cellStyle name="链接单元格 2 2 2 3 2" xfId="51313" xr:uid="{00000000-0005-0000-0000-000071C80000}"/>
    <cellStyle name="链接单元格 2 2 2 3 3" xfId="51314" xr:uid="{00000000-0005-0000-0000-000072C80000}"/>
    <cellStyle name="链接单元格 2 2 2 3 3 2" xfId="51315" xr:uid="{00000000-0005-0000-0000-000073C80000}"/>
    <cellStyle name="链接单元格 2 2 2 3 3 2 2" xfId="51316" xr:uid="{00000000-0005-0000-0000-000074C80000}"/>
    <cellStyle name="链接单元格 2 2 2 3 4" xfId="51317" xr:uid="{00000000-0005-0000-0000-000075C80000}"/>
    <cellStyle name="链接单元格 2 2 2 3 4 2" xfId="51318" xr:uid="{00000000-0005-0000-0000-000076C80000}"/>
    <cellStyle name="链接单元格 2 2 2 4" xfId="51319" xr:uid="{00000000-0005-0000-0000-000077C80000}"/>
    <cellStyle name="链接单元格 2 2 2 4 2" xfId="51320" xr:uid="{00000000-0005-0000-0000-000078C80000}"/>
    <cellStyle name="链接单元格 2 2 2 4 2 2" xfId="51321" xr:uid="{00000000-0005-0000-0000-000079C80000}"/>
    <cellStyle name="链接单元格 2 2 2 4 2 2 2" xfId="51322" xr:uid="{00000000-0005-0000-0000-00007AC80000}"/>
    <cellStyle name="链接单元格 2 2 2 4 3" xfId="51323" xr:uid="{00000000-0005-0000-0000-00007BC80000}"/>
    <cellStyle name="链接单元格 2 2 2 4 3 2" xfId="51324" xr:uid="{00000000-0005-0000-0000-00007CC80000}"/>
    <cellStyle name="链接单元格 2 2 2 5" xfId="51325" xr:uid="{00000000-0005-0000-0000-00007DC80000}"/>
    <cellStyle name="链接单元格 2 2 2 6" xfId="51326" xr:uid="{00000000-0005-0000-0000-00007EC80000}"/>
    <cellStyle name="链接单元格 2 2 2 7" xfId="51327" xr:uid="{00000000-0005-0000-0000-00007FC80000}"/>
    <cellStyle name="链接单元格 2 2 3" xfId="51328" xr:uid="{00000000-0005-0000-0000-000080C80000}"/>
    <cellStyle name="链接单元格 2 2 3 2" xfId="51329" xr:uid="{00000000-0005-0000-0000-000081C80000}"/>
    <cellStyle name="链接单元格 2 2 3 2 2" xfId="51330" xr:uid="{00000000-0005-0000-0000-000082C80000}"/>
    <cellStyle name="链接单元格 2 2 3 2 3" xfId="51331" xr:uid="{00000000-0005-0000-0000-000083C80000}"/>
    <cellStyle name="链接单元格 2 2 3 2 3 2" xfId="51332" xr:uid="{00000000-0005-0000-0000-000084C80000}"/>
    <cellStyle name="链接单元格 2 2 3 2 3 2 2" xfId="51333" xr:uid="{00000000-0005-0000-0000-000085C80000}"/>
    <cellStyle name="链接单元格 2 2 3 2 4" xfId="51334" xr:uid="{00000000-0005-0000-0000-000086C80000}"/>
    <cellStyle name="链接单元格 2 2 3 2 4 2" xfId="51335" xr:uid="{00000000-0005-0000-0000-000087C80000}"/>
    <cellStyle name="链接单元格 2 2 3 3" xfId="51336" xr:uid="{00000000-0005-0000-0000-000088C80000}"/>
    <cellStyle name="链接单元格 2 2 3 3 2" xfId="51337" xr:uid="{00000000-0005-0000-0000-000089C80000}"/>
    <cellStyle name="链接单元格 2 2 3 3 2 2" xfId="51338" xr:uid="{00000000-0005-0000-0000-00008AC80000}"/>
    <cellStyle name="链接单元格 2 2 3 3 2 2 2" xfId="51339" xr:uid="{00000000-0005-0000-0000-00008BC80000}"/>
    <cellStyle name="链接单元格 2 2 3 3 3" xfId="51340" xr:uid="{00000000-0005-0000-0000-00008CC80000}"/>
    <cellStyle name="链接单元格 2 2 3 3 3 2" xfId="51341" xr:uid="{00000000-0005-0000-0000-00008DC80000}"/>
    <cellStyle name="链接单元格 2 2 3 4" xfId="51342" xr:uid="{00000000-0005-0000-0000-00008EC80000}"/>
    <cellStyle name="链接单元格 2 2 3 5" xfId="51343" xr:uid="{00000000-0005-0000-0000-00008FC80000}"/>
    <cellStyle name="链接单元格 2 2 3 6" xfId="51344" xr:uid="{00000000-0005-0000-0000-000090C80000}"/>
    <cellStyle name="链接单元格 2 2 4" xfId="51345" xr:uid="{00000000-0005-0000-0000-000091C80000}"/>
    <cellStyle name="链接单元格 2 2 4 2" xfId="51346" xr:uid="{00000000-0005-0000-0000-000092C80000}"/>
    <cellStyle name="链接单元格 2 2 4 2 2" xfId="51347" xr:uid="{00000000-0005-0000-0000-000093C80000}"/>
    <cellStyle name="链接单元格 2 2 4 2 3" xfId="51348" xr:uid="{00000000-0005-0000-0000-000094C80000}"/>
    <cellStyle name="链接单元格 2 2 4 2 3 2" xfId="51349" xr:uid="{00000000-0005-0000-0000-000095C80000}"/>
    <cellStyle name="链接单元格 2 2 4 2 3 2 2" xfId="51350" xr:uid="{00000000-0005-0000-0000-000096C80000}"/>
    <cellStyle name="链接单元格 2 2 4 2 4" xfId="51351" xr:uid="{00000000-0005-0000-0000-000097C80000}"/>
    <cellStyle name="链接单元格 2 2 4 2 4 2" xfId="51352" xr:uid="{00000000-0005-0000-0000-000098C80000}"/>
    <cellStyle name="链接单元格 2 2 4 3" xfId="51353" xr:uid="{00000000-0005-0000-0000-000099C80000}"/>
    <cellStyle name="链接单元格 2 2 4 4" xfId="51354" xr:uid="{00000000-0005-0000-0000-00009AC80000}"/>
    <cellStyle name="链接单元格 2 2 4 5" xfId="51355" xr:uid="{00000000-0005-0000-0000-00009BC80000}"/>
    <cellStyle name="链接单元格 2 2 4 6" xfId="51356" xr:uid="{00000000-0005-0000-0000-00009CC80000}"/>
    <cellStyle name="链接单元格 2 2 5" xfId="51357" xr:uid="{00000000-0005-0000-0000-00009DC80000}"/>
    <cellStyle name="链接单元格 2 2 5 2" xfId="51358" xr:uid="{00000000-0005-0000-0000-00009EC80000}"/>
    <cellStyle name="链接单元格 2 2 5 2 2" xfId="51359" xr:uid="{00000000-0005-0000-0000-00009FC80000}"/>
    <cellStyle name="链接单元格 2 2 5 2 2 2" xfId="51360" xr:uid="{00000000-0005-0000-0000-0000A0C80000}"/>
    <cellStyle name="链接单元格 2 2 5 2 2 2 2" xfId="51361" xr:uid="{00000000-0005-0000-0000-0000A1C80000}"/>
    <cellStyle name="链接单元格 2 2 5 2 3" xfId="51362" xr:uid="{00000000-0005-0000-0000-0000A2C80000}"/>
    <cellStyle name="链接单元格 2 2 5 2 3 2" xfId="51363" xr:uid="{00000000-0005-0000-0000-0000A3C80000}"/>
    <cellStyle name="链接单元格 2 2 5 3" xfId="51364" xr:uid="{00000000-0005-0000-0000-0000A4C80000}"/>
    <cellStyle name="链接单元格 2 2 5 3 2" xfId="51365" xr:uid="{00000000-0005-0000-0000-0000A5C80000}"/>
    <cellStyle name="链接单元格 2 2 5 3 2 2" xfId="51366" xr:uid="{00000000-0005-0000-0000-0000A6C80000}"/>
    <cellStyle name="链接单元格 2 2 5 4" xfId="51367" xr:uid="{00000000-0005-0000-0000-0000A7C80000}"/>
    <cellStyle name="链接单元格 2 2 5 4 2" xfId="51368" xr:uid="{00000000-0005-0000-0000-0000A8C80000}"/>
    <cellStyle name="链接单元格 2 2 6" xfId="51369" xr:uid="{00000000-0005-0000-0000-0000A9C80000}"/>
    <cellStyle name="链接单元格 2 2 6 2" xfId="51370" xr:uid="{00000000-0005-0000-0000-0000AAC80000}"/>
    <cellStyle name="链接单元格 2 2 6 2 2" xfId="51371" xr:uid="{00000000-0005-0000-0000-0000ABC80000}"/>
    <cellStyle name="链接单元格 2 2 6 2 2 2" xfId="51372" xr:uid="{00000000-0005-0000-0000-0000ACC80000}"/>
    <cellStyle name="链接单元格 2 2 6 2 2 2 2" xfId="51373" xr:uid="{00000000-0005-0000-0000-0000ADC80000}"/>
    <cellStyle name="链接单元格 2 2 6 2 3" xfId="51374" xr:uid="{00000000-0005-0000-0000-0000AEC80000}"/>
    <cellStyle name="链接单元格 2 2 6 2 3 2" xfId="51375" xr:uid="{00000000-0005-0000-0000-0000AFC80000}"/>
    <cellStyle name="链接单元格 2 2 6 3" xfId="51376" xr:uid="{00000000-0005-0000-0000-0000B0C80000}"/>
    <cellStyle name="链接单元格 2 2 6 3 2" xfId="51377" xr:uid="{00000000-0005-0000-0000-0000B1C80000}"/>
    <cellStyle name="链接单元格 2 2 6 3 2 2" xfId="51378" xr:uid="{00000000-0005-0000-0000-0000B2C80000}"/>
    <cellStyle name="链接单元格 2 2 6 4" xfId="51379" xr:uid="{00000000-0005-0000-0000-0000B3C80000}"/>
    <cellStyle name="链接单元格 2 2 6 4 2" xfId="51380" xr:uid="{00000000-0005-0000-0000-0000B4C80000}"/>
    <cellStyle name="链接单元格 2 2 7" xfId="51381" xr:uid="{00000000-0005-0000-0000-0000B5C80000}"/>
    <cellStyle name="链接单元格 2 2 7 2" xfId="51382" xr:uid="{00000000-0005-0000-0000-0000B6C80000}"/>
    <cellStyle name="链接单元格 2 2 7 2 2" xfId="51383" xr:uid="{00000000-0005-0000-0000-0000B7C80000}"/>
    <cellStyle name="链接单元格 2 2 7 2 2 2" xfId="51384" xr:uid="{00000000-0005-0000-0000-0000B8C80000}"/>
    <cellStyle name="链接单元格 2 2 7 2 2 2 2" xfId="51385" xr:uid="{00000000-0005-0000-0000-0000B9C80000}"/>
    <cellStyle name="链接单元格 2 2 7 2 3" xfId="51386" xr:uid="{00000000-0005-0000-0000-0000BAC80000}"/>
    <cellStyle name="链接单元格 2 2 7 2 3 2" xfId="51387" xr:uid="{00000000-0005-0000-0000-0000BBC80000}"/>
    <cellStyle name="链接单元格 2 2 7 3" xfId="51388" xr:uid="{00000000-0005-0000-0000-0000BCC80000}"/>
    <cellStyle name="链接单元格 2 2 7 3 2" xfId="51389" xr:uid="{00000000-0005-0000-0000-0000BDC80000}"/>
    <cellStyle name="链接单元格 2 2 7 3 2 2" xfId="51390" xr:uid="{00000000-0005-0000-0000-0000BEC80000}"/>
    <cellStyle name="链接单元格 2 2 7 4" xfId="51391" xr:uid="{00000000-0005-0000-0000-0000BFC80000}"/>
    <cellStyle name="链接单元格 2 2 7 4 2" xfId="51392" xr:uid="{00000000-0005-0000-0000-0000C0C80000}"/>
    <cellStyle name="链接单元格 2 2 8" xfId="51393" xr:uid="{00000000-0005-0000-0000-0000C1C80000}"/>
    <cellStyle name="链接单元格 2 2 8 2" xfId="51394" xr:uid="{00000000-0005-0000-0000-0000C2C80000}"/>
    <cellStyle name="链接单元格 2 2 8 2 2" xfId="51395" xr:uid="{00000000-0005-0000-0000-0000C3C80000}"/>
    <cellStyle name="链接单元格 2 2 8 2 2 2" xfId="51396" xr:uid="{00000000-0005-0000-0000-0000C4C80000}"/>
    <cellStyle name="链接单元格 2 2 8 3" xfId="51397" xr:uid="{00000000-0005-0000-0000-0000C5C80000}"/>
    <cellStyle name="链接单元格 2 2 8 3 2" xfId="51398" xr:uid="{00000000-0005-0000-0000-0000C6C80000}"/>
    <cellStyle name="链接单元格 2 2 9" xfId="51399" xr:uid="{00000000-0005-0000-0000-0000C7C80000}"/>
    <cellStyle name="链接单元格 2 2 9 2" xfId="51400" xr:uid="{00000000-0005-0000-0000-0000C8C80000}"/>
    <cellStyle name="链接单元格 2 2 9 2 2" xfId="51401" xr:uid="{00000000-0005-0000-0000-0000C9C80000}"/>
    <cellStyle name="链接单元格 2 2 9 2 2 2" xfId="51402" xr:uid="{00000000-0005-0000-0000-0000CAC80000}"/>
    <cellStyle name="链接单元格 2 2 9 3" xfId="51403" xr:uid="{00000000-0005-0000-0000-0000CBC80000}"/>
    <cellStyle name="链接单元格 2 2 9 3 2" xfId="51404" xr:uid="{00000000-0005-0000-0000-0000CCC80000}"/>
    <cellStyle name="链接单元格 2 3" xfId="51405" xr:uid="{00000000-0005-0000-0000-0000CDC80000}"/>
    <cellStyle name="链接单元格 2 3 2" xfId="51406" xr:uid="{00000000-0005-0000-0000-0000CEC80000}"/>
    <cellStyle name="链接单元格 2 3 2 2" xfId="51407" xr:uid="{00000000-0005-0000-0000-0000CFC80000}"/>
    <cellStyle name="链接单元格 2 3 2 2 2" xfId="51408" xr:uid="{00000000-0005-0000-0000-0000D0C80000}"/>
    <cellStyle name="链接单元格 2 3 2 2 2 2" xfId="51409" xr:uid="{00000000-0005-0000-0000-0000D1C80000}"/>
    <cellStyle name="链接单元格 2 3 2 2 2 3" xfId="51410" xr:uid="{00000000-0005-0000-0000-0000D2C80000}"/>
    <cellStyle name="链接单元格 2 3 2 2 2 3 2" xfId="51411" xr:uid="{00000000-0005-0000-0000-0000D3C80000}"/>
    <cellStyle name="链接单元格 2 3 2 2 2 3 2 2" xfId="51412" xr:uid="{00000000-0005-0000-0000-0000D4C80000}"/>
    <cellStyle name="链接单元格 2 3 2 2 2 4" xfId="51413" xr:uid="{00000000-0005-0000-0000-0000D5C80000}"/>
    <cellStyle name="链接单元格 2 3 2 2 2 4 2" xfId="51414" xr:uid="{00000000-0005-0000-0000-0000D6C80000}"/>
    <cellStyle name="链接单元格 2 3 2 2 3" xfId="51415" xr:uid="{00000000-0005-0000-0000-0000D7C80000}"/>
    <cellStyle name="链接单元格 2 3 2 2 3 2" xfId="51416" xr:uid="{00000000-0005-0000-0000-0000D8C80000}"/>
    <cellStyle name="链接单元格 2 3 2 2 3 2 2" xfId="51417" xr:uid="{00000000-0005-0000-0000-0000D9C80000}"/>
    <cellStyle name="链接单元格 2 3 2 2 3 2 2 2" xfId="51418" xr:uid="{00000000-0005-0000-0000-0000DAC80000}"/>
    <cellStyle name="链接单元格 2 3 2 2 3 3" xfId="51419" xr:uid="{00000000-0005-0000-0000-0000DBC80000}"/>
    <cellStyle name="链接单元格 2 3 2 2 3 3 2" xfId="51420" xr:uid="{00000000-0005-0000-0000-0000DCC80000}"/>
    <cellStyle name="链接单元格 2 3 2 2 4" xfId="51421" xr:uid="{00000000-0005-0000-0000-0000DDC80000}"/>
    <cellStyle name="链接单元格 2 3 2 2 5" xfId="51422" xr:uid="{00000000-0005-0000-0000-0000DEC80000}"/>
    <cellStyle name="链接单元格 2 3 2 2 6" xfId="51423" xr:uid="{00000000-0005-0000-0000-0000DFC80000}"/>
    <cellStyle name="链接单元格 2 3 2 3" xfId="51424" xr:uid="{00000000-0005-0000-0000-0000E0C80000}"/>
    <cellStyle name="链接单元格 2 3 2 3 2" xfId="51425" xr:uid="{00000000-0005-0000-0000-0000E1C80000}"/>
    <cellStyle name="链接单元格 2 3 2 3 3" xfId="51426" xr:uid="{00000000-0005-0000-0000-0000E2C80000}"/>
    <cellStyle name="链接单元格 2 3 2 3 3 2" xfId="51427" xr:uid="{00000000-0005-0000-0000-0000E3C80000}"/>
    <cellStyle name="链接单元格 2 3 2 3 3 2 2" xfId="51428" xr:uid="{00000000-0005-0000-0000-0000E4C80000}"/>
    <cellStyle name="链接单元格 2 3 2 3 4" xfId="51429" xr:uid="{00000000-0005-0000-0000-0000E5C80000}"/>
    <cellStyle name="链接单元格 2 3 2 3 4 2" xfId="51430" xr:uid="{00000000-0005-0000-0000-0000E6C80000}"/>
    <cellStyle name="链接单元格 2 3 2 4" xfId="51431" xr:uid="{00000000-0005-0000-0000-0000E7C80000}"/>
    <cellStyle name="链接单元格 2 3 2 4 2" xfId="51432" xr:uid="{00000000-0005-0000-0000-0000E8C80000}"/>
    <cellStyle name="链接单元格 2 3 2 4 2 2" xfId="51433" xr:uid="{00000000-0005-0000-0000-0000E9C80000}"/>
    <cellStyle name="链接单元格 2 3 2 4 2 2 2" xfId="51434" xr:uid="{00000000-0005-0000-0000-0000EAC80000}"/>
    <cellStyle name="链接单元格 2 3 2 4 3" xfId="51435" xr:uid="{00000000-0005-0000-0000-0000EBC80000}"/>
    <cellStyle name="链接单元格 2 3 2 4 3 2" xfId="51436" xr:uid="{00000000-0005-0000-0000-0000ECC80000}"/>
    <cellStyle name="链接单元格 2 3 2 5" xfId="51437" xr:uid="{00000000-0005-0000-0000-0000EDC80000}"/>
    <cellStyle name="链接单元格 2 3 2 6" xfId="51438" xr:uid="{00000000-0005-0000-0000-0000EEC80000}"/>
    <cellStyle name="链接单元格 2 3 2 7" xfId="51439" xr:uid="{00000000-0005-0000-0000-0000EFC80000}"/>
    <cellStyle name="链接单元格 2 3 3" xfId="51440" xr:uid="{00000000-0005-0000-0000-0000F0C80000}"/>
    <cellStyle name="链接单元格 2 3 3 2" xfId="51441" xr:uid="{00000000-0005-0000-0000-0000F1C80000}"/>
    <cellStyle name="链接单元格 2 3 3 2 2" xfId="51442" xr:uid="{00000000-0005-0000-0000-0000F2C80000}"/>
    <cellStyle name="链接单元格 2 3 3 2 3" xfId="51443" xr:uid="{00000000-0005-0000-0000-0000F3C80000}"/>
    <cellStyle name="链接单元格 2 3 3 2 3 2" xfId="51444" xr:uid="{00000000-0005-0000-0000-0000F4C80000}"/>
    <cellStyle name="链接单元格 2 3 3 2 3 2 2" xfId="51445" xr:uid="{00000000-0005-0000-0000-0000F5C80000}"/>
    <cellStyle name="链接单元格 2 3 3 2 4" xfId="51446" xr:uid="{00000000-0005-0000-0000-0000F6C80000}"/>
    <cellStyle name="链接单元格 2 3 3 2 4 2" xfId="51447" xr:uid="{00000000-0005-0000-0000-0000F7C80000}"/>
    <cellStyle name="链接单元格 2 3 3 3" xfId="51448" xr:uid="{00000000-0005-0000-0000-0000F8C80000}"/>
    <cellStyle name="链接单元格 2 3 3 3 2" xfId="51449" xr:uid="{00000000-0005-0000-0000-0000F9C80000}"/>
    <cellStyle name="链接单元格 2 3 3 3 2 2" xfId="51450" xr:uid="{00000000-0005-0000-0000-0000FAC80000}"/>
    <cellStyle name="链接单元格 2 3 3 3 2 2 2" xfId="51451" xr:uid="{00000000-0005-0000-0000-0000FBC80000}"/>
    <cellStyle name="链接单元格 2 3 3 3 3" xfId="51452" xr:uid="{00000000-0005-0000-0000-0000FCC80000}"/>
    <cellStyle name="链接单元格 2 3 3 3 3 2" xfId="51453" xr:uid="{00000000-0005-0000-0000-0000FDC80000}"/>
    <cellStyle name="链接单元格 2 3 3 4" xfId="51454" xr:uid="{00000000-0005-0000-0000-0000FEC80000}"/>
    <cellStyle name="链接单元格 2 3 3 5" xfId="51455" xr:uid="{00000000-0005-0000-0000-0000FFC80000}"/>
    <cellStyle name="链接单元格 2 3 3 6" xfId="51456" xr:uid="{00000000-0005-0000-0000-000000C90000}"/>
    <cellStyle name="链接单元格 2 3 4" xfId="51457" xr:uid="{00000000-0005-0000-0000-000001C90000}"/>
    <cellStyle name="链接单元格 2 3 4 2" xfId="51458" xr:uid="{00000000-0005-0000-0000-000002C90000}"/>
    <cellStyle name="链接单元格 2 3 4 2 2" xfId="51459" xr:uid="{00000000-0005-0000-0000-000003C90000}"/>
    <cellStyle name="链接单元格 2 3 4 2 3" xfId="51460" xr:uid="{00000000-0005-0000-0000-000004C90000}"/>
    <cellStyle name="链接单元格 2 3 4 2 3 2" xfId="51461" xr:uid="{00000000-0005-0000-0000-000005C90000}"/>
    <cellStyle name="链接单元格 2 3 4 2 3 2 2" xfId="51462" xr:uid="{00000000-0005-0000-0000-000006C90000}"/>
    <cellStyle name="链接单元格 2 3 4 2 4" xfId="51463" xr:uid="{00000000-0005-0000-0000-000007C90000}"/>
    <cellStyle name="链接单元格 2 3 4 2 4 2" xfId="51464" xr:uid="{00000000-0005-0000-0000-000008C90000}"/>
    <cellStyle name="链接单元格 2 3 4 3" xfId="51465" xr:uid="{00000000-0005-0000-0000-000009C90000}"/>
    <cellStyle name="链接单元格 2 3 4 4" xfId="51466" xr:uid="{00000000-0005-0000-0000-00000AC90000}"/>
    <cellStyle name="链接单元格 2 3 4 5" xfId="51467" xr:uid="{00000000-0005-0000-0000-00000BC90000}"/>
    <cellStyle name="链接单元格 2 3 4 6" xfId="51468" xr:uid="{00000000-0005-0000-0000-00000CC90000}"/>
    <cellStyle name="链接单元格 2 3 5" xfId="51469" xr:uid="{00000000-0005-0000-0000-00000DC90000}"/>
    <cellStyle name="链接单元格 2 3 5 2" xfId="51470" xr:uid="{00000000-0005-0000-0000-00000EC90000}"/>
    <cellStyle name="链接单元格 2 3 5 2 2" xfId="51471" xr:uid="{00000000-0005-0000-0000-00000FC90000}"/>
    <cellStyle name="链接单元格 2 3 5 2 2 2" xfId="51472" xr:uid="{00000000-0005-0000-0000-000010C90000}"/>
    <cellStyle name="链接单元格 2 3 5 2 2 2 2" xfId="51473" xr:uid="{00000000-0005-0000-0000-000011C90000}"/>
    <cellStyle name="链接单元格 2 3 5 2 3" xfId="51474" xr:uid="{00000000-0005-0000-0000-000012C90000}"/>
    <cellStyle name="链接单元格 2 3 5 2 3 2" xfId="51475" xr:uid="{00000000-0005-0000-0000-000013C90000}"/>
    <cellStyle name="链接单元格 2 3 5 3" xfId="51476" xr:uid="{00000000-0005-0000-0000-000014C90000}"/>
    <cellStyle name="链接单元格 2 3 5 3 2" xfId="51477" xr:uid="{00000000-0005-0000-0000-000015C90000}"/>
    <cellStyle name="链接单元格 2 3 5 3 2 2" xfId="51478" xr:uid="{00000000-0005-0000-0000-000016C90000}"/>
    <cellStyle name="链接单元格 2 3 5 4" xfId="51479" xr:uid="{00000000-0005-0000-0000-000017C90000}"/>
    <cellStyle name="链接单元格 2 3 5 4 2" xfId="51480" xr:uid="{00000000-0005-0000-0000-000018C90000}"/>
    <cellStyle name="链接单元格 2 3 6" xfId="51481" xr:uid="{00000000-0005-0000-0000-000019C90000}"/>
    <cellStyle name="链接单元格 2 3 6 2" xfId="51482" xr:uid="{00000000-0005-0000-0000-00001AC90000}"/>
    <cellStyle name="链接单元格 2 3 6 2 2" xfId="51483" xr:uid="{00000000-0005-0000-0000-00001BC90000}"/>
    <cellStyle name="链接单元格 2 3 6 2 2 2" xfId="51484" xr:uid="{00000000-0005-0000-0000-00001CC90000}"/>
    <cellStyle name="链接单元格 2 3 6 3" xfId="51485" xr:uid="{00000000-0005-0000-0000-00001DC90000}"/>
    <cellStyle name="链接单元格 2 3 6 3 2" xfId="51486" xr:uid="{00000000-0005-0000-0000-00001EC90000}"/>
    <cellStyle name="链接单元格 2 3 7" xfId="51487" xr:uid="{00000000-0005-0000-0000-00001FC90000}"/>
    <cellStyle name="链接单元格 2 3 7 2" xfId="51488" xr:uid="{00000000-0005-0000-0000-000020C90000}"/>
    <cellStyle name="链接单元格 2 3 7 2 2" xfId="51489" xr:uid="{00000000-0005-0000-0000-000021C90000}"/>
    <cellStyle name="链接单元格 2 3 7 2 2 2" xfId="51490" xr:uid="{00000000-0005-0000-0000-000022C90000}"/>
    <cellStyle name="链接单元格 2 3 7 3" xfId="51491" xr:uid="{00000000-0005-0000-0000-000023C90000}"/>
    <cellStyle name="链接单元格 2 3 7 3 2" xfId="51492" xr:uid="{00000000-0005-0000-0000-000024C90000}"/>
    <cellStyle name="链接单元格 2 3 8" xfId="51493" xr:uid="{00000000-0005-0000-0000-000025C90000}"/>
    <cellStyle name="链接单元格 2 3 9" xfId="51494" xr:uid="{00000000-0005-0000-0000-000026C90000}"/>
    <cellStyle name="链接单元格 2 4" xfId="51495" xr:uid="{00000000-0005-0000-0000-000027C90000}"/>
    <cellStyle name="链接单元格 2 4 2" xfId="51496" xr:uid="{00000000-0005-0000-0000-000028C90000}"/>
    <cellStyle name="链接单元格 2 4 2 2" xfId="51497" xr:uid="{00000000-0005-0000-0000-000029C90000}"/>
    <cellStyle name="链接单元格 2 4 2 3" xfId="51498" xr:uid="{00000000-0005-0000-0000-00002AC90000}"/>
    <cellStyle name="链接单元格 2 4 2 3 2" xfId="51499" xr:uid="{00000000-0005-0000-0000-00002BC90000}"/>
    <cellStyle name="链接单元格 2 4 2 3 2 2" xfId="51500" xr:uid="{00000000-0005-0000-0000-00002CC90000}"/>
    <cellStyle name="链接单元格 2 4 2 4" xfId="51501" xr:uid="{00000000-0005-0000-0000-00002DC90000}"/>
    <cellStyle name="链接单元格 2 4 2 4 2" xfId="51502" xr:uid="{00000000-0005-0000-0000-00002EC90000}"/>
    <cellStyle name="链接单元格 2 4 3" xfId="51503" xr:uid="{00000000-0005-0000-0000-00002FC90000}"/>
    <cellStyle name="链接单元格 2 4 3 2" xfId="51504" xr:uid="{00000000-0005-0000-0000-000030C90000}"/>
    <cellStyle name="链接单元格 2 4 3 2 2" xfId="51505" xr:uid="{00000000-0005-0000-0000-000031C90000}"/>
    <cellStyle name="链接单元格 2 4 3 2 2 2" xfId="51506" xr:uid="{00000000-0005-0000-0000-000032C90000}"/>
    <cellStyle name="链接单元格 2 4 3 3" xfId="51507" xr:uid="{00000000-0005-0000-0000-000033C90000}"/>
    <cellStyle name="链接单元格 2 4 3 3 2" xfId="51508" xr:uid="{00000000-0005-0000-0000-000034C90000}"/>
    <cellStyle name="链接单元格 2 4 4" xfId="51509" xr:uid="{00000000-0005-0000-0000-000035C90000}"/>
    <cellStyle name="链接单元格 2 4 5" xfId="51510" xr:uid="{00000000-0005-0000-0000-000036C90000}"/>
    <cellStyle name="链接单元格 2 4 6" xfId="51511" xr:uid="{00000000-0005-0000-0000-000037C90000}"/>
    <cellStyle name="链接单元格 2 5" xfId="51512" xr:uid="{00000000-0005-0000-0000-000038C90000}"/>
    <cellStyle name="链接单元格 2 5 2" xfId="51513" xr:uid="{00000000-0005-0000-0000-000039C90000}"/>
    <cellStyle name="链接单元格 2 5 2 2" xfId="51514" xr:uid="{00000000-0005-0000-0000-00003AC90000}"/>
    <cellStyle name="链接单元格 2 5 2 3" xfId="51515" xr:uid="{00000000-0005-0000-0000-00003BC90000}"/>
    <cellStyle name="链接单元格 2 5 2 3 2" xfId="51516" xr:uid="{00000000-0005-0000-0000-00003CC90000}"/>
    <cellStyle name="链接单元格 2 5 2 3 2 2" xfId="51517" xr:uid="{00000000-0005-0000-0000-00003DC90000}"/>
    <cellStyle name="链接单元格 2 5 2 4" xfId="51518" xr:uid="{00000000-0005-0000-0000-00003EC90000}"/>
    <cellStyle name="链接单元格 2 5 2 4 2" xfId="51519" xr:uid="{00000000-0005-0000-0000-00003FC90000}"/>
    <cellStyle name="链接单元格 2 5 3" xfId="51520" xr:uid="{00000000-0005-0000-0000-000040C90000}"/>
    <cellStyle name="链接单元格 2 5 4" xfId="51521" xr:uid="{00000000-0005-0000-0000-000041C90000}"/>
    <cellStyle name="链接单元格 2 5 5" xfId="51522" xr:uid="{00000000-0005-0000-0000-000042C90000}"/>
    <cellStyle name="链接单元格 2 5 6" xfId="51523" xr:uid="{00000000-0005-0000-0000-000043C90000}"/>
    <cellStyle name="链接单元格 2 6" xfId="51524" xr:uid="{00000000-0005-0000-0000-000044C90000}"/>
    <cellStyle name="链接单元格 2 6 2" xfId="51525" xr:uid="{00000000-0005-0000-0000-000045C90000}"/>
    <cellStyle name="链接单元格 2 6 2 2" xfId="51526" xr:uid="{00000000-0005-0000-0000-000046C90000}"/>
    <cellStyle name="链接单元格 2 6 2 2 2" xfId="51527" xr:uid="{00000000-0005-0000-0000-000047C90000}"/>
    <cellStyle name="链接单元格 2 6 2 2 2 2" xfId="51528" xr:uid="{00000000-0005-0000-0000-000048C90000}"/>
    <cellStyle name="链接单元格 2 6 2 3" xfId="51529" xr:uid="{00000000-0005-0000-0000-000049C90000}"/>
    <cellStyle name="链接单元格 2 6 2 3 2" xfId="51530" xr:uid="{00000000-0005-0000-0000-00004AC90000}"/>
    <cellStyle name="链接单元格 2 6 3" xfId="51531" xr:uid="{00000000-0005-0000-0000-00004BC90000}"/>
    <cellStyle name="链接单元格 2 6 3 2" xfId="51532" xr:uid="{00000000-0005-0000-0000-00004CC90000}"/>
    <cellStyle name="链接单元格 2 6 3 2 2" xfId="51533" xr:uid="{00000000-0005-0000-0000-00004DC90000}"/>
    <cellStyle name="链接单元格 2 6 4" xfId="51534" xr:uid="{00000000-0005-0000-0000-00004EC90000}"/>
    <cellStyle name="链接单元格 2 6 4 2" xfId="51535" xr:uid="{00000000-0005-0000-0000-00004FC90000}"/>
    <cellStyle name="链接单元格 2 7" xfId="51536" xr:uid="{00000000-0005-0000-0000-000050C90000}"/>
    <cellStyle name="链接单元格 2 7 2" xfId="51537" xr:uid="{00000000-0005-0000-0000-000051C90000}"/>
    <cellStyle name="链接单元格 2 7 2 2" xfId="51538" xr:uid="{00000000-0005-0000-0000-000052C90000}"/>
    <cellStyle name="链接单元格 2 7 2 2 2" xfId="51539" xr:uid="{00000000-0005-0000-0000-000053C90000}"/>
    <cellStyle name="链接单元格 2 7 2 2 2 2" xfId="51540" xr:uid="{00000000-0005-0000-0000-000054C90000}"/>
    <cellStyle name="链接单元格 2 7 2 3" xfId="51541" xr:uid="{00000000-0005-0000-0000-000055C90000}"/>
    <cellStyle name="链接单元格 2 7 2 3 2" xfId="51542" xr:uid="{00000000-0005-0000-0000-000056C90000}"/>
    <cellStyle name="链接单元格 2 7 3" xfId="51543" xr:uid="{00000000-0005-0000-0000-000057C90000}"/>
    <cellStyle name="链接单元格 2 7 3 2" xfId="51544" xr:uid="{00000000-0005-0000-0000-000058C90000}"/>
    <cellStyle name="链接单元格 2 7 3 2 2" xfId="51545" xr:uid="{00000000-0005-0000-0000-000059C90000}"/>
    <cellStyle name="链接单元格 2 7 4" xfId="51546" xr:uid="{00000000-0005-0000-0000-00005AC90000}"/>
    <cellStyle name="链接单元格 2 7 4 2" xfId="51547" xr:uid="{00000000-0005-0000-0000-00005BC90000}"/>
    <cellStyle name="链接单元格 2 8" xfId="51548" xr:uid="{00000000-0005-0000-0000-00005CC90000}"/>
    <cellStyle name="链接单元格 2 8 2" xfId="51549" xr:uid="{00000000-0005-0000-0000-00005DC90000}"/>
    <cellStyle name="链接单元格 2 8 2 2" xfId="51550" xr:uid="{00000000-0005-0000-0000-00005EC90000}"/>
    <cellStyle name="链接单元格 2 8 2 2 2" xfId="51551" xr:uid="{00000000-0005-0000-0000-00005FC90000}"/>
    <cellStyle name="链接单元格 2 8 2 2 2 2" xfId="51552" xr:uid="{00000000-0005-0000-0000-000060C90000}"/>
    <cellStyle name="链接单元格 2 8 2 3" xfId="51553" xr:uid="{00000000-0005-0000-0000-000061C90000}"/>
    <cellStyle name="链接单元格 2 8 2 3 2" xfId="51554" xr:uid="{00000000-0005-0000-0000-000062C90000}"/>
    <cellStyle name="链接单元格 2 8 3" xfId="51555" xr:uid="{00000000-0005-0000-0000-000063C90000}"/>
    <cellStyle name="链接单元格 2 8 3 2" xfId="51556" xr:uid="{00000000-0005-0000-0000-000064C90000}"/>
    <cellStyle name="链接单元格 2 8 3 2 2" xfId="51557" xr:uid="{00000000-0005-0000-0000-000065C90000}"/>
    <cellStyle name="链接单元格 2 8 4" xfId="51558" xr:uid="{00000000-0005-0000-0000-000066C90000}"/>
    <cellStyle name="链接单元格 2 8 4 2" xfId="51559" xr:uid="{00000000-0005-0000-0000-000067C90000}"/>
    <cellStyle name="链接单元格 2 9" xfId="51560" xr:uid="{00000000-0005-0000-0000-000068C90000}"/>
    <cellStyle name="链接单元格 2 9 2" xfId="51561" xr:uid="{00000000-0005-0000-0000-000069C90000}"/>
    <cellStyle name="链接单元格 2 9 2 2" xfId="51562" xr:uid="{00000000-0005-0000-0000-00006AC90000}"/>
    <cellStyle name="链接单元格 2 9 2 2 2" xfId="51563" xr:uid="{00000000-0005-0000-0000-00006BC90000}"/>
    <cellStyle name="链接单元格 2 9 3" xfId="51564" xr:uid="{00000000-0005-0000-0000-00006CC90000}"/>
    <cellStyle name="链接单元格 2 9 3 2" xfId="51565" xr:uid="{00000000-0005-0000-0000-00006DC90000}"/>
    <cellStyle name="链接单元格 3" xfId="51566" xr:uid="{00000000-0005-0000-0000-00006EC90000}"/>
    <cellStyle name="链接单元格 3 2" xfId="51567" xr:uid="{00000000-0005-0000-0000-00006FC90000}"/>
    <cellStyle name="链接单元格 3 2 2" xfId="51568" xr:uid="{00000000-0005-0000-0000-000070C90000}"/>
    <cellStyle name="链接单元格 3 2 2 2" xfId="51569" xr:uid="{00000000-0005-0000-0000-000071C90000}"/>
    <cellStyle name="链接单元格 3 2 2 2 2" xfId="51570" xr:uid="{00000000-0005-0000-0000-000072C90000}"/>
    <cellStyle name="链接单元格 3 2 2 2 3" xfId="51571" xr:uid="{00000000-0005-0000-0000-000073C90000}"/>
    <cellStyle name="链接单元格 3 2 2 2 3 2" xfId="51572" xr:uid="{00000000-0005-0000-0000-000074C90000}"/>
    <cellStyle name="链接单元格 3 2 2 2 3 2 2" xfId="51573" xr:uid="{00000000-0005-0000-0000-000075C90000}"/>
    <cellStyle name="链接单元格 3 2 2 2 4" xfId="51574" xr:uid="{00000000-0005-0000-0000-000076C90000}"/>
    <cellStyle name="链接单元格 3 2 2 2 4 2" xfId="51575" xr:uid="{00000000-0005-0000-0000-000077C90000}"/>
    <cellStyle name="链接单元格 3 2 2 3" xfId="51576" xr:uid="{00000000-0005-0000-0000-000078C90000}"/>
    <cellStyle name="链接单元格 3 2 2 3 2" xfId="51577" xr:uid="{00000000-0005-0000-0000-000079C90000}"/>
    <cellStyle name="链接单元格 3 2 2 3 2 2" xfId="51578" xr:uid="{00000000-0005-0000-0000-00007AC90000}"/>
    <cellStyle name="链接单元格 3 2 2 3 2 2 2" xfId="51579" xr:uid="{00000000-0005-0000-0000-00007BC90000}"/>
    <cellStyle name="链接单元格 3 2 2 3 3" xfId="51580" xr:uid="{00000000-0005-0000-0000-00007CC90000}"/>
    <cellStyle name="链接单元格 3 2 2 3 3 2" xfId="51581" xr:uid="{00000000-0005-0000-0000-00007DC90000}"/>
    <cellStyle name="链接单元格 3 2 2 4" xfId="51582" xr:uid="{00000000-0005-0000-0000-00007EC90000}"/>
    <cellStyle name="链接单元格 3 2 2 5" xfId="51583" xr:uid="{00000000-0005-0000-0000-00007FC90000}"/>
    <cellStyle name="链接单元格 3 2 2 6" xfId="51584" xr:uid="{00000000-0005-0000-0000-000080C90000}"/>
    <cellStyle name="链接单元格 3 2 3" xfId="51585" xr:uid="{00000000-0005-0000-0000-000081C90000}"/>
    <cellStyle name="链接单元格 3 2 3 2" xfId="51586" xr:uid="{00000000-0005-0000-0000-000082C90000}"/>
    <cellStyle name="链接单元格 3 2 3 3" xfId="51587" xr:uid="{00000000-0005-0000-0000-000083C90000}"/>
    <cellStyle name="链接单元格 3 2 3 3 2" xfId="51588" xr:uid="{00000000-0005-0000-0000-000084C90000}"/>
    <cellStyle name="链接单元格 3 2 3 3 2 2" xfId="51589" xr:uid="{00000000-0005-0000-0000-000085C90000}"/>
    <cellStyle name="链接单元格 3 2 3 4" xfId="51590" xr:uid="{00000000-0005-0000-0000-000086C90000}"/>
    <cellStyle name="链接单元格 3 2 3 4 2" xfId="51591" xr:uid="{00000000-0005-0000-0000-000087C90000}"/>
    <cellStyle name="链接单元格 3 2 4" xfId="51592" xr:uid="{00000000-0005-0000-0000-000088C90000}"/>
    <cellStyle name="链接单元格 3 2 4 2" xfId="51593" xr:uid="{00000000-0005-0000-0000-000089C90000}"/>
    <cellStyle name="链接单元格 3 2 4 2 2" xfId="51594" xr:uid="{00000000-0005-0000-0000-00008AC90000}"/>
    <cellStyle name="链接单元格 3 2 4 2 2 2" xfId="51595" xr:uid="{00000000-0005-0000-0000-00008BC90000}"/>
    <cellStyle name="链接单元格 3 2 4 3" xfId="51596" xr:uid="{00000000-0005-0000-0000-00008CC90000}"/>
    <cellStyle name="链接单元格 3 2 4 3 2" xfId="51597" xr:uid="{00000000-0005-0000-0000-00008DC90000}"/>
    <cellStyle name="链接单元格 3 2 5" xfId="51598" xr:uid="{00000000-0005-0000-0000-00008EC90000}"/>
    <cellStyle name="链接单元格 3 2 6" xfId="51599" xr:uid="{00000000-0005-0000-0000-00008FC90000}"/>
    <cellStyle name="链接单元格 3 2 7" xfId="51600" xr:uid="{00000000-0005-0000-0000-000090C90000}"/>
    <cellStyle name="链接单元格 3 3" xfId="51601" xr:uid="{00000000-0005-0000-0000-000091C90000}"/>
    <cellStyle name="链接单元格 3 3 2" xfId="51602" xr:uid="{00000000-0005-0000-0000-000092C90000}"/>
    <cellStyle name="链接单元格 3 3 2 2" xfId="51603" xr:uid="{00000000-0005-0000-0000-000093C90000}"/>
    <cellStyle name="链接单元格 3 3 2 3" xfId="51604" xr:uid="{00000000-0005-0000-0000-000094C90000}"/>
    <cellStyle name="链接单元格 3 3 2 3 2" xfId="51605" xr:uid="{00000000-0005-0000-0000-000095C90000}"/>
    <cellStyle name="链接单元格 3 3 2 3 2 2" xfId="51606" xr:uid="{00000000-0005-0000-0000-000096C90000}"/>
    <cellStyle name="链接单元格 3 3 2 4" xfId="51607" xr:uid="{00000000-0005-0000-0000-000097C90000}"/>
    <cellStyle name="链接单元格 3 3 2 4 2" xfId="51608" xr:uid="{00000000-0005-0000-0000-000098C90000}"/>
    <cellStyle name="链接单元格 3 3 3" xfId="51609" xr:uid="{00000000-0005-0000-0000-000099C90000}"/>
    <cellStyle name="链接单元格 3 3 3 2" xfId="51610" xr:uid="{00000000-0005-0000-0000-00009AC90000}"/>
    <cellStyle name="链接单元格 3 3 3 2 2" xfId="51611" xr:uid="{00000000-0005-0000-0000-00009BC90000}"/>
    <cellStyle name="链接单元格 3 3 3 2 2 2" xfId="51612" xr:uid="{00000000-0005-0000-0000-00009CC90000}"/>
    <cellStyle name="链接单元格 3 3 3 3" xfId="51613" xr:uid="{00000000-0005-0000-0000-00009DC90000}"/>
    <cellStyle name="链接单元格 3 3 3 3 2" xfId="51614" xr:uid="{00000000-0005-0000-0000-00009EC90000}"/>
    <cellStyle name="链接单元格 3 3 4" xfId="51615" xr:uid="{00000000-0005-0000-0000-00009FC90000}"/>
    <cellStyle name="链接单元格 3 3 5" xfId="51616" xr:uid="{00000000-0005-0000-0000-0000A0C90000}"/>
    <cellStyle name="链接单元格 3 3 6" xfId="51617" xr:uid="{00000000-0005-0000-0000-0000A1C90000}"/>
    <cellStyle name="链接单元格 3 4" xfId="51618" xr:uid="{00000000-0005-0000-0000-0000A2C90000}"/>
    <cellStyle name="链接单元格 3 4 2" xfId="51619" xr:uid="{00000000-0005-0000-0000-0000A3C90000}"/>
    <cellStyle name="链接单元格 3 4 2 2" xfId="51620" xr:uid="{00000000-0005-0000-0000-0000A4C90000}"/>
    <cellStyle name="链接单元格 3 4 2 3" xfId="51621" xr:uid="{00000000-0005-0000-0000-0000A5C90000}"/>
    <cellStyle name="链接单元格 3 4 2 3 2" xfId="51622" xr:uid="{00000000-0005-0000-0000-0000A6C90000}"/>
    <cellStyle name="链接单元格 3 4 2 3 2 2" xfId="51623" xr:uid="{00000000-0005-0000-0000-0000A7C90000}"/>
    <cellStyle name="链接单元格 3 4 2 4" xfId="51624" xr:uid="{00000000-0005-0000-0000-0000A8C90000}"/>
    <cellStyle name="链接单元格 3 4 2 4 2" xfId="51625" xr:uid="{00000000-0005-0000-0000-0000A9C90000}"/>
    <cellStyle name="链接单元格 3 4 3" xfId="51626" xr:uid="{00000000-0005-0000-0000-0000AAC90000}"/>
    <cellStyle name="链接单元格 3 4 4" xfId="51627" xr:uid="{00000000-0005-0000-0000-0000ABC90000}"/>
    <cellStyle name="链接单元格 3 4 5" xfId="51628" xr:uid="{00000000-0005-0000-0000-0000ACC90000}"/>
    <cellStyle name="链接单元格 3 4 6" xfId="51629" xr:uid="{00000000-0005-0000-0000-0000ADC90000}"/>
    <cellStyle name="链接单元格 3 5" xfId="51630" xr:uid="{00000000-0005-0000-0000-0000AEC90000}"/>
    <cellStyle name="链接单元格 3 5 2" xfId="51631" xr:uid="{00000000-0005-0000-0000-0000AFC90000}"/>
    <cellStyle name="链接单元格 3 5 2 2" xfId="51632" xr:uid="{00000000-0005-0000-0000-0000B0C90000}"/>
    <cellStyle name="链接单元格 3 5 2 2 2" xfId="51633" xr:uid="{00000000-0005-0000-0000-0000B1C90000}"/>
    <cellStyle name="链接单元格 3 5 2 2 2 2" xfId="51634" xr:uid="{00000000-0005-0000-0000-0000B2C90000}"/>
    <cellStyle name="链接单元格 3 5 2 3" xfId="51635" xr:uid="{00000000-0005-0000-0000-0000B3C90000}"/>
    <cellStyle name="链接单元格 3 5 2 3 2" xfId="51636" xr:uid="{00000000-0005-0000-0000-0000B4C90000}"/>
    <cellStyle name="链接单元格 3 5 3" xfId="51637" xr:uid="{00000000-0005-0000-0000-0000B5C90000}"/>
    <cellStyle name="链接单元格 3 5 3 2" xfId="51638" xr:uid="{00000000-0005-0000-0000-0000B6C90000}"/>
    <cellStyle name="链接单元格 3 5 3 2 2" xfId="51639" xr:uid="{00000000-0005-0000-0000-0000B7C90000}"/>
    <cellStyle name="链接单元格 3 5 4" xfId="51640" xr:uid="{00000000-0005-0000-0000-0000B8C90000}"/>
    <cellStyle name="链接单元格 3 5 4 2" xfId="51641" xr:uid="{00000000-0005-0000-0000-0000B9C90000}"/>
    <cellStyle name="链接单元格 3 6" xfId="51642" xr:uid="{00000000-0005-0000-0000-0000BAC90000}"/>
    <cellStyle name="链接单元格 3 6 2" xfId="51643" xr:uid="{00000000-0005-0000-0000-0000BBC90000}"/>
    <cellStyle name="链接单元格 3 6 2 2" xfId="51644" xr:uid="{00000000-0005-0000-0000-0000BCC90000}"/>
    <cellStyle name="链接单元格 3 6 2 2 2" xfId="51645" xr:uid="{00000000-0005-0000-0000-0000BDC90000}"/>
    <cellStyle name="链接单元格 3 6 3" xfId="51646" xr:uid="{00000000-0005-0000-0000-0000BEC90000}"/>
    <cellStyle name="链接单元格 3 6 3 2" xfId="51647" xr:uid="{00000000-0005-0000-0000-0000BFC90000}"/>
    <cellStyle name="链接单元格 3 7" xfId="51648" xr:uid="{00000000-0005-0000-0000-0000C0C90000}"/>
    <cellStyle name="链接单元格 3 8" xfId="51649" xr:uid="{00000000-0005-0000-0000-0000C1C90000}"/>
  </cellStyles>
  <dxfs count="443">
    <dxf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indexed="2"/>
          <bgColor indexed="2"/>
        </patternFill>
      </fill>
    </dxf>
    <dxf>
      <fill>
        <patternFill>
          <bgColor theme="9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theme="8" tint="0.39994506668294322"/>
          <bgColor theme="8" tint="0.39994506668294322"/>
        </patternFill>
      </fill>
    </dxf>
    <dxf>
      <fill>
        <patternFill patternType="solid">
          <fgColor theme="9" tint="0.39994506668294322"/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theme="5" tint="0.39994506668294322"/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 patternType="solid">
          <fgColor theme="7" tint="0.39994506668294322"/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ill>
        <patternFill>
          <bgColor theme="4"/>
        </patternFill>
      </fill>
    </dxf>
    <dxf>
      <fill>
        <patternFill>
          <bgColor theme="4" tint="0.79998168889431442"/>
        </patternFill>
      </fill>
    </dxf>
    <dxf>
      <fill>
        <gradientFill degree="225">
          <stop position="0">
            <color theme="0"/>
          </stop>
          <stop position="1">
            <color rgb="FF32D925"/>
          </stop>
        </gradientFill>
      </fill>
    </dxf>
    <dxf>
      <fill>
        <patternFill patternType="solid">
          <fgColor rgb="FFFFC000"/>
          <bgColor indexed="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rgb="FFFFC000"/>
          <bgColor rgb="FFFFC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4" tint="0.59996337778862885"/>
          <bgColor theme="4" tint="0.5999633777886288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4" tint="0.59996337778862885"/>
          <bgColor theme="4" tint="0.59996337778862885"/>
        </patternFill>
      </fill>
    </dxf>
    <dxf>
      <fill>
        <patternFill patternType="solid">
          <fgColor theme="4" tint="0.59996337778862885"/>
          <bgColor theme="4" tint="0.59996337778862885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9" tint="0.80001220740379042"/>
          </stop>
        </gradientFill>
      </fill>
    </dxf>
    <dxf>
      <fill>
        <gradientFill type="path" left="0.5" right="0.5" top="0.5" bottom="0.5">
          <stop position="0">
            <color theme="7" tint="0.59999389629810485"/>
          </stop>
          <stop position="1">
            <color theme="9" tint="0.80001220740379042"/>
          </stop>
        </gradient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9" tint="0.39994506668294322"/>
          <bgColor theme="9" tint="0.39994506668294322"/>
        </patternFill>
      </fill>
    </dxf>
    <dxf>
      <fill>
        <patternFill patternType="solid">
          <fgColor theme="5" tint="0.39994506668294322"/>
          <bgColor theme="5" tint="0.39994506668294322"/>
        </patternFill>
      </fill>
    </dxf>
    <dxf>
      <fill>
        <patternFill patternType="solid">
          <fgColor rgb="FFFF4B4B"/>
          <bgColor rgb="FFFF4B4B"/>
        </patternFill>
      </fill>
    </dxf>
    <dxf>
      <fill>
        <patternFill patternType="solid">
          <fgColor rgb="FF00B0F0"/>
          <bgColor rgb="FF00B0F0"/>
        </patternFill>
      </fill>
    </dxf>
    <dxf>
      <font>
        <b val="0"/>
        <i/>
      </font>
    </dxf>
    <dxf>
      <fill>
        <gradientFill degree="45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225">
          <stop position="0">
            <color theme="0"/>
          </stop>
          <stop position="1">
            <color rgb="FF00B0F0"/>
          </stop>
        </gradientFill>
      </fill>
    </dxf>
    <dxf>
      <fill>
        <patternFill patternType="solid">
          <fgColor indexed="2"/>
          <bgColor indexed="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theme="4" tint="0.59996337778862885"/>
          <bgColor theme="4" tint="0.39994506668294322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 tint="0.59996337778862885"/>
          <bgColor theme="9" tint="0.59996337778862885"/>
        </patternFill>
      </fill>
    </dxf>
    <dxf>
      <font>
        <b/>
        <i val="0"/>
      </font>
    </dxf>
    <dxf>
      <fill>
        <gradientFill type="path" left="0.5" right="0.5" top="0.5" bottom="0.5">
          <stop position="0">
            <color theme="0"/>
          </stop>
          <stop position="1">
            <color theme="9" tint="0.80001220740379042"/>
          </stop>
        </gradient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theme="9" tint="0.39994506668294322"/>
          <bgColor theme="9" tint="0.39994506668294322"/>
        </patternFill>
      </fill>
    </dxf>
    <dxf>
      <fill>
        <patternFill patternType="solid">
          <fgColor theme="5" tint="0.39994506668294322"/>
          <bgColor theme="5" tint="0.39994506668294322"/>
        </patternFill>
      </fill>
    </dxf>
    <dxf>
      <fill>
        <patternFill patternType="solid">
          <fgColor rgb="FFFF4B4B"/>
          <bgColor rgb="FFFF4B4B"/>
        </patternFill>
      </fill>
    </dxf>
    <dxf>
      <fill>
        <patternFill patternType="solid">
          <fgColor rgb="FF00B0F0"/>
          <bgColor rgb="FF00B0F0"/>
        </patternFill>
      </fill>
    </dxf>
    <dxf>
      <fill>
        <gradientFill degree="45">
          <stop position="0">
            <color theme="0"/>
          </stop>
          <stop position="1">
            <color theme="9" tint="0.40000610370189521"/>
          </stop>
        </gradientFill>
      </fill>
    </dxf>
    <dxf>
      <fill>
        <gradientFill degree="225">
          <stop position="0">
            <color theme="0"/>
          </stop>
          <stop position="1">
            <color rgb="FF00B0F0"/>
          </stop>
        </gradientFill>
      </fill>
    </dxf>
    <dxf>
      <fill>
        <patternFill patternType="solid">
          <fgColor rgb="FFC00000"/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59996337778862885"/>
          <bgColor theme="4" tint="0.3999450666829432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fill>
        <patternFill>
          <bgColor theme="7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  <numFmt numFmtId="0" formatCode="General"/>
      <fill>
        <patternFill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numFmt numFmtId="0" formatCode="General"/>
      <fill>
        <patternFill patternType="none"/>
      </fill>
      <alignment horizontal="left" vertical="center" textRotation="0" wrapText="1" relativeIndent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center" textRotation="0" wrapText="0" relativeIndent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fill>
        <patternFill patternType="solid">
          <fgColor indexed="5"/>
          <bgColor indexed="5"/>
        </patternFill>
      </fill>
      <alignment horizontal="left" vertical="center" textRotation="0" wrapText="0" relativeIndent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u val="none"/>
        <vertAlign val="baseline"/>
        <sz val="11"/>
        <name val="Calibri"/>
        <scheme val="minor"/>
      </font>
      <fill>
        <patternFill patternType="solid">
          <fgColor indexed="5"/>
          <bgColor indexed="5"/>
        </patternFill>
      </fill>
      <alignment horizontal="center" vertical="center" textRotation="0" wrapText="0" relativeIndent="0" shrinkToFit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 outline="0">
        <left style="thin">
          <color auto="1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fill>
        <patternFill>
          <bgColor theme="7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fill>
        <patternFill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3" formatCode="#,##0"/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numFmt numFmtId="0" formatCode="General"/>
      <fill>
        <patternFill patternType="none"/>
      </fill>
      <alignment horizontal="left" vertical="center" textRotation="0" wrapText="1" relativeIndent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5"/>
          <bgColor auto="1"/>
        </patternFill>
      </fill>
      <alignment vertical="center" textRotation="0" wrapText="0" relativeIndent="0" shrinkToFit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5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fill>
        <patternFill patternType="solid">
          <fgColor indexed="5"/>
          <bgColor indexed="5"/>
        </patternFill>
      </fill>
      <alignment horizontal="left" vertical="center" textRotation="0" wrapText="0" relativeIndent="0" shrinkToFit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u val="none"/>
        <vertAlign val="baseline"/>
        <sz val="11"/>
        <name val="Calibri"/>
        <scheme val="minor"/>
      </font>
      <fill>
        <patternFill patternType="solid">
          <fgColor indexed="5"/>
          <bgColor indexed="5"/>
        </patternFill>
      </fill>
      <alignment horizontal="center" vertical="center" textRotation="0" wrapText="0" relativeIndent="0" shrinkToFit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alignment horizontal="center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auto="1"/>
        </bottom>
      </border>
    </dxf>
    <dxf>
      <font>
        <b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u val="none"/>
        <vertAlign val="baseline"/>
        <sz val="1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alignment horizontal="center" vertical="center" textRotation="0" wrapText="0" relativeIndent="0" shrinkToFit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0" formatCode="General"/>
      <alignment horizontal="right"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vertAlign val="baseline"/>
        <sz val="11"/>
        <name val="Calibri"/>
        <scheme val="minor"/>
      </font>
      <alignment horizontal="center"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numFmt numFmtId="19" formatCode="dd/mm/yyyy"/>
      <alignment horizontal="center"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u val="none"/>
        <vertAlign val="baseline"/>
        <sz val="11"/>
        <name val="Calibri"/>
        <scheme val="minor"/>
      </font>
      <numFmt numFmtId="0" formatCode="General"/>
      <alignment horizontal="center" vertical="center" textRotation="0" wrapText="0" relativeIndent="0" shrinkToFit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alignment horizontal="left" vertical="center" textRotation="0" wrapText="1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alignment horizontal="left"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vertAlign val="baseline"/>
        <sz val="11"/>
        <name val="Calibri"/>
        <scheme val="minor"/>
      </font>
      <alignment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u val="none"/>
        <vertAlign val="baseline"/>
        <sz val="11"/>
        <name val="Calibri"/>
        <scheme val="minor"/>
      </font>
      <numFmt numFmtId="0" formatCode="General"/>
      <alignment horizontal="center" vertical="center" textRotation="0" wrapText="0" relativeIndent="0" shrinkToFit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222222"/>
        <name val="Calibri"/>
        <scheme val="minor"/>
      </font>
      <numFmt numFmtId="3" formatCode="#,##0"/>
      <fill>
        <patternFill patternType="solid">
          <fgColor theme="0" tint="-0.249977111117893"/>
          <bgColor theme="0" tint="-0.249977111117893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222222"/>
        <name val="Calibri"/>
        <scheme val="minor"/>
      </font>
      <numFmt numFmtId="0" formatCode="General"/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fill>
        <patternFill patternType="solid">
          <fgColor theme="0" tint="-0.249977111117893"/>
          <bgColor theme="0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numFmt numFmtId="3" formatCode="#,##0"/>
      <fill>
        <patternFill patternType="solid">
          <fgColor theme="0" tint="-0.249977111117893"/>
          <bgColor theme="4" tint="0.79998168889431442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numFmt numFmtId="3" formatCode="#,##0"/>
      <fill>
        <patternFill patternType="solid">
          <fgColor theme="0" tint="-0.249977111117893"/>
          <bgColor theme="4" tint="0.79998168889431442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222222"/>
        <name val="Calibri"/>
        <scheme val="minor"/>
      </font>
      <numFmt numFmtId="3" formatCode="#,##0"/>
      <fill>
        <patternFill patternType="solid">
          <fgColor theme="0" tint="-0.249977111117893"/>
          <bgColor theme="4" tint="0.79998168889431442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222222"/>
        <name val="Calibri"/>
        <scheme val="minor"/>
      </font>
      <numFmt numFmtId="0" formatCode="General"/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222222"/>
        <name val="Calibri"/>
        <scheme val="minor"/>
      </font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numFmt numFmtId="3" formatCode="#,##0"/>
      <fill>
        <patternFill patternType="solid">
          <fgColor theme="0" tint="-0.249977111117893"/>
          <bgColor theme="0" tint="-0.249977111117893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222222"/>
        <name val="Calibri"/>
        <scheme val="minor"/>
      </font>
      <numFmt numFmtId="0" formatCode="General"/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fill>
        <patternFill patternType="solid">
          <fgColor theme="0" tint="-0.249977111117893"/>
          <bgColor theme="0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numFmt numFmtId="3" formatCode="#,##0"/>
      <fill>
        <patternFill patternType="solid">
          <fgColor theme="0" tint="-0.249977111117893"/>
          <bgColor theme="4" tint="0.79998168889431442"/>
        </patternFill>
      </fill>
      <alignment horizontal="right" vertical="center" textRotation="0" wrapText="1" relativeIndent="0" shrinkToFit="0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numFmt numFmtId="0" formatCode="General"/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numFmt numFmtId="210" formatCode="#,##0.0"/>
      <fill>
        <patternFill patternType="solid">
          <fgColor theme="0"/>
          <bgColor theme="0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numFmt numFmtId="210" formatCode="#,##0.0"/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  <fill>
        <patternFill patternType="solid">
          <fgColor indexed="5"/>
          <bgColor indexed="5"/>
        </patternFill>
      </fill>
      <alignment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  <fill>
        <patternFill patternType="none"/>
      </fill>
      <alignment horizontal="center" vertical="center" textRotation="0" wrapText="0" relativeIndent="0" shrinkToFit="0"/>
      <border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rgb="FF222222"/>
        <name val="Calibri"/>
        <scheme val="minor"/>
      </font>
      <numFmt numFmtId="3" formatCode="#,##0"/>
      <fill>
        <patternFill patternType="solid">
          <fgColor theme="0" tint="-0.249977111117893"/>
          <bgColor theme="0" tint="-0.249977111117893"/>
        </patternFill>
      </fill>
      <alignment horizontal="right" vertical="center" textRotation="0" wrapText="1" relativeIndent="0" shrinkToFit="0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color rgb="FF222222"/>
        <name val="Calibri"/>
        <scheme val="minor"/>
      </font>
      <numFmt numFmtId="0" formatCode="General"/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fill>
        <patternFill patternType="solid">
          <fgColor theme="0" tint="-0.249977111117893"/>
          <bgColor theme="0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numFmt numFmtId="3" formatCode="#,##0"/>
      <fill>
        <patternFill patternType="solid">
          <fgColor theme="0" tint="-0.249977111117893"/>
          <bgColor theme="8" tint="0.59999389629810485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numFmt numFmtId="0" formatCode="General"/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222222"/>
        <name val="Calibri"/>
        <scheme val="minor"/>
      </font>
      <numFmt numFmtId="3" formatCode="#,##0"/>
      <fill>
        <patternFill patternType="solid">
          <fgColor theme="0" tint="-0.249977111117893"/>
          <bgColor theme="4" tint="0.79998168889431442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222222"/>
        <name val="Calibri"/>
        <scheme val="minor"/>
      </font>
      <numFmt numFmtId="0" formatCode="General"/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rgb="FF222222"/>
        <name val="Calibri"/>
        <scheme val="minor"/>
      </font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8" tint="0.59999389629810485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numFmt numFmtId="3" formatCode="#,##0"/>
      <fill>
        <patternFill patternType="solid">
          <fgColor theme="0" tint="-0.249977111117893"/>
          <bgColor theme="0" tint="-0.249977111117893"/>
        </patternFill>
      </fill>
      <alignment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222222"/>
        <name val="Calibri"/>
        <scheme val="minor"/>
      </font>
      <numFmt numFmtId="0" formatCode="General"/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3" formatCode="#,##0"/>
      <fill>
        <patternFill patternType="solid">
          <fgColor theme="0" tint="-0.249977111117893"/>
          <bgColor theme="0"/>
        </patternFill>
      </fill>
      <alignment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numFmt numFmtId="3" formatCode="#,##0"/>
      <fill>
        <patternFill patternType="solid">
          <fgColor theme="0" tint="-0.249977111117893"/>
          <bgColor theme="4" tint="0.79998168889431442"/>
        </patternFill>
      </fill>
      <alignment horizontal="right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numFmt numFmtId="0" formatCode="General"/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u val="none"/>
        <vertAlign val="baseline"/>
        <sz val="11"/>
        <color rgb="FF222222"/>
        <name val="Calibri"/>
        <scheme val="minor"/>
      </font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77111117893"/>
          <bgColor theme="0" tint="-0.249977111117893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fill>
        <patternFill patternType="solid">
          <fgColor theme="0" tint="-0.249977111117893"/>
          <bgColor theme="0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numFmt numFmtId="0" formatCode="General"/>
      <fill>
        <patternFill patternType="solid">
          <fgColor theme="0" tint="-0.249977111117893"/>
          <bgColor theme="4" tint="0.79998168889431442"/>
        </patternFill>
      </fill>
      <alignment horizontal="center"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numFmt numFmtId="210" formatCode="#,##0.0"/>
      <fill>
        <patternFill patternType="solid">
          <fgColor theme="0"/>
          <bgColor theme="0"/>
        </patternFill>
      </fill>
      <alignment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u val="none"/>
        <vertAlign val="baseline"/>
        <sz val="11"/>
        <name val="Calibri"/>
        <scheme val="minor"/>
      </font>
      <numFmt numFmtId="210" formatCode="#,##0.0"/>
      <alignment vertical="center" textRotation="0" wrapText="1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center"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vertical="center" textRotation="0" wrapText="0" relativeIndent="0" shrinkToFit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  <fill>
        <patternFill patternType="none"/>
      </fill>
      <alignment horizontal="center" vertical="center" textRotation="0" wrapText="0" relativeIndent="0" shrinkToFit="0"/>
      <border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Автовик" displayName="Автовик" ref="A4:EC71" totalsRowCount="1">
  <autoFilter ref="A4:EC70" xr:uid="{00000000-0009-0000-0100-000001000000}"/>
  <tableColumns count="133">
    <tableColumn id="1" xr3:uid="{00000000-0010-0000-0000-000001000000}" name="№" dataDxfId="442"/>
    <tableColumn id="2" xr3:uid="{00000000-0010-0000-0000-000002000000}" name="Клиент" dataDxfId="441"/>
    <tableColumn id="3" xr3:uid="{00000000-0010-0000-0000-000003000000}" name="Раздел" dataDxfId="440"/>
    <tableColumn id="4" xr3:uid="{00000000-0010-0000-0000-000004000000}" name="Сет" dataDxfId="439"/>
    <tableColumn id="5" xr3:uid="{00000000-0010-0000-0000-000005000000}" name="Кол-во в сете" dataDxfId="438"/>
    <tableColumn id="6" xr3:uid="{00000000-0010-0000-0000-000006000000}" name="п\п" dataDxfId="437"/>
    <tableColumn id="7" xr3:uid="{00000000-0010-0000-0000-000007000000}" name="2 - продукт WABCO" dataDxfId="436"/>
    <tableColumn id="8" xr3:uid="{00000000-0010-0000-0000-000008000000}" name="Номер изделия/ артикул" dataDxfId="435"/>
    <tableColumn id="9" xr3:uid="{00000000-0010-0000-0000-000009000000}" name="Наименование" totalsRowLabel="Итого:" dataDxfId="434"/>
    <tableColumn id="10" xr3:uid="{00000000-0010-0000-0000-00000A000000}" name="Цена, _x000a_юань, без НДС 1" dataDxfId="433"/>
    <tableColumn id="11" xr3:uid="{00000000-0010-0000-0000-00000B000000}" name="Цена, _x000a_юань, без НДС 2" dataDxfId="432"/>
    <tableColumn id="12" xr3:uid="{00000000-0010-0000-0000-00000C000000}" name="AOP,_x000a_шт 01_24" totalsRowFunction="custom" dataDxfId="431">
      <totalsRowFormula>SUM(L$5:L$70)</totalsRowFormula>
    </tableColumn>
    <tableColumn id="13" xr3:uid="{00000000-0010-0000-0000-00000D000000}" name="Прогноз,_x000a_шт 01_24" totalsRowFunction="custom" dataDxfId="430">
      <totalsRowFormula>SUM(M$5:M$70)</totalsRowFormula>
    </tableColumn>
    <tableColumn id="14" xr3:uid="{00000000-0010-0000-0000-00000E000000}" name="Факт,_x000a_шт 01_24" totalsRowFunction="custom" dataDxfId="429">
      <totalsRowFormula>SUM(N$5:N$70)</totalsRowFormula>
    </tableColumn>
    <tableColumn id="15" xr3:uid="{00000000-0010-0000-0000-00000F000000}" name="Комментарий 01_24" dataDxfId="428"/>
    <tableColumn id="16" xr3:uid="{00000000-0010-0000-0000-000010000000}" name="AOP,_x000a_шт 02_24" totalsRowFunction="custom" dataDxfId="427">
      <totalsRowFormula>SUM(P$5:P$70)</totalsRowFormula>
    </tableColumn>
    <tableColumn id="17" xr3:uid="{00000000-0010-0000-0000-000011000000}" name="Прогноз,_x000a_шт 02_24" totalsRowFunction="custom" dataDxfId="426">
      <totalsRowFormula>SUM(Q$5:Q$70)</totalsRowFormula>
    </tableColumn>
    <tableColumn id="18" xr3:uid="{00000000-0010-0000-0000-000012000000}" name="Факт,_x000a_шт 02_24" totalsRowFunction="custom" dataDxfId="425">
      <totalsRowFormula>SUM(R$5:R$70)</totalsRowFormula>
    </tableColumn>
    <tableColumn id="19" xr3:uid="{00000000-0010-0000-0000-000013000000}" name="Комментарий 02_24" dataDxfId="424"/>
    <tableColumn id="20" xr3:uid="{00000000-0010-0000-0000-000014000000}" name="AOP,_x000a_шт 03_24" totalsRowFunction="custom" dataDxfId="423">
      <totalsRowFormula>SUM(T$5:T$70)</totalsRowFormula>
    </tableColumn>
    <tableColumn id="21" xr3:uid="{00000000-0010-0000-0000-000015000000}" name="Прогноз,_x000a_шт 03_24" totalsRowFunction="custom" dataDxfId="422">
      <totalsRowFormula>SUM(U$5:U$70)</totalsRowFormula>
    </tableColumn>
    <tableColumn id="22" xr3:uid="{00000000-0010-0000-0000-000016000000}" name="Факт,_x000a_шт 03_24" totalsRowFunction="custom" dataDxfId="421">
      <totalsRowFormula>SUM(V$5:V$70)</totalsRowFormula>
    </tableColumn>
    <tableColumn id="23" xr3:uid="{00000000-0010-0000-0000-000017000000}" name="Комментарий 03_24" dataDxfId="420"/>
    <tableColumn id="24" xr3:uid="{00000000-0010-0000-0000-000018000000}" name="AOP,_x000a_шт 04_24" totalsRowFunction="custom" dataDxfId="419">
      <totalsRowFormula>SUM(X$5:X$70)</totalsRowFormula>
    </tableColumn>
    <tableColumn id="25" xr3:uid="{00000000-0010-0000-0000-000019000000}" name="Прогноз,_x000a_шт 04_24" totalsRowFunction="custom" dataDxfId="418">
      <totalsRowFormula>SUM(Y$5:Y$70)</totalsRowFormula>
    </tableColumn>
    <tableColumn id="26" xr3:uid="{00000000-0010-0000-0000-00001A000000}" name="Факт,_x000a_шт 04_24" totalsRowFunction="custom" dataDxfId="417">
      <totalsRowFormula>SUM(Z$5:Z$70)</totalsRowFormula>
    </tableColumn>
    <tableColumn id="27" xr3:uid="{00000000-0010-0000-0000-00001B000000}" name="Комментарий 04_24" dataDxfId="416"/>
    <tableColumn id="28" xr3:uid="{00000000-0010-0000-0000-00001C000000}" name="AOP,_x000a_шт 05_24" totalsRowFunction="custom" dataDxfId="415">
      <totalsRowFormula>SUM(AB$5:AB$70)</totalsRowFormula>
    </tableColumn>
    <tableColumn id="29" xr3:uid="{00000000-0010-0000-0000-00001D000000}" name="Прогноз,_x000a_шт 05_24" totalsRowFunction="custom" dataDxfId="414">
      <totalsRowFormula>SUM(AC$5:AC$70)</totalsRowFormula>
    </tableColumn>
    <tableColumn id="30" xr3:uid="{00000000-0010-0000-0000-00001E000000}" name="Факт,_x000a_шт 05_24" totalsRowFunction="custom" dataDxfId="413">
      <totalsRowFormula>SUM(AD$5:AD$70)</totalsRowFormula>
    </tableColumn>
    <tableColumn id="31" xr3:uid="{00000000-0010-0000-0000-00001F000000}" name="Комментарий 05_24" dataDxfId="412"/>
    <tableColumn id="32" xr3:uid="{00000000-0010-0000-0000-000020000000}" name="AOP,_x000a_шт 06_24" totalsRowFunction="custom" dataDxfId="411">
      <totalsRowFormula>SUM(AF$5:AF$70)</totalsRowFormula>
    </tableColumn>
    <tableColumn id="33" xr3:uid="{00000000-0010-0000-0000-000021000000}" name="Прогноз,_x000a_шт 06_24" totalsRowFunction="custom" dataDxfId="410">
      <totalsRowFormula>SUM(AG$5:AG$70)</totalsRowFormula>
    </tableColumn>
    <tableColumn id="34" xr3:uid="{00000000-0010-0000-0000-000022000000}" name="Факт,_x000a_шт 06_24" totalsRowFunction="custom" dataDxfId="409">
      <totalsRowFormula>SUM(AH$5:AH$70)</totalsRowFormula>
    </tableColumn>
    <tableColumn id="35" xr3:uid="{00000000-0010-0000-0000-000023000000}" name="Комментарий 06_24" dataDxfId="408"/>
    <tableColumn id="36" xr3:uid="{00000000-0010-0000-0000-000024000000}" name="AOP,_x000a_шт 07_24" totalsRowFunction="custom" dataDxfId="407">
      <totalsRowFormula>SUM(AJ$5:AJ$70)</totalsRowFormula>
    </tableColumn>
    <tableColumn id="37" xr3:uid="{00000000-0010-0000-0000-000025000000}" name="Прогноз,_x000a_шт 07_24" totalsRowFunction="custom" dataDxfId="406">
      <totalsRowFormula>SUM(AK$5:AK$70)</totalsRowFormula>
    </tableColumn>
    <tableColumn id="38" xr3:uid="{00000000-0010-0000-0000-000026000000}" name="Факт,_x000a_шт 07_24" totalsRowFunction="custom" dataDxfId="405">
      <totalsRowFormula>SUM(AL$5:AL$70)</totalsRowFormula>
    </tableColumn>
    <tableColumn id="39" xr3:uid="{00000000-0010-0000-0000-000027000000}" name="Комментарий 07_24" dataDxfId="404"/>
    <tableColumn id="40" xr3:uid="{00000000-0010-0000-0000-000028000000}" name="AOP,_x000a_шт 08_24" totalsRowFunction="custom" dataDxfId="403">
      <totalsRowFormula>SUM(AN$5:AN$70)</totalsRowFormula>
    </tableColumn>
    <tableColumn id="41" xr3:uid="{00000000-0010-0000-0000-000029000000}" name="Прогноз,_x000a_шт 08_24" totalsRowFunction="custom" dataDxfId="402">
      <totalsRowFormula>SUM(AO$5:AO$70)</totalsRowFormula>
    </tableColumn>
    <tableColumn id="42" xr3:uid="{00000000-0010-0000-0000-00002A000000}" name="Факт,_x000a_шт 08_24" totalsRowFunction="custom" dataDxfId="401">
      <totalsRowFormula>SUM(AP$5:AP$70)</totalsRowFormula>
    </tableColumn>
    <tableColumn id="43" xr3:uid="{00000000-0010-0000-0000-00002B000000}" name="Комментарий 08_24" dataDxfId="400"/>
    <tableColumn id="44" xr3:uid="{00000000-0010-0000-0000-00002C000000}" name="AOP,_x000a_шт 09_24" totalsRowFunction="custom" dataDxfId="399">
      <totalsRowFormula>SUM(AR$5:AR$70)</totalsRowFormula>
    </tableColumn>
    <tableColumn id="45" xr3:uid="{00000000-0010-0000-0000-00002D000000}" name="Прогноз,_x000a_шт 09_24" totalsRowFunction="custom" dataDxfId="398">
      <totalsRowFormula>SUM(AS$5:AS$70)</totalsRowFormula>
    </tableColumn>
    <tableColumn id="46" xr3:uid="{00000000-0010-0000-0000-00002E000000}" name="Факт,_x000a_шт 09_24" totalsRowFunction="custom" dataDxfId="397">
      <totalsRowFormula>SUM(AT$5:AT$70)</totalsRowFormula>
    </tableColumn>
    <tableColumn id="47" xr3:uid="{00000000-0010-0000-0000-00002F000000}" name="Комментарий 09_24" dataDxfId="396"/>
    <tableColumn id="48" xr3:uid="{00000000-0010-0000-0000-000030000000}" name="AOP,_x000a_шт 10_24" totalsRowFunction="custom" dataDxfId="395">
      <totalsRowFormula>SUM(AV$5:AV$70)</totalsRowFormula>
    </tableColumn>
    <tableColumn id="49" xr3:uid="{00000000-0010-0000-0000-000031000000}" name="Прогноз,_x000a_шт 10_24" totalsRowFunction="custom" dataDxfId="394">
      <totalsRowFormula>SUM(AW$5:AW$70)</totalsRowFormula>
    </tableColumn>
    <tableColumn id="50" xr3:uid="{00000000-0010-0000-0000-000032000000}" name="Факт,_x000a_шт 10_24" totalsRowFunction="custom" dataDxfId="393">
      <totalsRowFormula>SUM(AX$5:AX$70)</totalsRowFormula>
    </tableColumn>
    <tableColumn id="51" xr3:uid="{00000000-0010-0000-0000-000033000000}" name="Комментарий 10_24" dataDxfId="392"/>
    <tableColumn id="52" xr3:uid="{00000000-0010-0000-0000-000034000000}" name="AOP,_x000a_шт 11_24" totalsRowFunction="custom" dataDxfId="391">
      <totalsRowFormula>SUM(AZ$5:AZ$70)</totalsRowFormula>
    </tableColumn>
    <tableColumn id="53" xr3:uid="{00000000-0010-0000-0000-000035000000}" name="Прогноз,_x000a_шт 11_24" totalsRowFunction="custom" dataDxfId="390">
      <totalsRowFormula>SUM(BA$5:BA$70)</totalsRowFormula>
    </tableColumn>
    <tableColumn id="54" xr3:uid="{00000000-0010-0000-0000-000036000000}" name="Факт,_x000a_шт 11_24" totalsRowFunction="custom" dataDxfId="389">
      <totalsRowFormula>SUM(BB$5:BB$70)</totalsRowFormula>
    </tableColumn>
    <tableColumn id="55" xr3:uid="{00000000-0010-0000-0000-000037000000}" name="Комментарий 11_24" dataDxfId="388"/>
    <tableColumn id="56" xr3:uid="{00000000-0010-0000-0000-000038000000}" name="AOP,_x000a_шт 12_24" totalsRowFunction="custom" dataDxfId="387">
      <totalsRowFormula>SUM(BD$5:BD$70)</totalsRowFormula>
    </tableColumn>
    <tableColumn id="57" xr3:uid="{00000000-0010-0000-0000-000039000000}" name="Прогноз,_x000a_шт 12_24" totalsRowFunction="custom" dataDxfId="386">
      <totalsRowFormula>SUM(BE$5:BE$70)</totalsRowFormula>
    </tableColumn>
    <tableColumn id="58" xr3:uid="{00000000-0010-0000-0000-00003A000000}" name="Факт,_x000a_шт 12_24" totalsRowFunction="custom" dataDxfId="385">
      <totalsRowFormula>SUM(BF$5:BF$70)</totalsRowFormula>
    </tableColumn>
    <tableColumn id="59" xr3:uid="{00000000-0010-0000-0000-00003B000000}" name="Комментарий 12_24" dataDxfId="384"/>
    <tableColumn id="60" xr3:uid="{00000000-0010-0000-0000-00003C000000}" name="AOP,_x000a_шт 2024" totalsRowFunction="custom" dataDxfId="383">
      <totalsRowFormula>SUM(BH$5:BH$70)</totalsRowFormula>
    </tableColumn>
    <tableColumn id="61" xr3:uid="{00000000-0010-0000-0000-00003D000000}" name="Продажи AOP, CNY 2024" totalsRowFunction="custom" dataDxfId="382">
      <totalsRowFormula>SUM(BI$5:BI$70)</totalsRowFormula>
    </tableColumn>
    <tableColumn id="62" xr3:uid="{00000000-0010-0000-0000-00003E000000}" name="Прогноз,_x000a_шт 2024" totalsRowFunction="custom" dataDxfId="381">
      <totalsRowFormula>SUM(BJ$5:BJ$70)</totalsRowFormula>
    </tableColumn>
    <tableColumn id="63" xr3:uid="{00000000-0010-0000-0000-00003F000000}" name="Прогноз,_x000a_СNY 2024" totalsRowFunction="custom" dataDxfId="380">
      <totalsRowFormula>SUM(BK$5:BK$70)</totalsRowFormula>
    </tableColumn>
    <tableColumn id="64" xr3:uid="{00000000-0010-0000-0000-000040000000}" name="Факт,_x000a_шт 2024" totalsRowFunction="custom" dataDxfId="379">
      <totalsRowFormula>SUM(BL$5:BL$70)</totalsRowFormula>
    </tableColumn>
    <tableColumn id="65" xr3:uid="{00000000-0010-0000-0000-000041000000}" name="Факт,_x000a_CNY 2024" totalsRowFunction="custom" dataDxfId="378">
      <totalsRowFormula>SUM(BM$5:BM$70)</totalsRowFormula>
    </tableColumn>
    <tableColumn id="66" xr3:uid="{00000000-0010-0000-0000-000042000000}" name="AOP,_x000a_шт 01_25" totalsRowFunction="custom" dataDxfId="377">
      <totalsRowFormula>SUM(BN$5:BN$70)</totalsRowFormula>
    </tableColumn>
    <tableColumn id="67" xr3:uid="{00000000-0010-0000-0000-000043000000}" name="AOP негатив,_x000a_шт 01_25" totalsRowFunction="custom" dataDxfId="376">
      <totalsRowFormula>SUM(BO$5:BO$70)</totalsRowFormula>
    </tableColumn>
    <tableColumn id="68" xr3:uid="{00000000-0010-0000-0000-000044000000}" name="Прогноз,_x000a_шт 01_25" totalsRowFunction="custom" dataDxfId="375">
      <totalsRowFormula>SUM(BP$5:BP$70)</totalsRowFormula>
    </tableColumn>
    <tableColumn id="69" xr3:uid="{00000000-0010-0000-0000-000045000000}" name="Факт,_x000a_шт 01_25" totalsRowFunction="custom" dataDxfId="374">
      <totalsRowFormula>SUM(BQ$5:BQ$70)</totalsRowFormula>
    </tableColumn>
    <tableColumn id="70" xr3:uid="{00000000-0010-0000-0000-000046000000}" name="Комментарий 01_25" totalsRowFunction="custom" dataDxfId="373">
      <totalsRowFormula>SUM(BR$5:BR$70)</totalsRowFormula>
    </tableColumn>
    <tableColumn id="71" xr3:uid="{00000000-0010-0000-0000-000047000000}" name="AOP,_x000a_шт 02_25" totalsRowFunction="custom" dataDxfId="372">
      <totalsRowFormula>SUM(BS$5:BS$70)</totalsRowFormula>
    </tableColumn>
    <tableColumn id="72" xr3:uid="{00000000-0010-0000-0000-000048000000}" name="AOP негатив,_x000a_шт 02_25" totalsRowFunction="custom" dataDxfId="371">
      <totalsRowFormula>SUM(BT$5:BT$70)</totalsRowFormula>
    </tableColumn>
    <tableColumn id="73" xr3:uid="{00000000-0010-0000-0000-000049000000}" name="Прогноз,_x000a_шт 02_25" totalsRowFunction="custom" dataDxfId="370">
      <totalsRowFormula>SUM(BU$5:BU$70)</totalsRowFormula>
    </tableColumn>
    <tableColumn id="74" xr3:uid="{00000000-0010-0000-0000-00004A000000}" name="Факт,_x000a_шт 02_25" totalsRowFunction="custom" dataDxfId="369">
      <totalsRowFormula>SUM(BV$5:BV$70)</totalsRowFormula>
    </tableColumn>
    <tableColumn id="75" xr3:uid="{00000000-0010-0000-0000-00004B000000}" name="Комментарий 02_25" totalsRowFunction="custom" dataDxfId="368">
      <totalsRowFormula>SUM(BW$5:BW$70)</totalsRowFormula>
    </tableColumn>
    <tableColumn id="76" xr3:uid="{00000000-0010-0000-0000-00004C000000}" name="AOP,_x000a_шт 03_25" totalsRowFunction="custom" dataDxfId="367">
      <totalsRowFormula>SUM(BX$5:BX$70)</totalsRowFormula>
    </tableColumn>
    <tableColumn id="77" xr3:uid="{00000000-0010-0000-0000-00004D000000}" name="AOP негатив,_x000a_шт 03_25" totalsRowFunction="custom" dataDxfId="366">
      <totalsRowFormula>SUM(BY$5:BY$70)</totalsRowFormula>
    </tableColumn>
    <tableColumn id="78" xr3:uid="{00000000-0010-0000-0000-00004E000000}" name="Прогноз,_x000a_шт 03_25" totalsRowFunction="custom" dataDxfId="365">
      <totalsRowFormula>SUM(BZ$5:BZ$70)</totalsRowFormula>
    </tableColumn>
    <tableColumn id="79" xr3:uid="{00000000-0010-0000-0000-00004F000000}" name="Факт,_x000a_шт 03_25" totalsRowFunction="custom" dataDxfId="364">
      <totalsRowFormula>SUM(CA$5:CA$70)</totalsRowFormula>
    </tableColumn>
    <tableColumn id="80" xr3:uid="{00000000-0010-0000-0000-000050000000}" name="Комментарий 03_25" totalsRowFunction="custom" dataDxfId="363">
      <totalsRowFormula>SUM(CB$5:CB$70)</totalsRowFormula>
    </tableColumn>
    <tableColumn id="81" xr3:uid="{00000000-0010-0000-0000-000051000000}" name="AOP,_x000a_шт 04_25" totalsRowFunction="custom" dataDxfId="362">
      <totalsRowFormula>SUM(CC$5:CC$70)</totalsRowFormula>
    </tableColumn>
    <tableColumn id="82" xr3:uid="{00000000-0010-0000-0000-000052000000}" name="AOP негатив,_x000a_шт 04_25" totalsRowFunction="custom" dataDxfId="361">
      <totalsRowFormula>SUM(CD$5:CD$70)</totalsRowFormula>
    </tableColumn>
    <tableColumn id="83" xr3:uid="{00000000-0010-0000-0000-000053000000}" name="Прогноз,_x000a_шт 04_25" totalsRowFunction="custom" dataDxfId="360">
      <totalsRowFormula>SUM(CE$5:CE$70)</totalsRowFormula>
    </tableColumn>
    <tableColumn id="84" xr3:uid="{00000000-0010-0000-0000-000054000000}" name="Факт,_x000a_шт 04_25" totalsRowFunction="custom" dataDxfId="359">
      <totalsRowFormula>SUM(CF$5:CF$70)</totalsRowFormula>
    </tableColumn>
    <tableColumn id="85" xr3:uid="{00000000-0010-0000-0000-000055000000}" name="Комментарий 04_25" totalsRowFunction="custom" dataDxfId="358">
      <totalsRowFormula>SUM(CG$5:CG$70)</totalsRowFormula>
    </tableColumn>
    <tableColumn id="86" xr3:uid="{00000000-0010-0000-0000-000056000000}" name="AOP,_x000a_шт 05_25" totalsRowFunction="custom" dataDxfId="357">
      <totalsRowFormula>SUM(CH$5:CH$70)</totalsRowFormula>
    </tableColumn>
    <tableColumn id="87" xr3:uid="{00000000-0010-0000-0000-000057000000}" name="AOP негатив,_x000a_шт 05_25" totalsRowFunction="custom" dataDxfId="356">
      <totalsRowFormula>SUM(CI$5:CI$70)</totalsRowFormula>
    </tableColumn>
    <tableColumn id="88" xr3:uid="{00000000-0010-0000-0000-000058000000}" name="Прогноз,_x000a_шт 05_25" totalsRowFunction="custom" dataDxfId="355">
      <totalsRowFormula>SUM(CJ$5:CJ$70)</totalsRowFormula>
    </tableColumn>
    <tableColumn id="89" xr3:uid="{00000000-0010-0000-0000-000059000000}" name="Факт,_x000a_шт 05_25" totalsRowFunction="custom" dataDxfId="354">
      <totalsRowFormula>SUM(CK$5:CK$70)</totalsRowFormula>
    </tableColumn>
    <tableColumn id="90" xr3:uid="{00000000-0010-0000-0000-00005A000000}" name="Комментарий 05_25" totalsRowFunction="custom" dataDxfId="353">
      <totalsRowFormula>SUM(CL$5:CL$70)</totalsRowFormula>
    </tableColumn>
    <tableColumn id="91" xr3:uid="{00000000-0010-0000-0000-00005B000000}" name="AOP,_x000a_шт 06_25" totalsRowFunction="custom" dataDxfId="352">
      <totalsRowFormula>SUM(CM$5:CM$70)</totalsRowFormula>
    </tableColumn>
    <tableColumn id="92" xr3:uid="{00000000-0010-0000-0000-00005C000000}" name="AOP негатив,_x000a_шт 06_25" totalsRowFunction="custom" dataDxfId="351">
      <totalsRowFormula>SUM(CN$5:CN$70)</totalsRowFormula>
    </tableColumn>
    <tableColumn id="93" xr3:uid="{00000000-0010-0000-0000-00005D000000}" name="Прогноз,_x000a_шт 06_25" totalsRowFunction="custom" dataDxfId="350">
      <totalsRowFormula>SUM(CO$5:CO$70)</totalsRowFormula>
    </tableColumn>
    <tableColumn id="94" xr3:uid="{00000000-0010-0000-0000-00005E000000}" name="Факт,_x000a_шт 06_25" totalsRowFunction="custom" dataDxfId="349">
      <totalsRowFormula>SUM(CP$5:CP$70)</totalsRowFormula>
    </tableColumn>
    <tableColumn id="95" xr3:uid="{00000000-0010-0000-0000-00005F000000}" name="Комментарий 06_25" totalsRowFunction="custom" dataDxfId="348">
      <totalsRowFormula>SUM(CQ$5:CQ$70)</totalsRowFormula>
    </tableColumn>
    <tableColumn id="96" xr3:uid="{00000000-0010-0000-0000-000060000000}" name="AOP,_x000a_шт 07_25" totalsRowFunction="custom" dataDxfId="347">
      <totalsRowFormula>SUM(CR$5:CR$70)</totalsRowFormula>
    </tableColumn>
    <tableColumn id="97" xr3:uid="{00000000-0010-0000-0000-000061000000}" name="AOP негатив,_x000a_шт 07_25" totalsRowFunction="custom" dataDxfId="346">
      <totalsRowFormula>SUM(CS$5:CS$70)</totalsRowFormula>
    </tableColumn>
    <tableColumn id="98" xr3:uid="{00000000-0010-0000-0000-000062000000}" name="Прогноз,_x000a_шт 07_25" totalsRowFunction="custom" dataDxfId="345">
      <totalsRowFormula>SUM(CT$5:CT$70)</totalsRowFormula>
    </tableColumn>
    <tableColumn id="99" xr3:uid="{00000000-0010-0000-0000-000063000000}" name="Факт,_x000a_шт 07_25" totalsRowFunction="custom" dataDxfId="344">
      <totalsRowFormula>SUM(CU$5:CU$70)</totalsRowFormula>
    </tableColumn>
    <tableColumn id="100" xr3:uid="{00000000-0010-0000-0000-000064000000}" name="Комментарий 07_25" totalsRowFunction="custom" dataDxfId="343">
      <totalsRowFormula>SUM(CV$5:CV$70)</totalsRowFormula>
    </tableColumn>
    <tableColumn id="101" xr3:uid="{00000000-0010-0000-0000-000065000000}" name="AOP,_x000a_шт 08_25" totalsRowFunction="custom" dataDxfId="342">
      <totalsRowFormula>SUM(CW$5:CW$70)</totalsRowFormula>
    </tableColumn>
    <tableColumn id="102" xr3:uid="{00000000-0010-0000-0000-000066000000}" name="AOP негатив,_x000a_шт 08_25" totalsRowFunction="custom" dataDxfId="341">
      <totalsRowFormula>SUM(CX$5:CX$70)</totalsRowFormula>
    </tableColumn>
    <tableColumn id="103" xr3:uid="{00000000-0010-0000-0000-000067000000}" name="Прогноз,_x000a_шт 08_25" totalsRowFunction="custom" dataDxfId="340">
      <totalsRowFormula>SUM(CY$5:CY$70)</totalsRowFormula>
    </tableColumn>
    <tableColumn id="104" xr3:uid="{00000000-0010-0000-0000-000068000000}" name="Факт,_x000a_шт 08_25" totalsRowFunction="custom" dataDxfId="339">
      <totalsRowFormula>SUM(CZ$5:CZ$70)</totalsRowFormula>
    </tableColumn>
    <tableColumn id="105" xr3:uid="{00000000-0010-0000-0000-000069000000}" name="Комментарий 08_25" totalsRowFunction="custom" dataDxfId="338">
      <totalsRowFormula>SUM(DA$5:DA$70)</totalsRowFormula>
    </tableColumn>
    <tableColumn id="106" xr3:uid="{00000000-0010-0000-0000-00006A000000}" name="AOP,_x000a_шт 09_25" totalsRowFunction="custom" dataDxfId="337">
      <totalsRowFormula>SUM(DB$5:DB$70)</totalsRowFormula>
    </tableColumn>
    <tableColumn id="107" xr3:uid="{00000000-0010-0000-0000-00006B000000}" name="AOP негатив,_x000a_шт 09_25" totalsRowFunction="custom" dataDxfId="336">
      <totalsRowFormula>SUM(DC$5:DC$70)</totalsRowFormula>
    </tableColumn>
    <tableColumn id="108" xr3:uid="{00000000-0010-0000-0000-00006C000000}" name="Прогноз,_x000a_шт 09_25" totalsRowFunction="custom" dataDxfId="335">
      <totalsRowFormula>SUM(DD$5:DD$70)</totalsRowFormula>
    </tableColumn>
    <tableColumn id="109" xr3:uid="{00000000-0010-0000-0000-00006D000000}" name="Факт,_x000a_шт 09_25" totalsRowFunction="custom" dataDxfId="334">
      <totalsRowFormula>SUM(DE$5:DE$70)</totalsRowFormula>
    </tableColumn>
    <tableColumn id="110" xr3:uid="{00000000-0010-0000-0000-00006E000000}" name="Комментарий 09_25" totalsRowFunction="custom" dataDxfId="333">
      <totalsRowFormula>SUM(DF$5:DF$70)</totalsRowFormula>
    </tableColumn>
    <tableColumn id="111" xr3:uid="{00000000-0010-0000-0000-00006F000000}" name="AOP,_x000a_шт 10_25" totalsRowFunction="custom" dataDxfId="332">
      <totalsRowFormula>SUM(DG$5:DG$70)</totalsRowFormula>
    </tableColumn>
    <tableColumn id="112" xr3:uid="{00000000-0010-0000-0000-000070000000}" name="AOP негатив,_x000a_шт 10_25" totalsRowFunction="custom" dataDxfId="331">
      <totalsRowFormula>SUM(DH$5:DH$70)</totalsRowFormula>
    </tableColumn>
    <tableColumn id="113" xr3:uid="{00000000-0010-0000-0000-000071000000}" name="Прогноз,_x000a_шт 10_25" totalsRowFunction="custom" dataDxfId="330">
      <totalsRowFormula>SUM(DI$5:DI$70)</totalsRowFormula>
    </tableColumn>
    <tableColumn id="114" xr3:uid="{00000000-0010-0000-0000-000072000000}" name="Факт,_x000a_шт 10_25" totalsRowFunction="custom" dataDxfId="329">
      <totalsRowFormula>SUM(DJ$5:DJ$70)</totalsRowFormula>
    </tableColumn>
    <tableColumn id="115" xr3:uid="{00000000-0010-0000-0000-000073000000}" name="Комментарий 10_25" totalsRowFunction="custom" dataDxfId="328">
      <totalsRowFormula>SUM(DK$5:DK$70)</totalsRowFormula>
    </tableColumn>
    <tableColumn id="116" xr3:uid="{00000000-0010-0000-0000-000074000000}" name="AOP,_x000a_шт 11_25" totalsRowFunction="custom" dataDxfId="327">
      <totalsRowFormula>SUM(DL$5:DL$70)</totalsRowFormula>
    </tableColumn>
    <tableColumn id="117" xr3:uid="{00000000-0010-0000-0000-000075000000}" name="AOP негатив,_x000a_шт 11_25" totalsRowFunction="custom" dataDxfId="326">
      <totalsRowFormula>SUM(DM$5:DM$70)</totalsRowFormula>
    </tableColumn>
    <tableColumn id="118" xr3:uid="{00000000-0010-0000-0000-000076000000}" name="Прогноз,_x000a_шт 11_25" totalsRowFunction="custom" dataDxfId="325">
      <totalsRowFormula>SUM(DN$5:DN$70)</totalsRowFormula>
    </tableColumn>
    <tableColumn id="119" xr3:uid="{00000000-0010-0000-0000-000077000000}" name="Факт,_x000a_шт 11_25" totalsRowFunction="custom" dataDxfId="324">
      <totalsRowFormula>SUM(DO$5:DO$70)</totalsRowFormula>
    </tableColumn>
    <tableColumn id="120" xr3:uid="{00000000-0010-0000-0000-000078000000}" name="Комментарий 11_25" totalsRowFunction="custom" dataDxfId="323">
      <totalsRowFormula>SUM(DP$5:DP$70)</totalsRowFormula>
    </tableColumn>
    <tableColumn id="121" xr3:uid="{00000000-0010-0000-0000-000079000000}" name="AOP,_x000a_шт 12_25" totalsRowFunction="custom" dataDxfId="322">
      <totalsRowFormula>SUM(DQ$5:DQ$70)</totalsRowFormula>
    </tableColumn>
    <tableColumn id="122" xr3:uid="{00000000-0010-0000-0000-00007A000000}" name="AOP негатив,_x000a_шт 12_25" totalsRowFunction="custom" dataDxfId="321">
      <totalsRowFormula>SUM(DR$5:DR$70)</totalsRowFormula>
    </tableColumn>
    <tableColumn id="123" xr3:uid="{00000000-0010-0000-0000-00007B000000}" name="Прогноз,_x000a_шт 12_25" totalsRowFunction="custom" dataDxfId="320">
      <totalsRowFormula>SUM(DS$5:DS$70)</totalsRowFormula>
    </tableColumn>
    <tableColumn id="124" xr3:uid="{00000000-0010-0000-0000-00007C000000}" name="Факт,_x000a_шт 12_25" totalsRowFunction="custom" dataDxfId="319">
      <totalsRowFormula>SUM(DT$5:DT$70)</totalsRowFormula>
    </tableColumn>
    <tableColumn id="125" xr3:uid="{00000000-0010-0000-0000-00007D000000}" name="Комментарий 12_25" totalsRowFunction="custom" dataDxfId="318">
      <totalsRowFormula>SUM(DU$5:DU$70)</totalsRowFormula>
    </tableColumn>
    <tableColumn id="126" xr3:uid="{00000000-0010-0000-0000-00007E000000}" name="AOP,_x000a_шт 2025" totalsRowFunction="custom" dataDxfId="317">
      <totalsRowFormula>SUM(DV$5:DV$70)</totalsRowFormula>
    </tableColumn>
    <tableColumn id="127" xr3:uid="{00000000-0010-0000-0000-00007F000000}" name="Продажи AOP, CNY 2025" totalsRowFunction="custom" dataDxfId="316">
      <totalsRowFormula>SUM(DW$5:DW$70)</totalsRowFormula>
    </tableColumn>
    <tableColumn id="128" xr3:uid="{00000000-0010-0000-0000-000080000000}" name="AOP негатив,_x000a_шт 2025" dataDxfId="315"/>
    <tableColumn id="129" xr3:uid="{00000000-0010-0000-0000-000081000000}" name="Продажи AOP негатив, CNY 2025" dataDxfId="314"/>
    <tableColumn id="130" xr3:uid="{00000000-0010-0000-0000-000082000000}" name="Прогноз,_x000a_шт 20252" totalsRowFunction="custom" dataDxfId="313">
      <totalsRowFormula>SUM(DZ$5:DZ$70)</totalsRowFormula>
    </tableColumn>
    <tableColumn id="131" xr3:uid="{00000000-0010-0000-0000-000083000000}" name="Прогноз,_x000a_CNY 2025" totalsRowFunction="custom" dataDxfId="312">
      <totalsRowFormula>SUM(EA$5:EA$70)</totalsRowFormula>
    </tableColumn>
    <tableColumn id="132" xr3:uid="{00000000-0010-0000-0000-000084000000}" name="Факт,_x000a_шт 20253" totalsRowFunction="custom" dataDxfId="311">
      <totalsRowFormula>SUM(EB$5:EB$70)</totalsRowFormula>
    </tableColumn>
    <tableColumn id="133" xr3:uid="{00000000-0010-0000-0000-000085000000}" name="Факт,_x000a_CNY 2025" totalsRowFunction="custom" dataDxfId="310">
      <totalsRowFormula>SUM(EC$5:EC$70)</totalsRow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Автовик_разбивка" displayName="Автовик_разбивка" ref="A4:EC254">
  <autoFilter ref="A4:EC254" xr:uid="{00000000-0009-0000-0100-000002000000}"/>
  <sortState xmlns:xlrd2="http://schemas.microsoft.com/office/spreadsheetml/2017/richdata2" ref="A5:BZ249">
    <sortCondition ref="A5:A225"/>
    <sortCondition ref="B5:B225"/>
    <sortCondition ref="C5:C225"/>
    <sortCondition ref="D5:D225"/>
    <sortCondition ref="H5:H225"/>
    <sortCondition ref="I5:I225"/>
  </sortState>
  <tableColumns count="133">
    <tableColumn id="1" xr3:uid="{00000000-0010-0000-0100-000001000000}" name="№" dataDxfId="309"/>
    <tableColumn id="2" xr3:uid="{00000000-0010-0000-0100-000002000000}" name="Клиент" dataDxfId="308"/>
    <tableColumn id="3" xr3:uid="{00000000-0010-0000-0100-000003000000}" name="Раздел" dataDxfId="307"/>
    <tableColumn id="4" xr3:uid="{00000000-0010-0000-0100-000004000000}" name="Сет" dataDxfId="306"/>
    <tableColumn id="5" xr3:uid="{00000000-0010-0000-0100-000005000000}" name="Кол-во в сете" dataDxfId="305"/>
    <tableColumn id="6" xr3:uid="{00000000-0010-0000-0100-000006000000}" name="п\п" dataDxfId="304"/>
    <tableColumn id="7" xr3:uid="{00000000-0010-0000-0100-000007000000}" name="2 - продукт WABCO" dataDxfId="303"/>
    <tableColumn id="8" xr3:uid="{00000000-0010-0000-0100-000008000000}" name="Номер изделия/ артикул" dataDxfId="302"/>
    <tableColumn id="9" xr3:uid="{00000000-0010-0000-0100-000009000000}" name="Наименование" dataDxfId="301"/>
    <tableColumn id="10" xr3:uid="{00000000-0010-0000-0100-00000A000000}" name="Цена, _x000a_юань, без НДС 1" dataDxfId="300"/>
    <tableColumn id="11" xr3:uid="{00000000-0010-0000-0100-00000B000000}" name="Цена, _x000a_юань, без НДС 2" dataDxfId="299"/>
    <tableColumn id="12" xr3:uid="{00000000-0010-0000-0100-00000C000000}" name="AOP,_x000a_шт 01_24" dataDxfId="298"/>
    <tableColumn id="13" xr3:uid="{00000000-0010-0000-0100-00000D000000}" name="Прогноз,_x000a_шт 01_24" dataDxfId="297"/>
    <tableColumn id="14" xr3:uid="{00000000-0010-0000-0100-00000E000000}" name="Факт,_x000a_шт 01_24" dataDxfId="296"/>
    <tableColumn id="15" xr3:uid="{00000000-0010-0000-0100-00000F000000}" name="Комментарий 01_24" dataDxfId="295"/>
    <tableColumn id="16" xr3:uid="{00000000-0010-0000-0100-000010000000}" name="AOP,_x000a_шт 02_24" dataDxfId="294"/>
    <tableColumn id="17" xr3:uid="{00000000-0010-0000-0100-000011000000}" name="Прогноз,_x000a_шт 02_24" dataDxfId="293"/>
    <tableColumn id="18" xr3:uid="{00000000-0010-0000-0100-000012000000}" name="Факт,_x000a_шт 02_24" dataDxfId="292"/>
    <tableColumn id="19" xr3:uid="{00000000-0010-0000-0100-000013000000}" name="Комментарий 02_24" dataDxfId="291"/>
    <tableColumn id="20" xr3:uid="{00000000-0010-0000-0100-000014000000}" name="AOP,_x000a_шт 03_24" dataDxfId="290"/>
    <tableColumn id="21" xr3:uid="{00000000-0010-0000-0100-000015000000}" name="Прогноз,_x000a_шт 03_24" dataDxfId="289"/>
    <tableColumn id="22" xr3:uid="{00000000-0010-0000-0100-000016000000}" name="Факт,_x000a_шт 03_24" dataDxfId="288"/>
    <tableColumn id="23" xr3:uid="{00000000-0010-0000-0100-000017000000}" name="Комментарий 03_24" dataDxfId="287"/>
    <tableColumn id="24" xr3:uid="{00000000-0010-0000-0100-000018000000}" name="AOP,_x000a_шт 04_24" dataDxfId="286"/>
    <tableColumn id="25" xr3:uid="{00000000-0010-0000-0100-000019000000}" name="Прогноз,_x000a_шт 04_24" dataDxfId="285"/>
    <tableColumn id="26" xr3:uid="{00000000-0010-0000-0100-00001A000000}" name="Факт,_x000a_шт 04_24" dataDxfId="284"/>
    <tableColumn id="27" xr3:uid="{00000000-0010-0000-0100-00001B000000}" name="Комментарий 04_24" dataDxfId="283"/>
    <tableColumn id="28" xr3:uid="{00000000-0010-0000-0100-00001C000000}" name="AOP,_x000a_шт 05_24" dataDxfId="282"/>
    <tableColumn id="29" xr3:uid="{00000000-0010-0000-0100-00001D000000}" name="Прогноз,_x000a_шт 05_24" dataDxfId="281"/>
    <tableColumn id="30" xr3:uid="{00000000-0010-0000-0100-00001E000000}" name="Факт,_x000a_шт 05_24" dataDxfId="280"/>
    <tableColumn id="31" xr3:uid="{00000000-0010-0000-0100-00001F000000}" name="Комментарий 05_24" dataDxfId="279"/>
    <tableColumn id="32" xr3:uid="{00000000-0010-0000-0100-000020000000}" name="AOP,_x000a_шт 06_24" dataDxfId="278"/>
    <tableColumn id="33" xr3:uid="{00000000-0010-0000-0100-000021000000}" name="Прогноз,_x000a_шт 06_24" dataDxfId="277"/>
    <tableColumn id="34" xr3:uid="{00000000-0010-0000-0100-000022000000}" name="Факт,_x000a_шт 06_24" dataDxfId="276"/>
    <tableColumn id="35" xr3:uid="{00000000-0010-0000-0100-000023000000}" name="Комментарий 06_24" dataDxfId="275"/>
    <tableColumn id="36" xr3:uid="{00000000-0010-0000-0100-000024000000}" name="AOP,_x000a_шт 07_24" dataDxfId="274"/>
    <tableColumn id="37" xr3:uid="{00000000-0010-0000-0100-000025000000}" name="Прогноз,_x000a_шт 07_24" dataDxfId="273"/>
    <tableColumn id="38" xr3:uid="{00000000-0010-0000-0100-000026000000}" name="Факт,_x000a_шт 07_24" dataDxfId="272"/>
    <tableColumn id="39" xr3:uid="{00000000-0010-0000-0100-000027000000}" name="Комментарий 07_24" dataDxfId="271"/>
    <tableColumn id="40" xr3:uid="{00000000-0010-0000-0100-000028000000}" name="AOP,_x000a_шт 08_24" dataDxfId="270"/>
    <tableColumn id="41" xr3:uid="{00000000-0010-0000-0100-000029000000}" name="Прогноз,_x000a_шт 08_24" dataDxfId="269"/>
    <tableColumn id="42" xr3:uid="{00000000-0010-0000-0100-00002A000000}" name="Факт,_x000a_шт 08_24" dataDxfId="268"/>
    <tableColumn id="43" xr3:uid="{00000000-0010-0000-0100-00002B000000}" name="Комментарий 08_24" dataDxfId="267"/>
    <tableColumn id="44" xr3:uid="{00000000-0010-0000-0100-00002C000000}" name="AOP,_x000a_шт 09_24" dataDxfId="266"/>
    <tableColumn id="45" xr3:uid="{00000000-0010-0000-0100-00002D000000}" name="Прогноз,_x000a_шт 09_24" dataDxfId="265"/>
    <tableColumn id="46" xr3:uid="{00000000-0010-0000-0100-00002E000000}" name="Факт,_x000a_шт 09_24" dataDxfId="264"/>
    <tableColumn id="47" xr3:uid="{00000000-0010-0000-0100-00002F000000}" name="Комментарий 09_24" dataDxfId="263"/>
    <tableColumn id="48" xr3:uid="{00000000-0010-0000-0100-000030000000}" name="AOP,_x000a_шт 10_24" dataDxfId="262"/>
    <tableColumn id="49" xr3:uid="{00000000-0010-0000-0100-000031000000}" name="Прогноз,_x000a_шт 10_24" dataDxfId="261"/>
    <tableColumn id="50" xr3:uid="{00000000-0010-0000-0100-000032000000}" name="Факт,_x000a_шт 10_24" dataDxfId="260"/>
    <tableColumn id="51" xr3:uid="{00000000-0010-0000-0100-000033000000}" name="Комментарий 10_24" dataDxfId="259"/>
    <tableColumn id="52" xr3:uid="{00000000-0010-0000-0100-000034000000}" name="AOP,_x000a_шт 11_24" dataDxfId="258"/>
    <tableColumn id="53" xr3:uid="{00000000-0010-0000-0100-000035000000}" name="Прогноз,_x000a_шт 11_24" dataDxfId="257"/>
    <tableColumn id="54" xr3:uid="{00000000-0010-0000-0100-000036000000}" name="Факт,_x000a_шт 11_24" dataDxfId="256"/>
    <tableColumn id="55" xr3:uid="{00000000-0010-0000-0100-000037000000}" name="Комментарий 11_24" dataDxfId="255"/>
    <tableColumn id="56" xr3:uid="{00000000-0010-0000-0100-000038000000}" name="AOP,_x000a_шт 12_24" dataDxfId="254"/>
    <tableColumn id="57" xr3:uid="{00000000-0010-0000-0100-000039000000}" name="Прогноз,_x000a_шт 12_24" dataDxfId="253"/>
    <tableColumn id="58" xr3:uid="{00000000-0010-0000-0100-00003A000000}" name="Факт,_x000a_шт 12_24" dataDxfId="252"/>
    <tableColumn id="59" xr3:uid="{00000000-0010-0000-0100-00003B000000}" name="Комментарий 12_24" dataDxfId="251"/>
    <tableColumn id="60" xr3:uid="{00000000-0010-0000-0100-00003C000000}" name="AOP,_x000a_шт 2024" dataDxfId="250"/>
    <tableColumn id="61" xr3:uid="{00000000-0010-0000-0100-00003D000000}" name="Продажи AOP, CNY 2024" dataDxfId="249"/>
    <tableColumn id="62" xr3:uid="{00000000-0010-0000-0100-00003E000000}" name="Прогноз,_x000a_шт 2024" dataDxfId="248"/>
    <tableColumn id="63" xr3:uid="{00000000-0010-0000-0100-00003F000000}" name="Прогноз,_x000a_CNY 2024" dataDxfId="247"/>
    <tableColumn id="64" xr3:uid="{00000000-0010-0000-0100-000040000000}" name="Факт,_x000a_шт 2024" dataDxfId="246"/>
    <tableColumn id="65" xr3:uid="{00000000-0010-0000-0100-000041000000}" name="Факт,_x000a_CNY 2024" dataDxfId="245"/>
    <tableColumn id="66" xr3:uid="{00000000-0010-0000-0100-000042000000}" name="AOP,_x000a_шт 01_25" dataDxfId="244"/>
    <tableColumn id="67" xr3:uid="{00000000-0010-0000-0100-000043000000}" name="AOP негатив,_x000a_шт 01_25" dataDxfId="243"/>
    <tableColumn id="68" xr3:uid="{00000000-0010-0000-0100-000044000000}" name="Прогноз,_x000a_шт 01_25" dataDxfId="242"/>
    <tableColumn id="69" xr3:uid="{00000000-0010-0000-0100-000045000000}" name="Факт,_x000a_шт 01_25" dataDxfId="241"/>
    <tableColumn id="70" xr3:uid="{00000000-0010-0000-0100-000046000000}" name="Комментарий 01_25" dataDxfId="240"/>
    <tableColumn id="71" xr3:uid="{00000000-0010-0000-0100-000047000000}" name="AOP,_x000a_шт 02_25" dataDxfId="239"/>
    <tableColumn id="72" xr3:uid="{00000000-0010-0000-0100-000048000000}" name="AOP негатив,_x000a_шт 02_25" dataDxfId="238"/>
    <tableColumn id="73" xr3:uid="{00000000-0010-0000-0100-000049000000}" name="Прогноз,_x000a_шт 02_25" dataDxfId="237"/>
    <tableColumn id="74" xr3:uid="{00000000-0010-0000-0100-00004A000000}" name="Факт,_x000a_шт 02_25" dataDxfId="236"/>
    <tableColumn id="75" xr3:uid="{00000000-0010-0000-0100-00004B000000}" name="Комментарий 02_25" dataDxfId="235"/>
    <tableColumn id="76" xr3:uid="{00000000-0010-0000-0100-00004C000000}" name="AOP,_x000a_шт 03_25" dataDxfId="234"/>
    <tableColumn id="77" xr3:uid="{00000000-0010-0000-0100-00004D000000}" name="AOP негатив,_x000a_шт 03_25" dataDxfId="233"/>
    <tableColumn id="78" xr3:uid="{00000000-0010-0000-0100-00004E000000}" name="Прогноз,_x000a_шт 03_25" dataDxfId="232"/>
    <tableColumn id="79" xr3:uid="{00000000-0010-0000-0100-00004F000000}" name="Факт,_x000a_шт 03_25" dataDxfId="231"/>
    <tableColumn id="80" xr3:uid="{00000000-0010-0000-0100-000050000000}" name="Комментарий 03_25" dataDxfId="230"/>
    <tableColumn id="81" xr3:uid="{00000000-0010-0000-0100-000051000000}" name="AOP,_x000a_шт 04_25" dataDxfId="229"/>
    <tableColumn id="82" xr3:uid="{00000000-0010-0000-0100-000052000000}" name="AOP негатив,_x000a_шт 04_25" dataDxfId="228"/>
    <tableColumn id="83" xr3:uid="{00000000-0010-0000-0100-000053000000}" name="Прогноз,_x000a_шт 04_25" dataDxfId="227"/>
    <tableColumn id="84" xr3:uid="{00000000-0010-0000-0100-000054000000}" name="Факт,_x000a_шт 04_25" dataDxfId="226"/>
    <tableColumn id="85" xr3:uid="{00000000-0010-0000-0100-000055000000}" name="Комментарий 04_25" dataDxfId="225"/>
    <tableColumn id="86" xr3:uid="{00000000-0010-0000-0100-000056000000}" name="AOP,_x000a_шт 05_25" dataDxfId="224"/>
    <tableColumn id="87" xr3:uid="{00000000-0010-0000-0100-000057000000}" name="AOP негатив,_x000a_шт 05_25" dataDxfId="223"/>
    <tableColumn id="88" xr3:uid="{00000000-0010-0000-0100-000058000000}" name="Прогноз,_x000a_шт 05_25" dataDxfId="222"/>
    <tableColumn id="89" xr3:uid="{00000000-0010-0000-0100-000059000000}" name="Факт,_x000a_шт 05_25" dataDxfId="221"/>
    <tableColumn id="90" xr3:uid="{00000000-0010-0000-0100-00005A000000}" name="Комментарий 05_25" dataDxfId="220"/>
    <tableColumn id="91" xr3:uid="{00000000-0010-0000-0100-00005B000000}" name="AOP,_x000a_шт 06_25" dataDxfId="219"/>
    <tableColumn id="92" xr3:uid="{00000000-0010-0000-0100-00005C000000}" name="AOP негатив,_x000a_шт 06_25" dataDxfId="218"/>
    <tableColumn id="93" xr3:uid="{00000000-0010-0000-0100-00005D000000}" name="Прогноз,_x000a_шт 06_25" dataDxfId="217"/>
    <tableColumn id="94" xr3:uid="{00000000-0010-0000-0100-00005E000000}" name="Факт,_x000a_шт 06_25" dataDxfId="216"/>
    <tableColumn id="95" xr3:uid="{00000000-0010-0000-0100-00005F000000}" name="Комментарий 06_25" dataDxfId="215"/>
    <tableColumn id="96" xr3:uid="{00000000-0010-0000-0100-000060000000}" name="AOP,_x000a_шт 07_25" dataDxfId="214"/>
    <tableColumn id="97" xr3:uid="{00000000-0010-0000-0100-000061000000}" name="AOP негатив,_x000a_шт 07_25" dataDxfId="213"/>
    <tableColumn id="98" xr3:uid="{00000000-0010-0000-0100-000062000000}" name="Прогноз,_x000a_шт 07_25" dataDxfId="212"/>
    <tableColumn id="99" xr3:uid="{00000000-0010-0000-0100-000063000000}" name="Факт,_x000a_шт 07_25" dataDxfId="211"/>
    <tableColumn id="100" xr3:uid="{00000000-0010-0000-0100-000064000000}" name="Комментарий 07_25" dataDxfId="210"/>
    <tableColumn id="101" xr3:uid="{00000000-0010-0000-0100-000065000000}" name="AOP,_x000a_шт 08_25" dataDxfId="209"/>
    <tableColumn id="102" xr3:uid="{00000000-0010-0000-0100-000066000000}" name="AOP негатив,_x000a_шт 08_25" dataDxfId="208"/>
    <tableColumn id="103" xr3:uid="{00000000-0010-0000-0100-000067000000}" name="Прогноз,_x000a_шт 08_25" dataDxfId="207"/>
    <tableColumn id="104" xr3:uid="{00000000-0010-0000-0100-000068000000}" name="Факт,_x000a_шт 08_25" dataDxfId="206"/>
    <tableColumn id="105" xr3:uid="{00000000-0010-0000-0100-000069000000}" name="Комментарий 08_25" dataDxfId="205"/>
    <tableColumn id="106" xr3:uid="{00000000-0010-0000-0100-00006A000000}" name="AOP,_x000a_шт 09_25" dataDxfId="204"/>
    <tableColumn id="107" xr3:uid="{00000000-0010-0000-0100-00006B000000}" name="AOP негатив,_x000a_шт 09_25" dataDxfId="203"/>
    <tableColumn id="108" xr3:uid="{00000000-0010-0000-0100-00006C000000}" name="Прогноз,_x000a_шт 09_25" dataDxfId="202"/>
    <tableColumn id="109" xr3:uid="{00000000-0010-0000-0100-00006D000000}" name="Факт,_x000a_шт 09_25" dataDxfId="201"/>
    <tableColumn id="110" xr3:uid="{00000000-0010-0000-0100-00006E000000}" name="Комментарий 09_25" dataDxfId="200"/>
    <tableColumn id="111" xr3:uid="{00000000-0010-0000-0100-00006F000000}" name="AOP,_x000a_шт 10_25" dataDxfId="199"/>
    <tableColumn id="112" xr3:uid="{00000000-0010-0000-0100-000070000000}" name="AOP негатив,_x000a_шт 10_25" dataDxfId="198"/>
    <tableColumn id="113" xr3:uid="{00000000-0010-0000-0100-000071000000}" name="Прогноз,_x000a_шт 10_25" dataDxfId="197"/>
    <tableColumn id="114" xr3:uid="{00000000-0010-0000-0100-000072000000}" name="Факт,_x000a_шт 10_25" dataDxfId="196"/>
    <tableColumn id="115" xr3:uid="{00000000-0010-0000-0100-000073000000}" name="Комментарий 10_25" dataDxfId="195"/>
    <tableColumn id="116" xr3:uid="{00000000-0010-0000-0100-000074000000}" name="AOP,_x000a_шт 11_25" dataDxfId="194"/>
    <tableColumn id="117" xr3:uid="{00000000-0010-0000-0100-000075000000}" name="AOP негатив,_x000a_шт 11_25" dataDxfId="193"/>
    <tableColumn id="118" xr3:uid="{00000000-0010-0000-0100-000076000000}" name="Прогноз,_x000a_шт 11_25" dataDxfId="192"/>
    <tableColumn id="119" xr3:uid="{00000000-0010-0000-0100-000077000000}" name="Факт,_x000a_шт 11_25" dataDxfId="191"/>
    <tableColumn id="120" xr3:uid="{00000000-0010-0000-0100-000078000000}" name="Комментарий 11_25" dataDxfId="190"/>
    <tableColumn id="121" xr3:uid="{00000000-0010-0000-0100-000079000000}" name="AOP,_x000a_шт 12_25" dataDxfId="189"/>
    <tableColumn id="122" xr3:uid="{00000000-0010-0000-0100-00007A000000}" name="AOP негатив,_x000a_шт 12_25" dataDxfId="188"/>
    <tableColumn id="123" xr3:uid="{00000000-0010-0000-0100-00007B000000}" name="Прогноз,_x000a_шт 12_25" dataDxfId="187"/>
    <tableColumn id="124" xr3:uid="{00000000-0010-0000-0100-00007C000000}" name="Факт,_x000a_шт 12_25" dataDxfId="186"/>
    <tableColumn id="125" xr3:uid="{00000000-0010-0000-0100-00007D000000}" name="Комментарий 12_25" dataDxfId="185"/>
    <tableColumn id="126" xr3:uid="{00000000-0010-0000-0100-00007E000000}" name="AOP,_x000a_шт 2025" dataDxfId="184"/>
    <tableColumn id="127" xr3:uid="{00000000-0010-0000-0100-00007F000000}" name="Продажи AOP, CNY 2025" dataDxfId="183"/>
    <tableColumn id="128" xr3:uid="{00000000-0010-0000-0100-000080000000}" name="AOP негатив,_x000a_шт 2025" dataDxfId="182"/>
    <tableColumn id="129" xr3:uid="{00000000-0010-0000-0100-000081000000}" name="Продажи AOP негатив, CNY 2025" dataDxfId="181"/>
    <tableColumn id="130" xr3:uid="{00000000-0010-0000-0100-000082000000}" name="Прогноз,_x000a_шт 20252" dataDxfId="180"/>
    <tableColumn id="131" xr3:uid="{00000000-0010-0000-0100-000083000000}" name="Прогноз,_x000a_CNY 2025" dataDxfId="179"/>
    <tableColumn id="132" xr3:uid="{00000000-0010-0000-0100-000084000000}" name="Факт,_x000a_шт 20253" dataDxfId="178"/>
    <tableColumn id="133" xr3:uid="{00000000-0010-0000-0100-000085000000}" name="Факт,_x000a_CNY 2025" dataDxfId="17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База" displayName="База" ref="A1:I155">
  <autoFilter ref="A1:I155" xr:uid="{00000000-0009-0000-0100-000004000000}"/>
  <sortState xmlns:xlrd2="http://schemas.microsoft.com/office/spreadsheetml/2017/richdata2" ref="A2:I155">
    <sortCondition ref="B2:B112"/>
    <sortCondition ref="C2:C112"/>
  </sortState>
  <tableColumns count="9">
    <tableColumn id="1" xr3:uid="{00000000-0010-0000-0300-000001000000}" name="№" dataDxfId="176">
      <calculatedColumnFormula>ROW()-ROW(База[[#Headers],[№]])</calculatedColumnFormula>
    </tableColumn>
    <tableColumn id="2" xr3:uid="{00000000-0010-0000-0300-000002000000}" name="Тип" dataDxfId="175"/>
    <tableColumn id="3" xr3:uid="{00000000-0010-0000-0300-000003000000}" name="Артикул" dataDxfId="174"/>
    <tableColumn id="4" xr3:uid="{00000000-0010-0000-0300-000004000000}" name="Наименование" dataDxfId="173"/>
    <tableColumn id="5" xr3:uid="{00000000-0010-0000-0300-000005000000}" name="Примечание" dataDxfId="172"/>
    <tableColumn id="6" xr3:uid="{00000000-0010-0000-0300-000006000000}" name="Проверка наличия в планах" dataDxfId="171">
      <calculatedColumnFormula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calculatedColumnFormula>
    </tableColumn>
    <tableColumn id="9" xr3:uid="{B07E8E0B-2A1D-4073-81A2-D65A5E998CB1}" name="Проверка наличия в Комплектах" dataDxfId="170" dataCellStyle="Обычный 2 6">
      <calculatedColumnFormula>IF(База[[#This Row],[Тип]]=0,IF(SUMPRODUCT((База[[#This Row],[Артикул]]=Комплекты[Комплект])*1)=0,"НЕТ","ОК"),"ОК")</calculatedColumnFormula>
    </tableColumn>
    <tableColumn id="7" xr3:uid="{00000000-0010-0000-0300-000007000000}" name="Проверка наличия в ПНЕВМАТИКЕ" dataDxfId="169">
      <calculatedColumnFormula>IF(SUMPRODUCT((База[[#This Row],[Артикул]]=ПНЕВМАТИКА!$G$6:$G$330)*1)=0,"НЕТ","ОК")</calculatedColumnFormula>
    </tableColumn>
    <tableColumn id="8" xr3:uid="{00000000-0010-0000-0300-000008000000}" name="Проверка наличия в ТОРМОЗЕ" dataDxfId="168">
      <calculatedColumnFormula>IF(SUMPRODUCT((База[[#This Row],[Артикул]]=ТОРМОЗ!$G$6:$G$64)*1)=0,"НЕТ","ОК")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Комплекты" displayName="Комплекты" ref="A2:W249" headerRowDxfId="167" totalsRowDxfId="164" headerRowBorderDxfId="166" tableBorderDxfId="165">
  <autoFilter ref="A2:W249" xr:uid="{00000000-0009-0000-0100-000003000000}"/>
  <sortState xmlns:xlrd2="http://schemas.microsoft.com/office/spreadsheetml/2017/richdata2" ref="A3:W249">
    <sortCondition ref="E3:E219"/>
    <sortCondition descending="1" ref="D3:D219"/>
    <sortCondition ref="F3:F219"/>
    <sortCondition ref="G3:G219"/>
  </sortState>
  <tableColumns count="23">
    <tableColumn id="1" xr3:uid="{00000000-0010-0000-0200-000001000000}" name="№" dataDxfId="163">
      <calculatedColumnFormula>ROW()-ROW(Комплекты[[#Headers],[№]])</calculatedColumnFormula>
    </tableColumn>
    <tableColumn id="21" xr3:uid="{C38A9B00-7D0C-45B6-9E16-C1722DF31432}" name="Ключ" dataDxfId="162" dataCellStyle="Обычный 2 6">
      <calculatedColumnFormula>Комплекты[[#This Row],[Пр]]&amp;"_"&amp;Комплекты[[#This Row],[Обозначение]]</calculatedColumnFormula>
    </tableColumn>
    <tableColumn id="14" xr3:uid="{1B22F418-76AC-4369-B730-F4AA527A896F}" name="№ п/п" dataDxfId="161" dataCellStyle="Обычный 2 6">
      <calculatedColumnFormula>COUNTIFS($E$3:Комплекты[[#This Row],[Комплект]],Комплекты[[#This Row],[Комплект]])</calculatedColumnFormula>
    </tableColumn>
    <tableColumn id="2" xr3:uid="{00000000-0010-0000-0200-000002000000}" name="Дата" dataDxfId="160"/>
    <tableColumn id="3" xr3:uid="{00000000-0010-0000-0200-000003000000}" name="Комплект" dataDxfId="159"/>
    <tableColumn id="4" xr3:uid="{00000000-0010-0000-0200-000004000000}" name="Пр" dataDxfId="158"/>
    <tableColumn id="5" xr3:uid="{00000000-0010-0000-0200-000005000000}" name="Обозначение" dataDxfId="157"/>
    <tableColumn id="6" xr3:uid="{00000000-0010-0000-0200-000006000000}" name="Кол-во" dataDxfId="156"/>
    <tableColumn id="7" xr3:uid="{00000000-0010-0000-0200-000007000000}" name="Наименование" dataDxfId="155">
      <calculatedColumnFormula>INDEX(База[],MATCH(Комплекты[[#This Row],[Обозначение]],База[Артикул],0),MATCH(I$2,База[#Headers],0))</calculatedColumnFormula>
    </tableColumn>
    <tableColumn id="8" xr3:uid="{00000000-0010-0000-0200-000008000000}" name="Наименование комплекта" dataDxfId="154">
      <calculatedColumnFormula>INDEX(База[],MATCH(Комплекты[[#This Row],[Комплект]],База[Артикул],0),MATCH("наименование",База[#Headers],0))</calculatedColumnFormula>
    </tableColumn>
    <tableColumn id="9" xr3:uid="{00000000-0010-0000-0200-000009000000}" name="  " dataDxfId="153"/>
    <tableColumn id="10" xr3:uid="{00000000-0010-0000-0200-00000A000000}" name="Проверка двойного артикула" dataDxfId="152">
      <calculatedColumnFormula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calculatedColumnFormula>
    </tableColumn>
    <tableColumn id="11" xr3:uid="{00000000-0010-0000-0200-00000B000000}" name="Проверка двойного комплекта" dataDxfId="151">
      <calculatedColumnFormula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calculatedColumnFormula>
    </tableColumn>
    <tableColumn id="12" xr3:uid="{00000000-0010-0000-0200-00000C000000}" name="Проверка наличия в плане" dataDxfId="150">
      <calculatedColumnFormula>IF(IFERROR(MATCH("нет",Комплекты[[#This Row],[   ]:[АВТОВИК]],0)&gt;0,),"НЕТ","ОК")</calculatedColumnFormula>
    </tableColumn>
    <tableColumn id="13" xr3:uid="{00000000-0010-0000-0200-00000D000000}" name="   " dataDxfId="149"/>
    <tableColumn id="15" xr3:uid="{00000000-0010-0000-0200-00000F000000}" name="Ультра Групп" dataDxfId="148">
      <calculatedColumnFormula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calculatedColumnFormula>
    </tableColumn>
    <tableColumn id="16" xr3:uid="{00000000-0010-0000-0200-000010000000}" name="НовосибАРЗ" dataDxfId="147">
      <calculatedColumnFormula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calculatedColumnFormula>
    </tableColumn>
    <tableColumn id="25" xr3:uid="{BD17E728-24C1-4177-8C7E-0B67D986951C}" name="СТК" dataDxfId="146" dataCellStyle="Обычный 2 6">
      <calculatedColumnFormula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calculatedColumnFormula>
    </tableColumn>
    <tableColumn id="17" xr3:uid="{00000000-0010-0000-0200-000011000000}" name="Прицепная техника (УЗСТ)" dataDxfId="145">
      <calculatedColumnFormula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calculatedColumnFormula>
    </tableColumn>
    <tableColumn id="18" xr3:uid="{00000000-0010-0000-0200-000012000000}" name="Политранс" dataDxfId="144">
      <calculatedColumnFormula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calculatedColumnFormula>
    </tableColumn>
    <tableColumn id="19" xr3:uid="{00000000-0010-0000-0200-000013000000}" name="Уралавтоприцеп (ЧМЗАП)" dataDxfId="143">
      <calculatedColumnFormula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calculatedColumnFormula>
    </tableColumn>
    <tableColumn id="20" xr3:uid="{00000000-0010-0000-0200-000014000000}" name="СпецАвто-Восток" dataDxfId="142">
      <calculatedColumnFormula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calculatedColumnFormula>
    </tableColumn>
    <tableColumn id="24" xr3:uid="{00000000-0010-0000-0200-000018000000}" name="АВТОВИК" dataDxfId="141">
      <calculatedColumnFormula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086012-A217-4687-A488-4B558ED0CE0D}" name="Пневматика_СВОДНАЯ_2026" displayName="Пневматика_СВОДНАЯ_2026" ref="A4:AH142" headerRowDxfId="140" totalsRowDxfId="137" headerRowBorderDxfId="139" tableBorderDxfId="138">
  <autoFilter ref="A4:AH142" xr:uid="{00000000-0009-0000-0100-000005000000}"/>
  <sortState xmlns:xlrd2="http://schemas.microsoft.com/office/spreadsheetml/2017/richdata2" ref="A5:AH142">
    <sortCondition descending="1" ref="AG5:AG51"/>
    <sortCondition ref="A5:A51"/>
    <sortCondition ref="B5:B51"/>
  </sortState>
  <tableColumns count="34">
    <tableColumn id="1" xr3:uid="{341F2BA9-674C-4A22-B89F-159FE8F8C465}" name="Прод" dataDxfId="136"/>
    <tableColumn id="2" xr3:uid="{D6806416-3692-4731-B587-2863E9B39284}" name="Обозначение" dataDxfId="135"/>
    <tableColumn id="3" xr3:uid="{6AE37854-1A65-411F-A2FC-6BA5E295E3C0}" name="Пр" dataDxfId="134">
      <calculatedColumnFormula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calculatedColumnFormula>
    </tableColumn>
    <tableColumn id="4" xr3:uid="{5159D8E7-1AC5-4F11-9ECA-5DACF11C2D58}" name="Тип" dataDxfId="133">
      <calculatedColumnFormula>INDEX(База[],MATCH(Пневматика_СВОДНАЯ_2026[[#This Row],[Обозначение]],База[Артикул],0),MATCH(D$4,База[#Headers],0))</calculatedColumnFormula>
    </tableColumn>
    <tableColumn id="5" xr3:uid="{271FB483-866B-4BB0-A04C-ED614AEA81F2}" name="Наименование" totalsRowLabel="ИТОГ" dataDxfId="132">
      <calculatedColumnFormula>INDEX(База[],MATCH(Пневматика_СВОДНАЯ_2026[[#This Row],[Обозначение]],База[Артикул],0),MATCH(E$4,База[#Headers],0))</calculatedColumnFormula>
    </tableColumn>
    <tableColumn id="6" xr3:uid="{74C02485-FBA3-4D14-AADA-F83D5A4208B8}" name="П- _x000a_01" totalsRowFunction="custom" dataDxfId="131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calculatedColumnFormula>
      <totalsRowFormula>SUBTOTAL(109,F5:F142)</totalsRowFormula>
    </tableColumn>
    <tableColumn id="7" xr3:uid="{3CD86491-0547-4803-94E8-EB79F281074A}" name="П- _x000a_02" totalsRowFunction="custom" dataDxfId="130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calculatedColumnFormula>
      <totalsRowFormula>SUBTOTAL(109,G5:G142)</totalsRowFormula>
    </tableColumn>
    <tableColumn id="8" xr3:uid="{C416D8E2-2904-48DC-A96A-ED83EF5CF188}" name="П- _x000a_03" totalsRowFunction="custom" dataDxfId="129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calculatedColumnFormula>
      <totalsRowFormula>SUBTOTAL(109,H5:H142)</totalsRowFormula>
    </tableColumn>
    <tableColumn id="9" xr3:uid="{87C915C3-9B43-4434-88C0-75F9D0533A8F}" name="П- _x000a_04" totalsRowFunction="custom" dataDxfId="128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calculatedColumnFormula>
      <totalsRowFormula>SUBTOTAL(109,I5:I142)</totalsRowFormula>
    </tableColumn>
    <tableColumn id="10" xr3:uid="{A86F1082-E9C0-41E9-965C-0CB61C38F773}" name="П- _x000a_05" totalsRowFunction="custom" dataDxfId="127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calculatedColumnFormula>
      <totalsRowFormula>SUBTOTAL(109,J5:J142)</totalsRowFormula>
    </tableColumn>
    <tableColumn id="11" xr3:uid="{B1C830AA-784C-40E9-8E7B-C255AEFE37CA}" name="П- _x000a_06" totalsRowFunction="custom" dataDxfId="126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calculatedColumnFormula>
      <totalsRowFormula>SUBTOTAL(109,K5:K142)</totalsRowFormula>
    </tableColumn>
    <tableColumn id="12" xr3:uid="{F0A2E842-0A3F-4B61-BFD3-90D4660A9AE1}" name="П- _x000a_07" totalsRowFunction="custom" dataDxfId="125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calculatedColumnFormula>
      <totalsRowFormula>SUBTOTAL(109,L5:L142)</totalsRowFormula>
    </tableColumn>
    <tableColumn id="13" xr3:uid="{35245EFB-819D-4BA5-9E38-97659B05209F}" name="П- _x000a_08" totalsRowFunction="custom" dataDxfId="124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calculatedColumnFormula>
      <totalsRowFormula>SUBTOTAL(109,M5:M142)</totalsRowFormula>
    </tableColumn>
    <tableColumn id="14" xr3:uid="{4013377C-6E5C-4CB4-B371-7B158580408A}" name="П- _x000a_09" totalsRowFunction="custom" dataDxfId="123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calculatedColumnFormula>
      <totalsRowFormula>SUBTOTAL(109,N5:N142)</totalsRowFormula>
    </tableColumn>
    <tableColumn id="15" xr3:uid="{67126408-9265-4C59-B075-F93926379623}" name="П- _x000a_10" totalsRowFunction="custom" dataDxfId="122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calculatedColumnFormula>
      <totalsRowFormula>SUBTOTAL(109,O5:O142)</totalsRowFormula>
    </tableColumn>
    <tableColumn id="16" xr3:uid="{A03BA405-5787-4C54-89C4-178452926FCD}" name="П- _x000a_11" totalsRowFunction="custom" dataDxfId="121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calculatedColumnFormula>
      <totalsRowFormula>SUBTOTAL(109,P5:P142)</totalsRowFormula>
    </tableColumn>
    <tableColumn id="17" xr3:uid="{E7DEE54C-76A8-49E3-A9CE-24D0FF1F77A5}" name="П- _x000a_12" totalsRowFunction="custom" dataDxfId="120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calculatedColumnFormula>
      <totalsRowFormula>SUBTOTAL(109,Q5:Q142)</totalsRowFormula>
    </tableColumn>
    <tableColumn id="18" xr3:uid="{29B5BBBE-21F0-4167-B703-9307EE26C9E9}" name="П- _x000a_2026" totalsRowFunction="custom" dataDxfId="119">
      <calculatedColumnFormula>SUM(Пневматика_СВОДНАЯ_2026[[#This Row],[П- 
01]:[П- 
12]])</calculatedColumnFormula>
      <totalsRowFormula>SUBTOTAL(109,R5:R142)</totalsRowFormula>
    </tableColumn>
    <tableColumn id="19" xr3:uid="{499EF98F-7DF8-40F5-AB92-BAC160B0028C}" name="=" dataDxfId="118">
      <calculatedColumnFormula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calculatedColumnFormula>
    </tableColumn>
    <tableColumn id="20" xr3:uid="{4EB6B19F-FB0F-46A9-832B-D9D14A25564E}" name="Ф- _x000a_01" totalsRowFunction="custom" dataDxfId="117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calculatedColumnFormula>
      <totalsRowFormula>SUBTOTAL(109,T5:T142)</totalsRowFormula>
    </tableColumn>
    <tableColumn id="21" xr3:uid="{82DF52FA-170B-4D98-B7A5-8E8D15925E74}" name="Ф- _x000a_02" totalsRowFunction="custom" dataDxfId="116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calculatedColumnFormula>
      <totalsRowFormula>SUBTOTAL(109,U5:U142)</totalsRowFormula>
    </tableColumn>
    <tableColumn id="22" xr3:uid="{374C7B54-2B17-4172-8E2B-EE262034BFAD}" name="Ф- _x000a_03" totalsRowFunction="custom" dataDxfId="115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calculatedColumnFormula>
      <totalsRowFormula>SUBTOTAL(109,V5:V142)</totalsRowFormula>
    </tableColumn>
    <tableColumn id="23" xr3:uid="{7494AD14-FC27-41B9-8522-80375CCBA0E0}" name="Ф- _x000a_04" totalsRowFunction="custom" dataDxfId="114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calculatedColumnFormula>
      <totalsRowFormula>SUBTOTAL(109,W5:W142)</totalsRowFormula>
    </tableColumn>
    <tableColumn id="24" xr3:uid="{E90E383C-B89C-4244-93C0-61709DFA8B50}" name="Ф- _x000a_05" totalsRowFunction="custom" dataDxfId="113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calculatedColumnFormula>
      <totalsRowFormula>SUBTOTAL(109,X5:X142)</totalsRowFormula>
    </tableColumn>
    <tableColumn id="25" xr3:uid="{C382D034-7A5E-47B0-81CA-510FA267E262}" name="Ф- _x000a_06" totalsRowFunction="custom" dataDxfId="112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calculatedColumnFormula>
      <totalsRowFormula>SUBTOTAL(109,Y5:Y142)</totalsRowFormula>
    </tableColumn>
    <tableColumn id="26" xr3:uid="{E2022F19-6AC7-44A8-8993-6C348D4E7D43}" name="Ф- _x000a_07" totalsRowFunction="custom" dataDxfId="111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calculatedColumnFormula>
      <totalsRowFormula>SUBTOTAL(109,Z5:Z142)</totalsRowFormula>
    </tableColumn>
    <tableColumn id="27" xr3:uid="{DF662DE5-4319-4221-9501-8D621BD5B5BA}" name="Ф- _x000a_08" totalsRowFunction="custom" dataDxfId="110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calculatedColumnFormula>
      <totalsRowFormula>SUBTOTAL(109,AA5:AA142)</totalsRowFormula>
    </tableColumn>
    <tableColumn id="28" xr3:uid="{1D7493EC-B57C-44BE-979C-21491AFDA859}" name="Ф- _x000a_09" totalsRowFunction="custom" dataDxfId="109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calculatedColumnFormula>
      <totalsRowFormula>SUBTOTAL(109,AB5:AB142)</totalsRowFormula>
    </tableColumn>
    <tableColumn id="29" xr3:uid="{BB88718E-F9B0-4AA3-B12B-CCF94506F0F8}" name="Ф- _x000a_10" totalsRowFunction="custom" dataDxfId="108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calculatedColumnFormula>
      <totalsRowFormula>SUBTOTAL(109,AC5:AC142)</totalsRowFormula>
    </tableColumn>
    <tableColumn id="30" xr3:uid="{578AB3F9-0B2E-48C7-98A0-78904708076B}" name="Ф- _x000a_11" totalsRowFunction="custom" dataDxfId="107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calculatedColumnFormula>
      <totalsRowFormula>SUBTOTAL(109,AD5:AD142)</totalsRowFormula>
    </tableColumn>
    <tableColumn id="31" xr3:uid="{A35165EE-32F3-4B44-B06E-8D5B82114DA6}" name="Ф- _x000a_12" totalsRowFunction="custom" dataDxfId="106">
      <calculatedColumnFormula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calculatedColumnFormula>
      <totalsRowFormula>SUBTOTAL(109,AE5:AE142)</totalsRowFormula>
    </tableColumn>
    <tableColumn id="32" xr3:uid="{4DC13EF4-4504-4BB9-B62F-74BBCB08EE61}" name="Ф- _x000a_2026" totalsRowFunction="custom" dataDxfId="105">
      <calculatedColumnFormula>SUM(Пневматика_СВОДНАЯ_2026[[#This Row],[Ф- 
01]:[Ф- 
12]])</calculatedColumnFormula>
      <totalsRowFormula>SUBTOTAL(109,AF5:AF142)</totalsRowFormula>
    </tableColumn>
    <tableColumn id="33" xr3:uid="{4348AAE1-6F18-46AD-BD96-DD07F48AD42D}" name="Ф" dataDxfId="104">
      <calculatedColumnFormula>IF((Пневматика_СВОДНАЯ_2026[[#This Row],[П- 
2026]]+Пневматика_СВОДНАЯ_2026[[#This Row],[Ф- 
2026]])&gt;0,1,0)</calculatedColumnFormula>
    </tableColumn>
    <tableColumn id="34" xr3:uid="{57AEB3D1-5363-41D3-8A2A-21FF33151AC1}" name="Ключ" dataDxfId="103">
      <calculatedColumnFormula>Пневматика_СВОДНАЯ_2026[[#This Row],[Прод]]&amp;"_"&amp;Пневматика_СВОДНАЯ_2026[[#This Row],[Обозначение]]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5446E87-8EAF-438F-92CD-D91217C9776D}" name="Тормоз_СВОДНАЯ_2026" displayName="Тормоз_СВОДНАЯ_2026" ref="A4:AH27" headerRowDxfId="102" totalsRowDxfId="99" headerRowBorderDxfId="101" tableBorderDxfId="100">
  <autoFilter ref="A4:AH27" xr:uid="{00000000-0009-0000-0100-000006000000}"/>
  <sortState xmlns:xlrd2="http://schemas.microsoft.com/office/spreadsheetml/2017/richdata2" ref="A5:AH27">
    <sortCondition descending="1" ref="AG5:AG15"/>
    <sortCondition ref="A5:A15"/>
    <sortCondition ref="B5:B15"/>
  </sortState>
  <tableColumns count="34">
    <tableColumn id="1" xr3:uid="{E51BCFB6-7265-4A9D-BEE2-05095A99D9DA}" name="Прод" dataDxfId="98"/>
    <tableColumn id="2" xr3:uid="{E3AFAB77-DED6-41CD-A685-74EF25A8DED6}" name="Обозначение" dataDxfId="97"/>
    <tableColumn id="3" xr3:uid="{AB4B4615-9792-4407-AAB0-E02C763D2EA3}" name="Пр" dataDxfId="96">
      <calculatedColumnFormula>SUMPRODUCT((Тормоз_СВОДНАЯ_2026[Прод]=Тормоз_СВОДНАЯ_2026[[#This Row],[Прод]])*(Тормоз_СВОДНАЯ_2026[Обозначение]=Тормоз_СВОДНАЯ_2026[[#This Row],[Обозначение]])*1)</calculatedColumnFormula>
    </tableColumn>
    <tableColumn id="4" xr3:uid="{B7CA3F51-B1E7-4A0F-8DBD-3CB996475E37}" name="Тип" dataDxfId="95">
      <calculatedColumnFormula>INDEX(База[],MATCH(Тормоз_СВОДНАЯ_2026[[#This Row],[Обозначение]],База[Артикул],0),MATCH(D$4,База[#Headers],0))</calculatedColumnFormula>
    </tableColumn>
    <tableColumn id="5" xr3:uid="{0C3EB29A-662A-4D3E-B181-1DF21929D3F9}" name="Наименование" totalsRowLabel="ИТОГ" dataDxfId="94">
      <calculatedColumnFormula>INDEX(База[],MATCH(Тормоз_СВОДНАЯ_2026[[#This Row],[Обозначение]],База[Артикул],0),MATCH(E$4,База[#Headers],0))</calculatedColumnFormula>
    </tableColumn>
    <tableColumn id="6" xr3:uid="{266CEA4F-5CC6-4FE2-ABC0-747E02D43A9B}" name="П- _x000a_01" totalsRowFunction="custom" dataDxfId="93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calculatedColumnFormula>
      <totalsRowFormula>SUBTOTAL(109,F5:F27)</totalsRowFormula>
    </tableColumn>
    <tableColumn id="7" xr3:uid="{285DE946-A582-46D0-96F2-35968EF12360}" name="П- _x000a_02" totalsRowFunction="custom" dataDxfId="92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calculatedColumnFormula>
      <totalsRowFormula>SUBTOTAL(109,G5:G27)</totalsRowFormula>
    </tableColumn>
    <tableColumn id="8" xr3:uid="{A0ECDB80-201A-4497-A6E8-8242B8F56AE4}" name="П- _x000a_03" totalsRowFunction="custom" dataDxfId="91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calculatedColumnFormula>
      <totalsRowFormula>SUBTOTAL(109,H5:H27)</totalsRowFormula>
    </tableColumn>
    <tableColumn id="9" xr3:uid="{81A5E344-1B2F-418E-AD9F-14C5D772373E}" name="П- _x000a_04" totalsRowFunction="custom" dataDxfId="90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calculatedColumnFormula>
      <totalsRowFormula>SUBTOTAL(109,I5:I27)</totalsRowFormula>
    </tableColumn>
    <tableColumn id="10" xr3:uid="{8126FE09-624C-40B6-B4C9-FCF0486F14AE}" name="П- _x000a_05" totalsRowFunction="custom" dataDxfId="89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calculatedColumnFormula>
      <totalsRowFormula>SUBTOTAL(109,J5:J27)</totalsRowFormula>
    </tableColumn>
    <tableColumn id="11" xr3:uid="{862F5F3C-489D-4327-A3B3-55DE47F3B2C2}" name="П- _x000a_06" totalsRowFunction="custom" dataDxfId="88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calculatedColumnFormula>
      <totalsRowFormula>SUBTOTAL(109,K5:K27)</totalsRowFormula>
    </tableColumn>
    <tableColumn id="12" xr3:uid="{8B189121-96B4-4E3C-846C-AF502B6396F8}" name="П- _x000a_07" totalsRowFunction="custom" dataDxfId="87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calculatedColumnFormula>
      <totalsRowFormula>SUBTOTAL(109,L5:L27)</totalsRowFormula>
    </tableColumn>
    <tableColumn id="13" xr3:uid="{E361E45F-C927-4026-87AF-3324A87B1381}" name="П- _x000a_08" totalsRowFunction="custom" dataDxfId="86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calculatedColumnFormula>
      <totalsRowFormula>SUBTOTAL(109,M5:M27)</totalsRowFormula>
    </tableColumn>
    <tableColumn id="14" xr3:uid="{9418C435-A73F-422F-ABB0-911FD42BCAD2}" name="П- _x000a_09" totalsRowFunction="custom" dataDxfId="85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calculatedColumnFormula>
      <totalsRowFormula>SUBTOTAL(109,N5:N27)</totalsRowFormula>
    </tableColumn>
    <tableColumn id="15" xr3:uid="{C0C99D1F-D1EC-4CD2-B28E-BE758E30AB2C}" name="П- _x000a_10" totalsRowFunction="custom" dataDxfId="84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calculatedColumnFormula>
      <totalsRowFormula>SUBTOTAL(109,O5:O27)</totalsRowFormula>
    </tableColumn>
    <tableColumn id="16" xr3:uid="{2C389C40-30F5-4D1B-8B20-424809886DAF}" name="П- _x000a_11" totalsRowFunction="custom" dataDxfId="83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calculatedColumnFormula>
      <totalsRowFormula>SUBTOTAL(109,P5:P27)</totalsRowFormula>
    </tableColumn>
    <tableColumn id="17" xr3:uid="{37D4A6AF-3AB2-4EE4-A283-C8070F30BB6D}" name="П- _x000a_12" totalsRowFunction="custom" dataDxfId="82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calculatedColumnFormula>
      <totalsRowFormula>SUBTOTAL(109,Q5:Q27)</totalsRowFormula>
    </tableColumn>
    <tableColumn id="18" xr3:uid="{046206B7-515A-444D-903E-7A36FB0AD1EC}" name="П- _x000a_2025" totalsRowFunction="custom" dataDxfId="81">
      <calculatedColumnFormula>SUM(Тормоз_СВОДНАЯ_2026[[#This Row],[П- 
01]:[П- 
12]])</calculatedColumnFormula>
      <totalsRowFormula>SUBTOTAL(109,R5:R27)</totalsRowFormula>
    </tableColumn>
    <tableColumn id="19" xr3:uid="{132D4703-CC03-4116-9FE6-8EB503D8D691}" name="=" dataDxfId="80">
      <calculatedColumnFormula>IF(Тормоз_СВОДНАЯ_2026[[#This Row],[П- 
2025]]=Тормоз_СВОДНАЯ_2026[[#This Row],[Ф- 
2025]],"=",IF(Тормоз_СВОДНАЯ_2026[[#This Row],[П- 
2025]]&gt;Тормоз_СВОДНАЯ_2026[[#This Row],[Ф- 
2025]],"&gt;","&lt;"))</calculatedColumnFormula>
    </tableColumn>
    <tableColumn id="20" xr3:uid="{BC4EFADF-6F49-4B7B-B17A-A165B24A0CFF}" name="Ф- _x000a_01" totalsRowFunction="custom" dataDxfId="79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calculatedColumnFormula>
      <totalsRowFormula>SUBTOTAL(109,T5:T27)</totalsRowFormula>
    </tableColumn>
    <tableColumn id="21" xr3:uid="{C250A830-4D6E-4F3A-BA34-CB139CAC739F}" name="Ф- _x000a_02" totalsRowFunction="custom" dataDxfId="78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calculatedColumnFormula>
      <totalsRowFormula>SUBTOTAL(109,U5:U27)</totalsRowFormula>
    </tableColumn>
    <tableColumn id="22" xr3:uid="{0FD428D4-8685-45E4-A76E-D2D92242EE7C}" name="Ф- _x000a_03" totalsRowFunction="custom" dataDxfId="77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calculatedColumnFormula>
      <totalsRowFormula>SUBTOTAL(109,V5:V27)</totalsRowFormula>
    </tableColumn>
    <tableColumn id="23" xr3:uid="{8A86CBCB-C0AC-4EF9-BC42-B9D7E55EE9C8}" name="Ф- _x000a_04" totalsRowFunction="custom" dataDxfId="76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calculatedColumnFormula>
      <totalsRowFormula>SUBTOTAL(109,W5:W27)</totalsRowFormula>
    </tableColumn>
    <tableColumn id="24" xr3:uid="{B8AA49B2-554B-471D-B05C-954474EE5409}" name="Ф- _x000a_05" totalsRowFunction="custom" dataDxfId="75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calculatedColumnFormula>
      <totalsRowFormula>SUBTOTAL(109,X5:X27)</totalsRowFormula>
    </tableColumn>
    <tableColumn id="25" xr3:uid="{619F4AA6-A946-4101-AB0C-110F48B5059E}" name="Ф- _x000a_06" totalsRowFunction="custom" dataDxfId="74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calculatedColumnFormula>
      <totalsRowFormula>SUBTOTAL(109,Y5:Y27)</totalsRowFormula>
    </tableColumn>
    <tableColumn id="26" xr3:uid="{79E7CF1B-DD03-4119-8547-FC054D593982}" name="Ф- _x000a_07" totalsRowFunction="custom" dataDxfId="73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calculatedColumnFormula>
      <totalsRowFormula>SUBTOTAL(109,Z5:Z27)</totalsRowFormula>
    </tableColumn>
    <tableColumn id="27" xr3:uid="{C7F934A4-A145-4D6A-85B9-FCB56D037BC5}" name="Ф- _x000a_08" totalsRowFunction="custom" dataDxfId="72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calculatedColumnFormula>
      <totalsRowFormula>SUBTOTAL(109,AA5:AA27)</totalsRowFormula>
    </tableColumn>
    <tableColumn id="28" xr3:uid="{5C24EA32-D76B-46F6-A39E-1E3CE32A7022}" name="Ф- _x000a_09" totalsRowFunction="custom" dataDxfId="71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calculatedColumnFormula>
      <totalsRowFormula>SUBTOTAL(109,AB5:AB27)</totalsRowFormula>
    </tableColumn>
    <tableColumn id="29" xr3:uid="{7718B515-189C-42C2-92FB-33A9D1FB794D}" name="Ф- _x000a_10" totalsRowFunction="custom" dataDxfId="70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calculatedColumnFormula>
      <totalsRowFormula>SUBTOTAL(109,AC5:AC27)</totalsRowFormula>
    </tableColumn>
    <tableColumn id="30" xr3:uid="{DB8B5A66-1DFA-4E37-9340-685FA764D941}" name="Ф- _x000a_11" totalsRowFunction="custom" dataDxfId="69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calculatedColumnFormula>
      <totalsRowFormula>SUBTOTAL(109,AD5:AD27)</totalsRowFormula>
    </tableColumn>
    <tableColumn id="31" xr3:uid="{59701427-0AAC-4039-BD6D-36FE48D35801}" name="Ф- _x000a_12" totalsRowFunction="custom" dataDxfId="68">
      <calculatedColumnFormula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calculatedColumnFormula>
      <totalsRowFormula>SUBTOTAL(109,AE5:AE27)</totalsRowFormula>
    </tableColumn>
    <tableColumn id="32" xr3:uid="{45076DAD-5AA2-4F84-A87C-F9DE9F142F81}" name="Ф- _x000a_2025" totalsRowFunction="custom" dataDxfId="67">
      <calculatedColumnFormula>SUM(Тормоз_СВОДНАЯ_2026[[#This Row],[Ф- 
01]:[Ф- 
12]])</calculatedColumnFormula>
      <totalsRowFormula>SUBTOTAL(109,AF5:AF27)</totalsRowFormula>
    </tableColumn>
    <tableColumn id="33" xr3:uid="{238A9C04-40AB-49C2-8594-926896CD5B21}" name="Ф" dataDxfId="66">
      <calculatedColumnFormula>IF((Тормоз_СВОДНАЯ_2026[[#This Row],[П- 
2025]]+Тормоз_СВОДНАЯ_2026[[#This Row],[Ф- 
2025]])&gt;0,1,0)</calculatedColumnFormula>
    </tableColumn>
    <tableColumn id="34" xr3:uid="{6C646400-2BC1-4DD3-8792-8DD7C08F061D}" name="Ключ" dataDxfId="65">
      <calculatedColumnFormula>Тормоз_СВОДНАЯ_2026[[#This Row],[Прод]]&amp;"_"&amp;Тормоз_СВОДНАЯ_2026[[#This Row],[Обозначение]]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br.ru/currency_base/dynamics/?UniDbQuery.Posted=True&amp;UniDbQuery.VAL_NM_RQ=R01375" TargetMode="External"/><Relationship Id="rId1" Type="http://schemas.openxmlformats.org/officeDocument/2006/relationships/hyperlink" Target="https://cbr.ru/currency_base/dynamics/?UniDbQuery.Posted=True&amp;UniDbQuery.VAL_NM_RQ=R01239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cbr.ru/currency_base/dynamics/?UniDbQuery.Posted=True&amp;UniDbQuery.VAL_NM_RQ=R01375" TargetMode="External"/><Relationship Id="rId1" Type="http://schemas.openxmlformats.org/officeDocument/2006/relationships/hyperlink" Target="https://cbr.ru/currency_base/dynamics/?UniDbQuery.Posted=True&amp;UniDbQuery.VAL_NM_RQ=R01239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HZ79"/>
  <sheetViews>
    <sheetView zoomScale="70" zoomScaleNormal="70" workbookViewId="0">
      <pane xSplit="13" ySplit="5" topLeftCell="N6" activePane="bottomRight" state="frozen"/>
      <selection activeCell="B4" sqref="B4"/>
      <selection pane="topRight" activeCell="B4" sqref="B4"/>
      <selection pane="bottomLeft" activeCell="B4" sqref="B4"/>
      <selection pane="bottomRight" activeCell="H1" sqref="H1:H1048576"/>
    </sheetView>
  </sheetViews>
  <sheetFormatPr defaultColWidth="12.6640625" defaultRowHeight="14.4" outlineLevelRow="2" outlineLevelCol="2"/>
  <cols>
    <col min="1" max="1" width="15.6640625" style="1" customWidth="1"/>
    <col min="2" max="2" width="18.88671875" style="1" customWidth="1" outlineLevel="1"/>
    <col min="3" max="3" width="11.6640625" style="1" customWidth="1" outlineLevel="1"/>
    <col min="4" max="4" width="10.6640625" style="1" customWidth="1" outlineLevel="1"/>
    <col min="5" max="5" width="5.33203125" style="1" bestFit="1" customWidth="1"/>
    <col min="6" max="6" width="6.6640625" style="1" customWidth="1"/>
    <col min="7" max="7" width="20.6640625" style="1" customWidth="1"/>
    <col min="8" max="8" width="42.6640625" style="2" customWidth="1"/>
    <col min="9" max="9" width="9.6640625" style="3" customWidth="1"/>
    <col min="10" max="10" width="10.6640625" style="3" customWidth="1" outlineLevel="1"/>
    <col min="11" max="11" width="8.6640625" style="3" customWidth="1" outlineLevel="1"/>
    <col min="12" max="12" width="9.6640625" style="3" customWidth="1" outlineLevel="1"/>
    <col min="13" max="14" width="3.6640625" style="4" customWidth="1"/>
    <col min="15" max="17" width="9.6640625" style="1" hidden="1" customWidth="1" outlineLevel="2"/>
    <col min="18" max="18" width="19" style="1" hidden="1" customWidth="1" outlineLevel="2"/>
    <col min="19" max="21" width="9.6640625" style="1" hidden="1" customWidth="1" outlineLevel="2"/>
    <col min="22" max="22" width="19" style="1" hidden="1" customWidth="1" outlineLevel="2"/>
    <col min="23" max="23" width="9.6640625" style="1" hidden="1" customWidth="1" outlineLevel="2" collapsed="1"/>
    <col min="24" max="25" width="9.6640625" style="1" hidden="1" customWidth="1" outlineLevel="2"/>
    <col min="26" max="26" width="19" style="1" hidden="1" customWidth="1" outlineLevel="2"/>
    <col min="27" max="27" width="9.6640625" style="1" hidden="1" customWidth="1" outlineLevel="2" collapsed="1"/>
    <col min="28" max="29" width="9.6640625" style="1" hidden="1" customWidth="1" outlineLevel="2"/>
    <col min="30" max="30" width="19" style="1" hidden="1" customWidth="1" outlineLevel="2"/>
    <col min="31" max="31" width="9.6640625" style="1" customWidth="1" outlineLevel="1" collapsed="1"/>
    <col min="32" max="33" width="9.6640625" style="1" customWidth="1" outlineLevel="1"/>
    <col min="34" max="34" width="19" style="1" customWidth="1" outlineLevel="1"/>
    <col min="35" max="37" width="9.6640625" style="1" customWidth="1" outlineLevel="1"/>
    <col min="38" max="38" width="19" style="1" customWidth="1" outlineLevel="1"/>
    <col min="39" max="41" width="9.6640625" style="1" customWidth="1" outlineLevel="2"/>
    <col min="42" max="42" width="19" style="1" customWidth="1" outlineLevel="2"/>
    <col min="43" max="45" width="9.6640625" style="1" customWidth="1" outlineLevel="2"/>
    <col min="46" max="46" width="19" style="1" customWidth="1" outlineLevel="2"/>
    <col min="47" max="49" width="9.6640625" style="1" customWidth="1" outlineLevel="2"/>
    <col min="50" max="50" width="19" style="1" customWidth="1" outlineLevel="2"/>
    <col min="51" max="53" width="9.6640625" style="1" customWidth="1" outlineLevel="2"/>
    <col min="54" max="54" width="19" style="1" customWidth="1" outlineLevel="2"/>
    <col min="55" max="57" width="9.6640625" style="1" customWidth="1" outlineLevel="2"/>
    <col min="58" max="58" width="19" style="1" customWidth="1" outlineLevel="2"/>
    <col min="59" max="61" width="9.6640625" style="1" customWidth="1" outlineLevel="2"/>
    <col min="62" max="62" width="19" style="1" customWidth="1" outlineLevel="2"/>
    <col min="63" max="63" width="3.6640625" style="359" customWidth="1" outlineLevel="1"/>
    <col min="64" max="64" width="10.6640625" style="1" customWidth="1" outlineLevel="2"/>
    <col min="65" max="65" width="14" style="1" customWidth="1" outlineLevel="2"/>
    <col min="66" max="69" width="10.6640625" style="1" customWidth="1" outlineLevel="2"/>
    <col min="70" max="70" width="3.6640625" style="359" customWidth="1" outlineLevel="1"/>
    <col min="71" max="71" width="3.6640625" style="4" customWidth="1"/>
    <col min="72" max="74" width="9.6640625" style="1" hidden="1" customWidth="1" outlineLevel="1"/>
    <col min="75" max="75" width="19" style="1" hidden="1" customWidth="1" outlineLevel="1"/>
    <col min="76" max="78" width="9.6640625" style="1" hidden="1" customWidth="1" outlineLevel="1"/>
    <col min="79" max="79" width="19" style="1" hidden="1" customWidth="1" outlineLevel="1"/>
    <col min="80" max="82" width="9.6640625" style="1" hidden="1" customWidth="1" outlineLevel="1"/>
    <col min="83" max="83" width="19" style="1" hidden="1" customWidth="1" outlineLevel="1"/>
    <col min="84" max="86" width="9.6640625" style="1" hidden="1" customWidth="1" outlineLevel="1"/>
    <col min="87" max="87" width="19" style="1" hidden="1" customWidth="1" outlineLevel="1"/>
    <col min="88" max="90" width="9.6640625" style="1" hidden="1" customWidth="1" outlineLevel="1"/>
    <col min="91" max="91" width="19" style="1" hidden="1" customWidth="1" outlineLevel="1"/>
    <col min="92" max="94" width="9.6640625" style="1" hidden="1" customWidth="1" outlineLevel="1"/>
    <col min="95" max="95" width="19" style="1" hidden="1" customWidth="1" outlineLevel="1"/>
    <col min="96" max="98" width="9.6640625" style="1" hidden="1" customWidth="1" outlineLevel="1"/>
    <col min="99" max="99" width="19" style="1" hidden="1" customWidth="1" outlineLevel="1"/>
    <col min="100" max="102" width="9.6640625" style="1" hidden="1" customWidth="1" outlineLevel="1"/>
    <col min="103" max="103" width="19" style="1" hidden="1" customWidth="1" outlineLevel="1"/>
    <col min="104" max="106" width="9.6640625" style="1" hidden="1" customWidth="1" outlineLevel="1"/>
    <col min="107" max="107" width="19" style="1" hidden="1" customWidth="1" outlineLevel="1"/>
    <col min="108" max="110" width="9.6640625" style="1" hidden="1" customWidth="1" outlineLevel="1"/>
    <col min="111" max="111" width="19" style="1" hidden="1" customWidth="1" outlineLevel="1"/>
    <col min="112" max="114" width="9.6640625" style="1" hidden="1" customWidth="1" outlineLevel="1"/>
    <col min="115" max="115" width="19" style="1" hidden="1" customWidth="1" outlineLevel="1"/>
    <col min="116" max="118" width="9.6640625" style="1" hidden="1" customWidth="1" outlineLevel="1"/>
    <col min="119" max="119" width="19" style="1" hidden="1" customWidth="1" outlineLevel="1"/>
    <col min="120" max="120" width="3.6640625" style="359" hidden="1" customWidth="1" outlineLevel="1"/>
    <col min="121" max="122" width="10.6640625" style="1" hidden="1" customWidth="1" outlineLevel="2"/>
    <col min="123" max="123" width="3.6640625" style="359" hidden="1" customWidth="1" outlineLevel="1" collapsed="1"/>
    <col min="124" max="124" width="3.6640625" style="4" customWidth="1" collapsed="1"/>
    <col min="125" max="125" width="10.33203125" style="1" hidden="1" customWidth="1" outlineLevel="1"/>
    <col min="126" max="127" width="9.6640625" style="1" hidden="1" customWidth="1" outlineLevel="1"/>
    <col min="128" max="128" width="19" style="1" hidden="1" customWidth="1" outlineLevel="1"/>
    <col min="129" max="129" width="10.33203125" style="1" hidden="1" customWidth="1" outlineLevel="1"/>
    <col min="130" max="131" width="9.6640625" style="1" hidden="1" customWidth="1" outlineLevel="1"/>
    <col min="132" max="132" width="19" style="1" hidden="1" customWidth="1" outlineLevel="1"/>
    <col min="133" max="133" width="10.33203125" style="1" hidden="1" customWidth="1" outlineLevel="1"/>
    <col min="134" max="135" width="9.6640625" style="1" hidden="1" customWidth="1" outlineLevel="1"/>
    <col min="136" max="136" width="19" style="1" hidden="1" customWidth="1" outlineLevel="1"/>
    <col min="137" max="137" width="10.33203125" style="1" hidden="1" customWidth="1" outlineLevel="1"/>
    <col min="138" max="139" width="9.6640625" style="1" hidden="1" customWidth="1" outlineLevel="1"/>
    <col min="140" max="140" width="19" style="1" hidden="1" customWidth="1" outlineLevel="1"/>
    <col min="141" max="141" width="10.33203125" style="1" hidden="1" customWidth="1" outlineLevel="1"/>
    <col min="142" max="143" width="9.6640625" style="1" hidden="1" customWidth="1" outlineLevel="1"/>
    <col min="144" max="144" width="19" style="1" hidden="1" customWidth="1" outlineLevel="1"/>
    <col min="145" max="145" width="10.33203125" style="1" hidden="1" customWidth="1" outlineLevel="1"/>
    <col min="146" max="147" width="9.6640625" style="1" hidden="1" customWidth="1" outlineLevel="1"/>
    <col min="148" max="148" width="19" style="1" hidden="1" customWidth="1" outlineLevel="1"/>
    <col min="149" max="149" width="10.33203125" style="1" hidden="1" customWidth="1" outlineLevel="1"/>
    <col min="150" max="151" width="9.6640625" style="1" hidden="1" customWidth="1" outlineLevel="1"/>
    <col min="152" max="152" width="19" style="1" hidden="1" customWidth="1" outlineLevel="1"/>
    <col min="153" max="153" width="10.33203125" style="1" hidden="1" customWidth="1" outlineLevel="1"/>
    <col min="154" max="155" width="9.6640625" style="1" hidden="1" customWidth="1" outlineLevel="1"/>
    <col min="156" max="156" width="19" style="1" hidden="1" customWidth="1" outlineLevel="1"/>
    <col min="157" max="157" width="10.33203125" style="1" hidden="1" customWidth="1" outlineLevel="1"/>
    <col min="158" max="159" width="9.6640625" style="1" hidden="1" customWidth="1" outlineLevel="1"/>
    <col min="160" max="160" width="19" style="1" hidden="1" customWidth="1" outlineLevel="1"/>
    <col min="161" max="161" width="10.33203125" style="1" hidden="1" customWidth="1" outlineLevel="1"/>
    <col min="162" max="163" width="9.6640625" style="1" hidden="1" customWidth="1" outlineLevel="1"/>
    <col min="164" max="164" width="19" style="1" hidden="1" customWidth="1" outlineLevel="1"/>
    <col min="165" max="165" width="10.33203125" style="1" hidden="1" customWidth="1" outlineLevel="1"/>
    <col min="166" max="167" width="9.6640625" style="1" hidden="1" customWidth="1" outlineLevel="1"/>
    <col min="168" max="168" width="19" style="1" hidden="1" customWidth="1" outlineLevel="1"/>
    <col min="169" max="169" width="10.33203125" style="1" hidden="1" customWidth="1" outlineLevel="1"/>
    <col min="170" max="171" width="9.6640625" style="1" hidden="1" customWidth="1" outlineLevel="1"/>
    <col min="172" max="172" width="19" style="1" hidden="1" customWidth="1" outlineLevel="1"/>
    <col min="173" max="173" width="3.6640625" style="359" hidden="1" customWidth="1" outlineLevel="1"/>
    <col min="174" max="174" width="11.44140625" style="1" hidden="1" customWidth="1" outlineLevel="2"/>
    <col min="175" max="175" width="11.33203125" style="1" hidden="1" customWidth="1" outlineLevel="2"/>
    <col min="176" max="176" width="3.6640625" style="359" hidden="1" customWidth="1" outlineLevel="1"/>
    <col min="177" max="177" width="3.6640625" style="1" customWidth="1" collapsed="1"/>
    <col min="178" max="16384" width="12.6640625" style="1"/>
  </cols>
  <sheetData>
    <row r="1" spans="1:176">
      <c r="A1" s="5">
        <v>93.49</v>
      </c>
      <c r="B1" s="6" t="s">
        <v>0</v>
      </c>
      <c r="E1" s="7" t="s">
        <v>1</v>
      </c>
      <c r="F1" s="7"/>
      <c r="G1" s="8">
        <v>46171</v>
      </c>
      <c r="J1" s="499"/>
      <c r="K1" s="500" t="s">
        <v>430</v>
      </c>
      <c r="BD1" s="723"/>
    </row>
    <row r="2" spans="1:176">
      <c r="A2" s="668">
        <v>11.25</v>
      </c>
      <c r="B2" s="9" t="s">
        <v>2</v>
      </c>
      <c r="D2" s="2"/>
      <c r="E2" s="2"/>
      <c r="F2" s="2"/>
      <c r="G2" s="2"/>
      <c r="J2" s="644"/>
      <c r="K2" s="645" t="s">
        <v>461</v>
      </c>
    </row>
    <row r="3" spans="1:176" s="103" customFormat="1">
      <c r="A3" s="347"/>
      <c r="B3" s="348"/>
      <c r="C3" s="347"/>
      <c r="D3" s="347"/>
      <c r="E3" s="352"/>
      <c r="F3" s="348" t="s">
        <v>4</v>
      </c>
      <c r="G3" s="350" t="s">
        <v>5</v>
      </c>
      <c r="H3" s="351"/>
      <c r="I3" s="732" t="s">
        <v>422</v>
      </c>
      <c r="J3" s="733"/>
      <c r="K3" s="733"/>
      <c r="L3" s="734"/>
      <c r="M3" s="354"/>
      <c r="N3" s="751">
        <v>2026</v>
      </c>
      <c r="O3" s="751"/>
      <c r="P3" s="751"/>
      <c r="Q3" s="751"/>
      <c r="R3" s="751"/>
      <c r="S3" s="751"/>
      <c r="T3" s="751"/>
      <c r="U3" s="751"/>
      <c r="V3" s="751"/>
      <c r="W3" s="751"/>
      <c r="X3" s="751"/>
      <c r="Y3" s="751"/>
      <c r="Z3" s="751"/>
      <c r="AA3" s="751"/>
      <c r="AB3" s="751"/>
      <c r="AC3" s="751"/>
      <c r="AD3" s="751"/>
      <c r="AE3" s="751"/>
      <c r="AF3" s="751"/>
      <c r="AG3" s="751"/>
      <c r="AH3" s="751"/>
      <c r="AI3" s="751"/>
      <c r="AJ3" s="751"/>
      <c r="AK3" s="751"/>
      <c r="AL3" s="751"/>
      <c r="AM3" s="751"/>
      <c r="AN3" s="751"/>
      <c r="AO3" s="751"/>
      <c r="AP3" s="751"/>
      <c r="AQ3" s="751"/>
      <c r="AR3" s="751"/>
      <c r="AS3" s="751"/>
      <c r="AT3" s="751"/>
      <c r="AU3" s="751"/>
      <c r="AV3" s="751"/>
      <c r="AW3" s="751"/>
      <c r="AX3" s="751"/>
      <c r="AY3" s="751"/>
      <c r="AZ3" s="751"/>
      <c r="BA3" s="751"/>
      <c r="BB3" s="751"/>
      <c r="BC3" s="751"/>
      <c r="BD3" s="751"/>
      <c r="BE3" s="751"/>
      <c r="BF3" s="751"/>
      <c r="BG3" s="751"/>
      <c r="BH3" s="751"/>
      <c r="BI3" s="751"/>
      <c r="BJ3" s="751"/>
      <c r="BK3" s="751"/>
      <c r="BL3" s="751"/>
      <c r="BM3" s="751"/>
      <c r="BN3" s="751"/>
      <c r="BO3" s="751"/>
      <c r="BP3" s="751"/>
      <c r="BQ3" s="751"/>
      <c r="BR3" s="751"/>
      <c r="BS3" s="752" t="s">
        <v>416</v>
      </c>
      <c r="BT3" s="753"/>
      <c r="BU3" s="753"/>
      <c r="BV3" s="753"/>
      <c r="BW3" s="753"/>
      <c r="BX3" s="753"/>
      <c r="BY3" s="753"/>
      <c r="BZ3" s="753"/>
      <c r="CA3" s="753"/>
      <c r="CB3" s="753"/>
      <c r="CC3" s="753"/>
      <c r="CD3" s="753"/>
      <c r="CE3" s="753"/>
      <c r="CF3" s="753"/>
      <c r="CG3" s="753"/>
      <c r="CH3" s="753"/>
      <c r="CI3" s="753"/>
      <c r="CJ3" s="753"/>
      <c r="CK3" s="753"/>
      <c r="CL3" s="753"/>
      <c r="CM3" s="753"/>
      <c r="CN3" s="753"/>
      <c r="CO3" s="753"/>
      <c r="CP3" s="753"/>
      <c r="CQ3" s="753"/>
      <c r="CR3" s="753"/>
      <c r="CS3" s="753"/>
      <c r="CT3" s="753"/>
      <c r="CU3" s="753"/>
      <c r="CV3" s="753"/>
      <c r="CW3" s="753"/>
      <c r="CX3" s="753"/>
      <c r="CY3" s="753"/>
      <c r="CZ3" s="753"/>
      <c r="DA3" s="753"/>
      <c r="DB3" s="753"/>
      <c r="DC3" s="753"/>
      <c r="DD3" s="753"/>
      <c r="DE3" s="753"/>
      <c r="DF3" s="753"/>
      <c r="DG3" s="753"/>
      <c r="DH3" s="753"/>
      <c r="DI3" s="753"/>
      <c r="DJ3" s="753"/>
      <c r="DK3" s="753"/>
      <c r="DL3" s="753"/>
      <c r="DM3" s="753"/>
      <c r="DN3" s="753"/>
      <c r="DO3" s="753"/>
      <c r="DP3" s="753"/>
      <c r="DQ3" s="753"/>
      <c r="DR3" s="753"/>
      <c r="DS3" s="754"/>
      <c r="DT3" s="755" t="s">
        <v>417</v>
      </c>
      <c r="DU3" s="755"/>
      <c r="DV3" s="755"/>
      <c r="DW3" s="755"/>
      <c r="DX3" s="755"/>
      <c r="DY3" s="755"/>
      <c r="DZ3" s="755"/>
      <c r="EA3" s="755"/>
      <c r="EB3" s="755"/>
      <c r="EC3" s="755"/>
      <c r="ED3" s="755"/>
      <c r="EE3" s="755"/>
      <c r="EF3" s="755"/>
      <c r="EG3" s="755"/>
      <c r="EH3" s="755"/>
      <c r="EI3" s="755"/>
      <c r="EJ3" s="755"/>
      <c r="EK3" s="755"/>
      <c r="EL3" s="755"/>
      <c r="EM3" s="755"/>
      <c r="EN3" s="755"/>
      <c r="EO3" s="755"/>
      <c r="EP3" s="755"/>
      <c r="EQ3" s="755"/>
      <c r="ER3" s="755"/>
      <c r="ES3" s="755"/>
      <c r="ET3" s="755"/>
      <c r="EU3" s="755"/>
      <c r="EV3" s="755"/>
      <c r="EW3" s="755"/>
      <c r="EX3" s="755"/>
      <c r="EY3" s="755"/>
      <c r="EZ3" s="755"/>
      <c r="FA3" s="755"/>
      <c r="FB3" s="755"/>
      <c r="FC3" s="755"/>
      <c r="FD3" s="755"/>
      <c r="FE3" s="755"/>
      <c r="FF3" s="755"/>
      <c r="FG3" s="755"/>
      <c r="FH3" s="755"/>
      <c r="FI3" s="755"/>
      <c r="FJ3" s="755"/>
      <c r="FK3" s="755"/>
      <c r="FL3" s="755"/>
      <c r="FM3" s="755"/>
      <c r="FN3" s="755"/>
      <c r="FO3" s="755"/>
      <c r="FP3" s="755"/>
      <c r="FQ3" s="755"/>
      <c r="FR3" s="755"/>
      <c r="FS3" s="755"/>
      <c r="FT3" s="755"/>
    </row>
    <row r="4" spans="1:176" s="103" customFormat="1">
      <c r="A4" s="742" t="s">
        <v>7</v>
      </c>
      <c r="B4" s="744" t="s">
        <v>8</v>
      </c>
      <c r="C4" s="744" t="s">
        <v>9</v>
      </c>
      <c r="D4" s="744" t="s">
        <v>10</v>
      </c>
      <c r="E4" s="746" t="s">
        <v>11</v>
      </c>
      <c r="F4" s="747" t="s">
        <v>12</v>
      </c>
      <c r="G4" s="748" t="s">
        <v>13</v>
      </c>
      <c r="H4" s="748" t="s">
        <v>14</v>
      </c>
      <c r="I4" s="748" t="s">
        <v>15</v>
      </c>
      <c r="J4" s="748" t="s">
        <v>16</v>
      </c>
      <c r="K4" s="748" t="s">
        <v>17</v>
      </c>
      <c r="L4" s="748" t="s">
        <v>18</v>
      </c>
      <c r="M4" s="749"/>
      <c r="N4" s="735" t="s">
        <v>394</v>
      </c>
      <c r="O4" s="732">
        <v>46023</v>
      </c>
      <c r="P4" s="733"/>
      <c r="Q4" s="733"/>
      <c r="R4" s="734"/>
      <c r="S4" s="732">
        <v>46054</v>
      </c>
      <c r="T4" s="733"/>
      <c r="U4" s="733"/>
      <c r="V4" s="734"/>
      <c r="W4" s="732">
        <v>46082</v>
      </c>
      <c r="X4" s="733"/>
      <c r="Y4" s="733"/>
      <c r="Z4" s="734"/>
      <c r="AA4" s="732">
        <v>46113</v>
      </c>
      <c r="AB4" s="733"/>
      <c r="AC4" s="733"/>
      <c r="AD4" s="734"/>
      <c r="AE4" s="732">
        <v>46143</v>
      </c>
      <c r="AF4" s="733"/>
      <c r="AG4" s="733"/>
      <c r="AH4" s="734"/>
      <c r="AI4" s="732">
        <v>46174</v>
      </c>
      <c r="AJ4" s="733"/>
      <c r="AK4" s="733"/>
      <c r="AL4" s="734"/>
      <c r="AM4" s="732">
        <v>46204</v>
      </c>
      <c r="AN4" s="733"/>
      <c r="AO4" s="733"/>
      <c r="AP4" s="734"/>
      <c r="AQ4" s="732">
        <v>46235</v>
      </c>
      <c r="AR4" s="733"/>
      <c r="AS4" s="733"/>
      <c r="AT4" s="734"/>
      <c r="AU4" s="732">
        <v>46266</v>
      </c>
      <c r="AV4" s="733"/>
      <c r="AW4" s="733"/>
      <c r="AX4" s="734"/>
      <c r="AY4" s="732">
        <v>46296</v>
      </c>
      <c r="AZ4" s="733"/>
      <c r="BA4" s="733"/>
      <c r="BB4" s="734"/>
      <c r="BC4" s="732">
        <v>46327</v>
      </c>
      <c r="BD4" s="733"/>
      <c r="BE4" s="733"/>
      <c r="BF4" s="734"/>
      <c r="BG4" s="732">
        <v>46357</v>
      </c>
      <c r="BH4" s="733"/>
      <c r="BI4" s="733"/>
      <c r="BJ4" s="734"/>
      <c r="BK4" s="739"/>
      <c r="BL4" s="741" t="s">
        <v>20</v>
      </c>
      <c r="BM4" s="741"/>
      <c r="BN4" s="741"/>
      <c r="BO4" s="741"/>
      <c r="BP4" s="741"/>
      <c r="BQ4" s="741"/>
      <c r="BR4" s="737"/>
      <c r="BS4" s="735" t="s">
        <v>395</v>
      </c>
      <c r="BT4" s="756">
        <v>46388</v>
      </c>
      <c r="BU4" s="757"/>
      <c r="BV4" s="757"/>
      <c r="BW4" s="758"/>
      <c r="BX4" s="756">
        <v>46419</v>
      </c>
      <c r="BY4" s="757"/>
      <c r="BZ4" s="757"/>
      <c r="CA4" s="758"/>
      <c r="CB4" s="756">
        <v>46447</v>
      </c>
      <c r="CC4" s="757"/>
      <c r="CD4" s="757"/>
      <c r="CE4" s="758"/>
      <c r="CF4" s="756">
        <v>46478</v>
      </c>
      <c r="CG4" s="757"/>
      <c r="CH4" s="757"/>
      <c r="CI4" s="758"/>
      <c r="CJ4" s="756">
        <v>46508</v>
      </c>
      <c r="CK4" s="757"/>
      <c r="CL4" s="757"/>
      <c r="CM4" s="758"/>
      <c r="CN4" s="756">
        <v>46539</v>
      </c>
      <c r="CO4" s="757"/>
      <c r="CP4" s="757"/>
      <c r="CQ4" s="758"/>
      <c r="CR4" s="756">
        <v>46569</v>
      </c>
      <c r="CS4" s="757"/>
      <c r="CT4" s="757"/>
      <c r="CU4" s="758"/>
      <c r="CV4" s="756">
        <v>46600</v>
      </c>
      <c r="CW4" s="757"/>
      <c r="CX4" s="757"/>
      <c r="CY4" s="758"/>
      <c r="CZ4" s="756">
        <v>46631</v>
      </c>
      <c r="DA4" s="757"/>
      <c r="DB4" s="757"/>
      <c r="DC4" s="758"/>
      <c r="DD4" s="756">
        <v>46661</v>
      </c>
      <c r="DE4" s="757"/>
      <c r="DF4" s="757"/>
      <c r="DG4" s="758"/>
      <c r="DH4" s="756">
        <v>46692</v>
      </c>
      <c r="DI4" s="757"/>
      <c r="DJ4" s="757"/>
      <c r="DK4" s="758"/>
      <c r="DL4" s="756">
        <v>46722</v>
      </c>
      <c r="DM4" s="757"/>
      <c r="DN4" s="757"/>
      <c r="DO4" s="758"/>
      <c r="DP4" s="739"/>
      <c r="DQ4" s="761" t="s">
        <v>21</v>
      </c>
      <c r="DR4" s="761"/>
      <c r="DS4" s="759"/>
      <c r="DT4" s="735" t="s">
        <v>396</v>
      </c>
      <c r="DU4" s="728">
        <v>46753</v>
      </c>
      <c r="DV4" s="729"/>
      <c r="DW4" s="729"/>
      <c r="DX4" s="730"/>
      <c r="DY4" s="728">
        <v>46784</v>
      </c>
      <c r="DZ4" s="729"/>
      <c r="EA4" s="729"/>
      <c r="EB4" s="730"/>
      <c r="EC4" s="728">
        <v>46813</v>
      </c>
      <c r="ED4" s="729"/>
      <c r="EE4" s="729"/>
      <c r="EF4" s="730"/>
      <c r="EG4" s="728">
        <v>46844</v>
      </c>
      <c r="EH4" s="729"/>
      <c r="EI4" s="729"/>
      <c r="EJ4" s="730"/>
      <c r="EK4" s="728">
        <v>46874</v>
      </c>
      <c r="EL4" s="729"/>
      <c r="EM4" s="729"/>
      <c r="EN4" s="730"/>
      <c r="EO4" s="728">
        <v>46905</v>
      </c>
      <c r="EP4" s="729"/>
      <c r="EQ4" s="729"/>
      <c r="ER4" s="730"/>
      <c r="ES4" s="728">
        <v>46935</v>
      </c>
      <c r="ET4" s="729"/>
      <c r="EU4" s="729"/>
      <c r="EV4" s="730"/>
      <c r="EW4" s="728">
        <v>46966</v>
      </c>
      <c r="EX4" s="729"/>
      <c r="EY4" s="729"/>
      <c r="EZ4" s="730"/>
      <c r="FA4" s="728">
        <v>46997</v>
      </c>
      <c r="FB4" s="729"/>
      <c r="FC4" s="729"/>
      <c r="FD4" s="730"/>
      <c r="FE4" s="728">
        <v>47027</v>
      </c>
      <c r="FF4" s="729"/>
      <c r="FG4" s="729"/>
      <c r="FH4" s="730"/>
      <c r="FI4" s="728">
        <v>47058</v>
      </c>
      <c r="FJ4" s="729"/>
      <c r="FK4" s="729"/>
      <c r="FL4" s="730"/>
      <c r="FM4" s="728">
        <v>47088</v>
      </c>
      <c r="FN4" s="729"/>
      <c r="FO4" s="729"/>
      <c r="FP4" s="730"/>
      <c r="FQ4" s="739"/>
      <c r="FR4" s="731" t="s">
        <v>22</v>
      </c>
      <c r="FS4" s="731"/>
      <c r="FT4" s="749"/>
    </row>
    <row r="5" spans="1:176" s="103" customFormat="1" ht="43.2">
      <c r="A5" s="743"/>
      <c r="B5" s="745"/>
      <c r="C5" s="745"/>
      <c r="D5" s="745"/>
      <c r="E5" s="746"/>
      <c r="F5" s="747"/>
      <c r="G5" s="748"/>
      <c r="H5" s="748"/>
      <c r="I5" s="748"/>
      <c r="J5" s="748"/>
      <c r="K5" s="748"/>
      <c r="L5" s="748"/>
      <c r="M5" s="750"/>
      <c r="N5" s="736"/>
      <c r="O5" s="104" t="s">
        <v>23</v>
      </c>
      <c r="P5" s="105" t="s">
        <v>24</v>
      </c>
      <c r="Q5" s="106" t="s">
        <v>25</v>
      </c>
      <c r="R5" s="107" t="s">
        <v>26</v>
      </c>
      <c r="S5" s="104" t="s">
        <v>23</v>
      </c>
      <c r="T5" s="105" t="s">
        <v>24</v>
      </c>
      <c r="U5" s="106" t="s">
        <v>25</v>
      </c>
      <c r="V5" s="107" t="s">
        <v>26</v>
      </c>
      <c r="W5" s="104" t="s">
        <v>23</v>
      </c>
      <c r="X5" s="105" t="s">
        <v>24</v>
      </c>
      <c r="Y5" s="106" t="s">
        <v>25</v>
      </c>
      <c r="Z5" s="107" t="s">
        <v>26</v>
      </c>
      <c r="AA5" s="104" t="s">
        <v>23</v>
      </c>
      <c r="AB5" s="105" t="s">
        <v>24</v>
      </c>
      <c r="AC5" s="106" t="s">
        <v>25</v>
      </c>
      <c r="AD5" s="107" t="s">
        <v>26</v>
      </c>
      <c r="AE5" s="104" t="s">
        <v>23</v>
      </c>
      <c r="AF5" s="105" t="s">
        <v>24</v>
      </c>
      <c r="AG5" s="106" t="s">
        <v>25</v>
      </c>
      <c r="AH5" s="107" t="s">
        <v>26</v>
      </c>
      <c r="AI5" s="104" t="s">
        <v>23</v>
      </c>
      <c r="AJ5" s="105" t="s">
        <v>24</v>
      </c>
      <c r="AK5" s="106" t="s">
        <v>25</v>
      </c>
      <c r="AL5" s="107" t="s">
        <v>26</v>
      </c>
      <c r="AM5" s="104" t="s">
        <v>23</v>
      </c>
      <c r="AN5" s="105" t="s">
        <v>24</v>
      </c>
      <c r="AO5" s="106" t="s">
        <v>25</v>
      </c>
      <c r="AP5" s="107" t="s">
        <v>26</v>
      </c>
      <c r="AQ5" s="104" t="s">
        <v>23</v>
      </c>
      <c r="AR5" s="105" t="s">
        <v>24</v>
      </c>
      <c r="AS5" s="106" t="s">
        <v>25</v>
      </c>
      <c r="AT5" s="107" t="s">
        <v>26</v>
      </c>
      <c r="AU5" s="104" t="s">
        <v>23</v>
      </c>
      <c r="AV5" s="105" t="s">
        <v>24</v>
      </c>
      <c r="AW5" s="106" t="s">
        <v>25</v>
      </c>
      <c r="AX5" s="107" t="s">
        <v>26</v>
      </c>
      <c r="AY5" s="104" t="s">
        <v>23</v>
      </c>
      <c r="AZ5" s="105" t="s">
        <v>24</v>
      </c>
      <c r="BA5" s="106" t="s">
        <v>25</v>
      </c>
      <c r="BB5" s="107" t="s">
        <v>26</v>
      </c>
      <c r="BC5" s="104" t="s">
        <v>23</v>
      </c>
      <c r="BD5" s="105" t="s">
        <v>24</v>
      </c>
      <c r="BE5" s="106" t="s">
        <v>25</v>
      </c>
      <c r="BF5" s="107" t="s">
        <v>26</v>
      </c>
      <c r="BG5" s="104" t="s">
        <v>23</v>
      </c>
      <c r="BH5" s="105" t="s">
        <v>24</v>
      </c>
      <c r="BI5" s="106" t="s">
        <v>25</v>
      </c>
      <c r="BJ5" s="107" t="s">
        <v>26</v>
      </c>
      <c r="BK5" s="740"/>
      <c r="BL5" s="104" t="s">
        <v>23</v>
      </c>
      <c r="BM5" s="104" t="s">
        <v>27</v>
      </c>
      <c r="BN5" s="105" t="s">
        <v>24</v>
      </c>
      <c r="BO5" s="105" t="s">
        <v>28</v>
      </c>
      <c r="BP5" s="106" t="s">
        <v>25</v>
      </c>
      <c r="BQ5" s="106" t="s">
        <v>29</v>
      </c>
      <c r="BR5" s="738"/>
      <c r="BS5" s="736"/>
      <c r="BT5" s="104" t="s">
        <v>23</v>
      </c>
      <c r="BU5" s="105" t="s">
        <v>24</v>
      </c>
      <c r="BV5" s="106" t="s">
        <v>25</v>
      </c>
      <c r="BW5" s="107" t="s">
        <v>26</v>
      </c>
      <c r="BX5" s="104" t="s">
        <v>23</v>
      </c>
      <c r="BY5" s="105" t="s">
        <v>24</v>
      </c>
      <c r="BZ5" s="106" t="s">
        <v>25</v>
      </c>
      <c r="CA5" s="107" t="s">
        <v>26</v>
      </c>
      <c r="CB5" s="104" t="s">
        <v>23</v>
      </c>
      <c r="CC5" s="105" t="s">
        <v>24</v>
      </c>
      <c r="CD5" s="106" t="s">
        <v>25</v>
      </c>
      <c r="CE5" s="107" t="s">
        <v>26</v>
      </c>
      <c r="CF5" s="104" t="s">
        <v>23</v>
      </c>
      <c r="CG5" s="105" t="s">
        <v>24</v>
      </c>
      <c r="CH5" s="106" t="s">
        <v>25</v>
      </c>
      <c r="CI5" s="107" t="s">
        <v>26</v>
      </c>
      <c r="CJ5" s="104" t="s">
        <v>23</v>
      </c>
      <c r="CK5" s="105" t="s">
        <v>24</v>
      </c>
      <c r="CL5" s="106" t="s">
        <v>25</v>
      </c>
      <c r="CM5" s="107" t="s">
        <v>26</v>
      </c>
      <c r="CN5" s="104" t="s">
        <v>23</v>
      </c>
      <c r="CO5" s="105" t="s">
        <v>24</v>
      </c>
      <c r="CP5" s="106" t="s">
        <v>25</v>
      </c>
      <c r="CQ5" s="107" t="s">
        <v>26</v>
      </c>
      <c r="CR5" s="104" t="s">
        <v>23</v>
      </c>
      <c r="CS5" s="105" t="s">
        <v>24</v>
      </c>
      <c r="CT5" s="106" t="s">
        <v>25</v>
      </c>
      <c r="CU5" s="107" t="s">
        <v>26</v>
      </c>
      <c r="CV5" s="104" t="s">
        <v>23</v>
      </c>
      <c r="CW5" s="105" t="s">
        <v>24</v>
      </c>
      <c r="CX5" s="106" t="s">
        <v>25</v>
      </c>
      <c r="CY5" s="107" t="s">
        <v>26</v>
      </c>
      <c r="CZ5" s="104" t="s">
        <v>23</v>
      </c>
      <c r="DA5" s="105" t="s">
        <v>24</v>
      </c>
      <c r="DB5" s="106" t="s">
        <v>25</v>
      </c>
      <c r="DC5" s="107" t="s">
        <v>26</v>
      </c>
      <c r="DD5" s="104" t="s">
        <v>23</v>
      </c>
      <c r="DE5" s="105" t="s">
        <v>24</v>
      </c>
      <c r="DF5" s="106" t="s">
        <v>25</v>
      </c>
      <c r="DG5" s="107" t="s">
        <v>26</v>
      </c>
      <c r="DH5" s="104" t="s">
        <v>23</v>
      </c>
      <c r="DI5" s="105" t="s">
        <v>24</v>
      </c>
      <c r="DJ5" s="106" t="s">
        <v>25</v>
      </c>
      <c r="DK5" s="107" t="s">
        <v>26</v>
      </c>
      <c r="DL5" s="104" t="s">
        <v>23</v>
      </c>
      <c r="DM5" s="105" t="s">
        <v>24</v>
      </c>
      <c r="DN5" s="106" t="s">
        <v>25</v>
      </c>
      <c r="DO5" s="107" t="s">
        <v>26</v>
      </c>
      <c r="DP5" s="740"/>
      <c r="DQ5" s="104" t="s">
        <v>23</v>
      </c>
      <c r="DR5" s="104" t="s">
        <v>27</v>
      </c>
      <c r="DS5" s="760"/>
      <c r="DT5" s="736"/>
      <c r="DU5" s="104" t="s">
        <v>23</v>
      </c>
      <c r="DV5" s="105" t="s">
        <v>24</v>
      </c>
      <c r="DW5" s="106" t="s">
        <v>25</v>
      </c>
      <c r="DX5" s="107" t="s">
        <v>26</v>
      </c>
      <c r="DY5" s="104" t="s">
        <v>23</v>
      </c>
      <c r="DZ5" s="105" t="s">
        <v>24</v>
      </c>
      <c r="EA5" s="106" t="s">
        <v>25</v>
      </c>
      <c r="EB5" s="107" t="s">
        <v>26</v>
      </c>
      <c r="EC5" s="104" t="s">
        <v>23</v>
      </c>
      <c r="ED5" s="105" t="s">
        <v>24</v>
      </c>
      <c r="EE5" s="106" t="s">
        <v>25</v>
      </c>
      <c r="EF5" s="107" t="s">
        <v>26</v>
      </c>
      <c r="EG5" s="104" t="s">
        <v>23</v>
      </c>
      <c r="EH5" s="105" t="s">
        <v>24</v>
      </c>
      <c r="EI5" s="106" t="s">
        <v>25</v>
      </c>
      <c r="EJ5" s="107" t="s">
        <v>26</v>
      </c>
      <c r="EK5" s="104" t="s">
        <v>23</v>
      </c>
      <c r="EL5" s="105" t="s">
        <v>24</v>
      </c>
      <c r="EM5" s="106" t="s">
        <v>25</v>
      </c>
      <c r="EN5" s="107" t="s">
        <v>26</v>
      </c>
      <c r="EO5" s="104" t="s">
        <v>23</v>
      </c>
      <c r="EP5" s="105" t="s">
        <v>24</v>
      </c>
      <c r="EQ5" s="106" t="s">
        <v>25</v>
      </c>
      <c r="ER5" s="107" t="s">
        <v>26</v>
      </c>
      <c r="ES5" s="104" t="s">
        <v>23</v>
      </c>
      <c r="ET5" s="105" t="s">
        <v>24</v>
      </c>
      <c r="EU5" s="106" t="s">
        <v>25</v>
      </c>
      <c r="EV5" s="107" t="s">
        <v>26</v>
      </c>
      <c r="EW5" s="104" t="s">
        <v>23</v>
      </c>
      <c r="EX5" s="105" t="s">
        <v>24</v>
      </c>
      <c r="EY5" s="106" t="s">
        <v>25</v>
      </c>
      <c r="EZ5" s="107" t="s">
        <v>26</v>
      </c>
      <c r="FA5" s="104" t="s">
        <v>23</v>
      </c>
      <c r="FB5" s="105" t="s">
        <v>24</v>
      </c>
      <c r="FC5" s="106" t="s">
        <v>25</v>
      </c>
      <c r="FD5" s="107" t="s">
        <v>26</v>
      </c>
      <c r="FE5" s="104" t="s">
        <v>23</v>
      </c>
      <c r="FF5" s="105" t="s">
        <v>24</v>
      </c>
      <c r="FG5" s="106" t="s">
        <v>25</v>
      </c>
      <c r="FH5" s="107" t="s">
        <v>26</v>
      </c>
      <c r="FI5" s="104" t="s">
        <v>23</v>
      </c>
      <c r="FJ5" s="105" t="s">
        <v>24</v>
      </c>
      <c r="FK5" s="106" t="s">
        <v>25</v>
      </c>
      <c r="FL5" s="107" t="s">
        <v>26</v>
      </c>
      <c r="FM5" s="104" t="s">
        <v>23</v>
      </c>
      <c r="FN5" s="105" t="s">
        <v>24</v>
      </c>
      <c r="FO5" s="106" t="s">
        <v>25</v>
      </c>
      <c r="FP5" s="107" t="s">
        <v>26</v>
      </c>
      <c r="FQ5" s="740"/>
      <c r="FR5" s="104" t="s">
        <v>23</v>
      </c>
      <c r="FS5" s="104" t="s">
        <v>27</v>
      </c>
      <c r="FT5" s="750"/>
    </row>
    <row r="6" spans="1:176" s="14" customFormat="1" outlineLevel="2">
      <c r="A6" s="15" t="s">
        <v>474</v>
      </c>
      <c r="B6" s="16" t="s">
        <v>30</v>
      </c>
      <c r="C6" s="15" t="s">
        <v>31</v>
      </c>
      <c r="D6" s="15" t="s">
        <v>32</v>
      </c>
      <c r="E6" s="17">
        <f>IF(ISBLANK(G6),"",IF($A$6:$A$64=$A6,COUNTIF($A$6:A6,$A6),""))</f>
        <v>1</v>
      </c>
      <c r="F6" s="17">
        <v>1</v>
      </c>
      <c r="G6" s="33">
        <v>6402250560</v>
      </c>
      <c r="H6" s="18" t="s">
        <v>412</v>
      </c>
      <c r="I6" s="624">
        <v>2048</v>
      </c>
      <c r="J6" s="20"/>
      <c r="K6" s="21"/>
      <c r="L6" s="22" t="str">
        <f t="shared" ref="L6:L34" si="0">IF(K6="RUB",J6/ЮАНЬ,IF(K6="EUR",J6*ЕВРО/ЮАНЬ,""))</f>
        <v/>
      </c>
      <c r="M6" s="11"/>
      <c r="N6" s="363">
        <f>IF(BP6&gt;0,1,IF(BN6&gt;0,2,))</f>
        <v>2</v>
      </c>
      <c r="O6" s="23"/>
      <c r="P6" s="24"/>
      <c r="Q6" s="25"/>
      <c r="R6" s="26"/>
      <c r="S6" s="23"/>
      <c r="T6" s="24"/>
      <c r="U6" s="25">
        <v>0</v>
      </c>
      <c r="V6" s="24"/>
      <c r="W6" s="23"/>
      <c r="X6" s="24"/>
      <c r="Y6" s="25"/>
      <c r="Z6" s="24"/>
      <c r="AA6" s="23">
        <v>9</v>
      </c>
      <c r="AB6" s="24"/>
      <c r="AC6" s="25"/>
      <c r="AD6" s="24"/>
      <c r="AE6" s="23">
        <v>9</v>
      </c>
      <c r="AF6" s="24"/>
      <c r="AG6" s="25">
        <v>0</v>
      </c>
      <c r="AH6" s="24"/>
      <c r="AI6" s="23">
        <v>60</v>
      </c>
      <c r="AJ6" s="24"/>
      <c r="AK6" s="25"/>
      <c r="AL6" s="24"/>
      <c r="AM6" s="23">
        <v>120</v>
      </c>
      <c r="AN6" s="24"/>
      <c r="AO6" s="25"/>
      <c r="AP6" s="24"/>
      <c r="AQ6" s="23">
        <v>120</v>
      </c>
      <c r="AR6" s="24"/>
      <c r="AS6" s="25"/>
      <c r="AT6" s="24"/>
      <c r="AU6" s="23">
        <v>120</v>
      </c>
      <c r="AV6" s="24">
        <v>60</v>
      </c>
      <c r="AW6" s="25"/>
      <c r="AX6" s="24"/>
      <c r="AY6" s="23">
        <v>240</v>
      </c>
      <c r="AZ6" s="24">
        <v>60</v>
      </c>
      <c r="BA6" s="25"/>
      <c r="BB6" s="24"/>
      <c r="BC6" s="23">
        <v>240</v>
      </c>
      <c r="BD6" s="24">
        <v>120</v>
      </c>
      <c r="BE6" s="25"/>
      <c r="BF6" s="24"/>
      <c r="BG6" s="23">
        <v>240</v>
      </c>
      <c r="BH6" s="24">
        <v>240</v>
      </c>
      <c r="BI6" s="25"/>
      <c r="BJ6" s="24"/>
      <c r="BK6" s="340"/>
      <c r="BL6" s="32">
        <f t="shared" ref="BL6:BL76" si="1">SUMPRODUCT(--(MOD(COLUMN($O6:$AL6),4)=MOD(COLUMN($O6)+0,4)),$O6:$AL6)
+SUMPRODUCT(--(MOD(COLUMN($AM6:$BJ6),4)=MOD(COLUMN($AM6)+0,4)),$AM6:$BJ6)</f>
        <v>1158</v>
      </c>
      <c r="BM6" s="466">
        <f t="shared" ref="BM6:BM37" si="2">SUMPRODUCT(--(MOD(COLUMN($O6:$AL6),4)=MOD(COLUMN($O6)+0,4)),$O6:$AL6)*$I6
+SUMPRODUCT(--(MOD(COLUMN($AM6:$BJ6),4)=MOD(COLUMN($AM6)+0,4)),$AM6:$BJ6)*$I6</f>
        <v>2371584</v>
      </c>
      <c r="BN6" s="28">
        <f t="shared" ref="BN6:BN76" si="3">SUMPRODUCT(--(MOD(COLUMN($O6:$AL6),4)=MOD(COLUMN($O6)+1,4)),$O6:$AL6)
+SUMPRODUCT(--(MOD(COLUMN($AM6:$BJ6),4)=MOD(COLUMN($AM6)+1,4)),$AM6:$BJ6)</f>
        <v>480</v>
      </c>
      <c r="BO6" s="29">
        <f t="shared" ref="BO6:BO37" si="4">SUMPRODUCT(--(MOD(COLUMN($O6:$AL6),4)=MOD(COLUMN($O6)+1,4)),$O6:$AL6)*$I6
+SUMPRODUCT(--(MOD(COLUMN($AM6:$BJ6),4)=MOD(COLUMN($AM6)+1,4)),$AM6:$BJ6)*$I6</f>
        <v>983040</v>
      </c>
      <c r="BP6" s="30">
        <f t="shared" ref="BP6:BP76" si="5">SUMPRODUCT(--(MOD(COLUMN($O6:$AL6),4)=MOD(COLUMN($O6)+2,4)),$O6:$AL6)
+SUMPRODUCT(--(MOD(COLUMN($AM6:$BJ6),4)=MOD(COLUMN($AM6)+2,4)),$AM6:$BJ6)</f>
        <v>0</v>
      </c>
      <c r="BQ6" s="31">
        <f t="shared" ref="BQ6:BQ37" si="6">SUMPRODUCT(--(MOD(COLUMN($O6:$AL6),4)=MOD(COLUMN($O6)+2,4)),$O6:$AL6)*$I6
+SUMPRODUCT(--(MOD(COLUMN($AM6:$BJ6),4)=MOD(COLUMN($AM6)+2,4)),$AM6:$BJ6)*$I6</f>
        <v>0</v>
      </c>
      <c r="BR6" s="362"/>
      <c r="BS6" s="11"/>
      <c r="BT6" s="23">
        <v>1041</v>
      </c>
      <c r="BU6" s="24"/>
      <c r="BV6" s="25"/>
      <c r="BW6" s="26"/>
      <c r="BX6" s="23">
        <v>1041</v>
      </c>
      <c r="BY6" s="24"/>
      <c r="BZ6" s="25"/>
      <c r="CA6" s="24"/>
      <c r="CB6" s="23">
        <v>1041</v>
      </c>
      <c r="CC6" s="24"/>
      <c r="CD6" s="25"/>
      <c r="CE6" s="24"/>
      <c r="CF6" s="23">
        <v>1041</v>
      </c>
      <c r="CG6" s="24"/>
      <c r="CH6" s="25"/>
      <c r="CI6" s="24"/>
      <c r="CJ6" s="23">
        <v>1041</v>
      </c>
      <c r="CK6" s="24"/>
      <c r="CL6" s="25"/>
      <c r="CM6" s="24"/>
      <c r="CN6" s="23">
        <v>1041</v>
      </c>
      <c r="CO6" s="24"/>
      <c r="CP6" s="25"/>
      <c r="CQ6" s="24"/>
      <c r="CR6" s="23">
        <v>1041</v>
      </c>
      <c r="CS6" s="24"/>
      <c r="CT6" s="25"/>
      <c r="CU6" s="24"/>
      <c r="CV6" s="23">
        <v>1041</v>
      </c>
      <c r="CW6" s="24"/>
      <c r="CX6" s="25"/>
      <c r="CY6" s="24"/>
      <c r="CZ6" s="23">
        <v>1041</v>
      </c>
      <c r="DA6" s="24"/>
      <c r="DB6" s="25"/>
      <c r="DC6" s="24"/>
      <c r="DD6" s="23">
        <v>1041</v>
      </c>
      <c r="DE6" s="24"/>
      <c r="DF6" s="25"/>
      <c r="DG6" s="24"/>
      <c r="DH6" s="23">
        <v>1041</v>
      </c>
      <c r="DI6" s="24"/>
      <c r="DJ6" s="25"/>
      <c r="DK6" s="24"/>
      <c r="DL6" s="23">
        <v>1041</v>
      </c>
      <c r="DM6" s="24"/>
      <c r="DN6" s="25"/>
      <c r="DO6" s="24"/>
      <c r="DP6" s="340"/>
      <c r="DQ6" s="32">
        <f t="shared" ref="DQ6:DQ65" si="7">SUMPRODUCT(--(MOD(COLUMN(BT6:CQ6),4)=MOD(COLUMN(BT6),4)),BT6:CQ6)+SUMPRODUCT(--(MOD(COLUMN(CR6:DO6),4)=MOD(COLUMN(CR6),4)),CR6:DO6)</f>
        <v>12492</v>
      </c>
      <c r="DR6" s="32" t="e">
        <f>SUMPRODUCT(--(MOD(COLUMN(BT6:CQ6),4)=MOD(COLUMN(BT6),4)),BT6:CQ6)*#REF!+SUMPRODUCT(--(MOD(COLUMN(CR6:DO6),4)=MOD(COLUMN(CR6),4)),CR6:DO6)*#REF!</f>
        <v>#REF!</v>
      </c>
      <c r="DS6" s="362"/>
      <c r="DT6" s="11"/>
      <c r="DU6" s="23">
        <v>2082</v>
      </c>
      <c r="DV6" s="24"/>
      <c r="DW6" s="25"/>
      <c r="DX6" s="26"/>
      <c r="DY6" s="23">
        <v>2082</v>
      </c>
      <c r="DZ6" s="24"/>
      <c r="EA6" s="25"/>
      <c r="EB6" s="24"/>
      <c r="EC6" s="23">
        <v>2082</v>
      </c>
      <c r="ED6" s="24"/>
      <c r="EE6" s="25"/>
      <c r="EF6" s="24"/>
      <c r="EG6" s="23">
        <v>2082</v>
      </c>
      <c r="EH6" s="24"/>
      <c r="EI6" s="25"/>
      <c r="EJ6" s="24"/>
      <c r="EK6" s="23">
        <v>2082</v>
      </c>
      <c r="EL6" s="24"/>
      <c r="EM6" s="25"/>
      <c r="EN6" s="24"/>
      <c r="EO6" s="23">
        <v>2082</v>
      </c>
      <c r="EP6" s="24"/>
      <c r="EQ6" s="25"/>
      <c r="ER6" s="24"/>
      <c r="ES6" s="23">
        <v>2082</v>
      </c>
      <c r="ET6" s="24"/>
      <c r="EU6" s="25"/>
      <c r="EV6" s="24"/>
      <c r="EW6" s="23">
        <v>2082</v>
      </c>
      <c r="EX6" s="24"/>
      <c r="EY6" s="25"/>
      <c r="EZ6" s="24"/>
      <c r="FA6" s="23">
        <v>2082</v>
      </c>
      <c r="FB6" s="24"/>
      <c r="FC6" s="25"/>
      <c r="FD6" s="24"/>
      <c r="FE6" s="23">
        <v>2082</v>
      </c>
      <c r="FF6" s="24"/>
      <c r="FG6" s="25"/>
      <c r="FH6" s="24"/>
      <c r="FI6" s="23">
        <v>2082</v>
      </c>
      <c r="FJ6" s="24"/>
      <c r="FK6" s="25"/>
      <c r="FL6" s="24"/>
      <c r="FM6" s="23">
        <v>2082</v>
      </c>
      <c r="FN6" s="24"/>
      <c r="FO6" s="25"/>
      <c r="FP6" s="24"/>
      <c r="FQ6" s="340"/>
      <c r="FR6" s="32">
        <f t="shared" ref="FR6:FR65" si="8">SUMPRODUCT(--(MOD(COLUMN(DU6:ER6),4)=MOD(COLUMN(DU6),4)),DU6:ER6)+SUMPRODUCT(--(MOD(COLUMN(ES6:FP6),4)=MOD(COLUMN(ES6),4)),ES6:FP6)</f>
        <v>24984</v>
      </c>
      <c r="FS6" s="32" t="e">
        <f>SUMPRODUCT(--(MOD(COLUMN(DU6:ER6),4)=MOD(COLUMN(DU6),4)),DU6:ER6)*#REF!+SUMPRODUCT(--(MOD(COLUMN(ES6:FP6),4)=MOD(COLUMN(ES6),4)),ES6:FP6)*#REF!</f>
        <v>#REF!</v>
      </c>
      <c r="FT6" s="360"/>
    </row>
    <row r="7" spans="1:176" s="14" customFormat="1" outlineLevel="2">
      <c r="A7" s="15" t="s">
        <v>474</v>
      </c>
      <c r="B7" s="16" t="s">
        <v>30</v>
      </c>
      <c r="C7" s="15" t="s">
        <v>31</v>
      </c>
      <c r="D7" s="15" t="s">
        <v>32</v>
      </c>
      <c r="E7" s="17">
        <f>IF(ISBLANK(G7),"",IF($A$6:$A$64=$A7,COUNTIF($A$6:A7,$A7),""))</f>
        <v>2</v>
      </c>
      <c r="F7" s="17">
        <v>1</v>
      </c>
      <c r="G7" s="33">
        <v>6402250570</v>
      </c>
      <c r="H7" s="18" t="s">
        <v>413</v>
      </c>
      <c r="I7" s="624">
        <f>I6</f>
        <v>2048</v>
      </c>
      <c r="J7" s="20"/>
      <c r="K7" s="21"/>
      <c r="L7" s="22" t="str">
        <f t="shared" si="0"/>
        <v/>
      </c>
      <c r="M7" s="11"/>
      <c r="N7" s="363">
        <f t="shared" ref="N7:N78" si="9">IF(BP7&gt;0,1,IF(BN7&gt;0,2,))</f>
        <v>2</v>
      </c>
      <c r="O7" s="23"/>
      <c r="P7" s="24"/>
      <c r="Q7" s="25"/>
      <c r="R7" s="26"/>
      <c r="S7" s="23"/>
      <c r="T7" s="24"/>
      <c r="U7" s="25">
        <v>0</v>
      </c>
      <c r="V7" s="24"/>
      <c r="W7" s="23"/>
      <c r="X7" s="24"/>
      <c r="Y7" s="25"/>
      <c r="Z7" s="24"/>
      <c r="AA7" s="23">
        <v>9</v>
      </c>
      <c r="AB7" s="24"/>
      <c r="AC7" s="25"/>
      <c r="AD7" s="24"/>
      <c r="AE7" s="23">
        <v>9</v>
      </c>
      <c r="AF7" s="24"/>
      <c r="AG7" s="25">
        <v>0</v>
      </c>
      <c r="AH7" s="24"/>
      <c r="AI7" s="23">
        <v>60</v>
      </c>
      <c r="AJ7" s="24"/>
      <c r="AK7" s="25"/>
      <c r="AL7" s="24"/>
      <c r="AM7" s="23">
        <v>120</v>
      </c>
      <c r="AN7" s="24"/>
      <c r="AO7" s="25"/>
      <c r="AP7" s="24"/>
      <c r="AQ7" s="23">
        <v>120</v>
      </c>
      <c r="AR7" s="24"/>
      <c r="AS7" s="25"/>
      <c r="AT7" s="24"/>
      <c r="AU7" s="23">
        <v>120</v>
      </c>
      <c r="AV7" s="24">
        <f>AV6</f>
        <v>60</v>
      </c>
      <c r="AW7" s="25"/>
      <c r="AX7" s="24"/>
      <c r="AY7" s="23">
        <v>240</v>
      </c>
      <c r="AZ7" s="24">
        <f>AZ6</f>
        <v>60</v>
      </c>
      <c r="BA7" s="25"/>
      <c r="BB7" s="24"/>
      <c r="BC7" s="23">
        <v>240</v>
      </c>
      <c r="BD7" s="24">
        <f>BD6</f>
        <v>120</v>
      </c>
      <c r="BE7" s="25"/>
      <c r="BF7" s="24"/>
      <c r="BG7" s="23">
        <v>240</v>
      </c>
      <c r="BH7" s="24">
        <f>BH6</f>
        <v>240</v>
      </c>
      <c r="BI7" s="25"/>
      <c r="BJ7" s="24"/>
      <c r="BK7" s="340"/>
      <c r="BL7" s="32">
        <f t="shared" si="1"/>
        <v>1158</v>
      </c>
      <c r="BM7" s="466">
        <f t="shared" si="2"/>
        <v>2371584</v>
      </c>
      <c r="BN7" s="28">
        <f t="shared" si="3"/>
        <v>480</v>
      </c>
      <c r="BO7" s="29">
        <f t="shared" si="4"/>
        <v>983040</v>
      </c>
      <c r="BP7" s="30">
        <f t="shared" si="5"/>
        <v>0</v>
      </c>
      <c r="BQ7" s="31">
        <f t="shared" si="6"/>
        <v>0</v>
      </c>
      <c r="BR7" s="362"/>
      <c r="BS7" s="11"/>
      <c r="BT7" s="23">
        <v>1041</v>
      </c>
      <c r="BU7" s="24"/>
      <c r="BV7" s="25"/>
      <c r="BW7" s="26"/>
      <c r="BX7" s="23">
        <v>1041</v>
      </c>
      <c r="BY7" s="24"/>
      <c r="BZ7" s="25"/>
      <c r="CA7" s="24"/>
      <c r="CB7" s="23">
        <v>1041</v>
      </c>
      <c r="CC7" s="24"/>
      <c r="CD7" s="25"/>
      <c r="CE7" s="24"/>
      <c r="CF7" s="23">
        <v>1041</v>
      </c>
      <c r="CG7" s="24"/>
      <c r="CH7" s="25"/>
      <c r="CI7" s="24"/>
      <c r="CJ7" s="23">
        <v>1041</v>
      </c>
      <c r="CK7" s="24"/>
      <c r="CL7" s="25"/>
      <c r="CM7" s="24"/>
      <c r="CN7" s="23">
        <v>1041</v>
      </c>
      <c r="CO7" s="24"/>
      <c r="CP7" s="25"/>
      <c r="CQ7" s="24"/>
      <c r="CR7" s="23">
        <v>1041</v>
      </c>
      <c r="CS7" s="24"/>
      <c r="CT7" s="25"/>
      <c r="CU7" s="24"/>
      <c r="CV7" s="23">
        <v>1041</v>
      </c>
      <c r="CW7" s="24"/>
      <c r="CX7" s="25"/>
      <c r="CY7" s="24"/>
      <c r="CZ7" s="23">
        <v>1041</v>
      </c>
      <c r="DA7" s="24"/>
      <c r="DB7" s="25"/>
      <c r="DC7" s="24"/>
      <c r="DD7" s="23">
        <v>1041</v>
      </c>
      <c r="DE7" s="24"/>
      <c r="DF7" s="25"/>
      <c r="DG7" s="24"/>
      <c r="DH7" s="23">
        <v>1041</v>
      </c>
      <c r="DI7" s="24"/>
      <c r="DJ7" s="25"/>
      <c r="DK7" s="24"/>
      <c r="DL7" s="23">
        <v>1041</v>
      </c>
      <c r="DM7" s="24"/>
      <c r="DN7" s="25"/>
      <c r="DO7" s="24"/>
      <c r="DP7" s="340"/>
      <c r="DQ7" s="32">
        <f t="shared" si="7"/>
        <v>12492</v>
      </c>
      <c r="DR7" s="32" t="e">
        <f>SUMPRODUCT(--(MOD(COLUMN(BT7:CQ7),4)=MOD(COLUMN(BT7),4)),BT7:CQ7)*#REF!+SUMPRODUCT(--(MOD(COLUMN(CR7:DO7),4)=MOD(COLUMN(CR7),4)),CR7:DO7)*#REF!</f>
        <v>#REF!</v>
      </c>
      <c r="DS7" s="362"/>
      <c r="DT7" s="11"/>
      <c r="DU7" s="23">
        <v>2082</v>
      </c>
      <c r="DV7" s="24"/>
      <c r="DW7" s="25"/>
      <c r="DX7" s="26"/>
      <c r="DY7" s="23">
        <v>2082</v>
      </c>
      <c r="DZ7" s="24"/>
      <c r="EA7" s="25"/>
      <c r="EB7" s="24"/>
      <c r="EC7" s="23">
        <v>2082</v>
      </c>
      <c r="ED7" s="24"/>
      <c r="EE7" s="25"/>
      <c r="EF7" s="24"/>
      <c r="EG7" s="23">
        <v>2082</v>
      </c>
      <c r="EH7" s="24"/>
      <c r="EI7" s="25"/>
      <c r="EJ7" s="24"/>
      <c r="EK7" s="23">
        <v>2082</v>
      </c>
      <c r="EL7" s="24"/>
      <c r="EM7" s="25"/>
      <c r="EN7" s="24"/>
      <c r="EO7" s="23">
        <v>2082</v>
      </c>
      <c r="EP7" s="24"/>
      <c r="EQ7" s="25"/>
      <c r="ER7" s="24"/>
      <c r="ES7" s="23">
        <v>2082</v>
      </c>
      <c r="ET7" s="24"/>
      <c r="EU7" s="25"/>
      <c r="EV7" s="24"/>
      <c r="EW7" s="23">
        <v>2082</v>
      </c>
      <c r="EX7" s="24"/>
      <c r="EY7" s="25"/>
      <c r="EZ7" s="24"/>
      <c r="FA7" s="23">
        <v>2082</v>
      </c>
      <c r="FB7" s="24"/>
      <c r="FC7" s="25"/>
      <c r="FD7" s="24"/>
      <c r="FE7" s="23">
        <v>2082</v>
      </c>
      <c r="FF7" s="24"/>
      <c r="FG7" s="25"/>
      <c r="FH7" s="24"/>
      <c r="FI7" s="23">
        <v>2082</v>
      </c>
      <c r="FJ7" s="24"/>
      <c r="FK7" s="25"/>
      <c r="FL7" s="24"/>
      <c r="FM7" s="23">
        <v>2082</v>
      </c>
      <c r="FN7" s="24"/>
      <c r="FO7" s="25"/>
      <c r="FP7" s="24"/>
      <c r="FQ7" s="340"/>
      <c r="FR7" s="32">
        <f t="shared" si="8"/>
        <v>24984</v>
      </c>
      <c r="FS7" s="32" t="e">
        <f>SUMPRODUCT(--(MOD(COLUMN(DU7:ER7),4)=MOD(COLUMN(DU7),4)),DU7:ER7)*#REF!+SUMPRODUCT(--(MOD(COLUMN(ES7:FP7),4)=MOD(COLUMN(ES7),4)),ES7:FP7)*#REF!</f>
        <v>#REF!</v>
      </c>
      <c r="FT7" s="360"/>
    </row>
    <row r="8" spans="1:176" s="14" customFormat="1" outlineLevel="2">
      <c r="A8" s="15" t="s">
        <v>474</v>
      </c>
      <c r="B8" s="16" t="s">
        <v>30</v>
      </c>
      <c r="C8" s="15" t="s">
        <v>31</v>
      </c>
      <c r="D8" s="15" t="s">
        <v>32</v>
      </c>
      <c r="E8" s="17">
        <f>IF(ISBLANK(G8),"",IF($A$6:$A$64=$A8,COUNTIF($A$6:A8,$A8),""))</f>
        <v>3</v>
      </c>
      <c r="F8" s="17">
        <v>1</v>
      </c>
      <c r="G8" s="33">
        <v>4410328790</v>
      </c>
      <c r="H8" s="18" t="s">
        <v>39</v>
      </c>
      <c r="I8" s="625">
        <f>90/НДС_20</f>
        <v>75</v>
      </c>
      <c r="J8" s="20"/>
      <c r="K8" s="20"/>
      <c r="L8" s="20" t="str">
        <f t="shared" si="0"/>
        <v/>
      </c>
      <c r="M8" s="11"/>
      <c r="N8" s="363">
        <f t="shared" si="9"/>
        <v>1</v>
      </c>
      <c r="O8" s="23"/>
      <c r="P8" s="24"/>
      <c r="Q8" s="25"/>
      <c r="R8" s="26"/>
      <c r="S8" s="23">
        <v>1000</v>
      </c>
      <c r="T8" s="24"/>
      <c r="U8" s="25">
        <v>0</v>
      </c>
      <c r="V8" s="24"/>
      <c r="W8" s="23"/>
      <c r="X8" s="24"/>
      <c r="Y8" s="25"/>
      <c r="Z8" s="24"/>
      <c r="AA8" s="23">
        <v>6</v>
      </c>
      <c r="AB8" s="24">
        <f>1000</f>
        <v>1000</v>
      </c>
      <c r="AC8" s="25">
        <v>1000</v>
      </c>
      <c r="AD8" s="24"/>
      <c r="AE8" s="23">
        <v>6</v>
      </c>
      <c r="AF8" s="24"/>
      <c r="AG8" s="25">
        <v>0</v>
      </c>
      <c r="AH8" s="24"/>
      <c r="AI8" s="23">
        <v>40</v>
      </c>
      <c r="AJ8" s="24"/>
      <c r="AK8" s="25"/>
      <c r="AL8" s="24"/>
      <c r="AM8" s="23">
        <v>80</v>
      </c>
      <c r="AN8" s="24"/>
      <c r="AO8" s="25"/>
      <c r="AP8" s="24"/>
      <c r="AQ8" s="23">
        <v>80</v>
      </c>
      <c r="AR8" s="24"/>
      <c r="AS8" s="25"/>
      <c r="AT8" s="24"/>
      <c r="AU8" s="23">
        <v>80</v>
      </c>
      <c r="AV8" s="24">
        <f>SUM(AV6:AV7)/3</f>
        <v>40</v>
      </c>
      <c r="AW8" s="25"/>
      <c r="AX8" s="24"/>
      <c r="AY8" s="23">
        <v>160</v>
      </c>
      <c r="AZ8" s="24">
        <f>SUM(AZ6:AZ7)/3</f>
        <v>40</v>
      </c>
      <c r="BA8" s="25"/>
      <c r="BB8" s="24"/>
      <c r="BC8" s="23">
        <v>160</v>
      </c>
      <c r="BD8" s="24">
        <f>SUM(BD6:BD7)/3</f>
        <v>80</v>
      </c>
      <c r="BE8" s="25"/>
      <c r="BF8" s="24"/>
      <c r="BG8" s="23">
        <v>160</v>
      </c>
      <c r="BH8" s="24">
        <f>SUM(BH6:BH7)/3</f>
        <v>160</v>
      </c>
      <c r="BI8" s="25"/>
      <c r="BJ8" s="24"/>
      <c r="BK8" s="340"/>
      <c r="BL8" s="32">
        <f t="shared" si="1"/>
        <v>1772</v>
      </c>
      <c r="BM8" s="466">
        <f t="shared" si="2"/>
        <v>132900</v>
      </c>
      <c r="BN8" s="28">
        <f t="shared" si="3"/>
        <v>1320</v>
      </c>
      <c r="BO8" s="29">
        <f t="shared" si="4"/>
        <v>99000</v>
      </c>
      <c r="BP8" s="30">
        <f t="shared" si="5"/>
        <v>1000</v>
      </c>
      <c r="BQ8" s="31">
        <f t="shared" si="6"/>
        <v>75000</v>
      </c>
      <c r="BR8" s="362"/>
      <c r="BS8" s="11"/>
      <c r="BT8" s="23">
        <v>694</v>
      </c>
      <c r="BU8" s="24"/>
      <c r="BV8" s="25"/>
      <c r="BW8" s="26"/>
      <c r="BX8" s="23">
        <v>694</v>
      </c>
      <c r="BY8" s="24"/>
      <c r="BZ8" s="25"/>
      <c r="CA8" s="24"/>
      <c r="CB8" s="23">
        <v>694</v>
      </c>
      <c r="CC8" s="24"/>
      <c r="CD8" s="25"/>
      <c r="CE8" s="24"/>
      <c r="CF8" s="23">
        <v>694</v>
      </c>
      <c r="CG8" s="24"/>
      <c r="CH8" s="25"/>
      <c r="CI8" s="24"/>
      <c r="CJ8" s="23">
        <v>694</v>
      </c>
      <c r="CK8" s="24"/>
      <c r="CL8" s="25"/>
      <c r="CM8" s="24"/>
      <c r="CN8" s="23">
        <v>694</v>
      </c>
      <c r="CO8" s="24"/>
      <c r="CP8" s="25"/>
      <c r="CQ8" s="24"/>
      <c r="CR8" s="23">
        <v>694</v>
      </c>
      <c r="CS8" s="24"/>
      <c r="CT8" s="25"/>
      <c r="CU8" s="24"/>
      <c r="CV8" s="23">
        <v>694</v>
      </c>
      <c r="CW8" s="24"/>
      <c r="CX8" s="25"/>
      <c r="CY8" s="24"/>
      <c r="CZ8" s="23">
        <v>694</v>
      </c>
      <c r="DA8" s="24"/>
      <c r="DB8" s="25"/>
      <c r="DC8" s="24"/>
      <c r="DD8" s="23">
        <v>694</v>
      </c>
      <c r="DE8" s="24"/>
      <c r="DF8" s="25"/>
      <c r="DG8" s="24"/>
      <c r="DH8" s="23">
        <v>694</v>
      </c>
      <c r="DI8" s="24"/>
      <c r="DJ8" s="25"/>
      <c r="DK8" s="24"/>
      <c r="DL8" s="23">
        <v>694</v>
      </c>
      <c r="DM8" s="24"/>
      <c r="DN8" s="25"/>
      <c r="DO8" s="24"/>
      <c r="DP8" s="340"/>
      <c r="DQ8" s="32">
        <f>SUMPRODUCT(--(MOD(COLUMN(BT8:CQ8),4)=MOD(COLUMN(BT8),4)),BT8:CQ8)+SUMPRODUCT(--(MOD(COLUMN(CR8:DO8),4)=MOD(COLUMN(CR8),4)),CR8:DO8)</f>
        <v>8328</v>
      </c>
      <c r="DR8" s="32" t="e">
        <f>SUMPRODUCT(--(MOD(COLUMN(BT8:CQ8),4)=MOD(COLUMN(BT8),4)),BT8:CQ8)*#REF!+SUMPRODUCT(--(MOD(COLUMN(CR8:DO8),4)=MOD(COLUMN(CR8),4)),CR8:DO8)*#REF!</f>
        <v>#REF!</v>
      </c>
      <c r="DS8" s="362"/>
      <c r="DT8" s="11"/>
      <c r="DU8" s="23">
        <v>1388</v>
      </c>
      <c r="DV8" s="24"/>
      <c r="DW8" s="25"/>
      <c r="DX8" s="26"/>
      <c r="DY8" s="23">
        <v>1388</v>
      </c>
      <c r="DZ8" s="24"/>
      <c r="EA8" s="25"/>
      <c r="EB8" s="24"/>
      <c r="EC8" s="23">
        <v>1388</v>
      </c>
      <c r="ED8" s="24"/>
      <c r="EE8" s="25"/>
      <c r="EF8" s="24"/>
      <c r="EG8" s="23">
        <v>1388</v>
      </c>
      <c r="EH8" s="24"/>
      <c r="EI8" s="25"/>
      <c r="EJ8" s="24"/>
      <c r="EK8" s="23">
        <v>1388</v>
      </c>
      <c r="EL8" s="24"/>
      <c r="EM8" s="25"/>
      <c r="EN8" s="24"/>
      <c r="EO8" s="23">
        <v>1388</v>
      </c>
      <c r="EP8" s="24"/>
      <c r="EQ8" s="25"/>
      <c r="ER8" s="24"/>
      <c r="ES8" s="23">
        <v>1388</v>
      </c>
      <c r="ET8" s="24"/>
      <c r="EU8" s="25"/>
      <c r="EV8" s="24"/>
      <c r="EW8" s="23">
        <v>1388</v>
      </c>
      <c r="EX8" s="24"/>
      <c r="EY8" s="25"/>
      <c r="EZ8" s="24"/>
      <c r="FA8" s="23">
        <v>1388</v>
      </c>
      <c r="FB8" s="24"/>
      <c r="FC8" s="25"/>
      <c r="FD8" s="24"/>
      <c r="FE8" s="23">
        <v>1388</v>
      </c>
      <c r="FF8" s="24"/>
      <c r="FG8" s="25"/>
      <c r="FH8" s="24"/>
      <c r="FI8" s="23">
        <v>1388</v>
      </c>
      <c r="FJ8" s="24"/>
      <c r="FK8" s="25"/>
      <c r="FL8" s="24"/>
      <c r="FM8" s="23">
        <v>1388</v>
      </c>
      <c r="FN8" s="24"/>
      <c r="FO8" s="25"/>
      <c r="FP8" s="24"/>
      <c r="FQ8" s="340"/>
      <c r="FR8" s="32">
        <f>SUMPRODUCT(--(MOD(COLUMN(DU8:ER8),4)=MOD(COLUMN(DU8),4)),DU8:ER8)+SUMPRODUCT(--(MOD(COLUMN(ES8:FP8),4)=MOD(COLUMN(ES8),4)),ES8:FP8)</f>
        <v>16656</v>
      </c>
      <c r="FS8" s="32" t="e">
        <f>SUMPRODUCT(--(MOD(COLUMN(DU8:ER8),4)=MOD(COLUMN(DU8),4)),DU8:ER8)*#REF!+SUMPRODUCT(--(MOD(COLUMN(ES8:FP8),4)=MOD(COLUMN(ES8),4)),ES8:FP8)*#REF!</f>
        <v>#REF!</v>
      </c>
      <c r="FT8" s="360"/>
    </row>
    <row r="9" spans="1:176" s="14" customFormat="1" outlineLevel="2">
      <c r="A9" s="15" t="s">
        <v>474</v>
      </c>
      <c r="B9" s="16" t="s">
        <v>30</v>
      </c>
      <c r="C9" s="15" t="s">
        <v>31</v>
      </c>
      <c r="D9" s="15" t="s">
        <v>32</v>
      </c>
      <c r="E9" s="17">
        <f>IF(ISBLANK(G9),"",IF($A$6:$A$64=$A9,COUNTIF($A$6:A9,$A9),""))</f>
        <v>4</v>
      </c>
      <c r="F9" s="17">
        <v>1</v>
      </c>
      <c r="G9" s="409">
        <v>8997605104</v>
      </c>
      <c r="H9" s="18" t="s">
        <v>46</v>
      </c>
      <c r="I9" s="625">
        <f>8.4/НДС_20</f>
        <v>7.0000000000000009</v>
      </c>
      <c r="J9" s="20"/>
      <c r="K9" s="20"/>
      <c r="L9" s="20" t="str">
        <f t="shared" si="0"/>
        <v/>
      </c>
      <c r="M9" s="11"/>
      <c r="N9" s="363">
        <f t="shared" si="9"/>
        <v>1</v>
      </c>
      <c r="O9" s="23"/>
      <c r="P9" s="24"/>
      <c r="Q9" s="25"/>
      <c r="R9" s="26"/>
      <c r="S9" s="23">
        <v>1000</v>
      </c>
      <c r="T9" s="24"/>
      <c r="U9" s="25">
        <v>0</v>
      </c>
      <c r="V9" s="24"/>
      <c r="W9" s="23"/>
      <c r="X9" s="24"/>
      <c r="Y9" s="25"/>
      <c r="Z9" s="24"/>
      <c r="AA9" s="23">
        <v>6</v>
      </c>
      <c r="AB9" s="24">
        <f>1000</f>
        <v>1000</v>
      </c>
      <c r="AC9" s="25">
        <v>1000</v>
      </c>
      <c r="AD9" s="24"/>
      <c r="AE9" s="23">
        <v>6</v>
      </c>
      <c r="AF9" s="24"/>
      <c r="AG9" s="25">
        <v>0</v>
      </c>
      <c r="AH9" s="24"/>
      <c r="AI9" s="23">
        <v>40</v>
      </c>
      <c r="AJ9" s="24"/>
      <c r="AK9" s="25"/>
      <c r="AL9" s="24"/>
      <c r="AM9" s="23">
        <v>80</v>
      </c>
      <c r="AN9" s="24"/>
      <c r="AO9" s="25"/>
      <c r="AP9" s="24"/>
      <c r="AQ9" s="23">
        <v>80</v>
      </c>
      <c r="AR9" s="24"/>
      <c r="AS9" s="25"/>
      <c r="AT9" s="24"/>
      <c r="AU9" s="23">
        <v>80</v>
      </c>
      <c r="AV9" s="24">
        <f>SUM(AV6:AV7)/3</f>
        <v>40</v>
      </c>
      <c r="AW9" s="25"/>
      <c r="AX9" s="24"/>
      <c r="AY9" s="23">
        <v>160</v>
      </c>
      <c r="AZ9" s="24">
        <f>SUM(AZ6:AZ7)/3</f>
        <v>40</v>
      </c>
      <c r="BA9" s="25"/>
      <c r="BB9" s="24"/>
      <c r="BC9" s="23">
        <v>160</v>
      </c>
      <c r="BD9" s="24">
        <f>SUM(BD6:BD7)/3</f>
        <v>80</v>
      </c>
      <c r="BE9" s="25"/>
      <c r="BF9" s="24"/>
      <c r="BG9" s="23">
        <v>160</v>
      </c>
      <c r="BH9" s="24">
        <f>SUM(BH6:BH7)/3</f>
        <v>160</v>
      </c>
      <c r="BI9" s="25"/>
      <c r="BJ9" s="24"/>
      <c r="BK9" s="340"/>
      <c r="BL9" s="32">
        <f t="shared" si="1"/>
        <v>1772</v>
      </c>
      <c r="BM9" s="466">
        <f t="shared" si="2"/>
        <v>12404.000000000002</v>
      </c>
      <c r="BN9" s="28">
        <f t="shared" si="3"/>
        <v>1320</v>
      </c>
      <c r="BO9" s="29">
        <f t="shared" si="4"/>
        <v>9240.0000000000018</v>
      </c>
      <c r="BP9" s="30">
        <f t="shared" si="5"/>
        <v>1000</v>
      </c>
      <c r="BQ9" s="31">
        <f t="shared" si="6"/>
        <v>7000.0000000000009</v>
      </c>
      <c r="BR9" s="362"/>
      <c r="BS9" s="11"/>
      <c r="BT9" s="23">
        <v>694</v>
      </c>
      <c r="BU9" s="24"/>
      <c r="BV9" s="25"/>
      <c r="BW9" s="26"/>
      <c r="BX9" s="23">
        <v>694</v>
      </c>
      <c r="BY9" s="24"/>
      <c r="BZ9" s="25"/>
      <c r="CA9" s="24"/>
      <c r="CB9" s="23">
        <v>694</v>
      </c>
      <c r="CC9" s="24"/>
      <c r="CD9" s="25"/>
      <c r="CE9" s="24"/>
      <c r="CF9" s="23">
        <v>694</v>
      </c>
      <c r="CG9" s="24"/>
      <c r="CH9" s="25"/>
      <c r="CI9" s="24"/>
      <c r="CJ9" s="23">
        <v>694</v>
      </c>
      <c r="CK9" s="24"/>
      <c r="CL9" s="25"/>
      <c r="CM9" s="24"/>
      <c r="CN9" s="23">
        <v>694</v>
      </c>
      <c r="CO9" s="24"/>
      <c r="CP9" s="25"/>
      <c r="CQ9" s="24"/>
      <c r="CR9" s="23">
        <v>694</v>
      </c>
      <c r="CS9" s="24"/>
      <c r="CT9" s="25"/>
      <c r="CU9" s="24"/>
      <c r="CV9" s="23">
        <v>694</v>
      </c>
      <c r="CW9" s="24"/>
      <c r="CX9" s="25"/>
      <c r="CY9" s="24"/>
      <c r="CZ9" s="23">
        <v>694</v>
      </c>
      <c r="DA9" s="24"/>
      <c r="DB9" s="25"/>
      <c r="DC9" s="24"/>
      <c r="DD9" s="23">
        <v>694</v>
      </c>
      <c r="DE9" s="24"/>
      <c r="DF9" s="25"/>
      <c r="DG9" s="24"/>
      <c r="DH9" s="23">
        <v>694</v>
      </c>
      <c r="DI9" s="24"/>
      <c r="DJ9" s="25"/>
      <c r="DK9" s="24"/>
      <c r="DL9" s="23">
        <v>694</v>
      </c>
      <c r="DM9" s="24"/>
      <c r="DN9" s="25"/>
      <c r="DO9" s="24"/>
      <c r="DP9" s="340"/>
      <c r="DQ9" s="32">
        <f>SUMPRODUCT(--(MOD(COLUMN(BT9:CQ9),4)=MOD(COLUMN(BT9),4)),BT9:CQ9)+SUMPRODUCT(--(MOD(COLUMN(CR9:DO9),4)=MOD(COLUMN(CR9),4)),CR9:DO9)</f>
        <v>8328</v>
      </c>
      <c r="DR9" s="32" t="e">
        <f>SUMPRODUCT(--(MOD(COLUMN(BT9:CQ9),4)=MOD(COLUMN(BT9),4)),BT9:CQ9)*#REF!+SUMPRODUCT(--(MOD(COLUMN(CR9:DO9),4)=MOD(COLUMN(CR9),4)),CR9:DO9)*#REF!</f>
        <v>#REF!</v>
      </c>
      <c r="DS9" s="362"/>
      <c r="DT9" s="11"/>
      <c r="DU9" s="23">
        <v>1388</v>
      </c>
      <c r="DV9" s="24"/>
      <c r="DW9" s="25"/>
      <c r="DX9" s="26"/>
      <c r="DY9" s="23">
        <v>1388</v>
      </c>
      <c r="DZ9" s="24"/>
      <c r="EA9" s="25"/>
      <c r="EB9" s="24"/>
      <c r="EC9" s="23">
        <v>1388</v>
      </c>
      <c r="ED9" s="24"/>
      <c r="EE9" s="25"/>
      <c r="EF9" s="24"/>
      <c r="EG9" s="23">
        <v>1388</v>
      </c>
      <c r="EH9" s="24"/>
      <c r="EI9" s="25"/>
      <c r="EJ9" s="24"/>
      <c r="EK9" s="23">
        <v>1388</v>
      </c>
      <c r="EL9" s="24"/>
      <c r="EM9" s="25"/>
      <c r="EN9" s="24"/>
      <c r="EO9" s="23">
        <v>1388</v>
      </c>
      <c r="EP9" s="24"/>
      <c r="EQ9" s="25"/>
      <c r="ER9" s="24"/>
      <c r="ES9" s="23">
        <v>1388</v>
      </c>
      <c r="ET9" s="24"/>
      <c r="EU9" s="25"/>
      <c r="EV9" s="24"/>
      <c r="EW9" s="23">
        <v>1388</v>
      </c>
      <c r="EX9" s="24"/>
      <c r="EY9" s="25"/>
      <c r="EZ9" s="24"/>
      <c r="FA9" s="23">
        <v>1388</v>
      </c>
      <c r="FB9" s="24"/>
      <c r="FC9" s="25"/>
      <c r="FD9" s="24"/>
      <c r="FE9" s="23">
        <v>1388</v>
      </c>
      <c r="FF9" s="24"/>
      <c r="FG9" s="25"/>
      <c r="FH9" s="24"/>
      <c r="FI9" s="23">
        <v>1388</v>
      </c>
      <c r="FJ9" s="24"/>
      <c r="FK9" s="25"/>
      <c r="FL9" s="24"/>
      <c r="FM9" s="23">
        <v>1388</v>
      </c>
      <c r="FN9" s="24"/>
      <c r="FO9" s="25"/>
      <c r="FP9" s="24"/>
      <c r="FQ9" s="340"/>
      <c r="FR9" s="32">
        <f>SUMPRODUCT(--(MOD(COLUMN(DU9:ER9),4)=MOD(COLUMN(DU9),4)),DU9:ER9)+SUMPRODUCT(--(MOD(COLUMN(ES9:FP9),4)=MOD(COLUMN(ES9),4)),ES9:FP9)</f>
        <v>16656</v>
      </c>
      <c r="FS9" s="32" t="e">
        <f>SUMPRODUCT(--(MOD(COLUMN(DU9:ER9),4)=MOD(COLUMN(DU9),4)),DU9:ER9)*#REF!+SUMPRODUCT(--(MOD(COLUMN(ES9:FP9),4)=MOD(COLUMN(ES9),4)),ES9:FP9)*#REF!</f>
        <v>#REF!</v>
      </c>
      <c r="FT9" s="360"/>
    </row>
    <row r="10" spans="1:176" s="14" customFormat="1" outlineLevel="2">
      <c r="A10" s="15" t="s">
        <v>474</v>
      </c>
      <c r="B10" s="16" t="s">
        <v>30</v>
      </c>
      <c r="C10" s="15" t="s">
        <v>31</v>
      </c>
      <c r="D10" s="15" t="s">
        <v>32</v>
      </c>
      <c r="E10" s="17">
        <f>IF(ISBLANK(G10),"",IF($A$6:$A$64=$A10,COUNTIF($A$6:A10,$A10),""))</f>
        <v>5</v>
      </c>
      <c r="F10" s="17">
        <v>1</v>
      </c>
      <c r="G10" s="33">
        <v>4235041001</v>
      </c>
      <c r="H10" s="18" t="s">
        <v>37</v>
      </c>
      <c r="I10" s="625">
        <f>163.08/НДС_20</f>
        <v>135.9</v>
      </c>
      <c r="J10" s="34"/>
      <c r="K10" s="34"/>
      <c r="L10" s="34" t="str">
        <f t="shared" si="0"/>
        <v/>
      </c>
      <c r="M10" s="11"/>
      <c r="N10" s="363">
        <f t="shared" si="9"/>
        <v>2</v>
      </c>
      <c r="O10" s="23"/>
      <c r="P10" s="24"/>
      <c r="Q10" s="25"/>
      <c r="R10" s="26"/>
      <c r="S10" s="23"/>
      <c r="T10" s="24"/>
      <c r="U10" s="25">
        <v>0</v>
      </c>
      <c r="V10" s="24"/>
      <c r="W10" s="23"/>
      <c r="X10" s="24"/>
      <c r="Y10" s="25"/>
      <c r="Z10" s="24"/>
      <c r="AA10" s="23"/>
      <c r="AB10" s="24"/>
      <c r="AC10" s="25"/>
      <c r="AD10" s="24"/>
      <c r="AE10" s="23"/>
      <c r="AF10" s="24"/>
      <c r="AG10" s="25">
        <v>0</v>
      </c>
      <c r="AH10" s="24"/>
      <c r="AI10" s="23"/>
      <c r="AJ10" s="24"/>
      <c r="AK10" s="25"/>
      <c r="AL10" s="24"/>
      <c r="AM10" s="23"/>
      <c r="AN10" s="24"/>
      <c r="AO10" s="25"/>
      <c r="AP10" s="24"/>
      <c r="AQ10" s="23"/>
      <c r="AR10" s="24">
        <f>600</f>
        <v>600</v>
      </c>
      <c r="AS10" s="25"/>
      <c r="AT10" s="24"/>
      <c r="AU10" s="23"/>
      <c r="AV10" s="24"/>
      <c r="AW10" s="25"/>
      <c r="AX10" s="24"/>
      <c r="AY10" s="23"/>
      <c r="AZ10" s="24"/>
      <c r="BA10" s="25"/>
      <c r="BB10" s="24"/>
      <c r="BC10" s="23"/>
      <c r="BD10" s="24"/>
      <c r="BE10" s="25"/>
      <c r="BF10" s="24"/>
      <c r="BG10" s="23"/>
      <c r="BH10" s="24"/>
      <c r="BI10" s="25"/>
      <c r="BJ10" s="24"/>
      <c r="BK10" s="340"/>
      <c r="BL10" s="32">
        <f t="shared" si="1"/>
        <v>0</v>
      </c>
      <c r="BM10" s="466">
        <f t="shared" si="2"/>
        <v>0</v>
      </c>
      <c r="BN10" s="28">
        <f t="shared" si="3"/>
        <v>600</v>
      </c>
      <c r="BO10" s="29">
        <f t="shared" si="4"/>
        <v>81540</v>
      </c>
      <c r="BP10" s="30">
        <f t="shared" si="5"/>
        <v>0</v>
      </c>
      <c r="BQ10" s="31">
        <f t="shared" si="6"/>
        <v>0</v>
      </c>
      <c r="BR10" s="362"/>
      <c r="BS10" s="11"/>
      <c r="BT10" s="23">
        <v>694</v>
      </c>
      <c r="BU10" s="24"/>
      <c r="BV10" s="25"/>
      <c r="BW10" s="26"/>
      <c r="BX10" s="23">
        <v>694</v>
      </c>
      <c r="BY10" s="24"/>
      <c r="BZ10" s="25"/>
      <c r="CA10" s="24"/>
      <c r="CB10" s="23">
        <v>694</v>
      </c>
      <c r="CC10" s="24"/>
      <c r="CD10" s="25"/>
      <c r="CE10" s="24"/>
      <c r="CF10" s="23">
        <v>694</v>
      </c>
      <c r="CG10" s="24"/>
      <c r="CH10" s="25"/>
      <c r="CI10" s="24"/>
      <c r="CJ10" s="23">
        <v>694</v>
      </c>
      <c r="CK10" s="24"/>
      <c r="CL10" s="25"/>
      <c r="CM10" s="24"/>
      <c r="CN10" s="23">
        <v>694</v>
      </c>
      <c r="CO10" s="24"/>
      <c r="CP10" s="25"/>
      <c r="CQ10" s="24"/>
      <c r="CR10" s="23">
        <v>694</v>
      </c>
      <c r="CS10" s="24"/>
      <c r="CT10" s="25"/>
      <c r="CU10" s="24"/>
      <c r="CV10" s="23">
        <v>694</v>
      </c>
      <c r="CW10" s="24"/>
      <c r="CX10" s="25"/>
      <c r="CY10" s="24"/>
      <c r="CZ10" s="23">
        <v>694</v>
      </c>
      <c r="DA10" s="24"/>
      <c r="DB10" s="25"/>
      <c r="DC10" s="24"/>
      <c r="DD10" s="23">
        <v>694</v>
      </c>
      <c r="DE10" s="24"/>
      <c r="DF10" s="25"/>
      <c r="DG10" s="24"/>
      <c r="DH10" s="23">
        <v>694</v>
      </c>
      <c r="DI10" s="24"/>
      <c r="DJ10" s="25"/>
      <c r="DK10" s="24"/>
      <c r="DL10" s="23">
        <v>694</v>
      </c>
      <c r="DM10" s="24"/>
      <c r="DN10" s="25"/>
      <c r="DO10" s="24"/>
      <c r="DP10" s="340"/>
      <c r="DQ10" s="32">
        <f t="shared" si="7"/>
        <v>8328</v>
      </c>
      <c r="DR10" s="32" t="e">
        <f>SUMPRODUCT(--(MOD(COLUMN(BT10:CQ10),4)=MOD(COLUMN(BT10),4)),BT10:CQ10)*#REF!+SUMPRODUCT(--(MOD(COLUMN(CR10:DO10),4)=MOD(COLUMN(CR10),4)),CR10:DO10)*#REF!</f>
        <v>#REF!</v>
      </c>
      <c r="DS10" s="362"/>
      <c r="DT10" s="11"/>
      <c r="DU10" s="23">
        <v>1388</v>
      </c>
      <c r="DV10" s="24"/>
      <c r="DW10" s="25"/>
      <c r="DX10" s="26"/>
      <c r="DY10" s="23">
        <v>1388</v>
      </c>
      <c r="DZ10" s="24"/>
      <c r="EA10" s="25"/>
      <c r="EB10" s="24"/>
      <c r="EC10" s="23">
        <v>1388</v>
      </c>
      <c r="ED10" s="24"/>
      <c r="EE10" s="25"/>
      <c r="EF10" s="24"/>
      <c r="EG10" s="23">
        <v>1388</v>
      </c>
      <c r="EH10" s="24"/>
      <c r="EI10" s="25"/>
      <c r="EJ10" s="24"/>
      <c r="EK10" s="23">
        <v>1388</v>
      </c>
      <c r="EL10" s="24"/>
      <c r="EM10" s="25"/>
      <c r="EN10" s="24"/>
      <c r="EO10" s="23">
        <v>1388</v>
      </c>
      <c r="EP10" s="24"/>
      <c r="EQ10" s="25"/>
      <c r="ER10" s="24"/>
      <c r="ES10" s="23">
        <v>1388</v>
      </c>
      <c r="ET10" s="24"/>
      <c r="EU10" s="25"/>
      <c r="EV10" s="24"/>
      <c r="EW10" s="23">
        <v>1388</v>
      </c>
      <c r="EX10" s="24"/>
      <c r="EY10" s="25"/>
      <c r="EZ10" s="24"/>
      <c r="FA10" s="23">
        <v>1388</v>
      </c>
      <c r="FB10" s="24"/>
      <c r="FC10" s="25"/>
      <c r="FD10" s="24"/>
      <c r="FE10" s="23">
        <v>1388</v>
      </c>
      <c r="FF10" s="24"/>
      <c r="FG10" s="25"/>
      <c r="FH10" s="24"/>
      <c r="FI10" s="23">
        <v>1388</v>
      </c>
      <c r="FJ10" s="24"/>
      <c r="FK10" s="25"/>
      <c r="FL10" s="24"/>
      <c r="FM10" s="23">
        <v>1388</v>
      </c>
      <c r="FN10" s="24"/>
      <c r="FO10" s="25"/>
      <c r="FP10" s="24"/>
      <c r="FQ10" s="340"/>
      <c r="FR10" s="32">
        <f t="shared" si="8"/>
        <v>16656</v>
      </c>
      <c r="FS10" s="32" t="e">
        <f>SUMPRODUCT(--(MOD(COLUMN(DU10:ER10),4)=MOD(COLUMN(DU10),4)),DU10:ER10)*#REF!+SUMPRODUCT(--(MOD(COLUMN(ES10:FP10),4)=MOD(COLUMN(ES10),4)),ES10:FP10)*#REF!</f>
        <v>#REF!</v>
      </c>
      <c r="FT10" s="360"/>
    </row>
    <row r="11" spans="1:176" s="14" customFormat="1" outlineLevel="2">
      <c r="A11" s="15" t="s">
        <v>474</v>
      </c>
      <c r="B11" s="16" t="s">
        <v>30</v>
      </c>
      <c r="C11" s="15" t="s">
        <v>31</v>
      </c>
      <c r="D11" s="15" t="s">
        <v>32</v>
      </c>
      <c r="E11" s="17">
        <f>IF(ISBLANK(G11),"",IF($A$6:$A$64=$A11,COUNTIF($A$6:A11,$A11),""))</f>
        <v>6</v>
      </c>
      <c r="F11" s="17">
        <v>1</v>
      </c>
      <c r="G11" s="33">
        <v>9254800504</v>
      </c>
      <c r="H11" s="18" t="s">
        <v>38</v>
      </c>
      <c r="I11" s="625">
        <f>373.98/НДС_20</f>
        <v>311.65000000000003</v>
      </c>
      <c r="J11" s="20"/>
      <c r="K11" s="20"/>
      <c r="L11" s="20" t="str">
        <f t="shared" si="0"/>
        <v/>
      </c>
      <c r="M11" s="11"/>
      <c r="N11" s="363">
        <f t="shared" si="9"/>
        <v>2</v>
      </c>
      <c r="O11" s="23"/>
      <c r="P11" s="24"/>
      <c r="Q11" s="25"/>
      <c r="R11" s="26"/>
      <c r="S11" s="23"/>
      <c r="T11" s="24"/>
      <c r="U11" s="25">
        <v>0</v>
      </c>
      <c r="V11" s="24"/>
      <c r="W11" s="23"/>
      <c r="X11" s="24"/>
      <c r="Y11" s="25"/>
      <c r="Z11" s="24"/>
      <c r="AA11" s="23"/>
      <c r="AB11" s="24"/>
      <c r="AC11" s="25"/>
      <c r="AD11" s="24"/>
      <c r="AE11" s="23"/>
      <c r="AF11" s="24"/>
      <c r="AG11" s="25">
        <v>0</v>
      </c>
      <c r="AH11" s="24"/>
      <c r="AI11" s="23"/>
      <c r="AJ11" s="24"/>
      <c r="AK11" s="25"/>
      <c r="AL11" s="24"/>
      <c r="AM11" s="23"/>
      <c r="AN11" s="24"/>
      <c r="AO11" s="25"/>
      <c r="AP11" s="24"/>
      <c r="AQ11" s="23"/>
      <c r="AR11" s="24">
        <f>1000</f>
        <v>1000</v>
      </c>
      <c r="AS11" s="25"/>
      <c r="AT11" s="24"/>
      <c r="AU11" s="23"/>
      <c r="AV11" s="24"/>
      <c r="AW11" s="25"/>
      <c r="AX11" s="24"/>
      <c r="AY11" s="23"/>
      <c r="AZ11" s="24"/>
      <c r="BA11" s="25"/>
      <c r="BB11" s="24"/>
      <c r="BC11" s="23"/>
      <c r="BD11" s="24"/>
      <c r="BE11" s="25"/>
      <c r="BF11" s="24"/>
      <c r="BG11" s="23"/>
      <c r="BH11" s="24"/>
      <c r="BI11" s="25"/>
      <c r="BJ11" s="24"/>
      <c r="BK11" s="340"/>
      <c r="BL11" s="32">
        <f t="shared" si="1"/>
        <v>0</v>
      </c>
      <c r="BM11" s="466">
        <f t="shared" si="2"/>
        <v>0</v>
      </c>
      <c r="BN11" s="28">
        <f t="shared" si="3"/>
        <v>1000</v>
      </c>
      <c r="BO11" s="29">
        <f t="shared" si="4"/>
        <v>311650.00000000006</v>
      </c>
      <c r="BP11" s="30">
        <f t="shared" si="5"/>
        <v>0</v>
      </c>
      <c r="BQ11" s="31">
        <f t="shared" si="6"/>
        <v>0</v>
      </c>
      <c r="BR11" s="362"/>
      <c r="BS11" s="11"/>
      <c r="BT11" s="23">
        <v>1388</v>
      </c>
      <c r="BU11" s="24"/>
      <c r="BV11" s="25"/>
      <c r="BW11" s="26"/>
      <c r="BX11" s="23">
        <v>1388</v>
      </c>
      <c r="BY11" s="24"/>
      <c r="BZ11" s="25"/>
      <c r="CA11" s="24"/>
      <c r="CB11" s="23">
        <v>1388</v>
      </c>
      <c r="CC11" s="24"/>
      <c r="CD11" s="25"/>
      <c r="CE11" s="24"/>
      <c r="CF11" s="23">
        <v>1388</v>
      </c>
      <c r="CG11" s="24"/>
      <c r="CH11" s="25"/>
      <c r="CI11" s="24"/>
      <c r="CJ11" s="23">
        <v>1388</v>
      </c>
      <c r="CK11" s="24"/>
      <c r="CL11" s="25"/>
      <c r="CM11" s="24"/>
      <c r="CN11" s="23">
        <v>1388</v>
      </c>
      <c r="CO11" s="24"/>
      <c r="CP11" s="25"/>
      <c r="CQ11" s="24"/>
      <c r="CR11" s="23">
        <v>1388</v>
      </c>
      <c r="CS11" s="24"/>
      <c r="CT11" s="25"/>
      <c r="CU11" s="24"/>
      <c r="CV11" s="23">
        <v>1388</v>
      </c>
      <c r="CW11" s="24"/>
      <c r="CX11" s="25"/>
      <c r="CY11" s="24"/>
      <c r="CZ11" s="23">
        <v>1388</v>
      </c>
      <c r="DA11" s="24"/>
      <c r="DB11" s="25"/>
      <c r="DC11" s="24"/>
      <c r="DD11" s="23">
        <v>1388</v>
      </c>
      <c r="DE11" s="24"/>
      <c r="DF11" s="25"/>
      <c r="DG11" s="24"/>
      <c r="DH11" s="23">
        <v>1388</v>
      </c>
      <c r="DI11" s="24"/>
      <c r="DJ11" s="25"/>
      <c r="DK11" s="24"/>
      <c r="DL11" s="23">
        <v>1388</v>
      </c>
      <c r="DM11" s="24"/>
      <c r="DN11" s="25"/>
      <c r="DO11" s="24"/>
      <c r="DP11" s="340"/>
      <c r="DQ11" s="32">
        <f t="shared" si="7"/>
        <v>16656</v>
      </c>
      <c r="DR11" s="32" t="e">
        <f>SUMPRODUCT(--(MOD(COLUMN(BT11:CQ11),4)=MOD(COLUMN(BT11),4)),BT11:CQ11)*#REF!+SUMPRODUCT(--(MOD(COLUMN(CR11:DO11),4)=MOD(COLUMN(CR11),4)),CR11:DO11)*#REF!</f>
        <v>#REF!</v>
      </c>
      <c r="DS11" s="362"/>
      <c r="DT11" s="11"/>
      <c r="DU11" s="23">
        <v>2776</v>
      </c>
      <c r="DV11" s="24"/>
      <c r="DW11" s="25"/>
      <c r="DX11" s="26"/>
      <c r="DY11" s="23">
        <v>2776</v>
      </c>
      <c r="DZ11" s="24"/>
      <c r="EA11" s="25"/>
      <c r="EB11" s="24"/>
      <c r="EC11" s="23">
        <v>2776</v>
      </c>
      <c r="ED11" s="24"/>
      <c r="EE11" s="25"/>
      <c r="EF11" s="24"/>
      <c r="EG11" s="23">
        <v>2776</v>
      </c>
      <c r="EH11" s="24"/>
      <c r="EI11" s="25"/>
      <c r="EJ11" s="24"/>
      <c r="EK11" s="23">
        <v>2776</v>
      </c>
      <c r="EL11" s="24"/>
      <c r="EM11" s="25"/>
      <c r="EN11" s="24"/>
      <c r="EO11" s="23">
        <v>2776</v>
      </c>
      <c r="EP11" s="24"/>
      <c r="EQ11" s="25"/>
      <c r="ER11" s="24"/>
      <c r="ES11" s="23">
        <v>2776</v>
      </c>
      <c r="ET11" s="24"/>
      <c r="EU11" s="25"/>
      <c r="EV11" s="24"/>
      <c r="EW11" s="23">
        <v>2776</v>
      </c>
      <c r="EX11" s="24"/>
      <c r="EY11" s="25"/>
      <c r="EZ11" s="24"/>
      <c r="FA11" s="23">
        <v>2776</v>
      </c>
      <c r="FB11" s="24"/>
      <c r="FC11" s="25"/>
      <c r="FD11" s="24"/>
      <c r="FE11" s="23">
        <v>2776</v>
      </c>
      <c r="FF11" s="24"/>
      <c r="FG11" s="25"/>
      <c r="FH11" s="24"/>
      <c r="FI11" s="23">
        <v>2776</v>
      </c>
      <c r="FJ11" s="24"/>
      <c r="FK11" s="25"/>
      <c r="FL11" s="24"/>
      <c r="FM11" s="23">
        <v>2776</v>
      </c>
      <c r="FN11" s="24"/>
      <c r="FO11" s="25"/>
      <c r="FP11" s="24"/>
      <c r="FQ11" s="340"/>
      <c r="FR11" s="32">
        <f t="shared" si="8"/>
        <v>33312</v>
      </c>
      <c r="FS11" s="32" t="e">
        <f>SUMPRODUCT(--(MOD(COLUMN(DU11:ER11),4)=MOD(COLUMN(DU11),4)),DU11:ER11)*#REF!+SUMPRODUCT(--(MOD(COLUMN(ES11:FP11),4)=MOD(COLUMN(ES11),4)),ES11:FP11)*#REF!</f>
        <v>#REF!</v>
      </c>
      <c r="FT11" s="360"/>
    </row>
    <row r="12" spans="1:176" s="14" customFormat="1" outlineLevel="2">
      <c r="A12" s="15" t="s">
        <v>474</v>
      </c>
      <c r="B12" s="16" t="s">
        <v>30</v>
      </c>
      <c r="C12" s="15" t="s">
        <v>31</v>
      </c>
      <c r="D12" s="15" t="s">
        <v>32</v>
      </c>
      <c r="E12" s="17">
        <f>IF(ISBLANK(G12),"",IF($A$6:$A$64=$A12,COUNTIF($A$6:A12,$A12),""))</f>
        <v>7</v>
      </c>
      <c r="F12" s="17">
        <v>1</v>
      </c>
      <c r="G12" s="33" t="s">
        <v>41</v>
      </c>
      <c r="H12" s="18" t="s">
        <v>42</v>
      </c>
      <c r="I12" s="625">
        <f>65.4/НДС_20</f>
        <v>54.500000000000007</v>
      </c>
      <c r="J12" s="20"/>
      <c r="K12" s="20"/>
      <c r="L12" s="20" t="str">
        <f t="shared" si="0"/>
        <v/>
      </c>
      <c r="M12" s="11"/>
      <c r="N12" s="363">
        <f t="shared" si="9"/>
        <v>0</v>
      </c>
      <c r="O12" s="23"/>
      <c r="P12" s="24"/>
      <c r="Q12" s="25"/>
      <c r="R12" s="26"/>
      <c r="S12" s="23"/>
      <c r="T12" s="24"/>
      <c r="U12" s="25">
        <v>0</v>
      </c>
      <c r="V12" s="24"/>
      <c r="W12" s="23"/>
      <c r="X12" s="24"/>
      <c r="Y12" s="25"/>
      <c r="Z12" s="24"/>
      <c r="AA12" s="23"/>
      <c r="AB12" s="24"/>
      <c r="AC12" s="25"/>
      <c r="AD12" s="24"/>
      <c r="AE12" s="23"/>
      <c r="AF12" s="24"/>
      <c r="AG12" s="25"/>
      <c r="AH12" s="24"/>
      <c r="AI12" s="23"/>
      <c r="AJ12" s="24"/>
      <c r="AK12" s="25"/>
      <c r="AL12" s="24"/>
      <c r="AM12" s="23"/>
      <c r="AN12" s="24"/>
      <c r="AO12" s="25"/>
      <c r="AP12" s="24"/>
      <c r="AQ12" s="23"/>
      <c r="AR12" s="24"/>
      <c r="AS12" s="25"/>
      <c r="AT12" s="24"/>
      <c r="AU12" s="23"/>
      <c r="AV12" s="24"/>
      <c r="AW12" s="25"/>
      <c r="AX12" s="24"/>
      <c r="AY12" s="23"/>
      <c r="AZ12" s="24"/>
      <c r="BA12" s="25"/>
      <c r="BB12" s="24"/>
      <c r="BC12" s="23"/>
      <c r="BD12" s="24"/>
      <c r="BE12" s="25"/>
      <c r="BF12" s="24"/>
      <c r="BG12" s="23"/>
      <c r="BH12" s="24"/>
      <c r="BI12" s="25"/>
      <c r="BJ12" s="24"/>
      <c r="BK12" s="340"/>
      <c r="BL12" s="32">
        <f t="shared" si="1"/>
        <v>0</v>
      </c>
      <c r="BM12" s="466">
        <f t="shared" si="2"/>
        <v>0</v>
      </c>
      <c r="BN12" s="28">
        <f t="shared" si="3"/>
        <v>0</v>
      </c>
      <c r="BO12" s="29">
        <f t="shared" si="4"/>
        <v>0</v>
      </c>
      <c r="BP12" s="30">
        <f t="shared" si="5"/>
        <v>0</v>
      </c>
      <c r="BQ12" s="31">
        <f t="shared" si="6"/>
        <v>0</v>
      </c>
      <c r="BR12" s="362"/>
      <c r="BS12" s="11"/>
      <c r="BT12" s="23"/>
      <c r="BU12" s="24"/>
      <c r="BV12" s="25"/>
      <c r="BW12" s="26"/>
      <c r="BX12" s="23"/>
      <c r="BY12" s="24"/>
      <c r="BZ12" s="25"/>
      <c r="CA12" s="24"/>
      <c r="CB12" s="23"/>
      <c r="CC12" s="24"/>
      <c r="CD12" s="25"/>
      <c r="CE12" s="24"/>
      <c r="CF12" s="23"/>
      <c r="CG12" s="24"/>
      <c r="CH12" s="25"/>
      <c r="CI12" s="24"/>
      <c r="CJ12" s="23"/>
      <c r="CK12" s="24"/>
      <c r="CL12" s="25"/>
      <c r="CM12" s="24"/>
      <c r="CN12" s="23"/>
      <c r="CO12" s="24"/>
      <c r="CP12" s="25"/>
      <c r="CQ12" s="24"/>
      <c r="CR12" s="23"/>
      <c r="CS12" s="24"/>
      <c r="CT12" s="25"/>
      <c r="CU12" s="24"/>
      <c r="CV12" s="23"/>
      <c r="CW12" s="24"/>
      <c r="CX12" s="25"/>
      <c r="CY12" s="24"/>
      <c r="CZ12" s="23"/>
      <c r="DA12" s="24"/>
      <c r="DB12" s="25"/>
      <c r="DC12" s="24"/>
      <c r="DD12" s="23"/>
      <c r="DE12" s="24"/>
      <c r="DF12" s="25"/>
      <c r="DG12" s="24"/>
      <c r="DH12" s="23"/>
      <c r="DI12" s="24"/>
      <c r="DJ12" s="25"/>
      <c r="DK12" s="24"/>
      <c r="DL12" s="23"/>
      <c r="DM12" s="24"/>
      <c r="DN12" s="25"/>
      <c r="DO12" s="24"/>
      <c r="DP12" s="340"/>
      <c r="DQ12" s="32">
        <f t="shared" si="7"/>
        <v>0</v>
      </c>
      <c r="DR12" s="32" t="e">
        <f>SUMPRODUCT(--(MOD(COLUMN(BT12:CQ12),4)=MOD(COLUMN(BT12),4)),BT12:CQ12)*#REF!+SUMPRODUCT(--(MOD(COLUMN(CR12:DO12),4)=MOD(COLUMN(CR12),4)),CR12:DO12)*#REF!</f>
        <v>#REF!</v>
      </c>
      <c r="DS12" s="362"/>
      <c r="DT12" s="11"/>
      <c r="DU12" s="23"/>
      <c r="DV12" s="24"/>
      <c r="DW12" s="25"/>
      <c r="DX12" s="26"/>
      <c r="DY12" s="23"/>
      <c r="DZ12" s="24"/>
      <c r="EA12" s="25"/>
      <c r="EB12" s="24"/>
      <c r="EC12" s="23"/>
      <c r="ED12" s="24"/>
      <c r="EE12" s="25"/>
      <c r="EF12" s="24"/>
      <c r="EG12" s="23"/>
      <c r="EH12" s="24"/>
      <c r="EI12" s="25"/>
      <c r="EJ12" s="24"/>
      <c r="EK12" s="23"/>
      <c r="EL12" s="24"/>
      <c r="EM12" s="25"/>
      <c r="EN12" s="24"/>
      <c r="EO12" s="23"/>
      <c r="EP12" s="24"/>
      <c r="EQ12" s="25"/>
      <c r="ER12" s="24"/>
      <c r="ES12" s="23"/>
      <c r="ET12" s="24"/>
      <c r="EU12" s="25"/>
      <c r="EV12" s="24"/>
      <c r="EW12" s="23"/>
      <c r="EX12" s="24"/>
      <c r="EY12" s="25"/>
      <c r="EZ12" s="24"/>
      <c r="FA12" s="23"/>
      <c r="FB12" s="24"/>
      <c r="FC12" s="25"/>
      <c r="FD12" s="24"/>
      <c r="FE12" s="23"/>
      <c r="FF12" s="24"/>
      <c r="FG12" s="25"/>
      <c r="FH12" s="24"/>
      <c r="FI12" s="23"/>
      <c r="FJ12" s="24"/>
      <c r="FK12" s="25"/>
      <c r="FL12" s="24"/>
      <c r="FM12" s="23"/>
      <c r="FN12" s="24"/>
      <c r="FO12" s="25"/>
      <c r="FP12" s="24"/>
      <c r="FQ12" s="340"/>
      <c r="FR12" s="32">
        <f t="shared" si="8"/>
        <v>0</v>
      </c>
      <c r="FS12" s="32" t="e">
        <f>SUMPRODUCT(--(MOD(COLUMN(DU12:ER12),4)=MOD(COLUMN(DU12),4)),DU12:ER12)*#REF!+SUMPRODUCT(--(MOD(COLUMN(ES12:FP12),4)=MOD(COLUMN(ES12),4)),ES12:FP12)*#REF!</f>
        <v>#REF!</v>
      </c>
      <c r="FT12" s="360"/>
    </row>
    <row r="13" spans="1:176" s="14" customFormat="1" outlineLevel="2">
      <c r="A13" s="15" t="s">
        <v>474</v>
      </c>
      <c r="B13" s="16"/>
      <c r="C13" s="15"/>
      <c r="D13" s="15"/>
      <c r="E13" s="35" t="str">
        <f>IF(ISBLANK(G13),"",IF($A$6:$A$64=$A13,COUNTIF($A$6:A13,$A13),""))</f>
        <v/>
      </c>
      <c r="F13" s="35"/>
      <c r="G13" s="36"/>
      <c r="H13" s="36" t="s">
        <v>43</v>
      </c>
      <c r="I13" s="626"/>
      <c r="J13" s="38"/>
      <c r="K13" s="38"/>
      <c r="L13" s="38" t="str">
        <f t="shared" si="0"/>
        <v/>
      </c>
      <c r="M13" s="39"/>
      <c r="N13" s="363">
        <f t="shared" si="9"/>
        <v>0</v>
      </c>
      <c r="O13" s="40"/>
      <c r="P13" s="41"/>
      <c r="Q13" s="42"/>
      <c r="R13" s="41"/>
      <c r="S13" s="40"/>
      <c r="T13" s="41"/>
      <c r="U13" s="42"/>
      <c r="V13" s="41"/>
      <c r="W13" s="40"/>
      <c r="X13" s="41"/>
      <c r="Y13" s="42"/>
      <c r="Z13" s="41"/>
      <c r="AA13" s="40"/>
      <c r="AB13" s="41"/>
      <c r="AC13" s="42"/>
      <c r="AD13" s="41"/>
      <c r="AE13" s="40"/>
      <c r="AF13" s="41"/>
      <c r="AG13" s="42"/>
      <c r="AH13" s="41"/>
      <c r="AI13" s="40"/>
      <c r="AJ13" s="41"/>
      <c r="AK13" s="42"/>
      <c r="AL13" s="41"/>
      <c r="AM13" s="40"/>
      <c r="AN13" s="41"/>
      <c r="AO13" s="42"/>
      <c r="AP13" s="41"/>
      <c r="AQ13" s="40"/>
      <c r="AR13" s="41"/>
      <c r="AS13" s="42"/>
      <c r="AT13" s="41"/>
      <c r="AU13" s="40"/>
      <c r="AV13" s="41"/>
      <c r="AW13" s="42"/>
      <c r="AX13" s="41"/>
      <c r="AY13" s="40"/>
      <c r="AZ13" s="41"/>
      <c r="BA13" s="42"/>
      <c r="BB13" s="41"/>
      <c r="BC13" s="40"/>
      <c r="BD13" s="41"/>
      <c r="BE13" s="42"/>
      <c r="BF13" s="41"/>
      <c r="BG13" s="40"/>
      <c r="BH13" s="41"/>
      <c r="BI13" s="42"/>
      <c r="BJ13" s="43"/>
      <c r="BK13" s="341"/>
      <c r="BL13" s="27">
        <f t="shared" si="1"/>
        <v>0</v>
      </c>
      <c r="BM13" s="110">
        <f t="shared" si="2"/>
        <v>0</v>
      </c>
      <c r="BN13" s="28">
        <f t="shared" si="3"/>
        <v>0</v>
      </c>
      <c r="BO13" s="29">
        <f t="shared" si="4"/>
        <v>0</v>
      </c>
      <c r="BP13" s="30">
        <f t="shared" si="5"/>
        <v>0</v>
      </c>
      <c r="BQ13" s="31">
        <f t="shared" si="6"/>
        <v>0</v>
      </c>
      <c r="BR13" s="353"/>
      <c r="BS13" s="39"/>
      <c r="BT13" s="40"/>
      <c r="BU13" s="41"/>
      <c r="BV13" s="42"/>
      <c r="BW13" s="41"/>
      <c r="BX13" s="40"/>
      <c r="BY13" s="41"/>
      <c r="BZ13" s="42"/>
      <c r="CA13" s="41"/>
      <c r="CB13" s="40"/>
      <c r="CC13" s="41"/>
      <c r="CD13" s="42"/>
      <c r="CE13" s="41"/>
      <c r="CF13" s="40"/>
      <c r="CG13" s="41"/>
      <c r="CH13" s="42"/>
      <c r="CI13" s="41"/>
      <c r="CJ13" s="40"/>
      <c r="CK13" s="41"/>
      <c r="CL13" s="42"/>
      <c r="CM13" s="41"/>
      <c r="CN13" s="40"/>
      <c r="CO13" s="41"/>
      <c r="CP13" s="42"/>
      <c r="CQ13" s="41"/>
      <c r="CR13" s="40"/>
      <c r="CS13" s="41"/>
      <c r="CT13" s="42"/>
      <c r="CU13" s="41"/>
      <c r="CV13" s="40"/>
      <c r="CW13" s="41"/>
      <c r="CX13" s="42"/>
      <c r="CY13" s="41"/>
      <c r="CZ13" s="40"/>
      <c r="DA13" s="41"/>
      <c r="DB13" s="42"/>
      <c r="DC13" s="41"/>
      <c r="DD13" s="40"/>
      <c r="DE13" s="41"/>
      <c r="DF13" s="42"/>
      <c r="DG13" s="41"/>
      <c r="DH13" s="40"/>
      <c r="DI13" s="41"/>
      <c r="DJ13" s="42"/>
      <c r="DK13" s="41"/>
      <c r="DL13" s="40"/>
      <c r="DM13" s="41"/>
      <c r="DN13" s="42"/>
      <c r="DO13" s="43"/>
      <c r="DP13" s="341"/>
      <c r="DQ13" s="27">
        <f t="shared" si="7"/>
        <v>0</v>
      </c>
      <c r="DR13" s="27" t="e">
        <f>SUMPRODUCT(--(MOD(COLUMN(BT13:CQ13),4)=MOD(COLUMN(BT13),4)),BT13:CQ13)*#REF!+SUMPRODUCT(--(MOD(COLUMN(CR13:DO13),4)=MOD(COLUMN(CR13),4)),CR13:DO13)*#REF!</f>
        <v>#REF!</v>
      </c>
      <c r="DS13" s="353"/>
      <c r="DT13" s="39"/>
      <c r="DU13" s="40"/>
      <c r="DV13" s="41"/>
      <c r="DW13" s="42"/>
      <c r="DX13" s="41"/>
      <c r="DY13" s="40"/>
      <c r="DZ13" s="41"/>
      <c r="EA13" s="42"/>
      <c r="EB13" s="41"/>
      <c r="EC13" s="40"/>
      <c r="ED13" s="41"/>
      <c r="EE13" s="42"/>
      <c r="EF13" s="41"/>
      <c r="EG13" s="40"/>
      <c r="EH13" s="41"/>
      <c r="EI13" s="42"/>
      <c r="EJ13" s="41"/>
      <c r="EK13" s="40"/>
      <c r="EL13" s="41"/>
      <c r="EM13" s="42"/>
      <c r="EN13" s="41"/>
      <c r="EO13" s="40"/>
      <c r="EP13" s="41"/>
      <c r="EQ13" s="42"/>
      <c r="ER13" s="41"/>
      <c r="ES13" s="40"/>
      <c r="ET13" s="41"/>
      <c r="EU13" s="42"/>
      <c r="EV13" s="41"/>
      <c r="EW13" s="40"/>
      <c r="EX13" s="41"/>
      <c r="EY13" s="42"/>
      <c r="EZ13" s="41"/>
      <c r="FA13" s="40"/>
      <c r="FB13" s="41"/>
      <c r="FC13" s="42"/>
      <c r="FD13" s="41"/>
      <c r="FE13" s="40"/>
      <c r="FF13" s="41"/>
      <c r="FG13" s="42"/>
      <c r="FH13" s="41"/>
      <c r="FI13" s="40"/>
      <c r="FJ13" s="41"/>
      <c r="FK13" s="42"/>
      <c r="FL13" s="41"/>
      <c r="FM13" s="40"/>
      <c r="FN13" s="41"/>
      <c r="FO13" s="42"/>
      <c r="FP13" s="43"/>
      <c r="FQ13" s="341"/>
      <c r="FR13" s="27">
        <f t="shared" si="8"/>
        <v>0</v>
      </c>
      <c r="FS13" s="27" t="e">
        <f>SUMPRODUCT(--(MOD(COLUMN(DU13:ER13),4)=MOD(COLUMN(DU13),4)),DU13:ER13)*#REF!+SUMPRODUCT(--(MOD(COLUMN(ES13:FP13),4)=MOD(COLUMN(ES13),4)),ES13:FP13)*#REF!</f>
        <v>#REF!</v>
      </c>
      <c r="FT13" s="360"/>
    </row>
    <row r="14" spans="1:176" s="44" customFormat="1" outlineLevel="1">
      <c r="A14" s="45" t="s">
        <v>474</v>
      </c>
      <c r="B14" s="46"/>
      <c r="C14" s="46"/>
      <c r="D14" s="46"/>
      <c r="E14" s="47" t="str">
        <f>IF(ISBLANK(G14),"",IF($A$6:$A$64=$A14,COUNTIF($A$6:A14,$A14),""))</f>
        <v/>
      </c>
      <c r="F14" s="47"/>
      <c r="G14" s="48"/>
      <c r="H14" s="49"/>
      <c r="I14" s="620"/>
      <c r="J14" s="50"/>
      <c r="K14" s="50"/>
      <c r="L14" s="50" t="str">
        <f t="shared" si="0"/>
        <v/>
      </c>
      <c r="M14" s="51"/>
      <c r="N14" s="363">
        <f t="shared" si="9"/>
        <v>0</v>
      </c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335"/>
      <c r="BL14" s="52">
        <f t="shared" si="1"/>
        <v>0</v>
      </c>
      <c r="BM14" s="122">
        <f t="shared" si="2"/>
        <v>0</v>
      </c>
      <c r="BN14" s="52">
        <f t="shared" si="3"/>
        <v>0</v>
      </c>
      <c r="BO14" s="52">
        <f t="shared" si="4"/>
        <v>0</v>
      </c>
      <c r="BP14" s="52">
        <f t="shared" si="5"/>
        <v>0</v>
      </c>
      <c r="BQ14" s="52">
        <f t="shared" si="6"/>
        <v>0</v>
      </c>
      <c r="BR14" s="342"/>
      <c r="BS14" s="51"/>
      <c r="BT14" s="51"/>
      <c r="BU14" s="51"/>
      <c r="BV14" s="51"/>
      <c r="BW14" s="51"/>
      <c r="BX14" s="51"/>
      <c r="BY14" s="51"/>
      <c r="BZ14" s="51"/>
      <c r="CA14" s="51"/>
      <c r="CB14" s="51"/>
      <c r="CC14" s="51"/>
      <c r="CD14" s="51"/>
      <c r="CE14" s="51"/>
      <c r="CF14" s="51"/>
      <c r="CG14" s="51"/>
      <c r="CH14" s="51"/>
      <c r="CI14" s="51"/>
      <c r="CJ14" s="51"/>
      <c r="CK14" s="51"/>
      <c r="CL14" s="51"/>
      <c r="CM14" s="51"/>
      <c r="CN14" s="51"/>
      <c r="CO14" s="51"/>
      <c r="CP14" s="51"/>
      <c r="CQ14" s="51"/>
      <c r="CR14" s="51"/>
      <c r="CS14" s="51"/>
      <c r="CT14" s="51"/>
      <c r="CU14" s="51"/>
      <c r="CV14" s="51"/>
      <c r="CW14" s="51"/>
      <c r="CX14" s="51"/>
      <c r="CY14" s="51"/>
      <c r="CZ14" s="51"/>
      <c r="DA14" s="51"/>
      <c r="DB14" s="51"/>
      <c r="DC14" s="51"/>
      <c r="DD14" s="51"/>
      <c r="DE14" s="51"/>
      <c r="DF14" s="51"/>
      <c r="DG14" s="51"/>
      <c r="DH14" s="51"/>
      <c r="DI14" s="51"/>
      <c r="DJ14" s="51"/>
      <c r="DK14" s="51"/>
      <c r="DL14" s="51"/>
      <c r="DM14" s="51"/>
      <c r="DN14" s="51"/>
      <c r="DO14" s="51"/>
      <c r="DP14" s="335"/>
      <c r="DQ14" s="52">
        <f t="shared" si="7"/>
        <v>0</v>
      </c>
      <c r="DR14" s="52" t="e">
        <f>SUMPRODUCT(--(MOD(COLUMN(BT14:CQ14),4)=MOD(COLUMN(BT14),4)),BT14:CQ14)*#REF!+SUMPRODUCT(--(MOD(COLUMN(CR14:DO14),4)=MOD(COLUMN(CR14),4)),CR14:DO14)*#REF!</f>
        <v>#REF!</v>
      </c>
      <c r="DS14" s="342"/>
      <c r="DT14" s="51"/>
      <c r="DU14" s="51"/>
      <c r="DV14" s="51"/>
      <c r="DW14" s="51"/>
      <c r="DX14" s="51"/>
      <c r="DY14" s="51"/>
      <c r="DZ14" s="51"/>
      <c r="EA14" s="51"/>
      <c r="EB14" s="51"/>
      <c r="EC14" s="51"/>
      <c r="ED14" s="51"/>
      <c r="EE14" s="51"/>
      <c r="EF14" s="51"/>
      <c r="EG14" s="51"/>
      <c r="EH14" s="51"/>
      <c r="EI14" s="51"/>
      <c r="EJ14" s="51"/>
      <c r="EK14" s="51"/>
      <c r="EL14" s="51"/>
      <c r="EM14" s="51"/>
      <c r="EN14" s="51"/>
      <c r="EO14" s="51"/>
      <c r="EP14" s="51"/>
      <c r="EQ14" s="51"/>
      <c r="ER14" s="51"/>
      <c r="ES14" s="51"/>
      <c r="ET14" s="51"/>
      <c r="EU14" s="51"/>
      <c r="EV14" s="51"/>
      <c r="EW14" s="51"/>
      <c r="EX14" s="51"/>
      <c r="EY14" s="51"/>
      <c r="EZ14" s="51"/>
      <c r="FA14" s="51"/>
      <c r="FB14" s="51"/>
      <c r="FC14" s="51"/>
      <c r="FD14" s="51"/>
      <c r="FE14" s="51"/>
      <c r="FF14" s="51"/>
      <c r="FG14" s="51"/>
      <c r="FH14" s="51"/>
      <c r="FI14" s="51"/>
      <c r="FJ14" s="51"/>
      <c r="FK14" s="51"/>
      <c r="FL14" s="51"/>
      <c r="FM14" s="51"/>
      <c r="FN14" s="51"/>
      <c r="FO14" s="51"/>
      <c r="FP14" s="51"/>
      <c r="FQ14" s="335"/>
      <c r="FR14" s="52">
        <f t="shared" si="8"/>
        <v>0</v>
      </c>
      <c r="FS14" s="52" t="e">
        <f>SUMPRODUCT(--(MOD(COLUMN(DU14:ER14),4)=MOD(COLUMN(DU14),4)),DU14:ER14)*#REF!+SUMPRODUCT(--(MOD(COLUMN(ES14:FP14),4)=MOD(COLUMN(ES14),4)),ES14:FP14)*#REF!</f>
        <v>#REF!</v>
      </c>
      <c r="FT14" s="370"/>
    </row>
    <row r="15" spans="1:176" s="14" customFormat="1" outlineLevel="2">
      <c r="A15" s="15" t="s">
        <v>476</v>
      </c>
      <c r="B15" s="16" t="s">
        <v>44</v>
      </c>
      <c r="C15" s="15" t="s">
        <v>31</v>
      </c>
      <c r="D15" s="15" t="s">
        <v>32</v>
      </c>
      <c r="E15" s="17">
        <f>IF(ISBLANK(G15),"",IF($A$6:$A$64=$A15,COUNTIF($A$6:A15,$A15),""))</f>
        <v>1</v>
      </c>
      <c r="F15" s="17">
        <v>1</v>
      </c>
      <c r="G15" s="33">
        <v>6402250560</v>
      </c>
      <c r="H15" s="410" t="s">
        <v>410</v>
      </c>
      <c r="I15" s="625">
        <f t="shared" ref="I15" si="10">2100/НДС_20</f>
        <v>1750</v>
      </c>
      <c r="J15" s="20"/>
      <c r="K15" s="20"/>
      <c r="L15" s="20" t="str">
        <f t="shared" si="0"/>
        <v/>
      </c>
      <c r="M15" s="11"/>
      <c r="N15" s="363">
        <f t="shared" si="9"/>
        <v>0</v>
      </c>
      <c r="O15" s="23"/>
      <c r="P15" s="24"/>
      <c r="Q15" s="25"/>
      <c r="R15" s="24"/>
      <c r="S15" s="23"/>
      <c r="T15" s="24"/>
      <c r="U15" s="25">
        <v>0</v>
      </c>
      <c r="V15" s="24"/>
      <c r="W15" s="23"/>
      <c r="X15" s="24"/>
      <c r="Y15" s="25"/>
      <c r="Z15" s="24"/>
      <c r="AA15" s="23"/>
      <c r="AB15" s="24"/>
      <c r="AC15" s="25"/>
      <c r="AD15" s="24"/>
      <c r="AE15" s="23"/>
      <c r="AF15" s="24"/>
      <c r="AG15" s="25"/>
      <c r="AH15" s="24"/>
      <c r="AI15" s="23"/>
      <c r="AJ15" s="24"/>
      <c r="AK15" s="25"/>
      <c r="AL15" s="24"/>
      <c r="AM15" s="23"/>
      <c r="AN15" s="24"/>
      <c r="AO15" s="25"/>
      <c r="AP15" s="24"/>
      <c r="AQ15" s="23"/>
      <c r="AR15" s="24"/>
      <c r="AS15" s="25"/>
      <c r="AT15" s="24"/>
      <c r="AU15" s="23"/>
      <c r="AV15" s="24"/>
      <c r="AW15" s="25"/>
      <c r="AX15" s="24"/>
      <c r="AY15" s="23"/>
      <c r="AZ15" s="24"/>
      <c r="BA15" s="25"/>
      <c r="BB15" s="24"/>
      <c r="BC15" s="23"/>
      <c r="BD15" s="24"/>
      <c r="BE15" s="25"/>
      <c r="BF15" s="24"/>
      <c r="BG15" s="23"/>
      <c r="BH15" s="24"/>
      <c r="BI15" s="25"/>
      <c r="BJ15" s="24"/>
      <c r="BK15" s="340"/>
      <c r="BL15" s="32">
        <f t="shared" si="1"/>
        <v>0</v>
      </c>
      <c r="BM15" s="466">
        <f t="shared" si="2"/>
        <v>0</v>
      </c>
      <c r="BN15" s="28">
        <f t="shared" si="3"/>
        <v>0</v>
      </c>
      <c r="BO15" s="29">
        <f t="shared" si="4"/>
        <v>0</v>
      </c>
      <c r="BP15" s="30">
        <f t="shared" si="5"/>
        <v>0</v>
      </c>
      <c r="BQ15" s="31">
        <f t="shared" si="6"/>
        <v>0</v>
      </c>
      <c r="BR15" s="362"/>
      <c r="BS15" s="11"/>
      <c r="BT15" s="23">
        <v>207</v>
      </c>
      <c r="BU15" s="24"/>
      <c r="BV15" s="25"/>
      <c r="BW15" s="24"/>
      <c r="BX15" s="23">
        <v>207</v>
      </c>
      <c r="BY15" s="24"/>
      <c r="BZ15" s="25"/>
      <c r="CA15" s="24"/>
      <c r="CB15" s="23">
        <v>207</v>
      </c>
      <c r="CC15" s="24"/>
      <c r="CD15" s="25"/>
      <c r="CE15" s="24"/>
      <c r="CF15" s="23">
        <v>207</v>
      </c>
      <c r="CG15" s="24"/>
      <c r="CH15" s="25"/>
      <c r="CI15" s="24"/>
      <c r="CJ15" s="23">
        <v>207</v>
      </c>
      <c r="CK15" s="24"/>
      <c r="CL15" s="25"/>
      <c r="CM15" s="24"/>
      <c r="CN15" s="23">
        <v>207</v>
      </c>
      <c r="CO15" s="24"/>
      <c r="CP15" s="25"/>
      <c r="CQ15" s="24"/>
      <c r="CR15" s="23">
        <v>207</v>
      </c>
      <c r="CS15" s="24"/>
      <c r="CT15" s="25"/>
      <c r="CU15" s="24"/>
      <c r="CV15" s="23">
        <v>207</v>
      </c>
      <c r="CW15" s="24"/>
      <c r="CX15" s="25"/>
      <c r="CY15" s="24"/>
      <c r="CZ15" s="23">
        <v>207</v>
      </c>
      <c r="DA15" s="24"/>
      <c r="DB15" s="25"/>
      <c r="DC15" s="24"/>
      <c r="DD15" s="23">
        <v>207</v>
      </c>
      <c r="DE15" s="24"/>
      <c r="DF15" s="25"/>
      <c r="DG15" s="24"/>
      <c r="DH15" s="23">
        <v>207</v>
      </c>
      <c r="DI15" s="24"/>
      <c r="DJ15" s="25"/>
      <c r="DK15" s="24"/>
      <c r="DL15" s="23">
        <v>207</v>
      </c>
      <c r="DM15" s="24"/>
      <c r="DN15" s="25"/>
      <c r="DO15" s="24"/>
      <c r="DP15" s="340"/>
      <c r="DQ15" s="32">
        <f t="shared" si="7"/>
        <v>2484</v>
      </c>
      <c r="DR15" s="32" t="e">
        <f>SUMPRODUCT(--(MOD(COLUMN(BT15:CQ15),4)=MOD(COLUMN(BT15),4)),BT15:CQ15)*#REF!+SUMPRODUCT(--(MOD(COLUMN(CR15:DO15),4)=MOD(COLUMN(CR15),4)),CR15:DO15)*#REF!</f>
        <v>#REF!</v>
      </c>
      <c r="DS15" s="362"/>
      <c r="DT15" s="11"/>
      <c r="DU15" s="23">
        <v>414</v>
      </c>
      <c r="DV15" s="24"/>
      <c r="DW15" s="25"/>
      <c r="DX15" s="24"/>
      <c r="DY15" s="23">
        <v>414</v>
      </c>
      <c r="DZ15" s="24"/>
      <c r="EA15" s="25"/>
      <c r="EB15" s="24"/>
      <c r="EC15" s="23">
        <v>414</v>
      </c>
      <c r="ED15" s="24"/>
      <c r="EE15" s="25"/>
      <c r="EF15" s="24"/>
      <c r="EG15" s="23">
        <v>414</v>
      </c>
      <c r="EH15" s="24"/>
      <c r="EI15" s="25"/>
      <c r="EJ15" s="24"/>
      <c r="EK15" s="23">
        <v>414</v>
      </c>
      <c r="EL15" s="24"/>
      <c r="EM15" s="25"/>
      <c r="EN15" s="24"/>
      <c r="EO15" s="23">
        <v>414</v>
      </c>
      <c r="EP15" s="24"/>
      <c r="EQ15" s="25"/>
      <c r="ER15" s="24"/>
      <c r="ES15" s="23">
        <v>414</v>
      </c>
      <c r="ET15" s="24"/>
      <c r="EU15" s="25"/>
      <c r="EV15" s="24"/>
      <c r="EW15" s="23">
        <v>414</v>
      </c>
      <c r="EX15" s="24"/>
      <c r="EY15" s="25"/>
      <c r="EZ15" s="24"/>
      <c r="FA15" s="23">
        <v>414</v>
      </c>
      <c r="FB15" s="24"/>
      <c r="FC15" s="25"/>
      <c r="FD15" s="24"/>
      <c r="FE15" s="23">
        <v>414</v>
      </c>
      <c r="FF15" s="24"/>
      <c r="FG15" s="25"/>
      <c r="FH15" s="24"/>
      <c r="FI15" s="23">
        <v>414</v>
      </c>
      <c r="FJ15" s="24"/>
      <c r="FK15" s="25"/>
      <c r="FL15" s="24"/>
      <c r="FM15" s="23">
        <v>414</v>
      </c>
      <c r="FN15" s="24"/>
      <c r="FO15" s="25"/>
      <c r="FP15" s="24"/>
      <c r="FQ15" s="340"/>
      <c r="FR15" s="32">
        <f t="shared" si="8"/>
        <v>4968</v>
      </c>
      <c r="FS15" s="32" t="e">
        <f>SUMPRODUCT(--(MOD(COLUMN(DU15:ER15),4)=MOD(COLUMN(DU15),4)),DU15:ER15)*#REF!+SUMPRODUCT(--(MOD(COLUMN(ES15:FP15),4)=MOD(COLUMN(ES15),4)),ES15:FP15)*#REF!</f>
        <v>#REF!</v>
      </c>
      <c r="FT15" s="360"/>
    </row>
    <row r="16" spans="1:176" s="14" customFormat="1" outlineLevel="2">
      <c r="A16" s="15" t="s">
        <v>476</v>
      </c>
      <c r="B16" s="16" t="s">
        <v>44</v>
      </c>
      <c r="C16" s="15" t="s">
        <v>31</v>
      </c>
      <c r="D16" s="15" t="s">
        <v>32</v>
      </c>
      <c r="E16" s="17">
        <f>IF(ISBLANK(G16),"",IF($A$6:$A$64=$A16,COUNTIF($A$6:A16,$A16),""))</f>
        <v>2</v>
      </c>
      <c r="F16" s="17">
        <v>1</v>
      </c>
      <c r="G16" s="33">
        <v>6402250570</v>
      </c>
      <c r="H16" s="410" t="s">
        <v>411</v>
      </c>
      <c r="I16" s="625">
        <f>I15</f>
        <v>1750</v>
      </c>
      <c r="J16" s="20"/>
      <c r="K16" s="20"/>
      <c r="L16" s="20" t="str">
        <f t="shared" si="0"/>
        <v/>
      </c>
      <c r="M16" s="11"/>
      <c r="N16" s="363">
        <f t="shared" si="9"/>
        <v>0</v>
      </c>
      <c r="O16" s="23"/>
      <c r="P16" s="24"/>
      <c r="Q16" s="25"/>
      <c r="R16" s="24"/>
      <c r="S16" s="23"/>
      <c r="T16" s="24"/>
      <c r="U16" s="25">
        <v>0</v>
      </c>
      <c r="V16" s="24"/>
      <c r="W16" s="23"/>
      <c r="X16" s="24"/>
      <c r="Y16" s="25"/>
      <c r="Z16" s="24"/>
      <c r="AA16" s="23"/>
      <c r="AB16" s="24"/>
      <c r="AC16" s="25"/>
      <c r="AD16" s="24"/>
      <c r="AE16" s="23"/>
      <c r="AF16" s="24"/>
      <c r="AG16" s="25"/>
      <c r="AH16" s="24"/>
      <c r="AI16" s="23"/>
      <c r="AJ16" s="24"/>
      <c r="AK16" s="25"/>
      <c r="AL16" s="24"/>
      <c r="AM16" s="23"/>
      <c r="AN16" s="24"/>
      <c r="AO16" s="25"/>
      <c r="AP16" s="24"/>
      <c r="AQ16" s="23"/>
      <c r="AR16" s="24"/>
      <c r="AS16" s="25"/>
      <c r="AT16" s="24"/>
      <c r="AU16" s="23"/>
      <c r="AV16" s="24"/>
      <c r="AW16" s="25"/>
      <c r="AX16" s="24"/>
      <c r="AY16" s="23"/>
      <c r="AZ16" s="24"/>
      <c r="BA16" s="25"/>
      <c r="BB16" s="24"/>
      <c r="BC16" s="23"/>
      <c r="BD16" s="24"/>
      <c r="BE16" s="25"/>
      <c r="BF16" s="24"/>
      <c r="BG16" s="23"/>
      <c r="BH16" s="24"/>
      <c r="BI16" s="25"/>
      <c r="BJ16" s="24"/>
      <c r="BK16" s="340"/>
      <c r="BL16" s="32">
        <f t="shared" si="1"/>
        <v>0</v>
      </c>
      <c r="BM16" s="466">
        <f t="shared" si="2"/>
        <v>0</v>
      </c>
      <c r="BN16" s="28">
        <f t="shared" si="3"/>
        <v>0</v>
      </c>
      <c r="BO16" s="29">
        <f t="shared" si="4"/>
        <v>0</v>
      </c>
      <c r="BP16" s="30">
        <f t="shared" si="5"/>
        <v>0</v>
      </c>
      <c r="BQ16" s="31">
        <f t="shared" si="6"/>
        <v>0</v>
      </c>
      <c r="BR16" s="362"/>
      <c r="BS16" s="11"/>
      <c r="BT16" s="23">
        <v>207</v>
      </c>
      <c r="BU16" s="24"/>
      <c r="BV16" s="25"/>
      <c r="BW16" s="24"/>
      <c r="BX16" s="23">
        <v>207</v>
      </c>
      <c r="BY16" s="24"/>
      <c r="BZ16" s="25"/>
      <c r="CA16" s="24"/>
      <c r="CB16" s="23">
        <v>207</v>
      </c>
      <c r="CC16" s="24"/>
      <c r="CD16" s="25"/>
      <c r="CE16" s="24"/>
      <c r="CF16" s="23">
        <v>207</v>
      </c>
      <c r="CG16" s="24"/>
      <c r="CH16" s="25"/>
      <c r="CI16" s="24"/>
      <c r="CJ16" s="23">
        <v>207</v>
      </c>
      <c r="CK16" s="24"/>
      <c r="CL16" s="25"/>
      <c r="CM16" s="24"/>
      <c r="CN16" s="23">
        <v>207</v>
      </c>
      <c r="CO16" s="24"/>
      <c r="CP16" s="25"/>
      <c r="CQ16" s="24"/>
      <c r="CR16" s="23">
        <v>207</v>
      </c>
      <c r="CS16" s="24"/>
      <c r="CT16" s="25"/>
      <c r="CU16" s="24"/>
      <c r="CV16" s="23">
        <v>207</v>
      </c>
      <c r="CW16" s="24"/>
      <c r="CX16" s="25"/>
      <c r="CY16" s="24"/>
      <c r="CZ16" s="23">
        <v>207</v>
      </c>
      <c r="DA16" s="24"/>
      <c r="DB16" s="25"/>
      <c r="DC16" s="24"/>
      <c r="DD16" s="23">
        <v>207</v>
      </c>
      <c r="DE16" s="24"/>
      <c r="DF16" s="25"/>
      <c r="DG16" s="24"/>
      <c r="DH16" s="23">
        <v>207</v>
      </c>
      <c r="DI16" s="24"/>
      <c r="DJ16" s="25"/>
      <c r="DK16" s="24"/>
      <c r="DL16" s="23">
        <v>207</v>
      </c>
      <c r="DM16" s="24"/>
      <c r="DN16" s="25"/>
      <c r="DO16" s="24"/>
      <c r="DP16" s="340"/>
      <c r="DQ16" s="32">
        <f t="shared" si="7"/>
        <v>2484</v>
      </c>
      <c r="DR16" s="32" t="e">
        <f>SUMPRODUCT(--(MOD(COLUMN(BT16:CQ16),4)=MOD(COLUMN(BT16),4)),BT16:CQ16)*#REF!+SUMPRODUCT(--(MOD(COLUMN(CR16:DO16),4)=MOD(COLUMN(CR16),4)),CR16:DO16)*#REF!</f>
        <v>#REF!</v>
      </c>
      <c r="DS16" s="362"/>
      <c r="DT16" s="11"/>
      <c r="DU16" s="23">
        <v>414</v>
      </c>
      <c r="DV16" s="24"/>
      <c r="DW16" s="25"/>
      <c r="DX16" s="24"/>
      <c r="DY16" s="23">
        <v>414</v>
      </c>
      <c r="DZ16" s="24"/>
      <c r="EA16" s="25"/>
      <c r="EB16" s="24"/>
      <c r="EC16" s="23">
        <v>414</v>
      </c>
      <c r="ED16" s="24"/>
      <c r="EE16" s="25"/>
      <c r="EF16" s="24"/>
      <c r="EG16" s="23">
        <v>414</v>
      </c>
      <c r="EH16" s="24"/>
      <c r="EI16" s="25"/>
      <c r="EJ16" s="24"/>
      <c r="EK16" s="23">
        <v>414</v>
      </c>
      <c r="EL16" s="24"/>
      <c r="EM16" s="25"/>
      <c r="EN16" s="24"/>
      <c r="EO16" s="23">
        <v>414</v>
      </c>
      <c r="EP16" s="24"/>
      <c r="EQ16" s="25"/>
      <c r="ER16" s="24"/>
      <c r="ES16" s="23">
        <v>414</v>
      </c>
      <c r="ET16" s="24"/>
      <c r="EU16" s="25"/>
      <c r="EV16" s="24"/>
      <c r="EW16" s="23">
        <v>414</v>
      </c>
      <c r="EX16" s="24"/>
      <c r="EY16" s="25"/>
      <c r="EZ16" s="24"/>
      <c r="FA16" s="23">
        <v>414</v>
      </c>
      <c r="FB16" s="24"/>
      <c r="FC16" s="25"/>
      <c r="FD16" s="24"/>
      <c r="FE16" s="23">
        <v>414</v>
      </c>
      <c r="FF16" s="24"/>
      <c r="FG16" s="25"/>
      <c r="FH16" s="24"/>
      <c r="FI16" s="23">
        <v>414</v>
      </c>
      <c r="FJ16" s="24"/>
      <c r="FK16" s="25"/>
      <c r="FL16" s="24"/>
      <c r="FM16" s="23">
        <v>414</v>
      </c>
      <c r="FN16" s="24"/>
      <c r="FO16" s="25"/>
      <c r="FP16" s="24"/>
      <c r="FQ16" s="340"/>
      <c r="FR16" s="32">
        <f t="shared" si="8"/>
        <v>4968</v>
      </c>
      <c r="FS16" s="32" t="e">
        <f>SUMPRODUCT(--(MOD(COLUMN(DU16:ER16),4)=MOD(COLUMN(DU16),4)),DU16:ER16)*#REF!+SUMPRODUCT(--(MOD(COLUMN(ES16:FP16),4)=MOD(COLUMN(ES16),4)),ES16:FP16)*#REF!</f>
        <v>#REF!</v>
      </c>
      <c r="FT16" s="360"/>
    </row>
    <row r="17" spans="1:176" s="14" customFormat="1" outlineLevel="2">
      <c r="A17" s="15" t="s">
        <v>476</v>
      </c>
      <c r="B17" s="16" t="s">
        <v>44</v>
      </c>
      <c r="C17" s="15" t="s">
        <v>31</v>
      </c>
      <c r="D17" s="15" t="s">
        <v>32</v>
      </c>
      <c r="E17" s="17">
        <f>IF(ISBLANK(G17),"",IF($A$6:$A$64=$A17,COUNTIF($A$6:A17,$A17),""))</f>
        <v>3</v>
      </c>
      <c r="F17" s="17">
        <v>1</v>
      </c>
      <c r="G17" s="33">
        <v>4410328080</v>
      </c>
      <c r="H17" s="18" t="s">
        <v>45</v>
      </c>
      <c r="I17" s="627">
        <f>84/НДС_20</f>
        <v>70</v>
      </c>
      <c r="J17" s="20"/>
      <c r="K17" s="20"/>
      <c r="L17" s="20" t="str">
        <f t="shared" si="0"/>
        <v/>
      </c>
      <c r="M17" s="11"/>
      <c r="N17" s="363">
        <f t="shared" si="9"/>
        <v>0</v>
      </c>
      <c r="O17" s="23"/>
      <c r="P17" s="24"/>
      <c r="Q17" s="25"/>
      <c r="R17" s="24"/>
      <c r="S17" s="23"/>
      <c r="T17" s="24"/>
      <c r="U17" s="25">
        <v>0</v>
      </c>
      <c r="V17" s="24"/>
      <c r="W17" s="23"/>
      <c r="X17" s="24"/>
      <c r="Y17" s="25"/>
      <c r="Z17" s="24"/>
      <c r="AA17" s="23"/>
      <c r="AB17" s="24"/>
      <c r="AC17" s="25"/>
      <c r="AD17" s="24"/>
      <c r="AE17" s="23"/>
      <c r="AF17" s="24"/>
      <c r="AG17" s="25"/>
      <c r="AH17" s="24"/>
      <c r="AI17" s="23"/>
      <c r="AJ17" s="24"/>
      <c r="AK17" s="25"/>
      <c r="AL17" s="24"/>
      <c r="AM17" s="23"/>
      <c r="AN17" s="24"/>
      <c r="AO17" s="25"/>
      <c r="AP17" s="24"/>
      <c r="AQ17" s="23"/>
      <c r="AR17" s="24"/>
      <c r="AS17" s="25"/>
      <c r="AT17" s="24"/>
      <c r="AU17" s="23"/>
      <c r="AV17" s="24"/>
      <c r="AW17" s="25"/>
      <c r="AX17" s="24"/>
      <c r="AY17" s="23"/>
      <c r="AZ17" s="24"/>
      <c r="BA17" s="25"/>
      <c r="BB17" s="24"/>
      <c r="BC17" s="23"/>
      <c r="BD17" s="24"/>
      <c r="BE17" s="25"/>
      <c r="BF17" s="24"/>
      <c r="BG17" s="23"/>
      <c r="BH17" s="24"/>
      <c r="BI17" s="25"/>
      <c r="BJ17" s="24"/>
      <c r="BK17" s="340"/>
      <c r="BL17" s="32">
        <f t="shared" si="1"/>
        <v>0</v>
      </c>
      <c r="BM17" s="466">
        <f t="shared" si="2"/>
        <v>0</v>
      </c>
      <c r="BN17" s="28">
        <f t="shared" si="3"/>
        <v>0</v>
      </c>
      <c r="BO17" s="29">
        <f t="shared" si="4"/>
        <v>0</v>
      </c>
      <c r="BP17" s="30">
        <f t="shared" si="5"/>
        <v>0</v>
      </c>
      <c r="BQ17" s="31">
        <f t="shared" si="6"/>
        <v>0</v>
      </c>
      <c r="BR17" s="362"/>
      <c r="BS17" s="11"/>
      <c r="BT17" s="23">
        <v>138</v>
      </c>
      <c r="BU17" s="24"/>
      <c r="BV17" s="25"/>
      <c r="BW17" s="24"/>
      <c r="BX17" s="23">
        <v>138</v>
      </c>
      <c r="BY17" s="24"/>
      <c r="BZ17" s="25"/>
      <c r="CA17" s="24"/>
      <c r="CB17" s="23">
        <v>138</v>
      </c>
      <c r="CC17" s="24"/>
      <c r="CD17" s="25"/>
      <c r="CE17" s="24"/>
      <c r="CF17" s="23">
        <v>138</v>
      </c>
      <c r="CG17" s="24"/>
      <c r="CH17" s="25"/>
      <c r="CI17" s="24"/>
      <c r="CJ17" s="23">
        <v>138</v>
      </c>
      <c r="CK17" s="24"/>
      <c r="CL17" s="25"/>
      <c r="CM17" s="24"/>
      <c r="CN17" s="23">
        <v>138</v>
      </c>
      <c r="CO17" s="24"/>
      <c r="CP17" s="25"/>
      <c r="CQ17" s="24"/>
      <c r="CR17" s="23">
        <v>138</v>
      </c>
      <c r="CS17" s="24"/>
      <c r="CT17" s="25"/>
      <c r="CU17" s="24"/>
      <c r="CV17" s="23">
        <v>138</v>
      </c>
      <c r="CW17" s="24"/>
      <c r="CX17" s="25"/>
      <c r="CY17" s="24"/>
      <c r="CZ17" s="23">
        <v>138</v>
      </c>
      <c r="DA17" s="24"/>
      <c r="DB17" s="25"/>
      <c r="DC17" s="24"/>
      <c r="DD17" s="23">
        <v>138</v>
      </c>
      <c r="DE17" s="24"/>
      <c r="DF17" s="25"/>
      <c r="DG17" s="24"/>
      <c r="DH17" s="23">
        <v>138</v>
      </c>
      <c r="DI17" s="24"/>
      <c r="DJ17" s="25"/>
      <c r="DK17" s="24"/>
      <c r="DL17" s="23">
        <v>138</v>
      </c>
      <c r="DM17" s="24"/>
      <c r="DN17" s="25"/>
      <c r="DO17" s="24"/>
      <c r="DP17" s="340"/>
      <c r="DQ17" s="32">
        <f>SUMPRODUCT(--(MOD(COLUMN(BT17:CQ17),4)=MOD(COLUMN(BT17),4)),BT17:CQ17)+SUMPRODUCT(--(MOD(COLUMN(CR17:DO17),4)=MOD(COLUMN(CR17),4)),CR17:DO17)</f>
        <v>1656</v>
      </c>
      <c r="DR17" s="32" t="e">
        <f>SUMPRODUCT(--(MOD(COLUMN(BT17:CQ17),4)=MOD(COLUMN(BT17),4)),BT17:CQ17)*#REF!+SUMPRODUCT(--(MOD(COLUMN(CR17:DO17),4)=MOD(COLUMN(CR17),4)),CR17:DO17)*#REF!</f>
        <v>#REF!</v>
      </c>
      <c r="DS17" s="362"/>
      <c r="DT17" s="11"/>
      <c r="DU17" s="23">
        <v>276</v>
      </c>
      <c r="DV17" s="24"/>
      <c r="DW17" s="25"/>
      <c r="DX17" s="24"/>
      <c r="DY17" s="23">
        <v>276</v>
      </c>
      <c r="DZ17" s="24"/>
      <c r="EA17" s="25"/>
      <c r="EB17" s="24"/>
      <c r="EC17" s="23">
        <v>276</v>
      </c>
      <c r="ED17" s="24"/>
      <c r="EE17" s="25"/>
      <c r="EF17" s="24"/>
      <c r="EG17" s="23">
        <v>276</v>
      </c>
      <c r="EH17" s="24"/>
      <c r="EI17" s="25"/>
      <c r="EJ17" s="24"/>
      <c r="EK17" s="23">
        <v>276</v>
      </c>
      <c r="EL17" s="24"/>
      <c r="EM17" s="25"/>
      <c r="EN17" s="24"/>
      <c r="EO17" s="23">
        <v>276</v>
      </c>
      <c r="EP17" s="24"/>
      <c r="EQ17" s="25"/>
      <c r="ER17" s="24"/>
      <c r="ES17" s="23">
        <v>276</v>
      </c>
      <c r="ET17" s="24"/>
      <c r="EU17" s="25"/>
      <c r="EV17" s="24"/>
      <c r="EW17" s="23">
        <v>276</v>
      </c>
      <c r="EX17" s="24"/>
      <c r="EY17" s="25"/>
      <c r="EZ17" s="24"/>
      <c r="FA17" s="23">
        <v>276</v>
      </c>
      <c r="FB17" s="24"/>
      <c r="FC17" s="25"/>
      <c r="FD17" s="24"/>
      <c r="FE17" s="23">
        <v>276</v>
      </c>
      <c r="FF17" s="24"/>
      <c r="FG17" s="25"/>
      <c r="FH17" s="24"/>
      <c r="FI17" s="23">
        <v>276</v>
      </c>
      <c r="FJ17" s="24"/>
      <c r="FK17" s="25"/>
      <c r="FL17" s="24"/>
      <c r="FM17" s="23">
        <v>276</v>
      </c>
      <c r="FN17" s="24"/>
      <c r="FO17" s="25"/>
      <c r="FP17" s="24"/>
      <c r="FQ17" s="340"/>
      <c r="FR17" s="32">
        <f>SUMPRODUCT(--(MOD(COLUMN(DU17:ER17),4)=MOD(COLUMN(DU17),4)),DU17:ER17)+SUMPRODUCT(--(MOD(COLUMN(ES17:FP17),4)=MOD(COLUMN(ES17),4)),ES17:FP17)</f>
        <v>3312</v>
      </c>
      <c r="FS17" s="32" t="e">
        <f>SUMPRODUCT(--(MOD(COLUMN(DU17:ER17),4)=MOD(COLUMN(DU17),4)),DU17:ER17)*#REF!+SUMPRODUCT(--(MOD(COLUMN(ES17:FP17),4)=MOD(COLUMN(ES17),4)),ES17:FP17)*#REF!</f>
        <v>#REF!</v>
      </c>
      <c r="FT17" s="360"/>
    </row>
    <row r="18" spans="1:176" s="14" customFormat="1" outlineLevel="2">
      <c r="A18" s="15" t="s">
        <v>476</v>
      </c>
      <c r="B18" s="16" t="s">
        <v>44</v>
      </c>
      <c r="C18" s="15" t="s">
        <v>31</v>
      </c>
      <c r="D18" s="15" t="s">
        <v>32</v>
      </c>
      <c r="E18" s="17">
        <f>IF(ISBLANK(G18),"",IF($A$6:$A$64=$A18,COUNTIF($A$6:A18,$A18),""))</f>
        <v>4</v>
      </c>
      <c r="F18" s="17">
        <v>1</v>
      </c>
      <c r="G18" s="33">
        <v>8997598154</v>
      </c>
      <c r="H18" s="18" t="s">
        <v>46</v>
      </c>
      <c r="I18" s="625">
        <f>8.4/НДС_20</f>
        <v>7.0000000000000009</v>
      </c>
      <c r="J18" s="20"/>
      <c r="K18" s="20"/>
      <c r="L18" s="20" t="str">
        <f t="shared" si="0"/>
        <v/>
      </c>
      <c r="M18" s="11"/>
      <c r="N18" s="363">
        <f t="shared" si="9"/>
        <v>0</v>
      </c>
      <c r="O18" s="23"/>
      <c r="P18" s="24"/>
      <c r="Q18" s="25"/>
      <c r="R18" s="24"/>
      <c r="S18" s="23"/>
      <c r="T18" s="24"/>
      <c r="U18" s="25">
        <v>0</v>
      </c>
      <c r="V18" s="24"/>
      <c r="W18" s="23"/>
      <c r="X18" s="24"/>
      <c r="Y18" s="25"/>
      <c r="Z18" s="24"/>
      <c r="AA18" s="23"/>
      <c r="AB18" s="24"/>
      <c r="AC18" s="25"/>
      <c r="AD18" s="24"/>
      <c r="AE18" s="23"/>
      <c r="AF18" s="24"/>
      <c r="AG18" s="25"/>
      <c r="AH18" s="24"/>
      <c r="AI18" s="23"/>
      <c r="AJ18" s="24"/>
      <c r="AK18" s="25"/>
      <c r="AL18" s="24"/>
      <c r="AM18" s="23"/>
      <c r="AN18" s="24"/>
      <c r="AO18" s="25"/>
      <c r="AP18" s="24"/>
      <c r="AQ18" s="23"/>
      <c r="AR18" s="24"/>
      <c r="AS18" s="25"/>
      <c r="AT18" s="24"/>
      <c r="AU18" s="23"/>
      <c r="AV18" s="24"/>
      <c r="AW18" s="25"/>
      <c r="AX18" s="24"/>
      <c r="AY18" s="23"/>
      <c r="AZ18" s="24"/>
      <c r="BA18" s="25"/>
      <c r="BB18" s="24"/>
      <c r="BC18" s="23"/>
      <c r="BD18" s="24"/>
      <c r="BE18" s="25"/>
      <c r="BF18" s="24"/>
      <c r="BG18" s="23"/>
      <c r="BH18" s="24"/>
      <c r="BI18" s="25"/>
      <c r="BJ18" s="24"/>
      <c r="BK18" s="340"/>
      <c r="BL18" s="32">
        <f t="shared" si="1"/>
        <v>0</v>
      </c>
      <c r="BM18" s="466">
        <f t="shared" si="2"/>
        <v>0</v>
      </c>
      <c r="BN18" s="28">
        <f t="shared" si="3"/>
        <v>0</v>
      </c>
      <c r="BO18" s="29">
        <f t="shared" si="4"/>
        <v>0</v>
      </c>
      <c r="BP18" s="30">
        <f t="shared" si="5"/>
        <v>0</v>
      </c>
      <c r="BQ18" s="31">
        <f t="shared" si="6"/>
        <v>0</v>
      </c>
      <c r="BR18" s="362"/>
      <c r="BS18" s="11"/>
      <c r="BT18" s="23">
        <v>138</v>
      </c>
      <c r="BU18" s="24"/>
      <c r="BV18" s="25"/>
      <c r="BW18" s="24"/>
      <c r="BX18" s="23">
        <v>138</v>
      </c>
      <c r="BY18" s="24"/>
      <c r="BZ18" s="25"/>
      <c r="CA18" s="24"/>
      <c r="CB18" s="23">
        <v>138</v>
      </c>
      <c r="CC18" s="24"/>
      <c r="CD18" s="25"/>
      <c r="CE18" s="24"/>
      <c r="CF18" s="23">
        <v>138</v>
      </c>
      <c r="CG18" s="24"/>
      <c r="CH18" s="25"/>
      <c r="CI18" s="24"/>
      <c r="CJ18" s="23">
        <v>138</v>
      </c>
      <c r="CK18" s="24"/>
      <c r="CL18" s="25"/>
      <c r="CM18" s="24"/>
      <c r="CN18" s="23">
        <v>138</v>
      </c>
      <c r="CO18" s="24"/>
      <c r="CP18" s="25"/>
      <c r="CQ18" s="24"/>
      <c r="CR18" s="23">
        <v>138</v>
      </c>
      <c r="CS18" s="24"/>
      <c r="CT18" s="25"/>
      <c r="CU18" s="24"/>
      <c r="CV18" s="23">
        <v>138</v>
      </c>
      <c r="CW18" s="24"/>
      <c r="CX18" s="25"/>
      <c r="CY18" s="24"/>
      <c r="CZ18" s="23">
        <v>138</v>
      </c>
      <c r="DA18" s="24"/>
      <c r="DB18" s="25"/>
      <c r="DC18" s="24"/>
      <c r="DD18" s="23">
        <v>138</v>
      </c>
      <c r="DE18" s="24"/>
      <c r="DF18" s="25"/>
      <c r="DG18" s="24"/>
      <c r="DH18" s="23">
        <v>138</v>
      </c>
      <c r="DI18" s="24"/>
      <c r="DJ18" s="25"/>
      <c r="DK18" s="24"/>
      <c r="DL18" s="23">
        <v>138</v>
      </c>
      <c r="DM18" s="24"/>
      <c r="DN18" s="25"/>
      <c r="DO18" s="24"/>
      <c r="DP18" s="340"/>
      <c r="DQ18" s="32">
        <f>SUMPRODUCT(--(MOD(COLUMN(BT18:CQ18),4)=MOD(COLUMN(BT18),4)),BT18:CQ18)+SUMPRODUCT(--(MOD(COLUMN(CR18:DO18),4)=MOD(COLUMN(CR18),4)),CR18:DO18)</f>
        <v>1656</v>
      </c>
      <c r="DR18" s="32" t="e">
        <f>SUMPRODUCT(--(MOD(COLUMN(BT18:CQ18),4)=MOD(COLUMN(BT18),4)),BT18:CQ18)*#REF!+SUMPRODUCT(--(MOD(COLUMN(CR18:DO18),4)=MOD(COLUMN(CR18),4)),CR18:DO18)*#REF!</f>
        <v>#REF!</v>
      </c>
      <c r="DS18" s="362"/>
      <c r="DT18" s="11"/>
      <c r="DU18" s="23">
        <v>276</v>
      </c>
      <c r="DV18" s="24"/>
      <c r="DW18" s="25"/>
      <c r="DX18" s="24"/>
      <c r="DY18" s="23">
        <v>276</v>
      </c>
      <c r="DZ18" s="24"/>
      <c r="EA18" s="25"/>
      <c r="EB18" s="24"/>
      <c r="EC18" s="23">
        <v>276</v>
      </c>
      <c r="ED18" s="24"/>
      <c r="EE18" s="25"/>
      <c r="EF18" s="24"/>
      <c r="EG18" s="23">
        <v>276</v>
      </c>
      <c r="EH18" s="24"/>
      <c r="EI18" s="25"/>
      <c r="EJ18" s="24"/>
      <c r="EK18" s="23">
        <v>276</v>
      </c>
      <c r="EL18" s="24"/>
      <c r="EM18" s="25"/>
      <c r="EN18" s="24"/>
      <c r="EO18" s="23">
        <v>276</v>
      </c>
      <c r="EP18" s="24"/>
      <c r="EQ18" s="25"/>
      <c r="ER18" s="24"/>
      <c r="ES18" s="23">
        <v>276</v>
      </c>
      <c r="ET18" s="24"/>
      <c r="EU18" s="25"/>
      <c r="EV18" s="24"/>
      <c r="EW18" s="23">
        <v>276</v>
      </c>
      <c r="EX18" s="24"/>
      <c r="EY18" s="25"/>
      <c r="EZ18" s="24"/>
      <c r="FA18" s="23">
        <v>276</v>
      </c>
      <c r="FB18" s="24"/>
      <c r="FC18" s="25"/>
      <c r="FD18" s="24"/>
      <c r="FE18" s="23">
        <v>276</v>
      </c>
      <c r="FF18" s="24"/>
      <c r="FG18" s="25"/>
      <c r="FH18" s="24"/>
      <c r="FI18" s="23">
        <v>276</v>
      </c>
      <c r="FJ18" s="24"/>
      <c r="FK18" s="25"/>
      <c r="FL18" s="24"/>
      <c r="FM18" s="23">
        <v>276</v>
      </c>
      <c r="FN18" s="24"/>
      <c r="FO18" s="25"/>
      <c r="FP18" s="24"/>
      <c r="FQ18" s="340"/>
      <c r="FR18" s="32">
        <f>SUMPRODUCT(--(MOD(COLUMN(DU18:ER18),4)=MOD(COLUMN(DU18),4)),DU18:ER18)+SUMPRODUCT(--(MOD(COLUMN(ES18:FP18),4)=MOD(COLUMN(ES18),4)),ES18:FP18)</f>
        <v>3312</v>
      </c>
      <c r="FS18" s="32" t="e">
        <f>SUMPRODUCT(--(MOD(COLUMN(DU18:ER18),4)=MOD(COLUMN(DU18),4)),DU18:ER18)*#REF!+SUMPRODUCT(--(MOD(COLUMN(ES18:FP18),4)=MOD(COLUMN(ES18),4)),ES18:FP18)*#REF!</f>
        <v>#REF!</v>
      </c>
      <c r="FT18" s="360"/>
    </row>
    <row r="19" spans="1:176" s="14" customFormat="1" outlineLevel="2">
      <c r="A19" s="15" t="s">
        <v>476</v>
      </c>
      <c r="B19" s="16" t="s">
        <v>44</v>
      </c>
      <c r="C19" s="15" t="s">
        <v>31</v>
      </c>
      <c r="D19" s="15" t="s">
        <v>32</v>
      </c>
      <c r="E19" s="17">
        <f>IF(ISBLANK(G19),"",IF($A$6:$A$64=$A19,COUNTIF($A$6:A19,$A19),""))</f>
        <v>5</v>
      </c>
      <c r="F19" s="17">
        <v>1</v>
      </c>
      <c r="G19" s="33">
        <v>4235041001</v>
      </c>
      <c r="H19" s="18" t="s">
        <v>37</v>
      </c>
      <c r="I19" s="625">
        <f>163.08/НДС_20</f>
        <v>135.9</v>
      </c>
      <c r="J19" s="20"/>
      <c r="K19" s="20"/>
      <c r="L19" s="20" t="str">
        <f t="shared" si="0"/>
        <v/>
      </c>
      <c r="M19" s="11"/>
      <c r="N19" s="363">
        <f t="shared" si="9"/>
        <v>0</v>
      </c>
      <c r="O19" s="23"/>
      <c r="P19" s="24"/>
      <c r="Q19" s="25"/>
      <c r="R19" s="24"/>
      <c r="S19" s="23"/>
      <c r="T19" s="24"/>
      <c r="U19" s="25">
        <v>0</v>
      </c>
      <c r="V19" s="24"/>
      <c r="W19" s="23"/>
      <c r="X19" s="24"/>
      <c r="Y19" s="25"/>
      <c r="Z19" s="24"/>
      <c r="AA19" s="23"/>
      <c r="AB19" s="24"/>
      <c r="AC19" s="25"/>
      <c r="AD19" s="24"/>
      <c r="AE19" s="23"/>
      <c r="AF19" s="24"/>
      <c r="AG19" s="25"/>
      <c r="AH19" s="24"/>
      <c r="AI19" s="23"/>
      <c r="AJ19" s="24"/>
      <c r="AK19" s="25"/>
      <c r="AL19" s="24"/>
      <c r="AM19" s="23"/>
      <c r="AN19" s="24"/>
      <c r="AO19" s="25"/>
      <c r="AP19" s="24"/>
      <c r="AQ19" s="23"/>
      <c r="AR19" s="24"/>
      <c r="AS19" s="25"/>
      <c r="AT19" s="24"/>
      <c r="AU19" s="23"/>
      <c r="AV19" s="24"/>
      <c r="AW19" s="25"/>
      <c r="AX19" s="24"/>
      <c r="AY19" s="23"/>
      <c r="AZ19" s="24"/>
      <c r="BA19" s="25"/>
      <c r="BB19" s="24"/>
      <c r="BC19" s="23"/>
      <c r="BD19" s="24"/>
      <c r="BE19" s="25"/>
      <c r="BF19" s="24"/>
      <c r="BG19" s="23"/>
      <c r="BH19" s="24"/>
      <c r="BI19" s="25"/>
      <c r="BJ19" s="24"/>
      <c r="BK19" s="340"/>
      <c r="BL19" s="32">
        <f t="shared" si="1"/>
        <v>0</v>
      </c>
      <c r="BM19" s="466">
        <f t="shared" si="2"/>
        <v>0</v>
      </c>
      <c r="BN19" s="28">
        <f t="shared" si="3"/>
        <v>0</v>
      </c>
      <c r="BO19" s="29">
        <f t="shared" si="4"/>
        <v>0</v>
      </c>
      <c r="BP19" s="30">
        <f t="shared" si="5"/>
        <v>0</v>
      </c>
      <c r="BQ19" s="31">
        <f t="shared" si="6"/>
        <v>0</v>
      </c>
      <c r="BR19" s="362"/>
      <c r="BS19" s="11"/>
      <c r="BT19" s="23">
        <v>138</v>
      </c>
      <c r="BU19" s="24"/>
      <c r="BV19" s="25"/>
      <c r="BW19" s="24"/>
      <c r="BX19" s="23">
        <v>138</v>
      </c>
      <c r="BY19" s="24"/>
      <c r="BZ19" s="25"/>
      <c r="CA19" s="24"/>
      <c r="CB19" s="23">
        <v>138</v>
      </c>
      <c r="CC19" s="24"/>
      <c r="CD19" s="25"/>
      <c r="CE19" s="24"/>
      <c r="CF19" s="23">
        <v>138</v>
      </c>
      <c r="CG19" s="24"/>
      <c r="CH19" s="25"/>
      <c r="CI19" s="24"/>
      <c r="CJ19" s="23">
        <v>138</v>
      </c>
      <c r="CK19" s="24"/>
      <c r="CL19" s="25"/>
      <c r="CM19" s="24"/>
      <c r="CN19" s="23">
        <v>138</v>
      </c>
      <c r="CO19" s="24"/>
      <c r="CP19" s="25"/>
      <c r="CQ19" s="24"/>
      <c r="CR19" s="23">
        <v>138</v>
      </c>
      <c r="CS19" s="24"/>
      <c r="CT19" s="25"/>
      <c r="CU19" s="24"/>
      <c r="CV19" s="23">
        <v>138</v>
      </c>
      <c r="CW19" s="24"/>
      <c r="CX19" s="25"/>
      <c r="CY19" s="24"/>
      <c r="CZ19" s="23">
        <v>138</v>
      </c>
      <c r="DA19" s="24"/>
      <c r="DB19" s="25"/>
      <c r="DC19" s="24"/>
      <c r="DD19" s="23">
        <v>138</v>
      </c>
      <c r="DE19" s="24"/>
      <c r="DF19" s="25"/>
      <c r="DG19" s="24"/>
      <c r="DH19" s="23">
        <v>138</v>
      </c>
      <c r="DI19" s="24"/>
      <c r="DJ19" s="25"/>
      <c r="DK19" s="24"/>
      <c r="DL19" s="23">
        <v>138</v>
      </c>
      <c r="DM19" s="24"/>
      <c r="DN19" s="25"/>
      <c r="DO19" s="24"/>
      <c r="DP19" s="340"/>
      <c r="DQ19" s="32">
        <f t="shared" si="7"/>
        <v>1656</v>
      </c>
      <c r="DR19" s="32" t="e">
        <f>SUMPRODUCT(--(MOD(COLUMN(BT19:CQ19),4)=MOD(COLUMN(BT19),4)),BT19:CQ19)*#REF!+SUMPRODUCT(--(MOD(COLUMN(CR19:DO19),4)=MOD(COLUMN(CR19),4)),CR19:DO19)*#REF!</f>
        <v>#REF!</v>
      </c>
      <c r="DS19" s="362"/>
      <c r="DT19" s="11"/>
      <c r="DU19" s="23">
        <v>276</v>
      </c>
      <c r="DV19" s="24"/>
      <c r="DW19" s="25"/>
      <c r="DX19" s="24"/>
      <c r="DY19" s="23">
        <v>276</v>
      </c>
      <c r="DZ19" s="24"/>
      <c r="EA19" s="25"/>
      <c r="EB19" s="24"/>
      <c r="EC19" s="23">
        <v>276</v>
      </c>
      <c r="ED19" s="24"/>
      <c r="EE19" s="25"/>
      <c r="EF19" s="24"/>
      <c r="EG19" s="23">
        <v>276</v>
      </c>
      <c r="EH19" s="24"/>
      <c r="EI19" s="25"/>
      <c r="EJ19" s="24"/>
      <c r="EK19" s="23">
        <v>276</v>
      </c>
      <c r="EL19" s="24"/>
      <c r="EM19" s="25"/>
      <c r="EN19" s="24"/>
      <c r="EO19" s="23">
        <v>276</v>
      </c>
      <c r="EP19" s="24"/>
      <c r="EQ19" s="25"/>
      <c r="ER19" s="24"/>
      <c r="ES19" s="23">
        <v>276</v>
      </c>
      <c r="ET19" s="24"/>
      <c r="EU19" s="25"/>
      <c r="EV19" s="24"/>
      <c r="EW19" s="23">
        <v>276</v>
      </c>
      <c r="EX19" s="24"/>
      <c r="EY19" s="25"/>
      <c r="EZ19" s="24"/>
      <c r="FA19" s="23">
        <v>276</v>
      </c>
      <c r="FB19" s="24"/>
      <c r="FC19" s="25"/>
      <c r="FD19" s="24"/>
      <c r="FE19" s="23">
        <v>276</v>
      </c>
      <c r="FF19" s="24"/>
      <c r="FG19" s="25"/>
      <c r="FH19" s="24"/>
      <c r="FI19" s="23">
        <v>276</v>
      </c>
      <c r="FJ19" s="24"/>
      <c r="FK19" s="25"/>
      <c r="FL19" s="24"/>
      <c r="FM19" s="23">
        <v>276</v>
      </c>
      <c r="FN19" s="24"/>
      <c r="FO19" s="25"/>
      <c r="FP19" s="24"/>
      <c r="FQ19" s="340"/>
      <c r="FR19" s="32">
        <f t="shared" si="8"/>
        <v>3312</v>
      </c>
      <c r="FS19" s="32" t="e">
        <f>SUMPRODUCT(--(MOD(COLUMN(DU19:ER19),4)=MOD(COLUMN(DU19),4)),DU19:ER19)*#REF!+SUMPRODUCT(--(MOD(COLUMN(ES19:FP19),4)=MOD(COLUMN(ES19),4)),ES19:FP19)*#REF!</f>
        <v>#REF!</v>
      </c>
      <c r="FT19" s="360"/>
    </row>
    <row r="20" spans="1:176" s="14" customFormat="1" outlineLevel="2">
      <c r="A20" s="15" t="s">
        <v>476</v>
      </c>
      <c r="B20" s="16" t="s">
        <v>44</v>
      </c>
      <c r="C20" s="15" t="s">
        <v>31</v>
      </c>
      <c r="D20" s="15" t="s">
        <v>32</v>
      </c>
      <c r="E20" s="17">
        <f>IF(ISBLANK(G20),"",IF($A$6:$A$64=$A20,COUNTIF($A$6:A20,$A20),""))</f>
        <v>6</v>
      </c>
      <c r="F20" s="17">
        <v>1</v>
      </c>
      <c r="G20" s="33">
        <v>9254800504</v>
      </c>
      <c r="H20" s="18" t="s">
        <v>38</v>
      </c>
      <c r="I20" s="625">
        <f>373.98/НДС_20</f>
        <v>311.65000000000003</v>
      </c>
      <c r="J20" s="20"/>
      <c r="K20" s="20"/>
      <c r="L20" s="20" t="str">
        <f t="shared" si="0"/>
        <v/>
      </c>
      <c r="M20" s="11"/>
      <c r="N20" s="363">
        <f t="shared" si="9"/>
        <v>0</v>
      </c>
      <c r="O20" s="23"/>
      <c r="P20" s="24"/>
      <c r="Q20" s="25"/>
      <c r="R20" s="24"/>
      <c r="S20" s="23"/>
      <c r="T20" s="24"/>
      <c r="U20" s="25">
        <v>0</v>
      </c>
      <c r="V20" s="24"/>
      <c r="W20" s="23"/>
      <c r="X20" s="24"/>
      <c r="Y20" s="25"/>
      <c r="Z20" s="24"/>
      <c r="AA20" s="23"/>
      <c r="AB20" s="24"/>
      <c r="AC20" s="25"/>
      <c r="AD20" s="24"/>
      <c r="AE20" s="23"/>
      <c r="AF20" s="24"/>
      <c r="AG20" s="25"/>
      <c r="AH20" s="24"/>
      <c r="AI20" s="23"/>
      <c r="AJ20" s="24"/>
      <c r="AK20" s="25"/>
      <c r="AL20" s="24"/>
      <c r="AM20" s="23"/>
      <c r="AN20" s="24"/>
      <c r="AO20" s="25"/>
      <c r="AP20" s="24"/>
      <c r="AQ20" s="23"/>
      <c r="AR20" s="24"/>
      <c r="AS20" s="25"/>
      <c r="AT20" s="24"/>
      <c r="AU20" s="23"/>
      <c r="AV20" s="24"/>
      <c r="AW20" s="25"/>
      <c r="AX20" s="24"/>
      <c r="AY20" s="23"/>
      <c r="AZ20" s="24"/>
      <c r="BA20" s="25"/>
      <c r="BB20" s="24"/>
      <c r="BC20" s="23"/>
      <c r="BD20" s="24"/>
      <c r="BE20" s="25"/>
      <c r="BF20" s="24"/>
      <c r="BG20" s="23"/>
      <c r="BH20" s="24"/>
      <c r="BI20" s="25"/>
      <c r="BJ20" s="24"/>
      <c r="BK20" s="340"/>
      <c r="BL20" s="32">
        <f t="shared" si="1"/>
        <v>0</v>
      </c>
      <c r="BM20" s="466">
        <f t="shared" si="2"/>
        <v>0</v>
      </c>
      <c r="BN20" s="28">
        <f t="shared" si="3"/>
        <v>0</v>
      </c>
      <c r="BO20" s="29">
        <f t="shared" si="4"/>
        <v>0</v>
      </c>
      <c r="BP20" s="30">
        <f t="shared" si="5"/>
        <v>0</v>
      </c>
      <c r="BQ20" s="31">
        <f t="shared" si="6"/>
        <v>0</v>
      </c>
      <c r="BR20" s="362"/>
      <c r="BS20" s="11"/>
      <c r="BT20" s="23">
        <v>276</v>
      </c>
      <c r="BU20" s="24"/>
      <c r="BV20" s="25"/>
      <c r="BW20" s="24"/>
      <c r="BX20" s="23">
        <v>276</v>
      </c>
      <c r="BY20" s="24"/>
      <c r="BZ20" s="25"/>
      <c r="CA20" s="24"/>
      <c r="CB20" s="23">
        <v>276</v>
      </c>
      <c r="CC20" s="24"/>
      <c r="CD20" s="25"/>
      <c r="CE20" s="24"/>
      <c r="CF20" s="23">
        <v>276</v>
      </c>
      <c r="CG20" s="24"/>
      <c r="CH20" s="25"/>
      <c r="CI20" s="24"/>
      <c r="CJ20" s="23">
        <v>276</v>
      </c>
      <c r="CK20" s="24"/>
      <c r="CL20" s="25"/>
      <c r="CM20" s="24"/>
      <c r="CN20" s="23">
        <v>276</v>
      </c>
      <c r="CO20" s="24"/>
      <c r="CP20" s="25"/>
      <c r="CQ20" s="24"/>
      <c r="CR20" s="23">
        <v>276</v>
      </c>
      <c r="CS20" s="24"/>
      <c r="CT20" s="25"/>
      <c r="CU20" s="24"/>
      <c r="CV20" s="23">
        <v>276</v>
      </c>
      <c r="CW20" s="24"/>
      <c r="CX20" s="25"/>
      <c r="CY20" s="24"/>
      <c r="CZ20" s="23">
        <v>276</v>
      </c>
      <c r="DA20" s="24"/>
      <c r="DB20" s="25"/>
      <c r="DC20" s="24"/>
      <c r="DD20" s="23">
        <v>276</v>
      </c>
      <c r="DE20" s="24"/>
      <c r="DF20" s="25"/>
      <c r="DG20" s="24"/>
      <c r="DH20" s="23">
        <v>276</v>
      </c>
      <c r="DI20" s="24"/>
      <c r="DJ20" s="25"/>
      <c r="DK20" s="24"/>
      <c r="DL20" s="23">
        <v>276</v>
      </c>
      <c r="DM20" s="24"/>
      <c r="DN20" s="25"/>
      <c r="DO20" s="24"/>
      <c r="DP20" s="340"/>
      <c r="DQ20" s="32">
        <f t="shared" si="7"/>
        <v>3312</v>
      </c>
      <c r="DR20" s="32" t="e">
        <f>SUMPRODUCT(--(MOD(COLUMN(BT20:CQ20),4)=MOD(COLUMN(BT20),4)),BT20:CQ20)*#REF!+SUMPRODUCT(--(MOD(COLUMN(CR20:DO20),4)=MOD(COLUMN(CR20),4)),CR20:DO20)*#REF!</f>
        <v>#REF!</v>
      </c>
      <c r="DS20" s="362"/>
      <c r="DT20" s="11"/>
      <c r="DU20" s="23">
        <v>552</v>
      </c>
      <c r="DV20" s="24"/>
      <c r="DW20" s="25"/>
      <c r="DX20" s="24"/>
      <c r="DY20" s="23">
        <v>552</v>
      </c>
      <c r="DZ20" s="24"/>
      <c r="EA20" s="25"/>
      <c r="EB20" s="24"/>
      <c r="EC20" s="23">
        <v>552</v>
      </c>
      <c r="ED20" s="24"/>
      <c r="EE20" s="25"/>
      <c r="EF20" s="24"/>
      <c r="EG20" s="23">
        <v>552</v>
      </c>
      <c r="EH20" s="24"/>
      <c r="EI20" s="25"/>
      <c r="EJ20" s="24"/>
      <c r="EK20" s="23">
        <v>552</v>
      </c>
      <c r="EL20" s="24"/>
      <c r="EM20" s="25"/>
      <c r="EN20" s="24"/>
      <c r="EO20" s="23">
        <v>552</v>
      </c>
      <c r="EP20" s="24"/>
      <c r="EQ20" s="25"/>
      <c r="ER20" s="24"/>
      <c r="ES20" s="23">
        <v>552</v>
      </c>
      <c r="ET20" s="24"/>
      <c r="EU20" s="25"/>
      <c r="EV20" s="24"/>
      <c r="EW20" s="23">
        <v>552</v>
      </c>
      <c r="EX20" s="24"/>
      <c r="EY20" s="25"/>
      <c r="EZ20" s="24"/>
      <c r="FA20" s="23">
        <v>552</v>
      </c>
      <c r="FB20" s="24"/>
      <c r="FC20" s="25"/>
      <c r="FD20" s="24"/>
      <c r="FE20" s="23">
        <v>552</v>
      </c>
      <c r="FF20" s="24"/>
      <c r="FG20" s="25"/>
      <c r="FH20" s="24"/>
      <c r="FI20" s="23">
        <v>552</v>
      </c>
      <c r="FJ20" s="24"/>
      <c r="FK20" s="25"/>
      <c r="FL20" s="24"/>
      <c r="FM20" s="23">
        <v>552</v>
      </c>
      <c r="FN20" s="24"/>
      <c r="FO20" s="25"/>
      <c r="FP20" s="24"/>
      <c r="FQ20" s="340"/>
      <c r="FR20" s="32">
        <f t="shared" si="8"/>
        <v>6624</v>
      </c>
      <c r="FS20" s="32" t="e">
        <f>SUMPRODUCT(--(MOD(COLUMN(DU20:ER20),4)=MOD(COLUMN(DU20),4)),DU20:ER20)*#REF!+SUMPRODUCT(--(MOD(COLUMN(ES20:FP20),4)=MOD(COLUMN(ES20),4)),ES20:FP20)*#REF!</f>
        <v>#REF!</v>
      </c>
      <c r="FT20" s="360"/>
    </row>
    <row r="21" spans="1:176" s="14" customFormat="1" outlineLevel="2">
      <c r="A21" s="15" t="s">
        <v>476</v>
      </c>
      <c r="B21" s="16"/>
      <c r="C21" s="15"/>
      <c r="D21" s="15"/>
      <c r="E21" s="35" t="str">
        <f>IF(ISBLANK(G21),"",IF($A$6:$A$64=$A21,COUNTIF($A$6:A21,$A21),""))</f>
        <v/>
      </c>
      <c r="F21" s="35"/>
      <c r="G21" s="53"/>
      <c r="H21" s="36" t="s">
        <v>43</v>
      </c>
      <c r="I21" s="626"/>
      <c r="J21" s="38"/>
      <c r="K21" s="38"/>
      <c r="L21" s="38" t="str">
        <f t="shared" si="0"/>
        <v/>
      </c>
      <c r="M21" s="11"/>
      <c r="N21" s="363">
        <f t="shared" si="9"/>
        <v>0</v>
      </c>
      <c r="O21" s="40"/>
      <c r="P21" s="41"/>
      <c r="Q21" s="42"/>
      <c r="R21" s="41"/>
      <c r="S21" s="40"/>
      <c r="T21" s="41"/>
      <c r="U21" s="42"/>
      <c r="V21" s="41"/>
      <c r="W21" s="40"/>
      <c r="X21" s="41"/>
      <c r="Y21" s="42"/>
      <c r="Z21" s="41"/>
      <c r="AA21" s="40"/>
      <c r="AB21" s="41"/>
      <c r="AC21" s="42"/>
      <c r="AD21" s="41"/>
      <c r="AE21" s="40"/>
      <c r="AF21" s="41"/>
      <c r="AG21" s="42"/>
      <c r="AH21" s="41"/>
      <c r="AI21" s="40"/>
      <c r="AJ21" s="41"/>
      <c r="AK21" s="42"/>
      <c r="AL21" s="41"/>
      <c r="AM21" s="40"/>
      <c r="AN21" s="41"/>
      <c r="AO21" s="42"/>
      <c r="AP21" s="41"/>
      <c r="AQ21" s="40"/>
      <c r="AR21" s="41"/>
      <c r="AS21" s="42"/>
      <c r="AT21" s="41"/>
      <c r="AU21" s="40"/>
      <c r="AV21" s="41"/>
      <c r="AW21" s="42"/>
      <c r="AX21" s="41"/>
      <c r="AY21" s="40"/>
      <c r="AZ21" s="41"/>
      <c r="BA21" s="42"/>
      <c r="BB21" s="41"/>
      <c r="BC21" s="40"/>
      <c r="BD21" s="41"/>
      <c r="BE21" s="42"/>
      <c r="BF21" s="41"/>
      <c r="BG21" s="40"/>
      <c r="BH21" s="41"/>
      <c r="BI21" s="42"/>
      <c r="BJ21" s="43"/>
      <c r="BK21" s="341"/>
      <c r="BL21" s="27">
        <f t="shared" si="1"/>
        <v>0</v>
      </c>
      <c r="BM21" s="110">
        <f t="shared" si="2"/>
        <v>0</v>
      </c>
      <c r="BN21" s="28">
        <f t="shared" si="3"/>
        <v>0</v>
      </c>
      <c r="BO21" s="29">
        <f t="shared" si="4"/>
        <v>0</v>
      </c>
      <c r="BP21" s="30">
        <f t="shared" si="5"/>
        <v>0</v>
      </c>
      <c r="BQ21" s="31">
        <f t="shared" si="6"/>
        <v>0</v>
      </c>
      <c r="BR21" s="353"/>
      <c r="BS21" s="11"/>
      <c r="BT21" s="40"/>
      <c r="BU21" s="41"/>
      <c r="BV21" s="42"/>
      <c r="BW21" s="41"/>
      <c r="BX21" s="40"/>
      <c r="BY21" s="41"/>
      <c r="BZ21" s="42"/>
      <c r="CA21" s="41"/>
      <c r="CB21" s="40"/>
      <c r="CC21" s="41"/>
      <c r="CD21" s="42"/>
      <c r="CE21" s="41"/>
      <c r="CF21" s="40"/>
      <c r="CG21" s="41"/>
      <c r="CH21" s="42"/>
      <c r="CI21" s="41"/>
      <c r="CJ21" s="40"/>
      <c r="CK21" s="41"/>
      <c r="CL21" s="42"/>
      <c r="CM21" s="41"/>
      <c r="CN21" s="40"/>
      <c r="CO21" s="41"/>
      <c r="CP21" s="42"/>
      <c r="CQ21" s="41"/>
      <c r="CR21" s="40"/>
      <c r="CS21" s="41"/>
      <c r="CT21" s="42"/>
      <c r="CU21" s="41"/>
      <c r="CV21" s="40"/>
      <c r="CW21" s="41"/>
      <c r="CX21" s="42"/>
      <c r="CY21" s="41"/>
      <c r="CZ21" s="40"/>
      <c r="DA21" s="41"/>
      <c r="DB21" s="42"/>
      <c r="DC21" s="41"/>
      <c r="DD21" s="40"/>
      <c r="DE21" s="41"/>
      <c r="DF21" s="42"/>
      <c r="DG21" s="41"/>
      <c r="DH21" s="40"/>
      <c r="DI21" s="41"/>
      <c r="DJ21" s="42"/>
      <c r="DK21" s="41"/>
      <c r="DL21" s="40"/>
      <c r="DM21" s="41"/>
      <c r="DN21" s="42"/>
      <c r="DO21" s="43"/>
      <c r="DP21" s="341"/>
      <c r="DQ21" s="27">
        <f t="shared" si="7"/>
        <v>0</v>
      </c>
      <c r="DR21" s="27" t="e">
        <f>SUMPRODUCT(--(MOD(COLUMN(BT21:CQ21),4)=MOD(COLUMN(BT21),4)),BT21:CQ21)*#REF!+SUMPRODUCT(--(MOD(COLUMN(CR21:DO21),4)=MOD(COLUMN(CR21),4)),CR21:DO21)*#REF!</f>
        <v>#REF!</v>
      </c>
      <c r="DS21" s="353"/>
      <c r="DT21" s="11"/>
      <c r="DU21" s="40"/>
      <c r="DV21" s="41"/>
      <c r="DW21" s="42"/>
      <c r="DX21" s="41"/>
      <c r="DY21" s="40"/>
      <c r="DZ21" s="41"/>
      <c r="EA21" s="42"/>
      <c r="EB21" s="41"/>
      <c r="EC21" s="40"/>
      <c r="ED21" s="41"/>
      <c r="EE21" s="42"/>
      <c r="EF21" s="41"/>
      <c r="EG21" s="40"/>
      <c r="EH21" s="41"/>
      <c r="EI21" s="42"/>
      <c r="EJ21" s="41"/>
      <c r="EK21" s="40"/>
      <c r="EL21" s="41"/>
      <c r="EM21" s="42"/>
      <c r="EN21" s="41"/>
      <c r="EO21" s="40"/>
      <c r="EP21" s="41"/>
      <c r="EQ21" s="42"/>
      <c r="ER21" s="41"/>
      <c r="ES21" s="40"/>
      <c r="ET21" s="41"/>
      <c r="EU21" s="42"/>
      <c r="EV21" s="41"/>
      <c r="EW21" s="40"/>
      <c r="EX21" s="41"/>
      <c r="EY21" s="42"/>
      <c r="EZ21" s="41"/>
      <c r="FA21" s="40"/>
      <c r="FB21" s="41"/>
      <c r="FC21" s="42"/>
      <c r="FD21" s="41"/>
      <c r="FE21" s="40"/>
      <c r="FF21" s="41"/>
      <c r="FG21" s="42"/>
      <c r="FH21" s="41"/>
      <c r="FI21" s="40"/>
      <c r="FJ21" s="41"/>
      <c r="FK21" s="42"/>
      <c r="FL21" s="41"/>
      <c r="FM21" s="40"/>
      <c r="FN21" s="41"/>
      <c r="FO21" s="42"/>
      <c r="FP21" s="43"/>
      <c r="FQ21" s="341"/>
      <c r="FR21" s="27">
        <f t="shared" si="8"/>
        <v>0</v>
      </c>
      <c r="FS21" s="27" t="e">
        <f>SUMPRODUCT(--(MOD(COLUMN(DU21:ER21),4)=MOD(COLUMN(DU21),4)),DU21:ER21)*#REF!+SUMPRODUCT(--(MOD(COLUMN(ES21:FP21),4)=MOD(COLUMN(ES21),4)),ES21:FP21)*#REF!</f>
        <v>#REF!</v>
      </c>
      <c r="FT21" s="360"/>
    </row>
    <row r="22" spans="1:176" s="44" customFormat="1" outlineLevel="1">
      <c r="A22" s="45" t="s">
        <v>476</v>
      </c>
      <c r="B22" s="46"/>
      <c r="C22" s="46"/>
      <c r="D22" s="46"/>
      <c r="E22" s="47" t="str">
        <f>IF(ISBLANK(G22),"",IF($A$6:$A$64=$A22,COUNTIF($A$6:A22,$A22),""))</f>
        <v/>
      </c>
      <c r="F22" s="47"/>
      <c r="G22" s="48"/>
      <c r="H22" s="49"/>
      <c r="I22" s="620"/>
      <c r="J22" s="50"/>
      <c r="K22" s="50"/>
      <c r="L22" s="50" t="str">
        <f t="shared" si="0"/>
        <v/>
      </c>
      <c r="M22" s="51"/>
      <c r="N22" s="363">
        <f t="shared" si="9"/>
        <v>0</v>
      </c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335"/>
      <c r="BL22" s="52">
        <f t="shared" si="1"/>
        <v>0</v>
      </c>
      <c r="BM22" s="122">
        <f t="shared" si="2"/>
        <v>0</v>
      </c>
      <c r="BN22" s="52">
        <f t="shared" si="3"/>
        <v>0</v>
      </c>
      <c r="BO22" s="52">
        <f t="shared" si="4"/>
        <v>0</v>
      </c>
      <c r="BP22" s="52">
        <f t="shared" si="5"/>
        <v>0</v>
      </c>
      <c r="BQ22" s="52">
        <f t="shared" si="6"/>
        <v>0</v>
      </c>
      <c r="BR22" s="342"/>
      <c r="BS22" s="51"/>
      <c r="BT22" s="51"/>
      <c r="BU22" s="51"/>
      <c r="BV22" s="51"/>
      <c r="BW22" s="51"/>
      <c r="BX22" s="51"/>
      <c r="BY22" s="51"/>
      <c r="BZ22" s="51"/>
      <c r="CA22" s="51"/>
      <c r="CB22" s="51"/>
      <c r="CC22" s="51"/>
      <c r="CD22" s="51"/>
      <c r="CE22" s="51"/>
      <c r="CF22" s="51"/>
      <c r="CG22" s="51"/>
      <c r="CH22" s="51"/>
      <c r="CI22" s="51"/>
      <c r="CJ22" s="51"/>
      <c r="CK22" s="51"/>
      <c r="CL22" s="51"/>
      <c r="CM22" s="51"/>
      <c r="CN22" s="51"/>
      <c r="CO22" s="51"/>
      <c r="CP22" s="51"/>
      <c r="CQ22" s="51"/>
      <c r="CR22" s="51"/>
      <c r="CS22" s="51"/>
      <c r="CT22" s="51"/>
      <c r="CU22" s="51"/>
      <c r="CV22" s="51"/>
      <c r="CW22" s="51"/>
      <c r="CX22" s="51"/>
      <c r="CY22" s="51"/>
      <c r="CZ22" s="51"/>
      <c r="DA22" s="51"/>
      <c r="DB22" s="51"/>
      <c r="DC22" s="51"/>
      <c r="DD22" s="51"/>
      <c r="DE22" s="51"/>
      <c r="DF22" s="51"/>
      <c r="DG22" s="51"/>
      <c r="DH22" s="51"/>
      <c r="DI22" s="51"/>
      <c r="DJ22" s="51"/>
      <c r="DK22" s="51"/>
      <c r="DL22" s="51"/>
      <c r="DM22" s="51"/>
      <c r="DN22" s="51"/>
      <c r="DO22" s="51"/>
      <c r="DP22" s="335"/>
      <c r="DQ22" s="52">
        <f t="shared" si="7"/>
        <v>0</v>
      </c>
      <c r="DR22" s="52" t="e">
        <f>SUMPRODUCT(--(MOD(COLUMN(BT22:CQ22),4)=MOD(COLUMN(BT22),4)),BT22:CQ22)*#REF!+SUMPRODUCT(--(MOD(COLUMN(CR22:DO22),4)=MOD(COLUMN(CR22),4)),CR22:DO22)*#REF!</f>
        <v>#REF!</v>
      </c>
      <c r="DS22" s="342"/>
      <c r="DT22" s="51"/>
      <c r="DU22" s="51"/>
      <c r="DV22" s="51"/>
      <c r="DW22" s="51"/>
      <c r="DX22" s="51"/>
      <c r="DY22" s="51"/>
      <c r="DZ22" s="51"/>
      <c r="EA22" s="51"/>
      <c r="EB22" s="51"/>
      <c r="EC22" s="51"/>
      <c r="ED22" s="51"/>
      <c r="EE22" s="51"/>
      <c r="EF22" s="51"/>
      <c r="EG22" s="51"/>
      <c r="EH22" s="51"/>
      <c r="EI22" s="51"/>
      <c r="EJ22" s="51"/>
      <c r="EK22" s="51"/>
      <c r="EL22" s="51"/>
      <c r="EM22" s="51"/>
      <c r="EN22" s="51"/>
      <c r="EO22" s="51"/>
      <c r="EP22" s="51"/>
      <c r="EQ22" s="51"/>
      <c r="ER22" s="51"/>
      <c r="ES22" s="51"/>
      <c r="ET22" s="51"/>
      <c r="EU22" s="51"/>
      <c r="EV22" s="51"/>
      <c r="EW22" s="51"/>
      <c r="EX22" s="51"/>
      <c r="EY22" s="51"/>
      <c r="EZ22" s="51"/>
      <c r="FA22" s="51"/>
      <c r="FB22" s="51"/>
      <c r="FC22" s="51"/>
      <c r="FD22" s="51"/>
      <c r="FE22" s="51"/>
      <c r="FF22" s="51"/>
      <c r="FG22" s="51"/>
      <c r="FH22" s="51"/>
      <c r="FI22" s="51"/>
      <c r="FJ22" s="51"/>
      <c r="FK22" s="51"/>
      <c r="FL22" s="51"/>
      <c r="FM22" s="51"/>
      <c r="FN22" s="51"/>
      <c r="FO22" s="51"/>
      <c r="FP22" s="51"/>
      <c r="FQ22" s="335"/>
      <c r="FR22" s="52">
        <f t="shared" si="8"/>
        <v>0</v>
      </c>
      <c r="FS22" s="52" t="e">
        <f>SUMPRODUCT(--(MOD(COLUMN(DU22:ER22),4)=MOD(COLUMN(DU22),4)),DU22:ER22)*#REF!+SUMPRODUCT(--(MOD(COLUMN(ES22:FP22),4)=MOD(COLUMN(ES22),4)),ES22:FP22)*#REF!</f>
        <v>#REF!</v>
      </c>
      <c r="FT22" s="370"/>
    </row>
    <row r="23" spans="1:176" s="14" customFormat="1" outlineLevel="2">
      <c r="A23" s="15" t="s">
        <v>477</v>
      </c>
      <c r="B23" s="16" t="s">
        <v>44</v>
      </c>
      <c r="C23" s="15" t="s">
        <v>31</v>
      </c>
      <c r="D23" s="15" t="s">
        <v>32</v>
      </c>
      <c r="E23" s="17">
        <f>IF(ISBLANK(G23),"",IF($A$6:$A$64=$A23,COUNTIF($A$6:A23,$A23),""))</f>
        <v>1</v>
      </c>
      <c r="F23" s="10">
        <v>1</v>
      </c>
      <c r="G23" s="54">
        <v>6402250340</v>
      </c>
      <c r="H23" s="407" t="s">
        <v>34</v>
      </c>
      <c r="I23" s="628">
        <f t="shared" ref="I23" si="11">2160/НДС_20</f>
        <v>1800</v>
      </c>
      <c r="J23" s="20"/>
      <c r="K23" s="20"/>
      <c r="L23" s="20" t="str">
        <f t="shared" si="0"/>
        <v/>
      </c>
      <c r="M23" s="11"/>
      <c r="N23" s="363">
        <f t="shared" si="9"/>
        <v>0</v>
      </c>
      <c r="O23" s="23"/>
      <c r="P23" s="24"/>
      <c r="Q23" s="25"/>
      <c r="R23" s="24"/>
      <c r="S23" s="23"/>
      <c r="T23" s="24"/>
      <c r="U23" s="25">
        <v>0</v>
      </c>
      <c r="V23" s="24"/>
      <c r="W23" s="23"/>
      <c r="X23" s="24"/>
      <c r="Y23" s="25"/>
      <c r="Z23" s="24"/>
      <c r="AA23" s="23"/>
      <c r="AB23" s="24"/>
      <c r="AC23" s="25"/>
      <c r="AD23" s="24"/>
      <c r="AE23" s="23"/>
      <c r="AF23" s="24"/>
      <c r="AG23" s="25"/>
      <c r="AH23" s="24"/>
      <c r="AI23" s="23"/>
      <c r="AJ23" s="24"/>
      <c r="AK23" s="25"/>
      <c r="AL23" s="24"/>
      <c r="AM23" s="23"/>
      <c r="AN23" s="24"/>
      <c r="AO23" s="25"/>
      <c r="AP23" s="24"/>
      <c r="AQ23" s="23"/>
      <c r="AR23" s="24"/>
      <c r="AS23" s="25"/>
      <c r="AT23" s="24"/>
      <c r="AU23" s="23"/>
      <c r="AV23" s="24"/>
      <c r="AW23" s="25"/>
      <c r="AX23" s="24"/>
      <c r="AY23" s="23"/>
      <c r="AZ23" s="24"/>
      <c r="BA23" s="25"/>
      <c r="BB23" s="24"/>
      <c r="BC23" s="23"/>
      <c r="BD23" s="24"/>
      <c r="BE23" s="25"/>
      <c r="BF23" s="24"/>
      <c r="BG23" s="23"/>
      <c r="BH23" s="24"/>
      <c r="BI23" s="25"/>
      <c r="BJ23" s="24"/>
      <c r="BK23" s="340"/>
      <c r="BL23" s="32">
        <f t="shared" si="1"/>
        <v>0</v>
      </c>
      <c r="BM23" s="466">
        <f t="shared" si="2"/>
        <v>0</v>
      </c>
      <c r="BN23" s="28">
        <f t="shared" si="3"/>
        <v>0</v>
      </c>
      <c r="BO23" s="29">
        <f t="shared" si="4"/>
        <v>0</v>
      </c>
      <c r="BP23" s="30">
        <f t="shared" si="5"/>
        <v>0</v>
      </c>
      <c r="BQ23" s="31">
        <f t="shared" si="6"/>
        <v>0</v>
      </c>
      <c r="BR23" s="362"/>
      <c r="BS23" s="11"/>
      <c r="BT23" s="23">
        <v>621</v>
      </c>
      <c r="BU23" s="24"/>
      <c r="BV23" s="25"/>
      <c r="BW23" s="24"/>
      <c r="BX23" s="23">
        <v>621</v>
      </c>
      <c r="BY23" s="24"/>
      <c r="BZ23" s="25"/>
      <c r="CA23" s="24"/>
      <c r="CB23" s="23">
        <v>621</v>
      </c>
      <c r="CC23" s="24"/>
      <c r="CD23" s="25"/>
      <c r="CE23" s="24"/>
      <c r="CF23" s="23">
        <v>621</v>
      </c>
      <c r="CG23" s="24"/>
      <c r="CH23" s="25"/>
      <c r="CI23" s="24"/>
      <c r="CJ23" s="23">
        <v>621</v>
      </c>
      <c r="CK23" s="24"/>
      <c r="CL23" s="25"/>
      <c r="CM23" s="24"/>
      <c r="CN23" s="23">
        <v>621</v>
      </c>
      <c r="CO23" s="24"/>
      <c r="CP23" s="25"/>
      <c r="CQ23" s="24"/>
      <c r="CR23" s="23">
        <v>621</v>
      </c>
      <c r="CS23" s="24"/>
      <c r="CT23" s="25"/>
      <c r="CU23" s="24"/>
      <c r="CV23" s="23">
        <v>621</v>
      </c>
      <c r="CW23" s="24"/>
      <c r="CX23" s="25"/>
      <c r="CY23" s="24"/>
      <c r="CZ23" s="23">
        <v>621</v>
      </c>
      <c r="DA23" s="24"/>
      <c r="DB23" s="25"/>
      <c r="DC23" s="24"/>
      <c r="DD23" s="23">
        <v>621</v>
      </c>
      <c r="DE23" s="24"/>
      <c r="DF23" s="25"/>
      <c r="DG23" s="24"/>
      <c r="DH23" s="23">
        <v>621</v>
      </c>
      <c r="DI23" s="24"/>
      <c r="DJ23" s="25"/>
      <c r="DK23" s="24"/>
      <c r="DL23" s="23">
        <v>621</v>
      </c>
      <c r="DM23" s="24"/>
      <c r="DN23" s="25"/>
      <c r="DO23" s="24"/>
      <c r="DP23" s="340"/>
      <c r="DQ23" s="32">
        <f t="shared" si="7"/>
        <v>7452</v>
      </c>
      <c r="DR23" s="32" t="e">
        <f>SUMPRODUCT(--(MOD(COLUMN(BT23:CQ23),4)=MOD(COLUMN(BT23),4)),BT23:CQ23)*#REF!+SUMPRODUCT(--(MOD(COLUMN(CR23:DO23),4)=MOD(COLUMN(CR23),4)),CR23:DO23)*#REF!</f>
        <v>#REF!</v>
      </c>
      <c r="DS23" s="362"/>
      <c r="DT23" s="11"/>
      <c r="DU23" s="23">
        <v>828</v>
      </c>
      <c r="DV23" s="24"/>
      <c r="DW23" s="25"/>
      <c r="DX23" s="24"/>
      <c r="DY23" s="23">
        <v>828</v>
      </c>
      <c r="DZ23" s="24"/>
      <c r="EA23" s="25"/>
      <c r="EB23" s="24"/>
      <c r="EC23" s="23">
        <v>828</v>
      </c>
      <c r="ED23" s="24"/>
      <c r="EE23" s="25"/>
      <c r="EF23" s="24"/>
      <c r="EG23" s="23">
        <v>828</v>
      </c>
      <c r="EH23" s="24"/>
      <c r="EI23" s="25"/>
      <c r="EJ23" s="24"/>
      <c r="EK23" s="23">
        <v>828</v>
      </c>
      <c r="EL23" s="24"/>
      <c r="EM23" s="25"/>
      <c r="EN23" s="24"/>
      <c r="EO23" s="23">
        <v>828</v>
      </c>
      <c r="EP23" s="24"/>
      <c r="EQ23" s="25"/>
      <c r="ER23" s="24"/>
      <c r="ES23" s="23">
        <v>828</v>
      </c>
      <c r="ET23" s="24"/>
      <c r="EU23" s="25"/>
      <c r="EV23" s="24"/>
      <c r="EW23" s="23">
        <v>828</v>
      </c>
      <c r="EX23" s="24"/>
      <c r="EY23" s="25"/>
      <c r="EZ23" s="24"/>
      <c r="FA23" s="23">
        <v>828</v>
      </c>
      <c r="FB23" s="24"/>
      <c r="FC23" s="25"/>
      <c r="FD23" s="24"/>
      <c r="FE23" s="23">
        <v>828</v>
      </c>
      <c r="FF23" s="24"/>
      <c r="FG23" s="25"/>
      <c r="FH23" s="24"/>
      <c r="FI23" s="23">
        <v>828</v>
      </c>
      <c r="FJ23" s="24"/>
      <c r="FK23" s="25"/>
      <c r="FL23" s="24"/>
      <c r="FM23" s="23">
        <v>828</v>
      </c>
      <c r="FN23" s="24"/>
      <c r="FO23" s="25"/>
      <c r="FP23" s="24"/>
      <c r="FQ23" s="340"/>
      <c r="FR23" s="32">
        <f t="shared" si="8"/>
        <v>9936</v>
      </c>
      <c r="FS23" s="32" t="e">
        <f>SUMPRODUCT(--(MOD(COLUMN(DU23:ER23),4)=MOD(COLUMN(DU23),4)),DU23:ER23)*#REF!+SUMPRODUCT(--(MOD(COLUMN(ES23:FP23),4)=MOD(COLUMN(ES23),4)),ES23:FP23)*#REF!</f>
        <v>#REF!</v>
      </c>
      <c r="FT23" s="360"/>
    </row>
    <row r="24" spans="1:176" s="14" customFormat="1" outlineLevel="2">
      <c r="A24" s="15" t="s">
        <v>477</v>
      </c>
      <c r="B24" s="16" t="s">
        <v>44</v>
      </c>
      <c r="C24" s="15" t="s">
        <v>31</v>
      </c>
      <c r="D24" s="15" t="s">
        <v>32</v>
      </c>
      <c r="E24" s="17">
        <f>IF(ISBLANK(G24),"",IF($A$6:$A$64=$A24,COUNTIF($A$6:A24,$A24),""))</f>
        <v>2</v>
      </c>
      <c r="F24" s="10">
        <v>1</v>
      </c>
      <c r="G24" s="54">
        <v>6402250350</v>
      </c>
      <c r="H24" s="407" t="s">
        <v>36</v>
      </c>
      <c r="I24" s="628">
        <f>I23</f>
        <v>1800</v>
      </c>
      <c r="J24" s="20"/>
      <c r="K24" s="20"/>
      <c r="L24" s="20" t="str">
        <f t="shared" si="0"/>
        <v/>
      </c>
      <c r="M24" s="11"/>
      <c r="N24" s="363">
        <f t="shared" si="9"/>
        <v>0</v>
      </c>
      <c r="O24" s="23"/>
      <c r="P24" s="24"/>
      <c r="Q24" s="25"/>
      <c r="R24" s="24"/>
      <c r="S24" s="23"/>
      <c r="T24" s="24"/>
      <c r="U24" s="25">
        <v>0</v>
      </c>
      <c r="V24" s="24"/>
      <c r="W24" s="23"/>
      <c r="X24" s="24"/>
      <c r="Y24" s="25"/>
      <c r="Z24" s="24"/>
      <c r="AA24" s="23"/>
      <c r="AB24" s="24"/>
      <c r="AC24" s="25"/>
      <c r="AD24" s="24"/>
      <c r="AE24" s="23"/>
      <c r="AF24" s="24"/>
      <c r="AG24" s="25"/>
      <c r="AH24" s="24"/>
      <c r="AI24" s="23"/>
      <c r="AJ24" s="24"/>
      <c r="AK24" s="25"/>
      <c r="AL24" s="24"/>
      <c r="AM24" s="23"/>
      <c r="AN24" s="24"/>
      <c r="AO24" s="25"/>
      <c r="AP24" s="24"/>
      <c r="AQ24" s="23"/>
      <c r="AR24" s="24"/>
      <c r="AS24" s="25"/>
      <c r="AT24" s="24"/>
      <c r="AU24" s="23"/>
      <c r="AV24" s="24"/>
      <c r="AW24" s="25"/>
      <c r="AX24" s="24"/>
      <c r="AY24" s="23"/>
      <c r="AZ24" s="24"/>
      <c r="BA24" s="25"/>
      <c r="BB24" s="24"/>
      <c r="BC24" s="23"/>
      <c r="BD24" s="24"/>
      <c r="BE24" s="25"/>
      <c r="BF24" s="24"/>
      <c r="BG24" s="23"/>
      <c r="BH24" s="24"/>
      <c r="BI24" s="25"/>
      <c r="BJ24" s="24"/>
      <c r="BK24" s="340"/>
      <c r="BL24" s="32">
        <f t="shared" si="1"/>
        <v>0</v>
      </c>
      <c r="BM24" s="466">
        <f t="shared" si="2"/>
        <v>0</v>
      </c>
      <c r="BN24" s="28">
        <f t="shared" si="3"/>
        <v>0</v>
      </c>
      <c r="BO24" s="29">
        <f t="shared" si="4"/>
        <v>0</v>
      </c>
      <c r="BP24" s="30">
        <f t="shared" si="5"/>
        <v>0</v>
      </c>
      <c r="BQ24" s="31">
        <f t="shared" si="6"/>
        <v>0</v>
      </c>
      <c r="BR24" s="362"/>
      <c r="BS24" s="11"/>
      <c r="BT24" s="23">
        <v>621</v>
      </c>
      <c r="BU24" s="24"/>
      <c r="BV24" s="25"/>
      <c r="BW24" s="24"/>
      <c r="BX24" s="23">
        <v>621</v>
      </c>
      <c r="BY24" s="24"/>
      <c r="BZ24" s="25"/>
      <c r="CA24" s="24"/>
      <c r="CB24" s="23">
        <v>621</v>
      </c>
      <c r="CC24" s="24"/>
      <c r="CD24" s="25"/>
      <c r="CE24" s="24"/>
      <c r="CF24" s="23">
        <v>621</v>
      </c>
      <c r="CG24" s="24"/>
      <c r="CH24" s="25"/>
      <c r="CI24" s="24"/>
      <c r="CJ24" s="23">
        <v>621</v>
      </c>
      <c r="CK24" s="24"/>
      <c r="CL24" s="25"/>
      <c r="CM24" s="24"/>
      <c r="CN24" s="23">
        <v>621</v>
      </c>
      <c r="CO24" s="24"/>
      <c r="CP24" s="25"/>
      <c r="CQ24" s="24"/>
      <c r="CR24" s="23">
        <v>621</v>
      </c>
      <c r="CS24" s="24"/>
      <c r="CT24" s="25"/>
      <c r="CU24" s="24"/>
      <c r="CV24" s="23">
        <v>621</v>
      </c>
      <c r="CW24" s="24"/>
      <c r="CX24" s="25"/>
      <c r="CY24" s="24"/>
      <c r="CZ24" s="23">
        <v>621</v>
      </c>
      <c r="DA24" s="24"/>
      <c r="DB24" s="25"/>
      <c r="DC24" s="24"/>
      <c r="DD24" s="23">
        <v>621</v>
      </c>
      <c r="DE24" s="24"/>
      <c r="DF24" s="25"/>
      <c r="DG24" s="24"/>
      <c r="DH24" s="23">
        <v>621</v>
      </c>
      <c r="DI24" s="24"/>
      <c r="DJ24" s="25"/>
      <c r="DK24" s="24"/>
      <c r="DL24" s="23">
        <v>621</v>
      </c>
      <c r="DM24" s="24"/>
      <c r="DN24" s="25"/>
      <c r="DO24" s="24"/>
      <c r="DP24" s="340"/>
      <c r="DQ24" s="32">
        <f t="shared" si="7"/>
        <v>7452</v>
      </c>
      <c r="DR24" s="32" t="e">
        <f>SUMPRODUCT(--(MOD(COLUMN(BT24:CQ24),4)=MOD(COLUMN(BT24),4)),BT24:CQ24)*#REF!+SUMPRODUCT(--(MOD(COLUMN(CR24:DO24),4)=MOD(COLUMN(CR24),4)),CR24:DO24)*#REF!</f>
        <v>#REF!</v>
      </c>
      <c r="DS24" s="362"/>
      <c r="DT24" s="11"/>
      <c r="DU24" s="23">
        <v>828</v>
      </c>
      <c r="DV24" s="24"/>
      <c r="DW24" s="25"/>
      <c r="DX24" s="24"/>
      <c r="DY24" s="23">
        <v>828</v>
      </c>
      <c r="DZ24" s="24"/>
      <c r="EA24" s="25"/>
      <c r="EB24" s="24"/>
      <c r="EC24" s="23">
        <v>828</v>
      </c>
      <c r="ED24" s="24"/>
      <c r="EE24" s="25"/>
      <c r="EF24" s="24"/>
      <c r="EG24" s="23">
        <v>828</v>
      </c>
      <c r="EH24" s="24"/>
      <c r="EI24" s="25"/>
      <c r="EJ24" s="24"/>
      <c r="EK24" s="23">
        <v>828</v>
      </c>
      <c r="EL24" s="24"/>
      <c r="EM24" s="25"/>
      <c r="EN24" s="24"/>
      <c r="EO24" s="23">
        <v>828</v>
      </c>
      <c r="EP24" s="24"/>
      <c r="EQ24" s="25"/>
      <c r="ER24" s="24"/>
      <c r="ES24" s="23">
        <v>828</v>
      </c>
      <c r="ET24" s="24"/>
      <c r="EU24" s="25"/>
      <c r="EV24" s="24"/>
      <c r="EW24" s="23">
        <v>828</v>
      </c>
      <c r="EX24" s="24"/>
      <c r="EY24" s="25"/>
      <c r="EZ24" s="24"/>
      <c r="FA24" s="23">
        <v>828</v>
      </c>
      <c r="FB24" s="24"/>
      <c r="FC24" s="25"/>
      <c r="FD24" s="24"/>
      <c r="FE24" s="23">
        <v>828</v>
      </c>
      <c r="FF24" s="24"/>
      <c r="FG24" s="25"/>
      <c r="FH24" s="24"/>
      <c r="FI24" s="23">
        <v>828</v>
      </c>
      <c r="FJ24" s="24"/>
      <c r="FK24" s="25"/>
      <c r="FL24" s="24"/>
      <c r="FM24" s="23">
        <v>828</v>
      </c>
      <c r="FN24" s="24"/>
      <c r="FO24" s="25"/>
      <c r="FP24" s="24"/>
      <c r="FQ24" s="340"/>
      <c r="FR24" s="32">
        <f t="shared" si="8"/>
        <v>9936</v>
      </c>
      <c r="FS24" s="32" t="e">
        <f>SUMPRODUCT(--(MOD(COLUMN(DU24:ER24),4)=MOD(COLUMN(DU24),4)),DU24:ER24)*#REF!+SUMPRODUCT(--(MOD(COLUMN(ES24:FP24),4)=MOD(COLUMN(ES24),4)),ES24:FP24)*#REF!</f>
        <v>#REF!</v>
      </c>
      <c r="FT24" s="360"/>
    </row>
    <row r="25" spans="1:176" s="14" customFormat="1" outlineLevel="2">
      <c r="A25" s="15" t="s">
        <v>477</v>
      </c>
      <c r="B25" s="16" t="s">
        <v>44</v>
      </c>
      <c r="C25" s="15" t="s">
        <v>31</v>
      </c>
      <c r="D25" s="15" t="s">
        <v>32</v>
      </c>
      <c r="E25" s="17">
        <f>IF(ISBLANK(G25),"",IF($A$6:$A$64=$A25,COUNTIF($A$6:A25,$A25),""))</f>
        <v>3</v>
      </c>
      <c r="F25" s="17">
        <v>1</v>
      </c>
      <c r="G25" s="33">
        <v>4410328080</v>
      </c>
      <c r="H25" s="18" t="s">
        <v>45</v>
      </c>
      <c r="I25" s="627">
        <f>84/НДС_20</f>
        <v>70</v>
      </c>
      <c r="J25" s="20"/>
      <c r="K25" s="20"/>
      <c r="L25" s="20" t="str">
        <f t="shared" si="0"/>
        <v/>
      </c>
      <c r="M25" s="11"/>
      <c r="N25" s="363">
        <f t="shared" si="9"/>
        <v>0</v>
      </c>
      <c r="O25" s="23"/>
      <c r="P25" s="24"/>
      <c r="Q25" s="25"/>
      <c r="R25" s="24"/>
      <c r="S25" s="23"/>
      <c r="T25" s="24"/>
      <c r="U25" s="25">
        <v>0</v>
      </c>
      <c r="V25" s="24"/>
      <c r="W25" s="23"/>
      <c r="X25" s="24"/>
      <c r="Y25" s="25"/>
      <c r="Z25" s="24"/>
      <c r="AA25" s="23"/>
      <c r="AB25" s="24"/>
      <c r="AC25" s="25"/>
      <c r="AD25" s="24"/>
      <c r="AE25" s="23"/>
      <c r="AF25" s="24"/>
      <c r="AG25" s="25"/>
      <c r="AH25" s="24"/>
      <c r="AI25" s="23"/>
      <c r="AJ25" s="24"/>
      <c r="AK25" s="25"/>
      <c r="AL25" s="24"/>
      <c r="AM25" s="23"/>
      <c r="AN25" s="24"/>
      <c r="AO25" s="25"/>
      <c r="AP25" s="24"/>
      <c r="AQ25" s="23"/>
      <c r="AR25" s="24"/>
      <c r="AS25" s="25"/>
      <c r="AT25" s="24"/>
      <c r="AU25" s="23"/>
      <c r="AV25" s="24"/>
      <c r="AW25" s="25"/>
      <c r="AX25" s="24"/>
      <c r="AY25" s="23"/>
      <c r="AZ25" s="24"/>
      <c r="BA25" s="25"/>
      <c r="BB25" s="24"/>
      <c r="BC25" s="23"/>
      <c r="BD25" s="24"/>
      <c r="BE25" s="25"/>
      <c r="BF25" s="24"/>
      <c r="BG25" s="23"/>
      <c r="BH25" s="24"/>
      <c r="BI25" s="25"/>
      <c r="BJ25" s="24"/>
      <c r="BK25" s="340"/>
      <c r="BL25" s="32">
        <f t="shared" si="1"/>
        <v>0</v>
      </c>
      <c r="BM25" s="466">
        <f t="shared" si="2"/>
        <v>0</v>
      </c>
      <c r="BN25" s="28">
        <f t="shared" si="3"/>
        <v>0</v>
      </c>
      <c r="BO25" s="29">
        <f t="shared" si="4"/>
        <v>0</v>
      </c>
      <c r="BP25" s="30">
        <f t="shared" si="5"/>
        <v>0</v>
      </c>
      <c r="BQ25" s="31">
        <f t="shared" si="6"/>
        <v>0</v>
      </c>
      <c r="BR25" s="362"/>
      <c r="BS25" s="11"/>
      <c r="BT25" s="23">
        <v>414</v>
      </c>
      <c r="BU25" s="24"/>
      <c r="BV25" s="25"/>
      <c r="BW25" s="24"/>
      <c r="BX25" s="23">
        <v>414</v>
      </c>
      <c r="BY25" s="24"/>
      <c r="BZ25" s="25"/>
      <c r="CA25" s="24"/>
      <c r="CB25" s="23">
        <v>414</v>
      </c>
      <c r="CC25" s="24"/>
      <c r="CD25" s="25"/>
      <c r="CE25" s="24"/>
      <c r="CF25" s="23">
        <v>414</v>
      </c>
      <c r="CG25" s="24"/>
      <c r="CH25" s="25"/>
      <c r="CI25" s="24"/>
      <c r="CJ25" s="23">
        <v>414</v>
      </c>
      <c r="CK25" s="24"/>
      <c r="CL25" s="25"/>
      <c r="CM25" s="24"/>
      <c r="CN25" s="23">
        <v>414</v>
      </c>
      <c r="CO25" s="24"/>
      <c r="CP25" s="25"/>
      <c r="CQ25" s="24"/>
      <c r="CR25" s="23">
        <v>414</v>
      </c>
      <c r="CS25" s="24"/>
      <c r="CT25" s="25"/>
      <c r="CU25" s="24"/>
      <c r="CV25" s="23">
        <v>414</v>
      </c>
      <c r="CW25" s="24"/>
      <c r="CX25" s="25"/>
      <c r="CY25" s="24"/>
      <c r="CZ25" s="23">
        <v>414</v>
      </c>
      <c r="DA25" s="24"/>
      <c r="DB25" s="25"/>
      <c r="DC25" s="24"/>
      <c r="DD25" s="23">
        <v>414</v>
      </c>
      <c r="DE25" s="24"/>
      <c r="DF25" s="25"/>
      <c r="DG25" s="24"/>
      <c r="DH25" s="23">
        <v>414</v>
      </c>
      <c r="DI25" s="24"/>
      <c r="DJ25" s="25"/>
      <c r="DK25" s="24"/>
      <c r="DL25" s="23">
        <v>414</v>
      </c>
      <c r="DM25" s="24"/>
      <c r="DN25" s="25"/>
      <c r="DO25" s="24"/>
      <c r="DP25" s="340"/>
      <c r="DQ25" s="32">
        <f>SUMPRODUCT(--(MOD(COLUMN(BT25:CQ25),4)=MOD(COLUMN(BT25),4)),BT25:CQ25)+SUMPRODUCT(--(MOD(COLUMN(CR25:DO25),4)=MOD(COLUMN(CR25),4)),CR25:DO25)</f>
        <v>4968</v>
      </c>
      <c r="DR25" s="32" t="e">
        <f>SUMPRODUCT(--(MOD(COLUMN(BT25:CQ25),4)=MOD(COLUMN(BT25),4)),BT25:CQ25)*#REF!+SUMPRODUCT(--(MOD(COLUMN(CR25:DO25),4)=MOD(COLUMN(CR25),4)),CR25:DO25)*#REF!</f>
        <v>#REF!</v>
      </c>
      <c r="DS25" s="362"/>
      <c r="DT25" s="11"/>
      <c r="DU25" s="23">
        <v>552</v>
      </c>
      <c r="DV25" s="24"/>
      <c r="DW25" s="25"/>
      <c r="DX25" s="24"/>
      <c r="DY25" s="23">
        <v>552</v>
      </c>
      <c r="DZ25" s="24"/>
      <c r="EA25" s="25"/>
      <c r="EB25" s="24"/>
      <c r="EC25" s="23">
        <v>552</v>
      </c>
      <c r="ED25" s="24"/>
      <c r="EE25" s="25"/>
      <c r="EF25" s="24"/>
      <c r="EG25" s="23">
        <v>552</v>
      </c>
      <c r="EH25" s="24"/>
      <c r="EI25" s="25"/>
      <c r="EJ25" s="24"/>
      <c r="EK25" s="23">
        <v>552</v>
      </c>
      <c r="EL25" s="24"/>
      <c r="EM25" s="25"/>
      <c r="EN25" s="24"/>
      <c r="EO25" s="23">
        <v>552</v>
      </c>
      <c r="EP25" s="24"/>
      <c r="EQ25" s="25"/>
      <c r="ER25" s="24"/>
      <c r="ES25" s="23">
        <v>552</v>
      </c>
      <c r="ET25" s="24"/>
      <c r="EU25" s="25"/>
      <c r="EV25" s="24"/>
      <c r="EW25" s="23">
        <v>552</v>
      </c>
      <c r="EX25" s="24"/>
      <c r="EY25" s="25"/>
      <c r="EZ25" s="24"/>
      <c r="FA25" s="23">
        <v>552</v>
      </c>
      <c r="FB25" s="24"/>
      <c r="FC25" s="25"/>
      <c r="FD25" s="24"/>
      <c r="FE25" s="23">
        <v>552</v>
      </c>
      <c r="FF25" s="24"/>
      <c r="FG25" s="25"/>
      <c r="FH25" s="24"/>
      <c r="FI25" s="23">
        <v>552</v>
      </c>
      <c r="FJ25" s="24"/>
      <c r="FK25" s="25"/>
      <c r="FL25" s="24"/>
      <c r="FM25" s="23">
        <v>552</v>
      </c>
      <c r="FN25" s="24"/>
      <c r="FO25" s="25"/>
      <c r="FP25" s="24"/>
      <c r="FQ25" s="340"/>
      <c r="FR25" s="32">
        <f>SUMPRODUCT(--(MOD(COLUMN(DU25:ER25),4)=MOD(COLUMN(DU25),4)),DU25:ER25)+SUMPRODUCT(--(MOD(COLUMN(ES25:FP25),4)=MOD(COLUMN(ES25),4)),ES25:FP25)</f>
        <v>6624</v>
      </c>
      <c r="FS25" s="32" t="e">
        <f>SUMPRODUCT(--(MOD(COLUMN(DU25:ER25),4)=MOD(COLUMN(DU25),4)),DU25:ER25)*#REF!+SUMPRODUCT(--(MOD(COLUMN(ES25:FP25),4)=MOD(COLUMN(ES25),4)),ES25:FP25)*#REF!</f>
        <v>#REF!</v>
      </c>
      <c r="FT25" s="360"/>
    </row>
    <row r="26" spans="1:176" s="14" customFormat="1" outlineLevel="2">
      <c r="A26" s="15" t="s">
        <v>477</v>
      </c>
      <c r="B26" s="16" t="s">
        <v>44</v>
      </c>
      <c r="C26" s="15" t="s">
        <v>31</v>
      </c>
      <c r="D26" s="15" t="s">
        <v>32</v>
      </c>
      <c r="E26" s="17">
        <f>IF(ISBLANK(G26),"",IF($A$6:$A$64=$A26,COUNTIF($A$6:A26,$A26),""))</f>
        <v>4</v>
      </c>
      <c r="F26" s="17">
        <v>1</v>
      </c>
      <c r="G26" s="33">
        <v>8997598154</v>
      </c>
      <c r="H26" s="18" t="s">
        <v>46</v>
      </c>
      <c r="I26" s="625">
        <f>8.4/НДС_20</f>
        <v>7.0000000000000009</v>
      </c>
      <c r="J26" s="20"/>
      <c r="K26" s="20"/>
      <c r="L26" s="20" t="str">
        <f t="shared" si="0"/>
        <v/>
      </c>
      <c r="M26" s="11"/>
      <c r="N26" s="363">
        <f t="shared" si="9"/>
        <v>0</v>
      </c>
      <c r="O26" s="23"/>
      <c r="P26" s="24"/>
      <c r="Q26" s="25"/>
      <c r="R26" s="24"/>
      <c r="S26" s="23"/>
      <c r="T26" s="24"/>
      <c r="U26" s="25">
        <v>0</v>
      </c>
      <c r="V26" s="24"/>
      <c r="W26" s="23"/>
      <c r="X26" s="24"/>
      <c r="Y26" s="25"/>
      <c r="Z26" s="24"/>
      <c r="AA26" s="23"/>
      <c r="AB26" s="24"/>
      <c r="AC26" s="25"/>
      <c r="AD26" s="24"/>
      <c r="AE26" s="23"/>
      <c r="AF26" s="24"/>
      <c r="AG26" s="25"/>
      <c r="AH26" s="24"/>
      <c r="AI26" s="23"/>
      <c r="AJ26" s="24"/>
      <c r="AK26" s="25"/>
      <c r="AL26" s="24"/>
      <c r="AM26" s="23"/>
      <c r="AN26" s="24"/>
      <c r="AO26" s="25"/>
      <c r="AP26" s="24"/>
      <c r="AQ26" s="23"/>
      <c r="AR26" s="24"/>
      <c r="AS26" s="25"/>
      <c r="AT26" s="24"/>
      <c r="AU26" s="23"/>
      <c r="AV26" s="24"/>
      <c r="AW26" s="25"/>
      <c r="AX26" s="24"/>
      <c r="AY26" s="23"/>
      <c r="AZ26" s="24"/>
      <c r="BA26" s="25"/>
      <c r="BB26" s="24"/>
      <c r="BC26" s="23"/>
      <c r="BD26" s="24"/>
      <c r="BE26" s="25"/>
      <c r="BF26" s="24"/>
      <c r="BG26" s="23"/>
      <c r="BH26" s="24"/>
      <c r="BI26" s="25"/>
      <c r="BJ26" s="24"/>
      <c r="BK26" s="340"/>
      <c r="BL26" s="32">
        <f t="shared" si="1"/>
        <v>0</v>
      </c>
      <c r="BM26" s="466">
        <f t="shared" si="2"/>
        <v>0</v>
      </c>
      <c r="BN26" s="28">
        <f t="shared" si="3"/>
        <v>0</v>
      </c>
      <c r="BO26" s="29">
        <f t="shared" si="4"/>
        <v>0</v>
      </c>
      <c r="BP26" s="30">
        <f t="shared" si="5"/>
        <v>0</v>
      </c>
      <c r="BQ26" s="31">
        <f t="shared" si="6"/>
        <v>0</v>
      </c>
      <c r="BR26" s="362"/>
      <c r="BS26" s="11"/>
      <c r="BT26" s="23">
        <v>414</v>
      </c>
      <c r="BU26" s="24"/>
      <c r="BV26" s="25"/>
      <c r="BW26" s="24"/>
      <c r="BX26" s="23">
        <v>414</v>
      </c>
      <c r="BY26" s="24"/>
      <c r="BZ26" s="25"/>
      <c r="CA26" s="24"/>
      <c r="CB26" s="23">
        <v>414</v>
      </c>
      <c r="CC26" s="24"/>
      <c r="CD26" s="25"/>
      <c r="CE26" s="24"/>
      <c r="CF26" s="23">
        <v>414</v>
      </c>
      <c r="CG26" s="24"/>
      <c r="CH26" s="25"/>
      <c r="CI26" s="24"/>
      <c r="CJ26" s="23">
        <v>414</v>
      </c>
      <c r="CK26" s="24"/>
      <c r="CL26" s="25"/>
      <c r="CM26" s="24"/>
      <c r="CN26" s="23">
        <v>414</v>
      </c>
      <c r="CO26" s="24"/>
      <c r="CP26" s="25"/>
      <c r="CQ26" s="24"/>
      <c r="CR26" s="23">
        <v>414</v>
      </c>
      <c r="CS26" s="24"/>
      <c r="CT26" s="25"/>
      <c r="CU26" s="24"/>
      <c r="CV26" s="23">
        <v>414</v>
      </c>
      <c r="CW26" s="24"/>
      <c r="CX26" s="25"/>
      <c r="CY26" s="24"/>
      <c r="CZ26" s="23">
        <v>414</v>
      </c>
      <c r="DA26" s="24"/>
      <c r="DB26" s="25"/>
      <c r="DC26" s="24"/>
      <c r="DD26" s="23">
        <v>414</v>
      </c>
      <c r="DE26" s="24"/>
      <c r="DF26" s="25"/>
      <c r="DG26" s="24"/>
      <c r="DH26" s="23">
        <v>414</v>
      </c>
      <c r="DI26" s="24"/>
      <c r="DJ26" s="25"/>
      <c r="DK26" s="24"/>
      <c r="DL26" s="23">
        <v>414</v>
      </c>
      <c r="DM26" s="24"/>
      <c r="DN26" s="25"/>
      <c r="DO26" s="24"/>
      <c r="DP26" s="340"/>
      <c r="DQ26" s="32">
        <f>SUMPRODUCT(--(MOD(COLUMN(BT26:CQ26),4)=MOD(COLUMN(BT26),4)),BT26:CQ26)+SUMPRODUCT(--(MOD(COLUMN(CR26:DO26),4)=MOD(COLUMN(CR26),4)),CR26:DO26)</f>
        <v>4968</v>
      </c>
      <c r="DR26" s="32" t="e">
        <f>SUMPRODUCT(--(MOD(COLUMN(BT26:CQ26),4)=MOD(COLUMN(BT26),4)),BT26:CQ26)*#REF!+SUMPRODUCT(--(MOD(COLUMN(CR26:DO26),4)=MOD(COLUMN(CR26),4)),CR26:DO26)*#REF!</f>
        <v>#REF!</v>
      </c>
      <c r="DS26" s="362"/>
      <c r="DT26" s="11"/>
      <c r="DU26" s="23">
        <v>552</v>
      </c>
      <c r="DV26" s="24"/>
      <c r="DW26" s="25"/>
      <c r="DX26" s="24"/>
      <c r="DY26" s="23">
        <v>552</v>
      </c>
      <c r="DZ26" s="24"/>
      <c r="EA26" s="25"/>
      <c r="EB26" s="24"/>
      <c r="EC26" s="23">
        <v>552</v>
      </c>
      <c r="ED26" s="24"/>
      <c r="EE26" s="25"/>
      <c r="EF26" s="24"/>
      <c r="EG26" s="23">
        <v>552</v>
      </c>
      <c r="EH26" s="24"/>
      <c r="EI26" s="25"/>
      <c r="EJ26" s="24"/>
      <c r="EK26" s="23">
        <v>552</v>
      </c>
      <c r="EL26" s="24"/>
      <c r="EM26" s="25"/>
      <c r="EN26" s="24"/>
      <c r="EO26" s="23">
        <v>552</v>
      </c>
      <c r="EP26" s="24"/>
      <c r="EQ26" s="25"/>
      <c r="ER26" s="24"/>
      <c r="ES26" s="23">
        <v>552</v>
      </c>
      <c r="ET26" s="24"/>
      <c r="EU26" s="25"/>
      <c r="EV26" s="24"/>
      <c r="EW26" s="23">
        <v>552</v>
      </c>
      <c r="EX26" s="24"/>
      <c r="EY26" s="25"/>
      <c r="EZ26" s="24"/>
      <c r="FA26" s="23">
        <v>552</v>
      </c>
      <c r="FB26" s="24"/>
      <c r="FC26" s="25"/>
      <c r="FD26" s="24"/>
      <c r="FE26" s="23">
        <v>552</v>
      </c>
      <c r="FF26" s="24"/>
      <c r="FG26" s="25"/>
      <c r="FH26" s="24"/>
      <c r="FI26" s="23">
        <v>552</v>
      </c>
      <c r="FJ26" s="24"/>
      <c r="FK26" s="25"/>
      <c r="FL26" s="24"/>
      <c r="FM26" s="23">
        <v>552</v>
      </c>
      <c r="FN26" s="24"/>
      <c r="FO26" s="25"/>
      <c r="FP26" s="24"/>
      <c r="FQ26" s="340"/>
      <c r="FR26" s="32">
        <f>SUMPRODUCT(--(MOD(COLUMN(DU26:ER26),4)=MOD(COLUMN(DU26),4)),DU26:ER26)+SUMPRODUCT(--(MOD(COLUMN(ES26:FP26),4)=MOD(COLUMN(ES26),4)),ES26:FP26)</f>
        <v>6624</v>
      </c>
      <c r="FS26" s="32" t="e">
        <f>SUMPRODUCT(--(MOD(COLUMN(DU26:ER26),4)=MOD(COLUMN(DU26),4)),DU26:ER26)*#REF!+SUMPRODUCT(--(MOD(COLUMN(ES26:FP26),4)=MOD(COLUMN(ES26),4)),ES26:FP26)*#REF!</f>
        <v>#REF!</v>
      </c>
      <c r="FT26" s="360"/>
    </row>
    <row r="27" spans="1:176" s="14" customFormat="1" outlineLevel="2">
      <c r="A27" s="15" t="s">
        <v>477</v>
      </c>
      <c r="B27" s="16" t="s">
        <v>44</v>
      </c>
      <c r="C27" s="15" t="s">
        <v>31</v>
      </c>
      <c r="D27" s="15" t="s">
        <v>32</v>
      </c>
      <c r="E27" s="17">
        <f>IF(ISBLANK(G27),"",IF($A$6:$A$64=$A27,COUNTIF($A$6:A27,$A27),""))</f>
        <v>5</v>
      </c>
      <c r="F27" s="10">
        <v>1</v>
      </c>
      <c r="G27" s="54">
        <v>4235050030</v>
      </c>
      <c r="H27" s="55" t="s">
        <v>37</v>
      </c>
      <c r="I27" s="629">
        <f>163.08/НДС_20</f>
        <v>135.9</v>
      </c>
      <c r="J27" s="20"/>
      <c r="K27" s="20"/>
      <c r="L27" s="20" t="str">
        <f t="shared" si="0"/>
        <v/>
      </c>
      <c r="M27" s="11"/>
      <c r="N27" s="363">
        <f t="shared" si="9"/>
        <v>0</v>
      </c>
      <c r="O27" s="23"/>
      <c r="P27" s="24"/>
      <c r="Q27" s="25"/>
      <c r="R27" s="24"/>
      <c r="S27" s="23"/>
      <c r="T27" s="24"/>
      <c r="U27" s="25">
        <v>0</v>
      </c>
      <c r="V27" s="24"/>
      <c r="W27" s="23"/>
      <c r="X27" s="24"/>
      <c r="Y27" s="25"/>
      <c r="Z27" s="24"/>
      <c r="AA27" s="23"/>
      <c r="AB27" s="24"/>
      <c r="AC27" s="25"/>
      <c r="AD27" s="24"/>
      <c r="AE27" s="23"/>
      <c r="AF27" s="24"/>
      <c r="AG27" s="25"/>
      <c r="AH27" s="24"/>
      <c r="AI27" s="23"/>
      <c r="AJ27" s="24"/>
      <c r="AK27" s="25"/>
      <c r="AL27" s="24"/>
      <c r="AM27" s="23"/>
      <c r="AN27" s="24"/>
      <c r="AO27" s="25"/>
      <c r="AP27" s="24"/>
      <c r="AQ27" s="23"/>
      <c r="AR27" s="24"/>
      <c r="AS27" s="25"/>
      <c r="AT27" s="24"/>
      <c r="AU27" s="23"/>
      <c r="AV27" s="24"/>
      <c r="AW27" s="25"/>
      <c r="AX27" s="24"/>
      <c r="AY27" s="23"/>
      <c r="AZ27" s="24"/>
      <c r="BA27" s="25"/>
      <c r="BB27" s="24"/>
      <c r="BC27" s="23"/>
      <c r="BD27" s="24"/>
      <c r="BE27" s="25"/>
      <c r="BF27" s="24"/>
      <c r="BG27" s="23"/>
      <c r="BH27" s="24"/>
      <c r="BI27" s="25"/>
      <c r="BJ27" s="24"/>
      <c r="BK27" s="340"/>
      <c r="BL27" s="32">
        <f t="shared" si="1"/>
        <v>0</v>
      </c>
      <c r="BM27" s="466">
        <f t="shared" si="2"/>
        <v>0</v>
      </c>
      <c r="BN27" s="28">
        <f t="shared" si="3"/>
        <v>0</v>
      </c>
      <c r="BO27" s="29">
        <f t="shared" si="4"/>
        <v>0</v>
      </c>
      <c r="BP27" s="30">
        <f t="shared" si="5"/>
        <v>0</v>
      </c>
      <c r="BQ27" s="31">
        <f t="shared" si="6"/>
        <v>0</v>
      </c>
      <c r="BR27" s="362"/>
      <c r="BS27" s="11"/>
      <c r="BT27" s="23"/>
      <c r="BU27" s="24"/>
      <c r="BV27" s="25"/>
      <c r="BW27" s="24"/>
      <c r="BX27" s="23"/>
      <c r="BY27" s="24"/>
      <c r="BZ27" s="25"/>
      <c r="CA27" s="24"/>
      <c r="CB27" s="23"/>
      <c r="CC27" s="24"/>
      <c r="CD27" s="25"/>
      <c r="CE27" s="24"/>
      <c r="CF27" s="23"/>
      <c r="CG27" s="24"/>
      <c r="CH27" s="25"/>
      <c r="CI27" s="24"/>
      <c r="CJ27" s="23"/>
      <c r="CK27" s="24"/>
      <c r="CL27" s="25"/>
      <c r="CM27" s="24"/>
      <c r="CN27" s="23"/>
      <c r="CO27" s="24"/>
      <c r="CP27" s="25"/>
      <c r="CQ27" s="24"/>
      <c r="CR27" s="23"/>
      <c r="CS27" s="24"/>
      <c r="CT27" s="25"/>
      <c r="CU27" s="24"/>
      <c r="CV27" s="23"/>
      <c r="CW27" s="24"/>
      <c r="CX27" s="25"/>
      <c r="CY27" s="24"/>
      <c r="CZ27" s="23"/>
      <c r="DA27" s="24"/>
      <c r="DB27" s="25"/>
      <c r="DC27" s="24"/>
      <c r="DD27" s="23"/>
      <c r="DE27" s="24"/>
      <c r="DF27" s="25"/>
      <c r="DG27" s="24"/>
      <c r="DH27" s="23"/>
      <c r="DI27" s="24"/>
      <c r="DJ27" s="25"/>
      <c r="DK27" s="24"/>
      <c r="DL27" s="23"/>
      <c r="DM27" s="24"/>
      <c r="DN27" s="25"/>
      <c r="DO27" s="24"/>
      <c r="DP27" s="340"/>
      <c r="DQ27" s="32">
        <f t="shared" si="7"/>
        <v>0</v>
      </c>
      <c r="DR27" s="32" t="e">
        <f>SUMPRODUCT(--(MOD(COLUMN(BT27:CQ27),4)=MOD(COLUMN(BT27),4)),BT27:CQ27)*#REF!+SUMPRODUCT(--(MOD(COLUMN(CR27:DO27),4)=MOD(COLUMN(CR27),4)),CR27:DO27)*#REF!</f>
        <v>#REF!</v>
      </c>
      <c r="DS27" s="362"/>
      <c r="DT27" s="11"/>
      <c r="DU27" s="23"/>
      <c r="DV27" s="24"/>
      <c r="DW27" s="25"/>
      <c r="DX27" s="24"/>
      <c r="DY27" s="23"/>
      <c r="DZ27" s="24"/>
      <c r="EA27" s="25"/>
      <c r="EB27" s="24"/>
      <c r="EC27" s="23"/>
      <c r="ED27" s="24"/>
      <c r="EE27" s="25"/>
      <c r="EF27" s="24"/>
      <c r="EG27" s="23"/>
      <c r="EH27" s="24"/>
      <c r="EI27" s="25"/>
      <c r="EJ27" s="24"/>
      <c r="EK27" s="23"/>
      <c r="EL27" s="24"/>
      <c r="EM27" s="25"/>
      <c r="EN27" s="24"/>
      <c r="EO27" s="23"/>
      <c r="EP27" s="24"/>
      <c r="EQ27" s="25"/>
      <c r="ER27" s="24"/>
      <c r="ES27" s="23"/>
      <c r="ET27" s="24"/>
      <c r="EU27" s="25"/>
      <c r="EV27" s="24"/>
      <c r="EW27" s="23"/>
      <c r="EX27" s="24"/>
      <c r="EY27" s="25"/>
      <c r="EZ27" s="24"/>
      <c r="FA27" s="23"/>
      <c r="FB27" s="24"/>
      <c r="FC27" s="25"/>
      <c r="FD27" s="24"/>
      <c r="FE27" s="23"/>
      <c r="FF27" s="24"/>
      <c r="FG27" s="25"/>
      <c r="FH27" s="24"/>
      <c r="FI27" s="23"/>
      <c r="FJ27" s="24"/>
      <c r="FK27" s="25"/>
      <c r="FL27" s="24"/>
      <c r="FM27" s="23"/>
      <c r="FN27" s="24"/>
      <c r="FO27" s="25"/>
      <c r="FP27" s="24"/>
      <c r="FQ27" s="340"/>
      <c r="FR27" s="32">
        <f t="shared" si="8"/>
        <v>0</v>
      </c>
      <c r="FS27" s="32" t="e">
        <f>SUMPRODUCT(--(MOD(COLUMN(DU27:ER27),4)=MOD(COLUMN(DU27),4)),DU27:ER27)*#REF!+SUMPRODUCT(--(MOD(COLUMN(ES27:FP27),4)=MOD(COLUMN(ES27),4)),ES27:FP27)*#REF!</f>
        <v>#REF!</v>
      </c>
      <c r="FT27" s="360"/>
    </row>
    <row r="28" spans="1:176" s="14" customFormat="1" outlineLevel="2">
      <c r="A28" s="15" t="s">
        <v>477</v>
      </c>
      <c r="B28" s="16" t="s">
        <v>44</v>
      </c>
      <c r="C28" s="15" t="s">
        <v>31</v>
      </c>
      <c r="D28" s="15" t="s">
        <v>32</v>
      </c>
      <c r="E28" s="17">
        <f>IF(ISBLANK(G28),"",IF($A$6:$A$64=$A28,COUNTIF($A$6:A28,$A28),""))</f>
        <v>6</v>
      </c>
      <c r="F28" s="10">
        <v>1</v>
      </c>
      <c r="G28" s="54">
        <v>9254800506</v>
      </c>
      <c r="H28" s="55" t="s">
        <v>38</v>
      </c>
      <c r="I28" s="629">
        <f>373.98/НДС_20</f>
        <v>311.65000000000003</v>
      </c>
      <c r="J28" s="20"/>
      <c r="K28" s="20"/>
      <c r="L28" s="20" t="str">
        <f t="shared" si="0"/>
        <v/>
      </c>
      <c r="M28" s="11"/>
      <c r="N28" s="363">
        <f t="shared" si="9"/>
        <v>0</v>
      </c>
      <c r="O28" s="23"/>
      <c r="P28" s="24"/>
      <c r="Q28" s="25"/>
      <c r="R28" s="24"/>
      <c r="S28" s="23"/>
      <c r="T28" s="24"/>
      <c r="U28" s="25">
        <v>0</v>
      </c>
      <c r="V28" s="24"/>
      <c r="W28" s="23"/>
      <c r="X28" s="24"/>
      <c r="Y28" s="25"/>
      <c r="Z28" s="24"/>
      <c r="AA28" s="23"/>
      <c r="AB28" s="24"/>
      <c r="AC28" s="25"/>
      <c r="AD28" s="24"/>
      <c r="AE28" s="23"/>
      <c r="AF28" s="24"/>
      <c r="AG28" s="25"/>
      <c r="AH28" s="24"/>
      <c r="AI28" s="23"/>
      <c r="AJ28" s="24"/>
      <c r="AK28" s="25"/>
      <c r="AL28" s="24"/>
      <c r="AM28" s="23"/>
      <c r="AN28" s="24"/>
      <c r="AO28" s="25"/>
      <c r="AP28" s="24"/>
      <c r="AQ28" s="23"/>
      <c r="AR28" s="24"/>
      <c r="AS28" s="25"/>
      <c r="AT28" s="24"/>
      <c r="AU28" s="23"/>
      <c r="AV28" s="24"/>
      <c r="AW28" s="25"/>
      <c r="AX28" s="24"/>
      <c r="AY28" s="23"/>
      <c r="AZ28" s="24"/>
      <c r="BA28" s="25"/>
      <c r="BB28" s="24"/>
      <c r="BC28" s="23"/>
      <c r="BD28" s="24"/>
      <c r="BE28" s="25"/>
      <c r="BF28" s="24"/>
      <c r="BG28" s="23"/>
      <c r="BH28" s="24"/>
      <c r="BI28" s="25"/>
      <c r="BJ28" s="24"/>
      <c r="BK28" s="340"/>
      <c r="BL28" s="32">
        <f t="shared" si="1"/>
        <v>0</v>
      </c>
      <c r="BM28" s="466">
        <f t="shared" si="2"/>
        <v>0</v>
      </c>
      <c r="BN28" s="28">
        <f t="shared" si="3"/>
        <v>0</v>
      </c>
      <c r="BO28" s="29">
        <f t="shared" si="4"/>
        <v>0</v>
      </c>
      <c r="BP28" s="30">
        <f t="shared" si="5"/>
        <v>0</v>
      </c>
      <c r="BQ28" s="31">
        <f t="shared" si="6"/>
        <v>0</v>
      </c>
      <c r="BR28" s="362"/>
      <c r="BS28" s="11"/>
      <c r="BT28" s="23"/>
      <c r="BU28" s="24"/>
      <c r="BV28" s="25"/>
      <c r="BW28" s="24"/>
      <c r="BX28" s="23"/>
      <c r="BY28" s="24"/>
      <c r="BZ28" s="25"/>
      <c r="CA28" s="24"/>
      <c r="CB28" s="23"/>
      <c r="CC28" s="24"/>
      <c r="CD28" s="25"/>
      <c r="CE28" s="24"/>
      <c r="CF28" s="23"/>
      <c r="CG28" s="24"/>
      <c r="CH28" s="25"/>
      <c r="CI28" s="24"/>
      <c r="CJ28" s="23"/>
      <c r="CK28" s="24"/>
      <c r="CL28" s="25"/>
      <c r="CM28" s="24"/>
      <c r="CN28" s="23"/>
      <c r="CO28" s="24"/>
      <c r="CP28" s="25"/>
      <c r="CQ28" s="24"/>
      <c r="CR28" s="23"/>
      <c r="CS28" s="24"/>
      <c r="CT28" s="25"/>
      <c r="CU28" s="24"/>
      <c r="CV28" s="23"/>
      <c r="CW28" s="24"/>
      <c r="CX28" s="25"/>
      <c r="CY28" s="24"/>
      <c r="CZ28" s="23"/>
      <c r="DA28" s="24"/>
      <c r="DB28" s="25"/>
      <c r="DC28" s="24"/>
      <c r="DD28" s="23"/>
      <c r="DE28" s="24"/>
      <c r="DF28" s="25"/>
      <c r="DG28" s="24"/>
      <c r="DH28" s="23"/>
      <c r="DI28" s="24"/>
      <c r="DJ28" s="25"/>
      <c r="DK28" s="24"/>
      <c r="DL28" s="23"/>
      <c r="DM28" s="24"/>
      <c r="DN28" s="25"/>
      <c r="DO28" s="24"/>
      <c r="DP28" s="340"/>
      <c r="DQ28" s="32">
        <f t="shared" si="7"/>
        <v>0</v>
      </c>
      <c r="DR28" s="32" t="e">
        <f>SUMPRODUCT(--(MOD(COLUMN(BT28:CQ28),4)=MOD(COLUMN(BT28),4)),BT28:CQ28)*#REF!+SUMPRODUCT(--(MOD(COLUMN(CR28:DO28),4)=MOD(COLUMN(CR28),4)),CR28:DO28)*#REF!</f>
        <v>#REF!</v>
      </c>
      <c r="DS28" s="362"/>
      <c r="DT28" s="11"/>
      <c r="DU28" s="23"/>
      <c r="DV28" s="24"/>
      <c r="DW28" s="25"/>
      <c r="DX28" s="24"/>
      <c r="DY28" s="23"/>
      <c r="DZ28" s="24"/>
      <c r="EA28" s="25"/>
      <c r="EB28" s="24"/>
      <c r="EC28" s="23"/>
      <c r="ED28" s="24"/>
      <c r="EE28" s="25"/>
      <c r="EF28" s="24"/>
      <c r="EG28" s="23"/>
      <c r="EH28" s="24"/>
      <c r="EI28" s="25"/>
      <c r="EJ28" s="24"/>
      <c r="EK28" s="23"/>
      <c r="EL28" s="24"/>
      <c r="EM28" s="25"/>
      <c r="EN28" s="24"/>
      <c r="EO28" s="23"/>
      <c r="EP28" s="24"/>
      <c r="EQ28" s="25"/>
      <c r="ER28" s="24"/>
      <c r="ES28" s="23"/>
      <c r="ET28" s="24"/>
      <c r="EU28" s="25"/>
      <c r="EV28" s="24"/>
      <c r="EW28" s="23"/>
      <c r="EX28" s="24"/>
      <c r="EY28" s="25"/>
      <c r="EZ28" s="24"/>
      <c r="FA28" s="23"/>
      <c r="FB28" s="24"/>
      <c r="FC28" s="25"/>
      <c r="FD28" s="24"/>
      <c r="FE28" s="23"/>
      <c r="FF28" s="24"/>
      <c r="FG28" s="25"/>
      <c r="FH28" s="24"/>
      <c r="FI28" s="23"/>
      <c r="FJ28" s="24"/>
      <c r="FK28" s="25"/>
      <c r="FL28" s="24"/>
      <c r="FM28" s="23"/>
      <c r="FN28" s="24"/>
      <c r="FO28" s="25"/>
      <c r="FP28" s="24"/>
      <c r="FQ28" s="340"/>
      <c r="FR28" s="32">
        <f t="shared" si="8"/>
        <v>0</v>
      </c>
      <c r="FS28" s="32" t="e">
        <f>SUMPRODUCT(--(MOD(COLUMN(DU28:ER28),4)=MOD(COLUMN(DU28),4)),DU28:ER28)*#REF!+SUMPRODUCT(--(MOD(COLUMN(ES28:FP28),4)=MOD(COLUMN(ES28),4)),ES28:FP28)*#REF!</f>
        <v>#REF!</v>
      </c>
      <c r="FT28" s="360"/>
    </row>
    <row r="29" spans="1:176" s="14" customFormat="1" outlineLevel="2">
      <c r="A29" s="15" t="s">
        <v>477</v>
      </c>
      <c r="B29" s="16" t="s">
        <v>44</v>
      </c>
      <c r="C29" s="15" t="s">
        <v>31</v>
      </c>
      <c r="D29" s="15" t="s">
        <v>32</v>
      </c>
      <c r="E29" s="17">
        <f>IF(ISBLANK(G29),"",IF($A$6:$A$64=$A29,COUNTIF($A$6:A29,$A29),""))</f>
        <v>7</v>
      </c>
      <c r="F29" s="17">
        <v>1</v>
      </c>
      <c r="G29" s="33">
        <v>4235041050</v>
      </c>
      <c r="H29" s="55" t="s">
        <v>47</v>
      </c>
      <c r="I29" s="627">
        <f>156/НДС_20</f>
        <v>130</v>
      </c>
      <c r="J29" s="20"/>
      <c r="K29" s="20"/>
      <c r="L29" s="20" t="str">
        <f t="shared" si="0"/>
        <v/>
      </c>
      <c r="M29" s="11"/>
      <c r="N29" s="363">
        <f t="shared" si="9"/>
        <v>0</v>
      </c>
      <c r="O29" s="23"/>
      <c r="P29" s="24"/>
      <c r="Q29" s="25"/>
      <c r="R29" s="24"/>
      <c r="S29" s="23"/>
      <c r="T29" s="24"/>
      <c r="U29" s="25">
        <v>0</v>
      </c>
      <c r="V29" s="24"/>
      <c r="W29" s="23"/>
      <c r="X29" s="24"/>
      <c r="Y29" s="25"/>
      <c r="Z29" s="24"/>
      <c r="AA29" s="23"/>
      <c r="AB29" s="24"/>
      <c r="AC29" s="25"/>
      <c r="AD29" s="24"/>
      <c r="AE29" s="23"/>
      <c r="AF29" s="24"/>
      <c r="AG29" s="25"/>
      <c r="AH29" s="24"/>
      <c r="AI29" s="23"/>
      <c r="AJ29" s="24"/>
      <c r="AK29" s="25"/>
      <c r="AL29" s="24"/>
      <c r="AM29" s="23"/>
      <c r="AN29" s="24"/>
      <c r="AO29" s="25"/>
      <c r="AP29" s="24"/>
      <c r="AQ29" s="23"/>
      <c r="AR29" s="24"/>
      <c r="AS29" s="25"/>
      <c r="AT29" s="24"/>
      <c r="AU29" s="23"/>
      <c r="AV29" s="24"/>
      <c r="AW29" s="25"/>
      <c r="AX29" s="24"/>
      <c r="AY29" s="23"/>
      <c r="AZ29" s="24"/>
      <c r="BA29" s="25"/>
      <c r="BB29" s="24"/>
      <c r="BC29" s="23"/>
      <c r="BD29" s="24"/>
      <c r="BE29" s="25"/>
      <c r="BF29" s="24"/>
      <c r="BG29" s="23"/>
      <c r="BH29" s="24"/>
      <c r="BI29" s="25"/>
      <c r="BJ29" s="24"/>
      <c r="BK29" s="340"/>
      <c r="BL29" s="32">
        <f t="shared" si="1"/>
        <v>0</v>
      </c>
      <c r="BM29" s="466">
        <f t="shared" si="2"/>
        <v>0</v>
      </c>
      <c r="BN29" s="28">
        <f t="shared" si="3"/>
        <v>0</v>
      </c>
      <c r="BO29" s="29">
        <f t="shared" si="4"/>
        <v>0</v>
      </c>
      <c r="BP29" s="30">
        <f t="shared" si="5"/>
        <v>0</v>
      </c>
      <c r="BQ29" s="31">
        <f t="shared" si="6"/>
        <v>0</v>
      </c>
      <c r="BR29" s="362"/>
      <c r="BS29" s="11"/>
      <c r="BT29" s="23"/>
      <c r="BU29" s="24"/>
      <c r="BV29" s="25"/>
      <c r="BW29" s="24"/>
      <c r="BX29" s="23"/>
      <c r="BY29" s="24"/>
      <c r="BZ29" s="25"/>
      <c r="CA29" s="24"/>
      <c r="CB29" s="23"/>
      <c r="CC29" s="24"/>
      <c r="CD29" s="25"/>
      <c r="CE29" s="24"/>
      <c r="CF29" s="23"/>
      <c r="CG29" s="24"/>
      <c r="CH29" s="25"/>
      <c r="CI29" s="24"/>
      <c r="CJ29" s="23"/>
      <c r="CK29" s="24"/>
      <c r="CL29" s="25"/>
      <c r="CM29" s="24"/>
      <c r="CN29" s="23"/>
      <c r="CO29" s="24"/>
      <c r="CP29" s="25"/>
      <c r="CQ29" s="24"/>
      <c r="CR29" s="23"/>
      <c r="CS29" s="24"/>
      <c r="CT29" s="25"/>
      <c r="CU29" s="24"/>
      <c r="CV29" s="23"/>
      <c r="CW29" s="24"/>
      <c r="CX29" s="25"/>
      <c r="CY29" s="24"/>
      <c r="CZ29" s="23"/>
      <c r="DA29" s="24"/>
      <c r="DB29" s="25"/>
      <c r="DC29" s="24"/>
      <c r="DD29" s="23"/>
      <c r="DE29" s="24"/>
      <c r="DF29" s="25"/>
      <c r="DG29" s="24"/>
      <c r="DH29" s="23"/>
      <c r="DI29" s="24"/>
      <c r="DJ29" s="25"/>
      <c r="DK29" s="24"/>
      <c r="DL29" s="23"/>
      <c r="DM29" s="24"/>
      <c r="DN29" s="25"/>
      <c r="DO29" s="24"/>
      <c r="DP29" s="340"/>
      <c r="DQ29" s="32">
        <f t="shared" si="7"/>
        <v>0</v>
      </c>
      <c r="DR29" s="32" t="e">
        <f>SUMPRODUCT(--(MOD(COLUMN(BT29:CQ29),4)=MOD(COLUMN(BT29),4)),BT29:CQ29)*#REF!+SUMPRODUCT(--(MOD(COLUMN(CR29:DO29),4)=MOD(COLUMN(CR29),4)),CR29:DO29)*#REF!</f>
        <v>#REF!</v>
      </c>
      <c r="DS29" s="362"/>
      <c r="DT29" s="11"/>
      <c r="DU29" s="23"/>
      <c r="DV29" s="24"/>
      <c r="DW29" s="25"/>
      <c r="DX29" s="24"/>
      <c r="DY29" s="23"/>
      <c r="DZ29" s="24"/>
      <c r="EA29" s="25"/>
      <c r="EB29" s="24"/>
      <c r="EC29" s="23"/>
      <c r="ED29" s="24"/>
      <c r="EE29" s="25"/>
      <c r="EF29" s="24"/>
      <c r="EG29" s="23"/>
      <c r="EH29" s="24"/>
      <c r="EI29" s="25"/>
      <c r="EJ29" s="24"/>
      <c r="EK29" s="23"/>
      <c r="EL29" s="24"/>
      <c r="EM29" s="25"/>
      <c r="EN29" s="24"/>
      <c r="EO29" s="23"/>
      <c r="EP29" s="24"/>
      <c r="EQ29" s="25"/>
      <c r="ER29" s="24"/>
      <c r="ES29" s="23"/>
      <c r="ET29" s="24"/>
      <c r="EU29" s="25"/>
      <c r="EV29" s="24"/>
      <c r="EW29" s="23"/>
      <c r="EX29" s="24"/>
      <c r="EY29" s="25"/>
      <c r="EZ29" s="24"/>
      <c r="FA29" s="23"/>
      <c r="FB29" s="24"/>
      <c r="FC29" s="25"/>
      <c r="FD29" s="24"/>
      <c r="FE29" s="23"/>
      <c r="FF29" s="24"/>
      <c r="FG29" s="25"/>
      <c r="FH29" s="24"/>
      <c r="FI29" s="23"/>
      <c r="FJ29" s="24"/>
      <c r="FK29" s="25"/>
      <c r="FL29" s="24"/>
      <c r="FM29" s="23"/>
      <c r="FN29" s="24"/>
      <c r="FO29" s="25"/>
      <c r="FP29" s="24"/>
      <c r="FQ29" s="340"/>
      <c r="FR29" s="32">
        <f t="shared" si="8"/>
        <v>0</v>
      </c>
      <c r="FS29" s="32" t="e">
        <f>SUMPRODUCT(--(MOD(COLUMN(DU29:ER29),4)=MOD(COLUMN(DU29),4)),DU29:ER29)*#REF!+SUMPRODUCT(--(MOD(COLUMN(ES29:FP29),4)=MOD(COLUMN(ES29),4)),ES29:FP29)*#REF!</f>
        <v>#REF!</v>
      </c>
      <c r="FT29" s="360"/>
    </row>
    <row r="30" spans="1:176" s="14" customFormat="1" outlineLevel="2">
      <c r="A30" s="15" t="s">
        <v>477</v>
      </c>
      <c r="B30" s="16" t="s">
        <v>44</v>
      </c>
      <c r="C30" s="15" t="s">
        <v>31</v>
      </c>
      <c r="D30" s="15" t="s">
        <v>32</v>
      </c>
      <c r="E30" s="17">
        <f>IF(ISBLANK(G30),"",IF($A$6:$A$64=$A30,COUNTIF($A$6:A30,$A30),""))</f>
        <v>8</v>
      </c>
      <c r="F30" s="17">
        <v>1</v>
      </c>
      <c r="G30" s="33">
        <v>9254849611</v>
      </c>
      <c r="H30" s="55" t="s">
        <v>48</v>
      </c>
      <c r="I30" s="627">
        <f t="shared" ref="I30:I31" si="12">360/НДС_20</f>
        <v>300</v>
      </c>
      <c r="J30" s="20"/>
      <c r="K30" s="20"/>
      <c r="L30" s="20" t="str">
        <f t="shared" si="0"/>
        <v/>
      </c>
      <c r="M30" s="11"/>
      <c r="N30" s="363">
        <f t="shared" si="9"/>
        <v>0</v>
      </c>
      <c r="O30" s="23"/>
      <c r="P30" s="24"/>
      <c r="Q30" s="25"/>
      <c r="R30" s="24"/>
      <c r="S30" s="23"/>
      <c r="T30" s="24"/>
      <c r="U30" s="25">
        <v>0</v>
      </c>
      <c r="V30" s="24"/>
      <c r="W30" s="23"/>
      <c r="X30" s="24"/>
      <c r="Y30" s="25"/>
      <c r="Z30" s="24"/>
      <c r="AA30" s="23"/>
      <c r="AB30" s="24"/>
      <c r="AC30" s="25"/>
      <c r="AD30" s="24"/>
      <c r="AE30" s="23"/>
      <c r="AF30" s="24"/>
      <c r="AG30" s="25"/>
      <c r="AH30" s="24"/>
      <c r="AI30" s="23"/>
      <c r="AJ30" s="24"/>
      <c r="AK30" s="25"/>
      <c r="AL30" s="24"/>
      <c r="AM30" s="23"/>
      <c r="AN30" s="24"/>
      <c r="AO30" s="25"/>
      <c r="AP30" s="24"/>
      <c r="AQ30" s="23"/>
      <c r="AR30" s="24"/>
      <c r="AS30" s="25"/>
      <c r="AT30" s="24"/>
      <c r="AU30" s="23"/>
      <c r="AV30" s="24"/>
      <c r="AW30" s="25"/>
      <c r="AX30" s="24"/>
      <c r="AY30" s="23"/>
      <c r="AZ30" s="24"/>
      <c r="BA30" s="25"/>
      <c r="BB30" s="24"/>
      <c r="BC30" s="23"/>
      <c r="BD30" s="24"/>
      <c r="BE30" s="25"/>
      <c r="BF30" s="24"/>
      <c r="BG30" s="23"/>
      <c r="BH30" s="24"/>
      <c r="BI30" s="25"/>
      <c r="BJ30" s="24"/>
      <c r="BK30" s="340"/>
      <c r="BL30" s="32">
        <f t="shared" si="1"/>
        <v>0</v>
      </c>
      <c r="BM30" s="466">
        <f t="shared" si="2"/>
        <v>0</v>
      </c>
      <c r="BN30" s="28">
        <f t="shared" si="3"/>
        <v>0</v>
      </c>
      <c r="BO30" s="29">
        <f t="shared" si="4"/>
        <v>0</v>
      </c>
      <c r="BP30" s="30">
        <f t="shared" si="5"/>
        <v>0</v>
      </c>
      <c r="BQ30" s="31">
        <f t="shared" si="6"/>
        <v>0</v>
      </c>
      <c r="BR30" s="362"/>
      <c r="BS30" s="11"/>
      <c r="BT30" s="23"/>
      <c r="BU30" s="24"/>
      <c r="BV30" s="25"/>
      <c r="BW30" s="24"/>
      <c r="BX30" s="23"/>
      <c r="BY30" s="24"/>
      <c r="BZ30" s="25"/>
      <c r="CA30" s="24"/>
      <c r="CB30" s="23"/>
      <c r="CC30" s="24"/>
      <c r="CD30" s="25"/>
      <c r="CE30" s="24"/>
      <c r="CF30" s="23"/>
      <c r="CG30" s="24"/>
      <c r="CH30" s="25"/>
      <c r="CI30" s="24"/>
      <c r="CJ30" s="23"/>
      <c r="CK30" s="24"/>
      <c r="CL30" s="25"/>
      <c r="CM30" s="24"/>
      <c r="CN30" s="23"/>
      <c r="CO30" s="24"/>
      <c r="CP30" s="25"/>
      <c r="CQ30" s="24"/>
      <c r="CR30" s="23"/>
      <c r="CS30" s="24"/>
      <c r="CT30" s="25"/>
      <c r="CU30" s="24"/>
      <c r="CV30" s="23"/>
      <c r="CW30" s="24"/>
      <c r="CX30" s="25"/>
      <c r="CY30" s="24"/>
      <c r="CZ30" s="23"/>
      <c r="DA30" s="24"/>
      <c r="DB30" s="25"/>
      <c r="DC30" s="24"/>
      <c r="DD30" s="23"/>
      <c r="DE30" s="24"/>
      <c r="DF30" s="25"/>
      <c r="DG30" s="24"/>
      <c r="DH30" s="23"/>
      <c r="DI30" s="24"/>
      <c r="DJ30" s="25"/>
      <c r="DK30" s="24"/>
      <c r="DL30" s="23"/>
      <c r="DM30" s="24"/>
      <c r="DN30" s="25"/>
      <c r="DO30" s="24"/>
      <c r="DP30" s="340"/>
      <c r="DQ30" s="32">
        <f t="shared" si="7"/>
        <v>0</v>
      </c>
      <c r="DR30" s="32" t="e">
        <f>SUMPRODUCT(--(MOD(COLUMN(BT30:CQ30),4)=MOD(COLUMN(BT30),4)),BT30:CQ30)*#REF!+SUMPRODUCT(--(MOD(COLUMN(CR30:DO30),4)=MOD(COLUMN(CR30),4)),CR30:DO30)*#REF!</f>
        <v>#REF!</v>
      </c>
      <c r="DS30" s="362"/>
      <c r="DT30" s="11"/>
      <c r="DU30" s="23"/>
      <c r="DV30" s="24"/>
      <c r="DW30" s="25"/>
      <c r="DX30" s="24"/>
      <c r="DY30" s="23"/>
      <c r="DZ30" s="24"/>
      <c r="EA30" s="25"/>
      <c r="EB30" s="24"/>
      <c r="EC30" s="23"/>
      <c r="ED30" s="24"/>
      <c r="EE30" s="25"/>
      <c r="EF30" s="24"/>
      <c r="EG30" s="23"/>
      <c r="EH30" s="24"/>
      <c r="EI30" s="25"/>
      <c r="EJ30" s="24"/>
      <c r="EK30" s="23"/>
      <c r="EL30" s="24"/>
      <c r="EM30" s="25"/>
      <c r="EN30" s="24"/>
      <c r="EO30" s="23"/>
      <c r="EP30" s="24"/>
      <c r="EQ30" s="25"/>
      <c r="ER30" s="24"/>
      <c r="ES30" s="23"/>
      <c r="ET30" s="24"/>
      <c r="EU30" s="25"/>
      <c r="EV30" s="24"/>
      <c r="EW30" s="23"/>
      <c r="EX30" s="24"/>
      <c r="EY30" s="25"/>
      <c r="EZ30" s="24"/>
      <c r="FA30" s="23"/>
      <c r="FB30" s="24"/>
      <c r="FC30" s="25"/>
      <c r="FD30" s="24"/>
      <c r="FE30" s="23"/>
      <c r="FF30" s="24"/>
      <c r="FG30" s="25"/>
      <c r="FH30" s="24"/>
      <c r="FI30" s="23"/>
      <c r="FJ30" s="24"/>
      <c r="FK30" s="25"/>
      <c r="FL30" s="24"/>
      <c r="FM30" s="23"/>
      <c r="FN30" s="24"/>
      <c r="FO30" s="25"/>
      <c r="FP30" s="24"/>
      <c r="FQ30" s="340"/>
      <c r="FR30" s="32">
        <f t="shared" si="8"/>
        <v>0</v>
      </c>
      <c r="FS30" s="32" t="e">
        <f>SUMPRODUCT(--(MOD(COLUMN(DU30:ER30),4)=MOD(COLUMN(DU30),4)),DU30:ER30)*#REF!+SUMPRODUCT(--(MOD(COLUMN(ES30:FP30),4)=MOD(COLUMN(ES30),4)),ES30:FP30)*#REF!</f>
        <v>#REF!</v>
      </c>
      <c r="FT30" s="360"/>
    </row>
    <row r="31" spans="1:176" s="14" customFormat="1" outlineLevel="2">
      <c r="A31" s="15" t="s">
        <v>477</v>
      </c>
      <c r="B31" s="16" t="s">
        <v>44</v>
      </c>
      <c r="C31" s="15" t="s">
        <v>31</v>
      </c>
      <c r="D31" s="15" t="s">
        <v>32</v>
      </c>
      <c r="E31" s="17">
        <f>IF(ISBLANK(G31),"",IF($A$6:$A$64=$A31,COUNTIF($A$6:A31,$A31),""))</f>
        <v>9</v>
      </c>
      <c r="F31" s="17">
        <v>1</v>
      </c>
      <c r="G31" s="33">
        <v>9254800620</v>
      </c>
      <c r="H31" s="55" t="s">
        <v>48</v>
      </c>
      <c r="I31" s="627">
        <f t="shared" si="12"/>
        <v>300</v>
      </c>
      <c r="J31" s="20"/>
      <c r="K31" s="20"/>
      <c r="L31" s="20" t="str">
        <f t="shared" si="0"/>
        <v/>
      </c>
      <c r="M31" s="11"/>
      <c r="N31" s="363">
        <f t="shared" si="9"/>
        <v>0</v>
      </c>
      <c r="O31" s="23"/>
      <c r="P31" s="24"/>
      <c r="Q31" s="25"/>
      <c r="R31" s="24"/>
      <c r="S31" s="23"/>
      <c r="T31" s="24"/>
      <c r="U31" s="25">
        <v>0</v>
      </c>
      <c r="V31" s="24"/>
      <c r="W31" s="23"/>
      <c r="X31" s="24"/>
      <c r="Y31" s="25"/>
      <c r="Z31" s="24"/>
      <c r="AA31" s="23"/>
      <c r="AB31" s="24"/>
      <c r="AC31" s="25"/>
      <c r="AD31" s="24"/>
      <c r="AE31" s="23"/>
      <c r="AF31" s="24"/>
      <c r="AG31" s="25"/>
      <c r="AH31" s="24"/>
      <c r="AI31" s="23"/>
      <c r="AJ31" s="24"/>
      <c r="AK31" s="25"/>
      <c r="AL31" s="24"/>
      <c r="AM31" s="23"/>
      <c r="AN31" s="24"/>
      <c r="AO31" s="25"/>
      <c r="AP31" s="24"/>
      <c r="AQ31" s="23"/>
      <c r="AR31" s="24"/>
      <c r="AS31" s="25"/>
      <c r="AT31" s="24"/>
      <c r="AU31" s="23"/>
      <c r="AV31" s="24"/>
      <c r="AW31" s="25"/>
      <c r="AX31" s="24"/>
      <c r="AY31" s="23"/>
      <c r="AZ31" s="24"/>
      <c r="BA31" s="25"/>
      <c r="BB31" s="24"/>
      <c r="BC31" s="23"/>
      <c r="BD31" s="24"/>
      <c r="BE31" s="25"/>
      <c r="BF31" s="24"/>
      <c r="BG31" s="23"/>
      <c r="BH31" s="24"/>
      <c r="BI31" s="25"/>
      <c r="BJ31" s="24"/>
      <c r="BK31" s="340"/>
      <c r="BL31" s="32">
        <f t="shared" si="1"/>
        <v>0</v>
      </c>
      <c r="BM31" s="466">
        <f t="shared" si="2"/>
        <v>0</v>
      </c>
      <c r="BN31" s="28">
        <f t="shared" si="3"/>
        <v>0</v>
      </c>
      <c r="BO31" s="29">
        <f t="shared" si="4"/>
        <v>0</v>
      </c>
      <c r="BP31" s="30">
        <f t="shared" si="5"/>
        <v>0</v>
      </c>
      <c r="BQ31" s="31">
        <f t="shared" si="6"/>
        <v>0</v>
      </c>
      <c r="BR31" s="362"/>
      <c r="BS31" s="11"/>
      <c r="BT31" s="23"/>
      <c r="BU31" s="24"/>
      <c r="BV31" s="25"/>
      <c r="BW31" s="24"/>
      <c r="BX31" s="23"/>
      <c r="BY31" s="24"/>
      <c r="BZ31" s="25"/>
      <c r="CA31" s="24"/>
      <c r="CB31" s="23"/>
      <c r="CC31" s="24"/>
      <c r="CD31" s="25"/>
      <c r="CE31" s="24"/>
      <c r="CF31" s="23"/>
      <c r="CG31" s="24"/>
      <c r="CH31" s="25"/>
      <c r="CI31" s="24"/>
      <c r="CJ31" s="23"/>
      <c r="CK31" s="24"/>
      <c r="CL31" s="25"/>
      <c r="CM31" s="24"/>
      <c r="CN31" s="23"/>
      <c r="CO31" s="24"/>
      <c r="CP31" s="25"/>
      <c r="CQ31" s="24"/>
      <c r="CR31" s="23"/>
      <c r="CS31" s="24"/>
      <c r="CT31" s="25"/>
      <c r="CU31" s="24"/>
      <c r="CV31" s="23"/>
      <c r="CW31" s="24"/>
      <c r="CX31" s="25"/>
      <c r="CY31" s="24"/>
      <c r="CZ31" s="23"/>
      <c r="DA31" s="24"/>
      <c r="DB31" s="25"/>
      <c r="DC31" s="24"/>
      <c r="DD31" s="23"/>
      <c r="DE31" s="24"/>
      <c r="DF31" s="25"/>
      <c r="DG31" s="24"/>
      <c r="DH31" s="23"/>
      <c r="DI31" s="24"/>
      <c r="DJ31" s="25"/>
      <c r="DK31" s="24"/>
      <c r="DL31" s="23"/>
      <c r="DM31" s="24"/>
      <c r="DN31" s="25"/>
      <c r="DO31" s="24"/>
      <c r="DP31" s="340"/>
      <c r="DQ31" s="32">
        <f t="shared" si="7"/>
        <v>0</v>
      </c>
      <c r="DR31" s="32" t="e">
        <f>SUMPRODUCT(--(MOD(COLUMN(BT31:CQ31),4)=MOD(COLUMN(BT31),4)),BT31:CQ31)*#REF!+SUMPRODUCT(--(MOD(COLUMN(CR31:DO31),4)=MOD(COLUMN(CR31),4)),CR31:DO31)*#REF!</f>
        <v>#REF!</v>
      </c>
      <c r="DS31" s="362"/>
      <c r="DT31" s="11"/>
      <c r="DU31" s="23"/>
      <c r="DV31" s="24"/>
      <c r="DW31" s="25"/>
      <c r="DX31" s="24"/>
      <c r="DY31" s="23"/>
      <c r="DZ31" s="24"/>
      <c r="EA31" s="25"/>
      <c r="EB31" s="24"/>
      <c r="EC31" s="23"/>
      <c r="ED31" s="24"/>
      <c r="EE31" s="25"/>
      <c r="EF31" s="24"/>
      <c r="EG31" s="23"/>
      <c r="EH31" s="24"/>
      <c r="EI31" s="25"/>
      <c r="EJ31" s="24"/>
      <c r="EK31" s="23"/>
      <c r="EL31" s="24"/>
      <c r="EM31" s="25"/>
      <c r="EN31" s="24"/>
      <c r="EO31" s="23"/>
      <c r="EP31" s="24"/>
      <c r="EQ31" s="25"/>
      <c r="ER31" s="24"/>
      <c r="ES31" s="23"/>
      <c r="ET31" s="24"/>
      <c r="EU31" s="25"/>
      <c r="EV31" s="24"/>
      <c r="EW31" s="23"/>
      <c r="EX31" s="24"/>
      <c r="EY31" s="25"/>
      <c r="EZ31" s="24"/>
      <c r="FA31" s="23"/>
      <c r="FB31" s="24"/>
      <c r="FC31" s="25"/>
      <c r="FD31" s="24"/>
      <c r="FE31" s="23"/>
      <c r="FF31" s="24"/>
      <c r="FG31" s="25"/>
      <c r="FH31" s="24"/>
      <c r="FI31" s="23"/>
      <c r="FJ31" s="24"/>
      <c r="FK31" s="25"/>
      <c r="FL31" s="24"/>
      <c r="FM31" s="23"/>
      <c r="FN31" s="24"/>
      <c r="FO31" s="25"/>
      <c r="FP31" s="24"/>
      <c r="FQ31" s="340"/>
      <c r="FR31" s="32">
        <f t="shared" si="8"/>
        <v>0</v>
      </c>
      <c r="FS31" s="32" t="e">
        <f>SUMPRODUCT(--(MOD(COLUMN(DU31:ER31),4)=MOD(COLUMN(DU31),4)),DU31:ER31)*#REF!+SUMPRODUCT(--(MOD(COLUMN(ES31:FP31),4)=MOD(COLUMN(ES31),4)),ES31:FP31)*#REF!</f>
        <v>#REF!</v>
      </c>
      <c r="FT31" s="360"/>
    </row>
    <row r="32" spans="1:176" s="14" customFormat="1" outlineLevel="2">
      <c r="A32" s="15" t="s">
        <v>477</v>
      </c>
      <c r="B32" s="16" t="s">
        <v>44</v>
      </c>
      <c r="C32" s="15" t="s">
        <v>31</v>
      </c>
      <c r="D32" s="15" t="s">
        <v>32</v>
      </c>
      <c r="E32" s="17">
        <f>IF(ISBLANK(G32),"",IF($A$6:$A$64=$A32,COUNTIF($A$6:A32,$A32),""))</f>
        <v>10</v>
      </c>
      <c r="F32" s="17">
        <v>1</v>
      </c>
      <c r="G32" s="33">
        <v>4235041060</v>
      </c>
      <c r="H32" s="55" t="s">
        <v>49</v>
      </c>
      <c r="I32" s="627">
        <f>600/НДС_20</f>
        <v>500</v>
      </c>
      <c r="J32" s="20"/>
      <c r="K32" s="20"/>
      <c r="L32" s="20" t="str">
        <f t="shared" si="0"/>
        <v/>
      </c>
      <c r="M32" s="11"/>
      <c r="N32" s="363">
        <f t="shared" si="9"/>
        <v>0</v>
      </c>
      <c r="O32" s="23"/>
      <c r="P32" s="24"/>
      <c r="Q32" s="25"/>
      <c r="R32" s="24"/>
      <c r="S32" s="23"/>
      <c r="T32" s="24"/>
      <c r="U32" s="25">
        <v>0</v>
      </c>
      <c r="V32" s="24"/>
      <c r="W32" s="23"/>
      <c r="X32" s="24"/>
      <c r="Y32" s="25"/>
      <c r="Z32" s="24"/>
      <c r="AA32" s="23"/>
      <c r="AB32" s="24"/>
      <c r="AC32" s="25"/>
      <c r="AD32" s="24"/>
      <c r="AE32" s="23"/>
      <c r="AF32" s="24"/>
      <c r="AG32" s="25"/>
      <c r="AH32" s="24"/>
      <c r="AI32" s="23"/>
      <c r="AJ32" s="24"/>
      <c r="AK32" s="25"/>
      <c r="AL32" s="24"/>
      <c r="AM32" s="23"/>
      <c r="AN32" s="24"/>
      <c r="AO32" s="25"/>
      <c r="AP32" s="24"/>
      <c r="AQ32" s="23"/>
      <c r="AR32" s="24"/>
      <c r="AS32" s="25"/>
      <c r="AT32" s="24"/>
      <c r="AU32" s="23"/>
      <c r="AV32" s="24"/>
      <c r="AW32" s="25"/>
      <c r="AX32" s="24"/>
      <c r="AY32" s="23"/>
      <c r="AZ32" s="24"/>
      <c r="BA32" s="25"/>
      <c r="BB32" s="24"/>
      <c r="BC32" s="23"/>
      <c r="BD32" s="24"/>
      <c r="BE32" s="25"/>
      <c r="BF32" s="24"/>
      <c r="BG32" s="23"/>
      <c r="BH32" s="24"/>
      <c r="BI32" s="25"/>
      <c r="BJ32" s="24"/>
      <c r="BK32" s="340"/>
      <c r="BL32" s="32">
        <f t="shared" si="1"/>
        <v>0</v>
      </c>
      <c r="BM32" s="466">
        <f t="shared" si="2"/>
        <v>0</v>
      </c>
      <c r="BN32" s="28">
        <f t="shared" si="3"/>
        <v>0</v>
      </c>
      <c r="BO32" s="29">
        <f t="shared" si="4"/>
        <v>0</v>
      </c>
      <c r="BP32" s="30">
        <f t="shared" si="5"/>
        <v>0</v>
      </c>
      <c r="BQ32" s="31">
        <f t="shared" si="6"/>
        <v>0</v>
      </c>
      <c r="BR32" s="362"/>
      <c r="BS32" s="11"/>
      <c r="BT32" s="23"/>
      <c r="BU32" s="24"/>
      <c r="BV32" s="25"/>
      <c r="BW32" s="24"/>
      <c r="BX32" s="23"/>
      <c r="BY32" s="24"/>
      <c r="BZ32" s="25"/>
      <c r="CA32" s="24"/>
      <c r="CB32" s="23"/>
      <c r="CC32" s="24"/>
      <c r="CD32" s="25"/>
      <c r="CE32" s="24"/>
      <c r="CF32" s="23"/>
      <c r="CG32" s="24"/>
      <c r="CH32" s="25"/>
      <c r="CI32" s="24"/>
      <c r="CJ32" s="23"/>
      <c r="CK32" s="24"/>
      <c r="CL32" s="25"/>
      <c r="CM32" s="24"/>
      <c r="CN32" s="23"/>
      <c r="CO32" s="24"/>
      <c r="CP32" s="25"/>
      <c r="CQ32" s="24"/>
      <c r="CR32" s="23"/>
      <c r="CS32" s="24"/>
      <c r="CT32" s="25"/>
      <c r="CU32" s="24"/>
      <c r="CV32" s="23"/>
      <c r="CW32" s="24"/>
      <c r="CX32" s="25"/>
      <c r="CY32" s="24"/>
      <c r="CZ32" s="23"/>
      <c r="DA32" s="24"/>
      <c r="DB32" s="25"/>
      <c r="DC32" s="24"/>
      <c r="DD32" s="23"/>
      <c r="DE32" s="24"/>
      <c r="DF32" s="25"/>
      <c r="DG32" s="24"/>
      <c r="DH32" s="23"/>
      <c r="DI32" s="24"/>
      <c r="DJ32" s="25"/>
      <c r="DK32" s="24"/>
      <c r="DL32" s="23"/>
      <c r="DM32" s="24"/>
      <c r="DN32" s="25"/>
      <c r="DO32" s="24"/>
      <c r="DP32" s="340"/>
      <c r="DQ32" s="32">
        <f t="shared" si="7"/>
        <v>0</v>
      </c>
      <c r="DR32" s="32" t="e">
        <f>SUMPRODUCT(--(MOD(COLUMN(BT32:CQ32),4)=MOD(COLUMN(BT32),4)),BT32:CQ32)*#REF!+SUMPRODUCT(--(MOD(COLUMN(CR32:DO32),4)=MOD(COLUMN(CR32),4)),CR32:DO32)*#REF!</f>
        <v>#REF!</v>
      </c>
      <c r="DS32" s="362"/>
      <c r="DT32" s="11"/>
      <c r="DU32" s="23"/>
      <c r="DV32" s="24"/>
      <c r="DW32" s="25"/>
      <c r="DX32" s="24"/>
      <c r="DY32" s="23"/>
      <c r="DZ32" s="24"/>
      <c r="EA32" s="25"/>
      <c r="EB32" s="24"/>
      <c r="EC32" s="23"/>
      <c r="ED32" s="24"/>
      <c r="EE32" s="25"/>
      <c r="EF32" s="24"/>
      <c r="EG32" s="23"/>
      <c r="EH32" s="24"/>
      <c r="EI32" s="25"/>
      <c r="EJ32" s="24"/>
      <c r="EK32" s="23"/>
      <c r="EL32" s="24"/>
      <c r="EM32" s="25"/>
      <c r="EN32" s="24"/>
      <c r="EO32" s="23"/>
      <c r="EP32" s="24"/>
      <c r="EQ32" s="25"/>
      <c r="ER32" s="24"/>
      <c r="ES32" s="23"/>
      <c r="ET32" s="24"/>
      <c r="EU32" s="25"/>
      <c r="EV32" s="24"/>
      <c r="EW32" s="23"/>
      <c r="EX32" s="24"/>
      <c r="EY32" s="25"/>
      <c r="EZ32" s="24"/>
      <c r="FA32" s="23"/>
      <c r="FB32" s="24"/>
      <c r="FC32" s="25"/>
      <c r="FD32" s="24"/>
      <c r="FE32" s="23"/>
      <c r="FF32" s="24"/>
      <c r="FG32" s="25"/>
      <c r="FH32" s="24"/>
      <c r="FI32" s="23"/>
      <c r="FJ32" s="24"/>
      <c r="FK32" s="25"/>
      <c r="FL32" s="24"/>
      <c r="FM32" s="23"/>
      <c r="FN32" s="24"/>
      <c r="FO32" s="25"/>
      <c r="FP32" s="24"/>
      <c r="FQ32" s="340"/>
      <c r="FR32" s="32">
        <f t="shared" si="8"/>
        <v>0</v>
      </c>
      <c r="FS32" s="32" t="e">
        <f>SUMPRODUCT(--(MOD(COLUMN(DU32:ER32),4)=MOD(COLUMN(DU32),4)),DU32:ER32)*#REF!+SUMPRODUCT(--(MOD(COLUMN(ES32:FP32),4)=MOD(COLUMN(ES32),4)),ES32:FP32)*#REF!</f>
        <v>#REF!</v>
      </c>
      <c r="FT32" s="360"/>
    </row>
    <row r="33" spans="1:176" s="14" customFormat="1" outlineLevel="2">
      <c r="A33" s="15" t="s">
        <v>477</v>
      </c>
      <c r="B33" s="16"/>
      <c r="C33" s="15"/>
      <c r="D33" s="15"/>
      <c r="E33" s="35" t="str">
        <f>IF(ISBLANK(G33),"",IF($A$6:$A$64=$A33,COUNTIF($A$6:A33,$A33),""))</f>
        <v/>
      </c>
      <c r="F33" s="35"/>
      <c r="G33" s="53"/>
      <c r="H33" s="36" t="s">
        <v>43</v>
      </c>
      <c r="I33" s="626"/>
      <c r="J33" s="38"/>
      <c r="K33" s="38"/>
      <c r="L33" s="38" t="str">
        <f t="shared" si="0"/>
        <v/>
      </c>
      <c r="M33" s="11"/>
      <c r="N33" s="363">
        <f t="shared" si="9"/>
        <v>0</v>
      </c>
      <c r="O33" s="40"/>
      <c r="P33" s="41"/>
      <c r="Q33" s="42"/>
      <c r="R33" s="41"/>
      <c r="S33" s="40"/>
      <c r="T33" s="41"/>
      <c r="U33" s="42"/>
      <c r="V33" s="41"/>
      <c r="W33" s="40"/>
      <c r="X33" s="41"/>
      <c r="Y33" s="42"/>
      <c r="Z33" s="41"/>
      <c r="AA33" s="40"/>
      <c r="AB33" s="41"/>
      <c r="AC33" s="42"/>
      <c r="AD33" s="41"/>
      <c r="AE33" s="40"/>
      <c r="AF33" s="41"/>
      <c r="AG33" s="42"/>
      <c r="AH33" s="41"/>
      <c r="AI33" s="40"/>
      <c r="AJ33" s="41"/>
      <c r="AK33" s="42"/>
      <c r="AL33" s="41"/>
      <c r="AM33" s="40"/>
      <c r="AN33" s="41"/>
      <c r="AO33" s="42"/>
      <c r="AP33" s="41"/>
      <c r="AQ33" s="40"/>
      <c r="AR33" s="41"/>
      <c r="AS33" s="42"/>
      <c r="AT33" s="41"/>
      <c r="AU33" s="40"/>
      <c r="AV33" s="41"/>
      <c r="AW33" s="42"/>
      <c r="AX33" s="41"/>
      <c r="AY33" s="40"/>
      <c r="AZ33" s="41"/>
      <c r="BA33" s="42"/>
      <c r="BB33" s="41"/>
      <c r="BC33" s="40"/>
      <c r="BD33" s="41"/>
      <c r="BE33" s="42"/>
      <c r="BF33" s="41"/>
      <c r="BG33" s="40"/>
      <c r="BH33" s="41"/>
      <c r="BI33" s="42"/>
      <c r="BJ33" s="43"/>
      <c r="BK33" s="341"/>
      <c r="BL33" s="27">
        <f t="shared" si="1"/>
        <v>0</v>
      </c>
      <c r="BM33" s="110">
        <f t="shared" si="2"/>
        <v>0</v>
      </c>
      <c r="BN33" s="28">
        <f t="shared" si="3"/>
        <v>0</v>
      </c>
      <c r="BO33" s="29">
        <f t="shared" si="4"/>
        <v>0</v>
      </c>
      <c r="BP33" s="30">
        <f t="shared" si="5"/>
        <v>0</v>
      </c>
      <c r="BQ33" s="31">
        <f t="shared" si="6"/>
        <v>0</v>
      </c>
      <c r="BR33" s="353"/>
      <c r="BS33" s="11"/>
      <c r="BT33" s="40"/>
      <c r="BU33" s="41"/>
      <c r="BV33" s="42"/>
      <c r="BW33" s="41"/>
      <c r="BX33" s="40"/>
      <c r="BY33" s="41"/>
      <c r="BZ33" s="42"/>
      <c r="CA33" s="41"/>
      <c r="CB33" s="40"/>
      <c r="CC33" s="41"/>
      <c r="CD33" s="42"/>
      <c r="CE33" s="41"/>
      <c r="CF33" s="40"/>
      <c r="CG33" s="41"/>
      <c r="CH33" s="42"/>
      <c r="CI33" s="41"/>
      <c r="CJ33" s="40"/>
      <c r="CK33" s="41"/>
      <c r="CL33" s="42"/>
      <c r="CM33" s="41"/>
      <c r="CN33" s="40"/>
      <c r="CO33" s="41"/>
      <c r="CP33" s="42"/>
      <c r="CQ33" s="41"/>
      <c r="CR33" s="40"/>
      <c r="CS33" s="41"/>
      <c r="CT33" s="42"/>
      <c r="CU33" s="41"/>
      <c r="CV33" s="40"/>
      <c r="CW33" s="41"/>
      <c r="CX33" s="42"/>
      <c r="CY33" s="41"/>
      <c r="CZ33" s="40"/>
      <c r="DA33" s="41"/>
      <c r="DB33" s="42"/>
      <c r="DC33" s="41"/>
      <c r="DD33" s="40"/>
      <c r="DE33" s="41"/>
      <c r="DF33" s="42"/>
      <c r="DG33" s="41"/>
      <c r="DH33" s="40"/>
      <c r="DI33" s="41"/>
      <c r="DJ33" s="42"/>
      <c r="DK33" s="41"/>
      <c r="DL33" s="40"/>
      <c r="DM33" s="41"/>
      <c r="DN33" s="42"/>
      <c r="DO33" s="43"/>
      <c r="DP33" s="341"/>
      <c r="DQ33" s="27">
        <f t="shared" si="7"/>
        <v>0</v>
      </c>
      <c r="DR33" s="27" t="e">
        <f>SUMPRODUCT(--(MOD(COLUMN(BT33:CQ33),4)=MOD(COLUMN(BT33),4)),BT33:CQ33)*#REF!+SUMPRODUCT(--(MOD(COLUMN(CR33:DO33),4)=MOD(COLUMN(CR33),4)),CR33:DO33)*#REF!</f>
        <v>#REF!</v>
      </c>
      <c r="DS33" s="353"/>
      <c r="DT33" s="11"/>
      <c r="DU33" s="40"/>
      <c r="DV33" s="41"/>
      <c r="DW33" s="42"/>
      <c r="DX33" s="41"/>
      <c r="DY33" s="40"/>
      <c r="DZ33" s="41"/>
      <c r="EA33" s="42"/>
      <c r="EB33" s="41"/>
      <c r="EC33" s="40"/>
      <c r="ED33" s="41"/>
      <c r="EE33" s="42"/>
      <c r="EF33" s="41"/>
      <c r="EG33" s="40"/>
      <c r="EH33" s="41"/>
      <c r="EI33" s="42"/>
      <c r="EJ33" s="41"/>
      <c r="EK33" s="40"/>
      <c r="EL33" s="41"/>
      <c r="EM33" s="42"/>
      <c r="EN33" s="41"/>
      <c r="EO33" s="40"/>
      <c r="EP33" s="41"/>
      <c r="EQ33" s="42"/>
      <c r="ER33" s="41"/>
      <c r="ES33" s="40"/>
      <c r="ET33" s="41"/>
      <c r="EU33" s="42"/>
      <c r="EV33" s="41"/>
      <c r="EW33" s="40"/>
      <c r="EX33" s="41"/>
      <c r="EY33" s="42"/>
      <c r="EZ33" s="41"/>
      <c r="FA33" s="40"/>
      <c r="FB33" s="41"/>
      <c r="FC33" s="42"/>
      <c r="FD33" s="41"/>
      <c r="FE33" s="40"/>
      <c r="FF33" s="41"/>
      <c r="FG33" s="42"/>
      <c r="FH33" s="41"/>
      <c r="FI33" s="40"/>
      <c r="FJ33" s="41"/>
      <c r="FK33" s="42"/>
      <c r="FL33" s="41"/>
      <c r="FM33" s="40"/>
      <c r="FN33" s="41"/>
      <c r="FO33" s="42"/>
      <c r="FP33" s="43"/>
      <c r="FQ33" s="341"/>
      <c r="FR33" s="27">
        <f t="shared" si="8"/>
        <v>0</v>
      </c>
      <c r="FS33" s="27" t="e">
        <f>SUMPRODUCT(--(MOD(COLUMN(DU33:ER33),4)=MOD(COLUMN(DU33),4)),DU33:ER33)*#REF!+SUMPRODUCT(--(MOD(COLUMN(ES33:FP33),4)=MOD(COLUMN(ES33),4)),ES33:FP33)*#REF!</f>
        <v>#REF!</v>
      </c>
      <c r="FT33" s="360"/>
    </row>
    <row r="34" spans="1:176" s="44" customFormat="1" outlineLevel="1">
      <c r="A34" s="45" t="s">
        <v>477</v>
      </c>
      <c r="B34" s="46"/>
      <c r="C34" s="46"/>
      <c r="D34" s="46"/>
      <c r="E34" s="47" t="str">
        <f>IF(ISBLANK(G34),"",IF($A$6:$A$64=$A34,COUNTIF($A$6:A34,$A34),""))</f>
        <v/>
      </c>
      <c r="F34" s="47"/>
      <c r="G34" s="48"/>
      <c r="H34" s="49"/>
      <c r="I34" s="620"/>
      <c r="J34" s="50"/>
      <c r="K34" s="50"/>
      <c r="L34" s="50" t="str">
        <f t="shared" si="0"/>
        <v/>
      </c>
      <c r="M34" s="51"/>
      <c r="N34" s="363">
        <f t="shared" si="9"/>
        <v>0</v>
      </c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335"/>
      <c r="BL34" s="52">
        <f t="shared" si="1"/>
        <v>0</v>
      </c>
      <c r="BM34" s="122">
        <f t="shared" si="2"/>
        <v>0</v>
      </c>
      <c r="BN34" s="52">
        <f t="shared" si="3"/>
        <v>0</v>
      </c>
      <c r="BO34" s="52">
        <f t="shared" si="4"/>
        <v>0</v>
      </c>
      <c r="BP34" s="52">
        <f t="shared" si="5"/>
        <v>0</v>
      </c>
      <c r="BQ34" s="52">
        <f t="shared" si="6"/>
        <v>0</v>
      </c>
      <c r="BR34" s="342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335"/>
      <c r="DQ34" s="52">
        <f t="shared" si="7"/>
        <v>0</v>
      </c>
      <c r="DR34" s="52" t="e">
        <f>SUMPRODUCT(--(MOD(COLUMN(BT34:CQ34),4)=MOD(COLUMN(BT34),4)),BT34:CQ34)*#REF!+SUMPRODUCT(--(MOD(COLUMN(CR34:DO34),4)=MOD(COLUMN(CR34),4)),CR34:DO34)*#REF!</f>
        <v>#REF!</v>
      </c>
      <c r="DS34" s="342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ED34" s="51"/>
      <c r="EE34" s="51"/>
      <c r="EF34" s="51"/>
      <c r="EG34" s="51"/>
      <c r="EH34" s="51"/>
      <c r="EI34" s="51"/>
      <c r="EJ34" s="51"/>
      <c r="EK34" s="51"/>
      <c r="EL34" s="51"/>
      <c r="EM34" s="51"/>
      <c r="EN34" s="51"/>
      <c r="EO34" s="51"/>
      <c r="EP34" s="51"/>
      <c r="EQ34" s="51"/>
      <c r="ER34" s="51"/>
      <c r="ES34" s="51"/>
      <c r="ET34" s="51"/>
      <c r="EU34" s="51"/>
      <c r="EV34" s="51"/>
      <c r="EW34" s="51"/>
      <c r="EX34" s="51"/>
      <c r="EY34" s="51"/>
      <c r="EZ34" s="51"/>
      <c r="FA34" s="51"/>
      <c r="FB34" s="51"/>
      <c r="FC34" s="51"/>
      <c r="FD34" s="51"/>
      <c r="FE34" s="51"/>
      <c r="FF34" s="51"/>
      <c r="FG34" s="51"/>
      <c r="FH34" s="51"/>
      <c r="FI34" s="51"/>
      <c r="FJ34" s="51"/>
      <c r="FK34" s="51"/>
      <c r="FL34" s="51"/>
      <c r="FM34" s="51"/>
      <c r="FN34" s="51"/>
      <c r="FO34" s="51"/>
      <c r="FP34" s="51"/>
      <c r="FQ34" s="335"/>
      <c r="FR34" s="52">
        <f t="shared" si="8"/>
        <v>0</v>
      </c>
      <c r="FS34" s="52" t="e">
        <f>SUMPRODUCT(--(MOD(COLUMN(DU34:ER34),4)=MOD(COLUMN(DU34),4)),DU34:ER34)*#REF!+SUMPRODUCT(--(MOD(COLUMN(ES34:FP34),4)=MOD(COLUMN(ES34),4)),ES34:FP34)*#REF!</f>
        <v>#REF!</v>
      </c>
      <c r="FT34" s="370"/>
    </row>
    <row r="35" spans="1:176" s="14" customFormat="1" outlineLevel="2">
      <c r="A35" s="56" t="s">
        <v>475</v>
      </c>
      <c r="B35" s="589" t="s">
        <v>457</v>
      </c>
      <c r="C35" s="15" t="s">
        <v>31</v>
      </c>
      <c r="D35" s="15" t="s">
        <v>32</v>
      </c>
      <c r="E35" s="17">
        <f>IF(ISBLANK(G35),"",IF($A$6:$A$64=$A35,COUNTIF($A$6:A35,$A35),""))</f>
        <v>1</v>
      </c>
      <c r="F35" s="17">
        <v>1</v>
      </c>
      <c r="G35" s="33">
        <v>6402250560</v>
      </c>
      <c r="H35" s="410" t="s">
        <v>408</v>
      </c>
      <c r="I35" s="625">
        <f>2048</f>
        <v>2048</v>
      </c>
      <c r="J35" s="20"/>
      <c r="K35" s="20"/>
      <c r="L35" s="20" t="str">
        <f t="shared" ref="L35:L49" si="13">IF(K35="RUB",J35/ЮАНЬ,IF(K35="EUR",J35*ЕВРО/ЮАНЬ,""))</f>
        <v/>
      </c>
      <c r="M35" s="11"/>
      <c r="N35" s="363">
        <f t="shared" ref="N35:N50" si="14">IF(BP35&gt;0,1,IF(BN35&gt;0,2,))</f>
        <v>0</v>
      </c>
      <c r="O35" s="23"/>
      <c r="P35" s="24"/>
      <c r="Q35" s="25"/>
      <c r="R35" s="24"/>
      <c r="S35" s="23"/>
      <c r="T35" s="24"/>
      <c r="U35" s="25">
        <v>0</v>
      </c>
      <c r="V35" s="24"/>
      <c r="W35" s="23"/>
      <c r="X35" s="24"/>
      <c r="Y35" s="25"/>
      <c r="Z35" s="24"/>
      <c r="AA35" s="23"/>
      <c r="AB35" s="24"/>
      <c r="AC35" s="25">
        <v>0</v>
      </c>
      <c r="AD35" s="24"/>
      <c r="AE35" s="23"/>
      <c r="AF35" s="24"/>
      <c r="AG35" s="25"/>
      <c r="AH35" s="24"/>
      <c r="AI35" s="23"/>
      <c r="AJ35" s="24"/>
      <c r="AK35" s="25"/>
      <c r="AL35" s="24"/>
      <c r="AM35" s="23"/>
      <c r="AN35" s="24"/>
      <c r="AO35" s="25"/>
      <c r="AP35" s="24"/>
      <c r="AQ35" s="23"/>
      <c r="AR35" s="24"/>
      <c r="AS35" s="25"/>
      <c r="AT35" s="24"/>
      <c r="AU35" s="23"/>
      <c r="AV35" s="24"/>
      <c r="AW35" s="25"/>
      <c r="AX35" s="24"/>
      <c r="AY35" s="23"/>
      <c r="AZ35" s="24"/>
      <c r="BA35" s="25"/>
      <c r="BB35" s="24"/>
      <c r="BC35" s="23"/>
      <c r="BD35" s="24"/>
      <c r="BE35" s="25"/>
      <c r="BF35" s="24"/>
      <c r="BG35" s="23"/>
      <c r="BH35" s="24"/>
      <c r="BI35" s="25"/>
      <c r="BJ35" s="24"/>
      <c r="BK35" s="340"/>
      <c r="BL35" s="32">
        <f t="shared" si="1"/>
        <v>0</v>
      </c>
      <c r="BM35" s="466">
        <f t="shared" si="2"/>
        <v>0</v>
      </c>
      <c r="BN35" s="28">
        <f t="shared" si="3"/>
        <v>0</v>
      </c>
      <c r="BO35" s="29">
        <f t="shared" si="4"/>
        <v>0</v>
      </c>
      <c r="BP35" s="30">
        <f t="shared" si="5"/>
        <v>0</v>
      </c>
      <c r="BQ35" s="31">
        <f t="shared" si="6"/>
        <v>0</v>
      </c>
      <c r="BR35" s="362"/>
      <c r="BS35" s="11"/>
      <c r="BT35" s="23"/>
      <c r="BU35" s="24"/>
      <c r="BV35" s="25"/>
      <c r="BW35" s="24"/>
      <c r="BX35" s="23"/>
      <c r="BY35" s="24"/>
      <c r="BZ35" s="25"/>
      <c r="CA35" s="24"/>
      <c r="CB35" s="23"/>
      <c r="CC35" s="24"/>
      <c r="CD35" s="25"/>
      <c r="CE35" s="24"/>
      <c r="CF35" s="23"/>
      <c r="CG35" s="24"/>
      <c r="CH35" s="25"/>
      <c r="CI35" s="24"/>
      <c r="CJ35" s="23"/>
      <c r="CK35" s="24"/>
      <c r="CL35" s="25"/>
      <c r="CM35" s="24"/>
      <c r="CN35" s="23"/>
      <c r="CO35" s="24"/>
      <c r="CP35" s="25"/>
      <c r="CQ35" s="24"/>
      <c r="CR35" s="23"/>
      <c r="CS35" s="24"/>
      <c r="CT35" s="25"/>
      <c r="CU35" s="24"/>
      <c r="CV35" s="23"/>
      <c r="CW35" s="24"/>
      <c r="CX35" s="25"/>
      <c r="CY35" s="24"/>
      <c r="CZ35" s="23"/>
      <c r="DA35" s="24"/>
      <c r="DB35" s="25"/>
      <c r="DC35" s="24"/>
      <c r="DD35" s="23"/>
      <c r="DE35" s="24"/>
      <c r="DF35" s="25"/>
      <c r="DG35" s="24"/>
      <c r="DH35" s="23"/>
      <c r="DI35" s="24"/>
      <c r="DJ35" s="25"/>
      <c r="DK35" s="24"/>
      <c r="DL35" s="23"/>
      <c r="DM35" s="24"/>
      <c r="DN35" s="25"/>
      <c r="DO35" s="24"/>
      <c r="DP35" s="340"/>
      <c r="DQ35" s="32">
        <f t="shared" ref="DQ35:DQ36" si="15">SUMPRODUCT(--(MOD(COLUMN(BT35:CQ35),4)=MOD(COLUMN(BT35),4)),BT35:CQ35)+SUMPRODUCT(--(MOD(COLUMN(CR35:DO35),4)=MOD(COLUMN(CR35),4)),CR35:DO35)</f>
        <v>0</v>
      </c>
      <c r="DR35" s="32" t="e">
        <f>SUMPRODUCT(--(MOD(COLUMN(BT35:CQ35),4)=MOD(COLUMN(BT35),4)),BT35:CQ35)*#REF!+SUMPRODUCT(--(MOD(COLUMN(CR35:DO35),4)=MOD(COLUMN(CR35),4)),CR35:DO35)*#REF!</f>
        <v>#REF!</v>
      </c>
      <c r="DS35" s="362"/>
      <c r="DT35" s="11"/>
      <c r="DU35" s="23"/>
      <c r="DV35" s="24"/>
      <c r="DW35" s="25"/>
      <c r="DX35" s="24"/>
      <c r="DY35" s="23"/>
      <c r="DZ35" s="24"/>
      <c r="EA35" s="25"/>
      <c r="EB35" s="24"/>
      <c r="EC35" s="23"/>
      <c r="ED35" s="24"/>
      <c r="EE35" s="25"/>
      <c r="EF35" s="24"/>
      <c r="EG35" s="23"/>
      <c r="EH35" s="24"/>
      <c r="EI35" s="25"/>
      <c r="EJ35" s="24"/>
      <c r="EK35" s="23"/>
      <c r="EL35" s="24"/>
      <c r="EM35" s="25"/>
      <c r="EN35" s="24"/>
      <c r="EO35" s="23"/>
      <c r="EP35" s="24"/>
      <c r="EQ35" s="25"/>
      <c r="ER35" s="24"/>
      <c r="ES35" s="23"/>
      <c r="ET35" s="24"/>
      <c r="EU35" s="25"/>
      <c r="EV35" s="24"/>
      <c r="EW35" s="23"/>
      <c r="EX35" s="24"/>
      <c r="EY35" s="25"/>
      <c r="EZ35" s="24"/>
      <c r="FA35" s="23"/>
      <c r="FB35" s="24"/>
      <c r="FC35" s="25"/>
      <c r="FD35" s="24"/>
      <c r="FE35" s="23"/>
      <c r="FF35" s="24"/>
      <c r="FG35" s="25"/>
      <c r="FH35" s="24"/>
      <c r="FI35" s="23"/>
      <c r="FJ35" s="24"/>
      <c r="FK35" s="25"/>
      <c r="FL35" s="24"/>
      <c r="FM35" s="23"/>
      <c r="FN35" s="24"/>
      <c r="FO35" s="25"/>
      <c r="FP35" s="24"/>
      <c r="FQ35" s="340"/>
      <c r="FR35" s="32">
        <f t="shared" ref="FR35:FR36" si="16">SUMPRODUCT(--(MOD(COLUMN(DU35:ER35),4)=MOD(COLUMN(DU35),4)),DU35:ER35)+SUMPRODUCT(--(MOD(COLUMN(ES35:FP35),4)=MOD(COLUMN(ES35),4)),ES35:FP35)</f>
        <v>0</v>
      </c>
      <c r="FS35" s="32" t="e">
        <f>SUMPRODUCT(--(MOD(COLUMN(DU35:ER35),4)=MOD(COLUMN(DU35),4)),DU35:ER35)*#REF!+SUMPRODUCT(--(MOD(COLUMN(ES35:FP35),4)=MOD(COLUMN(ES35),4)),ES35:FP35)*#REF!</f>
        <v>#REF!</v>
      </c>
      <c r="FT35" s="360"/>
    </row>
    <row r="36" spans="1:176" s="14" customFormat="1" outlineLevel="2">
      <c r="A36" s="56" t="s">
        <v>475</v>
      </c>
      <c r="B36" s="589" t="s">
        <v>457</v>
      </c>
      <c r="C36" s="15" t="s">
        <v>31</v>
      </c>
      <c r="D36" s="15" t="s">
        <v>32</v>
      </c>
      <c r="E36" s="17">
        <f>IF(ISBLANK(G36),"",IF($A$6:$A$64=$A36,COUNTIF($A$6:A36,$A36),""))</f>
        <v>2</v>
      </c>
      <c r="F36" s="17">
        <v>1</v>
      </c>
      <c r="G36" s="33">
        <v>6402250570</v>
      </c>
      <c r="H36" s="410" t="s">
        <v>409</v>
      </c>
      <c r="I36" s="625">
        <f>I35</f>
        <v>2048</v>
      </c>
      <c r="J36" s="20"/>
      <c r="K36" s="20"/>
      <c r="L36" s="20" t="str">
        <f t="shared" si="13"/>
        <v/>
      </c>
      <c r="M36" s="11"/>
      <c r="N36" s="363">
        <f t="shared" si="14"/>
        <v>0</v>
      </c>
      <c r="O36" s="23"/>
      <c r="P36" s="24"/>
      <c r="Q36" s="25"/>
      <c r="R36" s="24"/>
      <c r="S36" s="23"/>
      <c r="T36" s="24"/>
      <c r="U36" s="25">
        <v>0</v>
      </c>
      <c r="V36" s="24"/>
      <c r="W36" s="23"/>
      <c r="X36" s="24"/>
      <c r="Y36" s="25"/>
      <c r="Z36" s="24"/>
      <c r="AA36" s="23"/>
      <c r="AB36" s="24"/>
      <c r="AC36" s="25"/>
      <c r="AD36" s="24"/>
      <c r="AE36" s="23"/>
      <c r="AF36" s="24"/>
      <c r="AG36" s="25"/>
      <c r="AH36" s="24"/>
      <c r="AI36" s="23"/>
      <c r="AJ36" s="24"/>
      <c r="AK36" s="25"/>
      <c r="AL36" s="24"/>
      <c r="AM36" s="23"/>
      <c r="AN36" s="24"/>
      <c r="AO36" s="25"/>
      <c r="AP36" s="24"/>
      <c r="AQ36" s="23"/>
      <c r="AR36" s="24"/>
      <c r="AS36" s="25"/>
      <c r="AT36" s="24"/>
      <c r="AU36" s="23"/>
      <c r="AV36" s="24"/>
      <c r="AW36" s="25"/>
      <c r="AX36" s="24"/>
      <c r="AY36" s="23"/>
      <c r="AZ36" s="24"/>
      <c r="BA36" s="25"/>
      <c r="BB36" s="24"/>
      <c r="BC36" s="23"/>
      <c r="BD36" s="24"/>
      <c r="BE36" s="25"/>
      <c r="BF36" s="24"/>
      <c r="BG36" s="23"/>
      <c r="BH36" s="24"/>
      <c r="BI36" s="25"/>
      <c r="BJ36" s="24"/>
      <c r="BK36" s="340"/>
      <c r="BL36" s="32">
        <f t="shared" si="1"/>
        <v>0</v>
      </c>
      <c r="BM36" s="466">
        <f t="shared" si="2"/>
        <v>0</v>
      </c>
      <c r="BN36" s="28">
        <f t="shared" si="3"/>
        <v>0</v>
      </c>
      <c r="BO36" s="29">
        <f t="shared" si="4"/>
        <v>0</v>
      </c>
      <c r="BP36" s="30">
        <f t="shared" si="5"/>
        <v>0</v>
      </c>
      <c r="BQ36" s="31">
        <f t="shared" si="6"/>
        <v>0</v>
      </c>
      <c r="BR36" s="362"/>
      <c r="BS36" s="11"/>
      <c r="BT36" s="23"/>
      <c r="BU36" s="24"/>
      <c r="BV36" s="25"/>
      <c r="BW36" s="24"/>
      <c r="BX36" s="23"/>
      <c r="BY36" s="24"/>
      <c r="BZ36" s="25"/>
      <c r="CA36" s="24"/>
      <c r="CB36" s="23"/>
      <c r="CC36" s="24"/>
      <c r="CD36" s="25"/>
      <c r="CE36" s="24"/>
      <c r="CF36" s="23"/>
      <c r="CG36" s="24"/>
      <c r="CH36" s="25"/>
      <c r="CI36" s="24"/>
      <c r="CJ36" s="23"/>
      <c r="CK36" s="24"/>
      <c r="CL36" s="25"/>
      <c r="CM36" s="24"/>
      <c r="CN36" s="23"/>
      <c r="CO36" s="24"/>
      <c r="CP36" s="25"/>
      <c r="CQ36" s="24"/>
      <c r="CR36" s="23"/>
      <c r="CS36" s="24"/>
      <c r="CT36" s="25"/>
      <c r="CU36" s="24"/>
      <c r="CV36" s="23"/>
      <c r="CW36" s="24"/>
      <c r="CX36" s="25"/>
      <c r="CY36" s="24"/>
      <c r="CZ36" s="23"/>
      <c r="DA36" s="24"/>
      <c r="DB36" s="25"/>
      <c r="DC36" s="24"/>
      <c r="DD36" s="23"/>
      <c r="DE36" s="24"/>
      <c r="DF36" s="25"/>
      <c r="DG36" s="24"/>
      <c r="DH36" s="23"/>
      <c r="DI36" s="24"/>
      <c r="DJ36" s="25"/>
      <c r="DK36" s="24"/>
      <c r="DL36" s="23"/>
      <c r="DM36" s="24"/>
      <c r="DN36" s="25"/>
      <c r="DO36" s="24"/>
      <c r="DP36" s="340"/>
      <c r="DQ36" s="32">
        <f t="shared" si="15"/>
        <v>0</v>
      </c>
      <c r="DR36" s="32" t="e">
        <f>SUMPRODUCT(--(MOD(COLUMN(BT36:CQ36),4)=MOD(COLUMN(BT36),4)),BT36:CQ36)*#REF!+SUMPRODUCT(--(MOD(COLUMN(CR36:DO36),4)=MOD(COLUMN(CR36),4)),CR36:DO36)*#REF!</f>
        <v>#REF!</v>
      </c>
      <c r="DS36" s="362"/>
      <c r="DT36" s="11"/>
      <c r="DU36" s="23"/>
      <c r="DV36" s="24"/>
      <c r="DW36" s="25"/>
      <c r="DX36" s="24"/>
      <c r="DY36" s="23"/>
      <c r="DZ36" s="24"/>
      <c r="EA36" s="25"/>
      <c r="EB36" s="24"/>
      <c r="EC36" s="23"/>
      <c r="ED36" s="24"/>
      <c r="EE36" s="25"/>
      <c r="EF36" s="24"/>
      <c r="EG36" s="23"/>
      <c r="EH36" s="24"/>
      <c r="EI36" s="25"/>
      <c r="EJ36" s="24"/>
      <c r="EK36" s="23"/>
      <c r="EL36" s="24"/>
      <c r="EM36" s="25"/>
      <c r="EN36" s="24"/>
      <c r="EO36" s="23"/>
      <c r="EP36" s="24"/>
      <c r="EQ36" s="25"/>
      <c r="ER36" s="24"/>
      <c r="ES36" s="23"/>
      <c r="ET36" s="24"/>
      <c r="EU36" s="25"/>
      <c r="EV36" s="24"/>
      <c r="EW36" s="23"/>
      <c r="EX36" s="24"/>
      <c r="EY36" s="25"/>
      <c r="EZ36" s="24"/>
      <c r="FA36" s="23"/>
      <c r="FB36" s="24"/>
      <c r="FC36" s="25"/>
      <c r="FD36" s="24"/>
      <c r="FE36" s="23"/>
      <c r="FF36" s="24"/>
      <c r="FG36" s="25"/>
      <c r="FH36" s="24"/>
      <c r="FI36" s="23"/>
      <c r="FJ36" s="24"/>
      <c r="FK36" s="25"/>
      <c r="FL36" s="24"/>
      <c r="FM36" s="23"/>
      <c r="FN36" s="24"/>
      <c r="FO36" s="25"/>
      <c r="FP36" s="24"/>
      <c r="FQ36" s="340"/>
      <c r="FR36" s="32">
        <f t="shared" si="16"/>
        <v>0</v>
      </c>
      <c r="FS36" s="32" t="e">
        <f>SUMPRODUCT(--(MOD(COLUMN(DU36:ER36),4)=MOD(COLUMN(DU36),4)),DU36:ER36)*#REF!+SUMPRODUCT(--(MOD(COLUMN(ES36:FP36),4)=MOD(COLUMN(ES36),4)),ES36:FP36)*#REF!</f>
        <v>#REF!</v>
      </c>
      <c r="FT36" s="360"/>
    </row>
    <row r="37" spans="1:176" s="14" customFormat="1" outlineLevel="2">
      <c r="A37" s="56" t="s">
        <v>475</v>
      </c>
      <c r="B37" s="589" t="s">
        <v>457</v>
      </c>
      <c r="C37" s="15" t="s">
        <v>31</v>
      </c>
      <c r="D37" s="15" t="s">
        <v>32</v>
      </c>
      <c r="E37" s="17">
        <f>IF(ISBLANK(G37),"",IF($A$6:$A$64=$A37,COUNTIF($A$6:A37,$A37),""))</f>
        <v>3</v>
      </c>
      <c r="F37" s="17">
        <v>1</v>
      </c>
      <c r="G37" s="33">
        <v>4410328080</v>
      </c>
      <c r="H37" s="18" t="s">
        <v>45</v>
      </c>
      <c r="I37" s="627">
        <f>84/НДС_20</f>
        <v>70</v>
      </c>
      <c r="J37" s="20"/>
      <c r="K37" s="20"/>
      <c r="L37" s="20" t="str">
        <f t="shared" si="13"/>
        <v/>
      </c>
      <c r="M37" s="11"/>
      <c r="N37" s="363">
        <f t="shared" si="14"/>
        <v>0</v>
      </c>
      <c r="O37" s="23"/>
      <c r="P37" s="24"/>
      <c r="Q37" s="25"/>
      <c r="R37" s="24"/>
      <c r="S37" s="23"/>
      <c r="T37" s="24"/>
      <c r="U37" s="25">
        <v>0</v>
      </c>
      <c r="V37" s="24"/>
      <c r="W37" s="23"/>
      <c r="X37" s="24"/>
      <c r="Y37" s="25"/>
      <c r="Z37" s="24"/>
      <c r="AA37" s="23"/>
      <c r="AB37" s="24"/>
      <c r="AC37" s="25"/>
      <c r="AD37" s="24"/>
      <c r="AE37" s="23"/>
      <c r="AF37" s="24"/>
      <c r="AG37" s="25"/>
      <c r="AH37" s="24"/>
      <c r="AI37" s="23"/>
      <c r="AJ37" s="24"/>
      <c r="AK37" s="25"/>
      <c r="AL37" s="24"/>
      <c r="AM37" s="23"/>
      <c r="AN37" s="24"/>
      <c r="AO37" s="25"/>
      <c r="AP37" s="24"/>
      <c r="AQ37" s="23"/>
      <c r="AR37" s="24"/>
      <c r="AS37" s="25"/>
      <c r="AT37" s="24"/>
      <c r="AU37" s="23"/>
      <c r="AV37" s="24"/>
      <c r="AW37" s="25"/>
      <c r="AX37" s="24"/>
      <c r="AY37" s="23"/>
      <c r="AZ37" s="24"/>
      <c r="BA37" s="25"/>
      <c r="BB37" s="24"/>
      <c r="BC37" s="23"/>
      <c r="BD37" s="24"/>
      <c r="BE37" s="25"/>
      <c r="BF37" s="24"/>
      <c r="BG37" s="23"/>
      <c r="BH37" s="24"/>
      <c r="BI37" s="25"/>
      <c r="BJ37" s="24"/>
      <c r="BK37" s="340"/>
      <c r="BL37" s="32">
        <f t="shared" si="1"/>
        <v>0</v>
      </c>
      <c r="BM37" s="466">
        <f t="shared" si="2"/>
        <v>0</v>
      </c>
      <c r="BN37" s="28">
        <f t="shared" si="3"/>
        <v>0</v>
      </c>
      <c r="BO37" s="29">
        <f t="shared" si="4"/>
        <v>0</v>
      </c>
      <c r="BP37" s="30">
        <f t="shared" si="5"/>
        <v>0</v>
      </c>
      <c r="BQ37" s="31">
        <f t="shared" si="6"/>
        <v>0</v>
      </c>
      <c r="BR37" s="362"/>
      <c r="BS37" s="11"/>
      <c r="BT37" s="23"/>
      <c r="BU37" s="24"/>
      <c r="BV37" s="25"/>
      <c r="BW37" s="24"/>
      <c r="BX37" s="23"/>
      <c r="BY37" s="24"/>
      <c r="BZ37" s="25"/>
      <c r="CA37" s="24"/>
      <c r="CB37" s="23"/>
      <c r="CC37" s="24"/>
      <c r="CD37" s="25"/>
      <c r="CE37" s="24"/>
      <c r="CF37" s="23"/>
      <c r="CG37" s="24"/>
      <c r="CH37" s="25"/>
      <c r="CI37" s="24"/>
      <c r="CJ37" s="23"/>
      <c r="CK37" s="24"/>
      <c r="CL37" s="25"/>
      <c r="CM37" s="24"/>
      <c r="CN37" s="23"/>
      <c r="CO37" s="24"/>
      <c r="CP37" s="25"/>
      <c r="CQ37" s="24"/>
      <c r="CR37" s="23"/>
      <c r="CS37" s="24"/>
      <c r="CT37" s="25"/>
      <c r="CU37" s="24"/>
      <c r="CV37" s="23"/>
      <c r="CW37" s="24"/>
      <c r="CX37" s="25"/>
      <c r="CY37" s="24"/>
      <c r="CZ37" s="23"/>
      <c r="DA37" s="24"/>
      <c r="DB37" s="25"/>
      <c r="DC37" s="24"/>
      <c r="DD37" s="23"/>
      <c r="DE37" s="24"/>
      <c r="DF37" s="25"/>
      <c r="DG37" s="24"/>
      <c r="DH37" s="23"/>
      <c r="DI37" s="24"/>
      <c r="DJ37" s="25"/>
      <c r="DK37" s="24"/>
      <c r="DL37" s="23"/>
      <c r="DM37" s="24"/>
      <c r="DN37" s="25"/>
      <c r="DO37" s="24"/>
      <c r="DP37" s="340"/>
      <c r="DQ37" s="32">
        <f>SUMPRODUCT(--(MOD(COLUMN(BT37:CQ37),4)=MOD(COLUMN(BT37),4)),BT37:CQ37)+SUMPRODUCT(--(MOD(COLUMN(CR37:DO37),4)=MOD(COLUMN(CR37),4)),CR37:DO37)</f>
        <v>0</v>
      </c>
      <c r="DR37" s="32" t="e">
        <f>SUMPRODUCT(--(MOD(COLUMN(BT37:CQ37),4)=MOD(COLUMN(BT37),4)),BT37:CQ37)*#REF!+SUMPRODUCT(--(MOD(COLUMN(CR37:DO37),4)=MOD(COLUMN(CR37),4)),CR37:DO37)*#REF!</f>
        <v>#REF!</v>
      </c>
      <c r="DS37" s="362"/>
      <c r="DT37" s="11"/>
      <c r="DU37" s="23"/>
      <c r="DV37" s="24"/>
      <c r="DW37" s="25"/>
      <c r="DX37" s="24"/>
      <c r="DY37" s="23"/>
      <c r="DZ37" s="24"/>
      <c r="EA37" s="25"/>
      <c r="EB37" s="24"/>
      <c r="EC37" s="23"/>
      <c r="ED37" s="24"/>
      <c r="EE37" s="25"/>
      <c r="EF37" s="24"/>
      <c r="EG37" s="23"/>
      <c r="EH37" s="24"/>
      <c r="EI37" s="25"/>
      <c r="EJ37" s="24"/>
      <c r="EK37" s="23"/>
      <c r="EL37" s="24"/>
      <c r="EM37" s="25"/>
      <c r="EN37" s="24"/>
      <c r="EO37" s="23"/>
      <c r="EP37" s="24"/>
      <c r="EQ37" s="25"/>
      <c r="ER37" s="24"/>
      <c r="ES37" s="23"/>
      <c r="ET37" s="24"/>
      <c r="EU37" s="25"/>
      <c r="EV37" s="24"/>
      <c r="EW37" s="23"/>
      <c r="EX37" s="24"/>
      <c r="EY37" s="25"/>
      <c r="EZ37" s="24"/>
      <c r="FA37" s="23"/>
      <c r="FB37" s="24"/>
      <c r="FC37" s="25"/>
      <c r="FD37" s="24"/>
      <c r="FE37" s="23"/>
      <c r="FF37" s="24"/>
      <c r="FG37" s="25"/>
      <c r="FH37" s="24"/>
      <c r="FI37" s="23"/>
      <c r="FJ37" s="24"/>
      <c r="FK37" s="25"/>
      <c r="FL37" s="24"/>
      <c r="FM37" s="23"/>
      <c r="FN37" s="24"/>
      <c r="FO37" s="25"/>
      <c r="FP37" s="24"/>
      <c r="FQ37" s="340"/>
      <c r="FR37" s="32">
        <f>SUMPRODUCT(--(MOD(COLUMN(DU37:ER37),4)=MOD(COLUMN(DU37),4)),DU37:ER37)+SUMPRODUCT(--(MOD(COLUMN(ES37:FP37),4)=MOD(COLUMN(ES37),4)),ES37:FP37)</f>
        <v>0</v>
      </c>
      <c r="FS37" s="32" t="e">
        <f>SUMPRODUCT(--(MOD(COLUMN(DU37:ER37),4)=MOD(COLUMN(DU37),4)),DU37:ER37)*#REF!+SUMPRODUCT(--(MOD(COLUMN(ES37:FP37),4)=MOD(COLUMN(ES37),4)),ES37:FP37)*#REF!</f>
        <v>#REF!</v>
      </c>
      <c r="FT37" s="360"/>
    </row>
    <row r="38" spans="1:176" s="14" customFormat="1" outlineLevel="2">
      <c r="A38" s="56" t="s">
        <v>475</v>
      </c>
      <c r="B38" s="589" t="s">
        <v>457</v>
      </c>
      <c r="C38" s="15" t="s">
        <v>31</v>
      </c>
      <c r="D38" s="15" t="s">
        <v>32</v>
      </c>
      <c r="E38" s="17">
        <f>IF(ISBLANK(G38),"",IF($A$6:$A$64=$A38,COUNTIF($A$6:A38,$A38),""))</f>
        <v>4</v>
      </c>
      <c r="F38" s="17">
        <v>1</v>
      </c>
      <c r="G38" s="33">
        <v>8997598154</v>
      </c>
      <c r="H38" s="18" t="s">
        <v>46</v>
      </c>
      <c r="I38" s="629">
        <v>6.44</v>
      </c>
      <c r="J38" s="20"/>
      <c r="K38" s="20"/>
      <c r="L38" s="20" t="str">
        <f t="shared" si="13"/>
        <v/>
      </c>
      <c r="M38" s="11"/>
      <c r="N38" s="363">
        <f t="shared" si="14"/>
        <v>0</v>
      </c>
      <c r="O38" s="23"/>
      <c r="P38" s="24"/>
      <c r="Q38" s="25"/>
      <c r="R38" s="24"/>
      <c r="S38" s="23"/>
      <c r="T38" s="24"/>
      <c r="U38" s="25">
        <v>0</v>
      </c>
      <c r="V38" s="24"/>
      <c r="W38" s="23"/>
      <c r="X38" s="24"/>
      <c r="Y38" s="25"/>
      <c r="Z38" s="24"/>
      <c r="AA38" s="23"/>
      <c r="AB38" s="24"/>
      <c r="AC38" s="25"/>
      <c r="AD38" s="24"/>
      <c r="AE38" s="23"/>
      <c r="AF38" s="24"/>
      <c r="AG38" s="25"/>
      <c r="AH38" s="24"/>
      <c r="AI38" s="23"/>
      <c r="AJ38" s="24"/>
      <c r="AK38" s="25"/>
      <c r="AL38" s="24"/>
      <c r="AM38" s="23"/>
      <c r="AN38" s="24"/>
      <c r="AO38" s="25"/>
      <c r="AP38" s="24"/>
      <c r="AQ38" s="23"/>
      <c r="AR38" s="24"/>
      <c r="AS38" s="25"/>
      <c r="AT38" s="24"/>
      <c r="AU38" s="23"/>
      <c r="AV38" s="24"/>
      <c r="AW38" s="25"/>
      <c r="AX38" s="24"/>
      <c r="AY38" s="23"/>
      <c r="AZ38" s="24"/>
      <c r="BA38" s="25"/>
      <c r="BB38" s="24"/>
      <c r="BC38" s="23"/>
      <c r="BD38" s="24"/>
      <c r="BE38" s="25"/>
      <c r="BF38" s="24"/>
      <c r="BG38" s="23"/>
      <c r="BH38" s="24"/>
      <c r="BI38" s="25"/>
      <c r="BJ38" s="24"/>
      <c r="BK38" s="340"/>
      <c r="BL38" s="32">
        <f t="shared" si="1"/>
        <v>0</v>
      </c>
      <c r="BM38" s="466">
        <f t="shared" ref="BM38:BM69" si="17">SUMPRODUCT(--(MOD(COLUMN($O38:$AL38),4)=MOD(COLUMN($O38)+0,4)),$O38:$AL38)*$I38
+SUMPRODUCT(--(MOD(COLUMN($AM38:$BJ38),4)=MOD(COLUMN($AM38)+0,4)),$AM38:$BJ38)*$I38</f>
        <v>0</v>
      </c>
      <c r="BN38" s="28">
        <f t="shared" si="3"/>
        <v>0</v>
      </c>
      <c r="BO38" s="29">
        <f t="shared" ref="BO38:BO69" si="18">SUMPRODUCT(--(MOD(COLUMN($O38:$AL38),4)=MOD(COLUMN($O38)+1,4)),$O38:$AL38)*$I38
+SUMPRODUCT(--(MOD(COLUMN($AM38:$BJ38),4)=MOD(COLUMN($AM38)+1,4)),$AM38:$BJ38)*$I38</f>
        <v>0</v>
      </c>
      <c r="BP38" s="30">
        <f t="shared" si="5"/>
        <v>0</v>
      </c>
      <c r="BQ38" s="31">
        <f t="shared" ref="BQ38:BQ69" si="19">SUMPRODUCT(--(MOD(COLUMN($O38:$AL38),4)=MOD(COLUMN($O38)+2,4)),$O38:$AL38)*$I38
+SUMPRODUCT(--(MOD(COLUMN($AM38:$BJ38),4)=MOD(COLUMN($AM38)+2,4)),$AM38:$BJ38)*$I38</f>
        <v>0</v>
      </c>
      <c r="BR38" s="362"/>
      <c r="BS38" s="11"/>
      <c r="BT38" s="23"/>
      <c r="BU38" s="24"/>
      <c r="BV38" s="25"/>
      <c r="BW38" s="24"/>
      <c r="BX38" s="23"/>
      <c r="BY38" s="24"/>
      <c r="BZ38" s="25"/>
      <c r="CA38" s="24"/>
      <c r="CB38" s="23"/>
      <c r="CC38" s="24"/>
      <c r="CD38" s="25"/>
      <c r="CE38" s="24"/>
      <c r="CF38" s="23"/>
      <c r="CG38" s="24"/>
      <c r="CH38" s="25"/>
      <c r="CI38" s="24"/>
      <c r="CJ38" s="23"/>
      <c r="CK38" s="24"/>
      <c r="CL38" s="25"/>
      <c r="CM38" s="24"/>
      <c r="CN38" s="23"/>
      <c r="CO38" s="24"/>
      <c r="CP38" s="25"/>
      <c r="CQ38" s="24"/>
      <c r="CR38" s="23"/>
      <c r="CS38" s="24"/>
      <c r="CT38" s="25"/>
      <c r="CU38" s="24"/>
      <c r="CV38" s="23"/>
      <c r="CW38" s="24"/>
      <c r="CX38" s="25"/>
      <c r="CY38" s="24"/>
      <c r="CZ38" s="23"/>
      <c r="DA38" s="24"/>
      <c r="DB38" s="25"/>
      <c r="DC38" s="24"/>
      <c r="DD38" s="23"/>
      <c r="DE38" s="24"/>
      <c r="DF38" s="25"/>
      <c r="DG38" s="24"/>
      <c r="DH38" s="23"/>
      <c r="DI38" s="24"/>
      <c r="DJ38" s="25"/>
      <c r="DK38" s="24"/>
      <c r="DL38" s="23"/>
      <c r="DM38" s="24"/>
      <c r="DN38" s="25"/>
      <c r="DO38" s="24"/>
      <c r="DP38" s="340"/>
      <c r="DQ38" s="32">
        <f>SUMPRODUCT(--(MOD(COLUMN(BT38:CQ38),4)=MOD(COLUMN(BT38),4)),BT38:CQ38)+SUMPRODUCT(--(MOD(COLUMN(CR38:DO38),4)=MOD(COLUMN(CR38),4)),CR38:DO38)</f>
        <v>0</v>
      </c>
      <c r="DR38" s="32" t="e">
        <f>SUMPRODUCT(--(MOD(COLUMN(BT38:CQ38),4)=MOD(COLUMN(BT38),4)),BT38:CQ38)*#REF!+SUMPRODUCT(--(MOD(COLUMN(CR38:DO38),4)=MOD(COLUMN(CR38),4)),CR38:DO38)*#REF!</f>
        <v>#REF!</v>
      </c>
      <c r="DS38" s="362"/>
      <c r="DT38" s="11"/>
      <c r="DU38" s="23"/>
      <c r="DV38" s="24"/>
      <c r="DW38" s="25"/>
      <c r="DX38" s="24"/>
      <c r="DY38" s="23"/>
      <c r="DZ38" s="24"/>
      <c r="EA38" s="25"/>
      <c r="EB38" s="24"/>
      <c r="EC38" s="23"/>
      <c r="ED38" s="24"/>
      <c r="EE38" s="25"/>
      <c r="EF38" s="24"/>
      <c r="EG38" s="23"/>
      <c r="EH38" s="24"/>
      <c r="EI38" s="25"/>
      <c r="EJ38" s="24"/>
      <c r="EK38" s="23"/>
      <c r="EL38" s="24"/>
      <c r="EM38" s="25"/>
      <c r="EN38" s="24"/>
      <c r="EO38" s="23"/>
      <c r="EP38" s="24"/>
      <c r="EQ38" s="25"/>
      <c r="ER38" s="24"/>
      <c r="ES38" s="23"/>
      <c r="ET38" s="24"/>
      <c r="EU38" s="25"/>
      <c r="EV38" s="24"/>
      <c r="EW38" s="23"/>
      <c r="EX38" s="24"/>
      <c r="EY38" s="25"/>
      <c r="EZ38" s="24"/>
      <c r="FA38" s="23"/>
      <c r="FB38" s="24"/>
      <c r="FC38" s="25"/>
      <c r="FD38" s="24"/>
      <c r="FE38" s="23"/>
      <c r="FF38" s="24"/>
      <c r="FG38" s="25"/>
      <c r="FH38" s="24"/>
      <c r="FI38" s="23"/>
      <c r="FJ38" s="24"/>
      <c r="FK38" s="25"/>
      <c r="FL38" s="24"/>
      <c r="FM38" s="23"/>
      <c r="FN38" s="24"/>
      <c r="FO38" s="25"/>
      <c r="FP38" s="24"/>
      <c r="FQ38" s="340"/>
      <c r="FR38" s="32">
        <f>SUMPRODUCT(--(MOD(COLUMN(DU38:ER38),4)=MOD(COLUMN(DU38),4)),DU38:ER38)+SUMPRODUCT(--(MOD(COLUMN(ES38:FP38),4)=MOD(COLUMN(ES38),4)),ES38:FP38)</f>
        <v>0</v>
      </c>
      <c r="FS38" s="32" t="e">
        <f>SUMPRODUCT(--(MOD(COLUMN(DU38:ER38),4)=MOD(COLUMN(DU38),4)),DU38:ER38)*#REF!+SUMPRODUCT(--(MOD(COLUMN(ES38:FP38),4)=MOD(COLUMN(ES38),4)),ES38:FP38)*#REF!</f>
        <v>#REF!</v>
      </c>
      <c r="FT38" s="360"/>
    </row>
    <row r="39" spans="1:176" s="14" customFormat="1" outlineLevel="2">
      <c r="A39" s="56" t="s">
        <v>475</v>
      </c>
      <c r="B39" s="589" t="s">
        <v>457</v>
      </c>
      <c r="C39" s="15" t="s">
        <v>31</v>
      </c>
      <c r="D39" s="15" t="s">
        <v>32</v>
      </c>
      <c r="E39" s="17">
        <f>IF(ISBLANK(G39),"",IF($A$6:$A$64=$A39,COUNTIF($A$6:A39,$A39),""))</f>
        <v>5</v>
      </c>
      <c r="F39" s="17">
        <v>1</v>
      </c>
      <c r="G39" s="33">
        <v>4235041001</v>
      </c>
      <c r="H39" s="18" t="s">
        <v>37</v>
      </c>
      <c r="I39" s="624">
        <f>163.08/НДС_20</f>
        <v>135.9</v>
      </c>
      <c r="J39" s="20"/>
      <c r="K39" s="20"/>
      <c r="L39" s="20" t="str">
        <f t="shared" si="13"/>
        <v/>
      </c>
      <c r="M39" s="11"/>
      <c r="N39" s="363">
        <f t="shared" si="14"/>
        <v>0</v>
      </c>
      <c r="O39" s="23"/>
      <c r="P39" s="24"/>
      <c r="Q39" s="25"/>
      <c r="R39" s="24"/>
      <c r="S39" s="23"/>
      <c r="T39" s="24"/>
      <c r="U39" s="25">
        <v>0</v>
      </c>
      <c r="V39" s="24"/>
      <c r="W39" s="23"/>
      <c r="X39" s="24"/>
      <c r="Y39" s="25"/>
      <c r="Z39" s="24"/>
      <c r="AA39" s="23"/>
      <c r="AB39" s="24"/>
      <c r="AC39" s="25"/>
      <c r="AD39" s="24"/>
      <c r="AE39" s="23"/>
      <c r="AF39" s="24"/>
      <c r="AG39" s="25"/>
      <c r="AH39" s="24"/>
      <c r="AI39" s="23"/>
      <c r="AJ39" s="24"/>
      <c r="AK39" s="25"/>
      <c r="AL39" s="24"/>
      <c r="AM39" s="23"/>
      <c r="AN39" s="24"/>
      <c r="AO39" s="25"/>
      <c r="AP39" s="24"/>
      <c r="AQ39" s="23"/>
      <c r="AR39" s="24"/>
      <c r="AS39" s="25"/>
      <c r="AT39" s="24"/>
      <c r="AU39" s="23"/>
      <c r="AV39" s="24"/>
      <c r="AW39" s="25"/>
      <c r="AX39" s="24"/>
      <c r="AY39" s="23"/>
      <c r="AZ39" s="24"/>
      <c r="BA39" s="25"/>
      <c r="BB39" s="24"/>
      <c r="BC39" s="23"/>
      <c r="BD39" s="24"/>
      <c r="BE39" s="25"/>
      <c r="BF39" s="24"/>
      <c r="BG39" s="23"/>
      <c r="BH39" s="24"/>
      <c r="BI39" s="25"/>
      <c r="BJ39" s="24"/>
      <c r="BK39" s="340"/>
      <c r="BL39" s="32">
        <f t="shared" si="1"/>
        <v>0</v>
      </c>
      <c r="BM39" s="466">
        <f t="shared" si="17"/>
        <v>0</v>
      </c>
      <c r="BN39" s="28">
        <f t="shared" si="3"/>
        <v>0</v>
      </c>
      <c r="BO39" s="29">
        <f t="shared" si="18"/>
        <v>0</v>
      </c>
      <c r="BP39" s="30">
        <f t="shared" si="5"/>
        <v>0</v>
      </c>
      <c r="BQ39" s="31">
        <f t="shared" si="19"/>
        <v>0</v>
      </c>
      <c r="BR39" s="362"/>
      <c r="BS39" s="11"/>
      <c r="BT39" s="23"/>
      <c r="BU39" s="24"/>
      <c r="BV39" s="25"/>
      <c r="BW39" s="24"/>
      <c r="BX39" s="23"/>
      <c r="BY39" s="24"/>
      <c r="BZ39" s="25"/>
      <c r="CA39" s="24"/>
      <c r="CB39" s="23"/>
      <c r="CC39" s="24"/>
      <c r="CD39" s="25"/>
      <c r="CE39" s="24"/>
      <c r="CF39" s="23"/>
      <c r="CG39" s="24"/>
      <c r="CH39" s="25"/>
      <c r="CI39" s="24"/>
      <c r="CJ39" s="23"/>
      <c r="CK39" s="24"/>
      <c r="CL39" s="25"/>
      <c r="CM39" s="24"/>
      <c r="CN39" s="23"/>
      <c r="CO39" s="24"/>
      <c r="CP39" s="25"/>
      <c r="CQ39" s="24"/>
      <c r="CR39" s="23"/>
      <c r="CS39" s="24"/>
      <c r="CT39" s="25"/>
      <c r="CU39" s="24"/>
      <c r="CV39" s="23"/>
      <c r="CW39" s="24"/>
      <c r="CX39" s="25"/>
      <c r="CY39" s="24"/>
      <c r="CZ39" s="23"/>
      <c r="DA39" s="24"/>
      <c r="DB39" s="25"/>
      <c r="DC39" s="24"/>
      <c r="DD39" s="23"/>
      <c r="DE39" s="24"/>
      <c r="DF39" s="25"/>
      <c r="DG39" s="24"/>
      <c r="DH39" s="23"/>
      <c r="DI39" s="24"/>
      <c r="DJ39" s="25"/>
      <c r="DK39" s="24"/>
      <c r="DL39" s="23"/>
      <c r="DM39" s="24"/>
      <c r="DN39" s="25"/>
      <c r="DO39" s="24"/>
      <c r="DP39" s="340"/>
      <c r="DQ39" s="32">
        <f t="shared" ref="DQ39:DQ42" si="20">SUMPRODUCT(--(MOD(COLUMN(BT39:CQ39),4)=MOD(COLUMN(BT39),4)),BT39:CQ39)+SUMPRODUCT(--(MOD(COLUMN(CR39:DO39),4)=MOD(COLUMN(CR39),4)),CR39:DO39)</f>
        <v>0</v>
      </c>
      <c r="DR39" s="32" t="e">
        <f>SUMPRODUCT(--(MOD(COLUMN(BT39:CQ39),4)=MOD(COLUMN(BT39),4)),BT39:CQ39)*#REF!+SUMPRODUCT(--(MOD(COLUMN(CR39:DO39),4)=MOD(COLUMN(CR39),4)),CR39:DO39)*#REF!</f>
        <v>#REF!</v>
      </c>
      <c r="DS39" s="362"/>
      <c r="DT39" s="11"/>
      <c r="DU39" s="23"/>
      <c r="DV39" s="24"/>
      <c r="DW39" s="25"/>
      <c r="DX39" s="24"/>
      <c r="DY39" s="23"/>
      <c r="DZ39" s="24"/>
      <c r="EA39" s="25"/>
      <c r="EB39" s="24"/>
      <c r="EC39" s="23"/>
      <c r="ED39" s="24"/>
      <c r="EE39" s="25"/>
      <c r="EF39" s="24"/>
      <c r="EG39" s="23"/>
      <c r="EH39" s="24"/>
      <c r="EI39" s="25"/>
      <c r="EJ39" s="24"/>
      <c r="EK39" s="23"/>
      <c r="EL39" s="24"/>
      <c r="EM39" s="25"/>
      <c r="EN39" s="24"/>
      <c r="EO39" s="23"/>
      <c r="EP39" s="24"/>
      <c r="EQ39" s="25"/>
      <c r="ER39" s="24"/>
      <c r="ES39" s="23"/>
      <c r="ET39" s="24"/>
      <c r="EU39" s="25"/>
      <c r="EV39" s="24"/>
      <c r="EW39" s="23"/>
      <c r="EX39" s="24"/>
      <c r="EY39" s="25"/>
      <c r="EZ39" s="24"/>
      <c r="FA39" s="23"/>
      <c r="FB39" s="24"/>
      <c r="FC39" s="25"/>
      <c r="FD39" s="24"/>
      <c r="FE39" s="23"/>
      <c r="FF39" s="24"/>
      <c r="FG39" s="25"/>
      <c r="FH39" s="24"/>
      <c r="FI39" s="23"/>
      <c r="FJ39" s="24"/>
      <c r="FK39" s="25"/>
      <c r="FL39" s="24"/>
      <c r="FM39" s="23"/>
      <c r="FN39" s="24"/>
      <c r="FO39" s="25"/>
      <c r="FP39" s="24"/>
      <c r="FQ39" s="340"/>
      <c r="FR39" s="32">
        <f t="shared" ref="FR39:FR42" si="21">SUMPRODUCT(--(MOD(COLUMN(DU39:ER39),4)=MOD(COLUMN(DU39),4)),DU39:ER39)+SUMPRODUCT(--(MOD(COLUMN(ES39:FP39),4)=MOD(COLUMN(ES39),4)),ES39:FP39)</f>
        <v>0</v>
      </c>
      <c r="FS39" s="32" t="e">
        <f>SUMPRODUCT(--(MOD(COLUMN(DU39:ER39),4)=MOD(COLUMN(DU39),4)),DU39:ER39)*#REF!+SUMPRODUCT(--(MOD(COLUMN(ES39:FP39),4)=MOD(COLUMN(ES39),4)),ES39:FP39)*#REF!</f>
        <v>#REF!</v>
      </c>
      <c r="FT39" s="360"/>
    </row>
    <row r="40" spans="1:176" s="14" customFormat="1" outlineLevel="2">
      <c r="A40" s="56" t="s">
        <v>475</v>
      </c>
      <c r="B40" s="589" t="s">
        <v>457</v>
      </c>
      <c r="C40" s="15" t="s">
        <v>31</v>
      </c>
      <c r="D40" s="15" t="s">
        <v>32</v>
      </c>
      <c r="E40" s="17">
        <f>IF(ISBLANK(G40),"",IF($A$6:$A$64=$A40,COUNTIF($A$6:A40,$A40),""))</f>
        <v>6</v>
      </c>
      <c r="F40" s="17">
        <v>1</v>
      </c>
      <c r="G40" s="33">
        <v>9254800504</v>
      </c>
      <c r="H40" s="18" t="s">
        <v>38</v>
      </c>
      <c r="I40" s="624">
        <f>373.98/НДС_20</f>
        <v>311.65000000000003</v>
      </c>
      <c r="J40" s="20"/>
      <c r="K40" s="20"/>
      <c r="L40" s="20" t="str">
        <f t="shared" si="13"/>
        <v/>
      </c>
      <c r="M40" s="11"/>
      <c r="N40" s="363">
        <f t="shared" si="14"/>
        <v>0</v>
      </c>
      <c r="O40" s="23"/>
      <c r="P40" s="24"/>
      <c r="Q40" s="25"/>
      <c r="R40" s="24"/>
      <c r="S40" s="23"/>
      <c r="T40" s="24"/>
      <c r="U40" s="25">
        <v>0</v>
      </c>
      <c r="V40" s="24"/>
      <c r="W40" s="23"/>
      <c r="X40" s="24"/>
      <c r="Y40" s="25"/>
      <c r="Z40" s="24"/>
      <c r="AA40" s="23"/>
      <c r="AB40" s="24"/>
      <c r="AC40" s="25"/>
      <c r="AD40" s="24"/>
      <c r="AE40" s="23"/>
      <c r="AF40" s="24"/>
      <c r="AG40" s="25"/>
      <c r="AH40" s="24"/>
      <c r="AI40" s="23"/>
      <c r="AJ40" s="24"/>
      <c r="AK40" s="25"/>
      <c r="AL40" s="24"/>
      <c r="AM40" s="23"/>
      <c r="AN40" s="24"/>
      <c r="AO40" s="25"/>
      <c r="AP40" s="24"/>
      <c r="AQ40" s="23"/>
      <c r="AR40" s="24"/>
      <c r="AS40" s="25"/>
      <c r="AT40" s="24"/>
      <c r="AU40" s="23"/>
      <c r="AV40" s="24"/>
      <c r="AW40" s="25"/>
      <c r="AX40" s="24"/>
      <c r="AY40" s="23"/>
      <c r="AZ40" s="24"/>
      <c r="BA40" s="25"/>
      <c r="BB40" s="24"/>
      <c r="BC40" s="23"/>
      <c r="BD40" s="24"/>
      <c r="BE40" s="25"/>
      <c r="BF40" s="24"/>
      <c r="BG40" s="23"/>
      <c r="BH40" s="24"/>
      <c r="BI40" s="25"/>
      <c r="BJ40" s="24"/>
      <c r="BK40" s="340"/>
      <c r="BL40" s="32">
        <f t="shared" si="1"/>
        <v>0</v>
      </c>
      <c r="BM40" s="466">
        <f t="shared" si="17"/>
        <v>0</v>
      </c>
      <c r="BN40" s="28">
        <f t="shared" si="3"/>
        <v>0</v>
      </c>
      <c r="BO40" s="29">
        <f t="shared" si="18"/>
        <v>0</v>
      </c>
      <c r="BP40" s="30">
        <f t="shared" si="5"/>
        <v>0</v>
      </c>
      <c r="BQ40" s="31">
        <f t="shared" si="19"/>
        <v>0</v>
      </c>
      <c r="BR40" s="362"/>
      <c r="BS40" s="11"/>
      <c r="BT40" s="23"/>
      <c r="BU40" s="24"/>
      <c r="BV40" s="25"/>
      <c r="BW40" s="24"/>
      <c r="BX40" s="23"/>
      <c r="BY40" s="24"/>
      <c r="BZ40" s="25"/>
      <c r="CA40" s="24"/>
      <c r="CB40" s="23"/>
      <c r="CC40" s="24"/>
      <c r="CD40" s="25"/>
      <c r="CE40" s="24"/>
      <c r="CF40" s="23"/>
      <c r="CG40" s="24"/>
      <c r="CH40" s="25"/>
      <c r="CI40" s="24"/>
      <c r="CJ40" s="23"/>
      <c r="CK40" s="24"/>
      <c r="CL40" s="25"/>
      <c r="CM40" s="24"/>
      <c r="CN40" s="23"/>
      <c r="CO40" s="24"/>
      <c r="CP40" s="25"/>
      <c r="CQ40" s="24"/>
      <c r="CR40" s="23"/>
      <c r="CS40" s="24"/>
      <c r="CT40" s="25"/>
      <c r="CU40" s="24"/>
      <c r="CV40" s="23"/>
      <c r="CW40" s="24"/>
      <c r="CX40" s="25"/>
      <c r="CY40" s="24"/>
      <c r="CZ40" s="23"/>
      <c r="DA40" s="24"/>
      <c r="DB40" s="25"/>
      <c r="DC40" s="24"/>
      <c r="DD40" s="23"/>
      <c r="DE40" s="24"/>
      <c r="DF40" s="25"/>
      <c r="DG40" s="24"/>
      <c r="DH40" s="23"/>
      <c r="DI40" s="24"/>
      <c r="DJ40" s="25"/>
      <c r="DK40" s="24"/>
      <c r="DL40" s="23"/>
      <c r="DM40" s="24"/>
      <c r="DN40" s="25"/>
      <c r="DO40" s="24"/>
      <c r="DP40" s="340"/>
      <c r="DQ40" s="32">
        <f t="shared" si="20"/>
        <v>0</v>
      </c>
      <c r="DR40" s="32" t="e">
        <f>SUMPRODUCT(--(MOD(COLUMN(BT40:CQ40),4)=MOD(COLUMN(BT40),4)),BT40:CQ40)*#REF!+SUMPRODUCT(--(MOD(COLUMN(CR40:DO40),4)=MOD(COLUMN(CR40),4)),CR40:DO40)*#REF!</f>
        <v>#REF!</v>
      </c>
      <c r="DS40" s="362"/>
      <c r="DT40" s="11"/>
      <c r="DU40" s="23"/>
      <c r="DV40" s="24"/>
      <c r="DW40" s="25"/>
      <c r="DX40" s="24"/>
      <c r="DY40" s="23"/>
      <c r="DZ40" s="24"/>
      <c r="EA40" s="25"/>
      <c r="EB40" s="24"/>
      <c r="EC40" s="23"/>
      <c r="ED40" s="24"/>
      <c r="EE40" s="25"/>
      <c r="EF40" s="24"/>
      <c r="EG40" s="23"/>
      <c r="EH40" s="24"/>
      <c r="EI40" s="25"/>
      <c r="EJ40" s="24"/>
      <c r="EK40" s="23"/>
      <c r="EL40" s="24"/>
      <c r="EM40" s="25"/>
      <c r="EN40" s="24"/>
      <c r="EO40" s="23"/>
      <c r="EP40" s="24"/>
      <c r="EQ40" s="25"/>
      <c r="ER40" s="24"/>
      <c r="ES40" s="23"/>
      <c r="ET40" s="24"/>
      <c r="EU40" s="25"/>
      <c r="EV40" s="24"/>
      <c r="EW40" s="23"/>
      <c r="EX40" s="24"/>
      <c r="EY40" s="25"/>
      <c r="EZ40" s="24"/>
      <c r="FA40" s="23"/>
      <c r="FB40" s="24"/>
      <c r="FC40" s="25"/>
      <c r="FD40" s="24"/>
      <c r="FE40" s="23"/>
      <c r="FF40" s="24"/>
      <c r="FG40" s="25"/>
      <c r="FH40" s="24"/>
      <c r="FI40" s="23"/>
      <c r="FJ40" s="24"/>
      <c r="FK40" s="25"/>
      <c r="FL40" s="24"/>
      <c r="FM40" s="23"/>
      <c r="FN40" s="24"/>
      <c r="FO40" s="25"/>
      <c r="FP40" s="24"/>
      <c r="FQ40" s="340"/>
      <c r="FR40" s="32">
        <f t="shared" si="21"/>
        <v>0</v>
      </c>
      <c r="FS40" s="32" t="e">
        <f>SUMPRODUCT(--(MOD(COLUMN(DU40:ER40),4)=MOD(COLUMN(DU40),4)),DU40:ER40)*#REF!+SUMPRODUCT(--(MOD(COLUMN(ES40:FP40),4)=MOD(COLUMN(ES40),4)),ES40:FP40)*#REF!</f>
        <v>#REF!</v>
      </c>
      <c r="FT40" s="360"/>
    </row>
    <row r="41" spans="1:176" s="14" customFormat="1" outlineLevel="2">
      <c r="A41" s="56" t="s">
        <v>475</v>
      </c>
      <c r="B41" s="16"/>
      <c r="C41" s="15"/>
      <c r="D41" s="15"/>
      <c r="E41" s="35" t="str">
        <f>IF(ISBLANK(G41),"",IF($A$6:$A$64=$A41,COUNTIF($A$6:A41,$A41),""))</f>
        <v/>
      </c>
      <c r="F41" s="35"/>
      <c r="G41" s="53"/>
      <c r="H41" s="36" t="s">
        <v>43</v>
      </c>
      <c r="I41" s="626"/>
      <c r="J41" s="38"/>
      <c r="K41" s="38"/>
      <c r="L41" s="38" t="str">
        <f t="shared" si="13"/>
        <v/>
      </c>
      <c r="M41" s="11"/>
      <c r="N41" s="363">
        <f t="shared" si="14"/>
        <v>0</v>
      </c>
      <c r="O41" s="40"/>
      <c r="P41" s="41"/>
      <c r="Q41" s="42"/>
      <c r="R41" s="41"/>
      <c r="S41" s="40"/>
      <c r="T41" s="41"/>
      <c r="U41" s="42"/>
      <c r="V41" s="41"/>
      <c r="W41" s="40"/>
      <c r="X41" s="41"/>
      <c r="Y41" s="42"/>
      <c r="Z41" s="41"/>
      <c r="AA41" s="40"/>
      <c r="AB41" s="41"/>
      <c r="AC41" s="42"/>
      <c r="AD41" s="41"/>
      <c r="AE41" s="40"/>
      <c r="AF41" s="41"/>
      <c r="AG41" s="42"/>
      <c r="AH41" s="41"/>
      <c r="AI41" s="40"/>
      <c r="AJ41" s="41"/>
      <c r="AK41" s="42"/>
      <c r="AL41" s="41"/>
      <c r="AM41" s="40"/>
      <c r="AN41" s="41"/>
      <c r="AO41" s="42"/>
      <c r="AP41" s="41"/>
      <c r="AQ41" s="40"/>
      <c r="AR41" s="41"/>
      <c r="AS41" s="42"/>
      <c r="AT41" s="41"/>
      <c r="AU41" s="40"/>
      <c r="AV41" s="41"/>
      <c r="AW41" s="42"/>
      <c r="AX41" s="41"/>
      <c r="AY41" s="40"/>
      <c r="AZ41" s="41"/>
      <c r="BA41" s="42"/>
      <c r="BB41" s="41"/>
      <c r="BC41" s="40"/>
      <c r="BD41" s="41"/>
      <c r="BE41" s="42"/>
      <c r="BF41" s="41"/>
      <c r="BG41" s="40"/>
      <c r="BH41" s="41"/>
      <c r="BI41" s="42"/>
      <c r="BJ41" s="43"/>
      <c r="BK41" s="341"/>
      <c r="BL41" s="27">
        <f t="shared" si="1"/>
        <v>0</v>
      </c>
      <c r="BM41" s="110">
        <f t="shared" si="17"/>
        <v>0</v>
      </c>
      <c r="BN41" s="28">
        <f t="shared" si="3"/>
        <v>0</v>
      </c>
      <c r="BO41" s="29">
        <f t="shared" si="18"/>
        <v>0</v>
      </c>
      <c r="BP41" s="30">
        <f t="shared" si="5"/>
        <v>0</v>
      </c>
      <c r="BQ41" s="31">
        <f t="shared" si="19"/>
        <v>0</v>
      </c>
      <c r="BR41" s="353"/>
      <c r="BS41" s="11"/>
      <c r="BT41" s="40"/>
      <c r="BU41" s="41"/>
      <c r="BV41" s="42"/>
      <c r="BW41" s="41"/>
      <c r="BX41" s="40"/>
      <c r="BY41" s="41"/>
      <c r="BZ41" s="42"/>
      <c r="CA41" s="41"/>
      <c r="CB41" s="40"/>
      <c r="CC41" s="41"/>
      <c r="CD41" s="42"/>
      <c r="CE41" s="41"/>
      <c r="CF41" s="40"/>
      <c r="CG41" s="41"/>
      <c r="CH41" s="42"/>
      <c r="CI41" s="41"/>
      <c r="CJ41" s="40"/>
      <c r="CK41" s="41"/>
      <c r="CL41" s="42"/>
      <c r="CM41" s="41"/>
      <c r="CN41" s="40"/>
      <c r="CO41" s="41"/>
      <c r="CP41" s="42"/>
      <c r="CQ41" s="41"/>
      <c r="CR41" s="40"/>
      <c r="CS41" s="41"/>
      <c r="CT41" s="42"/>
      <c r="CU41" s="41"/>
      <c r="CV41" s="40"/>
      <c r="CW41" s="41"/>
      <c r="CX41" s="42"/>
      <c r="CY41" s="41"/>
      <c r="CZ41" s="40"/>
      <c r="DA41" s="41"/>
      <c r="DB41" s="42"/>
      <c r="DC41" s="41"/>
      <c r="DD41" s="40"/>
      <c r="DE41" s="41"/>
      <c r="DF41" s="42"/>
      <c r="DG41" s="41"/>
      <c r="DH41" s="40"/>
      <c r="DI41" s="41"/>
      <c r="DJ41" s="42"/>
      <c r="DK41" s="41"/>
      <c r="DL41" s="40"/>
      <c r="DM41" s="41"/>
      <c r="DN41" s="42"/>
      <c r="DO41" s="43"/>
      <c r="DP41" s="341"/>
      <c r="DQ41" s="27">
        <f t="shared" si="20"/>
        <v>0</v>
      </c>
      <c r="DR41" s="27" t="e">
        <f>SUMPRODUCT(--(MOD(COLUMN(BT41:CQ41),4)=MOD(COLUMN(BT41),4)),BT41:CQ41)*#REF!+SUMPRODUCT(--(MOD(COLUMN(CR41:DO41),4)=MOD(COLUMN(CR41),4)),CR41:DO41)*#REF!</f>
        <v>#REF!</v>
      </c>
      <c r="DS41" s="353"/>
      <c r="DT41" s="11"/>
      <c r="DU41" s="40"/>
      <c r="DV41" s="41"/>
      <c r="DW41" s="42"/>
      <c r="DX41" s="41"/>
      <c r="DY41" s="40"/>
      <c r="DZ41" s="41"/>
      <c r="EA41" s="42"/>
      <c r="EB41" s="41"/>
      <c r="EC41" s="40"/>
      <c r="ED41" s="41"/>
      <c r="EE41" s="42"/>
      <c r="EF41" s="41"/>
      <c r="EG41" s="40"/>
      <c r="EH41" s="41"/>
      <c r="EI41" s="42"/>
      <c r="EJ41" s="41"/>
      <c r="EK41" s="40"/>
      <c r="EL41" s="41"/>
      <c r="EM41" s="42"/>
      <c r="EN41" s="41"/>
      <c r="EO41" s="40"/>
      <c r="EP41" s="41"/>
      <c r="EQ41" s="42"/>
      <c r="ER41" s="41"/>
      <c r="ES41" s="40"/>
      <c r="ET41" s="41"/>
      <c r="EU41" s="42"/>
      <c r="EV41" s="41"/>
      <c r="EW41" s="40"/>
      <c r="EX41" s="41"/>
      <c r="EY41" s="42"/>
      <c r="EZ41" s="41"/>
      <c r="FA41" s="40"/>
      <c r="FB41" s="41"/>
      <c r="FC41" s="42"/>
      <c r="FD41" s="41"/>
      <c r="FE41" s="40"/>
      <c r="FF41" s="41"/>
      <c r="FG41" s="42"/>
      <c r="FH41" s="41"/>
      <c r="FI41" s="40"/>
      <c r="FJ41" s="41"/>
      <c r="FK41" s="42"/>
      <c r="FL41" s="41"/>
      <c r="FM41" s="40"/>
      <c r="FN41" s="41"/>
      <c r="FO41" s="42"/>
      <c r="FP41" s="43"/>
      <c r="FQ41" s="341"/>
      <c r="FR41" s="27">
        <f t="shared" si="21"/>
        <v>0</v>
      </c>
      <c r="FS41" s="27" t="e">
        <f>SUMPRODUCT(--(MOD(COLUMN(DU41:ER41),4)=MOD(COLUMN(DU41),4)),DU41:ER41)*#REF!+SUMPRODUCT(--(MOD(COLUMN(ES41:FP41),4)=MOD(COLUMN(ES41),4)),ES41:FP41)*#REF!</f>
        <v>#REF!</v>
      </c>
      <c r="FT41" s="360"/>
    </row>
    <row r="42" spans="1:176" s="44" customFormat="1" outlineLevel="1">
      <c r="A42" s="45" t="s">
        <v>475</v>
      </c>
      <c r="B42" s="46"/>
      <c r="C42" s="46"/>
      <c r="D42" s="46"/>
      <c r="E42" s="47" t="str">
        <f>IF(ISBLANK(G42),"",IF($A$6:$A$64=$A42,COUNTIF($A$6:A42,$A42),""))</f>
        <v/>
      </c>
      <c r="F42" s="47"/>
      <c r="G42" s="48"/>
      <c r="H42" s="49"/>
      <c r="I42" s="620"/>
      <c r="J42" s="50"/>
      <c r="K42" s="50"/>
      <c r="L42" s="50" t="str">
        <f t="shared" si="13"/>
        <v/>
      </c>
      <c r="M42" s="51"/>
      <c r="N42" s="363">
        <f t="shared" si="14"/>
        <v>0</v>
      </c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335"/>
      <c r="BL42" s="52">
        <f t="shared" si="1"/>
        <v>0</v>
      </c>
      <c r="BM42" s="122">
        <f t="shared" si="17"/>
        <v>0</v>
      </c>
      <c r="BN42" s="52">
        <f t="shared" si="3"/>
        <v>0</v>
      </c>
      <c r="BO42" s="52">
        <f t="shared" si="18"/>
        <v>0</v>
      </c>
      <c r="BP42" s="52">
        <f t="shared" si="5"/>
        <v>0</v>
      </c>
      <c r="BQ42" s="52">
        <f t="shared" si="19"/>
        <v>0</v>
      </c>
      <c r="BR42" s="342"/>
      <c r="BS42" s="51"/>
      <c r="BT42" s="51"/>
      <c r="BU42" s="51"/>
      <c r="BV42" s="51"/>
      <c r="BW42" s="51"/>
      <c r="BX42" s="51"/>
      <c r="BY42" s="51"/>
      <c r="BZ42" s="51"/>
      <c r="CA42" s="51"/>
      <c r="CB42" s="51"/>
      <c r="CC42" s="51"/>
      <c r="CD42" s="51"/>
      <c r="CE42" s="51"/>
      <c r="CF42" s="51"/>
      <c r="CG42" s="51"/>
      <c r="CH42" s="51"/>
      <c r="CI42" s="51"/>
      <c r="CJ42" s="51"/>
      <c r="CK42" s="51"/>
      <c r="CL42" s="51"/>
      <c r="CM42" s="51"/>
      <c r="CN42" s="51"/>
      <c r="CO42" s="51"/>
      <c r="CP42" s="51"/>
      <c r="CQ42" s="51"/>
      <c r="CR42" s="51"/>
      <c r="CS42" s="51"/>
      <c r="CT42" s="51"/>
      <c r="CU42" s="51"/>
      <c r="CV42" s="51"/>
      <c r="CW42" s="51"/>
      <c r="CX42" s="51"/>
      <c r="CY42" s="51"/>
      <c r="CZ42" s="51"/>
      <c r="DA42" s="51"/>
      <c r="DB42" s="51"/>
      <c r="DC42" s="51"/>
      <c r="DD42" s="51"/>
      <c r="DE42" s="51"/>
      <c r="DF42" s="51"/>
      <c r="DG42" s="51"/>
      <c r="DH42" s="51"/>
      <c r="DI42" s="51"/>
      <c r="DJ42" s="51"/>
      <c r="DK42" s="51"/>
      <c r="DL42" s="51"/>
      <c r="DM42" s="51"/>
      <c r="DN42" s="51"/>
      <c r="DO42" s="51"/>
      <c r="DP42" s="335"/>
      <c r="DQ42" s="52">
        <f t="shared" si="20"/>
        <v>0</v>
      </c>
      <c r="DR42" s="52" t="e">
        <f>SUMPRODUCT(--(MOD(COLUMN(BT42:CQ42),4)=MOD(COLUMN(BT42),4)),BT42:CQ42)*#REF!+SUMPRODUCT(--(MOD(COLUMN(CR42:DO42),4)=MOD(COLUMN(CR42),4)),CR42:DO42)*#REF!</f>
        <v>#REF!</v>
      </c>
      <c r="DS42" s="342"/>
      <c r="DT42" s="51"/>
      <c r="DU42" s="51"/>
      <c r="DV42" s="51"/>
      <c r="DW42" s="51"/>
      <c r="DX42" s="51"/>
      <c r="DY42" s="51"/>
      <c r="DZ42" s="51"/>
      <c r="EA42" s="51"/>
      <c r="EB42" s="51"/>
      <c r="EC42" s="51"/>
      <c r="ED42" s="51"/>
      <c r="EE42" s="51"/>
      <c r="EF42" s="51"/>
      <c r="EG42" s="51"/>
      <c r="EH42" s="51"/>
      <c r="EI42" s="51"/>
      <c r="EJ42" s="51"/>
      <c r="EK42" s="51"/>
      <c r="EL42" s="51"/>
      <c r="EM42" s="51"/>
      <c r="EN42" s="51"/>
      <c r="EO42" s="51"/>
      <c r="EP42" s="51"/>
      <c r="EQ42" s="51"/>
      <c r="ER42" s="51"/>
      <c r="ES42" s="51"/>
      <c r="ET42" s="51"/>
      <c r="EU42" s="51"/>
      <c r="EV42" s="51"/>
      <c r="EW42" s="51"/>
      <c r="EX42" s="51"/>
      <c r="EY42" s="51"/>
      <c r="EZ42" s="51"/>
      <c r="FA42" s="51"/>
      <c r="FB42" s="51"/>
      <c r="FC42" s="51"/>
      <c r="FD42" s="51"/>
      <c r="FE42" s="51"/>
      <c r="FF42" s="51"/>
      <c r="FG42" s="51"/>
      <c r="FH42" s="51"/>
      <c r="FI42" s="51"/>
      <c r="FJ42" s="51"/>
      <c r="FK42" s="51"/>
      <c r="FL42" s="51"/>
      <c r="FM42" s="51"/>
      <c r="FN42" s="51"/>
      <c r="FO42" s="51"/>
      <c r="FP42" s="51"/>
      <c r="FQ42" s="335"/>
      <c r="FR42" s="52">
        <f t="shared" si="21"/>
        <v>0</v>
      </c>
      <c r="FS42" s="52" t="e">
        <f>SUMPRODUCT(--(MOD(COLUMN(DU42:ER42),4)=MOD(COLUMN(DU42),4)),DU42:ER42)*#REF!+SUMPRODUCT(--(MOD(COLUMN(ES42:FP42),4)=MOD(COLUMN(ES42),4)),ES42:FP42)*#REF!</f>
        <v>#REF!</v>
      </c>
      <c r="FT42" s="370"/>
    </row>
    <row r="43" spans="1:176" s="14" customFormat="1" outlineLevel="2">
      <c r="A43" s="56" t="s">
        <v>472</v>
      </c>
      <c r="B43" s="16" t="s">
        <v>30</v>
      </c>
      <c r="C43" s="15" t="s">
        <v>31</v>
      </c>
      <c r="D43" s="15" t="s">
        <v>32</v>
      </c>
      <c r="E43" s="17">
        <f>IF(ISBLANK(G43),"",IF($A$6:$A$64=$A43,COUNTIF($A$6:A43,$A43),""))</f>
        <v>1</v>
      </c>
      <c r="F43" s="17">
        <v>1</v>
      </c>
      <c r="G43" s="33">
        <v>6402250560</v>
      </c>
      <c r="H43" s="410" t="s">
        <v>408</v>
      </c>
      <c r="I43" s="625">
        <v>2068</v>
      </c>
      <c r="J43" s="20"/>
      <c r="K43" s="20"/>
      <c r="L43" s="20" t="str">
        <f t="shared" si="13"/>
        <v/>
      </c>
      <c r="M43" s="11"/>
      <c r="N43" s="363">
        <f t="shared" si="14"/>
        <v>1</v>
      </c>
      <c r="O43" s="23"/>
      <c r="P43" s="24"/>
      <c r="Q43" s="25"/>
      <c r="R43" s="24"/>
      <c r="S43" s="23"/>
      <c r="T43" s="24"/>
      <c r="U43" s="25">
        <v>0</v>
      </c>
      <c r="V43" s="24"/>
      <c r="W43" s="23"/>
      <c r="X43" s="24">
        <f>24+27</f>
        <v>51</v>
      </c>
      <c r="Y43" s="25">
        <v>51</v>
      </c>
      <c r="Z43" s="24"/>
      <c r="AA43" s="23"/>
      <c r="AB43" s="24">
        <f>(15+30+29)</f>
        <v>74</v>
      </c>
      <c r="AC43" s="25">
        <v>74</v>
      </c>
      <c r="AD43" s="24"/>
      <c r="AE43" s="23"/>
      <c r="AF43" s="24">
        <f>20</f>
        <v>20</v>
      </c>
      <c r="AG43" s="25">
        <v>20</v>
      </c>
      <c r="AH43" s="24"/>
      <c r="AI43" s="23"/>
      <c r="AJ43" s="24">
        <f>(146-(27+15+30+29+20))</f>
        <v>25</v>
      </c>
      <c r="AK43" s="25"/>
      <c r="AL43" s="24"/>
      <c r="AM43" s="23"/>
      <c r="AN43" s="24">
        <v>50</v>
      </c>
      <c r="AO43" s="25"/>
      <c r="AP43" s="24"/>
      <c r="AQ43" s="23"/>
      <c r="AR43" s="24"/>
      <c r="AS43" s="25"/>
      <c r="AT43" s="24"/>
      <c r="AU43" s="23"/>
      <c r="AV43" s="24"/>
      <c r="AW43" s="25"/>
      <c r="AX43" s="24"/>
      <c r="AY43" s="23"/>
      <c r="AZ43" s="24"/>
      <c r="BA43" s="25"/>
      <c r="BB43" s="24"/>
      <c r="BC43" s="23"/>
      <c r="BD43" s="24"/>
      <c r="BE43" s="25"/>
      <c r="BF43" s="24"/>
      <c r="BG43" s="23"/>
      <c r="BH43" s="24"/>
      <c r="BI43" s="25"/>
      <c r="BJ43" s="24"/>
      <c r="BK43" s="340"/>
      <c r="BL43" s="32">
        <f t="shared" si="1"/>
        <v>0</v>
      </c>
      <c r="BM43" s="466">
        <f t="shared" si="17"/>
        <v>0</v>
      </c>
      <c r="BN43" s="28">
        <f t="shared" si="3"/>
        <v>220</v>
      </c>
      <c r="BO43" s="29">
        <f t="shared" si="18"/>
        <v>454960</v>
      </c>
      <c r="BP43" s="30">
        <f t="shared" si="5"/>
        <v>145</v>
      </c>
      <c r="BQ43" s="31">
        <f t="shared" si="19"/>
        <v>299860</v>
      </c>
      <c r="BR43" s="362"/>
      <c r="BS43" s="11"/>
      <c r="BT43" s="23"/>
      <c r="BU43" s="24"/>
      <c r="BV43" s="25"/>
      <c r="BW43" s="24"/>
      <c r="BX43" s="23"/>
      <c r="BY43" s="24"/>
      <c r="BZ43" s="25"/>
      <c r="CA43" s="24"/>
      <c r="CB43" s="23"/>
      <c r="CC43" s="24"/>
      <c r="CD43" s="25"/>
      <c r="CE43" s="24"/>
      <c r="CF43" s="23"/>
      <c r="CG43" s="24"/>
      <c r="CH43" s="25"/>
      <c r="CI43" s="24"/>
      <c r="CJ43" s="23"/>
      <c r="CK43" s="24"/>
      <c r="CL43" s="25"/>
      <c r="CM43" s="24"/>
      <c r="CN43" s="23"/>
      <c r="CO43" s="24"/>
      <c r="CP43" s="25"/>
      <c r="CQ43" s="24"/>
      <c r="CR43" s="23"/>
      <c r="CS43" s="24"/>
      <c r="CT43" s="25"/>
      <c r="CU43" s="24"/>
      <c r="CV43" s="23"/>
      <c r="CW43" s="24"/>
      <c r="CX43" s="25"/>
      <c r="CY43" s="24"/>
      <c r="CZ43" s="23"/>
      <c r="DA43" s="24"/>
      <c r="DB43" s="25"/>
      <c r="DC43" s="24"/>
      <c r="DD43" s="23"/>
      <c r="DE43" s="24"/>
      <c r="DF43" s="25"/>
      <c r="DG43" s="24"/>
      <c r="DH43" s="23"/>
      <c r="DI43" s="24"/>
      <c r="DJ43" s="25"/>
      <c r="DK43" s="24"/>
      <c r="DL43" s="23"/>
      <c r="DM43" s="24"/>
      <c r="DN43" s="25"/>
      <c r="DO43" s="24"/>
      <c r="DP43" s="340"/>
      <c r="DQ43" s="32"/>
      <c r="DR43" s="32"/>
      <c r="DS43" s="362"/>
      <c r="DT43" s="11"/>
      <c r="DU43" s="23"/>
      <c r="DV43" s="24"/>
      <c r="DW43" s="25"/>
      <c r="DX43" s="24"/>
      <c r="DY43" s="23"/>
      <c r="DZ43" s="24"/>
      <c r="EA43" s="25"/>
      <c r="EB43" s="24"/>
      <c r="EC43" s="23"/>
      <c r="ED43" s="24"/>
      <c r="EE43" s="25"/>
      <c r="EF43" s="24"/>
      <c r="EG43" s="23"/>
      <c r="EH43" s="24"/>
      <c r="EI43" s="25"/>
      <c r="EJ43" s="24"/>
      <c r="EK43" s="23"/>
      <c r="EL43" s="24"/>
      <c r="EM43" s="25"/>
      <c r="EN43" s="24"/>
      <c r="EO43" s="23"/>
      <c r="EP43" s="24"/>
      <c r="EQ43" s="25"/>
      <c r="ER43" s="24"/>
      <c r="ES43" s="23"/>
      <c r="ET43" s="24"/>
      <c r="EU43" s="25"/>
      <c r="EV43" s="24"/>
      <c r="EW43" s="23"/>
      <c r="EX43" s="24"/>
      <c r="EY43" s="25"/>
      <c r="EZ43" s="24"/>
      <c r="FA43" s="23"/>
      <c r="FB43" s="24"/>
      <c r="FC43" s="25"/>
      <c r="FD43" s="24"/>
      <c r="FE43" s="23"/>
      <c r="FF43" s="24"/>
      <c r="FG43" s="25"/>
      <c r="FH43" s="24"/>
      <c r="FI43" s="23"/>
      <c r="FJ43" s="24"/>
      <c r="FK43" s="25"/>
      <c r="FL43" s="24"/>
      <c r="FM43" s="23"/>
      <c r="FN43" s="24"/>
      <c r="FO43" s="25"/>
      <c r="FP43" s="24"/>
      <c r="FQ43" s="340"/>
      <c r="FR43" s="32"/>
      <c r="FS43" s="32"/>
      <c r="FT43" s="360"/>
    </row>
    <row r="44" spans="1:176" s="14" customFormat="1" outlineLevel="2">
      <c r="A44" s="56" t="s">
        <v>472</v>
      </c>
      <c r="B44" s="16" t="s">
        <v>30</v>
      </c>
      <c r="C44" s="15" t="s">
        <v>31</v>
      </c>
      <c r="D44" s="15" t="s">
        <v>32</v>
      </c>
      <c r="E44" s="17">
        <f>IF(ISBLANK(G44),"",IF($A$6:$A$64=$A44,COUNTIF($A$6:A44,$A44),""))</f>
        <v>2</v>
      </c>
      <c r="F44" s="17">
        <v>1</v>
      </c>
      <c r="G44" s="33">
        <v>6402250570</v>
      </c>
      <c r="H44" s="410" t="s">
        <v>409</v>
      </c>
      <c r="I44" s="625">
        <f>I43</f>
        <v>2068</v>
      </c>
      <c r="J44" s="20"/>
      <c r="K44" s="20"/>
      <c r="L44" s="20" t="str">
        <f t="shared" si="13"/>
        <v/>
      </c>
      <c r="M44" s="11"/>
      <c r="N44" s="363">
        <f t="shared" si="14"/>
        <v>1</v>
      </c>
      <c r="O44" s="23"/>
      <c r="P44" s="24"/>
      <c r="Q44" s="25"/>
      <c r="R44" s="24"/>
      <c r="S44" s="23"/>
      <c r="T44" s="24"/>
      <c r="U44" s="25">
        <v>0</v>
      </c>
      <c r="V44" s="24"/>
      <c r="W44" s="23"/>
      <c r="X44" s="24">
        <f>X43</f>
        <v>51</v>
      </c>
      <c r="Y44" s="25">
        <v>51</v>
      </c>
      <c r="Z44" s="24"/>
      <c r="AA44" s="23"/>
      <c r="AB44" s="24">
        <f>AB43</f>
        <v>74</v>
      </c>
      <c r="AC44" s="25">
        <v>74</v>
      </c>
      <c r="AD44" s="24"/>
      <c r="AE44" s="23"/>
      <c r="AF44" s="24">
        <f>AF43</f>
        <v>20</v>
      </c>
      <c r="AG44" s="25">
        <v>20</v>
      </c>
      <c r="AH44" s="24"/>
      <c r="AI44" s="23"/>
      <c r="AJ44" s="24">
        <f>AJ43</f>
        <v>25</v>
      </c>
      <c r="AK44" s="25"/>
      <c r="AL44" s="24"/>
      <c r="AM44" s="23"/>
      <c r="AN44" s="24">
        <f>AN43</f>
        <v>50</v>
      </c>
      <c r="AO44" s="25"/>
      <c r="AP44" s="24"/>
      <c r="AQ44" s="23"/>
      <c r="AR44" s="24"/>
      <c r="AS44" s="25"/>
      <c r="AT44" s="24"/>
      <c r="AU44" s="23"/>
      <c r="AV44" s="24"/>
      <c r="AW44" s="25"/>
      <c r="AX44" s="24"/>
      <c r="AY44" s="23"/>
      <c r="AZ44" s="24"/>
      <c r="BA44" s="25"/>
      <c r="BB44" s="24"/>
      <c r="BC44" s="23"/>
      <c r="BD44" s="24"/>
      <c r="BE44" s="25"/>
      <c r="BF44" s="24"/>
      <c r="BG44" s="23"/>
      <c r="BH44" s="24"/>
      <c r="BI44" s="25"/>
      <c r="BJ44" s="24"/>
      <c r="BK44" s="340"/>
      <c r="BL44" s="32">
        <f t="shared" si="1"/>
        <v>0</v>
      </c>
      <c r="BM44" s="466">
        <f t="shared" si="17"/>
        <v>0</v>
      </c>
      <c r="BN44" s="28">
        <f t="shared" si="3"/>
        <v>220</v>
      </c>
      <c r="BO44" s="29">
        <f t="shared" si="18"/>
        <v>454960</v>
      </c>
      <c r="BP44" s="30">
        <f t="shared" si="5"/>
        <v>145</v>
      </c>
      <c r="BQ44" s="31">
        <f t="shared" si="19"/>
        <v>299860</v>
      </c>
      <c r="BR44" s="362"/>
      <c r="BS44" s="11"/>
      <c r="BT44" s="23"/>
      <c r="BU44" s="24"/>
      <c r="BV44" s="25"/>
      <c r="BW44" s="24"/>
      <c r="BX44" s="23"/>
      <c r="BY44" s="24"/>
      <c r="BZ44" s="25"/>
      <c r="CA44" s="24"/>
      <c r="CB44" s="23"/>
      <c r="CC44" s="24"/>
      <c r="CD44" s="25"/>
      <c r="CE44" s="24"/>
      <c r="CF44" s="23"/>
      <c r="CG44" s="24"/>
      <c r="CH44" s="25"/>
      <c r="CI44" s="24"/>
      <c r="CJ44" s="23"/>
      <c r="CK44" s="24"/>
      <c r="CL44" s="25"/>
      <c r="CM44" s="24"/>
      <c r="CN44" s="23"/>
      <c r="CO44" s="24"/>
      <c r="CP44" s="25"/>
      <c r="CQ44" s="24"/>
      <c r="CR44" s="23"/>
      <c r="CS44" s="24"/>
      <c r="CT44" s="25"/>
      <c r="CU44" s="24"/>
      <c r="CV44" s="23"/>
      <c r="CW44" s="24"/>
      <c r="CX44" s="25"/>
      <c r="CY44" s="24"/>
      <c r="CZ44" s="23"/>
      <c r="DA44" s="24"/>
      <c r="DB44" s="25"/>
      <c r="DC44" s="24"/>
      <c r="DD44" s="23"/>
      <c r="DE44" s="24"/>
      <c r="DF44" s="25"/>
      <c r="DG44" s="24"/>
      <c r="DH44" s="23"/>
      <c r="DI44" s="24"/>
      <c r="DJ44" s="25"/>
      <c r="DK44" s="24"/>
      <c r="DL44" s="23"/>
      <c r="DM44" s="24"/>
      <c r="DN44" s="25"/>
      <c r="DO44" s="24"/>
      <c r="DP44" s="340"/>
      <c r="DQ44" s="32"/>
      <c r="DR44" s="32"/>
      <c r="DS44" s="362"/>
      <c r="DT44" s="11"/>
      <c r="DU44" s="23"/>
      <c r="DV44" s="24"/>
      <c r="DW44" s="25"/>
      <c r="DX44" s="24"/>
      <c r="DY44" s="23"/>
      <c r="DZ44" s="24"/>
      <c r="EA44" s="25"/>
      <c r="EB44" s="24"/>
      <c r="EC44" s="23"/>
      <c r="ED44" s="24"/>
      <c r="EE44" s="25"/>
      <c r="EF44" s="24"/>
      <c r="EG44" s="23"/>
      <c r="EH44" s="24"/>
      <c r="EI44" s="25"/>
      <c r="EJ44" s="24"/>
      <c r="EK44" s="23"/>
      <c r="EL44" s="24"/>
      <c r="EM44" s="25"/>
      <c r="EN44" s="24"/>
      <c r="EO44" s="23"/>
      <c r="EP44" s="24"/>
      <c r="EQ44" s="25"/>
      <c r="ER44" s="24"/>
      <c r="ES44" s="23"/>
      <c r="ET44" s="24"/>
      <c r="EU44" s="25"/>
      <c r="EV44" s="24"/>
      <c r="EW44" s="23"/>
      <c r="EX44" s="24"/>
      <c r="EY44" s="25"/>
      <c r="EZ44" s="24"/>
      <c r="FA44" s="23"/>
      <c r="FB44" s="24"/>
      <c r="FC44" s="25"/>
      <c r="FD44" s="24"/>
      <c r="FE44" s="23"/>
      <c r="FF44" s="24"/>
      <c r="FG44" s="25"/>
      <c r="FH44" s="24"/>
      <c r="FI44" s="23"/>
      <c r="FJ44" s="24"/>
      <c r="FK44" s="25"/>
      <c r="FL44" s="24"/>
      <c r="FM44" s="23"/>
      <c r="FN44" s="24"/>
      <c r="FO44" s="25"/>
      <c r="FP44" s="24"/>
      <c r="FQ44" s="340"/>
      <c r="FR44" s="32"/>
      <c r="FS44" s="32"/>
      <c r="FT44" s="360"/>
    </row>
    <row r="45" spans="1:176" s="14" customFormat="1" outlineLevel="2">
      <c r="A45" s="56" t="s">
        <v>472</v>
      </c>
      <c r="B45" s="16" t="s">
        <v>30</v>
      </c>
      <c r="C45" s="15" t="s">
        <v>31</v>
      </c>
      <c r="D45" s="15" t="s">
        <v>32</v>
      </c>
      <c r="E45" s="17">
        <f>IF(ISBLANK(G45),"",IF($A$6:$A$64=$A45,COUNTIF($A$6:A45,$A45),""))</f>
        <v>3</v>
      </c>
      <c r="F45" s="17">
        <v>1</v>
      </c>
      <c r="G45" s="33">
        <v>4410328080</v>
      </c>
      <c r="H45" s="18" t="s">
        <v>45</v>
      </c>
      <c r="I45" s="627">
        <f>84/НДС_20</f>
        <v>70</v>
      </c>
      <c r="J45" s="20"/>
      <c r="K45" s="20"/>
      <c r="L45" s="20" t="str">
        <f t="shared" si="13"/>
        <v/>
      </c>
      <c r="M45" s="11"/>
      <c r="N45" s="363">
        <f t="shared" si="14"/>
        <v>0</v>
      </c>
      <c r="O45" s="23"/>
      <c r="P45" s="24"/>
      <c r="Q45" s="25"/>
      <c r="R45" s="24"/>
      <c r="S45" s="23"/>
      <c r="T45" s="24"/>
      <c r="U45" s="25">
        <v>0</v>
      </c>
      <c r="V45" s="24"/>
      <c r="W45" s="23"/>
      <c r="X45" s="24"/>
      <c r="Y45" s="25"/>
      <c r="Z45" s="24"/>
      <c r="AA45" s="23"/>
      <c r="AB45" s="24"/>
      <c r="AC45" s="25"/>
      <c r="AD45" s="24"/>
      <c r="AE45" s="23"/>
      <c r="AF45" s="24"/>
      <c r="AG45" s="25"/>
      <c r="AH45" s="24"/>
      <c r="AI45" s="23"/>
      <c r="AJ45" s="24"/>
      <c r="AK45" s="25"/>
      <c r="AL45" s="24"/>
      <c r="AM45" s="23"/>
      <c r="AN45" s="24"/>
      <c r="AO45" s="25"/>
      <c r="AP45" s="24"/>
      <c r="AQ45" s="23"/>
      <c r="AR45" s="24"/>
      <c r="AS45" s="25"/>
      <c r="AT45" s="24"/>
      <c r="AU45" s="23"/>
      <c r="AV45" s="24"/>
      <c r="AW45" s="25"/>
      <c r="AX45" s="24"/>
      <c r="AY45" s="23"/>
      <c r="AZ45" s="24"/>
      <c r="BA45" s="25"/>
      <c r="BB45" s="24"/>
      <c r="BC45" s="23"/>
      <c r="BD45" s="24"/>
      <c r="BE45" s="25"/>
      <c r="BF45" s="24"/>
      <c r="BG45" s="23"/>
      <c r="BH45" s="24"/>
      <c r="BI45" s="25"/>
      <c r="BJ45" s="24"/>
      <c r="BK45" s="340"/>
      <c r="BL45" s="32">
        <f t="shared" si="1"/>
        <v>0</v>
      </c>
      <c r="BM45" s="466">
        <f t="shared" si="17"/>
        <v>0</v>
      </c>
      <c r="BN45" s="28">
        <f t="shared" si="3"/>
        <v>0</v>
      </c>
      <c r="BO45" s="29">
        <f t="shared" si="18"/>
        <v>0</v>
      </c>
      <c r="BP45" s="30">
        <f t="shared" si="5"/>
        <v>0</v>
      </c>
      <c r="BQ45" s="31">
        <f t="shared" si="19"/>
        <v>0</v>
      </c>
      <c r="BR45" s="362"/>
      <c r="BS45" s="11"/>
      <c r="BT45" s="23"/>
      <c r="BU45" s="24"/>
      <c r="BV45" s="25"/>
      <c r="BW45" s="24"/>
      <c r="BX45" s="23"/>
      <c r="BY45" s="24"/>
      <c r="BZ45" s="25"/>
      <c r="CA45" s="24"/>
      <c r="CB45" s="23"/>
      <c r="CC45" s="24"/>
      <c r="CD45" s="25"/>
      <c r="CE45" s="24"/>
      <c r="CF45" s="23"/>
      <c r="CG45" s="24"/>
      <c r="CH45" s="25"/>
      <c r="CI45" s="24"/>
      <c r="CJ45" s="23"/>
      <c r="CK45" s="24"/>
      <c r="CL45" s="25"/>
      <c r="CM45" s="24"/>
      <c r="CN45" s="23"/>
      <c r="CO45" s="24"/>
      <c r="CP45" s="25"/>
      <c r="CQ45" s="24"/>
      <c r="CR45" s="23"/>
      <c r="CS45" s="24"/>
      <c r="CT45" s="25"/>
      <c r="CU45" s="24"/>
      <c r="CV45" s="23"/>
      <c r="CW45" s="24"/>
      <c r="CX45" s="25"/>
      <c r="CY45" s="24"/>
      <c r="CZ45" s="23"/>
      <c r="DA45" s="24"/>
      <c r="DB45" s="25"/>
      <c r="DC45" s="24"/>
      <c r="DD45" s="23"/>
      <c r="DE45" s="24"/>
      <c r="DF45" s="25"/>
      <c r="DG45" s="24"/>
      <c r="DH45" s="23"/>
      <c r="DI45" s="24"/>
      <c r="DJ45" s="25"/>
      <c r="DK45" s="24"/>
      <c r="DL45" s="23"/>
      <c r="DM45" s="24"/>
      <c r="DN45" s="25"/>
      <c r="DO45" s="24"/>
      <c r="DP45" s="340"/>
      <c r="DQ45" s="32"/>
      <c r="DR45" s="32"/>
      <c r="DS45" s="362"/>
      <c r="DT45" s="11"/>
      <c r="DU45" s="23"/>
      <c r="DV45" s="24"/>
      <c r="DW45" s="25"/>
      <c r="DX45" s="24"/>
      <c r="DY45" s="23"/>
      <c r="DZ45" s="24"/>
      <c r="EA45" s="25"/>
      <c r="EB45" s="24"/>
      <c r="EC45" s="23"/>
      <c r="ED45" s="24"/>
      <c r="EE45" s="25"/>
      <c r="EF45" s="24"/>
      <c r="EG45" s="23"/>
      <c r="EH45" s="24"/>
      <c r="EI45" s="25"/>
      <c r="EJ45" s="24"/>
      <c r="EK45" s="23"/>
      <c r="EL45" s="24"/>
      <c r="EM45" s="25"/>
      <c r="EN45" s="24"/>
      <c r="EO45" s="23"/>
      <c r="EP45" s="24"/>
      <c r="EQ45" s="25"/>
      <c r="ER45" s="24"/>
      <c r="ES45" s="23"/>
      <c r="ET45" s="24"/>
      <c r="EU45" s="25"/>
      <c r="EV45" s="24"/>
      <c r="EW45" s="23"/>
      <c r="EX45" s="24"/>
      <c r="EY45" s="25"/>
      <c r="EZ45" s="24"/>
      <c r="FA45" s="23"/>
      <c r="FB45" s="24"/>
      <c r="FC45" s="25"/>
      <c r="FD45" s="24"/>
      <c r="FE45" s="23"/>
      <c r="FF45" s="24"/>
      <c r="FG45" s="25"/>
      <c r="FH45" s="24"/>
      <c r="FI45" s="23"/>
      <c r="FJ45" s="24"/>
      <c r="FK45" s="25"/>
      <c r="FL45" s="24"/>
      <c r="FM45" s="23"/>
      <c r="FN45" s="24"/>
      <c r="FO45" s="25"/>
      <c r="FP45" s="24"/>
      <c r="FQ45" s="340"/>
      <c r="FR45" s="32"/>
      <c r="FS45" s="32"/>
      <c r="FT45" s="360"/>
    </row>
    <row r="46" spans="1:176" s="14" customFormat="1" outlineLevel="2">
      <c r="A46" s="56" t="s">
        <v>472</v>
      </c>
      <c r="B46" s="16" t="s">
        <v>30</v>
      </c>
      <c r="C46" s="15" t="s">
        <v>31</v>
      </c>
      <c r="D46" s="15" t="s">
        <v>32</v>
      </c>
      <c r="E46" s="17">
        <f>IF(ISBLANK(G46),"",IF($A$6:$A$64=$A46,COUNTIF($A$6:A46,$A46),""))</f>
        <v>4</v>
      </c>
      <c r="F46" s="17">
        <v>1</v>
      </c>
      <c r="G46" s="33">
        <v>8997598154</v>
      </c>
      <c r="H46" s="18" t="s">
        <v>46</v>
      </c>
      <c r="I46" s="624">
        <f>8.4/НДС_20</f>
        <v>7.0000000000000009</v>
      </c>
      <c r="J46" s="20"/>
      <c r="K46" s="20"/>
      <c r="L46" s="20" t="str">
        <f t="shared" si="13"/>
        <v/>
      </c>
      <c r="M46" s="11"/>
      <c r="N46" s="363">
        <f t="shared" si="14"/>
        <v>0</v>
      </c>
      <c r="O46" s="23"/>
      <c r="P46" s="24"/>
      <c r="Q46" s="25"/>
      <c r="R46" s="24"/>
      <c r="S46" s="23"/>
      <c r="T46" s="24"/>
      <c r="U46" s="25">
        <v>0</v>
      </c>
      <c r="V46" s="24"/>
      <c r="W46" s="23"/>
      <c r="X46" s="24"/>
      <c r="Y46" s="25"/>
      <c r="Z46" s="24"/>
      <c r="AA46" s="23"/>
      <c r="AB46" s="24"/>
      <c r="AC46" s="25"/>
      <c r="AD46" s="24"/>
      <c r="AE46" s="23"/>
      <c r="AF46" s="24"/>
      <c r="AG46" s="25"/>
      <c r="AH46" s="24"/>
      <c r="AI46" s="23"/>
      <c r="AJ46" s="24"/>
      <c r="AK46" s="25"/>
      <c r="AL46" s="24"/>
      <c r="AM46" s="23"/>
      <c r="AN46" s="24"/>
      <c r="AO46" s="25"/>
      <c r="AP46" s="24"/>
      <c r="AQ46" s="23"/>
      <c r="AR46" s="24"/>
      <c r="AS46" s="25"/>
      <c r="AT46" s="24"/>
      <c r="AU46" s="23"/>
      <c r="AV46" s="24"/>
      <c r="AW46" s="25"/>
      <c r="AX46" s="24"/>
      <c r="AY46" s="23"/>
      <c r="AZ46" s="24"/>
      <c r="BA46" s="25"/>
      <c r="BB46" s="24"/>
      <c r="BC46" s="23"/>
      <c r="BD46" s="24"/>
      <c r="BE46" s="25"/>
      <c r="BF46" s="24"/>
      <c r="BG46" s="23"/>
      <c r="BH46" s="24"/>
      <c r="BI46" s="25"/>
      <c r="BJ46" s="24"/>
      <c r="BK46" s="340"/>
      <c r="BL46" s="32">
        <f t="shared" si="1"/>
        <v>0</v>
      </c>
      <c r="BM46" s="466">
        <f t="shared" si="17"/>
        <v>0</v>
      </c>
      <c r="BN46" s="28">
        <f t="shared" si="3"/>
        <v>0</v>
      </c>
      <c r="BO46" s="29">
        <f t="shared" si="18"/>
        <v>0</v>
      </c>
      <c r="BP46" s="30">
        <f t="shared" si="5"/>
        <v>0</v>
      </c>
      <c r="BQ46" s="31">
        <f t="shared" si="19"/>
        <v>0</v>
      </c>
      <c r="BR46" s="362"/>
      <c r="BS46" s="11"/>
      <c r="BT46" s="23"/>
      <c r="BU46" s="24"/>
      <c r="BV46" s="25"/>
      <c r="BW46" s="24"/>
      <c r="BX46" s="23"/>
      <c r="BY46" s="24"/>
      <c r="BZ46" s="25"/>
      <c r="CA46" s="24"/>
      <c r="CB46" s="23"/>
      <c r="CC46" s="24"/>
      <c r="CD46" s="25"/>
      <c r="CE46" s="24"/>
      <c r="CF46" s="23"/>
      <c r="CG46" s="24"/>
      <c r="CH46" s="25"/>
      <c r="CI46" s="24"/>
      <c r="CJ46" s="23"/>
      <c r="CK46" s="24"/>
      <c r="CL46" s="25"/>
      <c r="CM46" s="24"/>
      <c r="CN46" s="23"/>
      <c r="CO46" s="24"/>
      <c r="CP46" s="25"/>
      <c r="CQ46" s="24"/>
      <c r="CR46" s="23"/>
      <c r="CS46" s="24"/>
      <c r="CT46" s="25"/>
      <c r="CU46" s="24"/>
      <c r="CV46" s="23"/>
      <c r="CW46" s="24"/>
      <c r="CX46" s="25"/>
      <c r="CY46" s="24"/>
      <c r="CZ46" s="23"/>
      <c r="DA46" s="24"/>
      <c r="DB46" s="25"/>
      <c r="DC46" s="24"/>
      <c r="DD46" s="23"/>
      <c r="DE46" s="24"/>
      <c r="DF46" s="25"/>
      <c r="DG46" s="24"/>
      <c r="DH46" s="23"/>
      <c r="DI46" s="24"/>
      <c r="DJ46" s="25"/>
      <c r="DK46" s="24"/>
      <c r="DL46" s="23"/>
      <c r="DM46" s="24"/>
      <c r="DN46" s="25"/>
      <c r="DO46" s="24"/>
      <c r="DP46" s="340"/>
      <c r="DQ46" s="32"/>
      <c r="DR46" s="32"/>
      <c r="DS46" s="362"/>
      <c r="DT46" s="11"/>
      <c r="DU46" s="23"/>
      <c r="DV46" s="24"/>
      <c r="DW46" s="25"/>
      <c r="DX46" s="24"/>
      <c r="DY46" s="23"/>
      <c r="DZ46" s="24"/>
      <c r="EA46" s="25"/>
      <c r="EB46" s="24"/>
      <c r="EC46" s="23"/>
      <c r="ED46" s="24"/>
      <c r="EE46" s="25"/>
      <c r="EF46" s="24"/>
      <c r="EG46" s="23"/>
      <c r="EH46" s="24"/>
      <c r="EI46" s="25"/>
      <c r="EJ46" s="24"/>
      <c r="EK46" s="23"/>
      <c r="EL46" s="24"/>
      <c r="EM46" s="25"/>
      <c r="EN46" s="24"/>
      <c r="EO46" s="23"/>
      <c r="EP46" s="24"/>
      <c r="EQ46" s="25"/>
      <c r="ER46" s="24"/>
      <c r="ES46" s="23"/>
      <c r="ET46" s="24"/>
      <c r="EU46" s="25"/>
      <c r="EV46" s="24"/>
      <c r="EW46" s="23"/>
      <c r="EX46" s="24"/>
      <c r="EY46" s="25"/>
      <c r="EZ46" s="24"/>
      <c r="FA46" s="23"/>
      <c r="FB46" s="24"/>
      <c r="FC46" s="25"/>
      <c r="FD46" s="24"/>
      <c r="FE46" s="23"/>
      <c r="FF46" s="24"/>
      <c r="FG46" s="25"/>
      <c r="FH46" s="24"/>
      <c r="FI46" s="23"/>
      <c r="FJ46" s="24"/>
      <c r="FK46" s="25"/>
      <c r="FL46" s="24"/>
      <c r="FM46" s="23"/>
      <c r="FN46" s="24"/>
      <c r="FO46" s="25"/>
      <c r="FP46" s="24"/>
      <c r="FQ46" s="340"/>
      <c r="FR46" s="32"/>
      <c r="FS46" s="32"/>
      <c r="FT46" s="360"/>
    </row>
    <row r="47" spans="1:176" s="14" customFormat="1" outlineLevel="2">
      <c r="A47" s="56" t="s">
        <v>472</v>
      </c>
      <c r="B47" s="16" t="s">
        <v>30</v>
      </c>
      <c r="C47" s="15" t="s">
        <v>31</v>
      </c>
      <c r="D47" s="15" t="s">
        <v>32</v>
      </c>
      <c r="E47" s="17">
        <f>IF(ISBLANK(G47),"",IF($A$6:$A$64=$A47,COUNTIF($A$6:A47,$A47),""))</f>
        <v>5</v>
      </c>
      <c r="F47" s="17">
        <v>1</v>
      </c>
      <c r="G47" s="33">
        <v>4235041001</v>
      </c>
      <c r="H47" s="18" t="s">
        <v>37</v>
      </c>
      <c r="I47" s="624">
        <f>163.08/НДС_20</f>
        <v>135.9</v>
      </c>
      <c r="J47" s="20"/>
      <c r="K47" s="20"/>
      <c r="L47" s="20" t="str">
        <f t="shared" si="13"/>
        <v/>
      </c>
      <c r="M47" s="11"/>
      <c r="N47" s="363">
        <f t="shared" si="14"/>
        <v>0</v>
      </c>
      <c r="O47" s="23"/>
      <c r="P47" s="24"/>
      <c r="Q47" s="25"/>
      <c r="R47" s="24"/>
      <c r="S47" s="23"/>
      <c r="T47" s="24"/>
      <c r="U47" s="25">
        <v>0</v>
      </c>
      <c r="V47" s="24"/>
      <c r="W47" s="23"/>
      <c r="X47" s="24"/>
      <c r="Y47" s="25"/>
      <c r="Z47" s="24"/>
      <c r="AA47" s="23"/>
      <c r="AB47" s="24"/>
      <c r="AC47" s="25"/>
      <c r="AD47" s="24"/>
      <c r="AE47" s="23"/>
      <c r="AF47" s="24"/>
      <c r="AG47" s="25"/>
      <c r="AH47" s="24"/>
      <c r="AI47" s="23"/>
      <c r="AJ47" s="24"/>
      <c r="AK47" s="25"/>
      <c r="AL47" s="24"/>
      <c r="AM47" s="23"/>
      <c r="AN47" s="24"/>
      <c r="AO47" s="25"/>
      <c r="AP47" s="24"/>
      <c r="AQ47" s="23"/>
      <c r="AR47" s="24"/>
      <c r="AS47" s="25"/>
      <c r="AT47" s="24"/>
      <c r="AU47" s="23"/>
      <c r="AV47" s="24"/>
      <c r="AW47" s="25"/>
      <c r="AX47" s="24"/>
      <c r="AY47" s="23"/>
      <c r="AZ47" s="24"/>
      <c r="BA47" s="25"/>
      <c r="BB47" s="24"/>
      <c r="BC47" s="23"/>
      <c r="BD47" s="24"/>
      <c r="BE47" s="25"/>
      <c r="BF47" s="24"/>
      <c r="BG47" s="23"/>
      <c r="BH47" s="24"/>
      <c r="BI47" s="25"/>
      <c r="BJ47" s="24"/>
      <c r="BK47" s="340"/>
      <c r="BL47" s="32">
        <f t="shared" si="1"/>
        <v>0</v>
      </c>
      <c r="BM47" s="466">
        <f t="shared" si="17"/>
        <v>0</v>
      </c>
      <c r="BN47" s="28">
        <f t="shared" si="3"/>
        <v>0</v>
      </c>
      <c r="BO47" s="29">
        <f t="shared" si="18"/>
        <v>0</v>
      </c>
      <c r="BP47" s="30">
        <f t="shared" si="5"/>
        <v>0</v>
      </c>
      <c r="BQ47" s="31">
        <f t="shared" si="19"/>
        <v>0</v>
      </c>
      <c r="BR47" s="362"/>
      <c r="BS47" s="11"/>
      <c r="BT47" s="23"/>
      <c r="BU47" s="24"/>
      <c r="BV47" s="25"/>
      <c r="BW47" s="24"/>
      <c r="BX47" s="23"/>
      <c r="BY47" s="24"/>
      <c r="BZ47" s="25"/>
      <c r="CA47" s="24"/>
      <c r="CB47" s="23"/>
      <c r="CC47" s="24"/>
      <c r="CD47" s="25"/>
      <c r="CE47" s="24"/>
      <c r="CF47" s="23"/>
      <c r="CG47" s="24"/>
      <c r="CH47" s="25"/>
      <c r="CI47" s="24"/>
      <c r="CJ47" s="23"/>
      <c r="CK47" s="24"/>
      <c r="CL47" s="25"/>
      <c r="CM47" s="24"/>
      <c r="CN47" s="23"/>
      <c r="CO47" s="24"/>
      <c r="CP47" s="25"/>
      <c r="CQ47" s="24"/>
      <c r="CR47" s="23"/>
      <c r="CS47" s="24"/>
      <c r="CT47" s="25"/>
      <c r="CU47" s="24"/>
      <c r="CV47" s="23"/>
      <c r="CW47" s="24"/>
      <c r="CX47" s="25"/>
      <c r="CY47" s="24"/>
      <c r="CZ47" s="23"/>
      <c r="DA47" s="24"/>
      <c r="DB47" s="25"/>
      <c r="DC47" s="24"/>
      <c r="DD47" s="23"/>
      <c r="DE47" s="24"/>
      <c r="DF47" s="25"/>
      <c r="DG47" s="24"/>
      <c r="DH47" s="23"/>
      <c r="DI47" s="24"/>
      <c r="DJ47" s="25"/>
      <c r="DK47" s="24"/>
      <c r="DL47" s="23"/>
      <c r="DM47" s="24"/>
      <c r="DN47" s="25"/>
      <c r="DO47" s="24"/>
      <c r="DP47" s="340"/>
      <c r="DQ47" s="32"/>
      <c r="DR47" s="32"/>
      <c r="DS47" s="362"/>
      <c r="DT47" s="11"/>
      <c r="DU47" s="23"/>
      <c r="DV47" s="24"/>
      <c r="DW47" s="25"/>
      <c r="DX47" s="24"/>
      <c r="DY47" s="23"/>
      <c r="DZ47" s="24"/>
      <c r="EA47" s="25"/>
      <c r="EB47" s="24"/>
      <c r="EC47" s="23"/>
      <c r="ED47" s="24"/>
      <c r="EE47" s="25"/>
      <c r="EF47" s="24"/>
      <c r="EG47" s="23"/>
      <c r="EH47" s="24"/>
      <c r="EI47" s="25"/>
      <c r="EJ47" s="24"/>
      <c r="EK47" s="23"/>
      <c r="EL47" s="24"/>
      <c r="EM47" s="25"/>
      <c r="EN47" s="24"/>
      <c r="EO47" s="23"/>
      <c r="EP47" s="24"/>
      <c r="EQ47" s="25"/>
      <c r="ER47" s="24"/>
      <c r="ES47" s="23"/>
      <c r="ET47" s="24"/>
      <c r="EU47" s="25"/>
      <c r="EV47" s="24"/>
      <c r="EW47" s="23"/>
      <c r="EX47" s="24"/>
      <c r="EY47" s="25"/>
      <c r="EZ47" s="24"/>
      <c r="FA47" s="23"/>
      <c r="FB47" s="24"/>
      <c r="FC47" s="25"/>
      <c r="FD47" s="24"/>
      <c r="FE47" s="23"/>
      <c r="FF47" s="24"/>
      <c r="FG47" s="25"/>
      <c r="FH47" s="24"/>
      <c r="FI47" s="23"/>
      <c r="FJ47" s="24"/>
      <c r="FK47" s="25"/>
      <c r="FL47" s="24"/>
      <c r="FM47" s="23"/>
      <c r="FN47" s="24"/>
      <c r="FO47" s="25"/>
      <c r="FP47" s="24"/>
      <c r="FQ47" s="340"/>
      <c r="FR47" s="32"/>
      <c r="FS47" s="32"/>
      <c r="FT47" s="360"/>
    </row>
    <row r="48" spans="1:176" s="14" customFormat="1" outlineLevel="2">
      <c r="A48" s="56" t="s">
        <v>472</v>
      </c>
      <c r="B48" s="16" t="s">
        <v>30</v>
      </c>
      <c r="C48" s="15" t="s">
        <v>31</v>
      </c>
      <c r="D48" s="15" t="s">
        <v>32</v>
      </c>
      <c r="E48" s="17">
        <f>IF(ISBLANK(G48),"",IF($A$6:$A$64=$A48,COUNTIF($A$6:A48,$A48),""))</f>
        <v>6</v>
      </c>
      <c r="F48" s="17">
        <v>1</v>
      </c>
      <c r="G48" s="33">
        <v>9254800504</v>
      </c>
      <c r="H48" s="18" t="s">
        <v>38</v>
      </c>
      <c r="I48" s="624">
        <f>373.98/НДС_20</f>
        <v>311.65000000000003</v>
      </c>
      <c r="J48" s="20"/>
      <c r="K48" s="20"/>
      <c r="L48" s="20" t="str">
        <f t="shared" si="13"/>
        <v/>
      </c>
      <c r="M48" s="11"/>
      <c r="N48" s="363">
        <f t="shared" si="14"/>
        <v>0</v>
      </c>
      <c r="O48" s="23"/>
      <c r="P48" s="24"/>
      <c r="Q48" s="25"/>
      <c r="R48" s="24"/>
      <c r="S48" s="23"/>
      <c r="T48" s="24"/>
      <c r="U48" s="25">
        <v>0</v>
      </c>
      <c r="V48" s="24"/>
      <c r="W48" s="23"/>
      <c r="X48" s="24"/>
      <c r="Y48" s="25"/>
      <c r="Z48" s="24"/>
      <c r="AA48" s="23"/>
      <c r="AB48" s="24"/>
      <c r="AC48" s="25"/>
      <c r="AD48" s="24"/>
      <c r="AE48" s="23"/>
      <c r="AF48" s="24"/>
      <c r="AG48" s="25"/>
      <c r="AH48" s="24"/>
      <c r="AI48" s="23"/>
      <c r="AJ48" s="24"/>
      <c r="AK48" s="25"/>
      <c r="AL48" s="24"/>
      <c r="AM48" s="23"/>
      <c r="AN48" s="24"/>
      <c r="AO48" s="25"/>
      <c r="AP48" s="24"/>
      <c r="AQ48" s="23"/>
      <c r="AR48" s="24"/>
      <c r="AS48" s="25"/>
      <c r="AT48" s="24"/>
      <c r="AU48" s="23"/>
      <c r="AV48" s="24"/>
      <c r="AW48" s="25"/>
      <c r="AX48" s="24"/>
      <c r="AY48" s="23"/>
      <c r="AZ48" s="24"/>
      <c r="BA48" s="25"/>
      <c r="BB48" s="24"/>
      <c r="BC48" s="23"/>
      <c r="BD48" s="24"/>
      <c r="BE48" s="25"/>
      <c r="BF48" s="24"/>
      <c r="BG48" s="23"/>
      <c r="BH48" s="24"/>
      <c r="BI48" s="25"/>
      <c r="BJ48" s="24"/>
      <c r="BK48" s="340"/>
      <c r="BL48" s="32">
        <f t="shared" si="1"/>
        <v>0</v>
      </c>
      <c r="BM48" s="466">
        <f t="shared" si="17"/>
        <v>0</v>
      </c>
      <c r="BN48" s="28">
        <f t="shared" si="3"/>
        <v>0</v>
      </c>
      <c r="BO48" s="29">
        <f t="shared" si="18"/>
        <v>0</v>
      </c>
      <c r="BP48" s="30">
        <f t="shared" si="5"/>
        <v>0</v>
      </c>
      <c r="BQ48" s="31">
        <f t="shared" si="19"/>
        <v>0</v>
      </c>
      <c r="BR48" s="362"/>
      <c r="BS48" s="11"/>
      <c r="BT48" s="23"/>
      <c r="BU48" s="24"/>
      <c r="BV48" s="25"/>
      <c r="BW48" s="24"/>
      <c r="BX48" s="23"/>
      <c r="BY48" s="24"/>
      <c r="BZ48" s="25"/>
      <c r="CA48" s="24"/>
      <c r="CB48" s="23"/>
      <c r="CC48" s="24"/>
      <c r="CD48" s="25"/>
      <c r="CE48" s="24"/>
      <c r="CF48" s="23"/>
      <c r="CG48" s="24"/>
      <c r="CH48" s="25"/>
      <c r="CI48" s="24"/>
      <c r="CJ48" s="23"/>
      <c r="CK48" s="24"/>
      <c r="CL48" s="25"/>
      <c r="CM48" s="24"/>
      <c r="CN48" s="23"/>
      <c r="CO48" s="24"/>
      <c r="CP48" s="25"/>
      <c r="CQ48" s="24"/>
      <c r="CR48" s="23"/>
      <c r="CS48" s="24"/>
      <c r="CT48" s="25"/>
      <c r="CU48" s="24"/>
      <c r="CV48" s="23"/>
      <c r="CW48" s="24"/>
      <c r="CX48" s="25"/>
      <c r="CY48" s="24"/>
      <c r="CZ48" s="23"/>
      <c r="DA48" s="24"/>
      <c r="DB48" s="25"/>
      <c r="DC48" s="24"/>
      <c r="DD48" s="23"/>
      <c r="DE48" s="24"/>
      <c r="DF48" s="25"/>
      <c r="DG48" s="24"/>
      <c r="DH48" s="23"/>
      <c r="DI48" s="24"/>
      <c r="DJ48" s="25"/>
      <c r="DK48" s="24"/>
      <c r="DL48" s="23"/>
      <c r="DM48" s="24"/>
      <c r="DN48" s="25"/>
      <c r="DO48" s="24"/>
      <c r="DP48" s="340"/>
      <c r="DQ48" s="32"/>
      <c r="DR48" s="32"/>
      <c r="DS48" s="362"/>
      <c r="DT48" s="11"/>
      <c r="DU48" s="23"/>
      <c r="DV48" s="24"/>
      <c r="DW48" s="25"/>
      <c r="DX48" s="24"/>
      <c r="DY48" s="23"/>
      <c r="DZ48" s="24"/>
      <c r="EA48" s="25"/>
      <c r="EB48" s="24"/>
      <c r="EC48" s="23"/>
      <c r="ED48" s="24"/>
      <c r="EE48" s="25"/>
      <c r="EF48" s="24"/>
      <c r="EG48" s="23"/>
      <c r="EH48" s="24"/>
      <c r="EI48" s="25"/>
      <c r="EJ48" s="24"/>
      <c r="EK48" s="23"/>
      <c r="EL48" s="24"/>
      <c r="EM48" s="25"/>
      <c r="EN48" s="24"/>
      <c r="EO48" s="23"/>
      <c r="EP48" s="24"/>
      <c r="EQ48" s="25"/>
      <c r="ER48" s="24"/>
      <c r="ES48" s="23"/>
      <c r="ET48" s="24"/>
      <c r="EU48" s="25"/>
      <c r="EV48" s="24"/>
      <c r="EW48" s="23"/>
      <c r="EX48" s="24"/>
      <c r="EY48" s="25"/>
      <c r="EZ48" s="24"/>
      <c r="FA48" s="23"/>
      <c r="FB48" s="24"/>
      <c r="FC48" s="25"/>
      <c r="FD48" s="24"/>
      <c r="FE48" s="23"/>
      <c r="FF48" s="24"/>
      <c r="FG48" s="25"/>
      <c r="FH48" s="24"/>
      <c r="FI48" s="23"/>
      <c r="FJ48" s="24"/>
      <c r="FK48" s="25"/>
      <c r="FL48" s="24"/>
      <c r="FM48" s="23"/>
      <c r="FN48" s="24"/>
      <c r="FO48" s="25"/>
      <c r="FP48" s="24"/>
      <c r="FQ48" s="340"/>
      <c r="FR48" s="32"/>
      <c r="FS48" s="32"/>
      <c r="FT48" s="360"/>
    </row>
    <row r="49" spans="1:176" s="14" customFormat="1" outlineLevel="2">
      <c r="A49" s="56" t="s">
        <v>472</v>
      </c>
      <c r="B49" s="16"/>
      <c r="C49" s="15"/>
      <c r="D49" s="15"/>
      <c r="E49" s="35" t="str">
        <f>IF(ISBLANK(G49),"",IF($A$6:$A$64=$A49,COUNTIF($A$6:A49,$A49),""))</f>
        <v/>
      </c>
      <c r="F49" s="35"/>
      <c r="G49" s="53"/>
      <c r="H49" s="36" t="s">
        <v>43</v>
      </c>
      <c r="I49" s="626"/>
      <c r="J49" s="38"/>
      <c r="K49" s="38"/>
      <c r="L49" s="38" t="str">
        <f t="shared" si="13"/>
        <v/>
      </c>
      <c r="M49" s="11"/>
      <c r="N49" s="363">
        <f t="shared" si="14"/>
        <v>0</v>
      </c>
      <c r="O49" s="40"/>
      <c r="P49" s="41"/>
      <c r="Q49" s="42"/>
      <c r="R49" s="41"/>
      <c r="S49" s="40"/>
      <c r="T49" s="41"/>
      <c r="U49" s="42"/>
      <c r="V49" s="41"/>
      <c r="W49" s="40"/>
      <c r="X49" s="41"/>
      <c r="Y49" s="42"/>
      <c r="Z49" s="41"/>
      <c r="AA49" s="40"/>
      <c r="AB49" s="41"/>
      <c r="AC49" s="42"/>
      <c r="AD49" s="41"/>
      <c r="AE49" s="40"/>
      <c r="AF49" s="41"/>
      <c r="AG49" s="42"/>
      <c r="AH49" s="41"/>
      <c r="AI49" s="40"/>
      <c r="AJ49" s="41"/>
      <c r="AK49" s="42"/>
      <c r="AL49" s="41"/>
      <c r="AM49" s="40"/>
      <c r="AN49" s="41"/>
      <c r="AO49" s="42"/>
      <c r="AP49" s="41"/>
      <c r="AQ49" s="40"/>
      <c r="AR49" s="41"/>
      <c r="AS49" s="42"/>
      <c r="AT49" s="41"/>
      <c r="AU49" s="40"/>
      <c r="AV49" s="41"/>
      <c r="AW49" s="42"/>
      <c r="AX49" s="41"/>
      <c r="AY49" s="40"/>
      <c r="AZ49" s="41"/>
      <c r="BA49" s="42"/>
      <c r="BB49" s="41"/>
      <c r="BC49" s="40"/>
      <c r="BD49" s="41"/>
      <c r="BE49" s="42"/>
      <c r="BF49" s="41"/>
      <c r="BG49" s="40"/>
      <c r="BH49" s="41"/>
      <c r="BI49" s="42"/>
      <c r="BJ49" s="43"/>
      <c r="BK49" s="341"/>
      <c r="BL49" s="27">
        <f t="shared" si="1"/>
        <v>0</v>
      </c>
      <c r="BM49" s="110">
        <f t="shared" si="17"/>
        <v>0</v>
      </c>
      <c r="BN49" s="28">
        <f t="shared" si="3"/>
        <v>0</v>
      </c>
      <c r="BO49" s="29">
        <f t="shared" si="18"/>
        <v>0</v>
      </c>
      <c r="BP49" s="30">
        <f t="shared" si="5"/>
        <v>0</v>
      </c>
      <c r="BQ49" s="31">
        <f t="shared" si="19"/>
        <v>0</v>
      </c>
      <c r="BR49" s="353"/>
      <c r="BS49" s="11"/>
      <c r="BT49" s="40"/>
      <c r="BU49" s="41"/>
      <c r="BV49" s="42"/>
      <c r="BW49" s="41"/>
      <c r="BX49" s="40"/>
      <c r="BY49" s="41"/>
      <c r="BZ49" s="42"/>
      <c r="CA49" s="41"/>
      <c r="CB49" s="40"/>
      <c r="CC49" s="41"/>
      <c r="CD49" s="42"/>
      <c r="CE49" s="41"/>
      <c r="CF49" s="40"/>
      <c r="CG49" s="41"/>
      <c r="CH49" s="42"/>
      <c r="CI49" s="41"/>
      <c r="CJ49" s="40"/>
      <c r="CK49" s="41"/>
      <c r="CL49" s="42"/>
      <c r="CM49" s="41"/>
      <c r="CN49" s="40"/>
      <c r="CO49" s="41"/>
      <c r="CP49" s="42"/>
      <c r="CQ49" s="41"/>
      <c r="CR49" s="40"/>
      <c r="CS49" s="41"/>
      <c r="CT49" s="42"/>
      <c r="CU49" s="41"/>
      <c r="CV49" s="40"/>
      <c r="CW49" s="41"/>
      <c r="CX49" s="42"/>
      <c r="CY49" s="41"/>
      <c r="CZ49" s="40"/>
      <c r="DA49" s="41"/>
      <c r="DB49" s="42"/>
      <c r="DC49" s="41"/>
      <c r="DD49" s="40"/>
      <c r="DE49" s="41"/>
      <c r="DF49" s="42"/>
      <c r="DG49" s="41"/>
      <c r="DH49" s="40"/>
      <c r="DI49" s="41"/>
      <c r="DJ49" s="42"/>
      <c r="DK49" s="41"/>
      <c r="DL49" s="40"/>
      <c r="DM49" s="41"/>
      <c r="DN49" s="42"/>
      <c r="DO49" s="43"/>
      <c r="DP49" s="341"/>
      <c r="DQ49" s="27"/>
      <c r="DR49" s="27"/>
      <c r="DS49" s="353"/>
      <c r="DT49" s="11"/>
      <c r="DU49" s="40"/>
      <c r="DV49" s="41"/>
      <c r="DW49" s="42"/>
      <c r="DX49" s="41"/>
      <c r="DY49" s="40"/>
      <c r="DZ49" s="41"/>
      <c r="EA49" s="42"/>
      <c r="EB49" s="41"/>
      <c r="EC49" s="40"/>
      <c r="ED49" s="41"/>
      <c r="EE49" s="42"/>
      <c r="EF49" s="41"/>
      <c r="EG49" s="40"/>
      <c r="EH49" s="41"/>
      <c r="EI49" s="42"/>
      <c r="EJ49" s="41"/>
      <c r="EK49" s="40"/>
      <c r="EL49" s="41"/>
      <c r="EM49" s="42"/>
      <c r="EN49" s="41"/>
      <c r="EO49" s="40"/>
      <c r="EP49" s="41"/>
      <c r="EQ49" s="42"/>
      <c r="ER49" s="41"/>
      <c r="ES49" s="40"/>
      <c r="ET49" s="41"/>
      <c r="EU49" s="42"/>
      <c r="EV49" s="41"/>
      <c r="EW49" s="40"/>
      <c r="EX49" s="41"/>
      <c r="EY49" s="42"/>
      <c r="EZ49" s="41"/>
      <c r="FA49" s="40"/>
      <c r="FB49" s="41"/>
      <c r="FC49" s="42"/>
      <c r="FD49" s="41"/>
      <c r="FE49" s="40"/>
      <c r="FF49" s="41"/>
      <c r="FG49" s="42"/>
      <c r="FH49" s="41"/>
      <c r="FI49" s="40"/>
      <c r="FJ49" s="41"/>
      <c r="FK49" s="42"/>
      <c r="FL49" s="41"/>
      <c r="FM49" s="40"/>
      <c r="FN49" s="41"/>
      <c r="FO49" s="42"/>
      <c r="FP49" s="43"/>
      <c r="FQ49" s="341"/>
      <c r="FR49" s="27"/>
      <c r="FS49" s="27"/>
      <c r="FT49" s="360"/>
    </row>
    <row r="50" spans="1:176" s="44" customFormat="1" outlineLevel="1">
      <c r="A50" s="502" t="s">
        <v>472</v>
      </c>
      <c r="B50" s="503"/>
      <c r="C50" s="503"/>
      <c r="D50" s="503"/>
      <c r="E50" s="504" t="str">
        <f>IF(ISBLANK(G50),"",IF($A$6:$A$64=$A50,COUNTIF($A$6:A50,$A50),""))</f>
        <v/>
      </c>
      <c r="F50" s="504"/>
      <c r="G50" s="505"/>
      <c r="H50" s="506"/>
      <c r="I50" s="630"/>
      <c r="J50" s="507"/>
      <c r="K50" s="507"/>
      <c r="L50" s="507"/>
      <c r="M50" s="335"/>
      <c r="N50" s="363">
        <f t="shared" si="14"/>
        <v>0</v>
      </c>
      <c r="O50" s="335"/>
      <c r="P50" s="335"/>
      <c r="Q50" s="335"/>
      <c r="R50" s="335"/>
      <c r="S50" s="335"/>
      <c r="T50" s="335"/>
      <c r="U50" s="335"/>
      <c r="V50" s="335"/>
      <c r="W50" s="335"/>
      <c r="X50" s="335"/>
      <c r="Y50" s="335"/>
      <c r="Z50" s="335"/>
      <c r="AA50" s="335"/>
      <c r="AB50" s="335"/>
      <c r="AC50" s="335"/>
      <c r="AD50" s="335"/>
      <c r="AE50" s="335"/>
      <c r="AF50" s="335"/>
      <c r="AG50" s="335"/>
      <c r="AH50" s="335"/>
      <c r="AI50" s="335"/>
      <c r="AJ50" s="335"/>
      <c r="AK50" s="335"/>
      <c r="AL50" s="335"/>
      <c r="AM50" s="335"/>
      <c r="AN50" s="335"/>
      <c r="AO50" s="335"/>
      <c r="AP50" s="335"/>
      <c r="AQ50" s="335"/>
      <c r="AR50" s="335"/>
      <c r="AS50" s="335"/>
      <c r="AT50" s="335"/>
      <c r="AU50" s="335"/>
      <c r="AV50" s="335"/>
      <c r="AW50" s="335"/>
      <c r="AX50" s="335"/>
      <c r="AY50" s="335"/>
      <c r="AZ50" s="335"/>
      <c r="BA50" s="335"/>
      <c r="BB50" s="335"/>
      <c r="BC50" s="335"/>
      <c r="BD50" s="335"/>
      <c r="BE50" s="335"/>
      <c r="BF50" s="335"/>
      <c r="BG50" s="335"/>
      <c r="BH50" s="335"/>
      <c r="BI50" s="335"/>
      <c r="BJ50" s="335"/>
      <c r="BK50" s="335"/>
      <c r="BL50" s="342">
        <f t="shared" si="1"/>
        <v>0</v>
      </c>
      <c r="BM50" s="308">
        <f t="shared" si="17"/>
        <v>0</v>
      </c>
      <c r="BN50" s="342">
        <f t="shared" si="3"/>
        <v>0</v>
      </c>
      <c r="BO50" s="342">
        <f t="shared" si="18"/>
        <v>0</v>
      </c>
      <c r="BP50" s="342">
        <f t="shared" si="5"/>
        <v>0</v>
      </c>
      <c r="BQ50" s="342">
        <f t="shared" si="19"/>
        <v>0</v>
      </c>
      <c r="BR50" s="342"/>
      <c r="BS50" s="335"/>
      <c r="BT50" s="335"/>
      <c r="BU50" s="335"/>
      <c r="BV50" s="335"/>
      <c r="BW50" s="335"/>
      <c r="BX50" s="335"/>
      <c r="BY50" s="335"/>
      <c r="BZ50" s="335"/>
      <c r="CA50" s="335"/>
      <c r="CB50" s="335"/>
      <c r="CC50" s="335"/>
      <c r="CD50" s="335"/>
      <c r="CE50" s="335"/>
      <c r="CF50" s="335"/>
      <c r="CG50" s="335"/>
      <c r="CH50" s="335"/>
      <c r="CI50" s="335"/>
      <c r="CJ50" s="335"/>
      <c r="CK50" s="335"/>
      <c r="CL50" s="335"/>
      <c r="CM50" s="335"/>
      <c r="CN50" s="335"/>
      <c r="CO50" s="335"/>
      <c r="CP50" s="335"/>
      <c r="CQ50" s="335"/>
      <c r="CR50" s="335"/>
      <c r="CS50" s="335"/>
      <c r="CT50" s="335"/>
      <c r="CU50" s="335"/>
      <c r="CV50" s="335"/>
      <c r="CW50" s="335"/>
      <c r="CX50" s="335"/>
      <c r="CY50" s="335"/>
      <c r="CZ50" s="335"/>
      <c r="DA50" s="335"/>
      <c r="DB50" s="335"/>
      <c r="DC50" s="335"/>
      <c r="DD50" s="335"/>
      <c r="DE50" s="335"/>
      <c r="DF50" s="335"/>
      <c r="DG50" s="335"/>
      <c r="DH50" s="335"/>
      <c r="DI50" s="335"/>
      <c r="DJ50" s="335"/>
      <c r="DK50" s="335"/>
      <c r="DL50" s="335"/>
      <c r="DM50" s="335"/>
      <c r="DN50" s="335"/>
      <c r="DO50" s="335"/>
      <c r="DP50" s="335"/>
      <c r="DQ50" s="342"/>
      <c r="DR50" s="342"/>
      <c r="DS50" s="342"/>
      <c r="DT50" s="335"/>
      <c r="DU50" s="335"/>
      <c r="DV50" s="335"/>
      <c r="DW50" s="335"/>
      <c r="DX50" s="335"/>
      <c r="DY50" s="335"/>
      <c r="DZ50" s="335"/>
      <c r="EA50" s="335"/>
      <c r="EB50" s="335"/>
      <c r="EC50" s="335"/>
      <c r="ED50" s="335"/>
      <c r="EE50" s="335"/>
      <c r="EF50" s="335"/>
      <c r="EG50" s="335"/>
      <c r="EH50" s="335"/>
      <c r="EI50" s="335"/>
      <c r="EJ50" s="335"/>
      <c r="EK50" s="335"/>
      <c r="EL50" s="335"/>
      <c r="EM50" s="335"/>
      <c r="EN50" s="335"/>
      <c r="EO50" s="335"/>
      <c r="EP50" s="335"/>
      <c r="EQ50" s="335"/>
      <c r="ER50" s="335"/>
      <c r="ES50" s="335"/>
      <c r="ET50" s="335"/>
      <c r="EU50" s="335"/>
      <c r="EV50" s="335"/>
      <c r="EW50" s="335"/>
      <c r="EX50" s="335"/>
      <c r="EY50" s="335"/>
      <c r="EZ50" s="335"/>
      <c r="FA50" s="335"/>
      <c r="FB50" s="335"/>
      <c r="FC50" s="335"/>
      <c r="FD50" s="335"/>
      <c r="FE50" s="335"/>
      <c r="FF50" s="335"/>
      <c r="FG50" s="335"/>
      <c r="FH50" s="335"/>
      <c r="FI50" s="335"/>
      <c r="FJ50" s="335"/>
      <c r="FK50" s="335"/>
      <c r="FL50" s="335"/>
      <c r="FM50" s="335"/>
      <c r="FN50" s="335"/>
      <c r="FO50" s="335"/>
      <c r="FP50" s="335"/>
      <c r="FQ50" s="335"/>
      <c r="FR50" s="342"/>
      <c r="FS50" s="342"/>
      <c r="FT50" s="370"/>
    </row>
    <row r="51" spans="1:176" outlineLevel="2">
      <c r="A51" s="411" t="s">
        <v>473</v>
      </c>
      <c r="B51" s="417" t="s">
        <v>51</v>
      </c>
      <c r="C51" s="418" t="s">
        <v>31</v>
      </c>
      <c r="D51" s="411" t="s">
        <v>32</v>
      </c>
      <c r="E51" s="412">
        <f>IF(ISBLANK(G51),"",IF($A$6:$A$64=$A51,COUNTIF($A$6:A51,$A51),""))</f>
        <v>1</v>
      </c>
      <c r="F51" s="412">
        <v>1</v>
      </c>
      <c r="G51" s="409">
        <v>6402250560</v>
      </c>
      <c r="H51" s="410" t="s">
        <v>410</v>
      </c>
      <c r="I51" s="629">
        <f t="shared" ref="I51" si="22">2100/НДС_20</f>
        <v>1750</v>
      </c>
      <c r="J51" s="20"/>
      <c r="K51" s="20"/>
      <c r="L51" s="20" t="str">
        <f t="shared" ref="L51:L64" si="23">IF(K51="RUB",J51/ЮАНЬ,IF(K51="EUR",J51*ЕВРО/ЮАНЬ,""))</f>
        <v/>
      </c>
      <c r="M51" s="11"/>
      <c r="N51" s="363">
        <f t="shared" si="9"/>
        <v>0</v>
      </c>
      <c r="O51" s="23"/>
      <c r="P51" s="24"/>
      <c r="Q51" s="25"/>
      <c r="R51" s="24"/>
      <c r="S51" s="23"/>
      <c r="T51" s="24"/>
      <c r="U51" s="25">
        <v>0</v>
      </c>
      <c r="V51" s="24"/>
      <c r="W51" s="23"/>
      <c r="X51" s="24"/>
      <c r="Y51" s="25"/>
      <c r="Z51" s="24"/>
      <c r="AA51" s="23"/>
      <c r="AB51" s="24"/>
      <c r="AC51" s="25">
        <v>0</v>
      </c>
      <c r="AD51" s="24"/>
      <c r="AE51" s="23"/>
      <c r="AF51" s="24"/>
      <c r="AG51" s="25"/>
      <c r="AH51" s="24"/>
      <c r="AI51" s="23"/>
      <c r="AJ51" s="24"/>
      <c r="AK51" s="25"/>
      <c r="AL51" s="24"/>
      <c r="AM51" s="23"/>
      <c r="AN51" s="24"/>
      <c r="AO51" s="25"/>
      <c r="AP51" s="24"/>
      <c r="AQ51" s="23"/>
      <c r="AR51" s="24"/>
      <c r="AS51" s="25"/>
      <c r="AT51" s="24"/>
      <c r="AU51" s="23"/>
      <c r="AV51" s="24"/>
      <c r="AW51" s="25"/>
      <c r="AX51" s="24"/>
      <c r="AY51" s="23"/>
      <c r="AZ51" s="24"/>
      <c r="BA51" s="25"/>
      <c r="BB51" s="24"/>
      <c r="BC51" s="23"/>
      <c r="BD51" s="24"/>
      <c r="BE51" s="25"/>
      <c r="BF51" s="24"/>
      <c r="BG51" s="23"/>
      <c r="BH51" s="24"/>
      <c r="BI51" s="25"/>
      <c r="BJ51" s="24"/>
      <c r="BK51" s="340"/>
      <c r="BL51" s="32">
        <f t="shared" si="1"/>
        <v>0</v>
      </c>
      <c r="BM51" s="466">
        <f t="shared" si="17"/>
        <v>0</v>
      </c>
      <c r="BN51" s="28">
        <f t="shared" si="3"/>
        <v>0</v>
      </c>
      <c r="BO51" s="29">
        <f t="shared" si="18"/>
        <v>0</v>
      </c>
      <c r="BP51" s="30">
        <f t="shared" si="5"/>
        <v>0</v>
      </c>
      <c r="BQ51" s="31">
        <f t="shared" si="19"/>
        <v>0</v>
      </c>
      <c r="BR51" s="362"/>
      <c r="BS51" s="11"/>
      <c r="BT51" s="23"/>
      <c r="BU51" s="24"/>
      <c r="BV51" s="25"/>
      <c r="BW51" s="24"/>
      <c r="BX51" s="23"/>
      <c r="BY51" s="24"/>
      <c r="BZ51" s="25"/>
      <c r="CA51" s="24"/>
      <c r="CB51" s="23"/>
      <c r="CC51" s="24"/>
      <c r="CD51" s="25"/>
      <c r="CE51" s="24"/>
      <c r="CF51" s="23"/>
      <c r="CG51" s="24"/>
      <c r="CH51" s="25"/>
      <c r="CI51" s="24"/>
      <c r="CJ51" s="23"/>
      <c r="CK51" s="24"/>
      <c r="CL51" s="25"/>
      <c r="CM51" s="24"/>
      <c r="CN51" s="23"/>
      <c r="CO51" s="24"/>
      <c r="CP51" s="25"/>
      <c r="CQ51" s="24"/>
      <c r="CR51" s="23"/>
      <c r="CS51" s="24"/>
      <c r="CT51" s="25"/>
      <c r="CU51" s="24"/>
      <c r="CV51" s="23"/>
      <c r="CW51" s="24"/>
      <c r="CX51" s="25"/>
      <c r="CY51" s="24"/>
      <c r="CZ51" s="23"/>
      <c r="DA51" s="24"/>
      <c r="DB51" s="25"/>
      <c r="DC51" s="24"/>
      <c r="DD51" s="23"/>
      <c r="DE51" s="24"/>
      <c r="DF51" s="25"/>
      <c r="DG51" s="24"/>
      <c r="DH51" s="23"/>
      <c r="DI51" s="24"/>
      <c r="DJ51" s="25"/>
      <c r="DK51" s="24"/>
      <c r="DL51" s="23"/>
      <c r="DM51" s="24"/>
      <c r="DN51" s="25"/>
      <c r="DO51" s="24"/>
      <c r="DP51" s="340"/>
      <c r="DQ51" s="32">
        <f t="shared" si="7"/>
        <v>0</v>
      </c>
      <c r="DR51" s="32" t="e">
        <f>SUMPRODUCT(--(MOD(COLUMN(BT51:CQ51),4)=MOD(COLUMN(BT51),4)),BT51:CQ51)*#REF!+SUMPRODUCT(--(MOD(COLUMN(CR51:DO51),4)=MOD(COLUMN(CR51),4)),CR51:DO51)*#REF!</f>
        <v>#REF!</v>
      </c>
      <c r="DS51" s="362"/>
      <c r="DT51" s="11"/>
      <c r="DU51" s="23"/>
      <c r="DV51" s="24"/>
      <c r="DW51" s="25"/>
      <c r="DX51" s="24"/>
      <c r="DY51" s="23"/>
      <c r="DZ51" s="24"/>
      <c r="EA51" s="25"/>
      <c r="EB51" s="24"/>
      <c r="EC51" s="23"/>
      <c r="ED51" s="24"/>
      <c r="EE51" s="25"/>
      <c r="EF51" s="108"/>
      <c r="EG51" s="23"/>
      <c r="EH51" s="24"/>
      <c r="EI51" s="25"/>
      <c r="EJ51" s="24"/>
      <c r="EK51" s="23"/>
      <c r="EL51" s="24"/>
      <c r="EM51" s="25"/>
      <c r="EN51" s="24"/>
      <c r="EO51" s="23"/>
      <c r="EP51" s="24"/>
      <c r="EQ51" s="25"/>
      <c r="ER51" s="24"/>
      <c r="ES51" s="23"/>
      <c r="ET51" s="24"/>
      <c r="EU51" s="25"/>
      <c r="EV51" s="24"/>
      <c r="EW51" s="23"/>
      <c r="EX51" s="24"/>
      <c r="EY51" s="25"/>
      <c r="EZ51" s="24"/>
      <c r="FA51" s="23"/>
      <c r="FB51" s="24"/>
      <c r="FC51" s="25"/>
      <c r="FD51" s="24"/>
      <c r="FE51" s="23"/>
      <c r="FF51" s="24"/>
      <c r="FG51" s="25"/>
      <c r="FH51" s="24"/>
      <c r="FI51" s="23"/>
      <c r="FJ51" s="24"/>
      <c r="FK51" s="25"/>
      <c r="FL51" s="24"/>
      <c r="FM51" s="23"/>
      <c r="FN51" s="24"/>
      <c r="FO51" s="25"/>
      <c r="FP51" s="24"/>
      <c r="FQ51" s="340"/>
      <c r="FR51" s="32">
        <f t="shared" si="8"/>
        <v>0</v>
      </c>
      <c r="FS51" s="32" t="e">
        <f>SUMPRODUCT(--(MOD(COLUMN(DU51:ER51),4)=MOD(COLUMN(DU51),4)),DU51:ER51)*#REF!+SUMPRODUCT(--(MOD(COLUMN(ES51:FP51),4)=MOD(COLUMN(ES51),4)),ES51:FP51)*#REF!</f>
        <v>#REF!</v>
      </c>
      <c r="FT51" s="361"/>
    </row>
    <row r="52" spans="1:176" outlineLevel="2">
      <c r="A52" s="411" t="s">
        <v>473</v>
      </c>
      <c r="B52" s="417" t="s">
        <v>51</v>
      </c>
      <c r="C52" s="418" t="s">
        <v>31</v>
      </c>
      <c r="D52" s="411" t="s">
        <v>32</v>
      </c>
      <c r="E52" s="412">
        <f>IF(ISBLANK(G52),"",IF($A$6:$A$64=$A52,COUNTIF($A$6:A52,$A52),""))</f>
        <v>2</v>
      </c>
      <c r="F52" s="412">
        <v>1</v>
      </c>
      <c r="G52" s="409">
        <v>6402250570</v>
      </c>
      <c r="H52" s="410" t="s">
        <v>411</v>
      </c>
      <c r="I52" s="629">
        <f>I51</f>
        <v>1750</v>
      </c>
      <c r="J52" s="20"/>
      <c r="K52" s="20"/>
      <c r="L52" s="20" t="str">
        <f t="shared" si="23"/>
        <v/>
      </c>
      <c r="M52" s="11"/>
      <c r="N52" s="363">
        <f t="shared" si="9"/>
        <v>0</v>
      </c>
      <c r="O52" s="23"/>
      <c r="P52" s="24"/>
      <c r="Q52" s="25"/>
      <c r="R52" s="24"/>
      <c r="S52" s="23"/>
      <c r="T52" s="24"/>
      <c r="U52" s="25">
        <v>0</v>
      </c>
      <c r="V52" s="24"/>
      <c r="W52" s="23"/>
      <c r="X52" s="24"/>
      <c r="Y52" s="25"/>
      <c r="Z52" s="24"/>
      <c r="AA52" s="23"/>
      <c r="AB52" s="24"/>
      <c r="AC52" s="25"/>
      <c r="AD52" s="24"/>
      <c r="AE52" s="23"/>
      <c r="AF52" s="24"/>
      <c r="AG52" s="25"/>
      <c r="AH52" s="24"/>
      <c r="AI52" s="23"/>
      <c r="AJ52" s="24"/>
      <c r="AK52" s="25"/>
      <c r="AL52" s="24"/>
      <c r="AM52" s="23"/>
      <c r="AN52" s="24"/>
      <c r="AO52" s="25"/>
      <c r="AP52" s="24"/>
      <c r="AQ52" s="23"/>
      <c r="AR52" s="24"/>
      <c r="AS52" s="25"/>
      <c r="AT52" s="24"/>
      <c r="AU52" s="23"/>
      <c r="AV52" s="24"/>
      <c r="AW52" s="25"/>
      <c r="AX52" s="24"/>
      <c r="AY52" s="23"/>
      <c r="AZ52" s="24"/>
      <c r="BA52" s="25"/>
      <c r="BB52" s="24"/>
      <c r="BC52" s="23"/>
      <c r="BD52" s="24"/>
      <c r="BE52" s="25"/>
      <c r="BF52" s="24"/>
      <c r="BG52" s="23"/>
      <c r="BH52" s="24"/>
      <c r="BI52" s="25"/>
      <c r="BJ52" s="24"/>
      <c r="BK52" s="340"/>
      <c r="BL52" s="32">
        <f t="shared" si="1"/>
        <v>0</v>
      </c>
      <c r="BM52" s="466">
        <f t="shared" si="17"/>
        <v>0</v>
      </c>
      <c r="BN52" s="28">
        <f t="shared" si="3"/>
        <v>0</v>
      </c>
      <c r="BO52" s="29">
        <f t="shared" si="18"/>
        <v>0</v>
      </c>
      <c r="BP52" s="30">
        <f t="shared" si="5"/>
        <v>0</v>
      </c>
      <c r="BQ52" s="31">
        <f t="shared" si="19"/>
        <v>0</v>
      </c>
      <c r="BR52" s="362"/>
      <c r="BS52" s="11"/>
      <c r="BT52" s="23"/>
      <c r="BU52" s="24"/>
      <c r="BV52" s="25"/>
      <c r="BW52" s="24"/>
      <c r="BX52" s="23"/>
      <c r="BY52" s="24"/>
      <c r="BZ52" s="25"/>
      <c r="CA52" s="24"/>
      <c r="CB52" s="23"/>
      <c r="CC52" s="24"/>
      <c r="CD52" s="25"/>
      <c r="CE52" s="24"/>
      <c r="CF52" s="23"/>
      <c r="CG52" s="24"/>
      <c r="CH52" s="25"/>
      <c r="CI52" s="24"/>
      <c r="CJ52" s="23"/>
      <c r="CK52" s="24"/>
      <c r="CL52" s="25"/>
      <c r="CM52" s="24"/>
      <c r="CN52" s="23"/>
      <c r="CO52" s="24"/>
      <c r="CP52" s="25"/>
      <c r="CQ52" s="24"/>
      <c r="CR52" s="23"/>
      <c r="CS52" s="24"/>
      <c r="CT52" s="25"/>
      <c r="CU52" s="24"/>
      <c r="CV52" s="23"/>
      <c r="CW52" s="24"/>
      <c r="CX52" s="25"/>
      <c r="CY52" s="24"/>
      <c r="CZ52" s="23"/>
      <c r="DA52" s="24"/>
      <c r="DB52" s="25"/>
      <c r="DC52" s="24"/>
      <c r="DD52" s="23"/>
      <c r="DE52" s="24"/>
      <c r="DF52" s="25"/>
      <c r="DG52" s="24"/>
      <c r="DH52" s="23"/>
      <c r="DI52" s="24"/>
      <c r="DJ52" s="25"/>
      <c r="DK52" s="24"/>
      <c r="DL52" s="23"/>
      <c r="DM52" s="24"/>
      <c r="DN52" s="25"/>
      <c r="DO52" s="24"/>
      <c r="DP52" s="340"/>
      <c r="DQ52" s="32">
        <f t="shared" si="7"/>
        <v>0</v>
      </c>
      <c r="DR52" s="32" t="e">
        <f>SUMPRODUCT(--(MOD(COLUMN(BT52:CQ52),4)=MOD(COLUMN(BT52),4)),BT52:CQ52)*#REF!+SUMPRODUCT(--(MOD(COLUMN(CR52:DO52),4)=MOD(COLUMN(CR52),4)),CR52:DO52)*#REF!</f>
        <v>#REF!</v>
      </c>
      <c r="DS52" s="362"/>
      <c r="DT52" s="11"/>
      <c r="DU52" s="23"/>
      <c r="DV52" s="24"/>
      <c r="DW52" s="25"/>
      <c r="DX52" s="24"/>
      <c r="DY52" s="23"/>
      <c r="DZ52" s="24"/>
      <c r="EA52" s="25"/>
      <c r="EB52" s="24"/>
      <c r="EC52" s="23"/>
      <c r="ED52" s="24"/>
      <c r="EE52" s="25"/>
      <c r="EF52" s="108"/>
      <c r="EG52" s="23"/>
      <c r="EH52" s="24"/>
      <c r="EI52" s="25"/>
      <c r="EJ52" s="24"/>
      <c r="EK52" s="23"/>
      <c r="EL52" s="24"/>
      <c r="EM52" s="25"/>
      <c r="EN52" s="24"/>
      <c r="EO52" s="23"/>
      <c r="EP52" s="24"/>
      <c r="EQ52" s="25"/>
      <c r="ER52" s="24"/>
      <c r="ES52" s="23"/>
      <c r="ET52" s="24"/>
      <c r="EU52" s="25"/>
      <c r="EV52" s="24"/>
      <c r="EW52" s="23"/>
      <c r="EX52" s="24"/>
      <c r="EY52" s="25"/>
      <c r="EZ52" s="24"/>
      <c r="FA52" s="23"/>
      <c r="FB52" s="24"/>
      <c r="FC52" s="25"/>
      <c r="FD52" s="24"/>
      <c r="FE52" s="23"/>
      <c r="FF52" s="24"/>
      <c r="FG52" s="25"/>
      <c r="FH52" s="24"/>
      <c r="FI52" s="23"/>
      <c r="FJ52" s="24"/>
      <c r="FK52" s="25"/>
      <c r="FL52" s="24"/>
      <c r="FM52" s="23"/>
      <c r="FN52" s="24"/>
      <c r="FO52" s="25"/>
      <c r="FP52" s="24"/>
      <c r="FQ52" s="340"/>
      <c r="FR52" s="32">
        <f t="shared" si="8"/>
        <v>0</v>
      </c>
      <c r="FS52" s="32" t="e">
        <f>SUMPRODUCT(--(MOD(COLUMN(DU52:ER52),4)=MOD(COLUMN(DU52),4)),DU52:ER52)*#REF!+SUMPRODUCT(--(MOD(COLUMN(ES52:FP52),4)=MOD(COLUMN(ES52),4)),ES52:FP52)*#REF!</f>
        <v>#REF!</v>
      </c>
      <c r="FT52" s="361"/>
    </row>
    <row r="53" spans="1:176" outlineLevel="2">
      <c r="A53" s="413" t="s">
        <v>473</v>
      </c>
      <c r="B53" s="419" t="s">
        <v>51</v>
      </c>
      <c r="C53" s="420" t="s">
        <v>31</v>
      </c>
      <c r="D53" s="413" t="s">
        <v>32</v>
      </c>
      <c r="E53" s="414">
        <f>IF(ISBLANK(G53),"",IF($A$6:$A$64=$A53,COUNTIF($A$6:A53,$A53),""))</f>
        <v>3</v>
      </c>
      <c r="F53" s="414">
        <v>1</v>
      </c>
      <c r="G53" s="415">
        <v>6402250560</v>
      </c>
      <c r="H53" s="416" t="s">
        <v>408</v>
      </c>
      <c r="I53" s="631">
        <v>2030</v>
      </c>
      <c r="J53" s="385"/>
      <c r="K53" s="385"/>
      <c r="L53" s="385" t="str">
        <f t="shared" si="23"/>
        <v/>
      </c>
      <c r="M53" s="329"/>
      <c r="N53" s="363">
        <f t="shared" si="9"/>
        <v>1</v>
      </c>
      <c r="O53" s="322">
        <v>12</v>
      </c>
      <c r="P53" s="408"/>
      <c r="Q53" s="307"/>
      <c r="R53" s="408"/>
      <c r="S53" s="322">
        <v>12</v>
      </c>
      <c r="T53" s="408"/>
      <c r="U53" s="25">
        <v>0</v>
      </c>
      <c r="V53" s="408"/>
      <c r="W53" s="322">
        <v>12</v>
      </c>
      <c r="X53" s="408"/>
      <c r="Y53" s="307"/>
      <c r="Z53" s="408"/>
      <c r="AA53" s="322">
        <v>42</v>
      </c>
      <c r="AB53" s="408"/>
      <c r="AC53" s="307"/>
      <c r="AD53" s="408"/>
      <c r="AE53" s="322">
        <v>42</v>
      </c>
      <c r="AF53" s="408">
        <f>8</f>
        <v>8</v>
      </c>
      <c r="AG53" s="307">
        <v>8</v>
      </c>
      <c r="AH53" s="408"/>
      <c r="AI53" s="322">
        <v>42</v>
      </c>
      <c r="AJ53" s="408">
        <f>(50-8)</f>
        <v>42</v>
      </c>
      <c r="AK53" s="307"/>
      <c r="AL53" s="408"/>
      <c r="AM53" s="322">
        <v>84</v>
      </c>
      <c r="AN53" s="408">
        <v>12</v>
      </c>
      <c r="AO53" s="307"/>
      <c r="AP53" s="408"/>
      <c r="AQ53" s="322">
        <v>84</v>
      </c>
      <c r="AR53" s="408">
        <v>30</v>
      </c>
      <c r="AS53" s="307"/>
      <c r="AT53" s="408"/>
      <c r="AU53" s="322">
        <v>84</v>
      </c>
      <c r="AV53" s="408">
        <v>42</v>
      </c>
      <c r="AW53" s="307"/>
      <c r="AX53" s="408"/>
      <c r="AY53" s="322">
        <v>84</v>
      </c>
      <c r="AZ53" s="408">
        <v>84</v>
      </c>
      <c r="BA53" s="307"/>
      <c r="BB53" s="408"/>
      <c r="BC53" s="322">
        <v>84</v>
      </c>
      <c r="BD53" s="408">
        <v>84</v>
      </c>
      <c r="BE53" s="307"/>
      <c r="BF53" s="408"/>
      <c r="BG53" s="322">
        <v>84</v>
      </c>
      <c r="BH53" s="408">
        <v>84</v>
      </c>
      <c r="BI53" s="307"/>
      <c r="BJ53" s="408"/>
      <c r="BK53" s="340"/>
      <c r="BL53" s="328">
        <f t="shared" si="1"/>
        <v>666</v>
      </c>
      <c r="BM53" s="467">
        <f t="shared" si="17"/>
        <v>1351980</v>
      </c>
      <c r="BN53" s="324">
        <f t="shared" si="3"/>
        <v>386</v>
      </c>
      <c r="BO53" s="325">
        <f t="shared" si="18"/>
        <v>783580</v>
      </c>
      <c r="BP53" s="326">
        <f t="shared" si="5"/>
        <v>8</v>
      </c>
      <c r="BQ53" s="327">
        <f t="shared" si="19"/>
        <v>16240</v>
      </c>
      <c r="BR53" s="362"/>
      <c r="BS53" s="329"/>
      <c r="BT53" s="322">
        <v>207</v>
      </c>
      <c r="BU53" s="408"/>
      <c r="BV53" s="307"/>
      <c r="BW53" s="408"/>
      <c r="BX53" s="322">
        <v>207</v>
      </c>
      <c r="BY53" s="408"/>
      <c r="BZ53" s="307"/>
      <c r="CA53" s="408"/>
      <c r="CB53" s="322">
        <v>207</v>
      </c>
      <c r="CC53" s="408"/>
      <c r="CD53" s="307"/>
      <c r="CE53" s="408"/>
      <c r="CF53" s="322">
        <v>207</v>
      </c>
      <c r="CG53" s="408"/>
      <c r="CH53" s="307"/>
      <c r="CI53" s="408"/>
      <c r="CJ53" s="322">
        <v>207</v>
      </c>
      <c r="CK53" s="408"/>
      <c r="CL53" s="307"/>
      <c r="CM53" s="408"/>
      <c r="CN53" s="322">
        <v>207</v>
      </c>
      <c r="CO53" s="408"/>
      <c r="CP53" s="307"/>
      <c r="CQ53" s="408"/>
      <c r="CR53" s="322">
        <v>207</v>
      </c>
      <c r="CS53" s="408"/>
      <c r="CT53" s="307"/>
      <c r="CU53" s="408"/>
      <c r="CV53" s="322">
        <v>207</v>
      </c>
      <c r="CW53" s="408"/>
      <c r="CX53" s="307"/>
      <c r="CY53" s="408"/>
      <c r="CZ53" s="322">
        <v>207</v>
      </c>
      <c r="DA53" s="408"/>
      <c r="DB53" s="307"/>
      <c r="DC53" s="408"/>
      <c r="DD53" s="322">
        <v>207</v>
      </c>
      <c r="DE53" s="408"/>
      <c r="DF53" s="307"/>
      <c r="DG53" s="408"/>
      <c r="DH53" s="322">
        <v>207</v>
      </c>
      <c r="DI53" s="408"/>
      <c r="DJ53" s="307"/>
      <c r="DK53" s="408"/>
      <c r="DL53" s="322">
        <v>207</v>
      </c>
      <c r="DM53" s="408"/>
      <c r="DN53" s="307"/>
      <c r="DO53" s="408"/>
      <c r="DP53" s="340"/>
      <c r="DQ53" s="328">
        <f t="shared" ref="DQ53:DQ54" si="24">SUMPRODUCT(--(MOD(COLUMN(BT53:CQ53),4)=MOD(COLUMN(BT53),4)),BT53:CQ53)+SUMPRODUCT(--(MOD(COLUMN(CR53:DO53),4)=MOD(COLUMN(CR53),4)),CR53:DO53)</f>
        <v>2484</v>
      </c>
      <c r="DR53" s="328" t="e">
        <f>SUMPRODUCT(--(MOD(COLUMN(BT53:CQ53),4)=MOD(COLUMN(BT53),4)),BT53:CQ53)*#REF!+SUMPRODUCT(--(MOD(COLUMN(CR53:DO53),4)=MOD(COLUMN(CR53),4)),CR53:DO53)*#REF!</f>
        <v>#REF!</v>
      </c>
      <c r="DS53" s="362"/>
      <c r="DT53" s="329"/>
      <c r="DU53" s="322">
        <v>414</v>
      </c>
      <c r="DV53" s="408"/>
      <c r="DW53" s="307"/>
      <c r="DX53" s="408"/>
      <c r="DY53" s="322">
        <v>414</v>
      </c>
      <c r="DZ53" s="408"/>
      <c r="EA53" s="307"/>
      <c r="EB53" s="408"/>
      <c r="EC53" s="322">
        <v>414</v>
      </c>
      <c r="ED53" s="408"/>
      <c r="EE53" s="307"/>
      <c r="EF53" s="334"/>
      <c r="EG53" s="322">
        <v>414</v>
      </c>
      <c r="EH53" s="408"/>
      <c r="EI53" s="307"/>
      <c r="EJ53" s="408"/>
      <c r="EK53" s="322">
        <v>414</v>
      </c>
      <c r="EL53" s="408"/>
      <c r="EM53" s="307"/>
      <c r="EN53" s="408"/>
      <c r="EO53" s="322">
        <v>414</v>
      </c>
      <c r="EP53" s="408"/>
      <c r="EQ53" s="307"/>
      <c r="ER53" s="408"/>
      <c r="ES53" s="322">
        <v>414</v>
      </c>
      <c r="ET53" s="408"/>
      <c r="EU53" s="307"/>
      <c r="EV53" s="408"/>
      <c r="EW53" s="322">
        <v>414</v>
      </c>
      <c r="EX53" s="408"/>
      <c r="EY53" s="307"/>
      <c r="EZ53" s="408"/>
      <c r="FA53" s="322">
        <v>414</v>
      </c>
      <c r="FB53" s="408"/>
      <c r="FC53" s="307"/>
      <c r="FD53" s="408"/>
      <c r="FE53" s="322">
        <v>414</v>
      </c>
      <c r="FF53" s="408"/>
      <c r="FG53" s="307"/>
      <c r="FH53" s="408"/>
      <c r="FI53" s="322">
        <v>414</v>
      </c>
      <c r="FJ53" s="408"/>
      <c r="FK53" s="307"/>
      <c r="FL53" s="408"/>
      <c r="FM53" s="322">
        <v>414</v>
      </c>
      <c r="FN53" s="408"/>
      <c r="FO53" s="307"/>
      <c r="FP53" s="408"/>
      <c r="FQ53" s="340"/>
      <c r="FR53" s="328">
        <f t="shared" ref="FR53:FR54" si="25">SUMPRODUCT(--(MOD(COLUMN(DU53:ER53),4)=MOD(COLUMN(DU53),4)),DU53:ER53)+SUMPRODUCT(--(MOD(COLUMN(ES53:FP53),4)=MOD(COLUMN(ES53),4)),ES53:FP53)</f>
        <v>4968</v>
      </c>
      <c r="FS53" s="328" t="e">
        <f>SUMPRODUCT(--(MOD(COLUMN(DU53:ER53),4)=MOD(COLUMN(DU53),4)),DU53:ER53)*#REF!+SUMPRODUCT(--(MOD(COLUMN(ES53:FP53),4)=MOD(COLUMN(ES53),4)),ES53:FP53)*#REF!</f>
        <v>#REF!</v>
      </c>
      <c r="FT53" s="361"/>
    </row>
    <row r="54" spans="1:176" outlineLevel="2">
      <c r="A54" s="413" t="s">
        <v>473</v>
      </c>
      <c r="B54" s="419" t="s">
        <v>51</v>
      </c>
      <c r="C54" s="420" t="s">
        <v>31</v>
      </c>
      <c r="D54" s="413" t="s">
        <v>32</v>
      </c>
      <c r="E54" s="414">
        <f>IF(ISBLANK(G54),"",IF($A$6:$A$64=$A54,COUNTIF($A$6:A54,$A54),""))</f>
        <v>4</v>
      </c>
      <c r="F54" s="414">
        <v>1</v>
      </c>
      <c r="G54" s="415">
        <v>6402250570</v>
      </c>
      <c r="H54" s="416" t="s">
        <v>409</v>
      </c>
      <c r="I54" s="631">
        <f>I53</f>
        <v>2030</v>
      </c>
      <c r="J54" s="385"/>
      <c r="K54" s="385"/>
      <c r="L54" s="385" t="str">
        <f t="shared" si="23"/>
        <v/>
      </c>
      <c r="M54" s="329"/>
      <c r="N54" s="363">
        <f t="shared" si="9"/>
        <v>1</v>
      </c>
      <c r="O54" s="322">
        <v>12</v>
      </c>
      <c r="P54" s="408"/>
      <c r="Q54" s="307"/>
      <c r="R54" s="408"/>
      <c r="S54" s="322">
        <v>12</v>
      </c>
      <c r="T54" s="408"/>
      <c r="U54" s="25">
        <v>0</v>
      </c>
      <c r="V54" s="408"/>
      <c r="W54" s="322">
        <v>12</v>
      </c>
      <c r="X54" s="408"/>
      <c r="Y54" s="307"/>
      <c r="Z54" s="408"/>
      <c r="AA54" s="322">
        <v>42</v>
      </c>
      <c r="AB54" s="408"/>
      <c r="AC54" s="307"/>
      <c r="AD54" s="408"/>
      <c r="AE54" s="322">
        <v>42</v>
      </c>
      <c r="AF54" s="408">
        <f>AF53</f>
        <v>8</v>
      </c>
      <c r="AG54" s="307">
        <v>8</v>
      </c>
      <c r="AH54" s="408"/>
      <c r="AI54" s="322">
        <v>42</v>
      </c>
      <c r="AJ54" s="408">
        <f>AJ53</f>
        <v>42</v>
      </c>
      <c r="AK54" s="307"/>
      <c r="AL54" s="408"/>
      <c r="AM54" s="322">
        <v>84</v>
      </c>
      <c r="AN54" s="408">
        <f>AN53</f>
        <v>12</v>
      </c>
      <c r="AO54" s="307"/>
      <c r="AP54" s="408"/>
      <c r="AQ54" s="322">
        <v>84</v>
      </c>
      <c r="AR54" s="408">
        <f>AR53</f>
        <v>30</v>
      </c>
      <c r="AS54" s="307"/>
      <c r="AT54" s="408"/>
      <c r="AU54" s="322">
        <v>84</v>
      </c>
      <c r="AV54" s="408">
        <f>AV53</f>
        <v>42</v>
      </c>
      <c r="AW54" s="307"/>
      <c r="AX54" s="408"/>
      <c r="AY54" s="322">
        <v>84</v>
      </c>
      <c r="AZ54" s="408">
        <f>AZ53</f>
        <v>84</v>
      </c>
      <c r="BA54" s="307"/>
      <c r="BB54" s="408"/>
      <c r="BC54" s="322">
        <v>84</v>
      </c>
      <c r="BD54" s="408">
        <f>BD53</f>
        <v>84</v>
      </c>
      <c r="BE54" s="307"/>
      <c r="BF54" s="408"/>
      <c r="BG54" s="322">
        <v>84</v>
      </c>
      <c r="BH54" s="408">
        <f>BH53</f>
        <v>84</v>
      </c>
      <c r="BI54" s="307"/>
      <c r="BJ54" s="408"/>
      <c r="BK54" s="340"/>
      <c r="BL54" s="328">
        <f t="shared" si="1"/>
        <v>666</v>
      </c>
      <c r="BM54" s="467">
        <f t="shared" si="17"/>
        <v>1351980</v>
      </c>
      <c r="BN54" s="324">
        <f t="shared" si="3"/>
        <v>386</v>
      </c>
      <c r="BO54" s="325">
        <f t="shared" si="18"/>
        <v>783580</v>
      </c>
      <c r="BP54" s="326">
        <f t="shared" si="5"/>
        <v>8</v>
      </c>
      <c r="BQ54" s="327">
        <f t="shared" si="19"/>
        <v>16240</v>
      </c>
      <c r="BR54" s="362"/>
      <c r="BS54" s="329"/>
      <c r="BT54" s="322">
        <v>207</v>
      </c>
      <c r="BU54" s="408"/>
      <c r="BV54" s="307"/>
      <c r="BW54" s="408"/>
      <c r="BX54" s="322">
        <v>207</v>
      </c>
      <c r="BY54" s="408"/>
      <c r="BZ54" s="307"/>
      <c r="CA54" s="408"/>
      <c r="CB54" s="322">
        <v>207</v>
      </c>
      <c r="CC54" s="408"/>
      <c r="CD54" s="307"/>
      <c r="CE54" s="408"/>
      <c r="CF54" s="322">
        <v>207</v>
      </c>
      <c r="CG54" s="408"/>
      <c r="CH54" s="307"/>
      <c r="CI54" s="408"/>
      <c r="CJ54" s="322">
        <v>207</v>
      </c>
      <c r="CK54" s="408"/>
      <c r="CL54" s="307"/>
      <c r="CM54" s="408"/>
      <c r="CN54" s="322">
        <v>207</v>
      </c>
      <c r="CO54" s="408"/>
      <c r="CP54" s="307"/>
      <c r="CQ54" s="408"/>
      <c r="CR54" s="322">
        <v>207</v>
      </c>
      <c r="CS54" s="408"/>
      <c r="CT54" s="307"/>
      <c r="CU54" s="408"/>
      <c r="CV54" s="322">
        <v>207</v>
      </c>
      <c r="CW54" s="408"/>
      <c r="CX54" s="307"/>
      <c r="CY54" s="408"/>
      <c r="CZ54" s="322">
        <v>207</v>
      </c>
      <c r="DA54" s="408"/>
      <c r="DB54" s="307"/>
      <c r="DC54" s="408"/>
      <c r="DD54" s="322">
        <v>207</v>
      </c>
      <c r="DE54" s="408"/>
      <c r="DF54" s="307"/>
      <c r="DG54" s="408"/>
      <c r="DH54" s="322">
        <v>207</v>
      </c>
      <c r="DI54" s="408"/>
      <c r="DJ54" s="307"/>
      <c r="DK54" s="408"/>
      <c r="DL54" s="322">
        <v>207</v>
      </c>
      <c r="DM54" s="408"/>
      <c r="DN54" s="307"/>
      <c r="DO54" s="408"/>
      <c r="DP54" s="340"/>
      <c r="DQ54" s="328">
        <f t="shared" si="24"/>
        <v>2484</v>
      </c>
      <c r="DR54" s="328" t="e">
        <f>SUMPRODUCT(--(MOD(COLUMN(BT54:CQ54),4)=MOD(COLUMN(BT54),4)),BT54:CQ54)*#REF!+SUMPRODUCT(--(MOD(COLUMN(CR54:DO54),4)=MOD(COLUMN(CR54),4)),CR54:DO54)*#REF!</f>
        <v>#REF!</v>
      </c>
      <c r="DS54" s="362"/>
      <c r="DT54" s="329"/>
      <c r="DU54" s="322">
        <v>414</v>
      </c>
      <c r="DV54" s="408"/>
      <c r="DW54" s="307"/>
      <c r="DX54" s="408"/>
      <c r="DY54" s="322">
        <v>414</v>
      </c>
      <c r="DZ54" s="408"/>
      <c r="EA54" s="307"/>
      <c r="EB54" s="408"/>
      <c r="EC54" s="322">
        <v>414</v>
      </c>
      <c r="ED54" s="408"/>
      <c r="EE54" s="307"/>
      <c r="EF54" s="334"/>
      <c r="EG54" s="322">
        <v>414</v>
      </c>
      <c r="EH54" s="408"/>
      <c r="EI54" s="307"/>
      <c r="EJ54" s="408"/>
      <c r="EK54" s="322">
        <v>414</v>
      </c>
      <c r="EL54" s="408"/>
      <c r="EM54" s="307"/>
      <c r="EN54" s="408"/>
      <c r="EO54" s="322">
        <v>414</v>
      </c>
      <c r="EP54" s="408"/>
      <c r="EQ54" s="307"/>
      <c r="ER54" s="408"/>
      <c r="ES54" s="322">
        <v>414</v>
      </c>
      <c r="ET54" s="408"/>
      <c r="EU54" s="307"/>
      <c r="EV54" s="408"/>
      <c r="EW54" s="322">
        <v>414</v>
      </c>
      <c r="EX54" s="408"/>
      <c r="EY54" s="307"/>
      <c r="EZ54" s="408"/>
      <c r="FA54" s="322">
        <v>414</v>
      </c>
      <c r="FB54" s="408"/>
      <c r="FC54" s="307"/>
      <c r="FD54" s="408"/>
      <c r="FE54" s="322">
        <v>414</v>
      </c>
      <c r="FF54" s="408"/>
      <c r="FG54" s="307"/>
      <c r="FH54" s="408"/>
      <c r="FI54" s="322">
        <v>414</v>
      </c>
      <c r="FJ54" s="408"/>
      <c r="FK54" s="307"/>
      <c r="FL54" s="408"/>
      <c r="FM54" s="322">
        <v>414</v>
      </c>
      <c r="FN54" s="408"/>
      <c r="FO54" s="307"/>
      <c r="FP54" s="408"/>
      <c r="FQ54" s="340"/>
      <c r="FR54" s="328">
        <f t="shared" si="25"/>
        <v>4968</v>
      </c>
      <c r="FS54" s="328" t="e">
        <f>SUMPRODUCT(--(MOD(COLUMN(DU54:ER54),4)=MOD(COLUMN(DU54),4)),DU54:ER54)*#REF!+SUMPRODUCT(--(MOD(COLUMN(ES54:FP54),4)=MOD(COLUMN(ES54),4)),ES54:FP54)*#REF!</f>
        <v>#REF!</v>
      </c>
      <c r="FT54" s="361"/>
    </row>
    <row r="55" spans="1:176" outlineLevel="2">
      <c r="A55" s="411" t="s">
        <v>473</v>
      </c>
      <c r="B55" s="417" t="s">
        <v>51</v>
      </c>
      <c r="C55" s="418" t="s">
        <v>31</v>
      </c>
      <c r="D55" s="411" t="s">
        <v>32</v>
      </c>
      <c r="E55" s="10">
        <f>IF(ISBLANK(G55),"",IF($A$6:$A$64=$A55,COUNTIF($A$6:A55,$A55),""))</f>
        <v>5</v>
      </c>
      <c r="F55" s="17">
        <v>1</v>
      </c>
      <c r="G55" s="33">
        <v>4410328080</v>
      </c>
      <c r="H55" s="18" t="s">
        <v>45</v>
      </c>
      <c r="I55" s="627">
        <f>84/НДС_20</f>
        <v>70</v>
      </c>
      <c r="J55" s="20"/>
      <c r="K55" s="20"/>
      <c r="L55" s="20" t="str">
        <f t="shared" si="23"/>
        <v/>
      </c>
      <c r="M55" s="11"/>
      <c r="N55" s="363">
        <f t="shared" si="9"/>
        <v>2</v>
      </c>
      <c r="O55" s="23">
        <v>8</v>
      </c>
      <c r="P55" s="24"/>
      <c r="Q55" s="25"/>
      <c r="R55" s="24"/>
      <c r="S55" s="23">
        <v>8</v>
      </c>
      <c r="T55" s="24"/>
      <c r="U55" s="25">
        <v>0</v>
      </c>
      <c r="V55" s="24"/>
      <c r="W55" s="23">
        <v>8</v>
      </c>
      <c r="X55" s="24"/>
      <c r="Y55" s="25"/>
      <c r="Z55" s="24"/>
      <c r="AA55" s="23">
        <v>28</v>
      </c>
      <c r="AB55" s="24"/>
      <c r="AC55" s="25"/>
      <c r="AD55" s="24"/>
      <c r="AE55" s="23">
        <v>28</v>
      </c>
      <c r="AF55" s="24"/>
      <c r="AG55" s="25"/>
      <c r="AH55" s="24"/>
      <c r="AI55" s="23">
        <v>28</v>
      </c>
      <c r="AJ55" s="24"/>
      <c r="AK55" s="25"/>
      <c r="AL55" s="24"/>
      <c r="AM55" s="23">
        <v>56</v>
      </c>
      <c r="AN55" s="24"/>
      <c r="AO55" s="25"/>
      <c r="AP55" s="24"/>
      <c r="AQ55" s="23">
        <v>56</v>
      </c>
      <c r="AR55" s="24"/>
      <c r="AS55" s="25"/>
      <c r="AT55" s="24"/>
      <c r="AU55" s="23">
        <v>56</v>
      </c>
      <c r="AV55" s="24">
        <f>SUM(AV53:AV54)/3</f>
        <v>28</v>
      </c>
      <c r="AW55" s="25"/>
      <c r="AX55" s="24"/>
      <c r="AY55" s="23">
        <v>56</v>
      </c>
      <c r="AZ55" s="24">
        <f>SUM(AZ53:AZ54)/3</f>
        <v>56</v>
      </c>
      <c r="BA55" s="25"/>
      <c r="BB55" s="24"/>
      <c r="BC55" s="23">
        <v>56</v>
      </c>
      <c r="BD55" s="24">
        <f>SUM(BD53:BD54)/3</f>
        <v>56</v>
      </c>
      <c r="BE55" s="25"/>
      <c r="BF55" s="24"/>
      <c r="BG55" s="23">
        <v>56</v>
      </c>
      <c r="BH55" s="24">
        <f>SUM(BH53:BH54)/3</f>
        <v>56</v>
      </c>
      <c r="BI55" s="25"/>
      <c r="BJ55" s="24"/>
      <c r="BK55" s="340"/>
      <c r="BL55" s="32">
        <f t="shared" si="1"/>
        <v>444</v>
      </c>
      <c r="BM55" s="466">
        <f t="shared" si="17"/>
        <v>31080</v>
      </c>
      <c r="BN55" s="28">
        <f t="shared" si="3"/>
        <v>196</v>
      </c>
      <c r="BO55" s="29">
        <f t="shared" si="18"/>
        <v>13720</v>
      </c>
      <c r="BP55" s="30">
        <f t="shared" si="5"/>
        <v>0</v>
      </c>
      <c r="BQ55" s="31">
        <f t="shared" si="19"/>
        <v>0</v>
      </c>
      <c r="BR55" s="362"/>
      <c r="BS55" s="11"/>
      <c r="BT55" s="23">
        <v>138</v>
      </c>
      <c r="BU55" s="24"/>
      <c r="BV55" s="25"/>
      <c r="BW55" s="24"/>
      <c r="BX55" s="23">
        <v>138</v>
      </c>
      <c r="BY55" s="24"/>
      <c r="BZ55" s="25"/>
      <c r="CA55" s="24"/>
      <c r="CB55" s="23">
        <v>138</v>
      </c>
      <c r="CC55" s="24"/>
      <c r="CD55" s="25"/>
      <c r="CE55" s="24"/>
      <c r="CF55" s="23">
        <v>138</v>
      </c>
      <c r="CG55" s="24"/>
      <c r="CH55" s="25"/>
      <c r="CI55" s="24"/>
      <c r="CJ55" s="23">
        <v>138</v>
      </c>
      <c r="CK55" s="24"/>
      <c r="CL55" s="25"/>
      <c r="CM55" s="24"/>
      <c r="CN55" s="23">
        <v>138</v>
      </c>
      <c r="CO55" s="24"/>
      <c r="CP55" s="25"/>
      <c r="CQ55" s="24"/>
      <c r="CR55" s="23">
        <v>138</v>
      </c>
      <c r="CS55" s="24"/>
      <c r="CT55" s="25"/>
      <c r="CU55" s="24"/>
      <c r="CV55" s="23">
        <v>138</v>
      </c>
      <c r="CW55" s="24"/>
      <c r="CX55" s="25"/>
      <c r="CY55" s="24"/>
      <c r="CZ55" s="23">
        <v>138</v>
      </c>
      <c r="DA55" s="24"/>
      <c r="DB55" s="25"/>
      <c r="DC55" s="24"/>
      <c r="DD55" s="23">
        <v>138</v>
      </c>
      <c r="DE55" s="24"/>
      <c r="DF55" s="25"/>
      <c r="DG55" s="24"/>
      <c r="DH55" s="23">
        <v>138</v>
      </c>
      <c r="DI55" s="24"/>
      <c r="DJ55" s="25"/>
      <c r="DK55" s="24"/>
      <c r="DL55" s="23">
        <v>138</v>
      </c>
      <c r="DM55" s="24"/>
      <c r="DN55" s="25"/>
      <c r="DO55" s="24"/>
      <c r="DP55" s="340"/>
      <c r="DQ55" s="32">
        <f>SUMPRODUCT(--(MOD(COLUMN(BT55:CQ55),4)=MOD(COLUMN(BT55),4)),BT55:CQ55)+SUMPRODUCT(--(MOD(COLUMN(CR55:DO55),4)=MOD(COLUMN(CR55),4)),CR55:DO55)</f>
        <v>1656</v>
      </c>
      <c r="DR55" s="32" t="e">
        <f>SUMPRODUCT(--(MOD(COLUMN(BT55:CQ55),4)=MOD(COLUMN(BT55),4)),BT55:CQ55)*#REF!+SUMPRODUCT(--(MOD(COLUMN(CR55:DO55),4)=MOD(COLUMN(CR55),4)),CR55:DO55)*#REF!</f>
        <v>#REF!</v>
      </c>
      <c r="DS55" s="362"/>
      <c r="DT55" s="11"/>
      <c r="DU55" s="23">
        <v>276</v>
      </c>
      <c r="DV55" s="24"/>
      <c r="DW55" s="25"/>
      <c r="DX55" s="24"/>
      <c r="DY55" s="23">
        <v>276</v>
      </c>
      <c r="DZ55" s="24"/>
      <c r="EA55" s="25"/>
      <c r="EB55" s="24"/>
      <c r="EC55" s="23">
        <v>276</v>
      </c>
      <c r="ED55" s="24"/>
      <c r="EE55" s="25"/>
      <c r="EF55" s="24"/>
      <c r="EG55" s="23">
        <v>276</v>
      </c>
      <c r="EH55" s="24"/>
      <c r="EI55" s="25"/>
      <c r="EJ55" s="24"/>
      <c r="EK55" s="23">
        <v>276</v>
      </c>
      <c r="EL55" s="24"/>
      <c r="EM55" s="25"/>
      <c r="EN55" s="24"/>
      <c r="EO55" s="23">
        <v>276</v>
      </c>
      <c r="EP55" s="24"/>
      <c r="EQ55" s="25"/>
      <c r="ER55" s="24"/>
      <c r="ES55" s="23">
        <v>276</v>
      </c>
      <c r="ET55" s="24"/>
      <c r="EU55" s="25"/>
      <c r="EV55" s="24"/>
      <c r="EW55" s="23">
        <v>276</v>
      </c>
      <c r="EX55" s="24"/>
      <c r="EY55" s="25"/>
      <c r="EZ55" s="24"/>
      <c r="FA55" s="23">
        <v>276</v>
      </c>
      <c r="FB55" s="24"/>
      <c r="FC55" s="25"/>
      <c r="FD55" s="24"/>
      <c r="FE55" s="23">
        <v>276</v>
      </c>
      <c r="FF55" s="24"/>
      <c r="FG55" s="25"/>
      <c r="FH55" s="24"/>
      <c r="FI55" s="23">
        <v>276</v>
      </c>
      <c r="FJ55" s="24"/>
      <c r="FK55" s="25"/>
      <c r="FL55" s="24"/>
      <c r="FM55" s="23">
        <v>276</v>
      </c>
      <c r="FN55" s="24"/>
      <c r="FO55" s="25"/>
      <c r="FP55" s="24"/>
      <c r="FQ55" s="340"/>
      <c r="FR55" s="32">
        <f>SUMPRODUCT(--(MOD(COLUMN(DU55:ER55),4)=MOD(COLUMN(DU55),4)),DU55:ER55)+SUMPRODUCT(--(MOD(COLUMN(ES55:FP55),4)=MOD(COLUMN(ES55),4)),ES55:FP55)</f>
        <v>3312</v>
      </c>
      <c r="FS55" s="32" t="e">
        <f>SUMPRODUCT(--(MOD(COLUMN(DU55:ER55),4)=MOD(COLUMN(DU55),4)),DU55:ER55)*#REF!+SUMPRODUCT(--(MOD(COLUMN(ES55:FP55),4)=MOD(COLUMN(ES55),4)),ES55:FP55)*#REF!</f>
        <v>#REF!</v>
      </c>
      <c r="FT55" s="361"/>
    </row>
    <row r="56" spans="1:176" outlineLevel="2">
      <c r="A56" s="411" t="s">
        <v>473</v>
      </c>
      <c r="B56" s="417" t="s">
        <v>51</v>
      </c>
      <c r="C56" s="418" t="s">
        <v>31</v>
      </c>
      <c r="D56" s="411" t="s">
        <v>32</v>
      </c>
      <c r="E56" s="10">
        <f>IF(ISBLANK(G56),"",IF($A$6:$A$64=$A56,COUNTIF($A$6:A56,$A56),""))</f>
        <v>6</v>
      </c>
      <c r="F56" s="17">
        <v>1</v>
      </c>
      <c r="G56" s="33">
        <v>8997598154</v>
      </c>
      <c r="H56" s="18" t="s">
        <v>46</v>
      </c>
      <c r="I56" s="625">
        <f>8.4/НДС_20</f>
        <v>7.0000000000000009</v>
      </c>
      <c r="J56" s="19"/>
      <c r="K56" s="19"/>
      <c r="L56" s="19" t="str">
        <f t="shared" si="23"/>
        <v/>
      </c>
      <c r="M56" s="11"/>
      <c r="N56" s="363">
        <f t="shared" si="9"/>
        <v>2</v>
      </c>
      <c r="O56" s="23">
        <v>8</v>
      </c>
      <c r="P56" s="24"/>
      <c r="Q56" s="25"/>
      <c r="R56" s="24"/>
      <c r="S56" s="23">
        <v>8</v>
      </c>
      <c r="T56" s="24"/>
      <c r="U56" s="25">
        <v>0</v>
      </c>
      <c r="V56" s="24"/>
      <c r="W56" s="23">
        <v>8</v>
      </c>
      <c r="X56" s="24"/>
      <c r="Y56" s="25"/>
      <c r="Z56" s="24"/>
      <c r="AA56" s="23">
        <v>28</v>
      </c>
      <c r="AB56" s="24"/>
      <c r="AC56" s="25"/>
      <c r="AD56" s="24"/>
      <c r="AE56" s="23">
        <v>28</v>
      </c>
      <c r="AF56" s="24"/>
      <c r="AG56" s="25"/>
      <c r="AH56" s="24"/>
      <c r="AI56" s="23">
        <v>28</v>
      </c>
      <c r="AJ56" s="24"/>
      <c r="AK56" s="25"/>
      <c r="AL56" s="24"/>
      <c r="AM56" s="23">
        <v>56</v>
      </c>
      <c r="AN56" s="24"/>
      <c r="AO56" s="25"/>
      <c r="AP56" s="24"/>
      <c r="AQ56" s="23">
        <v>56</v>
      </c>
      <c r="AR56" s="24"/>
      <c r="AS56" s="25"/>
      <c r="AT56" s="24"/>
      <c r="AU56" s="23">
        <v>56</v>
      </c>
      <c r="AV56" s="24">
        <f>SUM(AV53:AV54)/3</f>
        <v>28</v>
      </c>
      <c r="AW56" s="25"/>
      <c r="AX56" s="24"/>
      <c r="AY56" s="23">
        <v>56</v>
      </c>
      <c r="AZ56" s="24">
        <f>SUM(AZ53:AZ54)/3</f>
        <v>56</v>
      </c>
      <c r="BA56" s="25"/>
      <c r="BB56" s="24"/>
      <c r="BC56" s="23">
        <v>56</v>
      </c>
      <c r="BD56" s="24">
        <f>SUM(BD53:BD54)/3</f>
        <v>56</v>
      </c>
      <c r="BE56" s="25"/>
      <c r="BF56" s="24"/>
      <c r="BG56" s="23">
        <v>56</v>
      </c>
      <c r="BH56" s="24">
        <f>SUM(BH53:BH54)/3</f>
        <v>56</v>
      </c>
      <c r="BI56" s="25"/>
      <c r="BJ56" s="24"/>
      <c r="BK56" s="340"/>
      <c r="BL56" s="32">
        <f t="shared" si="1"/>
        <v>444</v>
      </c>
      <c r="BM56" s="466">
        <f t="shared" si="17"/>
        <v>3108.0000000000005</v>
      </c>
      <c r="BN56" s="28">
        <f t="shared" si="3"/>
        <v>196</v>
      </c>
      <c r="BO56" s="29">
        <f t="shared" si="18"/>
        <v>1372.0000000000002</v>
      </c>
      <c r="BP56" s="30">
        <f t="shared" si="5"/>
        <v>0</v>
      </c>
      <c r="BQ56" s="31">
        <f t="shared" si="19"/>
        <v>0</v>
      </c>
      <c r="BR56" s="362"/>
      <c r="BS56" s="11"/>
      <c r="BT56" s="23">
        <v>138</v>
      </c>
      <c r="BU56" s="24"/>
      <c r="BV56" s="25"/>
      <c r="BW56" s="24"/>
      <c r="BX56" s="23">
        <v>138</v>
      </c>
      <c r="BY56" s="24"/>
      <c r="BZ56" s="25"/>
      <c r="CA56" s="24"/>
      <c r="CB56" s="23">
        <v>138</v>
      </c>
      <c r="CC56" s="24"/>
      <c r="CD56" s="25"/>
      <c r="CE56" s="24"/>
      <c r="CF56" s="23">
        <v>138</v>
      </c>
      <c r="CG56" s="24"/>
      <c r="CH56" s="25"/>
      <c r="CI56" s="24"/>
      <c r="CJ56" s="23">
        <v>138</v>
      </c>
      <c r="CK56" s="24"/>
      <c r="CL56" s="25"/>
      <c r="CM56" s="24"/>
      <c r="CN56" s="23">
        <v>138</v>
      </c>
      <c r="CO56" s="24"/>
      <c r="CP56" s="25"/>
      <c r="CQ56" s="24"/>
      <c r="CR56" s="23">
        <v>138</v>
      </c>
      <c r="CS56" s="24"/>
      <c r="CT56" s="25"/>
      <c r="CU56" s="24"/>
      <c r="CV56" s="23">
        <v>138</v>
      </c>
      <c r="CW56" s="24"/>
      <c r="CX56" s="25"/>
      <c r="CY56" s="24"/>
      <c r="CZ56" s="23">
        <v>138</v>
      </c>
      <c r="DA56" s="24"/>
      <c r="DB56" s="25"/>
      <c r="DC56" s="24"/>
      <c r="DD56" s="23">
        <v>138</v>
      </c>
      <c r="DE56" s="24"/>
      <c r="DF56" s="25"/>
      <c r="DG56" s="24"/>
      <c r="DH56" s="23">
        <v>138</v>
      </c>
      <c r="DI56" s="24"/>
      <c r="DJ56" s="25"/>
      <c r="DK56" s="24"/>
      <c r="DL56" s="23">
        <v>138</v>
      </c>
      <c r="DM56" s="24"/>
      <c r="DN56" s="25"/>
      <c r="DO56" s="24"/>
      <c r="DP56" s="340"/>
      <c r="DQ56" s="32">
        <f>SUMPRODUCT(--(MOD(COLUMN(BT56:CQ56),4)=MOD(COLUMN(BT56),4)),BT56:CQ56)+SUMPRODUCT(--(MOD(COLUMN(CR56:DO56),4)=MOD(COLUMN(CR56),4)),CR56:DO56)</f>
        <v>1656</v>
      </c>
      <c r="DR56" s="32" t="e">
        <f>SUMPRODUCT(--(MOD(COLUMN(BT56:CQ56),4)=MOD(COLUMN(BT56),4)),BT56:CQ56)*#REF!+SUMPRODUCT(--(MOD(COLUMN(CR56:DO56),4)=MOD(COLUMN(CR56),4)),CR56:DO56)*#REF!</f>
        <v>#REF!</v>
      </c>
      <c r="DS56" s="362"/>
      <c r="DT56" s="11"/>
      <c r="DU56" s="23">
        <v>276</v>
      </c>
      <c r="DV56" s="24"/>
      <c r="DW56" s="25"/>
      <c r="DX56" s="24"/>
      <c r="DY56" s="23">
        <v>276</v>
      </c>
      <c r="DZ56" s="24"/>
      <c r="EA56" s="25"/>
      <c r="EB56" s="24"/>
      <c r="EC56" s="23">
        <v>276</v>
      </c>
      <c r="ED56" s="24"/>
      <c r="EE56" s="25"/>
      <c r="EF56" s="24"/>
      <c r="EG56" s="23">
        <v>276</v>
      </c>
      <c r="EH56" s="24"/>
      <c r="EI56" s="25"/>
      <c r="EJ56" s="24"/>
      <c r="EK56" s="23">
        <v>276</v>
      </c>
      <c r="EL56" s="24"/>
      <c r="EM56" s="25"/>
      <c r="EN56" s="24"/>
      <c r="EO56" s="23">
        <v>276</v>
      </c>
      <c r="EP56" s="24"/>
      <c r="EQ56" s="25"/>
      <c r="ER56" s="24"/>
      <c r="ES56" s="23">
        <v>276</v>
      </c>
      <c r="ET56" s="24"/>
      <c r="EU56" s="25"/>
      <c r="EV56" s="24"/>
      <c r="EW56" s="23">
        <v>276</v>
      </c>
      <c r="EX56" s="24"/>
      <c r="EY56" s="25"/>
      <c r="EZ56" s="24"/>
      <c r="FA56" s="23">
        <v>276</v>
      </c>
      <c r="FB56" s="24"/>
      <c r="FC56" s="25"/>
      <c r="FD56" s="24"/>
      <c r="FE56" s="23">
        <v>276</v>
      </c>
      <c r="FF56" s="24"/>
      <c r="FG56" s="25"/>
      <c r="FH56" s="24"/>
      <c r="FI56" s="23">
        <v>276</v>
      </c>
      <c r="FJ56" s="24"/>
      <c r="FK56" s="25"/>
      <c r="FL56" s="24"/>
      <c r="FM56" s="23">
        <v>276</v>
      </c>
      <c r="FN56" s="24"/>
      <c r="FO56" s="25"/>
      <c r="FP56" s="24"/>
      <c r="FQ56" s="340"/>
      <c r="FR56" s="32">
        <f>SUMPRODUCT(--(MOD(COLUMN(DU56:ER56),4)=MOD(COLUMN(DU56),4)),DU56:ER56)+SUMPRODUCT(--(MOD(COLUMN(ES56:FP56),4)=MOD(COLUMN(ES56),4)),ES56:FP56)</f>
        <v>3312</v>
      </c>
      <c r="FS56" s="32" t="e">
        <f>SUMPRODUCT(--(MOD(COLUMN(DU56:ER56),4)=MOD(COLUMN(DU56),4)),DU56:ER56)*#REF!+SUMPRODUCT(--(MOD(COLUMN(ES56:FP56),4)=MOD(COLUMN(ES56),4)),ES56:FP56)*#REF!</f>
        <v>#REF!</v>
      </c>
      <c r="FT56" s="361"/>
    </row>
    <row r="57" spans="1:176" outlineLevel="2">
      <c r="A57" s="411" t="s">
        <v>473</v>
      </c>
      <c r="B57" s="417" t="s">
        <v>51</v>
      </c>
      <c r="C57" s="418" t="s">
        <v>31</v>
      </c>
      <c r="D57" s="411" t="s">
        <v>32</v>
      </c>
      <c r="E57" s="10">
        <f>IF(ISBLANK(G57),"",IF($A$6:$A$64=$A57,COUNTIF($A$6:A57,$A57),""))</f>
        <v>7</v>
      </c>
      <c r="F57" s="412">
        <v>1</v>
      </c>
      <c r="G57" s="409">
        <v>4235041001</v>
      </c>
      <c r="H57" s="410" t="s">
        <v>37</v>
      </c>
      <c r="I57" s="629">
        <v>135.5</v>
      </c>
      <c r="J57" s="20"/>
      <c r="K57" s="20"/>
      <c r="L57" s="20" t="str">
        <f t="shared" si="23"/>
        <v/>
      </c>
      <c r="M57" s="11"/>
      <c r="N57" s="363">
        <f t="shared" si="9"/>
        <v>1</v>
      </c>
      <c r="O57" s="23">
        <v>8</v>
      </c>
      <c r="P57" s="24"/>
      <c r="Q57" s="25"/>
      <c r="R57" s="24"/>
      <c r="S57" s="23">
        <v>8</v>
      </c>
      <c r="T57" s="24"/>
      <c r="U57" s="25">
        <v>0</v>
      </c>
      <c r="V57" s="24"/>
      <c r="W57" s="23">
        <v>8</v>
      </c>
      <c r="X57" s="24">
        <f>20</f>
        <v>20</v>
      </c>
      <c r="Y57" s="25">
        <v>20</v>
      </c>
      <c r="Z57" s="24"/>
      <c r="AA57" s="23">
        <v>28</v>
      </c>
      <c r="AB57" s="24"/>
      <c r="AC57" s="25"/>
      <c r="AD57" s="24"/>
      <c r="AE57" s="23">
        <v>28</v>
      </c>
      <c r="AF57" s="24">
        <f>2</f>
        <v>2</v>
      </c>
      <c r="AG57" s="25">
        <v>2</v>
      </c>
      <c r="AH57" s="24"/>
      <c r="AI57" s="23">
        <v>28</v>
      </c>
      <c r="AJ57" s="24"/>
      <c r="AK57" s="25"/>
      <c r="AL57" s="24"/>
      <c r="AM57" s="23">
        <v>56</v>
      </c>
      <c r="AN57" s="24"/>
      <c r="AO57" s="25"/>
      <c r="AP57" s="24"/>
      <c r="AQ57" s="23">
        <v>56</v>
      </c>
      <c r="AR57" s="24"/>
      <c r="AS57" s="25"/>
      <c r="AT57" s="24"/>
      <c r="AU57" s="23">
        <v>56</v>
      </c>
      <c r="AV57" s="24">
        <f>SUM(AV53:AV54)/3</f>
        <v>28</v>
      </c>
      <c r="AW57" s="25"/>
      <c r="AX57" s="24"/>
      <c r="AY57" s="23">
        <v>56</v>
      </c>
      <c r="AZ57" s="24">
        <f>SUM(AZ53:AZ54)/3</f>
        <v>56</v>
      </c>
      <c r="BA57" s="25"/>
      <c r="BB57" s="24"/>
      <c r="BC57" s="23">
        <v>56</v>
      </c>
      <c r="BD57" s="24">
        <f>SUM(BD53:BD54)/3</f>
        <v>56</v>
      </c>
      <c r="BE57" s="25"/>
      <c r="BF57" s="24"/>
      <c r="BG57" s="23">
        <v>56</v>
      </c>
      <c r="BH57" s="24">
        <f>SUM(BH53:BH54)/3</f>
        <v>56</v>
      </c>
      <c r="BI57" s="25"/>
      <c r="BJ57" s="24"/>
      <c r="BK57" s="340"/>
      <c r="BL57" s="32">
        <f t="shared" si="1"/>
        <v>444</v>
      </c>
      <c r="BM57" s="466">
        <f t="shared" si="17"/>
        <v>60162</v>
      </c>
      <c r="BN57" s="28">
        <f t="shared" si="3"/>
        <v>218</v>
      </c>
      <c r="BO57" s="29">
        <f t="shared" si="18"/>
        <v>29539</v>
      </c>
      <c r="BP57" s="30">
        <f t="shared" si="5"/>
        <v>22</v>
      </c>
      <c r="BQ57" s="31">
        <f t="shared" si="19"/>
        <v>2981</v>
      </c>
      <c r="BR57" s="362"/>
      <c r="BS57" s="11"/>
      <c r="BT57" s="23">
        <v>138</v>
      </c>
      <c r="BU57" s="24"/>
      <c r="BV57" s="25"/>
      <c r="BW57" s="24"/>
      <c r="BX57" s="23">
        <v>138</v>
      </c>
      <c r="BY57" s="24"/>
      <c r="BZ57" s="25"/>
      <c r="CA57" s="24"/>
      <c r="CB57" s="23">
        <v>138</v>
      </c>
      <c r="CC57" s="24"/>
      <c r="CD57" s="25"/>
      <c r="CE57" s="24"/>
      <c r="CF57" s="23">
        <v>138</v>
      </c>
      <c r="CG57" s="24"/>
      <c r="CH57" s="25"/>
      <c r="CI57" s="24"/>
      <c r="CJ57" s="23">
        <v>138</v>
      </c>
      <c r="CK57" s="24"/>
      <c r="CL57" s="25"/>
      <c r="CM57" s="24"/>
      <c r="CN57" s="23">
        <v>138</v>
      </c>
      <c r="CO57" s="24"/>
      <c r="CP57" s="25"/>
      <c r="CQ57" s="24"/>
      <c r="CR57" s="23">
        <v>138</v>
      </c>
      <c r="CS57" s="24"/>
      <c r="CT57" s="25"/>
      <c r="CU57" s="24"/>
      <c r="CV57" s="23">
        <v>138</v>
      </c>
      <c r="CW57" s="24"/>
      <c r="CX57" s="25"/>
      <c r="CY57" s="24"/>
      <c r="CZ57" s="23">
        <v>138</v>
      </c>
      <c r="DA57" s="24"/>
      <c r="DB57" s="25"/>
      <c r="DC57" s="24"/>
      <c r="DD57" s="23">
        <v>138</v>
      </c>
      <c r="DE57" s="24"/>
      <c r="DF57" s="25"/>
      <c r="DG57" s="24"/>
      <c r="DH57" s="23">
        <v>138</v>
      </c>
      <c r="DI57" s="24"/>
      <c r="DJ57" s="25"/>
      <c r="DK57" s="24"/>
      <c r="DL57" s="23">
        <v>138</v>
      </c>
      <c r="DM57" s="24"/>
      <c r="DN57" s="25"/>
      <c r="DO57" s="24"/>
      <c r="DP57" s="340"/>
      <c r="DQ57" s="32">
        <f t="shared" si="7"/>
        <v>1656</v>
      </c>
      <c r="DR57" s="32" t="e">
        <f>SUMPRODUCT(--(MOD(COLUMN(BT57:CQ57),4)=MOD(COLUMN(BT57),4)),BT57:CQ57)*#REF!+SUMPRODUCT(--(MOD(COLUMN(CR57:DO57),4)=MOD(COLUMN(CR57),4)),CR57:DO57)*#REF!</f>
        <v>#REF!</v>
      </c>
      <c r="DS57" s="362"/>
      <c r="DT57" s="11"/>
      <c r="DU57" s="23">
        <v>276</v>
      </c>
      <c r="DV57" s="24"/>
      <c r="DW57" s="25"/>
      <c r="DX57" s="24"/>
      <c r="DY57" s="23">
        <v>276</v>
      </c>
      <c r="DZ57" s="24"/>
      <c r="EA57" s="25"/>
      <c r="EB57" s="24"/>
      <c r="EC57" s="23">
        <v>276</v>
      </c>
      <c r="ED57" s="24"/>
      <c r="EE57" s="25"/>
      <c r="EF57" s="108"/>
      <c r="EG57" s="23">
        <v>276</v>
      </c>
      <c r="EH57" s="24"/>
      <c r="EI57" s="25"/>
      <c r="EJ57" s="24"/>
      <c r="EK57" s="23">
        <v>276</v>
      </c>
      <c r="EL57" s="24"/>
      <c r="EM57" s="25"/>
      <c r="EN57" s="24"/>
      <c r="EO57" s="23">
        <v>276</v>
      </c>
      <c r="EP57" s="24"/>
      <c r="EQ57" s="25"/>
      <c r="ER57" s="24"/>
      <c r="ES57" s="23">
        <v>276</v>
      </c>
      <c r="ET57" s="24"/>
      <c r="EU57" s="25"/>
      <c r="EV57" s="24"/>
      <c r="EW57" s="23">
        <v>276</v>
      </c>
      <c r="EX57" s="24"/>
      <c r="EY57" s="25"/>
      <c r="EZ57" s="24"/>
      <c r="FA57" s="23">
        <v>276</v>
      </c>
      <c r="FB57" s="24"/>
      <c r="FC57" s="25"/>
      <c r="FD57" s="24"/>
      <c r="FE57" s="23">
        <v>276</v>
      </c>
      <c r="FF57" s="24"/>
      <c r="FG57" s="25"/>
      <c r="FH57" s="24"/>
      <c r="FI57" s="23">
        <v>276</v>
      </c>
      <c r="FJ57" s="24"/>
      <c r="FK57" s="25"/>
      <c r="FL57" s="24"/>
      <c r="FM57" s="23">
        <v>276</v>
      </c>
      <c r="FN57" s="24"/>
      <c r="FO57" s="25"/>
      <c r="FP57" s="24"/>
      <c r="FQ57" s="340"/>
      <c r="FR57" s="32">
        <f t="shared" si="8"/>
        <v>3312</v>
      </c>
      <c r="FS57" s="32" t="e">
        <f>SUMPRODUCT(--(MOD(COLUMN(DU57:ER57),4)=MOD(COLUMN(DU57),4)),DU57:ER57)*#REF!+SUMPRODUCT(--(MOD(COLUMN(ES57:FP57),4)=MOD(COLUMN(ES57),4)),ES57:FP57)*#REF!</f>
        <v>#REF!</v>
      </c>
      <c r="FT57" s="361"/>
    </row>
    <row r="58" spans="1:176" outlineLevel="2">
      <c r="A58" s="411" t="s">
        <v>473</v>
      </c>
      <c r="B58" s="417" t="s">
        <v>51</v>
      </c>
      <c r="C58" s="418" t="s">
        <v>31</v>
      </c>
      <c r="D58" s="411" t="s">
        <v>32</v>
      </c>
      <c r="E58" s="10">
        <f>IF(ISBLANK(G58),"",IF($A$6:$A$64=$A58,COUNTIF($A$6:A58,$A58),""))</f>
        <v>8</v>
      </c>
      <c r="F58" s="412">
        <v>1</v>
      </c>
      <c r="G58" s="409">
        <v>9254800504</v>
      </c>
      <c r="H58" s="410" t="s">
        <v>38</v>
      </c>
      <c r="I58" s="629">
        <v>311.5</v>
      </c>
      <c r="J58" s="20"/>
      <c r="K58" s="20"/>
      <c r="L58" s="20" t="str">
        <f t="shared" si="23"/>
        <v/>
      </c>
      <c r="M58" s="11"/>
      <c r="N58" s="363">
        <f t="shared" si="9"/>
        <v>1</v>
      </c>
      <c r="O58" s="23">
        <v>16</v>
      </c>
      <c r="P58" s="24"/>
      <c r="Q58" s="25"/>
      <c r="R58" s="24"/>
      <c r="S58" s="23">
        <v>16</v>
      </c>
      <c r="T58" s="24"/>
      <c r="U58" s="25">
        <v>0</v>
      </c>
      <c r="V58" s="24"/>
      <c r="W58" s="23">
        <v>16</v>
      </c>
      <c r="X58" s="24">
        <f>20</f>
        <v>20</v>
      </c>
      <c r="Y58" s="25">
        <v>20</v>
      </c>
      <c r="Z58" s="24"/>
      <c r="AA58" s="23">
        <v>56</v>
      </c>
      <c r="AB58" s="24"/>
      <c r="AC58" s="25"/>
      <c r="AD58" s="24"/>
      <c r="AE58" s="23">
        <v>56</v>
      </c>
      <c r="AF58" s="24">
        <f>4</f>
        <v>4</v>
      </c>
      <c r="AG58" s="25">
        <v>4</v>
      </c>
      <c r="AH58" s="24"/>
      <c r="AI58" s="23">
        <v>56</v>
      </c>
      <c r="AJ58" s="24"/>
      <c r="AK58" s="25"/>
      <c r="AL58" s="24"/>
      <c r="AM58" s="23">
        <v>112</v>
      </c>
      <c r="AN58" s="24"/>
      <c r="AO58" s="25"/>
      <c r="AP58" s="24"/>
      <c r="AQ58" s="23">
        <v>112</v>
      </c>
      <c r="AR58" s="24"/>
      <c r="AS58" s="25"/>
      <c r="AT58" s="24"/>
      <c r="AU58" s="23">
        <v>112</v>
      </c>
      <c r="AV58" s="24">
        <f>SUM(AV53:AV54)/3*2</f>
        <v>56</v>
      </c>
      <c r="AW58" s="25"/>
      <c r="AX58" s="24"/>
      <c r="AY58" s="23">
        <v>112</v>
      </c>
      <c r="AZ58" s="24">
        <f>SUM(AZ53:AZ54)/3*2</f>
        <v>112</v>
      </c>
      <c r="BA58" s="25"/>
      <c r="BB58" s="24"/>
      <c r="BC58" s="23">
        <v>112</v>
      </c>
      <c r="BD58" s="24">
        <f>SUM(BD53:BD54)/3*2</f>
        <v>112</v>
      </c>
      <c r="BE58" s="25"/>
      <c r="BF58" s="24"/>
      <c r="BG58" s="23">
        <v>112</v>
      </c>
      <c r="BH58" s="24">
        <f>SUM(BH53:BH54)/3*2</f>
        <v>112</v>
      </c>
      <c r="BI58" s="25"/>
      <c r="BJ58" s="24"/>
      <c r="BK58" s="340"/>
      <c r="BL58" s="32">
        <f t="shared" si="1"/>
        <v>888</v>
      </c>
      <c r="BM58" s="466">
        <f t="shared" si="17"/>
        <v>276612</v>
      </c>
      <c r="BN58" s="28">
        <f t="shared" si="3"/>
        <v>416</v>
      </c>
      <c r="BO58" s="29">
        <f t="shared" si="18"/>
        <v>129584</v>
      </c>
      <c r="BP58" s="30">
        <f t="shared" si="5"/>
        <v>24</v>
      </c>
      <c r="BQ58" s="31">
        <f t="shared" si="19"/>
        <v>7476</v>
      </c>
      <c r="BR58" s="362"/>
      <c r="BS58" s="11"/>
      <c r="BT58" s="23">
        <v>276</v>
      </c>
      <c r="BU58" s="24"/>
      <c r="BV58" s="25"/>
      <c r="BW58" s="24"/>
      <c r="BX58" s="23">
        <v>276</v>
      </c>
      <c r="BY58" s="24"/>
      <c r="BZ58" s="25"/>
      <c r="CA58" s="24"/>
      <c r="CB58" s="23">
        <v>276</v>
      </c>
      <c r="CC58" s="24"/>
      <c r="CD58" s="25"/>
      <c r="CE58" s="24"/>
      <c r="CF58" s="23">
        <v>276</v>
      </c>
      <c r="CG58" s="24"/>
      <c r="CH58" s="25"/>
      <c r="CI58" s="24"/>
      <c r="CJ58" s="23">
        <v>276</v>
      </c>
      <c r="CK58" s="24"/>
      <c r="CL58" s="25"/>
      <c r="CM58" s="24"/>
      <c r="CN58" s="23">
        <v>276</v>
      </c>
      <c r="CO58" s="24"/>
      <c r="CP58" s="25"/>
      <c r="CQ58" s="24"/>
      <c r="CR58" s="23">
        <v>276</v>
      </c>
      <c r="CS58" s="24"/>
      <c r="CT58" s="25"/>
      <c r="CU58" s="24"/>
      <c r="CV58" s="23">
        <v>276</v>
      </c>
      <c r="CW58" s="24"/>
      <c r="CX58" s="25"/>
      <c r="CY58" s="24"/>
      <c r="CZ58" s="23">
        <v>276</v>
      </c>
      <c r="DA58" s="24"/>
      <c r="DB58" s="25"/>
      <c r="DC58" s="24"/>
      <c r="DD58" s="23">
        <v>276</v>
      </c>
      <c r="DE58" s="24"/>
      <c r="DF58" s="25"/>
      <c r="DG58" s="24"/>
      <c r="DH58" s="23">
        <v>276</v>
      </c>
      <c r="DI58" s="24"/>
      <c r="DJ58" s="25"/>
      <c r="DK58" s="24"/>
      <c r="DL58" s="23">
        <v>276</v>
      </c>
      <c r="DM58" s="24"/>
      <c r="DN58" s="25"/>
      <c r="DO58" s="24"/>
      <c r="DP58" s="340"/>
      <c r="DQ58" s="32">
        <f t="shared" si="7"/>
        <v>3312</v>
      </c>
      <c r="DR58" s="32" t="e">
        <f>SUMPRODUCT(--(MOD(COLUMN(BT58:CQ58),4)=MOD(COLUMN(BT58),4)),BT58:CQ58)*#REF!+SUMPRODUCT(--(MOD(COLUMN(CR58:DO58),4)=MOD(COLUMN(CR58),4)),CR58:DO58)*#REF!</f>
        <v>#REF!</v>
      </c>
      <c r="DS58" s="362"/>
      <c r="DT58" s="11"/>
      <c r="DU58" s="23">
        <v>552</v>
      </c>
      <c r="DV58" s="24"/>
      <c r="DW58" s="25"/>
      <c r="DX58" s="24"/>
      <c r="DY58" s="23">
        <v>552</v>
      </c>
      <c r="DZ58" s="24"/>
      <c r="EA58" s="25"/>
      <c r="EB58" s="24"/>
      <c r="EC58" s="23">
        <v>552</v>
      </c>
      <c r="ED58" s="24"/>
      <c r="EE58" s="25"/>
      <c r="EF58" s="108"/>
      <c r="EG58" s="23">
        <v>552</v>
      </c>
      <c r="EH58" s="24"/>
      <c r="EI58" s="25"/>
      <c r="EJ58" s="24"/>
      <c r="EK58" s="23">
        <v>552</v>
      </c>
      <c r="EL58" s="24"/>
      <c r="EM58" s="25"/>
      <c r="EN58" s="24"/>
      <c r="EO58" s="23">
        <v>552</v>
      </c>
      <c r="EP58" s="24"/>
      <c r="EQ58" s="25"/>
      <c r="ER58" s="24"/>
      <c r="ES58" s="23">
        <v>552</v>
      </c>
      <c r="ET58" s="24"/>
      <c r="EU58" s="25"/>
      <c r="EV58" s="24"/>
      <c r="EW58" s="23">
        <v>552</v>
      </c>
      <c r="EX58" s="24"/>
      <c r="EY58" s="25"/>
      <c r="EZ58" s="24"/>
      <c r="FA58" s="23">
        <v>552</v>
      </c>
      <c r="FB58" s="24"/>
      <c r="FC58" s="25"/>
      <c r="FD58" s="24"/>
      <c r="FE58" s="23">
        <v>552</v>
      </c>
      <c r="FF58" s="24"/>
      <c r="FG58" s="25"/>
      <c r="FH58" s="24"/>
      <c r="FI58" s="23">
        <v>552</v>
      </c>
      <c r="FJ58" s="24"/>
      <c r="FK58" s="25"/>
      <c r="FL58" s="24"/>
      <c r="FM58" s="23">
        <v>552</v>
      </c>
      <c r="FN58" s="24"/>
      <c r="FO58" s="25"/>
      <c r="FP58" s="24"/>
      <c r="FQ58" s="340"/>
      <c r="FR58" s="32">
        <f t="shared" si="8"/>
        <v>6624</v>
      </c>
      <c r="FS58" s="32" t="e">
        <f>SUMPRODUCT(--(MOD(COLUMN(DU58:ER58),4)=MOD(COLUMN(DU58),4)),DU58:ER58)*#REF!+SUMPRODUCT(--(MOD(COLUMN(ES58:FP58),4)=MOD(COLUMN(ES58),4)),ES58:FP58)*#REF!</f>
        <v>#REF!</v>
      </c>
      <c r="FT58" s="361"/>
    </row>
    <row r="59" spans="1:176" outlineLevel="2">
      <c r="A59" s="411" t="s">
        <v>473</v>
      </c>
      <c r="B59" s="417" t="s">
        <v>51</v>
      </c>
      <c r="C59" s="418" t="s">
        <v>31</v>
      </c>
      <c r="D59" s="411" t="s">
        <v>32</v>
      </c>
      <c r="E59" s="10">
        <f>IF(ISBLANK(G59),"",IF($A$6:$A$64=$A59,COUNTIF($A$6:A59,$A59),""))</f>
        <v>9</v>
      </c>
      <c r="F59" s="17">
        <v>1</v>
      </c>
      <c r="G59" s="33">
        <v>4231069000</v>
      </c>
      <c r="H59" s="18" t="s">
        <v>52</v>
      </c>
      <c r="I59" s="629">
        <f>144/НДС_20</f>
        <v>120</v>
      </c>
      <c r="J59" s="19"/>
      <c r="K59" s="19"/>
      <c r="L59" s="19" t="str">
        <f t="shared" si="23"/>
        <v/>
      </c>
      <c r="M59" s="11"/>
      <c r="N59" s="363">
        <f t="shared" si="9"/>
        <v>1</v>
      </c>
      <c r="O59" s="23"/>
      <c r="P59" s="24"/>
      <c r="Q59" s="25"/>
      <c r="R59" s="24"/>
      <c r="S59" s="23"/>
      <c r="T59" s="24"/>
      <c r="U59" s="25">
        <v>0</v>
      </c>
      <c r="V59" s="24"/>
      <c r="W59" s="23"/>
      <c r="X59" s="24">
        <f>20</f>
        <v>20</v>
      </c>
      <c r="Y59" s="25">
        <v>20</v>
      </c>
      <c r="Z59" s="24"/>
      <c r="AA59" s="23"/>
      <c r="AB59" s="24"/>
      <c r="AC59" s="25"/>
      <c r="AD59" s="24"/>
      <c r="AE59" s="23"/>
      <c r="AF59" s="24">
        <f>6</f>
        <v>6</v>
      </c>
      <c r="AG59" s="25">
        <v>6</v>
      </c>
      <c r="AH59" s="24"/>
      <c r="AI59" s="23"/>
      <c r="AJ59" s="24"/>
      <c r="AK59" s="25"/>
      <c r="AL59" s="24"/>
      <c r="AM59" s="23"/>
      <c r="AN59" s="24"/>
      <c r="AO59" s="25"/>
      <c r="AP59" s="24"/>
      <c r="AQ59" s="23"/>
      <c r="AR59" s="24"/>
      <c r="AS59" s="25"/>
      <c r="AT59" s="24"/>
      <c r="AU59" s="23"/>
      <c r="AV59" s="24"/>
      <c r="AW59" s="25"/>
      <c r="AX59" s="24"/>
      <c r="AY59" s="23"/>
      <c r="AZ59" s="24"/>
      <c r="BA59" s="25"/>
      <c r="BB59" s="24"/>
      <c r="BC59" s="23"/>
      <c r="BD59" s="24"/>
      <c r="BE59" s="25"/>
      <c r="BF59" s="24"/>
      <c r="BG59" s="23"/>
      <c r="BH59" s="24"/>
      <c r="BI59" s="25"/>
      <c r="BJ59" s="24"/>
      <c r="BK59" s="340"/>
      <c r="BL59" s="32">
        <f t="shared" si="1"/>
        <v>0</v>
      </c>
      <c r="BM59" s="466">
        <f t="shared" si="17"/>
        <v>0</v>
      </c>
      <c r="BN59" s="28">
        <f t="shared" si="3"/>
        <v>26</v>
      </c>
      <c r="BO59" s="29">
        <f t="shared" si="18"/>
        <v>3120</v>
      </c>
      <c r="BP59" s="30">
        <f t="shared" si="5"/>
        <v>26</v>
      </c>
      <c r="BQ59" s="31">
        <f t="shared" si="19"/>
        <v>3120</v>
      </c>
      <c r="BR59" s="362"/>
      <c r="BS59" s="11"/>
      <c r="BT59" s="23"/>
      <c r="BU59" s="24"/>
      <c r="BV59" s="25"/>
      <c r="BW59" s="24"/>
      <c r="BX59" s="23"/>
      <c r="BY59" s="24"/>
      <c r="BZ59" s="25"/>
      <c r="CA59" s="24"/>
      <c r="CB59" s="23"/>
      <c r="CC59" s="24"/>
      <c r="CD59" s="25"/>
      <c r="CE59" s="24"/>
      <c r="CF59" s="23"/>
      <c r="CG59" s="24"/>
      <c r="CH59" s="25"/>
      <c r="CI59" s="24"/>
      <c r="CJ59" s="23"/>
      <c r="CK59" s="24"/>
      <c r="CL59" s="25"/>
      <c r="CM59" s="24"/>
      <c r="CN59" s="23"/>
      <c r="CO59" s="24"/>
      <c r="CP59" s="25"/>
      <c r="CQ59" s="24"/>
      <c r="CR59" s="23"/>
      <c r="CS59" s="24"/>
      <c r="CT59" s="25"/>
      <c r="CU59" s="24"/>
      <c r="CV59" s="23"/>
      <c r="CW59" s="24"/>
      <c r="CX59" s="25"/>
      <c r="CY59" s="24"/>
      <c r="CZ59" s="23"/>
      <c r="DA59" s="24"/>
      <c r="DB59" s="25"/>
      <c r="DC59" s="24"/>
      <c r="DD59" s="23"/>
      <c r="DE59" s="24"/>
      <c r="DF59" s="25"/>
      <c r="DG59" s="24"/>
      <c r="DH59" s="23"/>
      <c r="DI59" s="24"/>
      <c r="DJ59" s="25"/>
      <c r="DK59" s="24"/>
      <c r="DL59" s="23"/>
      <c r="DM59" s="24"/>
      <c r="DN59" s="25"/>
      <c r="DO59" s="24"/>
      <c r="DP59" s="340"/>
      <c r="DQ59" s="32">
        <f t="shared" si="7"/>
        <v>0</v>
      </c>
      <c r="DR59" s="32" t="e">
        <f>SUMPRODUCT(--(MOD(COLUMN(BT59:CQ59),4)=MOD(COLUMN(BT59),4)),BT59:CQ59)*#REF!+SUMPRODUCT(--(MOD(COLUMN(CR59:DO59),4)=MOD(COLUMN(CR59),4)),CR59:DO59)*#REF!</f>
        <v>#REF!</v>
      </c>
      <c r="DS59" s="362"/>
      <c r="DT59" s="11"/>
      <c r="DU59" s="23"/>
      <c r="DV59" s="24"/>
      <c r="DW59" s="25"/>
      <c r="DX59" s="24"/>
      <c r="DY59" s="23"/>
      <c r="DZ59" s="24"/>
      <c r="EA59" s="25"/>
      <c r="EB59" s="24"/>
      <c r="EC59" s="23"/>
      <c r="ED59" s="24"/>
      <c r="EE59" s="25"/>
      <c r="EF59" s="108"/>
      <c r="EG59" s="23"/>
      <c r="EH59" s="24"/>
      <c r="EI59" s="25"/>
      <c r="EJ59" s="24"/>
      <c r="EK59" s="23"/>
      <c r="EL59" s="24"/>
      <c r="EM59" s="25"/>
      <c r="EN59" s="24"/>
      <c r="EO59" s="23"/>
      <c r="EP59" s="24"/>
      <c r="EQ59" s="25"/>
      <c r="ER59" s="24"/>
      <c r="ES59" s="23"/>
      <c r="ET59" s="24"/>
      <c r="EU59" s="25"/>
      <c r="EV59" s="24"/>
      <c r="EW59" s="23"/>
      <c r="EX59" s="24"/>
      <c r="EY59" s="25"/>
      <c r="EZ59" s="24"/>
      <c r="FA59" s="23"/>
      <c r="FB59" s="24"/>
      <c r="FC59" s="25"/>
      <c r="FD59" s="24"/>
      <c r="FE59" s="23"/>
      <c r="FF59" s="24"/>
      <c r="FG59" s="25"/>
      <c r="FH59" s="24"/>
      <c r="FI59" s="23"/>
      <c r="FJ59" s="24"/>
      <c r="FK59" s="25"/>
      <c r="FL59" s="24"/>
      <c r="FM59" s="23"/>
      <c r="FN59" s="24"/>
      <c r="FO59" s="25"/>
      <c r="FP59" s="24"/>
      <c r="FQ59" s="340"/>
      <c r="FR59" s="32">
        <f t="shared" si="8"/>
        <v>0</v>
      </c>
      <c r="FS59" s="32" t="e">
        <f>SUMPRODUCT(--(MOD(COLUMN(DU59:ER59),4)=MOD(COLUMN(DU59),4)),DU59:ER59)*#REF!+SUMPRODUCT(--(MOD(COLUMN(ES59:FP59),4)=MOD(COLUMN(ES59),4)),ES59:FP59)*#REF!</f>
        <v>#REF!</v>
      </c>
      <c r="FT59" s="361"/>
    </row>
    <row r="60" spans="1:176" outlineLevel="2">
      <c r="A60" s="411" t="s">
        <v>473</v>
      </c>
      <c r="B60" s="417" t="s">
        <v>51</v>
      </c>
      <c r="C60" s="418" t="s">
        <v>31</v>
      </c>
      <c r="D60" s="411" t="s">
        <v>32</v>
      </c>
      <c r="E60" s="10">
        <f>IF(ISBLANK(G60),"",IF($A$6:$A$64=$A60,COUNTIF($A$6:A60,$A60),""))</f>
        <v>10</v>
      </c>
      <c r="F60" s="17">
        <v>1</v>
      </c>
      <c r="G60" s="33">
        <v>4231079000</v>
      </c>
      <c r="H60" s="18" t="s">
        <v>53</v>
      </c>
      <c r="I60" s="629">
        <f>150.9/НДС_20</f>
        <v>125.75000000000001</v>
      </c>
      <c r="J60" s="19"/>
      <c r="K60" s="19"/>
      <c r="L60" s="19" t="str">
        <f t="shared" si="23"/>
        <v/>
      </c>
      <c r="M60" s="11"/>
      <c r="N60" s="363">
        <f t="shared" si="9"/>
        <v>0</v>
      </c>
      <c r="O60" s="23"/>
      <c r="P60" s="24"/>
      <c r="Q60" s="25"/>
      <c r="R60" s="24"/>
      <c r="S60" s="23"/>
      <c r="T60" s="24"/>
      <c r="U60" s="25">
        <v>0</v>
      </c>
      <c r="V60" s="24"/>
      <c r="W60" s="23"/>
      <c r="X60" s="24"/>
      <c r="Y60" s="25"/>
      <c r="Z60" s="24"/>
      <c r="AA60" s="23"/>
      <c r="AB60" s="24"/>
      <c r="AC60" s="25"/>
      <c r="AD60" s="24"/>
      <c r="AE60" s="23"/>
      <c r="AF60" s="24"/>
      <c r="AG60" s="25"/>
      <c r="AH60" s="24"/>
      <c r="AI60" s="23"/>
      <c r="AJ60" s="24"/>
      <c r="AK60" s="25"/>
      <c r="AL60" s="24"/>
      <c r="AM60" s="23"/>
      <c r="AN60" s="24"/>
      <c r="AO60" s="25"/>
      <c r="AP60" s="24"/>
      <c r="AQ60" s="23"/>
      <c r="AR60" s="24"/>
      <c r="AS60" s="25"/>
      <c r="AT60" s="24"/>
      <c r="AU60" s="23"/>
      <c r="AV60" s="24"/>
      <c r="AW60" s="25"/>
      <c r="AX60" s="24"/>
      <c r="AY60" s="23"/>
      <c r="AZ60" s="24"/>
      <c r="BA60" s="25"/>
      <c r="BB60" s="24"/>
      <c r="BC60" s="23"/>
      <c r="BD60" s="24"/>
      <c r="BE60" s="25"/>
      <c r="BF60" s="24"/>
      <c r="BG60" s="23"/>
      <c r="BH60" s="24"/>
      <c r="BI60" s="25"/>
      <c r="BJ60" s="24"/>
      <c r="BK60" s="340"/>
      <c r="BL60" s="32">
        <f t="shared" si="1"/>
        <v>0</v>
      </c>
      <c r="BM60" s="466">
        <f t="shared" si="17"/>
        <v>0</v>
      </c>
      <c r="BN60" s="28">
        <f t="shared" si="3"/>
        <v>0</v>
      </c>
      <c r="BO60" s="29">
        <f t="shared" si="18"/>
        <v>0</v>
      </c>
      <c r="BP60" s="30">
        <f t="shared" si="5"/>
        <v>0</v>
      </c>
      <c r="BQ60" s="31">
        <f t="shared" si="19"/>
        <v>0</v>
      </c>
      <c r="BR60" s="362"/>
      <c r="BS60" s="11"/>
      <c r="BT60" s="23"/>
      <c r="BU60" s="24"/>
      <c r="BV60" s="25"/>
      <c r="BW60" s="24"/>
      <c r="BX60" s="23"/>
      <c r="BY60" s="24"/>
      <c r="BZ60" s="25"/>
      <c r="CA60" s="24"/>
      <c r="CB60" s="23"/>
      <c r="CC60" s="24"/>
      <c r="CD60" s="25"/>
      <c r="CE60" s="24"/>
      <c r="CF60" s="23"/>
      <c r="CG60" s="24"/>
      <c r="CH60" s="25"/>
      <c r="CI60" s="24"/>
      <c r="CJ60" s="23"/>
      <c r="CK60" s="24"/>
      <c r="CL60" s="25"/>
      <c r="CM60" s="24"/>
      <c r="CN60" s="23"/>
      <c r="CO60" s="24"/>
      <c r="CP60" s="25"/>
      <c r="CQ60" s="24"/>
      <c r="CR60" s="23"/>
      <c r="CS60" s="24"/>
      <c r="CT60" s="25"/>
      <c r="CU60" s="24"/>
      <c r="CV60" s="23"/>
      <c r="CW60" s="24"/>
      <c r="CX60" s="25"/>
      <c r="CY60" s="24"/>
      <c r="CZ60" s="23"/>
      <c r="DA60" s="24"/>
      <c r="DB60" s="25"/>
      <c r="DC60" s="24"/>
      <c r="DD60" s="23"/>
      <c r="DE60" s="24"/>
      <c r="DF60" s="25"/>
      <c r="DG60" s="24"/>
      <c r="DH60" s="23"/>
      <c r="DI60" s="24"/>
      <c r="DJ60" s="25"/>
      <c r="DK60" s="24"/>
      <c r="DL60" s="23"/>
      <c r="DM60" s="24"/>
      <c r="DN60" s="25"/>
      <c r="DO60" s="24"/>
      <c r="DP60" s="340"/>
      <c r="DQ60" s="32">
        <f t="shared" si="7"/>
        <v>0</v>
      </c>
      <c r="DR60" s="32" t="e">
        <f>SUMPRODUCT(--(MOD(COLUMN(BT60:CQ60),4)=MOD(COLUMN(BT60),4)),BT60:CQ60)*#REF!+SUMPRODUCT(--(MOD(COLUMN(CR60:DO60),4)=MOD(COLUMN(CR60),4)),CR60:DO60)*#REF!</f>
        <v>#REF!</v>
      </c>
      <c r="DS60" s="362"/>
      <c r="DT60" s="11"/>
      <c r="DU60" s="23"/>
      <c r="DV60" s="24"/>
      <c r="DW60" s="25"/>
      <c r="DX60" s="24"/>
      <c r="DY60" s="23"/>
      <c r="DZ60" s="24"/>
      <c r="EA60" s="25"/>
      <c r="EB60" s="24"/>
      <c r="EC60" s="23"/>
      <c r="ED60" s="24"/>
      <c r="EE60" s="25"/>
      <c r="EF60" s="108"/>
      <c r="EG60" s="23"/>
      <c r="EH60" s="24"/>
      <c r="EI60" s="25"/>
      <c r="EJ60" s="24"/>
      <c r="EK60" s="23"/>
      <c r="EL60" s="24"/>
      <c r="EM60" s="25"/>
      <c r="EN60" s="24"/>
      <c r="EO60" s="23"/>
      <c r="EP60" s="24"/>
      <c r="EQ60" s="25"/>
      <c r="ER60" s="24"/>
      <c r="ES60" s="23"/>
      <c r="ET60" s="24"/>
      <c r="EU60" s="25"/>
      <c r="EV60" s="24"/>
      <c r="EW60" s="23"/>
      <c r="EX60" s="24"/>
      <c r="EY60" s="25"/>
      <c r="EZ60" s="24"/>
      <c r="FA60" s="23"/>
      <c r="FB60" s="24"/>
      <c r="FC60" s="25"/>
      <c r="FD60" s="24"/>
      <c r="FE60" s="23"/>
      <c r="FF60" s="24"/>
      <c r="FG60" s="25"/>
      <c r="FH60" s="24"/>
      <c r="FI60" s="23"/>
      <c r="FJ60" s="24"/>
      <c r="FK60" s="25"/>
      <c r="FL60" s="24"/>
      <c r="FM60" s="23"/>
      <c r="FN60" s="24"/>
      <c r="FO60" s="25"/>
      <c r="FP60" s="24"/>
      <c r="FQ60" s="340"/>
      <c r="FR60" s="32">
        <f t="shared" si="8"/>
        <v>0</v>
      </c>
      <c r="FS60" s="32" t="e">
        <f>SUMPRODUCT(--(MOD(COLUMN(DU60:ER60),4)=MOD(COLUMN(DU60),4)),DU60:ER60)*#REF!+SUMPRODUCT(--(MOD(COLUMN(ES60:FP60),4)=MOD(COLUMN(ES60),4)),ES60:FP60)*#REF!</f>
        <v>#REF!</v>
      </c>
      <c r="FT60" s="361"/>
    </row>
    <row r="61" spans="1:176" outlineLevel="2">
      <c r="A61" s="411" t="s">
        <v>473</v>
      </c>
      <c r="B61" s="417" t="s">
        <v>51</v>
      </c>
      <c r="C61" s="418" t="s">
        <v>31</v>
      </c>
      <c r="D61" s="411" t="s">
        <v>32</v>
      </c>
      <c r="E61" s="10">
        <f>IF(ISBLANK(G61),"",IF($A$6:$A$64=$A61,COUNTIF($A$6:A61,$A61),""))</f>
        <v>11</v>
      </c>
      <c r="F61" s="17">
        <v>1</v>
      </c>
      <c r="G61" s="33">
        <v>9253761210</v>
      </c>
      <c r="H61" s="18" t="s">
        <v>54</v>
      </c>
      <c r="I61" s="629">
        <v>243</v>
      </c>
      <c r="J61" s="19"/>
      <c r="K61" s="19"/>
      <c r="L61" s="19" t="str">
        <f t="shared" si="23"/>
        <v/>
      </c>
      <c r="M61" s="11"/>
      <c r="N61" s="363">
        <f t="shared" si="9"/>
        <v>1</v>
      </c>
      <c r="O61" s="23"/>
      <c r="P61" s="24"/>
      <c r="Q61" s="25"/>
      <c r="R61" s="24"/>
      <c r="S61" s="23"/>
      <c r="T61" s="24"/>
      <c r="U61" s="25">
        <v>0</v>
      </c>
      <c r="V61" s="24"/>
      <c r="W61" s="23"/>
      <c r="X61" s="24">
        <f>20</f>
        <v>20</v>
      </c>
      <c r="Y61" s="25">
        <v>20</v>
      </c>
      <c r="Z61" s="24"/>
      <c r="AA61" s="23"/>
      <c r="AB61" s="24"/>
      <c r="AC61" s="25"/>
      <c r="AD61" s="24"/>
      <c r="AE61" s="23"/>
      <c r="AF61" s="24">
        <f>12</f>
        <v>12</v>
      </c>
      <c r="AG61" s="25">
        <v>12</v>
      </c>
      <c r="AH61" s="24"/>
      <c r="AI61" s="23"/>
      <c r="AJ61" s="24"/>
      <c r="AK61" s="25"/>
      <c r="AL61" s="24"/>
      <c r="AM61" s="23"/>
      <c r="AN61" s="24"/>
      <c r="AO61" s="25"/>
      <c r="AP61" s="24"/>
      <c r="AQ61" s="23"/>
      <c r="AR61" s="24"/>
      <c r="AS61" s="25"/>
      <c r="AT61" s="24"/>
      <c r="AU61" s="23"/>
      <c r="AV61" s="24"/>
      <c r="AW61" s="25"/>
      <c r="AX61" s="24"/>
      <c r="AY61" s="23"/>
      <c r="AZ61" s="24"/>
      <c r="BA61" s="25"/>
      <c r="BB61" s="24"/>
      <c r="BC61" s="23"/>
      <c r="BD61" s="24"/>
      <c r="BE61" s="25"/>
      <c r="BF61" s="24"/>
      <c r="BG61" s="23"/>
      <c r="BH61" s="24"/>
      <c r="BI61" s="25"/>
      <c r="BJ61" s="24"/>
      <c r="BK61" s="340"/>
      <c r="BL61" s="32">
        <f t="shared" si="1"/>
        <v>0</v>
      </c>
      <c r="BM61" s="466">
        <f t="shared" si="17"/>
        <v>0</v>
      </c>
      <c r="BN61" s="28">
        <f t="shared" si="3"/>
        <v>32</v>
      </c>
      <c r="BO61" s="29">
        <f t="shared" si="18"/>
        <v>7776</v>
      </c>
      <c r="BP61" s="30">
        <f t="shared" si="5"/>
        <v>32</v>
      </c>
      <c r="BQ61" s="31">
        <f t="shared" si="19"/>
        <v>7776</v>
      </c>
      <c r="BR61" s="362"/>
      <c r="BS61" s="11"/>
      <c r="BT61" s="23"/>
      <c r="BU61" s="24"/>
      <c r="BV61" s="25"/>
      <c r="BW61" s="24"/>
      <c r="BX61" s="23"/>
      <c r="BY61" s="24"/>
      <c r="BZ61" s="25"/>
      <c r="CA61" s="24"/>
      <c r="CB61" s="23"/>
      <c r="CC61" s="24"/>
      <c r="CD61" s="25"/>
      <c r="CE61" s="24"/>
      <c r="CF61" s="23"/>
      <c r="CG61" s="24"/>
      <c r="CH61" s="25"/>
      <c r="CI61" s="24"/>
      <c r="CJ61" s="23"/>
      <c r="CK61" s="24"/>
      <c r="CL61" s="25"/>
      <c r="CM61" s="24"/>
      <c r="CN61" s="23"/>
      <c r="CO61" s="24"/>
      <c r="CP61" s="25"/>
      <c r="CQ61" s="24"/>
      <c r="CR61" s="23"/>
      <c r="CS61" s="24"/>
      <c r="CT61" s="25"/>
      <c r="CU61" s="24"/>
      <c r="CV61" s="23"/>
      <c r="CW61" s="24"/>
      <c r="CX61" s="25"/>
      <c r="CY61" s="24"/>
      <c r="CZ61" s="23"/>
      <c r="DA61" s="24"/>
      <c r="DB61" s="25"/>
      <c r="DC61" s="24"/>
      <c r="DD61" s="23"/>
      <c r="DE61" s="24"/>
      <c r="DF61" s="25"/>
      <c r="DG61" s="24"/>
      <c r="DH61" s="23"/>
      <c r="DI61" s="24"/>
      <c r="DJ61" s="25"/>
      <c r="DK61" s="24"/>
      <c r="DL61" s="23"/>
      <c r="DM61" s="24"/>
      <c r="DN61" s="25"/>
      <c r="DO61" s="24"/>
      <c r="DP61" s="340"/>
      <c r="DQ61" s="32">
        <f t="shared" si="7"/>
        <v>0</v>
      </c>
      <c r="DR61" s="32" t="e">
        <f>SUMPRODUCT(--(MOD(COLUMN(BT61:CQ61),4)=MOD(COLUMN(BT61),4)),BT61:CQ61)*#REF!+SUMPRODUCT(--(MOD(COLUMN(CR61:DO61),4)=MOD(COLUMN(CR61),4)),CR61:DO61)*#REF!</f>
        <v>#REF!</v>
      </c>
      <c r="DS61" s="362"/>
      <c r="DT61" s="11"/>
      <c r="DU61" s="23"/>
      <c r="DV61" s="24"/>
      <c r="DW61" s="25"/>
      <c r="DX61" s="24"/>
      <c r="DY61" s="23"/>
      <c r="DZ61" s="24"/>
      <c r="EA61" s="25"/>
      <c r="EB61" s="24"/>
      <c r="EC61" s="23"/>
      <c r="ED61" s="24"/>
      <c r="EE61" s="25"/>
      <c r="EF61" s="108"/>
      <c r="EG61" s="23"/>
      <c r="EH61" s="24"/>
      <c r="EI61" s="25"/>
      <c r="EJ61" s="24"/>
      <c r="EK61" s="23"/>
      <c r="EL61" s="24"/>
      <c r="EM61" s="25"/>
      <c r="EN61" s="24"/>
      <c r="EO61" s="23"/>
      <c r="EP61" s="24"/>
      <c r="EQ61" s="25"/>
      <c r="ER61" s="24"/>
      <c r="ES61" s="23"/>
      <c r="ET61" s="24"/>
      <c r="EU61" s="25"/>
      <c r="EV61" s="24"/>
      <c r="EW61" s="23"/>
      <c r="EX61" s="24"/>
      <c r="EY61" s="25"/>
      <c r="EZ61" s="24"/>
      <c r="FA61" s="23"/>
      <c r="FB61" s="24"/>
      <c r="FC61" s="25"/>
      <c r="FD61" s="24"/>
      <c r="FE61" s="23"/>
      <c r="FF61" s="24"/>
      <c r="FG61" s="25"/>
      <c r="FH61" s="24"/>
      <c r="FI61" s="23"/>
      <c r="FJ61" s="24"/>
      <c r="FK61" s="25"/>
      <c r="FL61" s="24"/>
      <c r="FM61" s="23"/>
      <c r="FN61" s="24"/>
      <c r="FO61" s="25"/>
      <c r="FP61" s="24"/>
      <c r="FQ61" s="340"/>
      <c r="FR61" s="32">
        <f t="shared" si="8"/>
        <v>0</v>
      </c>
      <c r="FS61" s="32" t="e">
        <f>SUMPRODUCT(--(MOD(COLUMN(DU61:ER61),4)=MOD(COLUMN(DU61),4)),DU61:ER61)*#REF!+SUMPRODUCT(--(MOD(COLUMN(ES61:FP61),4)=MOD(COLUMN(ES61),4)),ES61:FP61)*#REF!</f>
        <v>#REF!</v>
      </c>
      <c r="FT61" s="361"/>
    </row>
    <row r="62" spans="1:176" outlineLevel="2">
      <c r="A62" s="411" t="s">
        <v>473</v>
      </c>
      <c r="B62" s="417" t="s">
        <v>51</v>
      </c>
      <c r="C62" s="418" t="s">
        <v>31</v>
      </c>
      <c r="D62" s="411" t="s">
        <v>32</v>
      </c>
      <c r="E62" s="10">
        <f>IF(ISBLANK(G62),"",IF($A$6:$A$64=$A62,COUNTIF($A$6:A62,$A62),""))</f>
        <v>12</v>
      </c>
      <c r="F62" s="17">
        <v>1</v>
      </c>
      <c r="G62" s="33">
        <v>9253771100</v>
      </c>
      <c r="H62" s="18" t="s">
        <v>55</v>
      </c>
      <c r="I62" s="625">
        <f>297.9/НДС_20</f>
        <v>248.25</v>
      </c>
      <c r="J62" s="19"/>
      <c r="K62" s="19"/>
      <c r="L62" s="19" t="str">
        <f t="shared" si="23"/>
        <v/>
      </c>
      <c r="M62" s="11"/>
      <c r="N62" s="363">
        <f t="shared" si="9"/>
        <v>0</v>
      </c>
      <c r="O62" s="23"/>
      <c r="P62" s="24"/>
      <c r="Q62" s="25"/>
      <c r="R62" s="24"/>
      <c r="S62" s="23"/>
      <c r="T62" s="24"/>
      <c r="U62" s="25"/>
      <c r="V62" s="24"/>
      <c r="W62" s="23"/>
      <c r="X62" s="24"/>
      <c r="Y62" s="25"/>
      <c r="Z62" s="24"/>
      <c r="AA62" s="23"/>
      <c r="AB62" s="24"/>
      <c r="AC62" s="25"/>
      <c r="AD62" s="24"/>
      <c r="AE62" s="23"/>
      <c r="AF62" s="24"/>
      <c r="AG62" s="25"/>
      <c r="AH62" s="24"/>
      <c r="AI62" s="23"/>
      <c r="AJ62" s="24"/>
      <c r="AK62" s="25"/>
      <c r="AL62" s="24"/>
      <c r="AM62" s="23"/>
      <c r="AN62" s="24"/>
      <c r="AO62" s="25"/>
      <c r="AP62" s="24"/>
      <c r="AQ62" s="23"/>
      <c r="AR62" s="24"/>
      <c r="AS62" s="25"/>
      <c r="AT62" s="24"/>
      <c r="AU62" s="23"/>
      <c r="AV62" s="24"/>
      <c r="AW62" s="25"/>
      <c r="AX62" s="24"/>
      <c r="AY62" s="23"/>
      <c r="AZ62" s="24"/>
      <c r="BA62" s="25"/>
      <c r="BB62" s="24"/>
      <c r="BC62" s="23"/>
      <c r="BD62" s="24"/>
      <c r="BE62" s="25"/>
      <c r="BF62" s="24"/>
      <c r="BG62" s="23"/>
      <c r="BH62" s="24"/>
      <c r="BI62" s="25"/>
      <c r="BJ62" s="24"/>
      <c r="BK62" s="340"/>
      <c r="BL62" s="32">
        <f t="shared" si="1"/>
        <v>0</v>
      </c>
      <c r="BM62" s="466">
        <f t="shared" si="17"/>
        <v>0</v>
      </c>
      <c r="BN62" s="28">
        <f t="shared" si="3"/>
        <v>0</v>
      </c>
      <c r="BO62" s="29">
        <f t="shared" si="18"/>
        <v>0</v>
      </c>
      <c r="BP62" s="30">
        <f t="shared" si="5"/>
        <v>0</v>
      </c>
      <c r="BQ62" s="31">
        <f t="shared" si="19"/>
        <v>0</v>
      </c>
      <c r="BR62" s="362"/>
      <c r="BS62" s="11"/>
      <c r="BT62" s="23"/>
      <c r="BU62" s="24"/>
      <c r="BV62" s="25"/>
      <c r="BW62" s="24"/>
      <c r="BX62" s="23"/>
      <c r="BY62" s="24"/>
      <c r="BZ62" s="25"/>
      <c r="CA62" s="24"/>
      <c r="CB62" s="23"/>
      <c r="CC62" s="24"/>
      <c r="CD62" s="25"/>
      <c r="CE62" s="24"/>
      <c r="CF62" s="23"/>
      <c r="CG62" s="24"/>
      <c r="CH62" s="25"/>
      <c r="CI62" s="24"/>
      <c r="CJ62" s="23"/>
      <c r="CK62" s="24"/>
      <c r="CL62" s="25"/>
      <c r="CM62" s="24"/>
      <c r="CN62" s="23"/>
      <c r="CO62" s="24"/>
      <c r="CP62" s="25"/>
      <c r="CQ62" s="24"/>
      <c r="CR62" s="23"/>
      <c r="CS62" s="24"/>
      <c r="CT62" s="25"/>
      <c r="CU62" s="24"/>
      <c r="CV62" s="23"/>
      <c r="CW62" s="24"/>
      <c r="CX62" s="25"/>
      <c r="CY62" s="24"/>
      <c r="CZ62" s="23"/>
      <c r="DA62" s="24"/>
      <c r="DB62" s="25"/>
      <c r="DC62" s="24"/>
      <c r="DD62" s="23"/>
      <c r="DE62" s="24"/>
      <c r="DF62" s="25"/>
      <c r="DG62" s="24"/>
      <c r="DH62" s="23"/>
      <c r="DI62" s="24"/>
      <c r="DJ62" s="25"/>
      <c r="DK62" s="24"/>
      <c r="DL62" s="23"/>
      <c r="DM62" s="24"/>
      <c r="DN62" s="25"/>
      <c r="DO62" s="24"/>
      <c r="DP62" s="340"/>
      <c r="DQ62" s="32">
        <f t="shared" si="7"/>
        <v>0</v>
      </c>
      <c r="DR62" s="32" t="e">
        <f>SUMPRODUCT(--(MOD(COLUMN(BT62:CQ62),4)=MOD(COLUMN(BT62),4)),BT62:CQ62)*#REF!+SUMPRODUCT(--(MOD(COLUMN(CR62:DO62),4)=MOD(COLUMN(CR62),4)),CR62:DO62)*#REF!</f>
        <v>#REF!</v>
      </c>
      <c r="DS62" s="362"/>
      <c r="DT62" s="11"/>
      <c r="DU62" s="23"/>
      <c r="DV62" s="24"/>
      <c r="DW62" s="25"/>
      <c r="DX62" s="24"/>
      <c r="DY62" s="23"/>
      <c r="DZ62" s="24"/>
      <c r="EA62" s="25"/>
      <c r="EB62" s="24"/>
      <c r="EC62" s="23"/>
      <c r="ED62" s="24"/>
      <c r="EE62" s="25"/>
      <c r="EF62" s="108"/>
      <c r="EG62" s="23"/>
      <c r="EH62" s="24"/>
      <c r="EI62" s="25"/>
      <c r="EJ62" s="24"/>
      <c r="EK62" s="23"/>
      <c r="EL62" s="24"/>
      <c r="EM62" s="25"/>
      <c r="EN62" s="24"/>
      <c r="EO62" s="23"/>
      <c r="EP62" s="24"/>
      <c r="EQ62" s="25"/>
      <c r="ER62" s="24"/>
      <c r="ES62" s="23"/>
      <c r="ET62" s="24"/>
      <c r="EU62" s="25"/>
      <c r="EV62" s="24"/>
      <c r="EW62" s="23"/>
      <c r="EX62" s="24"/>
      <c r="EY62" s="25"/>
      <c r="EZ62" s="24"/>
      <c r="FA62" s="23"/>
      <c r="FB62" s="24"/>
      <c r="FC62" s="25"/>
      <c r="FD62" s="24"/>
      <c r="FE62" s="23"/>
      <c r="FF62" s="24"/>
      <c r="FG62" s="25"/>
      <c r="FH62" s="24"/>
      <c r="FI62" s="23"/>
      <c r="FJ62" s="24"/>
      <c r="FK62" s="25"/>
      <c r="FL62" s="24"/>
      <c r="FM62" s="23"/>
      <c r="FN62" s="24"/>
      <c r="FO62" s="25"/>
      <c r="FP62" s="24"/>
      <c r="FQ62" s="340"/>
      <c r="FR62" s="32">
        <f t="shared" si="8"/>
        <v>0</v>
      </c>
      <c r="FS62" s="32" t="e">
        <f>SUMPRODUCT(--(MOD(COLUMN(DU62:ER62),4)=MOD(COLUMN(DU62),4)),DU62:ER62)*#REF!+SUMPRODUCT(--(MOD(COLUMN(ES62:FP62),4)=MOD(COLUMN(ES62),4)),ES62:FP62)*#REF!</f>
        <v>#REF!</v>
      </c>
      <c r="FT62" s="361"/>
    </row>
    <row r="63" spans="1:176" outlineLevel="2">
      <c r="A63" s="411" t="s">
        <v>473</v>
      </c>
      <c r="B63" s="417"/>
      <c r="C63" s="418"/>
      <c r="D63" s="411"/>
      <c r="E63" s="35" t="str">
        <f>IF(ISBLANK(G63),"",IF($A$6:$A$64=$A63,COUNTIF($A$6:A63,$A63),""))</f>
        <v/>
      </c>
      <c r="F63" s="35"/>
      <c r="G63" s="53"/>
      <c r="H63" s="36" t="s">
        <v>43</v>
      </c>
      <c r="I63" s="626"/>
      <c r="J63" s="37"/>
      <c r="K63" s="37"/>
      <c r="L63" s="37" t="str">
        <f t="shared" si="23"/>
        <v/>
      </c>
      <c r="M63" s="11"/>
      <c r="N63" s="363">
        <f t="shared" si="9"/>
        <v>0</v>
      </c>
      <c r="O63" s="40"/>
      <c r="P63" s="41"/>
      <c r="Q63" s="42"/>
      <c r="R63" s="41"/>
      <c r="S63" s="40"/>
      <c r="T63" s="41"/>
      <c r="U63" s="42"/>
      <c r="V63" s="41"/>
      <c r="W63" s="40"/>
      <c r="X63" s="41"/>
      <c r="Y63" s="42"/>
      <c r="Z63" s="41"/>
      <c r="AA63" s="40"/>
      <c r="AB63" s="41"/>
      <c r="AC63" s="42"/>
      <c r="AD63" s="41"/>
      <c r="AE63" s="40"/>
      <c r="AF63" s="41"/>
      <c r="AG63" s="42"/>
      <c r="AH63" s="41"/>
      <c r="AI63" s="40"/>
      <c r="AJ63" s="41"/>
      <c r="AK63" s="42"/>
      <c r="AL63" s="41"/>
      <c r="AM63" s="40"/>
      <c r="AN63" s="41"/>
      <c r="AO63" s="42"/>
      <c r="AP63" s="41"/>
      <c r="AQ63" s="40"/>
      <c r="AR63" s="41"/>
      <c r="AS63" s="42"/>
      <c r="AT63" s="41"/>
      <c r="AU63" s="40"/>
      <c r="AV63" s="41"/>
      <c r="AW63" s="42"/>
      <c r="AX63" s="41"/>
      <c r="AY63" s="40"/>
      <c r="AZ63" s="41"/>
      <c r="BA63" s="42"/>
      <c r="BB63" s="41"/>
      <c r="BC63" s="40"/>
      <c r="BD63" s="41"/>
      <c r="BE63" s="42"/>
      <c r="BF63" s="41"/>
      <c r="BG63" s="40"/>
      <c r="BH63" s="41"/>
      <c r="BI63" s="42"/>
      <c r="BJ63" s="43"/>
      <c r="BK63" s="341"/>
      <c r="BL63" s="27">
        <f t="shared" si="1"/>
        <v>0</v>
      </c>
      <c r="BM63" s="110">
        <f t="shared" si="17"/>
        <v>0</v>
      </c>
      <c r="BN63" s="28">
        <f t="shared" si="3"/>
        <v>0</v>
      </c>
      <c r="BO63" s="29">
        <f t="shared" si="18"/>
        <v>0</v>
      </c>
      <c r="BP63" s="30">
        <f t="shared" si="5"/>
        <v>0</v>
      </c>
      <c r="BQ63" s="31">
        <f t="shared" si="19"/>
        <v>0</v>
      </c>
      <c r="BR63" s="353"/>
      <c r="BS63" s="11"/>
      <c r="BT63" s="40"/>
      <c r="BU63" s="41"/>
      <c r="BV63" s="42"/>
      <c r="BW63" s="41"/>
      <c r="BX63" s="40"/>
      <c r="BY63" s="41"/>
      <c r="BZ63" s="42"/>
      <c r="CA63" s="41"/>
      <c r="CB63" s="40"/>
      <c r="CC63" s="41"/>
      <c r="CD63" s="42"/>
      <c r="CE63" s="41"/>
      <c r="CF63" s="40"/>
      <c r="CG63" s="41"/>
      <c r="CH63" s="42"/>
      <c r="CI63" s="41"/>
      <c r="CJ63" s="40"/>
      <c r="CK63" s="41"/>
      <c r="CL63" s="42"/>
      <c r="CM63" s="41"/>
      <c r="CN63" s="40"/>
      <c r="CO63" s="41"/>
      <c r="CP63" s="42"/>
      <c r="CQ63" s="41"/>
      <c r="CR63" s="40"/>
      <c r="CS63" s="41"/>
      <c r="CT63" s="42"/>
      <c r="CU63" s="41"/>
      <c r="CV63" s="40"/>
      <c r="CW63" s="41"/>
      <c r="CX63" s="42"/>
      <c r="CY63" s="41"/>
      <c r="CZ63" s="40"/>
      <c r="DA63" s="41"/>
      <c r="DB63" s="42"/>
      <c r="DC63" s="41"/>
      <c r="DD63" s="40"/>
      <c r="DE63" s="41"/>
      <c r="DF63" s="42"/>
      <c r="DG63" s="41"/>
      <c r="DH63" s="40"/>
      <c r="DI63" s="41"/>
      <c r="DJ63" s="42"/>
      <c r="DK63" s="41"/>
      <c r="DL63" s="40"/>
      <c r="DM63" s="41"/>
      <c r="DN63" s="42"/>
      <c r="DO63" s="43"/>
      <c r="DP63" s="341"/>
      <c r="DQ63" s="27">
        <f t="shared" si="7"/>
        <v>0</v>
      </c>
      <c r="DR63" s="27" t="e">
        <f>SUMPRODUCT(--(MOD(COLUMN(BT63:CQ63),4)=MOD(COLUMN(BT63),4)),BT63:CQ63)*#REF!+SUMPRODUCT(--(MOD(COLUMN(CR63:DO63),4)=MOD(COLUMN(CR63),4)),CR63:DO63)*#REF!</f>
        <v>#REF!</v>
      </c>
      <c r="DS63" s="353"/>
      <c r="DT63" s="11"/>
      <c r="DU63" s="40"/>
      <c r="DV63" s="41"/>
      <c r="DW63" s="42"/>
      <c r="DX63" s="41"/>
      <c r="DY63" s="40"/>
      <c r="DZ63" s="41"/>
      <c r="EA63" s="42"/>
      <c r="EB63" s="41"/>
      <c r="EC63" s="40"/>
      <c r="ED63" s="41"/>
      <c r="EE63" s="42"/>
      <c r="EF63" s="41"/>
      <c r="EG63" s="40"/>
      <c r="EH63" s="41"/>
      <c r="EI63" s="42"/>
      <c r="EJ63" s="41"/>
      <c r="EK63" s="40"/>
      <c r="EL63" s="41"/>
      <c r="EM63" s="42"/>
      <c r="EN63" s="41"/>
      <c r="EO63" s="40"/>
      <c r="EP63" s="41"/>
      <c r="EQ63" s="42"/>
      <c r="ER63" s="41"/>
      <c r="ES63" s="40"/>
      <c r="ET63" s="41"/>
      <c r="EU63" s="42"/>
      <c r="EV63" s="41"/>
      <c r="EW63" s="40"/>
      <c r="EX63" s="41"/>
      <c r="EY63" s="42"/>
      <c r="EZ63" s="41"/>
      <c r="FA63" s="40"/>
      <c r="FB63" s="41"/>
      <c r="FC63" s="42"/>
      <c r="FD63" s="41"/>
      <c r="FE63" s="40"/>
      <c r="FF63" s="41"/>
      <c r="FG63" s="42"/>
      <c r="FH63" s="41"/>
      <c r="FI63" s="40"/>
      <c r="FJ63" s="41"/>
      <c r="FK63" s="42"/>
      <c r="FL63" s="41"/>
      <c r="FM63" s="40"/>
      <c r="FN63" s="41"/>
      <c r="FO63" s="42"/>
      <c r="FP63" s="43"/>
      <c r="FQ63" s="341"/>
      <c r="FR63" s="27">
        <f t="shared" si="8"/>
        <v>0</v>
      </c>
      <c r="FS63" s="27" t="e">
        <f>SUMPRODUCT(--(MOD(COLUMN(DU63:ER63),4)=MOD(COLUMN(DU63),4)),DU63:ER63)*#REF!+SUMPRODUCT(--(MOD(COLUMN(ES63:FP63),4)=MOD(COLUMN(ES63),4)),ES63:FP63)*#REF!</f>
        <v>#REF!</v>
      </c>
      <c r="FT63" s="361"/>
    </row>
    <row r="64" spans="1:176" s="44" customFormat="1" outlineLevel="1">
      <c r="A64" s="45" t="s">
        <v>473</v>
      </c>
      <c r="B64" s="46"/>
      <c r="C64" s="46"/>
      <c r="D64" s="46"/>
      <c r="E64" s="59" t="str">
        <f>IF(ISBLANK(G64),"",IF($A$6:$A$64=$A64,COUNTIF($A$6:A64,$A64),""))</f>
        <v/>
      </c>
      <c r="F64" s="59"/>
      <c r="G64" s="60"/>
      <c r="H64" s="49"/>
      <c r="I64" s="632"/>
      <c r="J64" s="61"/>
      <c r="K64" s="61"/>
      <c r="L64" s="61" t="str">
        <f t="shared" si="23"/>
        <v/>
      </c>
      <c r="M64" s="52"/>
      <c r="N64" s="363">
        <f t="shared" si="9"/>
        <v>0</v>
      </c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52">
        <f t="shared" si="1"/>
        <v>0</v>
      </c>
      <c r="BM64" s="122">
        <f t="shared" si="17"/>
        <v>0</v>
      </c>
      <c r="BN64" s="52">
        <f t="shared" si="3"/>
        <v>0</v>
      </c>
      <c r="BO64" s="52">
        <f t="shared" si="18"/>
        <v>0</v>
      </c>
      <c r="BP64" s="52">
        <f t="shared" si="5"/>
        <v>0</v>
      </c>
      <c r="BQ64" s="52">
        <f t="shared" si="19"/>
        <v>0</v>
      </c>
      <c r="BR64" s="62"/>
      <c r="BS64" s="52"/>
      <c r="BT64" s="62"/>
      <c r="BU64" s="62"/>
      <c r="BV64" s="62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  <c r="CS64" s="62"/>
      <c r="CT64" s="62"/>
      <c r="CU64" s="62"/>
      <c r="CV64" s="62"/>
      <c r="CW64" s="62"/>
      <c r="CX64" s="62"/>
      <c r="CY64" s="62"/>
      <c r="CZ64" s="62"/>
      <c r="DA64" s="62"/>
      <c r="DB64" s="62"/>
      <c r="DC64" s="62"/>
      <c r="DD64" s="62"/>
      <c r="DE64" s="62"/>
      <c r="DF64" s="62"/>
      <c r="DG64" s="62"/>
      <c r="DH64" s="62"/>
      <c r="DI64" s="62"/>
      <c r="DJ64" s="62"/>
      <c r="DK64" s="62"/>
      <c r="DL64" s="62"/>
      <c r="DM64" s="62"/>
      <c r="DN64" s="62"/>
      <c r="DO64" s="62"/>
      <c r="DP64" s="62"/>
      <c r="DQ64" s="52">
        <f t="shared" si="7"/>
        <v>0</v>
      </c>
      <c r="DR64" s="52" t="e">
        <f>SUMPRODUCT(--(MOD(COLUMN(BT64:CQ64),4)=MOD(COLUMN(BT64),4)),BT64:CQ64)*#REF!+SUMPRODUCT(--(MOD(COLUMN(CR64:DO64),4)=MOD(COLUMN(CR64),4)),CR64:DO64)*#REF!</f>
        <v>#REF!</v>
      </c>
      <c r="DS64" s="62"/>
      <c r="DT64" s="52"/>
      <c r="DU64" s="62"/>
      <c r="DV64" s="62"/>
      <c r="DW64" s="62"/>
      <c r="DX64" s="62"/>
      <c r="DY64" s="62"/>
      <c r="DZ64" s="62"/>
      <c r="EA64" s="62"/>
      <c r="EB64" s="62"/>
      <c r="EC64" s="62"/>
      <c r="ED64" s="62"/>
      <c r="EE64" s="62"/>
      <c r="EF64" s="62"/>
      <c r="EG64" s="62"/>
      <c r="EH64" s="62"/>
      <c r="EI64" s="62"/>
      <c r="EJ64" s="62"/>
      <c r="EK64" s="62"/>
      <c r="EL64" s="62"/>
      <c r="EM64" s="62"/>
      <c r="EN64" s="62"/>
      <c r="EO64" s="62"/>
      <c r="EP64" s="62"/>
      <c r="EQ64" s="62"/>
      <c r="ER64" s="62"/>
      <c r="ES64" s="62"/>
      <c r="ET64" s="62"/>
      <c r="EU64" s="62"/>
      <c r="EV64" s="62"/>
      <c r="EW64" s="62"/>
      <c r="EX64" s="62"/>
      <c r="EY64" s="62"/>
      <c r="EZ64" s="62"/>
      <c r="FA64" s="62"/>
      <c r="FB64" s="62"/>
      <c r="FC64" s="62"/>
      <c r="FD64" s="62"/>
      <c r="FE64" s="62"/>
      <c r="FF64" s="62"/>
      <c r="FG64" s="62"/>
      <c r="FH64" s="62"/>
      <c r="FI64" s="62"/>
      <c r="FJ64" s="62"/>
      <c r="FK64" s="62"/>
      <c r="FL64" s="62"/>
      <c r="FM64" s="62"/>
      <c r="FN64" s="62"/>
      <c r="FO64" s="62"/>
      <c r="FP64" s="62"/>
      <c r="FQ64" s="62"/>
      <c r="FR64" s="52">
        <f t="shared" si="8"/>
        <v>0</v>
      </c>
      <c r="FS64" s="52" t="e">
        <f>SUMPRODUCT(--(MOD(COLUMN(DU64:ER64),4)=MOD(COLUMN(DU64),4)),DU64:ER64)*#REF!+SUMPRODUCT(--(MOD(COLUMN(ES64:FP64),4)=MOD(COLUMN(ES64),4)),ES64:FP64)*#REF!</f>
        <v>#REF!</v>
      </c>
      <c r="FT64" s="370"/>
    </row>
    <row r="65" spans="1:234" s="524" customFormat="1">
      <c r="A65" s="523"/>
      <c r="E65" s="525"/>
      <c r="H65" s="527"/>
      <c r="I65" s="535"/>
      <c r="J65" s="535"/>
      <c r="K65" s="535"/>
      <c r="L65" s="535"/>
      <c r="M65" s="535"/>
      <c r="N65" s="536">
        <f t="shared" si="9"/>
        <v>0</v>
      </c>
      <c r="O65" s="532"/>
      <c r="P65" s="532"/>
      <c r="Q65" s="532"/>
      <c r="R65" s="532"/>
      <c r="S65" s="532"/>
      <c r="T65" s="532"/>
      <c r="U65" s="532"/>
      <c r="V65" s="532"/>
      <c r="W65" s="532"/>
      <c r="X65" s="532"/>
      <c r="Y65" s="532"/>
      <c r="Z65" s="532"/>
      <c r="AA65" s="532"/>
      <c r="AB65" s="532"/>
      <c r="AC65" s="532"/>
      <c r="AD65" s="532"/>
      <c r="AE65" s="532"/>
      <c r="AF65" s="532"/>
      <c r="AG65" s="532"/>
      <c r="AH65" s="532"/>
      <c r="AI65" s="532"/>
      <c r="AJ65" s="532"/>
      <c r="AK65" s="532"/>
      <c r="AL65" s="532"/>
      <c r="AM65" s="532"/>
      <c r="AN65" s="532"/>
      <c r="AO65" s="532"/>
      <c r="AP65" s="532"/>
      <c r="AQ65" s="532"/>
      <c r="AR65" s="532"/>
      <c r="AS65" s="532"/>
      <c r="AT65" s="532"/>
      <c r="AU65" s="532"/>
      <c r="AV65" s="532"/>
      <c r="AW65" s="532"/>
      <c r="AX65" s="532"/>
      <c r="AY65" s="532"/>
      <c r="AZ65" s="532"/>
      <c r="BA65" s="532"/>
      <c r="BB65" s="532"/>
      <c r="BC65" s="532"/>
      <c r="BD65" s="532"/>
      <c r="BE65" s="532"/>
      <c r="BF65" s="532"/>
      <c r="BG65" s="532"/>
      <c r="BH65" s="532"/>
      <c r="BI65" s="532"/>
      <c r="BJ65" s="532"/>
      <c r="BK65" s="532"/>
      <c r="BL65" s="532">
        <f t="shared" si="1"/>
        <v>0</v>
      </c>
      <c r="BM65" s="532">
        <f t="shared" si="17"/>
        <v>0</v>
      </c>
      <c r="BN65" s="532">
        <f t="shared" si="3"/>
        <v>0</v>
      </c>
      <c r="BO65" s="532">
        <f t="shared" si="18"/>
        <v>0</v>
      </c>
      <c r="BP65" s="532">
        <f t="shared" si="5"/>
        <v>0</v>
      </c>
      <c r="BQ65" s="532">
        <f t="shared" si="19"/>
        <v>0</v>
      </c>
      <c r="BR65" s="532"/>
      <c r="BS65" s="532"/>
      <c r="BT65" s="532"/>
      <c r="BU65" s="532"/>
      <c r="BV65" s="532"/>
      <c r="BW65" s="532"/>
      <c r="BX65" s="537"/>
      <c r="BY65" s="538"/>
      <c r="BZ65" s="538"/>
      <c r="CA65" s="533"/>
      <c r="CB65" s="532"/>
      <c r="CC65" s="532"/>
      <c r="CD65" s="532"/>
      <c r="CE65" s="532"/>
      <c r="CF65" s="532"/>
      <c r="CG65" s="532"/>
      <c r="CH65" s="532"/>
      <c r="CI65" s="532"/>
      <c r="CJ65" s="532"/>
      <c r="CK65" s="532"/>
      <c r="CL65" s="532"/>
      <c r="CM65" s="532"/>
      <c r="CN65" s="532"/>
      <c r="CO65" s="532"/>
      <c r="CP65" s="532"/>
      <c r="CQ65" s="532"/>
      <c r="CR65" s="532"/>
      <c r="CS65" s="532"/>
      <c r="CT65" s="532"/>
      <c r="CU65" s="532"/>
      <c r="CV65" s="532"/>
      <c r="CW65" s="532"/>
      <c r="CX65" s="532"/>
      <c r="CY65" s="532"/>
      <c r="CZ65" s="532"/>
      <c r="DA65" s="532"/>
      <c r="DB65" s="532"/>
      <c r="DC65" s="532"/>
      <c r="DD65" s="532"/>
      <c r="DE65" s="532"/>
      <c r="DF65" s="532"/>
      <c r="DG65" s="532"/>
      <c r="DH65" s="532"/>
      <c r="DI65" s="532"/>
      <c r="DJ65" s="532"/>
      <c r="DK65" s="532"/>
      <c r="DL65" s="532"/>
      <c r="DM65" s="532"/>
      <c r="DN65" s="532"/>
      <c r="DO65" s="532"/>
      <c r="DP65" s="532"/>
      <c r="DQ65" s="532">
        <f t="shared" si="7"/>
        <v>0</v>
      </c>
      <c r="DR65" s="532" t="e">
        <f>SUMPRODUCT(--(MOD(COLUMN(BT65:CQ65),4)=MOD(COLUMN(BT65),4)),BT65:CQ65)*#REF!+SUMPRODUCT(--(MOD(COLUMN(CR65:DO65),4)=MOD(COLUMN(CR65),4)),CR65:DO65)*#REF!</f>
        <v>#REF!</v>
      </c>
      <c r="DS65" s="532"/>
      <c r="DT65" s="532"/>
      <c r="DU65" s="532"/>
      <c r="DV65" s="532"/>
      <c r="DW65" s="532"/>
      <c r="DX65" s="532"/>
      <c r="DY65" s="532"/>
      <c r="DZ65" s="532"/>
      <c r="EA65" s="532"/>
      <c r="EB65" s="533"/>
      <c r="EC65" s="532"/>
      <c r="ED65" s="532"/>
      <c r="EE65" s="532"/>
      <c r="EF65" s="532"/>
      <c r="EG65" s="532"/>
      <c r="EH65" s="532"/>
      <c r="EI65" s="532"/>
      <c r="EJ65" s="532"/>
      <c r="EK65" s="532"/>
      <c r="EL65" s="532"/>
      <c r="EM65" s="532"/>
      <c r="EN65" s="532"/>
      <c r="EO65" s="532"/>
      <c r="EP65" s="532"/>
      <c r="EQ65" s="532"/>
      <c r="ER65" s="532"/>
      <c r="ES65" s="532"/>
      <c r="ET65" s="532"/>
      <c r="EU65" s="532"/>
      <c r="EV65" s="532"/>
      <c r="EW65" s="532"/>
      <c r="EX65" s="532"/>
      <c r="EY65" s="532"/>
      <c r="EZ65" s="532"/>
      <c r="FA65" s="532"/>
      <c r="FB65" s="532"/>
      <c r="FC65" s="532"/>
      <c r="FD65" s="532"/>
      <c r="FE65" s="532"/>
      <c r="FF65" s="532"/>
      <c r="FG65" s="532"/>
      <c r="FH65" s="532"/>
      <c r="FI65" s="532"/>
      <c r="FJ65" s="532"/>
      <c r="FK65" s="532"/>
      <c r="FL65" s="532"/>
      <c r="FM65" s="532"/>
      <c r="FN65" s="532"/>
      <c r="FO65" s="532"/>
      <c r="FP65" s="532"/>
      <c r="FQ65" s="532"/>
      <c r="FR65" s="532">
        <f t="shared" si="8"/>
        <v>0</v>
      </c>
      <c r="FS65" s="532" t="e">
        <f>SUMPRODUCT(--(MOD(COLUMN(DU65:ER65),4)=MOD(COLUMN(DU65),4)),DU65:ER65)*#REF!+SUMPRODUCT(--(MOD(COLUMN(ES65:FP65),4)=MOD(COLUMN(ES65),4)),ES65:FP65)*#REF!</f>
        <v>#REF!</v>
      </c>
      <c r="FT65" s="527"/>
      <c r="FU65" s="527"/>
      <c r="FV65" s="527"/>
      <c r="FW65" s="527"/>
      <c r="FX65" s="527"/>
      <c r="FY65" s="527"/>
      <c r="FZ65" s="527"/>
      <c r="GA65" s="527"/>
      <c r="GB65" s="533"/>
      <c r="GC65" s="527"/>
      <c r="GD65" s="527"/>
      <c r="GE65" s="527"/>
      <c r="GF65" s="527"/>
      <c r="GG65" s="527"/>
      <c r="GH65" s="527"/>
      <c r="GI65" s="527"/>
      <c r="GJ65" s="527"/>
      <c r="GK65" s="527"/>
      <c r="GL65" s="527"/>
      <c r="GM65" s="527"/>
      <c r="GN65" s="527"/>
      <c r="GO65" s="527"/>
      <c r="GP65" s="527"/>
      <c r="GQ65" s="527"/>
      <c r="GR65" s="527"/>
      <c r="GS65" s="527"/>
      <c r="GT65" s="527"/>
      <c r="GU65" s="527"/>
      <c r="GV65" s="527"/>
      <c r="GW65" s="527"/>
      <c r="GX65" s="527"/>
      <c r="GY65" s="527"/>
      <c r="GZ65" s="527"/>
      <c r="HA65" s="527"/>
      <c r="HB65" s="527"/>
      <c r="HC65" s="527"/>
      <c r="HD65" s="527"/>
      <c r="HE65" s="527"/>
      <c r="HF65" s="527"/>
      <c r="HG65" s="527"/>
      <c r="HH65" s="527"/>
      <c r="HI65" s="527"/>
      <c r="HJ65" s="527"/>
      <c r="HK65" s="527"/>
      <c r="HL65" s="527"/>
      <c r="HM65" s="527"/>
      <c r="HN65" s="527"/>
      <c r="HO65" s="527"/>
      <c r="HP65" s="527"/>
      <c r="HQ65" s="527"/>
      <c r="HR65" s="527"/>
      <c r="HS65" s="527"/>
      <c r="HT65" s="527"/>
      <c r="HU65" s="527"/>
      <c r="HV65" s="527"/>
      <c r="HW65" s="527"/>
      <c r="HX65" s="527"/>
      <c r="HY65" s="527"/>
      <c r="HZ65" s="527"/>
    </row>
    <row r="66" spans="1:234" s="63" customFormat="1" outlineLevel="2">
      <c r="A66" s="64" t="s">
        <v>474</v>
      </c>
      <c r="B66" s="65"/>
      <c r="C66" s="65"/>
      <c r="D66" s="65"/>
      <c r="E66" s="508"/>
      <c r="F66" s="65"/>
      <c r="G66" s="65"/>
      <c r="H66" s="66" t="s">
        <v>56</v>
      </c>
      <c r="I66" s="67"/>
      <c r="J66" s="67"/>
      <c r="K66" s="67"/>
      <c r="L66" s="67"/>
      <c r="M66" s="67"/>
      <c r="N66" s="371">
        <f t="shared" si="9"/>
        <v>1</v>
      </c>
      <c r="O66" s="52">
        <f t="shared" ref="O66:X71" si="26">IFERROR(SUMPRODUCT(($A66=$A$6:$A$64)*$I$6:$I$64*O$6:O$64),"")</f>
        <v>0</v>
      </c>
      <c r="P66" s="67">
        <f t="shared" si="26"/>
        <v>0</v>
      </c>
      <c r="Q66" s="67">
        <f t="shared" si="26"/>
        <v>0</v>
      </c>
      <c r="R66" s="67">
        <f t="shared" si="26"/>
        <v>0</v>
      </c>
      <c r="S66" s="67">
        <f t="shared" si="26"/>
        <v>82000</v>
      </c>
      <c r="T66" s="67">
        <f t="shared" si="26"/>
        <v>0</v>
      </c>
      <c r="U66" s="67">
        <f t="shared" si="26"/>
        <v>0</v>
      </c>
      <c r="V66" s="67">
        <f t="shared" si="26"/>
        <v>0</v>
      </c>
      <c r="W66" s="67">
        <f t="shared" si="26"/>
        <v>0</v>
      </c>
      <c r="X66" s="67">
        <f t="shared" si="26"/>
        <v>0</v>
      </c>
      <c r="Y66" s="67">
        <f t="shared" ref="Y66:AH71" si="27">IFERROR(SUMPRODUCT(($A66=$A$6:$A$64)*$I$6:$I$64*Y$6:Y$64),"")</f>
        <v>0</v>
      </c>
      <c r="Z66" s="67">
        <f t="shared" si="27"/>
        <v>0</v>
      </c>
      <c r="AA66" s="67">
        <f t="shared" si="27"/>
        <v>37356</v>
      </c>
      <c r="AB66" s="67">
        <f t="shared" si="27"/>
        <v>82000</v>
      </c>
      <c r="AC66" s="67">
        <f t="shared" si="27"/>
        <v>82000</v>
      </c>
      <c r="AD66" s="67">
        <f t="shared" si="27"/>
        <v>0</v>
      </c>
      <c r="AE66" s="67">
        <f t="shared" si="27"/>
        <v>37356</v>
      </c>
      <c r="AF66" s="67">
        <f t="shared" si="27"/>
        <v>0</v>
      </c>
      <c r="AG66" s="67">
        <f t="shared" si="27"/>
        <v>0</v>
      </c>
      <c r="AH66" s="67">
        <f t="shared" si="27"/>
        <v>0</v>
      </c>
      <c r="AI66" s="67">
        <f t="shared" ref="AI66:AR71" si="28">IFERROR(SUMPRODUCT(($A66=$A$6:$A$64)*$I$6:$I$64*AI$6:AI$64),"")</f>
        <v>249040</v>
      </c>
      <c r="AJ66" s="67">
        <f t="shared" si="28"/>
        <v>0</v>
      </c>
      <c r="AK66" s="67">
        <f t="shared" si="28"/>
        <v>0</v>
      </c>
      <c r="AL66" s="67">
        <f t="shared" si="28"/>
        <v>0</v>
      </c>
      <c r="AM66" s="67">
        <f t="shared" si="28"/>
        <v>498080</v>
      </c>
      <c r="AN66" s="67">
        <f t="shared" si="28"/>
        <v>0</v>
      </c>
      <c r="AO66" s="67">
        <f t="shared" si="28"/>
        <v>0</v>
      </c>
      <c r="AP66" s="67">
        <f t="shared" si="28"/>
        <v>0</v>
      </c>
      <c r="AQ66" s="67">
        <f t="shared" si="28"/>
        <v>498080</v>
      </c>
      <c r="AR66" s="67">
        <f t="shared" si="28"/>
        <v>393190.00000000006</v>
      </c>
      <c r="AS66" s="67">
        <f t="shared" ref="AS66:BB71" si="29">IFERROR(SUMPRODUCT(($A66=$A$6:$A$64)*$I$6:$I$64*AS$6:AS$64),"")</f>
        <v>0</v>
      </c>
      <c r="AT66" s="67">
        <f t="shared" si="29"/>
        <v>0</v>
      </c>
      <c r="AU66" s="67">
        <f t="shared" si="29"/>
        <v>498080</v>
      </c>
      <c r="AV66" s="67">
        <f t="shared" si="29"/>
        <v>249040</v>
      </c>
      <c r="AW66" s="67">
        <f t="shared" si="29"/>
        <v>0</v>
      </c>
      <c r="AX66" s="67">
        <f t="shared" si="29"/>
        <v>0</v>
      </c>
      <c r="AY66" s="67">
        <f t="shared" si="29"/>
        <v>996160</v>
      </c>
      <c r="AZ66" s="67">
        <f t="shared" si="29"/>
        <v>249040</v>
      </c>
      <c r="BA66" s="67">
        <f t="shared" si="29"/>
        <v>0</v>
      </c>
      <c r="BB66" s="67">
        <f t="shared" si="29"/>
        <v>0</v>
      </c>
      <c r="BC66" s="67">
        <f t="shared" ref="BC66:BJ71" si="30">IFERROR(SUMPRODUCT(($A66=$A$6:$A$64)*$I$6:$I$64*BC$6:BC$64),"")</f>
        <v>996160</v>
      </c>
      <c r="BD66" s="67">
        <f t="shared" si="30"/>
        <v>498080</v>
      </c>
      <c r="BE66" s="67">
        <f t="shared" si="30"/>
        <v>0</v>
      </c>
      <c r="BF66" s="67">
        <f t="shared" si="30"/>
        <v>0</v>
      </c>
      <c r="BG66" s="67">
        <f t="shared" si="30"/>
        <v>996160</v>
      </c>
      <c r="BH66" s="67">
        <f t="shared" si="30"/>
        <v>996160</v>
      </c>
      <c r="BI66" s="67">
        <f t="shared" si="30"/>
        <v>0</v>
      </c>
      <c r="BJ66" s="67">
        <f t="shared" si="30"/>
        <v>0</v>
      </c>
      <c r="BK66" s="67"/>
      <c r="BL66" s="67">
        <f t="shared" si="1"/>
        <v>4888472</v>
      </c>
      <c r="BM66" s="468">
        <f t="shared" si="17"/>
        <v>0</v>
      </c>
      <c r="BN66" s="67">
        <f t="shared" si="3"/>
        <v>2467510</v>
      </c>
      <c r="BO66" s="67">
        <f t="shared" si="18"/>
        <v>0</v>
      </c>
      <c r="BP66" s="67">
        <f t="shared" si="5"/>
        <v>82000</v>
      </c>
      <c r="BQ66" s="67">
        <f t="shared" si="19"/>
        <v>0</v>
      </c>
      <c r="BR66" s="67"/>
      <c r="BS66" s="67"/>
      <c r="BT66" s="67"/>
      <c r="BU66" s="67"/>
      <c r="BV66" s="67"/>
      <c r="BW66" s="67"/>
      <c r="BX66" s="52"/>
      <c r="BY66" s="67"/>
      <c r="BZ66" s="67"/>
      <c r="CA66" s="67"/>
      <c r="CB66" s="67"/>
      <c r="CC66" s="67"/>
      <c r="CD66" s="67"/>
      <c r="CE66" s="67"/>
      <c r="CF66" s="67"/>
      <c r="CG66" s="67"/>
      <c r="CH66" s="67"/>
      <c r="CI66" s="67"/>
      <c r="CJ66" s="67"/>
      <c r="CK66" s="67"/>
      <c r="CL66" s="67"/>
      <c r="CM66" s="67"/>
      <c r="CN66" s="67"/>
      <c r="CO66" s="67"/>
      <c r="CP66" s="67"/>
      <c r="CQ66" s="67"/>
      <c r="CR66" s="67"/>
      <c r="CS66" s="67"/>
      <c r="CT66" s="67"/>
      <c r="CU66" s="67"/>
      <c r="CV66" s="67"/>
      <c r="CW66" s="67"/>
      <c r="CX66" s="67"/>
      <c r="CY66" s="67"/>
      <c r="CZ66" s="67"/>
      <c r="DA66" s="67"/>
      <c r="DB66" s="67"/>
      <c r="DC66" s="67"/>
      <c r="DD66" s="67"/>
      <c r="DE66" s="67"/>
      <c r="DF66" s="67"/>
      <c r="DG66" s="67"/>
      <c r="DH66" s="67"/>
      <c r="DI66" s="67"/>
      <c r="DJ66" s="67"/>
      <c r="DK66" s="67"/>
      <c r="DL66" s="67"/>
      <c r="DM66" s="67"/>
      <c r="DN66" s="67"/>
      <c r="DO66" s="67"/>
      <c r="DP66" s="67"/>
      <c r="DQ66" s="67"/>
      <c r="DR66" s="67"/>
      <c r="DS66" s="67"/>
      <c r="DT66" s="67"/>
      <c r="DU66" s="67"/>
      <c r="DV66" s="67"/>
      <c r="DW66" s="67"/>
      <c r="DX66" s="67"/>
      <c r="DY66" s="67"/>
      <c r="DZ66" s="67"/>
      <c r="EA66" s="67"/>
      <c r="EB66" s="52"/>
      <c r="EC66" s="67"/>
      <c r="ED66" s="67"/>
      <c r="EE66" s="67"/>
      <c r="EF66" s="67"/>
      <c r="EG66" s="67"/>
      <c r="EH66" s="67"/>
      <c r="EI66" s="67"/>
      <c r="EJ66" s="67"/>
      <c r="EK66" s="67"/>
      <c r="EL66" s="67"/>
      <c r="EM66" s="67"/>
      <c r="EN66" s="67"/>
      <c r="EO66" s="67"/>
      <c r="EP66" s="67"/>
      <c r="EQ66" s="67"/>
      <c r="ER66" s="67"/>
      <c r="ES66" s="67"/>
      <c r="ET66" s="67"/>
      <c r="EU66" s="67"/>
      <c r="EV66" s="67"/>
      <c r="EW66" s="67"/>
      <c r="EX66" s="67"/>
      <c r="EY66" s="67"/>
      <c r="EZ66" s="67"/>
      <c r="FA66" s="67"/>
      <c r="FB66" s="67"/>
      <c r="FC66" s="67"/>
      <c r="FD66" s="67"/>
      <c r="FE66" s="67"/>
      <c r="FF66" s="67"/>
      <c r="FG66" s="67"/>
      <c r="FH66" s="67"/>
      <c r="FI66" s="67"/>
      <c r="FJ66" s="67"/>
      <c r="FK66" s="67"/>
      <c r="FL66" s="67"/>
      <c r="FM66" s="67"/>
      <c r="FN66" s="67"/>
      <c r="FO66" s="67"/>
      <c r="FP66" s="67"/>
      <c r="FQ66" s="67"/>
      <c r="FR66" s="67"/>
      <c r="FS66" s="67"/>
      <c r="FT66" s="68"/>
      <c r="FU66" s="68"/>
      <c r="FV66" s="68"/>
      <c r="FW66" s="68"/>
      <c r="FX66" s="68"/>
      <c r="FY66" s="68"/>
      <c r="FZ66" s="68"/>
      <c r="GA66" s="68"/>
      <c r="GB66" s="51"/>
      <c r="GC66" s="68"/>
      <c r="GD66" s="68"/>
      <c r="GE66" s="68"/>
      <c r="GF66" s="68"/>
      <c r="GG66" s="68"/>
      <c r="GH66" s="68"/>
      <c r="GI66" s="68"/>
      <c r="GJ66" s="68"/>
      <c r="GK66" s="68"/>
      <c r="GL66" s="68"/>
      <c r="GM66" s="68"/>
      <c r="GN66" s="68"/>
      <c r="GO66" s="68"/>
      <c r="GP66" s="68"/>
      <c r="GQ66" s="68"/>
      <c r="GR66" s="68"/>
      <c r="GS66" s="68"/>
      <c r="GT66" s="68"/>
      <c r="GU66" s="68"/>
      <c r="GV66" s="68"/>
      <c r="GW66" s="68"/>
      <c r="GX66" s="68"/>
      <c r="GY66" s="68"/>
      <c r="GZ66" s="68"/>
      <c r="HA66" s="68"/>
      <c r="HB66" s="68"/>
      <c r="HC66" s="68"/>
      <c r="HD66" s="68"/>
      <c r="HE66" s="68"/>
      <c r="HF66" s="68"/>
      <c r="HG66" s="68"/>
      <c r="HH66" s="68"/>
      <c r="HI66" s="68"/>
      <c r="HJ66" s="68"/>
      <c r="HK66" s="68"/>
      <c r="HL66" s="68"/>
      <c r="HM66" s="68"/>
      <c r="HN66" s="68"/>
      <c r="HO66" s="68"/>
      <c r="HP66" s="68"/>
      <c r="HQ66" s="68"/>
      <c r="HR66" s="68"/>
      <c r="HS66" s="68"/>
      <c r="HT66" s="68"/>
      <c r="HU66" s="68"/>
      <c r="HV66" s="68"/>
      <c r="HW66" s="68"/>
      <c r="HX66" s="68"/>
      <c r="HY66" s="68"/>
      <c r="HZ66" s="68"/>
    </row>
    <row r="67" spans="1:234" s="63" customFormat="1" outlineLevel="2">
      <c r="A67" s="64" t="s">
        <v>476</v>
      </c>
      <c r="B67" s="65"/>
      <c r="C67" s="65"/>
      <c r="D67" s="65"/>
      <c r="E67" s="508"/>
      <c r="F67" s="65"/>
      <c r="G67" s="65"/>
      <c r="H67" s="66" t="s">
        <v>56</v>
      </c>
      <c r="I67" s="67"/>
      <c r="J67" s="67"/>
      <c r="K67" s="67"/>
      <c r="L67" s="67"/>
      <c r="M67" s="67"/>
      <c r="N67" s="371">
        <f t="shared" si="9"/>
        <v>0</v>
      </c>
      <c r="O67" s="52">
        <f t="shared" si="26"/>
        <v>0</v>
      </c>
      <c r="P67" s="67">
        <f t="shared" si="26"/>
        <v>0</v>
      </c>
      <c r="Q67" s="67">
        <f t="shared" si="26"/>
        <v>0</v>
      </c>
      <c r="R67" s="67">
        <f t="shared" si="26"/>
        <v>0</v>
      </c>
      <c r="S67" s="67">
        <f t="shared" si="26"/>
        <v>0</v>
      </c>
      <c r="T67" s="67">
        <f t="shared" si="26"/>
        <v>0</v>
      </c>
      <c r="U67" s="67">
        <f t="shared" si="26"/>
        <v>0</v>
      </c>
      <c r="V67" s="67">
        <f t="shared" si="26"/>
        <v>0</v>
      </c>
      <c r="W67" s="67">
        <f t="shared" si="26"/>
        <v>0</v>
      </c>
      <c r="X67" s="67">
        <f t="shared" si="26"/>
        <v>0</v>
      </c>
      <c r="Y67" s="67">
        <f t="shared" si="27"/>
        <v>0</v>
      </c>
      <c r="Z67" s="67">
        <f t="shared" si="27"/>
        <v>0</v>
      </c>
      <c r="AA67" s="67">
        <f t="shared" si="27"/>
        <v>0</v>
      </c>
      <c r="AB67" s="67">
        <f t="shared" si="27"/>
        <v>0</v>
      </c>
      <c r="AC67" s="67">
        <f t="shared" si="27"/>
        <v>0</v>
      </c>
      <c r="AD67" s="67">
        <f t="shared" si="27"/>
        <v>0</v>
      </c>
      <c r="AE67" s="67">
        <f t="shared" si="27"/>
        <v>0</v>
      </c>
      <c r="AF67" s="67">
        <f t="shared" si="27"/>
        <v>0</v>
      </c>
      <c r="AG67" s="67">
        <f t="shared" si="27"/>
        <v>0</v>
      </c>
      <c r="AH67" s="67">
        <f t="shared" si="27"/>
        <v>0</v>
      </c>
      <c r="AI67" s="67">
        <f t="shared" si="28"/>
        <v>0</v>
      </c>
      <c r="AJ67" s="67">
        <f t="shared" si="28"/>
        <v>0</v>
      </c>
      <c r="AK67" s="67">
        <f t="shared" si="28"/>
        <v>0</v>
      </c>
      <c r="AL67" s="67">
        <f t="shared" si="28"/>
        <v>0</v>
      </c>
      <c r="AM67" s="67">
        <f t="shared" si="28"/>
        <v>0</v>
      </c>
      <c r="AN67" s="67">
        <f t="shared" si="28"/>
        <v>0</v>
      </c>
      <c r="AO67" s="67">
        <f t="shared" si="28"/>
        <v>0</v>
      </c>
      <c r="AP67" s="67">
        <f t="shared" si="28"/>
        <v>0</v>
      </c>
      <c r="AQ67" s="67">
        <f t="shared" si="28"/>
        <v>0</v>
      </c>
      <c r="AR67" s="67">
        <f t="shared" si="28"/>
        <v>0</v>
      </c>
      <c r="AS67" s="67">
        <f t="shared" si="29"/>
        <v>0</v>
      </c>
      <c r="AT67" s="67">
        <f t="shared" si="29"/>
        <v>0</v>
      </c>
      <c r="AU67" s="67">
        <f t="shared" si="29"/>
        <v>0</v>
      </c>
      <c r="AV67" s="67">
        <f t="shared" si="29"/>
        <v>0</v>
      </c>
      <c r="AW67" s="67">
        <f t="shared" si="29"/>
        <v>0</v>
      </c>
      <c r="AX67" s="67">
        <f t="shared" si="29"/>
        <v>0</v>
      </c>
      <c r="AY67" s="67">
        <f t="shared" si="29"/>
        <v>0</v>
      </c>
      <c r="AZ67" s="67">
        <f t="shared" si="29"/>
        <v>0</v>
      </c>
      <c r="BA67" s="67">
        <f t="shared" si="29"/>
        <v>0</v>
      </c>
      <c r="BB67" s="67">
        <f t="shared" si="29"/>
        <v>0</v>
      </c>
      <c r="BC67" s="67">
        <f t="shared" si="30"/>
        <v>0</v>
      </c>
      <c r="BD67" s="67">
        <f t="shared" si="30"/>
        <v>0</v>
      </c>
      <c r="BE67" s="67">
        <f t="shared" si="30"/>
        <v>0</v>
      </c>
      <c r="BF67" s="67">
        <f t="shared" si="30"/>
        <v>0</v>
      </c>
      <c r="BG67" s="67">
        <f t="shared" si="30"/>
        <v>0</v>
      </c>
      <c r="BH67" s="67">
        <f t="shared" si="30"/>
        <v>0</v>
      </c>
      <c r="BI67" s="67">
        <f t="shared" si="30"/>
        <v>0</v>
      </c>
      <c r="BJ67" s="67">
        <f t="shared" si="30"/>
        <v>0</v>
      </c>
      <c r="BK67" s="67"/>
      <c r="BL67" s="67">
        <f t="shared" si="1"/>
        <v>0</v>
      </c>
      <c r="BM67" s="468">
        <f t="shared" si="17"/>
        <v>0</v>
      </c>
      <c r="BN67" s="67">
        <f t="shared" si="3"/>
        <v>0</v>
      </c>
      <c r="BO67" s="67">
        <f t="shared" si="18"/>
        <v>0</v>
      </c>
      <c r="BP67" s="67">
        <f t="shared" si="5"/>
        <v>0</v>
      </c>
      <c r="BQ67" s="67">
        <f t="shared" si="19"/>
        <v>0</v>
      </c>
      <c r="BR67" s="67"/>
      <c r="BS67" s="67"/>
      <c r="BT67" s="67"/>
      <c r="BU67" s="67"/>
      <c r="BV67" s="67"/>
      <c r="BW67" s="67"/>
      <c r="BX67" s="52"/>
      <c r="BY67" s="67"/>
      <c r="BZ67" s="67"/>
      <c r="CA67" s="67"/>
      <c r="CB67" s="67"/>
      <c r="CC67" s="67"/>
      <c r="CD67" s="67"/>
      <c r="CE67" s="67"/>
      <c r="CF67" s="67"/>
      <c r="CG67" s="67"/>
      <c r="CH67" s="67"/>
      <c r="CI67" s="67"/>
      <c r="CJ67" s="67"/>
      <c r="CK67" s="67"/>
      <c r="CL67" s="67"/>
      <c r="CM67" s="67"/>
      <c r="CN67" s="67"/>
      <c r="CO67" s="67"/>
      <c r="CP67" s="67"/>
      <c r="CQ67" s="67"/>
      <c r="CR67" s="67"/>
      <c r="CS67" s="67"/>
      <c r="CT67" s="67"/>
      <c r="CU67" s="67"/>
      <c r="CV67" s="67"/>
      <c r="CW67" s="67"/>
      <c r="CX67" s="67"/>
      <c r="CY67" s="67"/>
      <c r="CZ67" s="67"/>
      <c r="DA67" s="67"/>
      <c r="DB67" s="67"/>
      <c r="DC67" s="67"/>
      <c r="DD67" s="67"/>
      <c r="DE67" s="67"/>
      <c r="DF67" s="67"/>
      <c r="DG67" s="67"/>
      <c r="DH67" s="67"/>
      <c r="DI67" s="67"/>
      <c r="DJ67" s="67"/>
      <c r="DK67" s="67"/>
      <c r="DL67" s="67"/>
      <c r="DM67" s="67"/>
      <c r="DN67" s="67"/>
      <c r="DO67" s="67"/>
      <c r="DP67" s="67"/>
      <c r="DQ67" s="67"/>
      <c r="DR67" s="67"/>
      <c r="DS67" s="67"/>
      <c r="DT67" s="67"/>
      <c r="DU67" s="67"/>
      <c r="DV67" s="67"/>
      <c r="DW67" s="67"/>
      <c r="DX67" s="67"/>
      <c r="DY67" s="67"/>
      <c r="DZ67" s="67"/>
      <c r="EA67" s="67"/>
      <c r="EB67" s="52"/>
      <c r="EC67" s="67"/>
      <c r="ED67" s="67"/>
      <c r="EE67" s="67"/>
      <c r="EF67" s="67"/>
      <c r="EG67" s="67"/>
      <c r="EH67" s="67"/>
      <c r="EI67" s="67"/>
      <c r="EJ67" s="67"/>
      <c r="EK67" s="67"/>
      <c r="EL67" s="67"/>
      <c r="EM67" s="67"/>
      <c r="EN67" s="67"/>
      <c r="EO67" s="67"/>
      <c r="EP67" s="67"/>
      <c r="EQ67" s="67"/>
      <c r="ER67" s="67"/>
      <c r="ES67" s="67"/>
      <c r="ET67" s="67"/>
      <c r="EU67" s="67"/>
      <c r="EV67" s="67"/>
      <c r="EW67" s="67"/>
      <c r="EX67" s="67"/>
      <c r="EY67" s="67"/>
      <c r="EZ67" s="67"/>
      <c r="FA67" s="67"/>
      <c r="FB67" s="67"/>
      <c r="FC67" s="67"/>
      <c r="FD67" s="67"/>
      <c r="FE67" s="67"/>
      <c r="FF67" s="67"/>
      <c r="FG67" s="67"/>
      <c r="FH67" s="67"/>
      <c r="FI67" s="67"/>
      <c r="FJ67" s="67"/>
      <c r="FK67" s="67"/>
      <c r="FL67" s="67"/>
      <c r="FM67" s="67"/>
      <c r="FN67" s="67"/>
      <c r="FO67" s="67"/>
      <c r="FP67" s="67"/>
      <c r="FQ67" s="67"/>
      <c r="FR67" s="67"/>
      <c r="FS67" s="67"/>
      <c r="FT67" s="68"/>
      <c r="FU67" s="68"/>
      <c r="FV67" s="68"/>
      <c r="FW67" s="68"/>
      <c r="FX67" s="68"/>
      <c r="FY67" s="68"/>
      <c r="FZ67" s="68"/>
      <c r="GA67" s="68"/>
      <c r="GB67" s="51"/>
      <c r="GC67" s="68"/>
      <c r="GD67" s="68"/>
      <c r="GE67" s="68"/>
      <c r="GF67" s="68"/>
      <c r="GG67" s="68"/>
      <c r="GH67" s="68"/>
      <c r="GI67" s="68"/>
      <c r="GJ67" s="68"/>
      <c r="GK67" s="68"/>
      <c r="GL67" s="68"/>
      <c r="GM67" s="68"/>
      <c r="GN67" s="68"/>
      <c r="GO67" s="68"/>
      <c r="GP67" s="68"/>
      <c r="GQ67" s="68"/>
      <c r="GR67" s="68"/>
      <c r="GS67" s="68"/>
      <c r="GT67" s="68"/>
      <c r="GU67" s="68"/>
      <c r="GV67" s="68"/>
      <c r="GW67" s="68"/>
      <c r="GX67" s="68"/>
      <c r="GY67" s="68"/>
      <c r="GZ67" s="68"/>
      <c r="HA67" s="68"/>
      <c r="HB67" s="68"/>
      <c r="HC67" s="68"/>
      <c r="HD67" s="68"/>
      <c r="HE67" s="68"/>
      <c r="HF67" s="68"/>
      <c r="HG67" s="68"/>
      <c r="HH67" s="68"/>
      <c r="HI67" s="68"/>
      <c r="HJ67" s="68"/>
      <c r="HK67" s="68"/>
      <c r="HL67" s="68"/>
      <c r="HM67" s="68"/>
      <c r="HN67" s="68"/>
      <c r="HO67" s="68"/>
      <c r="HP67" s="68"/>
      <c r="HQ67" s="68"/>
      <c r="HR67" s="68"/>
      <c r="HS67" s="68"/>
      <c r="HT67" s="68"/>
      <c r="HU67" s="68"/>
      <c r="HV67" s="68"/>
      <c r="HW67" s="68"/>
      <c r="HX67" s="68"/>
      <c r="HY67" s="68"/>
      <c r="HZ67" s="68"/>
    </row>
    <row r="68" spans="1:234" s="63" customFormat="1" outlineLevel="2">
      <c r="A68" s="64" t="s">
        <v>477</v>
      </c>
      <c r="B68" s="65"/>
      <c r="C68" s="65"/>
      <c r="D68" s="65"/>
      <c r="E68" s="508"/>
      <c r="F68" s="65"/>
      <c r="G68" s="65"/>
      <c r="H68" s="66" t="s">
        <v>56</v>
      </c>
      <c r="I68" s="67"/>
      <c r="J68" s="67"/>
      <c r="K68" s="67"/>
      <c r="L68" s="67"/>
      <c r="M68" s="67"/>
      <c r="N68" s="371">
        <f t="shared" si="9"/>
        <v>0</v>
      </c>
      <c r="O68" s="52">
        <f t="shared" si="26"/>
        <v>0</v>
      </c>
      <c r="P68" s="67">
        <f t="shared" si="26"/>
        <v>0</v>
      </c>
      <c r="Q68" s="67">
        <f t="shared" si="26"/>
        <v>0</v>
      </c>
      <c r="R68" s="67">
        <f t="shared" si="26"/>
        <v>0</v>
      </c>
      <c r="S68" s="67">
        <f t="shared" si="26"/>
        <v>0</v>
      </c>
      <c r="T68" s="67">
        <f t="shared" si="26"/>
        <v>0</v>
      </c>
      <c r="U68" s="67">
        <f t="shared" si="26"/>
        <v>0</v>
      </c>
      <c r="V68" s="67">
        <f t="shared" si="26"/>
        <v>0</v>
      </c>
      <c r="W68" s="67">
        <f t="shared" si="26"/>
        <v>0</v>
      </c>
      <c r="X68" s="67">
        <f t="shared" si="26"/>
        <v>0</v>
      </c>
      <c r="Y68" s="67">
        <f t="shared" si="27"/>
        <v>0</v>
      </c>
      <c r="Z68" s="67">
        <f t="shared" si="27"/>
        <v>0</v>
      </c>
      <c r="AA68" s="67">
        <f t="shared" si="27"/>
        <v>0</v>
      </c>
      <c r="AB68" s="67">
        <f t="shared" si="27"/>
        <v>0</v>
      </c>
      <c r="AC68" s="67">
        <f t="shared" si="27"/>
        <v>0</v>
      </c>
      <c r="AD68" s="67">
        <f t="shared" si="27"/>
        <v>0</v>
      </c>
      <c r="AE68" s="67">
        <f t="shared" si="27"/>
        <v>0</v>
      </c>
      <c r="AF68" s="67">
        <f t="shared" si="27"/>
        <v>0</v>
      </c>
      <c r="AG68" s="67">
        <f t="shared" si="27"/>
        <v>0</v>
      </c>
      <c r="AH68" s="67">
        <f t="shared" si="27"/>
        <v>0</v>
      </c>
      <c r="AI68" s="67">
        <f t="shared" si="28"/>
        <v>0</v>
      </c>
      <c r="AJ68" s="67">
        <f t="shared" si="28"/>
        <v>0</v>
      </c>
      <c r="AK68" s="67">
        <f t="shared" si="28"/>
        <v>0</v>
      </c>
      <c r="AL68" s="67">
        <f t="shared" si="28"/>
        <v>0</v>
      </c>
      <c r="AM68" s="67">
        <f t="shared" si="28"/>
        <v>0</v>
      </c>
      <c r="AN68" s="67">
        <f t="shared" si="28"/>
        <v>0</v>
      </c>
      <c r="AO68" s="67">
        <f t="shared" si="28"/>
        <v>0</v>
      </c>
      <c r="AP68" s="67">
        <f t="shared" si="28"/>
        <v>0</v>
      </c>
      <c r="AQ68" s="67">
        <f t="shared" si="28"/>
        <v>0</v>
      </c>
      <c r="AR68" s="67">
        <f t="shared" si="28"/>
        <v>0</v>
      </c>
      <c r="AS68" s="67">
        <f t="shared" si="29"/>
        <v>0</v>
      </c>
      <c r="AT68" s="67">
        <f t="shared" si="29"/>
        <v>0</v>
      </c>
      <c r="AU68" s="67">
        <f t="shared" si="29"/>
        <v>0</v>
      </c>
      <c r="AV68" s="67">
        <f t="shared" si="29"/>
        <v>0</v>
      </c>
      <c r="AW68" s="67">
        <f t="shared" si="29"/>
        <v>0</v>
      </c>
      <c r="AX68" s="67">
        <f t="shared" si="29"/>
        <v>0</v>
      </c>
      <c r="AY68" s="67">
        <f t="shared" si="29"/>
        <v>0</v>
      </c>
      <c r="AZ68" s="67">
        <f t="shared" si="29"/>
        <v>0</v>
      </c>
      <c r="BA68" s="67">
        <f t="shared" si="29"/>
        <v>0</v>
      </c>
      <c r="BB68" s="67">
        <f t="shared" si="29"/>
        <v>0</v>
      </c>
      <c r="BC68" s="67">
        <f t="shared" si="30"/>
        <v>0</v>
      </c>
      <c r="BD68" s="67">
        <f t="shared" si="30"/>
        <v>0</v>
      </c>
      <c r="BE68" s="67">
        <f t="shared" si="30"/>
        <v>0</v>
      </c>
      <c r="BF68" s="67">
        <f t="shared" si="30"/>
        <v>0</v>
      </c>
      <c r="BG68" s="67">
        <f t="shared" si="30"/>
        <v>0</v>
      </c>
      <c r="BH68" s="67">
        <f t="shared" si="30"/>
        <v>0</v>
      </c>
      <c r="BI68" s="67">
        <f t="shared" si="30"/>
        <v>0</v>
      </c>
      <c r="BJ68" s="67">
        <f t="shared" si="30"/>
        <v>0</v>
      </c>
      <c r="BK68" s="67"/>
      <c r="BL68" s="67">
        <f t="shared" si="1"/>
        <v>0</v>
      </c>
      <c r="BM68" s="468">
        <f t="shared" si="17"/>
        <v>0</v>
      </c>
      <c r="BN68" s="67">
        <f t="shared" si="3"/>
        <v>0</v>
      </c>
      <c r="BO68" s="67">
        <f t="shared" si="18"/>
        <v>0</v>
      </c>
      <c r="BP68" s="67">
        <f t="shared" si="5"/>
        <v>0</v>
      </c>
      <c r="BQ68" s="67">
        <f t="shared" si="19"/>
        <v>0</v>
      </c>
      <c r="BR68" s="67"/>
      <c r="BS68" s="67"/>
      <c r="BT68" s="67"/>
      <c r="BU68" s="67"/>
      <c r="BV68" s="67"/>
      <c r="BW68" s="67"/>
      <c r="BX68" s="52"/>
      <c r="BY68" s="67"/>
      <c r="BZ68" s="67"/>
      <c r="CA68" s="67"/>
      <c r="CB68" s="67"/>
      <c r="CC68" s="67"/>
      <c r="CD68" s="67"/>
      <c r="CE68" s="67"/>
      <c r="CF68" s="67"/>
      <c r="CG68" s="67"/>
      <c r="CH68" s="67"/>
      <c r="CI68" s="67"/>
      <c r="CJ68" s="67"/>
      <c r="CK68" s="67"/>
      <c r="CL68" s="67"/>
      <c r="CM68" s="67"/>
      <c r="CN68" s="67"/>
      <c r="CO68" s="67"/>
      <c r="CP68" s="67"/>
      <c r="CQ68" s="67"/>
      <c r="CR68" s="67"/>
      <c r="CS68" s="67"/>
      <c r="CT68" s="67"/>
      <c r="CU68" s="67"/>
      <c r="CV68" s="67"/>
      <c r="CW68" s="67"/>
      <c r="CX68" s="67"/>
      <c r="CY68" s="67"/>
      <c r="CZ68" s="67"/>
      <c r="DA68" s="67"/>
      <c r="DB68" s="67"/>
      <c r="DC68" s="67"/>
      <c r="DD68" s="67"/>
      <c r="DE68" s="67"/>
      <c r="DF68" s="67"/>
      <c r="DG68" s="67"/>
      <c r="DH68" s="67"/>
      <c r="DI68" s="67"/>
      <c r="DJ68" s="67"/>
      <c r="DK68" s="67"/>
      <c r="DL68" s="67"/>
      <c r="DM68" s="67"/>
      <c r="DN68" s="67"/>
      <c r="DO68" s="67"/>
      <c r="DP68" s="67"/>
      <c r="DQ68" s="67"/>
      <c r="DR68" s="67"/>
      <c r="DS68" s="67"/>
      <c r="DT68" s="67"/>
      <c r="DU68" s="67"/>
      <c r="DV68" s="67"/>
      <c r="DW68" s="67"/>
      <c r="DX68" s="67"/>
      <c r="DY68" s="67"/>
      <c r="DZ68" s="67"/>
      <c r="EA68" s="67"/>
      <c r="EB68" s="52"/>
      <c r="EC68" s="67"/>
      <c r="ED68" s="67"/>
      <c r="EE68" s="67"/>
      <c r="EF68" s="67"/>
      <c r="EG68" s="67"/>
      <c r="EH68" s="67"/>
      <c r="EI68" s="67"/>
      <c r="EJ68" s="67"/>
      <c r="EK68" s="67"/>
      <c r="EL68" s="67"/>
      <c r="EM68" s="67"/>
      <c r="EN68" s="67"/>
      <c r="EO68" s="67"/>
      <c r="EP68" s="67"/>
      <c r="EQ68" s="67"/>
      <c r="ER68" s="67"/>
      <c r="ES68" s="67"/>
      <c r="ET68" s="67"/>
      <c r="EU68" s="67"/>
      <c r="EV68" s="67"/>
      <c r="EW68" s="67"/>
      <c r="EX68" s="67"/>
      <c r="EY68" s="67"/>
      <c r="EZ68" s="67"/>
      <c r="FA68" s="67"/>
      <c r="FB68" s="67"/>
      <c r="FC68" s="67"/>
      <c r="FD68" s="67"/>
      <c r="FE68" s="67"/>
      <c r="FF68" s="67"/>
      <c r="FG68" s="67"/>
      <c r="FH68" s="67"/>
      <c r="FI68" s="67"/>
      <c r="FJ68" s="67"/>
      <c r="FK68" s="67"/>
      <c r="FL68" s="67"/>
      <c r="FM68" s="67"/>
      <c r="FN68" s="67"/>
      <c r="FO68" s="67"/>
      <c r="FP68" s="67"/>
      <c r="FQ68" s="67"/>
      <c r="FR68" s="67"/>
      <c r="FS68" s="67"/>
      <c r="FT68" s="68"/>
      <c r="FU68" s="68"/>
      <c r="FV68" s="68"/>
      <c r="FW68" s="68"/>
      <c r="FX68" s="68"/>
      <c r="FY68" s="68"/>
      <c r="FZ68" s="68"/>
      <c r="GA68" s="68"/>
      <c r="GB68" s="51"/>
      <c r="GC68" s="68"/>
      <c r="GD68" s="68"/>
      <c r="GE68" s="68"/>
      <c r="GF68" s="68"/>
      <c r="GG68" s="68"/>
      <c r="GH68" s="68"/>
      <c r="GI68" s="68"/>
      <c r="GJ68" s="68"/>
      <c r="GK68" s="68"/>
      <c r="GL68" s="68"/>
      <c r="GM68" s="68"/>
      <c r="GN68" s="68"/>
      <c r="GO68" s="68"/>
      <c r="GP68" s="68"/>
      <c r="GQ68" s="68"/>
      <c r="GR68" s="68"/>
      <c r="GS68" s="68"/>
      <c r="GT68" s="68"/>
      <c r="GU68" s="68"/>
      <c r="GV68" s="68"/>
      <c r="GW68" s="68"/>
      <c r="GX68" s="68"/>
      <c r="GY68" s="68"/>
      <c r="GZ68" s="68"/>
      <c r="HA68" s="68"/>
      <c r="HB68" s="68"/>
      <c r="HC68" s="68"/>
      <c r="HD68" s="68"/>
      <c r="HE68" s="68"/>
      <c r="HF68" s="68"/>
      <c r="HG68" s="68"/>
      <c r="HH68" s="68"/>
      <c r="HI68" s="68"/>
      <c r="HJ68" s="68"/>
      <c r="HK68" s="68"/>
      <c r="HL68" s="68"/>
      <c r="HM68" s="68"/>
      <c r="HN68" s="68"/>
      <c r="HO68" s="68"/>
      <c r="HP68" s="68"/>
      <c r="HQ68" s="68"/>
      <c r="HR68" s="68"/>
      <c r="HS68" s="68"/>
      <c r="HT68" s="68"/>
      <c r="HU68" s="68"/>
      <c r="HV68" s="68"/>
      <c r="HW68" s="68"/>
      <c r="HX68" s="68"/>
      <c r="HY68" s="68"/>
      <c r="HZ68" s="68"/>
    </row>
    <row r="69" spans="1:234" s="487" customFormat="1" outlineLevel="2">
      <c r="A69" s="483" t="s">
        <v>475</v>
      </c>
      <c r="B69" s="484"/>
      <c r="C69" s="484"/>
      <c r="D69" s="484"/>
      <c r="E69" s="509"/>
      <c r="F69" s="484"/>
      <c r="G69" s="484"/>
      <c r="H69" s="66" t="s">
        <v>56</v>
      </c>
      <c r="I69" s="336"/>
      <c r="J69" s="336"/>
      <c r="K69" s="336"/>
      <c r="L69" s="336"/>
      <c r="M69" s="336"/>
      <c r="N69" s="371">
        <f t="shared" si="9"/>
        <v>0</v>
      </c>
      <c r="O69" s="342">
        <f t="shared" si="26"/>
        <v>0</v>
      </c>
      <c r="P69" s="336">
        <f t="shared" si="26"/>
        <v>0</v>
      </c>
      <c r="Q69" s="336">
        <f t="shared" si="26"/>
        <v>0</v>
      </c>
      <c r="R69" s="336">
        <f t="shared" si="26"/>
        <v>0</v>
      </c>
      <c r="S69" s="336">
        <f t="shared" si="26"/>
        <v>0</v>
      </c>
      <c r="T69" s="336">
        <f t="shared" si="26"/>
        <v>0</v>
      </c>
      <c r="U69" s="336">
        <f t="shared" si="26"/>
        <v>0</v>
      </c>
      <c r="V69" s="336">
        <f t="shared" si="26"/>
        <v>0</v>
      </c>
      <c r="W69" s="336">
        <f t="shared" si="26"/>
        <v>0</v>
      </c>
      <c r="X69" s="336">
        <f t="shared" si="26"/>
        <v>0</v>
      </c>
      <c r="Y69" s="336">
        <f t="shared" si="27"/>
        <v>0</v>
      </c>
      <c r="Z69" s="336">
        <f t="shared" si="27"/>
        <v>0</v>
      </c>
      <c r="AA69" s="336">
        <f t="shared" si="27"/>
        <v>0</v>
      </c>
      <c r="AB69" s="336">
        <f t="shared" si="27"/>
        <v>0</v>
      </c>
      <c r="AC69" s="336">
        <f t="shared" si="27"/>
        <v>0</v>
      </c>
      <c r="AD69" s="336">
        <f t="shared" si="27"/>
        <v>0</v>
      </c>
      <c r="AE69" s="336">
        <f t="shared" si="27"/>
        <v>0</v>
      </c>
      <c r="AF69" s="336">
        <f t="shared" si="27"/>
        <v>0</v>
      </c>
      <c r="AG69" s="336">
        <f t="shared" si="27"/>
        <v>0</v>
      </c>
      <c r="AH69" s="336">
        <f t="shared" si="27"/>
        <v>0</v>
      </c>
      <c r="AI69" s="336">
        <f t="shared" si="28"/>
        <v>0</v>
      </c>
      <c r="AJ69" s="336">
        <f t="shared" si="28"/>
        <v>0</v>
      </c>
      <c r="AK69" s="336">
        <f t="shared" si="28"/>
        <v>0</v>
      </c>
      <c r="AL69" s="336">
        <f t="shared" si="28"/>
        <v>0</v>
      </c>
      <c r="AM69" s="336">
        <f t="shared" si="28"/>
        <v>0</v>
      </c>
      <c r="AN69" s="336">
        <f t="shared" si="28"/>
        <v>0</v>
      </c>
      <c r="AO69" s="336">
        <f t="shared" si="28"/>
        <v>0</v>
      </c>
      <c r="AP69" s="336">
        <f t="shared" si="28"/>
        <v>0</v>
      </c>
      <c r="AQ69" s="336">
        <f t="shared" si="28"/>
        <v>0</v>
      </c>
      <c r="AR69" s="336">
        <f t="shared" si="28"/>
        <v>0</v>
      </c>
      <c r="AS69" s="336">
        <f t="shared" si="29"/>
        <v>0</v>
      </c>
      <c r="AT69" s="336">
        <f t="shared" si="29"/>
        <v>0</v>
      </c>
      <c r="AU69" s="336">
        <f t="shared" si="29"/>
        <v>0</v>
      </c>
      <c r="AV69" s="336">
        <f t="shared" si="29"/>
        <v>0</v>
      </c>
      <c r="AW69" s="336">
        <f t="shared" si="29"/>
        <v>0</v>
      </c>
      <c r="AX69" s="336">
        <f t="shared" si="29"/>
        <v>0</v>
      </c>
      <c r="AY69" s="336">
        <f t="shared" si="29"/>
        <v>0</v>
      </c>
      <c r="AZ69" s="336">
        <f t="shared" si="29"/>
        <v>0</v>
      </c>
      <c r="BA69" s="336">
        <f t="shared" si="29"/>
        <v>0</v>
      </c>
      <c r="BB69" s="336">
        <f t="shared" si="29"/>
        <v>0</v>
      </c>
      <c r="BC69" s="336">
        <f t="shared" si="30"/>
        <v>0</v>
      </c>
      <c r="BD69" s="336">
        <f t="shared" si="30"/>
        <v>0</v>
      </c>
      <c r="BE69" s="336">
        <f t="shared" si="30"/>
        <v>0</v>
      </c>
      <c r="BF69" s="336">
        <f t="shared" si="30"/>
        <v>0</v>
      </c>
      <c r="BG69" s="336">
        <f t="shared" si="30"/>
        <v>0</v>
      </c>
      <c r="BH69" s="336">
        <f t="shared" si="30"/>
        <v>0</v>
      </c>
      <c r="BI69" s="336">
        <f t="shared" si="30"/>
        <v>0</v>
      </c>
      <c r="BJ69" s="336">
        <f t="shared" si="30"/>
        <v>0</v>
      </c>
      <c r="BK69" s="336"/>
      <c r="BL69" s="336">
        <f t="shared" si="1"/>
        <v>0</v>
      </c>
      <c r="BM69" s="485">
        <f t="shared" si="17"/>
        <v>0</v>
      </c>
      <c r="BN69" s="336">
        <f t="shared" si="3"/>
        <v>0</v>
      </c>
      <c r="BO69" s="336">
        <f t="shared" si="18"/>
        <v>0</v>
      </c>
      <c r="BP69" s="336">
        <f t="shared" si="5"/>
        <v>0</v>
      </c>
      <c r="BQ69" s="336">
        <f t="shared" si="19"/>
        <v>0</v>
      </c>
      <c r="BR69" s="336"/>
      <c r="BS69" s="336"/>
      <c r="BT69" s="336"/>
      <c r="BU69" s="336"/>
      <c r="BV69" s="336"/>
      <c r="BW69" s="336"/>
      <c r="BX69" s="342"/>
      <c r="BY69" s="336"/>
      <c r="BZ69" s="336"/>
      <c r="CA69" s="336"/>
      <c r="CB69" s="336"/>
      <c r="CC69" s="336"/>
      <c r="CD69" s="336"/>
      <c r="CE69" s="336"/>
      <c r="CF69" s="336"/>
      <c r="CG69" s="336"/>
      <c r="CH69" s="336"/>
      <c r="CI69" s="336"/>
      <c r="CJ69" s="336"/>
      <c r="CK69" s="336"/>
      <c r="CL69" s="336"/>
      <c r="CM69" s="336"/>
      <c r="CN69" s="336"/>
      <c r="CO69" s="336"/>
      <c r="CP69" s="336"/>
      <c r="CQ69" s="336"/>
      <c r="CR69" s="336"/>
      <c r="CS69" s="336"/>
      <c r="CT69" s="336"/>
      <c r="CU69" s="336"/>
      <c r="CV69" s="336"/>
      <c r="CW69" s="336"/>
      <c r="CX69" s="336"/>
      <c r="CY69" s="336"/>
      <c r="CZ69" s="336"/>
      <c r="DA69" s="336"/>
      <c r="DB69" s="336"/>
      <c r="DC69" s="336"/>
      <c r="DD69" s="336"/>
      <c r="DE69" s="336"/>
      <c r="DF69" s="336"/>
      <c r="DG69" s="336"/>
      <c r="DH69" s="336"/>
      <c r="DI69" s="336"/>
      <c r="DJ69" s="336"/>
      <c r="DK69" s="336"/>
      <c r="DL69" s="336"/>
      <c r="DM69" s="336"/>
      <c r="DN69" s="336"/>
      <c r="DO69" s="336"/>
      <c r="DP69" s="336"/>
      <c r="DQ69" s="336"/>
      <c r="DR69" s="336"/>
      <c r="DS69" s="336"/>
      <c r="DT69" s="336"/>
      <c r="DU69" s="336"/>
      <c r="DV69" s="336"/>
      <c r="DW69" s="336"/>
      <c r="DX69" s="336"/>
      <c r="DY69" s="336"/>
      <c r="DZ69" s="336"/>
      <c r="EA69" s="336"/>
      <c r="EB69" s="342"/>
      <c r="EC69" s="336"/>
      <c r="ED69" s="336"/>
      <c r="EE69" s="336"/>
      <c r="EF69" s="336"/>
      <c r="EG69" s="336"/>
      <c r="EH69" s="336"/>
      <c r="EI69" s="336"/>
      <c r="EJ69" s="336"/>
      <c r="EK69" s="336"/>
      <c r="EL69" s="336"/>
      <c r="EM69" s="336"/>
      <c r="EN69" s="336"/>
      <c r="EO69" s="336"/>
      <c r="EP69" s="336"/>
      <c r="EQ69" s="336"/>
      <c r="ER69" s="336"/>
      <c r="ES69" s="336"/>
      <c r="ET69" s="336"/>
      <c r="EU69" s="336"/>
      <c r="EV69" s="336"/>
      <c r="EW69" s="336"/>
      <c r="EX69" s="336"/>
      <c r="EY69" s="336"/>
      <c r="EZ69" s="336"/>
      <c r="FA69" s="336"/>
      <c r="FB69" s="336"/>
      <c r="FC69" s="336"/>
      <c r="FD69" s="336"/>
      <c r="FE69" s="336"/>
      <c r="FF69" s="336"/>
      <c r="FG69" s="336"/>
      <c r="FH69" s="336"/>
      <c r="FI69" s="336"/>
      <c r="FJ69" s="336"/>
      <c r="FK69" s="336"/>
      <c r="FL69" s="336"/>
      <c r="FM69" s="336"/>
      <c r="FN69" s="336"/>
      <c r="FO69" s="336"/>
      <c r="FP69" s="336"/>
      <c r="FQ69" s="336"/>
      <c r="FR69" s="336"/>
      <c r="FS69" s="336"/>
      <c r="FT69" s="486"/>
      <c r="FU69" s="486"/>
      <c r="FV69" s="486"/>
      <c r="FW69" s="486"/>
      <c r="FX69" s="486"/>
      <c r="FY69" s="486"/>
      <c r="FZ69" s="486"/>
      <c r="GA69" s="486"/>
      <c r="GB69" s="335"/>
      <c r="GC69" s="486"/>
      <c r="GD69" s="486"/>
      <c r="GE69" s="486"/>
      <c r="GF69" s="486"/>
      <c r="GG69" s="486"/>
      <c r="GH69" s="486"/>
      <c r="GI69" s="486"/>
      <c r="GJ69" s="486"/>
      <c r="GK69" s="486"/>
      <c r="GL69" s="486"/>
      <c r="GM69" s="486"/>
      <c r="GN69" s="486"/>
      <c r="GO69" s="486"/>
      <c r="GP69" s="486"/>
      <c r="GQ69" s="486"/>
      <c r="GR69" s="486"/>
      <c r="GS69" s="486"/>
      <c r="GT69" s="486"/>
      <c r="GU69" s="486"/>
      <c r="GV69" s="486"/>
      <c r="GW69" s="486"/>
      <c r="GX69" s="486"/>
      <c r="GY69" s="486"/>
      <c r="GZ69" s="486"/>
      <c r="HA69" s="486"/>
      <c r="HB69" s="486"/>
      <c r="HC69" s="486"/>
      <c r="HD69" s="486"/>
      <c r="HE69" s="486"/>
      <c r="HF69" s="486"/>
      <c r="HG69" s="486"/>
      <c r="HH69" s="486"/>
      <c r="HI69" s="486"/>
      <c r="HJ69" s="486"/>
      <c r="HK69" s="486"/>
      <c r="HL69" s="486"/>
      <c r="HM69" s="486"/>
      <c r="HN69" s="486"/>
      <c r="HO69" s="486"/>
      <c r="HP69" s="486"/>
      <c r="HQ69" s="486"/>
      <c r="HR69" s="486"/>
      <c r="HS69" s="486"/>
      <c r="HT69" s="486"/>
      <c r="HU69" s="486"/>
      <c r="HV69" s="486"/>
      <c r="HW69" s="486"/>
      <c r="HX69" s="486"/>
      <c r="HY69" s="486"/>
      <c r="HZ69" s="486"/>
    </row>
    <row r="70" spans="1:234" s="487" customFormat="1" outlineLevel="2">
      <c r="A70" s="483" t="s">
        <v>472</v>
      </c>
      <c r="B70" s="484"/>
      <c r="C70" s="484"/>
      <c r="D70" s="484"/>
      <c r="E70" s="509"/>
      <c r="F70" s="484"/>
      <c r="G70" s="484"/>
      <c r="H70" s="66" t="s">
        <v>56</v>
      </c>
      <c r="I70" s="336"/>
      <c r="J70" s="336"/>
      <c r="K70" s="336"/>
      <c r="L70" s="336"/>
      <c r="M70" s="336"/>
      <c r="N70" s="371">
        <f t="shared" si="9"/>
        <v>1</v>
      </c>
      <c r="O70" s="342">
        <f t="shared" si="26"/>
        <v>0</v>
      </c>
      <c r="P70" s="336">
        <f t="shared" si="26"/>
        <v>0</v>
      </c>
      <c r="Q70" s="336">
        <f t="shared" si="26"/>
        <v>0</v>
      </c>
      <c r="R70" s="336">
        <f t="shared" si="26"/>
        <v>0</v>
      </c>
      <c r="S70" s="336">
        <f t="shared" si="26"/>
        <v>0</v>
      </c>
      <c r="T70" s="336">
        <f t="shared" si="26"/>
        <v>0</v>
      </c>
      <c r="U70" s="336">
        <f t="shared" si="26"/>
        <v>0</v>
      </c>
      <c r="V70" s="336">
        <f t="shared" si="26"/>
        <v>0</v>
      </c>
      <c r="W70" s="336">
        <f t="shared" si="26"/>
        <v>0</v>
      </c>
      <c r="X70" s="336">
        <f t="shared" si="26"/>
        <v>210936</v>
      </c>
      <c r="Y70" s="336">
        <f t="shared" si="27"/>
        <v>210936</v>
      </c>
      <c r="Z70" s="336">
        <f t="shared" si="27"/>
        <v>0</v>
      </c>
      <c r="AA70" s="336">
        <f t="shared" si="27"/>
        <v>0</v>
      </c>
      <c r="AB70" s="336">
        <f t="shared" si="27"/>
        <v>306064</v>
      </c>
      <c r="AC70" s="336">
        <f t="shared" si="27"/>
        <v>306064</v>
      </c>
      <c r="AD70" s="336">
        <f t="shared" si="27"/>
        <v>0</v>
      </c>
      <c r="AE70" s="336">
        <f t="shared" si="27"/>
        <v>0</v>
      </c>
      <c r="AF70" s="336">
        <f t="shared" si="27"/>
        <v>82720</v>
      </c>
      <c r="AG70" s="336">
        <f t="shared" si="27"/>
        <v>82720</v>
      </c>
      <c r="AH70" s="336">
        <f t="shared" si="27"/>
        <v>0</v>
      </c>
      <c r="AI70" s="336">
        <f t="shared" si="28"/>
        <v>0</v>
      </c>
      <c r="AJ70" s="336">
        <f t="shared" si="28"/>
        <v>103400</v>
      </c>
      <c r="AK70" s="336">
        <f t="shared" si="28"/>
        <v>0</v>
      </c>
      <c r="AL70" s="336">
        <f t="shared" si="28"/>
        <v>0</v>
      </c>
      <c r="AM70" s="336">
        <f t="shared" si="28"/>
        <v>0</v>
      </c>
      <c r="AN70" s="336">
        <f t="shared" si="28"/>
        <v>206800</v>
      </c>
      <c r="AO70" s="336">
        <f t="shared" si="28"/>
        <v>0</v>
      </c>
      <c r="AP70" s="336">
        <f t="shared" si="28"/>
        <v>0</v>
      </c>
      <c r="AQ70" s="336">
        <f t="shared" si="28"/>
        <v>0</v>
      </c>
      <c r="AR70" s="336">
        <f t="shared" si="28"/>
        <v>0</v>
      </c>
      <c r="AS70" s="336">
        <f t="shared" si="29"/>
        <v>0</v>
      </c>
      <c r="AT70" s="336">
        <f t="shared" si="29"/>
        <v>0</v>
      </c>
      <c r="AU70" s="336">
        <f t="shared" si="29"/>
        <v>0</v>
      </c>
      <c r="AV70" s="336">
        <f t="shared" si="29"/>
        <v>0</v>
      </c>
      <c r="AW70" s="336">
        <f t="shared" si="29"/>
        <v>0</v>
      </c>
      <c r="AX70" s="336">
        <f t="shared" si="29"/>
        <v>0</v>
      </c>
      <c r="AY70" s="336">
        <f t="shared" si="29"/>
        <v>0</v>
      </c>
      <c r="AZ70" s="336">
        <f t="shared" si="29"/>
        <v>0</v>
      </c>
      <c r="BA70" s="336">
        <f t="shared" si="29"/>
        <v>0</v>
      </c>
      <c r="BB70" s="336">
        <f t="shared" si="29"/>
        <v>0</v>
      </c>
      <c r="BC70" s="336">
        <f t="shared" si="30"/>
        <v>0</v>
      </c>
      <c r="BD70" s="336">
        <f t="shared" si="30"/>
        <v>0</v>
      </c>
      <c r="BE70" s="336">
        <f t="shared" si="30"/>
        <v>0</v>
      </c>
      <c r="BF70" s="336">
        <f t="shared" si="30"/>
        <v>0</v>
      </c>
      <c r="BG70" s="336">
        <f t="shared" si="30"/>
        <v>0</v>
      </c>
      <c r="BH70" s="336">
        <f t="shared" si="30"/>
        <v>0</v>
      </c>
      <c r="BI70" s="336">
        <f t="shared" si="30"/>
        <v>0</v>
      </c>
      <c r="BJ70" s="336">
        <f t="shared" si="30"/>
        <v>0</v>
      </c>
      <c r="BK70" s="336"/>
      <c r="BL70" s="336">
        <f t="shared" si="1"/>
        <v>0</v>
      </c>
      <c r="BM70" s="485">
        <f t="shared" ref="BM70:BM79" si="31">SUMPRODUCT(--(MOD(COLUMN($O70:$AL70),4)=MOD(COLUMN($O70)+0,4)),$O70:$AL70)*$I70
+SUMPRODUCT(--(MOD(COLUMN($AM70:$BJ70),4)=MOD(COLUMN($AM70)+0,4)),$AM70:$BJ70)*$I70</f>
        <v>0</v>
      </c>
      <c r="BN70" s="336">
        <f t="shared" si="3"/>
        <v>909920</v>
      </c>
      <c r="BO70" s="336">
        <f t="shared" ref="BO70:BO79" si="32">SUMPRODUCT(--(MOD(COLUMN($O70:$AL70),4)=MOD(COLUMN($O70)+1,4)),$O70:$AL70)*$I70
+SUMPRODUCT(--(MOD(COLUMN($AM70:$BJ70),4)=MOD(COLUMN($AM70)+1,4)),$AM70:$BJ70)*$I70</f>
        <v>0</v>
      </c>
      <c r="BP70" s="336">
        <f t="shared" si="5"/>
        <v>599720</v>
      </c>
      <c r="BQ70" s="336">
        <f t="shared" ref="BQ70:BQ79" si="33">SUMPRODUCT(--(MOD(COLUMN($O70:$AL70),4)=MOD(COLUMN($O70)+2,4)),$O70:$AL70)*$I70
+SUMPRODUCT(--(MOD(COLUMN($AM70:$BJ70),4)=MOD(COLUMN($AM70)+2,4)),$AM70:$BJ70)*$I70</f>
        <v>0</v>
      </c>
      <c r="BR70" s="336"/>
      <c r="BS70" s="336"/>
      <c r="BT70" s="336"/>
      <c r="BU70" s="336"/>
      <c r="BV70" s="336"/>
      <c r="BW70" s="336"/>
      <c r="BX70" s="342"/>
      <c r="BY70" s="336"/>
      <c r="BZ70" s="336"/>
      <c r="CA70" s="336"/>
      <c r="CB70" s="336"/>
      <c r="CC70" s="336"/>
      <c r="CD70" s="336"/>
      <c r="CE70" s="336"/>
      <c r="CF70" s="336"/>
      <c r="CG70" s="336"/>
      <c r="CH70" s="336"/>
      <c r="CI70" s="336"/>
      <c r="CJ70" s="336"/>
      <c r="CK70" s="336"/>
      <c r="CL70" s="336"/>
      <c r="CM70" s="336"/>
      <c r="CN70" s="336"/>
      <c r="CO70" s="336"/>
      <c r="CP70" s="336"/>
      <c r="CQ70" s="336"/>
      <c r="CR70" s="336"/>
      <c r="CS70" s="336"/>
      <c r="CT70" s="336"/>
      <c r="CU70" s="336"/>
      <c r="CV70" s="336"/>
      <c r="CW70" s="336"/>
      <c r="CX70" s="336"/>
      <c r="CY70" s="336"/>
      <c r="CZ70" s="336"/>
      <c r="DA70" s="336"/>
      <c r="DB70" s="336"/>
      <c r="DC70" s="336"/>
      <c r="DD70" s="336"/>
      <c r="DE70" s="336"/>
      <c r="DF70" s="336"/>
      <c r="DG70" s="336"/>
      <c r="DH70" s="336"/>
      <c r="DI70" s="336"/>
      <c r="DJ70" s="336"/>
      <c r="DK70" s="336"/>
      <c r="DL70" s="336"/>
      <c r="DM70" s="336"/>
      <c r="DN70" s="336"/>
      <c r="DO70" s="336"/>
      <c r="DP70" s="336"/>
      <c r="DQ70" s="336"/>
      <c r="DR70" s="336"/>
      <c r="DS70" s="336"/>
      <c r="DT70" s="336"/>
      <c r="DU70" s="336"/>
      <c r="DV70" s="336"/>
      <c r="DW70" s="336"/>
      <c r="DX70" s="336"/>
      <c r="DY70" s="336"/>
      <c r="DZ70" s="336"/>
      <c r="EA70" s="336"/>
      <c r="EB70" s="342"/>
      <c r="EC70" s="336"/>
      <c r="ED70" s="336"/>
      <c r="EE70" s="336"/>
      <c r="EF70" s="336"/>
      <c r="EG70" s="336"/>
      <c r="EH70" s="336"/>
      <c r="EI70" s="336"/>
      <c r="EJ70" s="336"/>
      <c r="EK70" s="336"/>
      <c r="EL70" s="336"/>
      <c r="EM70" s="336"/>
      <c r="EN70" s="336"/>
      <c r="EO70" s="336"/>
      <c r="EP70" s="336"/>
      <c r="EQ70" s="336"/>
      <c r="ER70" s="336"/>
      <c r="ES70" s="336"/>
      <c r="ET70" s="336"/>
      <c r="EU70" s="336"/>
      <c r="EV70" s="336"/>
      <c r="EW70" s="336"/>
      <c r="EX70" s="336"/>
      <c r="EY70" s="336"/>
      <c r="EZ70" s="336"/>
      <c r="FA70" s="336"/>
      <c r="FB70" s="336"/>
      <c r="FC70" s="336"/>
      <c r="FD70" s="336"/>
      <c r="FE70" s="336"/>
      <c r="FF70" s="336"/>
      <c r="FG70" s="336"/>
      <c r="FH70" s="336"/>
      <c r="FI70" s="336"/>
      <c r="FJ70" s="336"/>
      <c r="FK70" s="336"/>
      <c r="FL70" s="336"/>
      <c r="FM70" s="336"/>
      <c r="FN70" s="336"/>
      <c r="FO70" s="336"/>
      <c r="FP70" s="336"/>
      <c r="FQ70" s="336"/>
      <c r="FR70" s="336"/>
      <c r="FS70" s="336"/>
      <c r="FT70" s="486"/>
      <c r="FU70" s="486"/>
      <c r="FV70" s="486"/>
      <c r="FW70" s="486"/>
      <c r="FX70" s="486"/>
      <c r="FY70" s="486"/>
      <c r="FZ70" s="486"/>
      <c r="GA70" s="486"/>
      <c r="GB70" s="335"/>
      <c r="GC70" s="486"/>
      <c r="GD70" s="486"/>
      <c r="GE70" s="486"/>
      <c r="GF70" s="486"/>
      <c r="GG70" s="486"/>
      <c r="GH70" s="486"/>
      <c r="GI70" s="486"/>
      <c r="GJ70" s="486"/>
      <c r="GK70" s="486"/>
      <c r="GL70" s="486"/>
      <c r="GM70" s="486"/>
      <c r="GN70" s="486"/>
      <c r="GO70" s="486"/>
      <c r="GP70" s="486"/>
      <c r="GQ70" s="486"/>
      <c r="GR70" s="486"/>
      <c r="GS70" s="486"/>
      <c r="GT70" s="486"/>
      <c r="GU70" s="486"/>
      <c r="GV70" s="486"/>
      <c r="GW70" s="486"/>
      <c r="GX70" s="486"/>
      <c r="GY70" s="486"/>
      <c r="GZ70" s="486"/>
      <c r="HA70" s="486"/>
      <c r="HB70" s="486"/>
      <c r="HC70" s="486"/>
      <c r="HD70" s="486"/>
      <c r="HE70" s="486"/>
      <c r="HF70" s="486"/>
      <c r="HG70" s="486"/>
      <c r="HH70" s="486"/>
      <c r="HI70" s="486"/>
      <c r="HJ70" s="486"/>
      <c r="HK70" s="486"/>
      <c r="HL70" s="486"/>
      <c r="HM70" s="486"/>
      <c r="HN70" s="486"/>
      <c r="HO70" s="486"/>
      <c r="HP70" s="486"/>
      <c r="HQ70" s="486"/>
      <c r="HR70" s="486"/>
      <c r="HS70" s="486"/>
      <c r="HT70" s="486"/>
      <c r="HU70" s="486"/>
      <c r="HV70" s="486"/>
      <c r="HW70" s="486"/>
      <c r="HX70" s="486"/>
      <c r="HY70" s="486"/>
      <c r="HZ70" s="486"/>
    </row>
    <row r="71" spans="1:234" s="63" customFormat="1" outlineLevel="2">
      <c r="A71" s="64" t="s">
        <v>473</v>
      </c>
      <c r="B71" s="65"/>
      <c r="C71" s="65"/>
      <c r="D71" s="65"/>
      <c r="E71" s="508"/>
      <c r="F71" s="65"/>
      <c r="G71" s="65"/>
      <c r="H71" s="66" t="s">
        <v>56</v>
      </c>
      <c r="I71" s="67"/>
      <c r="J71" s="67"/>
      <c r="K71" s="67"/>
      <c r="L71" s="67"/>
      <c r="M71" s="67"/>
      <c r="N71" s="371">
        <f t="shared" si="9"/>
        <v>1</v>
      </c>
      <c r="O71" s="52">
        <f t="shared" si="26"/>
        <v>55404</v>
      </c>
      <c r="P71" s="67">
        <f t="shared" si="26"/>
        <v>0</v>
      </c>
      <c r="Q71" s="67">
        <f t="shared" si="26"/>
        <v>0</v>
      </c>
      <c r="R71" s="67">
        <f t="shared" si="26"/>
        <v>0</v>
      </c>
      <c r="S71" s="67">
        <f t="shared" si="26"/>
        <v>55404</v>
      </c>
      <c r="T71" s="67">
        <f t="shared" si="26"/>
        <v>0</v>
      </c>
      <c r="U71" s="67">
        <f t="shared" si="26"/>
        <v>0</v>
      </c>
      <c r="V71" s="67">
        <f t="shared" si="26"/>
        <v>0</v>
      </c>
      <c r="W71" s="67">
        <f t="shared" si="26"/>
        <v>55404</v>
      </c>
      <c r="X71" s="67">
        <f t="shared" si="26"/>
        <v>16200</v>
      </c>
      <c r="Y71" s="67">
        <f t="shared" si="27"/>
        <v>16200</v>
      </c>
      <c r="Z71" s="67">
        <f t="shared" si="27"/>
        <v>0</v>
      </c>
      <c r="AA71" s="67">
        <f t="shared" si="27"/>
        <v>193914</v>
      </c>
      <c r="AB71" s="67">
        <f t="shared" si="27"/>
        <v>0</v>
      </c>
      <c r="AC71" s="67">
        <f t="shared" si="27"/>
        <v>0</v>
      </c>
      <c r="AD71" s="67">
        <f t="shared" si="27"/>
        <v>0</v>
      </c>
      <c r="AE71" s="67">
        <f t="shared" si="27"/>
        <v>193914</v>
      </c>
      <c r="AF71" s="67">
        <f t="shared" si="27"/>
        <v>37633</v>
      </c>
      <c r="AG71" s="67">
        <f t="shared" si="27"/>
        <v>37633</v>
      </c>
      <c r="AH71" s="67">
        <f t="shared" si="27"/>
        <v>0</v>
      </c>
      <c r="AI71" s="67">
        <f t="shared" si="28"/>
        <v>193914</v>
      </c>
      <c r="AJ71" s="67">
        <f t="shared" si="28"/>
        <v>170520</v>
      </c>
      <c r="AK71" s="67">
        <f t="shared" si="28"/>
        <v>0</v>
      </c>
      <c r="AL71" s="67">
        <f t="shared" si="28"/>
        <v>0</v>
      </c>
      <c r="AM71" s="67">
        <f t="shared" si="28"/>
        <v>387828</v>
      </c>
      <c r="AN71" s="67">
        <f t="shared" si="28"/>
        <v>48720</v>
      </c>
      <c r="AO71" s="67">
        <f t="shared" si="28"/>
        <v>0</v>
      </c>
      <c r="AP71" s="67">
        <f t="shared" si="28"/>
        <v>0</v>
      </c>
      <c r="AQ71" s="67">
        <f t="shared" si="28"/>
        <v>387828</v>
      </c>
      <c r="AR71" s="67">
        <f t="shared" si="28"/>
        <v>121800</v>
      </c>
      <c r="AS71" s="67">
        <f t="shared" si="29"/>
        <v>0</v>
      </c>
      <c r="AT71" s="67">
        <f t="shared" si="29"/>
        <v>0</v>
      </c>
      <c r="AU71" s="67">
        <f t="shared" si="29"/>
        <v>387828</v>
      </c>
      <c r="AV71" s="67">
        <f t="shared" si="29"/>
        <v>193914</v>
      </c>
      <c r="AW71" s="67">
        <f t="shared" si="29"/>
        <v>0</v>
      </c>
      <c r="AX71" s="67">
        <f t="shared" si="29"/>
        <v>0</v>
      </c>
      <c r="AY71" s="67">
        <f t="shared" si="29"/>
        <v>387828</v>
      </c>
      <c r="AZ71" s="67">
        <f t="shared" si="29"/>
        <v>387828</v>
      </c>
      <c r="BA71" s="67">
        <f t="shared" si="29"/>
        <v>0</v>
      </c>
      <c r="BB71" s="67">
        <f t="shared" si="29"/>
        <v>0</v>
      </c>
      <c r="BC71" s="67">
        <f t="shared" si="30"/>
        <v>387828</v>
      </c>
      <c r="BD71" s="67">
        <f t="shared" si="30"/>
        <v>387828</v>
      </c>
      <c r="BE71" s="67">
        <f t="shared" si="30"/>
        <v>0</v>
      </c>
      <c r="BF71" s="67">
        <f t="shared" si="30"/>
        <v>0</v>
      </c>
      <c r="BG71" s="67">
        <f t="shared" si="30"/>
        <v>387828</v>
      </c>
      <c r="BH71" s="67">
        <f t="shared" si="30"/>
        <v>387828</v>
      </c>
      <c r="BI71" s="67">
        <f t="shared" si="30"/>
        <v>0</v>
      </c>
      <c r="BJ71" s="67">
        <f t="shared" si="30"/>
        <v>0</v>
      </c>
      <c r="BK71" s="67"/>
      <c r="BL71" s="67">
        <f t="shared" si="1"/>
        <v>3074922</v>
      </c>
      <c r="BM71" s="468">
        <f t="shared" si="31"/>
        <v>0</v>
      </c>
      <c r="BN71" s="67">
        <f t="shared" si="3"/>
        <v>1752271</v>
      </c>
      <c r="BO71" s="67">
        <f t="shared" si="32"/>
        <v>0</v>
      </c>
      <c r="BP71" s="67">
        <f t="shared" si="5"/>
        <v>53833</v>
      </c>
      <c r="BQ71" s="67">
        <f t="shared" si="33"/>
        <v>0</v>
      </c>
      <c r="BR71" s="67"/>
      <c r="BS71" s="67"/>
      <c r="BT71" s="67"/>
      <c r="BU71" s="67"/>
      <c r="BV71" s="67"/>
      <c r="BW71" s="67"/>
      <c r="BX71" s="52"/>
      <c r="BY71" s="67"/>
      <c r="BZ71" s="67"/>
      <c r="CA71" s="67"/>
      <c r="CB71" s="67"/>
      <c r="CC71" s="67"/>
      <c r="CD71" s="67"/>
      <c r="CE71" s="67"/>
      <c r="CF71" s="67"/>
      <c r="CG71" s="67"/>
      <c r="CH71" s="67"/>
      <c r="CI71" s="67"/>
      <c r="CJ71" s="67"/>
      <c r="CK71" s="67"/>
      <c r="CL71" s="67"/>
      <c r="CM71" s="67"/>
      <c r="CN71" s="67"/>
      <c r="CO71" s="67"/>
      <c r="CP71" s="67"/>
      <c r="CQ71" s="67"/>
      <c r="CR71" s="67"/>
      <c r="CS71" s="67"/>
      <c r="CT71" s="67"/>
      <c r="CU71" s="67"/>
      <c r="CV71" s="67"/>
      <c r="CW71" s="67"/>
      <c r="CX71" s="67"/>
      <c r="CY71" s="67"/>
      <c r="CZ71" s="67"/>
      <c r="DA71" s="67"/>
      <c r="DB71" s="67"/>
      <c r="DC71" s="67"/>
      <c r="DD71" s="67"/>
      <c r="DE71" s="67"/>
      <c r="DF71" s="67"/>
      <c r="DG71" s="67"/>
      <c r="DH71" s="67"/>
      <c r="DI71" s="67"/>
      <c r="DJ71" s="67"/>
      <c r="DK71" s="67"/>
      <c r="DL71" s="67"/>
      <c r="DM71" s="67"/>
      <c r="DN71" s="67"/>
      <c r="DO71" s="67"/>
      <c r="DP71" s="67"/>
      <c r="DQ71" s="67"/>
      <c r="DR71" s="67"/>
      <c r="DS71" s="67"/>
      <c r="DT71" s="67"/>
      <c r="DU71" s="67"/>
      <c r="DV71" s="67"/>
      <c r="DW71" s="67"/>
      <c r="DX71" s="67"/>
      <c r="DY71" s="67"/>
      <c r="DZ71" s="67"/>
      <c r="EA71" s="67"/>
      <c r="EB71" s="52"/>
      <c r="EC71" s="67"/>
      <c r="ED71" s="67"/>
      <c r="EE71" s="67"/>
      <c r="EF71" s="67"/>
      <c r="EG71" s="67"/>
      <c r="EH71" s="67"/>
      <c r="EI71" s="67"/>
      <c r="EJ71" s="67"/>
      <c r="EK71" s="67"/>
      <c r="EL71" s="67"/>
      <c r="EM71" s="67"/>
      <c r="EN71" s="67"/>
      <c r="EO71" s="67"/>
      <c r="EP71" s="67"/>
      <c r="EQ71" s="67"/>
      <c r="ER71" s="67"/>
      <c r="ES71" s="67"/>
      <c r="ET71" s="67"/>
      <c r="EU71" s="67"/>
      <c r="EV71" s="67"/>
      <c r="EW71" s="67"/>
      <c r="EX71" s="67"/>
      <c r="EY71" s="67"/>
      <c r="EZ71" s="67"/>
      <c r="FA71" s="67"/>
      <c r="FB71" s="67"/>
      <c r="FC71" s="67"/>
      <c r="FD71" s="67"/>
      <c r="FE71" s="67"/>
      <c r="FF71" s="67"/>
      <c r="FG71" s="67"/>
      <c r="FH71" s="67"/>
      <c r="FI71" s="67"/>
      <c r="FJ71" s="67"/>
      <c r="FK71" s="67"/>
      <c r="FL71" s="67"/>
      <c r="FM71" s="67"/>
      <c r="FN71" s="67"/>
      <c r="FO71" s="67"/>
      <c r="FP71" s="67"/>
      <c r="FQ71" s="67"/>
      <c r="FR71" s="67"/>
      <c r="FS71" s="67"/>
      <c r="FT71" s="68"/>
      <c r="FU71" s="68"/>
      <c r="FV71" s="68"/>
      <c r="FW71" s="68"/>
      <c r="FX71" s="68"/>
      <c r="FY71" s="68"/>
      <c r="FZ71" s="68"/>
      <c r="GA71" s="68"/>
      <c r="GB71" s="51"/>
      <c r="GC71" s="68"/>
      <c r="GD71" s="68"/>
      <c r="GE71" s="68"/>
      <c r="GF71" s="68"/>
      <c r="GG71" s="68"/>
      <c r="GH71" s="68"/>
      <c r="GI71" s="68"/>
      <c r="GJ71" s="68"/>
      <c r="GK71" s="68"/>
      <c r="GL71" s="68"/>
      <c r="GM71" s="68"/>
      <c r="GN71" s="68"/>
      <c r="GO71" s="68"/>
      <c r="GP71" s="68"/>
      <c r="GQ71" s="68"/>
      <c r="GR71" s="68"/>
      <c r="GS71" s="68"/>
      <c r="GT71" s="68"/>
      <c r="GU71" s="68"/>
      <c r="GV71" s="68"/>
      <c r="GW71" s="68"/>
      <c r="GX71" s="68"/>
      <c r="GY71" s="68"/>
      <c r="GZ71" s="68"/>
      <c r="HA71" s="68"/>
      <c r="HB71" s="68"/>
      <c r="HC71" s="68"/>
      <c r="HD71" s="68"/>
      <c r="HE71" s="68"/>
      <c r="HF71" s="68"/>
      <c r="HG71" s="68"/>
      <c r="HH71" s="68"/>
      <c r="HI71" s="68"/>
      <c r="HJ71" s="68"/>
      <c r="HK71" s="68"/>
      <c r="HL71" s="68"/>
      <c r="HM71" s="68"/>
      <c r="HN71" s="68"/>
      <c r="HO71" s="68"/>
      <c r="HP71" s="68"/>
      <c r="HQ71" s="68"/>
      <c r="HR71" s="68"/>
      <c r="HS71" s="68"/>
      <c r="HT71" s="68"/>
      <c r="HU71" s="68"/>
      <c r="HV71" s="68"/>
      <c r="HW71" s="68"/>
      <c r="HX71" s="68"/>
      <c r="HY71" s="68"/>
      <c r="HZ71" s="68"/>
    </row>
    <row r="72" spans="1:234" s="69" customFormat="1" outlineLevel="1">
      <c r="A72" s="70" t="s">
        <v>57</v>
      </c>
      <c r="E72" s="70"/>
      <c r="H72" s="71" t="s">
        <v>56</v>
      </c>
      <c r="I72" s="72"/>
      <c r="J72" s="72"/>
      <c r="K72" s="72"/>
      <c r="L72" s="72"/>
      <c r="M72" s="72"/>
      <c r="N72" s="372">
        <f t="shared" si="9"/>
        <v>1</v>
      </c>
      <c r="O72" s="72">
        <f>IFERROR(SUMPRODUCT($I$6:$I$64,O$6:O$64),"")</f>
        <v>55404</v>
      </c>
      <c r="P72" s="72">
        <f t="shared" ref="P72:BJ72" si="34">IFERROR(SUMPRODUCT($I$6:$I$64,P$6:P$64),"")</f>
        <v>0</v>
      </c>
      <c r="Q72" s="72">
        <f t="shared" si="34"/>
        <v>0</v>
      </c>
      <c r="R72" s="72">
        <f t="shared" si="34"/>
        <v>0</v>
      </c>
      <c r="S72" s="72">
        <f t="shared" si="34"/>
        <v>137404</v>
      </c>
      <c r="T72" s="72">
        <f t="shared" si="34"/>
        <v>0</v>
      </c>
      <c r="U72" s="72">
        <f t="shared" si="34"/>
        <v>0</v>
      </c>
      <c r="V72" s="72">
        <f t="shared" si="34"/>
        <v>0</v>
      </c>
      <c r="W72" s="72">
        <f t="shared" si="34"/>
        <v>55404</v>
      </c>
      <c r="X72" s="72">
        <f t="shared" si="34"/>
        <v>227136</v>
      </c>
      <c r="Y72" s="72">
        <f t="shared" si="34"/>
        <v>227136</v>
      </c>
      <c r="Z72" s="72">
        <f t="shared" si="34"/>
        <v>0</v>
      </c>
      <c r="AA72" s="72">
        <f t="shared" si="34"/>
        <v>231270</v>
      </c>
      <c r="AB72" s="72">
        <f t="shared" si="34"/>
        <v>388064</v>
      </c>
      <c r="AC72" s="72">
        <f t="shared" si="34"/>
        <v>388064</v>
      </c>
      <c r="AD72" s="72">
        <f t="shared" si="34"/>
        <v>0</v>
      </c>
      <c r="AE72" s="72">
        <f t="shared" si="34"/>
        <v>231270</v>
      </c>
      <c r="AF72" s="72">
        <f t="shared" si="34"/>
        <v>120353</v>
      </c>
      <c r="AG72" s="72">
        <f t="shared" si="34"/>
        <v>120353</v>
      </c>
      <c r="AH72" s="72">
        <f t="shared" si="34"/>
        <v>0</v>
      </c>
      <c r="AI72" s="72">
        <f t="shared" si="34"/>
        <v>442954</v>
      </c>
      <c r="AJ72" s="72">
        <f t="shared" si="34"/>
        <v>273920</v>
      </c>
      <c r="AK72" s="72">
        <f t="shared" si="34"/>
        <v>0</v>
      </c>
      <c r="AL72" s="72">
        <f t="shared" si="34"/>
        <v>0</v>
      </c>
      <c r="AM72" s="72">
        <f t="shared" si="34"/>
        <v>885908</v>
      </c>
      <c r="AN72" s="72">
        <f t="shared" si="34"/>
        <v>255520</v>
      </c>
      <c r="AO72" s="72">
        <f t="shared" si="34"/>
        <v>0</v>
      </c>
      <c r="AP72" s="72">
        <f t="shared" si="34"/>
        <v>0</v>
      </c>
      <c r="AQ72" s="72">
        <f t="shared" si="34"/>
        <v>885908</v>
      </c>
      <c r="AR72" s="72">
        <f t="shared" si="34"/>
        <v>514990.00000000006</v>
      </c>
      <c r="AS72" s="72">
        <f t="shared" si="34"/>
        <v>0</v>
      </c>
      <c r="AT72" s="72">
        <f t="shared" si="34"/>
        <v>0</v>
      </c>
      <c r="AU72" s="72">
        <f t="shared" si="34"/>
        <v>885908</v>
      </c>
      <c r="AV72" s="72">
        <f t="shared" si="34"/>
        <v>442954</v>
      </c>
      <c r="AW72" s="72">
        <f t="shared" si="34"/>
        <v>0</v>
      </c>
      <c r="AX72" s="72">
        <f t="shared" si="34"/>
        <v>0</v>
      </c>
      <c r="AY72" s="72">
        <f t="shared" si="34"/>
        <v>1383988</v>
      </c>
      <c r="AZ72" s="72">
        <f t="shared" si="34"/>
        <v>636868</v>
      </c>
      <c r="BA72" s="72">
        <f t="shared" si="34"/>
        <v>0</v>
      </c>
      <c r="BB72" s="72">
        <f t="shared" si="34"/>
        <v>0</v>
      </c>
      <c r="BC72" s="72">
        <f t="shared" si="34"/>
        <v>1383988</v>
      </c>
      <c r="BD72" s="72">
        <f t="shared" si="34"/>
        <v>885908</v>
      </c>
      <c r="BE72" s="72">
        <f t="shared" si="34"/>
        <v>0</v>
      </c>
      <c r="BF72" s="72">
        <f t="shared" si="34"/>
        <v>0</v>
      </c>
      <c r="BG72" s="72">
        <f t="shared" si="34"/>
        <v>1383988</v>
      </c>
      <c r="BH72" s="72">
        <f t="shared" si="34"/>
        <v>1383988</v>
      </c>
      <c r="BI72" s="72">
        <f t="shared" si="34"/>
        <v>0</v>
      </c>
      <c r="BJ72" s="72">
        <f t="shared" si="34"/>
        <v>0</v>
      </c>
      <c r="BK72" s="72"/>
      <c r="BL72" s="72">
        <f t="shared" si="1"/>
        <v>7963394</v>
      </c>
      <c r="BM72" s="469">
        <f t="shared" si="31"/>
        <v>0</v>
      </c>
      <c r="BN72" s="72">
        <f t="shared" si="3"/>
        <v>5129701</v>
      </c>
      <c r="BO72" s="72">
        <f t="shared" si="32"/>
        <v>0</v>
      </c>
      <c r="BP72" s="72">
        <f t="shared" si="5"/>
        <v>735553</v>
      </c>
      <c r="BQ72" s="72">
        <f t="shared" si="33"/>
        <v>0</v>
      </c>
      <c r="BR72" s="72"/>
      <c r="BS72" s="72"/>
      <c r="BT72" s="72"/>
      <c r="BU72" s="72"/>
      <c r="BV72" s="72"/>
      <c r="BW72" s="72"/>
      <c r="BX72" s="74"/>
      <c r="BY72" s="75"/>
      <c r="BZ72" s="75"/>
      <c r="CA72" s="73"/>
      <c r="CB72" s="72"/>
      <c r="CC72" s="72"/>
      <c r="CD72" s="72"/>
      <c r="CE72" s="72"/>
      <c r="CF72" s="72"/>
      <c r="CG72" s="72"/>
      <c r="CH72" s="72"/>
      <c r="CI72" s="72"/>
      <c r="CJ72" s="72"/>
      <c r="CK72" s="72"/>
      <c r="CL72" s="72"/>
      <c r="CM72" s="72"/>
      <c r="CN72" s="72"/>
      <c r="CO72" s="72"/>
      <c r="CP72" s="72"/>
      <c r="CQ72" s="72"/>
      <c r="CR72" s="72"/>
      <c r="CS72" s="72"/>
      <c r="CT72" s="72"/>
      <c r="CU72" s="72"/>
      <c r="CV72" s="72"/>
      <c r="CW72" s="72"/>
      <c r="CX72" s="72"/>
      <c r="CY72" s="72"/>
      <c r="CZ72" s="72"/>
      <c r="DA72" s="72"/>
      <c r="DB72" s="72"/>
      <c r="DC72" s="72"/>
      <c r="DD72" s="72"/>
      <c r="DE72" s="72"/>
      <c r="DF72" s="72"/>
      <c r="DG72" s="72"/>
      <c r="DH72" s="72"/>
      <c r="DI72" s="72"/>
      <c r="DJ72" s="72"/>
      <c r="DK72" s="72"/>
      <c r="DL72" s="72"/>
      <c r="DM72" s="72"/>
      <c r="DN72" s="72"/>
      <c r="DO72" s="72"/>
      <c r="DP72" s="72"/>
      <c r="DQ72" s="72"/>
      <c r="DR72" s="72"/>
      <c r="DS72" s="72"/>
      <c r="DT72" s="72"/>
      <c r="DU72" s="72"/>
      <c r="DV72" s="72"/>
      <c r="DW72" s="72"/>
      <c r="DX72" s="72"/>
      <c r="DY72" s="72"/>
      <c r="DZ72" s="72"/>
      <c r="EA72" s="72"/>
      <c r="EB72" s="73"/>
      <c r="EC72" s="72"/>
      <c r="ED72" s="72"/>
      <c r="EE72" s="72"/>
      <c r="EF72" s="72"/>
      <c r="EG72" s="72"/>
      <c r="EH72" s="72"/>
      <c r="EI72" s="72"/>
      <c r="EJ72" s="72"/>
      <c r="EK72" s="72"/>
      <c r="EL72" s="72"/>
      <c r="EM72" s="72"/>
      <c r="EN72" s="72"/>
      <c r="EO72" s="72"/>
      <c r="EP72" s="72"/>
      <c r="EQ72" s="72"/>
      <c r="ER72" s="72"/>
      <c r="ES72" s="72"/>
      <c r="ET72" s="72"/>
      <c r="EU72" s="72"/>
      <c r="EV72" s="72"/>
      <c r="EW72" s="72"/>
      <c r="EX72" s="72"/>
      <c r="EY72" s="72"/>
      <c r="EZ72" s="72"/>
      <c r="FA72" s="72"/>
      <c r="FB72" s="72"/>
      <c r="FC72" s="72"/>
      <c r="FD72" s="72"/>
      <c r="FE72" s="72"/>
      <c r="FF72" s="72"/>
      <c r="FG72" s="72"/>
      <c r="FH72" s="72"/>
      <c r="FI72" s="72"/>
      <c r="FJ72" s="72"/>
      <c r="FK72" s="72"/>
      <c r="FL72" s="72"/>
      <c r="FM72" s="72"/>
      <c r="FN72" s="72"/>
      <c r="FO72" s="72"/>
      <c r="FP72" s="72"/>
      <c r="FQ72" s="72"/>
      <c r="FR72" s="72"/>
      <c r="FS72" s="72"/>
      <c r="FT72" s="71"/>
      <c r="FU72" s="71"/>
      <c r="FV72" s="71"/>
      <c r="FW72" s="71"/>
      <c r="FX72" s="71"/>
      <c r="FY72" s="71"/>
      <c r="FZ72" s="71"/>
      <c r="GA72" s="71"/>
      <c r="GB72" s="76"/>
      <c r="GC72" s="71"/>
      <c r="GD72" s="71"/>
      <c r="GE72" s="71"/>
      <c r="GF72" s="71"/>
      <c r="GG72" s="71"/>
      <c r="GH72" s="71"/>
      <c r="GI72" s="71"/>
      <c r="GJ72" s="71"/>
      <c r="GK72" s="71"/>
      <c r="GL72" s="71"/>
      <c r="GM72" s="71"/>
      <c r="GN72" s="71"/>
      <c r="GO72" s="71"/>
      <c r="GP72" s="71"/>
      <c r="GQ72" s="71"/>
      <c r="GR72" s="71"/>
      <c r="GS72" s="71"/>
      <c r="GT72" s="71"/>
      <c r="GU72" s="71"/>
      <c r="GV72" s="71"/>
      <c r="GW72" s="71"/>
      <c r="GX72" s="71"/>
      <c r="GY72" s="71"/>
      <c r="GZ72" s="71"/>
      <c r="HA72" s="71"/>
      <c r="HB72" s="71"/>
      <c r="HC72" s="71"/>
      <c r="HD72" s="71"/>
      <c r="HE72" s="71"/>
      <c r="HF72" s="71"/>
      <c r="HG72" s="71"/>
      <c r="HH72" s="71"/>
      <c r="HI72" s="71"/>
      <c r="HJ72" s="71"/>
      <c r="HK72" s="71"/>
      <c r="HL72" s="71"/>
      <c r="HM72" s="71"/>
      <c r="HN72" s="71"/>
      <c r="HO72" s="71"/>
      <c r="HP72" s="71"/>
      <c r="HQ72" s="71"/>
      <c r="HR72" s="71"/>
      <c r="HS72" s="71"/>
      <c r="HT72" s="71"/>
      <c r="HU72" s="71"/>
      <c r="HV72" s="71"/>
      <c r="HW72" s="71"/>
      <c r="HX72" s="71"/>
      <c r="HY72" s="71"/>
      <c r="HZ72" s="71"/>
    </row>
    <row r="73" spans="1:234" s="77" customFormat="1" outlineLevel="2">
      <c r="A73" s="78" t="s">
        <v>474</v>
      </c>
      <c r="B73" s="79"/>
      <c r="C73" s="79"/>
      <c r="D73" s="79"/>
      <c r="E73" s="510"/>
      <c r="F73" s="79"/>
      <c r="G73" s="79"/>
      <c r="H73" s="80" t="s">
        <v>58</v>
      </c>
      <c r="I73" s="82"/>
      <c r="J73" s="82"/>
      <c r="K73" s="82"/>
      <c r="L73" s="82"/>
      <c r="M73" s="82"/>
      <c r="N73" s="373">
        <f t="shared" si="9"/>
        <v>1</v>
      </c>
      <c r="O73" s="81">
        <f t="shared" ref="O73:AD78" si="35">IFERROR(SUMPRODUCT(($A73=$A$6:$A$64)*($G$6:$G$64&gt;0)*O$6:O$64),"")</f>
        <v>0</v>
      </c>
      <c r="P73" s="81">
        <f t="shared" si="35"/>
        <v>0</v>
      </c>
      <c r="Q73" s="81">
        <f t="shared" si="35"/>
        <v>0</v>
      </c>
      <c r="R73" s="81">
        <f t="shared" si="35"/>
        <v>0</v>
      </c>
      <c r="S73" s="81">
        <f t="shared" si="35"/>
        <v>2000</v>
      </c>
      <c r="T73" s="81">
        <f t="shared" si="35"/>
        <v>0</v>
      </c>
      <c r="U73" s="81">
        <f t="shared" si="35"/>
        <v>0</v>
      </c>
      <c r="V73" s="81">
        <f t="shared" si="35"/>
        <v>0</v>
      </c>
      <c r="W73" s="81">
        <f t="shared" si="35"/>
        <v>0</v>
      </c>
      <c r="X73" s="81">
        <f t="shared" si="35"/>
        <v>0</v>
      </c>
      <c r="Y73" s="81">
        <f t="shared" si="35"/>
        <v>0</v>
      </c>
      <c r="Z73" s="81">
        <f t="shared" si="35"/>
        <v>0</v>
      </c>
      <c r="AA73" s="81">
        <f t="shared" si="35"/>
        <v>30</v>
      </c>
      <c r="AB73" s="81">
        <f t="shared" si="35"/>
        <v>2000</v>
      </c>
      <c r="AC73" s="81">
        <f t="shared" si="35"/>
        <v>2000</v>
      </c>
      <c r="AD73" s="81">
        <f t="shared" si="35"/>
        <v>0</v>
      </c>
      <c r="AE73" s="81">
        <f t="shared" ref="P73:BJ78" si="36">IFERROR(SUMPRODUCT(($A73=$A$6:$A$64)*($G$6:$G$64&gt;0)*AE$6:AE$64),"")</f>
        <v>30</v>
      </c>
      <c r="AF73" s="81">
        <f t="shared" si="36"/>
        <v>0</v>
      </c>
      <c r="AG73" s="81">
        <f t="shared" si="36"/>
        <v>0</v>
      </c>
      <c r="AH73" s="81">
        <f t="shared" si="36"/>
        <v>0</v>
      </c>
      <c r="AI73" s="81">
        <f t="shared" si="36"/>
        <v>200</v>
      </c>
      <c r="AJ73" s="81">
        <f t="shared" si="36"/>
        <v>0</v>
      </c>
      <c r="AK73" s="81">
        <f t="shared" si="36"/>
        <v>0</v>
      </c>
      <c r="AL73" s="81">
        <f t="shared" si="36"/>
        <v>0</v>
      </c>
      <c r="AM73" s="81">
        <f t="shared" si="36"/>
        <v>400</v>
      </c>
      <c r="AN73" s="81">
        <f t="shared" si="36"/>
        <v>0</v>
      </c>
      <c r="AO73" s="81">
        <f t="shared" si="36"/>
        <v>0</v>
      </c>
      <c r="AP73" s="81">
        <f t="shared" si="36"/>
        <v>0</v>
      </c>
      <c r="AQ73" s="81">
        <f t="shared" si="36"/>
        <v>400</v>
      </c>
      <c r="AR73" s="81">
        <f t="shared" si="36"/>
        <v>1600</v>
      </c>
      <c r="AS73" s="81">
        <f t="shared" si="36"/>
        <v>0</v>
      </c>
      <c r="AT73" s="81">
        <f t="shared" si="36"/>
        <v>0</v>
      </c>
      <c r="AU73" s="81">
        <f t="shared" si="36"/>
        <v>400</v>
      </c>
      <c r="AV73" s="81">
        <f t="shared" si="36"/>
        <v>200</v>
      </c>
      <c r="AW73" s="81">
        <f t="shared" si="36"/>
        <v>0</v>
      </c>
      <c r="AX73" s="81">
        <f t="shared" si="36"/>
        <v>0</v>
      </c>
      <c r="AY73" s="81">
        <f t="shared" si="36"/>
        <v>800</v>
      </c>
      <c r="AZ73" s="81">
        <f t="shared" si="36"/>
        <v>200</v>
      </c>
      <c r="BA73" s="81">
        <f t="shared" si="36"/>
        <v>0</v>
      </c>
      <c r="BB73" s="81">
        <f t="shared" si="36"/>
        <v>0</v>
      </c>
      <c r="BC73" s="81">
        <f t="shared" si="36"/>
        <v>800</v>
      </c>
      <c r="BD73" s="81">
        <f t="shared" si="36"/>
        <v>400</v>
      </c>
      <c r="BE73" s="81">
        <f t="shared" si="36"/>
        <v>0</v>
      </c>
      <c r="BF73" s="81">
        <f t="shared" si="36"/>
        <v>0</v>
      </c>
      <c r="BG73" s="81">
        <f t="shared" si="36"/>
        <v>800</v>
      </c>
      <c r="BH73" s="81">
        <f t="shared" si="36"/>
        <v>800</v>
      </c>
      <c r="BI73" s="81">
        <f t="shared" si="36"/>
        <v>0</v>
      </c>
      <c r="BJ73" s="81">
        <f t="shared" si="36"/>
        <v>0</v>
      </c>
      <c r="BK73" s="81"/>
      <c r="BL73" s="81">
        <f t="shared" si="1"/>
        <v>5860</v>
      </c>
      <c r="BM73" s="470">
        <f t="shared" si="31"/>
        <v>0</v>
      </c>
      <c r="BN73" s="81">
        <f t="shared" si="3"/>
        <v>5200</v>
      </c>
      <c r="BO73" s="81">
        <f t="shared" si="32"/>
        <v>0</v>
      </c>
      <c r="BP73" s="81">
        <f t="shared" si="5"/>
        <v>2000</v>
      </c>
      <c r="BQ73" s="81">
        <f t="shared" si="33"/>
        <v>0</v>
      </c>
      <c r="BR73" s="81"/>
      <c r="BS73" s="81"/>
      <c r="BT73" s="81"/>
      <c r="BU73" s="81"/>
      <c r="BV73" s="81"/>
      <c r="BW73" s="81"/>
      <c r="BX73" s="84"/>
      <c r="BY73" s="85"/>
      <c r="BZ73" s="85"/>
      <c r="CA73" s="83"/>
      <c r="CB73" s="81"/>
      <c r="CC73" s="81"/>
      <c r="CD73" s="81"/>
      <c r="CE73" s="81"/>
      <c r="CF73" s="81"/>
      <c r="CG73" s="81"/>
      <c r="CH73" s="81"/>
      <c r="CI73" s="81"/>
      <c r="CJ73" s="81"/>
      <c r="CK73" s="81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  <c r="DI73" s="81"/>
      <c r="DJ73" s="81"/>
      <c r="DK73" s="81"/>
      <c r="DL73" s="81"/>
      <c r="DM73" s="81"/>
      <c r="DN73" s="81"/>
      <c r="DO73" s="81"/>
      <c r="DP73" s="81"/>
      <c r="DQ73" s="81"/>
      <c r="DR73" s="81"/>
      <c r="DS73" s="81"/>
      <c r="DT73" s="81"/>
      <c r="DU73" s="81"/>
      <c r="DV73" s="81"/>
      <c r="DW73" s="81"/>
      <c r="DX73" s="81"/>
      <c r="DY73" s="81"/>
      <c r="DZ73" s="81"/>
      <c r="EA73" s="81"/>
      <c r="EB73" s="83"/>
      <c r="EC73" s="81"/>
      <c r="ED73" s="81"/>
      <c r="EE73" s="81"/>
      <c r="EF73" s="81"/>
      <c r="EG73" s="81"/>
      <c r="EH73" s="81"/>
      <c r="EI73" s="81"/>
      <c r="EJ73" s="81"/>
      <c r="EK73" s="81"/>
      <c r="EL73" s="81"/>
      <c r="EM73" s="81"/>
      <c r="EN73" s="81"/>
      <c r="EO73" s="81"/>
      <c r="EP73" s="81"/>
      <c r="EQ73" s="81"/>
      <c r="ER73" s="81"/>
      <c r="ES73" s="81"/>
      <c r="ET73" s="81"/>
      <c r="EU73" s="81"/>
      <c r="EV73" s="81"/>
      <c r="EW73" s="81"/>
      <c r="EX73" s="81"/>
      <c r="EY73" s="81"/>
      <c r="EZ73" s="81"/>
      <c r="FA73" s="81"/>
      <c r="FB73" s="81"/>
      <c r="FC73" s="81"/>
      <c r="FD73" s="81"/>
      <c r="FE73" s="81"/>
      <c r="FF73" s="81"/>
      <c r="FG73" s="81"/>
      <c r="FH73" s="81"/>
      <c r="FI73" s="81"/>
      <c r="FJ73" s="81"/>
      <c r="FK73" s="81"/>
      <c r="FL73" s="81"/>
      <c r="FM73" s="81"/>
      <c r="FN73" s="81"/>
      <c r="FO73" s="81"/>
      <c r="FP73" s="81"/>
      <c r="FQ73" s="81"/>
      <c r="FR73" s="81"/>
      <c r="FS73" s="81"/>
      <c r="FT73" s="86"/>
      <c r="FU73" s="86"/>
      <c r="FV73" s="86"/>
      <c r="FW73" s="86"/>
      <c r="FX73" s="86"/>
      <c r="FY73" s="86"/>
      <c r="FZ73" s="86"/>
      <c r="GA73" s="86"/>
      <c r="GB73" s="87"/>
      <c r="GC73" s="86"/>
      <c r="GD73" s="86"/>
      <c r="GE73" s="86"/>
      <c r="GF73" s="86"/>
      <c r="GG73" s="86"/>
      <c r="GH73" s="86"/>
      <c r="GI73" s="86"/>
      <c r="GJ73" s="86"/>
      <c r="GK73" s="86"/>
      <c r="GL73" s="86"/>
      <c r="GM73" s="86"/>
      <c r="GN73" s="86"/>
      <c r="GO73" s="86"/>
      <c r="GP73" s="86"/>
      <c r="GQ73" s="86"/>
      <c r="GR73" s="86"/>
      <c r="GS73" s="86"/>
      <c r="GT73" s="86"/>
      <c r="GU73" s="86"/>
      <c r="GV73" s="86"/>
      <c r="GW73" s="86"/>
      <c r="GX73" s="86"/>
      <c r="GY73" s="86"/>
      <c r="GZ73" s="86"/>
      <c r="HA73" s="86"/>
      <c r="HB73" s="86"/>
      <c r="HC73" s="86"/>
      <c r="HD73" s="86"/>
      <c r="HE73" s="86"/>
      <c r="HF73" s="86"/>
      <c r="HG73" s="86"/>
      <c r="HH73" s="86"/>
      <c r="HI73" s="86"/>
      <c r="HJ73" s="86"/>
      <c r="HK73" s="86"/>
      <c r="HL73" s="86"/>
      <c r="HM73" s="86"/>
      <c r="HN73" s="86"/>
      <c r="HO73" s="86"/>
      <c r="HP73" s="86"/>
      <c r="HQ73" s="86"/>
      <c r="HR73" s="86"/>
      <c r="HS73" s="86"/>
      <c r="HT73" s="86"/>
      <c r="HU73" s="86"/>
      <c r="HV73" s="86"/>
      <c r="HW73" s="86"/>
      <c r="HX73" s="86"/>
      <c r="HY73" s="86"/>
      <c r="HZ73" s="86"/>
    </row>
    <row r="74" spans="1:234" s="77" customFormat="1" outlineLevel="2">
      <c r="A74" s="78" t="s">
        <v>476</v>
      </c>
      <c r="B74" s="79"/>
      <c r="C74" s="79"/>
      <c r="D74" s="79"/>
      <c r="E74" s="510"/>
      <c r="F74" s="79"/>
      <c r="G74" s="79"/>
      <c r="H74" s="80" t="s">
        <v>58</v>
      </c>
      <c r="I74" s="82"/>
      <c r="J74" s="82"/>
      <c r="K74" s="82"/>
      <c r="L74" s="82"/>
      <c r="M74" s="82"/>
      <c r="N74" s="373">
        <f t="shared" si="9"/>
        <v>0</v>
      </c>
      <c r="O74" s="81">
        <f t="shared" si="35"/>
        <v>0</v>
      </c>
      <c r="P74" s="81">
        <f t="shared" si="36"/>
        <v>0</v>
      </c>
      <c r="Q74" s="81">
        <f t="shared" si="36"/>
        <v>0</v>
      </c>
      <c r="R74" s="81">
        <f t="shared" si="36"/>
        <v>0</v>
      </c>
      <c r="S74" s="81">
        <f t="shared" si="36"/>
        <v>0</v>
      </c>
      <c r="T74" s="81">
        <f t="shared" si="36"/>
        <v>0</v>
      </c>
      <c r="U74" s="81">
        <f t="shared" si="36"/>
        <v>0</v>
      </c>
      <c r="V74" s="81">
        <f t="shared" si="36"/>
        <v>0</v>
      </c>
      <c r="W74" s="81">
        <f t="shared" si="36"/>
        <v>0</v>
      </c>
      <c r="X74" s="81">
        <f t="shared" si="36"/>
        <v>0</v>
      </c>
      <c r="Y74" s="81">
        <f t="shared" si="36"/>
        <v>0</v>
      </c>
      <c r="Z74" s="81">
        <f t="shared" si="36"/>
        <v>0</v>
      </c>
      <c r="AA74" s="81">
        <f t="shared" si="36"/>
        <v>0</v>
      </c>
      <c r="AB74" s="81">
        <f t="shared" si="36"/>
        <v>0</v>
      </c>
      <c r="AC74" s="81">
        <f t="shared" si="36"/>
        <v>0</v>
      </c>
      <c r="AD74" s="81">
        <f t="shared" si="36"/>
        <v>0</v>
      </c>
      <c r="AE74" s="81">
        <f t="shared" si="36"/>
        <v>0</v>
      </c>
      <c r="AF74" s="81">
        <f t="shared" si="36"/>
        <v>0</v>
      </c>
      <c r="AG74" s="81">
        <f t="shared" si="36"/>
        <v>0</v>
      </c>
      <c r="AH74" s="81">
        <f t="shared" si="36"/>
        <v>0</v>
      </c>
      <c r="AI74" s="81">
        <f t="shared" si="36"/>
        <v>0</v>
      </c>
      <c r="AJ74" s="81">
        <f t="shared" si="36"/>
        <v>0</v>
      </c>
      <c r="AK74" s="81">
        <f t="shared" si="36"/>
        <v>0</v>
      </c>
      <c r="AL74" s="81">
        <f t="shared" si="36"/>
        <v>0</v>
      </c>
      <c r="AM74" s="81">
        <f t="shared" si="36"/>
        <v>0</v>
      </c>
      <c r="AN74" s="81">
        <f t="shared" si="36"/>
        <v>0</v>
      </c>
      <c r="AO74" s="81">
        <f t="shared" si="36"/>
        <v>0</v>
      </c>
      <c r="AP74" s="81">
        <f t="shared" si="36"/>
        <v>0</v>
      </c>
      <c r="AQ74" s="81">
        <f t="shared" si="36"/>
        <v>0</v>
      </c>
      <c r="AR74" s="81">
        <f t="shared" si="36"/>
        <v>0</v>
      </c>
      <c r="AS74" s="81">
        <f t="shared" si="36"/>
        <v>0</v>
      </c>
      <c r="AT74" s="81">
        <f t="shared" si="36"/>
        <v>0</v>
      </c>
      <c r="AU74" s="81">
        <f t="shared" si="36"/>
        <v>0</v>
      </c>
      <c r="AV74" s="81">
        <f t="shared" si="36"/>
        <v>0</v>
      </c>
      <c r="AW74" s="81">
        <f t="shared" si="36"/>
        <v>0</v>
      </c>
      <c r="AX74" s="81">
        <f t="shared" si="36"/>
        <v>0</v>
      </c>
      <c r="AY74" s="81">
        <f t="shared" si="36"/>
        <v>0</v>
      </c>
      <c r="AZ74" s="81">
        <f t="shared" si="36"/>
        <v>0</v>
      </c>
      <c r="BA74" s="81">
        <f t="shared" si="36"/>
        <v>0</v>
      </c>
      <c r="BB74" s="81">
        <f t="shared" si="36"/>
        <v>0</v>
      </c>
      <c r="BC74" s="81">
        <f t="shared" si="36"/>
        <v>0</v>
      </c>
      <c r="BD74" s="81">
        <f t="shared" si="36"/>
        <v>0</v>
      </c>
      <c r="BE74" s="81">
        <f t="shared" si="36"/>
        <v>0</v>
      </c>
      <c r="BF74" s="81">
        <f t="shared" si="36"/>
        <v>0</v>
      </c>
      <c r="BG74" s="81">
        <f t="shared" si="36"/>
        <v>0</v>
      </c>
      <c r="BH74" s="81">
        <f t="shared" si="36"/>
        <v>0</v>
      </c>
      <c r="BI74" s="81">
        <f t="shared" si="36"/>
        <v>0</v>
      </c>
      <c r="BJ74" s="81">
        <f t="shared" si="36"/>
        <v>0</v>
      </c>
      <c r="BK74" s="81"/>
      <c r="BL74" s="81">
        <f t="shared" si="1"/>
        <v>0</v>
      </c>
      <c r="BM74" s="470">
        <f t="shared" si="31"/>
        <v>0</v>
      </c>
      <c r="BN74" s="81">
        <f t="shared" si="3"/>
        <v>0</v>
      </c>
      <c r="BO74" s="81">
        <f t="shared" si="32"/>
        <v>0</v>
      </c>
      <c r="BP74" s="81">
        <f t="shared" si="5"/>
        <v>0</v>
      </c>
      <c r="BQ74" s="81">
        <f t="shared" si="33"/>
        <v>0</v>
      </c>
      <c r="BR74" s="81"/>
      <c r="BS74" s="81"/>
      <c r="BT74" s="81"/>
      <c r="BU74" s="81"/>
      <c r="BV74" s="81"/>
      <c r="BW74" s="81"/>
      <c r="BX74" s="84"/>
      <c r="BY74" s="85"/>
      <c r="BZ74" s="85"/>
      <c r="CA74" s="83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3"/>
      <c r="EC74" s="81"/>
      <c r="ED74" s="81"/>
      <c r="EE74" s="81"/>
      <c r="EF74" s="81"/>
      <c r="EG74" s="81"/>
      <c r="EH74" s="81"/>
      <c r="EI74" s="81"/>
      <c r="EJ74" s="81"/>
      <c r="EK74" s="81"/>
      <c r="EL74" s="81"/>
      <c r="EM74" s="81"/>
      <c r="EN74" s="81"/>
      <c r="EO74" s="81"/>
      <c r="EP74" s="81"/>
      <c r="EQ74" s="81"/>
      <c r="ER74" s="81"/>
      <c r="ES74" s="81"/>
      <c r="ET74" s="81"/>
      <c r="EU74" s="81"/>
      <c r="EV74" s="81"/>
      <c r="EW74" s="81"/>
      <c r="EX74" s="81"/>
      <c r="EY74" s="81"/>
      <c r="EZ74" s="81"/>
      <c r="FA74" s="81"/>
      <c r="FB74" s="81"/>
      <c r="FC74" s="81"/>
      <c r="FD74" s="81"/>
      <c r="FE74" s="81"/>
      <c r="FF74" s="81"/>
      <c r="FG74" s="81"/>
      <c r="FH74" s="81"/>
      <c r="FI74" s="81"/>
      <c r="FJ74" s="81"/>
      <c r="FK74" s="81"/>
      <c r="FL74" s="81"/>
      <c r="FM74" s="81"/>
      <c r="FN74" s="81"/>
      <c r="FO74" s="81"/>
      <c r="FP74" s="81"/>
      <c r="FQ74" s="81"/>
      <c r="FR74" s="81"/>
      <c r="FS74" s="81"/>
      <c r="FT74" s="86"/>
      <c r="FU74" s="86"/>
      <c r="FV74" s="86"/>
      <c r="FW74" s="86"/>
      <c r="FX74" s="86"/>
      <c r="FY74" s="86"/>
      <c r="FZ74" s="86"/>
      <c r="GA74" s="86"/>
      <c r="GB74" s="87"/>
      <c r="GC74" s="86"/>
      <c r="GD74" s="86"/>
      <c r="GE74" s="86"/>
      <c r="GF74" s="86"/>
      <c r="GG74" s="86"/>
      <c r="GH74" s="86"/>
      <c r="GI74" s="86"/>
      <c r="GJ74" s="86"/>
      <c r="GK74" s="86"/>
      <c r="GL74" s="86"/>
      <c r="GM74" s="86"/>
      <c r="GN74" s="86"/>
      <c r="GO74" s="86"/>
      <c r="GP74" s="86"/>
      <c r="GQ74" s="86"/>
      <c r="GR74" s="86"/>
      <c r="GS74" s="86"/>
      <c r="GT74" s="86"/>
      <c r="GU74" s="86"/>
      <c r="GV74" s="86"/>
      <c r="GW74" s="86"/>
      <c r="GX74" s="86"/>
      <c r="GY74" s="86"/>
      <c r="GZ74" s="86"/>
      <c r="HA74" s="86"/>
      <c r="HB74" s="86"/>
      <c r="HC74" s="86"/>
      <c r="HD74" s="86"/>
      <c r="HE74" s="86"/>
      <c r="HF74" s="86"/>
      <c r="HG74" s="86"/>
      <c r="HH74" s="86"/>
      <c r="HI74" s="86"/>
      <c r="HJ74" s="86"/>
      <c r="HK74" s="86"/>
      <c r="HL74" s="86"/>
      <c r="HM74" s="86"/>
      <c r="HN74" s="86"/>
      <c r="HO74" s="86"/>
      <c r="HP74" s="86"/>
      <c r="HQ74" s="86"/>
      <c r="HR74" s="86"/>
      <c r="HS74" s="86"/>
      <c r="HT74" s="86"/>
      <c r="HU74" s="86"/>
      <c r="HV74" s="86"/>
      <c r="HW74" s="86"/>
      <c r="HX74" s="86"/>
      <c r="HY74" s="86"/>
      <c r="HZ74" s="86"/>
    </row>
    <row r="75" spans="1:234" s="77" customFormat="1" outlineLevel="2">
      <c r="A75" s="78" t="s">
        <v>477</v>
      </c>
      <c r="B75" s="79"/>
      <c r="C75" s="79"/>
      <c r="D75" s="79"/>
      <c r="E75" s="510"/>
      <c r="F75" s="79"/>
      <c r="G75" s="79"/>
      <c r="H75" s="80" t="s">
        <v>58</v>
      </c>
      <c r="I75" s="82"/>
      <c r="J75" s="82"/>
      <c r="K75" s="82"/>
      <c r="L75" s="82"/>
      <c r="M75" s="82"/>
      <c r="N75" s="373">
        <f t="shared" si="9"/>
        <v>0</v>
      </c>
      <c r="O75" s="81">
        <f t="shared" si="35"/>
        <v>0</v>
      </c>
      <c r="P75" s="81">
        <f t="shared" si="36"/>
        <v>0</v>
      </c>
      <c r="Q75" s="81">
        <f t="shared" si="36"/>
        <v>0</v>
      </c>
      <c r="R75" s="81">
        <f t="shared" si="36"/>
        <v>0</v>
      </c>
      <c r="S75" s="81">
        <f t="shared" si="36"/>
        <v>0</v>
      </c>
      <c r="T75" s="81">
        <f t="shared" si="36"/>
        <v>0</v>
      </c>
      <c r="U75" s="81">
        <f t="shared" si="36"/>
        <v>0</v>
      </c>
      <c r="V75" s="81">
        <f t="shared" si="36"/>
        <v>0</v>
      </c>
      <c r="W75" s="81">
        <f t="shared" si="36"/>
        <v>0</v>
      </c>
      <c r="X75" s="81">
        <f t="shared" si="36"/>
        <v>0</v>
      </c>
      <c r="Y75" s="81">
        <f t="shared" si="36"/>
        <v>0</v>
      </c>
      <c r="Z75" s="81">
        <f t="shared" si="36"/>
        <v>0</v>
      </c>
      <c r="AA75" s="81">
        <f t="shared" si="36"/>
        <v>0</v>
      </c>
      <c r="AB75" s="81">
        <f t="shared" si="36"/>
        <v>0</v>
      </c>
      <c r="AC75" s="81">
        <f t="shared" si="36"/>
        <v>0</v>
      </c>
      <c r="AD75" s="81">
        <f t="shared" si="36"/>
        <v>0</v>
      </c>
      <c r="AE75" s="81">
        <f t="shared" si="36"/>
        <v>0</v>
      </c>
      <c r="AF75" s="81">
        <f t="shared" si="36"/>
        <v>0</v>
      </c>
      <c r="AG75" s="81">
        <f t="shared" si="36"/>
        <v>0</v>
      </c>
      <c r="AH75" s="81">
        <f t="shared" si="36"/>
        <v>0</v>
      </c>
      <c r="AI75" s="81">
        <f t="shared" si="36"/>
        <v>0</v>
      </c>
      <c r="AJ75" s="81">
        <f t="shared" si="36"/>
        <v>0</v>
      </c>
      <c r="AK75" s="81">
        <f t="shared" si="36"/>
        <v>0</v>
      </c>
      <c r="AL75" s="81">
        <f t="shared" si="36"/>
        <v>0</v>
      </c>
      <c r="AM75" s="81">
        <f t="shared" si="36"/>
        <v>0</v>
      </c>
      <c r="AN75" s="81">
        <f t="shared" si="36"/>
        <v>0</v>
      </c>
      <c r="AO75" s="81">
        <f t="shared" si="36"/>
        <v>0</v>
      </c>
      <c r="AP75" s="81">
        <f t="shared" si="36"/>
        <v>0</v>
      </c>
      <c r="AQ75" s="81">
        <f t="shared" si="36"/>
        <v>0</v>
      </c>
      <c r="AR75" s="81">
        <f t="shared" si="36"/>
        <v>0</v>
      </c>
      <c r="AS75" s="81">
        <f t="shared" si="36"/>
        <v>0</v>
      </c>
      <c r="AT75" s="81">
        <f t="shared" si="36"/>
        <v>0</v>
      </c>
      <c r="AU75" s="81">
        <f t="shared" si="36"/>
        <v>0</v>
      </c>
      <c r="AV75" s="81">
        <f t="shared" si="36"/>
        <v>0</v>
      </c>
      <c r="AW75" s="81">
        <f t="shared" si="36"/>
        <v>0</v>
      </c>
      <c r="AX75" s="81">
        <f t="shared" si="36"/>
        <v>0</v>
      </c>
      <c r="AY75" s="81">
        <f t="shared" si="36"/>
        <v>0</v>
      </c>
      <c r="AZ75" s="81">
        <f t="shared" si="36"/>
        <v>0</v>
      </c>
      <c r="BA75" s="81">
        <f t="shared" si="36"/>
        <v>0</v>
      </c>
      <c r="BB75" s="81">
        <f t="shared" si="36"/>
        <v>0</v>
      </c>
      <c r="BC75" s="81">
        <f t="shared" si="36"/>
        <v>0</v>
      </c>
      <c r="BD75" s="81">
        <f t="shared" si="36"/>
        <v>0</v>
      </c>
      <c r="BE75" s="81">
        <f t="shared" si="36"/>
        <v>0</v>
      </c>
      <c r="BF75" s="81">
        <f t="shared" si="36"/>
        <v>0</v>
      </c>
      <c r="BG75" s="81">
        <f t="shared" si="36"/>
        <v>0</v>
      </c>
      <c r="BH75" s="81">
        <f t="shared" si="36"/>
        <v>0</v>
      </c>
      <c r="BI75" s="81">
        <f t="shared" si="36"/>
        <v>0</v>
      </c>
      <c r="BJ75" s="81">
        <f t="shared" si="36"/>
        <v>0</v>
      </c>
      <c r="BK75" s="81"/>
      <c r="BL75" s="81">
        <f t="shared" si="1"/>
        <v>0</v>
      </c>
      <c r="BM75" s="470">
        <f t="shared" si="31"/>
        <v>0</v>
      </c>
      <c r="BN75" s="81">
        <f t="shared" si="3"/>
        <v>0</v>
      </c>
      <c r="BO75" s="81">
        <f t="shared" si="32"/>
        <v>0</v>
      </c>
      <c r="BP75" s="81">
        <f t="shared" si="5"/>
        <v>0</v>
      </c>
      <c r="BQ75" s="81">
        <f t="shared" si="33"/>
        <v>0</v>
      </c>
      <c r="BR75" s="81"/>
      <c r="BS75" s="81"/>
      <c r="BT75" s="81"/>
      <c r="BU75" s="81"/>
      <c r="BV75" s="81"/>
      <c r="BW75" s="81"/>
      <c r="BX75" s="84"/>
      <c r="BY75" s="85"/>
      <c r="BZ75" s="85"/>
      <c r="CA75" s="83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3"/>
      <c r="EC75" s="81"/>
      <c r="ED75" s="81"/>
      <c r="EE75" s="81"/>
      <c r="EF75" s="81"/>
      <c r="EG75" s="81"/>
      <c r="EH75" s="81"/>
      <c r="EI75" s="81"/>
      <c r="EJ75" s="81"/>
      <c r="EK75" s="81"/>
      <c r="EL75" s="81"/>
      <c r="EM75" s="81"/>
      <c r="EN75" s="81"/>
      <c r="EO75" s="81"/>
      <c r="EP75" s="81"/>
      <c r="EQ75" s="81"/>
      <c r="ER75" s="81"/>
      <c r="ES75" s="81"/>
      <c r="ET75" s="81"/>
      <c r="EU75" s="81"/>
      <c r="EV75" s="81"/>
      <c r="EW75" s="81"/>
      <c r="EX75" s="81"/>
      <c r="EY75" s="81"/>
      <c r="EZ75" s="81"/>
      <c r="FA75" s="81"/>
      <c r="FB75" s="81"/>
      <c r="FC75" s="81"/>
      <c r="FD75" s="81"/>
      <c r="FE75" s="81"/>
      <c r="FF75" s="81"/>
      <c r="FG75" s="81"/>
      <c r="FH75" s="81"/>
      <c r="FI75" s="81"/>
      <c r="FJ75" s="81"/>
      <c r="FK75" s="81"/>
      <c r="FL75" s="81"/>
      <c r="FM75" s="81"/>
      <c r="FN75" s="81"/>
      <c r="FO75" s="81"/>
      <c r="FP75" s="81"/>
      <c r="FQ75" s="81"/>
      <c r="FR75" s="81"/>
      <c r="FS75" s="81"/>
      <c r="FT75" s="86"/>
      <c r="FU75" s="86"/>
      <c r="FV75" s="86"/>
      <c r="FW75" s="86"/>
      <c r="FX75" s="86"/>
      <c r="FY75" s="86"/>
      <c r="FZ75" s="86"/>
      <c r="GA75" s="86"/>
      <c r="GB75" s="87"/>
      <c r="GC75" s="86"/>
      <c r="GD75" s="86"/>
      <c r="GE75" s="86"/>
      <c r="GF75" s="86"/>
      <c r="GG75" s="86"/>
      <c r="GH75" s="86"/>
      <c r="GI75" s="86"/>
      <c r="GJ75" s="86"/>
      <c r="GK75" s="86"/>
      <c r="GL75" s="86"/>
      <c r="GM75" s="86"/>
      <c r="GN75" s="86"/>
      <c r="GO75" s="86"/>
      <c r="GP75" s="86"/>
      <c r="GQ75" s="86"/>
      <c r="GR75" s="86"/>
      <c r="GS75" s="86"/>
      <c r="GT75" s="86"/>
      <c r="GU75" s="86"/>
      <c r="GV75" s="86"/>
      <c r="GW75" s="86"/>
      <c r="GX75" s="86"/>
      <c r="GY75" s="86"/>
      <c r="GZ75" s="86"/>
      <c r="HA75" s="86"/>
      <c r="HB75" s="86"/>
      <c r="HC75" s="86"/>
      <c r="HD75" s="86"/>
      <c r="HE75" s="86"/>
      <c r="HF75" s="86"/>
      <c r="HG75" s="86"/>
      <c r="HH75" s="86"/>
      <c r="HI75" s="86"/>
      <c r="HJ75" s="86"/>
      <c r="HK75" s="86"/>
      <c r="HL75" s="86"/>
      <c r="HM75" s="86"/>
      <c r="HN75" s="86"/>
      <c r="HO75" s="86"/>
      <c r="HP75" s="86"/>
      <c r="HQ75" s="86"/>
      <c r="HR75" s="86"/>
      <c r="HS75" s="86"/>
      <c r="HT75" s="86"/>
      <c r="HU75" s="86"/>
      <c r="HV75" s="86"/>
      <c r="HW75" s="86"/>
      <c r="HX75" s="86"/>
      <c r="HY75" s="86"/>
      <c r="HZ75" s="86"/>
    </row>
    <row r="76" spans="1:234" s="482" customFormat="1" outlineLevel="2">
      <c r="A76" s="473" t="s">
        <v>475</v>
      </c>
      <c r="B76" s="474"/>
      <c r="C76" s="474"/>
      <c r="D76" s="474"/>
      <c r="E76" s="511"/>
      <c r="F76" s="474"/>
      <c r="G76" s="474"/>
      <c r="H76" s="475" t="s">
        <v>58</v>
      </c>
      <c r="I76" s="476"/>
      <c r="J76" s="476"/>
      <c r="K76" s="476"/>
      <c r="L76" s="476"/>
      <c r="M76" s="476"/>
      <c r="N76" s="373">
        <f t="shared" si="9"/>
        <v>0</v>
      </c>
      <c r="O76" s="338">
        <f t="shared" si="35"/>
        <v>0</v>
      </c>
      <c r="P76" s="338">
        <f t="shared" si="36"/>
        <v>0</v>
      </c>
      <c r="Q76" s="338">
        <f t="shared" si="36"/>
        <v>0</v>
      </c>
      <c r="R76" s="338">
        <f t="shared" si="36"/>
        <v>0</v>
      </c>
      <c r="S76" s="338">
        <f t="shared" si="36"/>
        <v>0</v>
      </c>
      <c r="T76" s="338">
        <f t="shared" si="36"/>
        <v>0</v>
      </c>
      <c r="U76" s="338">
        <f t="shared" si="36"/>
        <v>0</v>
      </c>
      <c r="V76" s="338">
        <f t="shared" si="36"/>
        <v>0</v>
      </c>
      <c r="W76" s="338">
        <f t="shared" si="36"/>
        <v>0</v>
      </c>
      <c r="X76" s="338">
        <f t="shared" si="36"/>
        <v>0</v>
      </c>
      <c r="Y76" s="338">
        <f t="shared" si="36"/>
        <v>0</v>
      </c>
      <c r="Z76" s="338">
        <f t="shared" si="36"/>
        <v>0</v>
      </c>
      <c r="AA76" s="338">
        <f t="shared" si="36"/>
        <v>0</v>
      </c>
      <c r="AB76" s="338">
        <f t="shared" si="36"/>
        <v>0</v>
      </c>
      <c r="AC76" s="338">
        <f t="shared" si="36"/>
        <v>0</v>
      </c>
      <c r="AD76" s="338">
        <f t="shared" si="36"/>
        <v>0</v>
      </c>
      <c r="AE76" s="338">
        <f t="shared" si="36"/>
        <v>0</v>
      </c>
      <c r="AF76" s="338">
        <f t="shared" si="36"/>
        <v>0</v>
      </c>
      <c r="AG76" s="338">
        <f t="shared" si="36"/>
        <v>0</v>
      </c>
      <c r="AH76" s="338">
        <f t="shared" si="36"/>
        <v>0</v>
      </c>
      <c r="AI76" s="338">
        <f t="shared" si="36"/>
        <v>0</v>
      </c>
      <c r="AJ76" s="338">
        <f t="shared" si="36"/>
        <v>0</v>
      </c>
      <c r="AK76" s="338">
        <f t="shared" si="36"/>
        <v>0</v>
      </c>
      <c r="AL76" s="338">
        <f t="shared" si="36"/>
        <v>0</v>
      </c>
      <c r="AM76" s="338">
        <f t="shared" si="36"/>
        <v>0</v>
      </c>
      <c r="AN76" s="338">
        <f t="shared" si="36"/>
        <v>0</v>
      </c>
      <c r="AO76" s="338">
        <f t="shared" si="36"/>
        <v>0</v>
      </c>
      <c r="AP76" s="338">
        <f t="shared" si="36"/>
        <v>0</v>
      </c>
      <c r="AQ76" s="338">
        <f t="shared" si="36"/>
        <v>0</v>
      </c>
      <c r="AR76" s="338">
        <f t="shared" si="36"/>
        <v>0</v>
      </c>
      <c r="AS76" s="338">
        <f t="shared" si="36"/>
        <v>0</v>
      </c>
      <c r="AT76" s="338">
        <f t="shared" si="36"/>
        <v>0</v>
      </c>
      <c r="AU76" s="338">
        <f t="shared" si="36"/>
        <v>0</v>
      </c>
      <c r="AV76" s="338">
        <f t="shared" si="36"/>
        <v>0</v>
      </c>
      <c r="AW76" s="338">
        <f t="shared" si="36"/>
        <v>0</v>
      </c>
      <c r="AX76" s="338">
        <f t="shared" si="36"/>
        <v>0</v>
      </c>
      <c r="AY76" s="338">
        <f t="shared" si="36"/>
        <v>0</v>
      </c>
      <c r="AZ76" s="338">
        <f t="shared" si="36"/>
        <v>0</v>
      </c>
      <c r="BA76" s="338">
        <f t="shared" si="36"/>
        <v>0</v>
      </c>
      <c r="BB76" s="338">
        <f t="shared" si="36"/>
        <v>0</v>
      </c>
      <c r="BC76" s="338">
        <f t="shared" si="36"/>
        <v>0</v>
      </c>
      <c r="BD76" s="338">
        <f t="shared" si="36"/>
        <v>0</v>
      </c>
      <c r="BE76" s="338">
        <f t="shared" si="36"/>
        <v>0</v>
      </c>
      <c r="BF76" s="338">
        <f t="shared" si="36"/>
        <v>0</v>
      </c>
      <c r="BG76" s="338">
        <f t="shared" si="36"/>
        <v>0</v>
      </c>
      <c r="BH76" s="338">
        <f t="shared" si="36"/>
        <v>0</v>
      </c>
      <c r="BI76" s="338">
        <f t="shared" si="36"/>
        <v>0</v>
      </c>
      <c r="BJ76" s="338">
        <f t="shared" si="36"/>
        <v>0</v>
      </c>
      <c r="BK76" s="338"/>
      <c r="BL76" s="338">
        <f t="shared" si="1"/>
        <v>0</v>
      </c>
      <c r="BM76" s="477">
        <f t="shared" si="31"/>
        <v>0</v>
      </c>
      <c r="BN76" s="338">
        <f t="shared" si="3"/>
        <v>0</v>
      </c>
      <c r="BO76" s="338">
        <f t="shared" si="32"/>
        <v>0</v>
      </c>
      <c r="BP76" s="338">
        <f t="shared" si="5"/>
        <v>0</v>
      </c>
      <c r="BQ76" s="338">
        <f t="shared" si="33"/>
        <v>0</v>
      </c>
      <c r="BR76" s="338"/>
      <c r="BS76" s="338"/>
      <c r="BT76" s="338"/>
      <c r="BU76" s="338"/>
      <c r="BV76" s="338"/>
      <c r="BW76" s="338"/>
      <c r="BX76" s="478"/>
      <c r="BY76" s="479"/>
      <c r="BZ76" s="479"/>
      <c r="CA76" s="345"/>
      <c r="CB76" s="338"/>
      <c r="CC76" s="338"/>
      <c r="CD76" s="338"/>
      <c r="CE76" s="338"/>
      <c r="CF76" s="338"/>
      <c r="CG76" s="338"/>
      <c r="CH76" s="338"/>
      <c r="CI76" s="338"/>
      <c r="CJ76" s="338"/>
      <c r="CK76" s="338"/>
      <c r="CL76" s="338"/>
      <c r="CM76" s="338"/>
      <c r="CN76" s="338"/>
      <c r="CO76" s="338"/>
      <c r="CP76" s="338"/>
      <c r="CQ76" s="338"/>
      <c r="CR76" s="338"/>
      <c r="CS76" s="338"/>
      <c r="CT76" s="338"/>
      <c r="CU76" s="338"/>
      <c r="CV76" s="338"/>
      <c r="CW76" s="338"/>
      <c r="CX76" s="338"/>
      <c r="CY76" s="338"/>
      <c r="CZ76" s="338"/>
      <c r="DA76" s="338"/>
      <c r="DB76" s="338"/>
      <c r="DC76" s="338"/>
      <c r="DD76" s="338"/>
      <c r="DE76" s="338"/>
      <c r="DF76" s="338"/>
      <c r="DG76" s="338"/>
      <c r="DH76" s="338"/>
      <c r="DI76" s="338"/>
      <c r="DJ76" s="338"/>
      <c r="DK76" s="338"/>
      <c r="DL76" s="338"/>
      <c r="DM76" s="338"/>
      <c r="DN76" s="338"/>
      <c r="DO76" s="338"/>
      <c r="DP76" s="338"/>
      <c r="DQ76" s="338"/>
      <c r="DR76" s="338"/>
      <c r="DS76" s="338"/>
      <c r="DT76" s="338"/>
      <c r="DU76" s="338"/>
      <c r="DV76" s="338"/>
      <c r="DW76" s="338"/>
      <c r="DX76" s="338"/>
      <c r="DY76" s="338"/>
      <c r="DZ76" s="338"/>
      <c r="EA76" s="338"/>
      <c r="EB76" s="345"/>
      <c r="EC76" s="338"/>
      <c r="ED76" s="338"/>
      <c r="EE76" s="338"/>
      <c r="EF76" s="338"/>
      <c r="EG76" s="338"/>
      <c r="EH76" s="338"/>
      <c r="EI76" s="338"/>
      <c r="EJ76" s="338"/>
      <c r="EK76" s="338"/>
      <c r="EL76" s="338"/>
      <c r="EM76" s="338"/>
      <c r="EN76" s="338"/>
      <c r="EO76" s="338"/>
      <c r="EP76" s="338"/>
      <c r="EQ76" s="338"/>
      <c r="ER76" s="338"/>
      <c r="ES76" s="338"/>
      <c r="ET76" s="338"/>
      <c r="EU76" s="338"/>
      <c r="EV76" s="338"/>
      <c r="EW76" s="338"/>
      <c r="EX76" s="338"/>
      <c r="EY76" s="338"/>
      <c r="EZ76" s="338"/>
      <c r="FA76" s="338"/>
      <c r="FB76" s="338"/>
      <c r="FC76" s="338"/>
      <c r="FD76" s="338"/>
      <c r="FE76" s="338"/>
      <c r="FF76" s="338"/>
      <c r="FG76" s="338"/>
      <c r="FH76" s="338"/>
      <c r="FI76" s="338"/>
      <c r="FJ76" s="338"/>
      <c r="FK76" s="338"/>
      <c r="FL76" s="338"/>
      <c r="FM76" s="338"/>
      <c r="FN76" s="338"/>
      <c r="FO76" s="338"/>
      <c r="FP76" s="338"/>
      <c r="FQ76" s="338"/>
      <c r="FR76" s="338"/>
      <c r="FS76" s="338"/>
      <c r="FT76" s="480"/>
      <c r="FU76" s="480"/>
      <c r="FV76" s="480"/>
      <c r="FW76" s="480"/>
      <c r="FX76" s="480"/>
      <c r="FY76" s="480"/>
      <c r="FZ76" s="480"/>
      <c r="GA76" s="480"/>
      <c r="GB76" s="481"/>
      <c r="GC76" s="480"/>
      <c r="GD76" s="480"/>
      <c r="GE76" s="480"/>
      <c r="GF76" s="480"/>
      <c r="GG76" s="480"/>
      <c r="GH76" s="480"/>
      <c r="GI76" s="480"/>
      <c r="GJ76" s="480"/>
      <c r="GK76" s="480"/>
      <c r="GL76" s="480"/>
      <c r="GM76" s="480"/>
      <c r="GN76" s="480"/>
      <c r="GO76" s="480"/>
      <c r="GP76" s="480"/>
      <c r="GQ76" s="480"/>
      <c r="GR76" s="480"/>
      <c r="GS76" s="480"/>
      <c r="GT76" s="480"/>
      <c r="GU76" s="480"/>
      <c r="GV76" s="480"/>
      <c r="GW76" s="480"/>
      <c r="GX76" s="480"/>
      <c r="GY76" s="480"/>
      <c r="GZ76" s="480"/>
      <c r="HA76" s="480"/>
      <c r="HB76" s="480"/>
      <c r="HC76" s="480"/>
      <c r="HD76" s="480"/>
      <c r="HE76" s="480"/>
      <c r="HF76" s="480"/>
      <c r="HG76" s="480"/>
      <c r="HH76" s="480"/>
      <c r="HI76" s="480"/>
      <c r="HJ76" s="480"/>
      <c r="HK76" s="480"/>
      <c r="HL76" s="480"/>
      <c r="HM76" s="480"/>
      <c r="HN76" s="480"/>
      <c r="HO76" s="480"/>
      <c r="HP76" s="480"/>
      <c r="HQ76" s="480"/>
      <c r="HR76" s="480"/>
      <c r="HS76" s="480"/>
      <c r="HT76" s="480"/>
      <c r="HU76" s="480"/>
      <c r="HV76" s="480"/>
      <c r="HW76" s="480"/>
      <c r="HX76" s="480"/>
      <c r="HY76" s="480"/>
      <c r="HZ76" s="480"/>
    </row>
    <row r="77" spans="1:234" s="482" customFormat="1" outlineLevel="2">
      <c r="A77" s="473" t="s">
        <v>472</v>
      </c>
      <c r="B77" s="474"/>
      <c r="C77" s="474"/>
      <c r="D77" s="474"/>
      <c r="E77" s="511"/>
      <c r="F77" s="474"/>
      <c r="G77" s="474"/>
      <c r="H77" s="475" t="s">
        <v>58</v>
      </c>
      <c r="I77" s="476"/>
      <c r="J77" s="476"/>
      <c r="K77" s="476"/>
      <c r="L77" s="476"/>
      <c r="M77" s="476"/>
      <c r="N77" s="373">
        <f t="shared" si="9"/>
        <v>1</v>
      </c>
      <c r="O77" s="338">
        <f t="shared" si="35"/>
        <v>0</v>
      </c>
      <c r="P77" s="338">
        <f t="shared" si="36"/>
        <v>0</v>
      </c>
      <c r="Q77" s="338">
        <f t="shared" si="36"/>
        <v>0</v>
      </c>
      <c r="R77" s="338">
        <f t="shared" si="36"/>
        <v>0</v>
      </c>
      <c r="S77" s="338">
        <f t="shared" si="36"/>
        <v>0</v>
      </c>
      <c r="T77" s="338">
        <f t="shared" si="36"/>
        <v>0</v>
      </c>
      <c r="U77" s="338">
        <f t="shared" si="36"/>
        <v>0</v>
      </c>
      <c r="V77" s="338">
        <f t="shared" si="36"/>
        <v>0</v>
      </c>
      <c r="W77" s="338">
        <f t="shared" si="36"/>
        <v>0</v>
      </c>
      <c r="X77" s="338">
        <f t="shared" si="36"/>
        <v>102</v>
      </c>
      <c r="Y77" s="338">
        <f t="shared" si="36"/>
        <v>102</v>
      </c>
      <c r="Z77" s="338">
        <f t="shared" si="36"/>
        <v>0</v>
      </c>
      <c r="AA77" s="338">
        <f t="shared" si="36"/>
        <v>0</v>
      </c>
      <c r="AB77" s="338">
        <f t="shared" si="36"/>
        <v>148</v>
      </c>
      <c r="AC77" s="338">
        <f t="shared" si="36"/>
        <v>148</v>
      </c>
      <c r="AD77" s="338">
        <f t="shared" si="36"/>
        <v>0</v>
      </c>
      <c r="AE77" s="338">
        <f t="shared" si="36"/>
        <v>0</v>
      </c>
      <c r="AF77" s="338">
        <f t="shared" si="36"/>
        <v>40</v>
      </c>
      <c r="AG77" s="338">
        <f t="shared" si="36"/>
        <v>40</v>
      </c>
      <c r="AH77" s="338">
        <f t="shared" si="36"/>
        <v>0</v>
      </c>
      <c r="AI77" s="338">
        <f t="shared" si="36"/>
        <v>0</v>
      </c>
      <c r="AJ77" s="338">
        <f t="shared" si="36"/>
        <v>50</v>
      </c>
      <c r="AK77" s="338">
        <f t="shared" si="36"/>
        <v>0</v>
      </c>
      <c r="AL77" s="338">
        <f t="shared" si="36"/>
        <v>0</v>
      </c>
      <c r="AM77" s="338">
        <f t="shared" si="36"/>
        <v>0</v>
      </c>
      <c r="AN77" s="338">
        <f t="shared" si="36"/>
        <v>100</v>
      </c>
      <c r="AO77" s="338">
        <f t="shared" si="36"/>
        <v>0</v>
      </c>
      <c r="AP77" s="338">
        <f t="shared" si="36"/>
        <v>0</v>
      </c>
      <c r="AQ77" s="338">
        <f t="shared" si="36"/>
        <v>0</v>
      </c>
      <c r="AR77" s="338">
        <f t="shared" si="36"/>
        <v>0</v>
      </c>
      <c r="AS77" s="338">
        <f t="shared" si="36"/>
        <v>0</v>
      </c>
      <c r="AT77" s="338">
        <f t="shared" si="36"/>
        <v>0</v>
      </c>
      <c r="AU77" s="338">
        <f t="shared" si="36"/>
        <v>0</v>
      </c>
      <c r="AV77" s="338">
        <f t="shared" si="36"/>
        <v>0</v>
      </c>
      <c r="AW77" s="338">
        <f t="shared" si="36"/>
        <v>0</v>
      </c>
      <c r="AX77" s="338">
        <f t="shared" si="36"/>
        <v>0</v>
      </c>
      <c r="AY77" s="338">
        <f t="shared" ref="AY77:BJ77" si="37">IFERROR(SUMPRODUCT(($A77=$A$6:$A$64)*($G$6:$G$64&gt;0)*AY$6:AY$64),"")</f>
        <v>0</v>
      </c>
      <c r="AZ77" s="338">
        <f t="shared" si="37"/>
        <v>0</v>
      </c>
      <c r="BA77" s="338">
        <f t="shared" si="37"/>
        <v>0</v>
      </c>
      <c r="BB77" s="338">
        <f t="shared" si="37"/>
        <v>0</v>
      </c>
      <c r="BC77" s="338">
        <f t="shared" si="37"/>
        <v>0</v>
      </c>
      <c r="BD77" s="338">
        <f t="shared" si="37"/>
        <v>0</v>
      </c>
      <c r="BE77" s="338">
        <f t="shared" si="37"/>
        <v>0</v>
      </c>
      <c r="BF77" s="338">
        <f t="shared" si="37"/>
        <v>0</v>
      </c>
      <c r="BG77" s="338">
        <f t="shared" si="37"/>
        <v>0</v>
      </c>
      <c r="BH77" s="338">
        <f t="shared" si="37"/>
        <v>0</v>
      </c>
      <c r="BI77" s="338">
        <f t="shared" si="37"/>
        <v>0</v>
      </c>
      <c r="BJ77" s="338">
        <f t="shared" si="37"/>
        <v>0</v>
      </c>
      <c r="BK77" s="338"/>
      <c r="BL77" s="338">
        <f t="shared" ref="BL77:BL78" si="38">SUMPRODUCT(--(MOD(COLUMN($O77:$AL77),4)=MOD(COLUMN($O77)+0,4)),$O77:$AL77)
+SUMPRODUCT(--(MOD(COLUMN($AM77:$BJ77),4)=MOD(COLUMN($AM77)+0,4)),$AM77:$BJ77)</f>
        <v>0</v>
      </c>
      <c r="BM77" s="477">
        <f t="shared" si="31"/>
        <v>0</v>
      </c>
      <c r="BN77" s="338">
        <f t="shared" ref="BN77:BN78" si="39">SUMPRODUCT(--(MOD(COLUMN($O77:$AL77),4)=MOD(COLUMN($O77)+1,4)),$O77:$AL77)
+SUMPRODUCT(--(MOD(COLUMN($AM77:$BJ77),4)=MOD(COLUMN($AM77)+1,4)),$AM77:$BJ77)</f>
        <v>440</v>
      </c>
      <c r="BO77" s="338">
        <f t="shared" si="32"/>
        <v>0</v>
      </c>
      <c r="BP77" s="338">
        <f t="shared" ref="BP77:BP78" si="40">SUMPRODUCT(--(MOD(COLUMN($O77:$AL77),4)=MOD(COLUMN($O77)+2,4)),$O77:$AL77)
+SUMPRODUCT(--(MOD(COLUMN($AM77:$BJ77),4)=MOD(COLUMN($AM77)+2,4)),$AM77:$BJ77)</f>
        <v>290</v>
      </c>
      <c r="BQ77" s="338">
        <f t="shared" si="33"/>
        <v>0</v>
      </c>
      <c r="BR77" s="338"/>
      <c r="BS77" s="338"/>
      <c r="BT77" s="338"/>
      <c r="BU77" s="338"/>
      <c r="BV77" s="338"/>
      <c r="BW77" s="338"/>
      <c r="BX77" s="478"/>
      <c r="BY77" s="479"/>
      <c r="BZ77" s="479"/>
      <c r="CA77" s="345"/>
      <c r="CB77" s="338"/>
      <c r="CC77" s="338"/>
      <c r="CD77" s="338"/>
      <c r="CE77" s="338"/>
      <c r="CF77" s="338"/>
      <c r="CG77" s="338"/>
      <c r="CH77" s="338"/>
      <c r="CI77" s="338"/>
      <c r="CJ77" s="338"/>
      <c r="CK77" s="338"/>
      <c r="CL77" s="338"/>
      <c r="CM77" s="338"/>
      <c r="CN77" s="338"/>
      <c r="CO77" s="338"/>
      <c r="CP77" s="338"/>
      <c r="CQ77" s="338"/>
      <c r="CR77" s="338"/>
      <c r="CS77" s="338"/>
      <c r="CT77" s="338"/>
      <c r="CU77" s="338"/>
      <c r="CV77" s="338"/>
      <c r="CW77" s="338"/>
      <c r="CX77" s="338"/>
      <c r="CY77" s="338"/>
      <c r="CZ77" s="338"/>
      <c r="DA77" s="338"/>
      <c r="DB77" s="338"/>
      <c r="DC77" s="338"/>
      <c r="DD77" s="338"/>
      <c r="DE77" s="338"/>
      <c r="DF77" s="338"/>
      <c r="DG77" s="338"/>
      <c r="DH77" s="338"/>
      <c r="DI77" s="338"/>
      <c r="DJ77" s="338"/>
      <c r="DK77" s="338"/>
      <c r="DL77" s="338"/>
      <c r="DM77" s="338"/>
      <c r="DN77" s="338"/>
      <c r="DO77" s="338"/>
      <c r="DP77" s="338"/>
      <c r="DQ77" s="338"/>
      <c r="DR77" s="338"/>
      <c r="DS77" s="338"/>
      <c r="DT77" s="338"/>
      <c r="DU77" s="338"/>
      <c r="DV77" s="338"/>
      <c r="DW77" s="338"/>
      <c r="DX77" s="338"/>
      <c r="DY77" s="338"/>
      <c r="DZ77" s="338"/>
      <c r="EA77" s="338"/>
      <c r="EB77" s="345"/>
      <c r="EC77" s="338"/>
      <c r="ED77" s="338"/>
      <c r="EE77" s="338"/>
      <c r="EF77" s="338"/>
      <c r="EG77" s="338"/>
      <c r="EH77" s="338"/>
      <c r="EI77" s="338"/>
      <c r="EJ77" s="338"/>
      <c r="EK77" s="338"/>
      <c r="EL77" s="338"/>
      <c r="EM77" s="338"/>
      <c r="EN77" s="338"/>
      <c r="EO77" s="338"/>
      <c r="EP77" s="338"/>
      <c r="EQ77" s="338"/>
      <c r="ER77" s="338"/>
      <c r="ES77" s="338"/>
      <c r="ET77" s="338"/>
      <c r="EU77" s="338"/>
      <c r="EV77" s="338"/>
      <c r="EW77" s="338"/>
      <c r="EX77" s="338"/>
      <c r="EY77" s="338"/>
      <c r="EZ77" s="338"/>
      <c r="FA77" s="338"/>
      <c r="FB77" s="338"/>
      <c r="FC77" s="338"/>
      <c r="FD77" s="338"/>
      <c r="FE77" s="338"/>
      <c r="FF77" s="338"/>
      <c r="FG77" s="338"/>
      <c r="FH77" s="338"/>
      <c r="FI77" s="338"/>
      <c r="FJ77" s="338"/>
      <c r="FK77" s="338"/>
      <c r="FL77" s="338"/>
      <c r="FM77" s="338"/>
      <c r="FN77" s="338"/>
      <c r="FO77" s="338"/>
      <c r="FP77" s="338"/>
      <c r="FQ77" s="338"/>
      <c r="FR77" s="338"/>
      <c r="FS77" s="338"/>
      <c r="FT77" s="480"/>
      <c r="FU77" s="480"/>
      <c r="FV77" s="480"/>
      <c r="FW77" s="480"/>
      <c r="FX77" s="480"/>
      <c r="FY77" s="480"/>
      <c r="FZ77" s="480"/>
      <c r="GA77" s="480"/>
      <c r="GB77" s="481"/>
      <c r="GC77" s="480"/>
      <c r="GD77" s="480"/>
      <c r="GE77" s="480"/>
      <c r="GF77" s="480"/>
      <c r="GG77" s="480"/>
      <c r="GH77" s="480"/>
      <c r="GI77" s="480"/>
      <c r="GJ77" s="480"/>
      <c r="GK77" s="480"/>
      <c r="GL77" s="480"/>
      <c r="GM77" s="480"/>
      <c r="GN77" s="480"/>
      <c r="GO77" s="480"/>
      <c r="GP77" s="480"/>
      <c r="GQ77" s="480"/>
      <c r="GR77" s="480"/>
      <c r="GS77" s="480"/>
      <c r="GT77" s="480"/>
      <c r="GU77" s="480"/>
      <c r="GV77" s="480"/>
      <c r="GW77" s="480"/>
      <c r="GX77" s="480"/>
      <c r="GY77" s="480"/>
      <c r="GZ77" s="480"/>
      <c r="HA77" s="480"/>
      <c r="HB77" s="480"/>
      <c r="HC77" s="480"/>
      <c r="HD77" s="480"/>
      <c r="HE77" s="480"/>
      <c r="HF77" s="480"/>
      <c r="HG77" s="480"/>
      <c r="HH77" s="480"/>
      <c r="HI77" s="480"/>
      <c r="HJ77" s="480"/>
      <c r="HK77" s="480"/>
      <c r="HL77" s="480"/>
      <c r="HM77" s="480"/>
      <c r="HN77" s="480"/>
      <c r="HO77" s="480"/>
      <c r="HP77" s="480"/>
      <c r="HQ77" s="480"/>
      <c r="HR77" s="480"/>
      <c r="HS77" s="480"/>
      <c r="HT77" s="480"/>
      <c r="HU77" s="480"/>
      <c r="HV77" s="480"/>
      <c r="HW77" s="480"/>
      <c r="HX77" s="480"/>
      <c r="HY77" s="480"/>
      <c r="HZ77" s="480"/>
    </row>
    <row r="78" spans="1:234" s="77" customFormat="1" outlineLevel="2">
      <c r="A78" s="78" t="s">
        <v>473</v>
      </c>
      <c r="B78" s="79"/>
      <c r="C78" s="79"/>
      <c r="D78" s="79"/>
      <c r="E78" s="510"/>
      <c r="F78" s="79"/>
      <c r="G78" s="79"/>
      <c r="H78" s="80" t="s">
        <v>58</v>
      </c>
      <c r="I78" s="82"/>
      <c r="J78" s="82"/>
      <c r="K78" s="82"/>
      <c r="L78" s="82"/>
      <c r="M78" s="82"/>
      <c r="N78" s="373">
        <f t="shared" si="9"/>
        <v>1</v>
      </c>
      <c r="O78" s="81">
        <f t="shared" si="35"/>
        <v>64</v>
      </c>
      <c r="P78" s="81">
        <f t="shared" si="36"/>
        <v>0</v>
      </c>
      <c r="Q78" s="81">
        <f t="shared" si="36"/>
        <v>0</v>
      </c>
      <c r="R78" s="81">
        <f t="shared" si="36"/>
        <v>0</v>
      </c>
      <c r="S78" s="81">
        <f t="shared" si="36"/>
        <v>64</v>
      </c>
      <c r="T78" s="81">
        <f t="shared" si="36"/>
        <v>0</v>
      </c>
      <c r="U78" s="81">
        <f t="shared" si="36"/>
        <v>0</v>
      </c>
      <c r="V78" s="81">
        <f t="shared" si="36"/>
        <v>0</v>
      </c>
      <c r="W78" s="81">
        <f t="shared" si="36"/>
        <v>64</v>
      </c>
      <c r="X78" s="81">
        <f t="shared" si="36"/>
        <v>80</v>
      </c>
      <c r="Y78" s="81">
        <f t="shared" si="36"/>
        <v>80</v>
      </c>
      <c r="Z78" s="81">
        <f t="shared" si="36"/>
        <v>0</v>
      </c>
      <c r="AA78" s="81">
        <f t="shared" si="36"/>
        <v>224</v>
      </c>
      <c r="AB78" s="81">
        <f t="shared" si="36"/>
        <v>0</v>
      </c>
      <c r="AC78" s="81">
        <f t="shared" si="36"/>
        <v>0</v>
      </c>
      <c r="AD78" s="81">
        <f t="shared" si="36"/>
        <v>0</v>
      </c>
      <c r="AE78" s="81">
        <f t="shared" si="36"/>
        <v>224</v>
      </c>
      <c r="AF78" s="81">
        <f t="shared" si="36"/>
        <v>40</v>
      </c>
      <c r="AG78" s="81">
        <f t="shared" si="36"/>
        <v>40</v>
      </c>
      <c r="AH78" s="81">
        <f t="shared" si="36"/>
        <v>0</v>
      </c>
      <c r="AI78" s="81">
        <f t="shared" si="36"/>
        <v>224</v>
      </c>
      <c r="AJ78" s="81">
        <f t="shared" si="36"/>
        <v>84</v>
      </c>
      <c r="AK78" s="81">
        <f t="shared" si="36"/>
        <v>0</v>
      </c>
      <c r="AL78" s="81">
        <f t="shared" si="36"/>
        <v>0</v>
      </c>
      <c r="AM78" s="81">
        <f t="shared" si="36"/>
        <v>448</v>
      </c>
      <c r="AN78" s="81">
        <f t="shared" si="36"/>
        <v>24</v>
      </c>
      <c r="AO78" s="81">
        <f t="shared" si="36"/>
        <v>0</v>
      </c>
      <c r="AP78" s="81">
        <f t="shared" si="36"/>
        <v>0</v>
      </c>
      <c r="AQ78" s="81">
        <f t="shared" si="36"/>
        <v>448</v>
      </c>
      <c r="AR78" s="81">
        <f t="shared" si="36"/>
        <v>60</v>
      </c>
      <c r="AS78" s="81">
        <f t="shared" si="36"/>
        <v>0</v>
      </c>
      <c r="AT78" s="81">
        <f t="shared" si="36"/>
        <v>0</v>
      </c>
      <c r="AU78" s="81">
        <f t="shared" si="36"/>
        <v>448</v>
      </c>
      <c r="AV78" s="81">
        <f t="shared" si="36"/>
        <v>224</v>
      </c>
      <c r="AW78" s="81">
        <f t="shared" si="36"/>
        <v>0</v>
      </c>
      <c r="AX78" s="81">
        <f t="shared" si="36"/>
        <v>0</v>
      </c>
      <c r="AY78" s="81">
        <f t="shared" si="36"/>
        <v>448</v>
      </c>
      <c r="AZ78" s="81">
        <f t="shared" si="36"/>
        <v>448</v>
      </c>
      <c r="BA78" s="81">
        <f t="shared" si="36"/>
        <v>0</v>
      </c>
      <c r="BB78" s="81">
        <f t="shared" si="36"/>
        <v>0</v>
      </c>
      <c r="BC78" s="81">
        <f t="shared" si="36"/>
        <v>448</v>
      </c>
      <c r="BD78" s="81">
        <f t="shared" si="36"/>
        <v>448</v>
      </c>
      <c r="BE78" s="81">
        <f t="shared" si="36"/>
        <v>0</v>
      </c>
      <c r="BF78" s="81">
        <f t="shared" si="36"/>
        <v>0</v>
      </c>
      <c r="BG78" s="81">
        <f t="shared" si="36"/>
        <v>448</v>
      </c>
      <c r="BH78" s="81">
        <f t="shared" si="36"/>
        <v>448</v>
      </c>
      <c r="BI78" s="81">
        <f t="shared" si="36"/>
        <v>0</v>
      </c>
      <c r="BJ78" s="81">
        <f t="shared" si="36"/>
        <v>0</v>
      </c>
      <c r="BK78" s="81"/>
      <c r="BL78" s="81">
        <f t="shared" si="38"/>
        <v>3552</v>
      </c>
      <c r="BM78" s="470">
        <f t="shared" si="31"/>
        <v>0</v>
      </c>
      <c r="BN78" s="81">
        <f t="shared" si="39"/>
        <v>1856</v>
      </c>
      <c r="BO78" s="81">
        <f t="shared" si="32"/>
        <v>0</v>
      </c>
      <c r="BP78" s="81">
        <f t="shared" si="40"/>
        <v>120</v>
      </c>
      <c r="BQ78" s="81">
        <f t="shared" si="33"/>
        <v>0</v>
      </c>
      <c r="BR78" s="81"/>
      <c r="BS78" s="81"/>
      <c r="BT78" s="81"/>
      <c r="BU78" s="81"/>
      <c r="BV78" s="81"/>
      <c r="BW78" s="81"/>
      <c r="BX78" s="84"/>
      <c r="BY78" s="85"/>
      <c r="BZ78" s="85"/>
      <c r="CA78" s="83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3"/>
      <c r="EC78" s="81"/>
      <c r="ED78" s="81"/>
      <c r="EE78" s="81"/>
      <c r="EF78" s="81"/>
      <c r="EG78" s="81"/>
      <c r="EH78" s="81"/>
      <c r="EI78" s="81"/>
      <c r="EJ78" s="81"/>
      <c r="EK78" s="81"/>
      <c r="EL78" s="81"/>
      <c r="EM78" s="81"/>
      <c r="EN78" s="81"/>
      <c r="EO78" s="81"/>
      <c r="EP78" s="81"/>
      <c r="EQ78" s="81"/>
      <c r="ER78" s="81"/>
      <c r="ES78" s="81"/>
      <c r="ET78" s="81"/>
      <c r="EU78" s="81"/>
      <c r="EV78" s="81"/>
      <c r="EW78" s="81"/>
      <c r="EX78" s="81"/>
      <c r="EY78" s="81"/>
      <c r="EZ78" s="81"/>
      <c r="FA78" s="81"/>
      <c r="FB78" s="81"/>
      <c r="FC78" s="81"/>
      <c r="FD78" s="81"/>
      <c r="FE78" s="81"/>
      <c r="FF78" s="81"/>
      <c r="FG78" s="81"/>
      <c r="FH78" s="81"/>
      <c r="FI78" s="81"/>
      <c r="FJ78" s="81"/>
      <c r="FK78" s="81"/>
      <c r="FL78" s="81"/>
      <c r="FM78" s="81"/>
      <c r="FN78" s="81"/>
      <c r="FO78" s="81"/>
      <c r="FP78" s="81"/>
      <c r="FQ78" s="81"/>
      <c r="FR78" s="81"/>
      <c r="FS78" s="81"/>
      <c r="FT78" s="86"/>
      <c r="FU78" s="86"/>
      <c r="FV78" s="86"/>
      <c r="FW78" s="86"/>
      <c r="FX78" s="86"/>
      <c r="FY78" s="86"/>
      <c r="FZ78" s="86"/>
      <c r="GA78" s="86"/>
      <c r="GB78" s="87"/>
      <c r="GC78" s="86"/>
      <c r="GD78" s="86"/>
      <c r="GE78" s="86"/>
      <c r="GF78" s="86"/>
      <c r="GG78" s="86"/>
      <c r="GH78" s="86"/>
      <c r="GI78" s="86"/>
      <c r="GJ78" s="86"/>
      <c r="GK78" s="86"/>
      <c r="GL78" s="86"/>
      <c r="GM78" s="86"/>
      <c r="GN78" s="86"/>
      <c r="GO78" s="86"/>
      <c r="GP78" s="86"/>
      <c r="GQ78" s="86"/>
      <c r="GR78" s="86"/>
      <c r="GS78" s="86"/>
      <c r="GT78" s="86"/>
      <c r="GU78" s="86"/>
      <c r="GV78" s="86"/>
      <c r="GW78" s="86"/>
      <c r="GX78" s="86"/>
      <c r="GY78" s="86"/>
      <c r="GZ78" s="86"/>
      <c r="HA78" s="86"/>
      <c r="HB78" s="86"/>
      <c r="HC78" s="86"/>
      <c r="HD78" s="86"/>
      <c r="HE78" s="86"/>
      <c r="HF78" s="86"/>
      <c r="HG78" s="86"/>
      <c r="HH78" s="86"/>
      <c r="HI78" s="86"/>
      <c r="HJ78" s="86"/>
      <c r="HK78" s="86"/>
      <c r="HL78" s="86"/>
      <c r="HM78" s="86"/>
      <c r="HN78" s="86"/>
      <c r="HO78" s="86"/>
      <c r="HP78" s="86"/>
      <c r="HQ78" s="86"/>
      <c r="HR78" s="86"/>
      <c r="HS78" s="86"/>
      <c r="HT78" s="86"/>
      <c r="HU78" s="86"/>
      <c r="HV78" s="86"/>
      <c r="HW78" s="86"/>
      <c r="HX78" s="86"/>
      <c r="HY78" s="86"/>
      <c r="HZ78" s="86"/>
    </row>
    <row r="79" spans="1:234" s="88" customFormat="1" outlineLevel="1">
      <c r="A79" s="89" t="s">
        <v>57</v>
      </c>
      <c r="B79" s="90"/>
      <c r="C79" s="90"/>
      <c r="D79" s="90"/>
      <c r="E79" s="512"/>
      <c r="F79" s="90"/>
      <c r="G79" s="90"/>
      <c r="H79" s="91" t="s">
        <v>58</v>
      </c>
      <c r="I79" s="93"/>
      <c r="J79" s="93"/>
      <c r="K79" s="93"/>
      <c r="L79" s="93"/>
      <c r="M79" s="93"/>
      <c r="N79" s="374">
        <f t="shared" ref="N79" si="41">IF(BP79&gt;0,1,IF(BN79&gt;0,2,))</f>
        <v>1</v>
      </c>
      <c r="O79" s="92">
        <f t="shared" ref="O79:BJ79" si="42">IFERROR(SUMPRODUCT(($G$6:$G$64&gt;0)*O$6:O$64),"")</f>
        <v>64</v>
      </c>
      <c r="P79" s="92">
        <f t="shared" si="42"/>
        <v>0</v>
      </c>
      <c r="Q79" s="92">
        <f t="shared" si="42"/>
        <v>0</v>
      </c>
      <c r="R79" s="92">
        <f t="shared" si="42"/>
        <v>0</v>
      </c>
      <c r="S79" s="92">
        <f t="shared" si="42"/>
        <v>2064</v>
      </c>
      <c r="T79" s="92">
        <f t="shared" si="42"/>
        <v>0</v>
      </c>
      <c r="U79" s="92">
        <f t="shared" si="42"/>
        <v>0</v>
      </c>
      <c r="V79" s="92">
        <f t="shared" si="42"/>
        <v>0</v>
      </c>
      <c r="W79" s="92">
        <f t="shared" si="42"/>
        <v>64</v>
      </c>
      <c r="X79" s="92">
        <f t="shared" si="42"/>
        <v>182</v>
      </c>
      <c r="Y79" s="92">
        <f t="shared" si="42"/>
        <v>182</v>
      </c>
      <c r="Z79" s="92">
        <f t="shared" si="42"/>
        <v>0</v>
      </c>
      <c r="AA79" s="92">
        <f t="shared" si="42"/>
        <v>254</v>
      </c>
      <c r="AB79" s="92">
        <f t="shared" si="42"/>
        <v>2148</v>
      </c>
      <c r="AC79" s="92">
        <f t="shared" si="42"/>
        <v>2148</v>
      </c>
      <c r="AD79" s="92">
        <f t="shared" si="42"/>
        <v>0</v>
      </c>
      <c r="AE79" s="92">
        <f t="shared" si="42"/>
        <v>254</v>
      </c>
      <c r="AF79" s="92">
        <f t="shared" si="42"/>
        <v>80</v>
      </c>
      <c r="AG79" s="92">
        <f t="shared" si="42"/>
        <v>80</v>
      </c>
      <c r="AH79" s="92">
        <f t="shared" si="42"/>
        <v>0</v>
      </c>
      <c r="AI79" s="92">
        <f t="shared" si="42"/>
        <v>424</v>
      </c>
      <c r="AJ79" s="92">
        <f t="shared" si="42"/>
        <v>134</v>
      </c>
      <c r="AK79" s="92">
        <f t="shared" si="42"/>
        <v>0</v>
      </c>
      <c r="AL79" s="92">
        <f t="shared" si="42"/>
        <v>0</v>
      </c>
      <c r="AM79" s="92">
        <f t="shared" si="42"/>
        <v>848</v>
      </c>
      <c r="AN79" s="92">
        <f t="shared" si="42"/>
        <v>124</v>
      </c>
      <c r="AO79" s="92">
        <f t="shared" si="42"/>
        <v>0</v>
      </c>
      <c r="AP79" s="92">
        <f t="shared" si="42"/>
        <v>0</v>
      </c>
      <c r="AQ79" s="92">
        <f t="shared" si="42"/>
        <v>848</v>
      </c>
      <c r="AR79" s="92">
        <f t="shared" si="42"/>
        <v>1660</v>
      </c>
      <c r="AS79" s="92">
        <f t="shared" si="42"/>
        <v>0</v>
      </c>
      <c r="AT79" s="92">
        <f t="shared" si="42"/>
        <v>0</v>
      </c>
      <c r="AU79" s="92">
        <f t="shared" si="42"/>
        <v>848</v>
      </c>
      <c r="AV79" s="92">
        <f t="shared" si="42"/>
        <v>424</v>
      </c>
      <c r="AW79" s="92">
        <f t="shared" si="42"/>
        <v>0</v>
      </c>
      <c r="AX79" s="92">
        <f t="shared" si="42"/>
        <v>0</v>
      </c>
      <c r="AY79" s="92">
        <f t="shared" si="42"/>
        <v>1248</v>
      </c>
      <c r="AZ79" s="92">
        <f t="shared" si="42"/>
        <v>648</v>
      </c>
      <c r="BA79" s="92">
        <f t="shared" si="42"/>
        <v>0</v>
      </c>
      <c r="BB79" s="92">
        <f t="shared" si="42"/>
        <v>0</v>
      </c>
      <c r="BC79" s="92">
        <f t="shared" si="42"/>
        <v>1248</v>
      </c>
      <c r="BD79" s="92">
        <f t="shared" si="42"/>
        <v>848</v>
      </c>
      <c r="BE79" s="92">
        <f t="shared" si="42"/>
        <v>0</v>
      </c>
      <c r="BF79" s="92">
        <f t="shared" si="42"/>
        <v>0</v>
      </c>
      <c r="BG79" s="92">
        <f t="shared" si="42"/>
        <v>1248</v>
      </c>
      <c r="BH79" s="92">
        <f t="shared" si="42"/>
        <v>1248</v>
      </c>
      <c r="BI79" s="92">
        <f t="shared" si="42"/>
        <v>0</v>
      </c>
      <c r="BJ79" s="92">
        <f t="shared" si="42"/>
        <v>0</v>
      </c>
      <c r="BK79" s="92"/>
      <c r="BL79" s="92">
        <f>SUMPRODUCT(--(MOD(COLUMN($O79:$AL79),4)=MOD(COLUMN($O79)+0,4)),$O79:$AL79)
+SUMPRODUCT(--(MOD(COLUMN($AM79:$BJ79),4)=MOD(COLUMN($AM79)+0,4)),$AM79:$BJ79)</f>
        <v>9412</v>
      </c>
      <c r="BM79" s="471">
        <f t="shared" si="31"/>
        <v>0</v>
      </c>
      <c r="BN79" s="92">
        <f>SUMPRODUCT(--(MOD(COLUMN($O79:$AL79),4)=MOD(COLUMN($O79)+1,4)),$O79:$AL79)
+SUMPRODUCT(--(MOD(COLUMN($AM79:$BJ79),4)=MOD(COLUMN($AM79)+1,4)),$AM79:$BJ79)</f>
        <v>7496</v>
      </c>
      <c r="BO79" s="92">
        <f t="shared" si="32"/>
        <v>0</v>
      </c>
      <c r="BP79" s="92">
        <f>SUMPRODUCT(--(MOD(COLUMN($O79:$AL79),4)=MOD(COLUMN($O79)+2,4)),$O79:$AL79)
+SUMPRODUCT(--(MOD(COLUMN($AM79:$BJ79),4)=MOD(COLUMN($AM79)+2,4)),$AM79:$BJ79)</f>
        <v>2410</v>
      </c>
      <c r="BQ79" s="92">
        <f t="shared" si="33"/>
        <v>0</v>
      </c>
      <c r="BR79" s="92"/>
      <c r="BS79" s="92"/>
      <c r="BT79" s="92"/>
      <c r="BU79" s="92"/>
      <c r="BV79" s="92"/>
      <c r="BW79" s="92"/>
      <c r="BX79" s="95"/>
      <c r="BY79" s="96"/>
      <c r="BZ79" s="96"/>
      <c r="CA79" s="94"/>
      <c r="CB79" s="92"/>
      <c r="CC79" s="92"/>
      <c r="CD79" s="92"/>
      <c r="CE79" s="92"/>
      <c r="CF79" s="92"/>
      <c r="CG79" s="92"/>
      <c r="CH79" s="92"/>
      <c r="CI79" s="92"/>
      <c r="CJ79" s="92"/>
      <c r="CK79" s="92"/>
      <c r="CL79" s="92"/>
      <c r="CM79" s="92"/>
      <c r="CN79" s="92"/>
      <c r="CO79" s="92"/>
      <c r="CP79" s="92"/>
      <c r="CQ79" s="92"/>
      <c r="CR79" s="92"/>
      <c r="CS79" s="92"/>
      <c r="CT79" s="92"/>
      <c r="CU79" s="92"/>
      <c r="CV79" s="92"/>
      <c r="CW79" s="92"/>
      <c r="CX79" s="92"/>
      <c r="CY79" s="92"/>
      <c r="CZ79" s="92"/>
      <c r="DA79" s="92"/>
      <c r="DB79" s="92"/>
      <c r="DC79" s="92"/>
      <c r="DD79" s="92"/>
      <c r="DE79" s="92"/>
      <c r="DF79" s="92"/>
      <c r="DG79" s="92"/>
      <c r="DH79" s="92"/>
      <c r="DI79" s="92"/>
      <c r="DJ79" s="92"/>
      <c r="DK79" s="92"/>
      <c r="DL79" s="92"/>
      <c r="DM79" s="92"/>
      <c r="DN79" s="92"/>
      <c r="DO79" s="92"/>
      <c r="DP79" s="92"/>
      <c r="DQ79" s="92"/>
      <c r="DR79" s="92"/>
      <c r="DS79" s="92"/>
      <c r="DT79" s="92"/>
      <c r="DU79" s="92"/>
      <c r="DV79" s="92"/>
      <c r="DW79" s="92"/>
      <c r="DX79" s="92"/>
      <c r="DY79" s="92"/>
      <c r="DZ79" s="92"/>
      <c r="EA79" s="92"/>
      <c r="EB79" s="94"/>
      <c r="EC79" s="92"/>
      <c r="ED79" s="92"/>
      <c r="EE79" s="92"/>
      <c r="EF79" s="92"/>
      <c r="EG79" s="92"/>
      <c r="EH79" s="92"/>
      <c r="EI79" s="92"/>
      <c r="EJ79" s="92"/>
      <c r="EK79" s="92"/>
      <c r="EL79" s="92"/>
      <c r="EM79" s="92"/>
      <c r="EN79" s="92"/>
      <c r="EO79" s="92"/>
      <c r="EP79" s="92"/>
      <c r="EQ79" s="92"/>
      <c r="ER79" s="92"/>
      <c r="ES79" s="92"/>
      <c r="ET79" s="92"/>
      <c r="EU79" s="92"/>
      <c r="EV79" s="92"/>
      <c r="EW79" s="92"/>
      <c r="EX79" s="92"/>
      <c r="EY79" s="92"/>
      <c r="EZ79" s="92"/>
      <c r="FA79" s="92"/>
      <c r="FB79" s="92"/>
      <c r="FC79" s="92"/>
      <c r="FD79" s="92"/>
      <c r="FE79" s="92"/>
      <c r="FF79" s="92"/>
      <c r="FG79" s="92"/>
      <c r="FH79" s="92"/>
      <c r="FI79" s="92"/>
      <c r="FJ79" s="92"/>
      <c r="FK79" s="92"/>
      <c r="FL79" s="92"/>
      <c r="FM79" s="92"/>
      <c r="FN79" s="92"/>
      <c r="FO79" s="92"/>
      <c r="FP79" s="92"/>
      <c r="FQ79" s="92"/>
      <c r="FR79" s="92"/>
      <c r="FS79" s="92"/>
      <c r="FT79" s="97"/>
      <c r="FU79" s="97"/>
      <c r="FV79" s="97"/>
      <c r="FW79" s="97"/>
      <c r="FX79" s="97"/>
      <c r="FY79" s="97"/>
      <c r="FZ79" s="97"/>
      <c r="GA79" s="97"/>
      <c r="GB79" s="98"/>
      <c r="GC79" s="97"/>
      <c r="GD79" s="97"/>
      <c r="GE79" s="97"/>
      <c r="GF79" s="97"/>
      <c r="GG79" s="97"/>
      <c r="GH79" s="97"/>
      <c r="GI79" s="97"/>
      <c r="GJ79" s="97"/>
      <c r="GK79" s="97"/>
      <c r="GL79" s="97"/>
      <c r="GM79" s="97"/>
      <c r="GN79" s="97"/>
      <c r="GO79" s="97"/>
      <c r="GP79" s="97"/>
      <c r="GQ79" s="97"/>
      <c r="GR79" s="97"/>
      <c r="GS79" s="97"/>
      <c r="GT79" s="97"/>
      <c r="GU79" s="97"/>
      <c r="GV79" s="97"/>
      <c r="GW79" s="97"/>
      <c r="GX79" s="97"/>
      <c r="GY79" s="97"/>
      <c r="GZ79" s="97"/>
      <c r="HA79" s="97"/>
      <c r="HB79" s="97"/>
      <c r="HC79" s="97"/>
      <c r="HD79" s="97"/>
      <c r="HE79" s="97"/>
      <c r="HF79" s="97"/>
      <c r="HG79" s="97"/>
      <c r="HH79" s="97"/>
      <c r="HI79" s="97"/>
      <c r="HJ79" s="97"/>
      <c r="HK79" s="97"/>
      <c r="HL79" s="97"/>
      <c r="HM79" s="97"/>
      <c r="HN79" s="97"/>
      <c r="HO79" s="97"/>
      <c r="HP79" s="97"/>
      <c r="HQ79" s="97"/>
      <c r="HR79" s="97"/>
      <c r="HS79" s="97"/>
      <c r="HT79" s="97"/>
      <c r="HU79" s="97"/>
      <c r="HV79" s="97"/>
      <c r="HW79" s="97"/>
      <c r="HX79" s="97"/>
      <c r="HY79" s="97"/>
      <c r="HZ79" s="97"/>
    </row>
  </sheetData>
  <sheetProtection formatCells="0" formatColumns="0" formatRows="0" insertColumns="0" insertRows="0" insertHyperlinks="0" deleteColumns="0" deleteRows="0" sort="0" autoFilter="0" pivotTables="0"/>
  <autoFilter ref="A5:HZ79" xr:uid="{0B3708E1-3652-4392-9C23-40F7185AB8F5}"/>
  <mergeCells count="65">
    <mergeCell ref="I3:L3"/>
    <mergeCell ref="I4:I5"/>
    <mergeCell ref="J4:J5"/>
    <mergeCell ref="K4:K5"/>
    <mergeCell ref="L4:L5"/>
    <mergeCell ref="DL4:DO4"/>
    <mergeCell ref="DP4:DP5"/>
    <mergeCell ref="DS4:DS5"/>
    <mergeCell ref="DT4:DT5"/>
    <mergeCell ref="DU4:DX4"/>
    <mergeCell ref="DQ4:DR4"/>
    <mergeCell ref="N3:BR3"/>
    <mergeCell ref="BS3:DS3"/>
    <mergeCell ref="DT3:FT3"/>
    <mergeCell ref="FQ4:FQ5"/>
    <mergeCell ref="FT4:FT5"/>
    <mergeCell ref="BT4:BW4"/>
    <mergeCell ref="BX4:CA4"/>
    <mergeCell ref="CB4:CE4"/>
    <mergeCell ref="CF4:CI4"/>
    <mergeCell ref="CJ4:CM4"/>
    <mergeCell ref="CN4:CQ4"/>
    <mergeCell ref="CR4:CU4"/>
    <mergeCell ref="CV4:CY4"/>
    <mergeCell ref="CZ4:DC4"/>
    <mergeCell ref="DD4:DG4"/>
    <mergeCell ref="DH4:DK4"/>
    <mergeCell ref="W4:Z4"/>
    <mergeCell ref="AA4:AD4"/>
    <mergeCell ref="A4:A5"/>
    <mergeCell ref="B4:B5"/>
    <mergeCell ref="C4:C5"/>
    <mergeCell ref="D4:D5"/>
    <mergeCell ref="E4:E5"/>
    <mergeCell ref="F4:F5"/>
    <mergeCell ref="G4:G5"/>
    <mergeCell ref="H4:H5"/>
    <mergeCell ref="M4:M5"/>
    <mergeCell ref="O4:R4"/>
    <mergeCell ref="S4:V4"/>
    <mergeCell ref="N4:N5"/>
    <mergeCell ref="AE4:AH4"/>
    <mergeCell ref="AI4:AL4"/>
    <mergeCell ref="AM4:AP4"/>
    <mergeCell ref="AQ4:AT4"/>
    <mergeCell ref="AU4:AX4"/>
    <mergeCell ref="AY4:BB4"/>
    <mergeCell ref="BC4:BF4"/>
    <mergeCell ref="BG4:BJ4"/>
    <mergeCell ref="BS4:BS5"/>
    <mergeCell ref="BR4:BR5"/>
    <mergeCell ref="BK4:BK5"/>
    <mergeCell ref="BL4:BQ4"/>
    <mergeCell ref="FR4:FS4"/>
    <mergeCell ref="ES4:EV4"/>
    <mergeCell ref="EW4:EZ4"/>
    <mergeCell ref="FA4:FD4"/>
    <mergeCell ref="FE4:FH4"/>
    <mergeCell ref="FI4:FL4"/>
    <mergeCell ref="FM4:FP4"/>
    <mergeCell ref="DY4:EB4"/>
    <mergeCell ref="EC4:EF4"/>
    <mergeCell ref="EG4:EJ4"/>
    <mergeCell ref="EK4:EN4"/>
    <mergeCell ref="EO4:ER4"/>
  </mergeCells>
  <conditionalFormatting sqref="F6:F64">
    <cfRule type="cellIs" dxfId="64" priority="1356" operator="equal">
      <formula>2</formula>
    </cfRule>
  </conditionalFormatting>
  <conditionalFormatting sqref="G6:G64">
    <cfRule type="expression" dxfId="62" priority="1423">
      <formula>IF($G6&gt;0,IF(SUMPRODUCT((Список_артикулов=$G6)*1)&gt;0,0,1),0)</formula>
    </cfRule>
    <cfRule type="expression" dxfId="61" priority="1424">
      <formula>IF($G6&gt;0,IF(SUMPRODUCT((Список_Сводная_Тормоз_2026=($F6&amp;"_"&amp;$G6))*1)&gt;0,0,1),0)</formula>
    </cfRule>
    <cfRule type="expression" dxfId="60" priority="1425">
      <formula>IF($G6&gt;0,IF(SUMPRODUCT(($A$6:$A$457=$A6)*($F$6:$F$457=$F6)*($G$6:$G$457=$G6)*(#REF!=#REF!))&gt;1,1,0),0)</formula>
    </cfRule>
  </conditionalFormatting>
  <conditionalFormatting sqref="I6:J64">
    <cfRule type="expression" dxfId="59" priority="1">
      <formula>IF($J$1&gt;0,IF(IFERROR(SEARCH("НДС_20",_xlfn.FORMULATEXT(I6),1),0)&gt;0,1,0),0)</formula>
    </cfRule>
    <cfRule type="expression" dxfId="58" priority="26">
      <formula>IF($J$1&gt;0,IF(IFERROR(SEARCH("НДС",_xlfn.FORMULATEXT(I6),1),0)&gt;0,1,0),0)</formula>
    </cfRule>
  </conditionalFormatting>
  <conditionalFormatting sqref="K6:K64">
    <cfRule type="containsText" dxfId="57" priority="45" operator="containsText" text="EUR">
      <formula>NOT(ISERROR(SEARCH("EUR",K6)))</formula>
    </cfRule>
    <cfRule type="containsText" dxfId="56" priority="46" operator="containsText" text="RUB">
      <formula>NOT(ISERROR(SEARCH("RUB",K6)))</formula>
    </cfRule>
  </conditionalFormatting>
  <conditionalFormatting sqref="L6:L64">
    <cfRule type="expression" dxfId="55" priority="43">
      <formula>IF($L6&lt;$I6,1,0)</formula>
    </cfRule>
    <cfRule type="expression" dxfId="54" priority="44">
      <formula>IF($L6="",0,IF($L6&gt;$I6,1,0))</formula>
    </cfRule>
  </conditionalFormatting>
  <conditionalFormatting sqref="N6:N79 BL6:BQ79 O66:BJ79">
    <cfRule type="expression" dxfId="53" priority="58">
      <formula>IF(_xlfn.ISFORMULA(N6),0,1)</formula>
    </cfRule>
  </conditionalFormatting>
  <conditionalFormatting sqref="O6:BJ64">
    <cfRule type="expression" dxfId="52" priority="52">
      <formula>_xlfn.ISFORMULA(O6)</formula>
    </cfRule>
  </conditionalFormatting>
  <dataValidations disablePrompts="1" count="1">
    <dataValidation type="list" allowBlank="1" showInputMessage="1" showErrorMessage="1" sqref="J1:J2" xr:uid="{CA11EC0C-9081-46AF-B470-07BF72C46FF3}">
      <formula1>"х"</formula1>
    </dataValidation>
  </dataValidations>
  <hyperlinks>
    <hyperlink ref="A1" r:id="rId1" display="https://cbr.ru/currency_base/dynamics/?UniDbQuery.Posted=True&amp;UniDbQuery.VAL_NM_RQ=R01239" xr:uid="{2E3C6536-129C-4811-B0FA-CFFA78A7F834}"/>
    <hyperlink ref="A2" r:id="rId2" display="https://cbr.ru/currency_base/dynamics/?UniDbQuery.Posted=True&amp;UniDbQuery.VAL_NM_RQ=R01375" xr:uid="{97766DE4-85D6-4A0F-A81A-64B5D4CFF310}"/>
  </hyperlinks>
  <pageMargins left="0.7" right="0.7" top="0.75" bottom="0.75" header="0.3" footer="0.3"/>
  <pageSetup paperSize="9" orientation="portrait"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57" operator="containsText" id="{00470038-004F-4655-A87B-008600E400A6}">
            <xm:f>NOT(ISERROR(SEARCH($G$3,G3)))</xm:f>
            <xm:f>$G$3</xm:f>
            <x14:dxf>
              <fill>
                <patternFill patternType="solid">
                  <fgColor theme="4" tint="0.59996337778862885"/>
                  <bgColor theme="4" tint="0.39994506668294322"/>
                </patternFill>
              </fill>
            </x14:dxf>
          </x14:cfRule>
          <xm:sqref>G3 G6:G64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T351"/>
  <sheetViews>
    <sheetView tabSelected="1" zoomScale="70" zoomScaleNormal="70" workbookViewId="0">
      <pane xSplit="13" ySplit="5" topLeftCell="AN6" activePane="bottomRight" state="frozen"/>
      <selection pane="topRight" activeCell="P1" sqref="P1"/>
      <selection pane="bottomLeft" activeCell="A6" sqref="A6"/>
      <selection pane="bottomRight" activeCell="H8" sqref="H8"/>
    </sheetView>
  </sheetViews>
  <sheetFormatPr defaultColWidth="12.6640625" defaultRowHeight="14.4" outlineLevelRow="2" outlineLevelCol="2"/>
  <cols>
    <col min="1" max="1" width="15.6640625" style="1" customWidth="1"/>
    <col min="2" max="2" width="18.88671875" style="1" hidden="1" customWidth="1" outlineLevel="1"/>
    <col min="3" max="3" width="11.6640625" style="1" hidden="1" customWidth="1" outlineLevel="1"/>
    <col min="4" max="4" width="10.6640625" style="1" hidden="1" customWidth="1" outlineLevel="1"/>
    <col min="5" max="5" width="5.33203125" style="99" bestFit="1" customWidth="1" collapsed="1"/>
    <col min="6" max="6" width="6.6640625" style="1" customWidth="1"/>
    <col min="7" max="7" width="20.6640625" style="1" customWidth="1"/>
    <col min="8" max="8" width="42.6640625" style="1" customWidth="1"/>
    <col min="9" max="9" width="9.6640625" style="641" customWidth="1"/>
    <col min="10" max="10" width="10.6640625" style="641" hidden="1" customWidth="1" outlineLevel="1" collapsed="1"/>
    <col min="11" max="11" width="8.6640625" style="3" hidden="1" customWidth="1" outlineLevel="1"/>
    <col min="12" max="12" width="9.6640625" style="641" hidden="1" customWidth="1" outlineLevel="1"/>
    <col min="13" max="13" width="3.6640625" style="100" customWidth="1" collapsed="1"/>
    <col min="14" max="14" width="3.6640625" style="101" customWidth="1"/>
    <col min="15" max="17" width="9.6640625" style="1" hidden="1" customWidth="1" outlineLevel="2"/>
    <col min="18" max="18" width="19" style="1" hidden="1" customWidth="1" outlineLevel="2"/>
    <col min="19" max="19" width="9.6640625" style="1" hidden="1" customWidth="1" outlineLevel="2" collapsed="1"/>
    <col min="20" max="21" width="9.6640625" style="1" hidden="1" customWidth="1" outlineLevel="2"/>
    <col min="22" max="22" width="19" style="1" hidden="1" customWidth="1" outlineLevel="2"/>
    <col min="23" max="23" width="9.6640625" style="1" hidden="1" customWidth="1" outlineLevel="2" collapsed="1"/>
    <col min="24" max="25" width="9.6640625" style="1" hidden="1" customWidth="1" outlineLevel="2"/>
    <col min="26" max="26" width="19" style="1" hidden="1" customWidth="1" outlineLevel="2"/>
    <col min="27" max="27" width="9.6640625" style="1" hidden="1" customWidth="1" outlineLevel="2" collapsed="1"/>
    <col min="28" max="29" width="9.6640625" style="1" hidden="1" customWidth="1" outlineLevel="2"/>
    <col min="30" max="30" width="19" style="1" hidden="1" customWidth="1" outlineLevel="2"/>
    <col min="31" max="31" width="9.6640625" style="1" customWidth="1" outlineLevel="1" collapsed="1"/>
    <col min="32" max="33" width="9.6640625" style="1" customWidth="1" outlineLevel="1"/>
    <col min="34" max="34" width="19" style="1" customWidth="1" outlineLevel="1"/>
    <col min="35" max="37" width="9.6640625" style="1" customWidth="1" outlineLevel="1"/>
    <col min="38" max="38" width="19" style="1" customWidth="1" outlineLevel="1"/>
    <col min="39" max="41" width="9.6640625" style="1" customWidth="1" outlineLevel="2"/>
    <col min="42" max="42" width="19" style="1" customWidth="1" outlineLevel="2"/>
    <col min="43" max="45" width="9.6640625" style="1" customWidth="1" outlineLevel="2"/>
    <col min="46" max="46" width="19" style="1" customWidth="1" outlineLevel="2"/>
    <col min="47" max="49" width="9.6640625" style="1" customWidth="1" outlineLevel="2"/>
    <col min="50" max="50" width="19" style="1" customWidth="1" outlineLevel="2"/>
    <col min="51" max="53" width="9.6640625" style="1" customWidth="1" outlineLevel="2"/>
    <col min="54" max="54" width="19" style="1" customWidth="1" outlineLevel="2"/>
    <col min="55" max="57" width="9.6640625" style="1" customWidth="1" outlineLevel="2"/>
    <col min="58" max="58" width="19" style="1" customWidth="1" outlineLevel="2"/>
    <col min="59" max="61" width="9.6640625" style="1" customWidth="1" outlineLevel="2"/>
    <col min="62" max="62" width="19" style="1" customWidth="1" outlineLevel="2"/>
    <col min="63" max="63" width="3.6640625" style="1" customWidth="1" outlineLevel="1"/>
    <col min="64" max="69" width="10.6640625" style="1" customWidth="1" outlineLevel="2"/>
    <col min="70" max="70" width="3.6640625" style="4" customWidth="1" outlineLevel="1"/>
    <col min="71" max="71" width="3.6640625" style="4" customWidth="1"/>
    <col min="72" max="74" width="9.6640625" style="1" customWidth="1" outlineLevel="1"/>
    <col min="75" max="75" width="19" style="1" customWidth="1" outlineLevel="1"/>
    <col min="76" max="78" width="9.6640625" style="1" customWidth="1" outlineLevel="1"/>
    <col min="79" max="79" width="19" style="1" customWidth="1" outlineLevel="1"/>
    <col min="80" max="82" width="9.6640625" style="1" customWidth="1" outlineLevel="1"/>
    <col min="83" max="83" width="19" style="1" customWidth="1" outlineLevel="1"/>
    <col min="84" max="86" width="9.6640625" style="1" customWidth="1" outlineLevel="1"/>
    <col min="87" max="87" width="19" style="1" customWidth="1" outlineLevel="1"/>
    <col min="88" max="90" width="9.6640625" style="1" customWidth="1" outlineLevel="1"/>
    <col min="91" max="91" width="19" style="1" customWidth="1" outlineLevel="1"/>
    <col min="92" max="94" width="9.6640625" style="1" customWidth="1" outlineLevel="1"/>
    <col min="95" max="95" width="19" style="1" customWidth="1" outlineLevel="1"/>
    <col min="96" max="98" width="9.6640625" style="1" customWidth="1" outlineLevel="1"/>
    <col min="99" max="99" width="19" style="1" customWidth="1" outlineLevel="1"/>
    <col min="100" max="102" width="9.6640625" style="1" customWidth="1" outlineLevel="1"/>
    <col min="103" max="103" width="19" style="1" customWidth="1" outlineLevel="1"/>
    <col min="104" max="106" width="9.6640625" style="1" customWidth="1" outlineLevel="1"/>
    <col min="107" max="107" width="19" style="1" customWidth="1" outlineLevel="1"/>
    <col min="108" max="110" width="9.6640625" style="1" customWidth="1" outlineLevel="1"/>
    <col min="111" max="111" width="19" style="1" customWidth="1" outlineLevel="1"/>
    <col min="112" max="114" width="9.6640625" style="1" customWidth="1" outlineLevel="1"/>
    <col min="115" max="115" width="19" style="1" customWidth="1" outlineLevel="1"/>
    <col min="116" max="118" width="9.6640625" style="1" customWidth="1" outlineLevel="1"/>
    <col min="119" max="119" width="19" style="1" customWidth="1" outlineLevel="1"/>
    <col min="120" max="120" width="3.6640625" style="359" customWidth="1" outlineLevel="1"/>
    <col min="121" max="122" width="10.6640625" style="1" customWidth="1" outlineLevel="2"/>
    <col min="123" max="123" width="3.6640625" style="4" customWidth="1" outlineLevel="1"/>
    <col min="124" max="124" width="3.6640625" style="4" customWidth="1"/>
    <col min="125" max="127" width="9.6640625" style="1" customWidth="1" outlineLevel="1"/>
    <col min="128" max="128" width="19" style="1" customWidth="1" outlineLevel="1"/>
    <col min="129" max="131" width="9.6640625" style="1" customWidth="1" outlineLevel="1"/>
    <col min="132" max="132" width="19" style="1" customWidth="1" outlineLevel="1"/>
    <col min="133" max="135" width="9.6640625" style="1" customWidth="1" outlineLevel="1"/>
    <col min="136" max="136" width="19" style="1" customWidth="1" outlineLevel="1"/>
    <col min="137" max="139" width="9.6640625" style="1" customWidth="1" outlineLevel="1"/>
    <col min="140" max="140" width="19" style="1" customWidth="1" outlineLevel="1"/>
    <col min="141" max="143" width="9.6640625" style="1" customWidth="1" outlineLevel="1"/>
    <col min="144" max="144" width="19" style="1" customWidth="1" outlineLevel="1"/>
    <col min="145" max="147" width="9.6640625" style="1" customWidth="1" outlineLevel="1"/>
    <col min="148" max="148" width="19" style="1" customWidth="1" outlineLevel="1"/>
    <col min="149" max="151" width="9.6640625" style="1" customWidth="1" outlineLevel="1"/>
    <col min="152" max="152" width="19" style="1" customWidth="1" outlineLevel="1"/>
    <col min="153" max="155" width="9.6640625" style="1" customWidth="1" outlineLevel="1"/>
    <col min="156" max="156" width="19" style="1" customWidth="1" outlineLevel="1"/>
    <col min="157" max="159" width="9.6640625" style="1" customWidth="1" outlineLevel="1"/>
    <col min="160" max="160" width="19" style="1" customWidth="1" outlineLevel="1"/>
    <col min="161" max="163" width="9.6640625" style="1" customWidth="1" outlineLevel="1"/>
    <col min="164" max="164" width="19" style="1" customWidth="1" outlineLevel="1"/>
    <col min="165" max="167" width="9.6640625" style="1" customWidth="1" outlineLevel="1"/>
    <col min="168" max="168" width="19" style="1" customWidth="1" outlineLevel="1"/>
    <col min="169" max="171" width="9.6640625" style="1" customWidth="1" outlineLevel="1"/>
    <col min="172" max="172" width="19" style="1" customWidth="1" outlineLevel="1"/>
    <col min="173" max="173" width="3.6640625" style="359" customWidth="1" outlineLevel="1"/>
    <col min="174" max="175" width="10.6640625" style="1" customWidth="1" outlineLevel="2"/>
    <col min="176" max="176" width="3.6640625" style="359" customWidth="1" outlineLevel="1"/>
    <col min="177" max="177" width="3.6640625" style="1" customWidth="1"/>
    <col min="178" max="16384" width="12.6640625" style="1"/>
  </cols>
  <sheetData>
    <row r="1" spans="1:176">
      <c r="A1" s="5">
        <v>93.49</v>
      </c>
      <c r="B1" s="6" t="s">
        <v>0</v>
      </c>
      <c r="E1" s="7" t="s">
        <v>1</v>
      </c>
      <c r="F1" s="7"/>
      <c r="G1" s="8">
        <v>46178</v>
      </c>
      <c r="J1" s="633"/>
      <c r="K1" s="500" t="s">
        <v>430</v>
      </c>
      <c r="M1" s="4"/>
    </row>
    <row r="2" spans="1:176">
      <c r="A2" s="668">
        <v>11.25</v>
      </c>
      <c r="B2" s="9" t="s">
        <v>2</v>
      </c>
      <c r="E2" s="2"/>
      <c r="F2" s="2"/>
      <c r="G2" s="2"/>
      <c r="J2" s="644"/>
      <c r="K2" s="645" t="s">
        <v>461</v>
      </c>
      <c r="M2" s="4"/>
    </row>
    <row r="3" spans="1:176" s="103" customFormat="1">
      <c r="A3" s="347"/>
      <c r="B3" s="348"/>
      <c r="C3" s="347"/>
      <c r="D3" s="347"/>
      <c r="E3" s="349"/>
      <c r="F3" s="348" t="s">
        <v>4</v>
      </c>
      <c r="G3" s="422" t="s">
        <v>464</v>
      </c>
      <c r="H3" s="347"/>
      <c r="I3" s="732" t="s">
        <v>422</v>
      </c>
      <c r="J3" s="733"/>
      <c r="K3" s="733"/>
      <c r="L3" s="734"/>
      <c r="M3" s="355"/>
      <c r="N3" s="765">
        <v>2026</v>
      </c>
      <c r="O3" s="766"/>
      <c r="P3" s="766"/>
      <c r="Q3" s="766"/>
      <c r="R3" s="766"/>
      <c r="S3" s="766"/>
      <c r="T3" s="766"/>
      <c r="U3" s="766"/>
      <c r="V3" s="766"/>
      <c r="W3" s="766"/>
      <c r="X3" s="766"/>
      <c r="Y3" s="766"/>
      <c r="Z3" s="766"/>
      <c r="AA3" s="766"/>
      <c r="AB3" s="766"/>
      <c r="AC3" s="766"/>
      <c r="AD3" s="766"/>
      <c r="AE3" s="766"/>
      <c r="AF3" s="766"/>
      <c r="AG3" s="766"/>
      <c r="AH3" s="766"/>
      <c r="AI3" s="766"/>
      <c r="AJ3" s="766"/>
      <c r="AK3" s="766"/>
      <c r="AL3" s="766"/>
      <c r="AM3" s="766"/>
      <c r="AN3" s="766"/>
      <c r="AO3" s="766"/>
      <c r="AP3" s="766"/>
      <c r="AQ3" s="766"/>
      <c r="AR3" s="766"/>
      <c r="AS3" s="766"/>
      <c r="AT3" s="766"/>
      <c r="AU3" s="766"/>
      <c r="AV3" s="766"/>
      <c r="AW3" s="766"/>
      <c r="AX3" s="766"/>
      <c r="AY3" s="766"/>
      <c r="AZ3" s="766"/>
      <c r="BA3" s="766"/>
      <c r="BB3" s="766"/>
      <c r="BC3" s="766"/>
      <c r="BD3" s="766"/>
      <c r="BE3" s="766"/>
      <c r="BF3" s="766"/>
      <c r="BG3" s="766"/>
      <c r="BH3" s="766"/>
      <c r="BI3" s="766"/>
      <c r="BJ3" s="766"/>
      <c r="BK3" s="766"/>
      <c r="BL3" s="766"/>
      <c r="BM3" s="766"/>
      <c r="BN3" s="766"/>
      <c r="BO3" s="766"/>
      <c r="BP3" s="766"/>
      <c r="BQ3" s="766"/>
      <c r="BR3" s="767"/>
      <c r="BS3" s="752" t="s">
        <v>416</v>
      </c>
      <c r="BT3" s="753"/>
      <c r="BU3" s="753"/>
      <c r="BV3" s="753"/>
      <c r="BW3" s="753"/>
      <c r="BX3" s="753"/>
      <c r="BY3" s="753"/>
      <c r="BZ3" s="753"/>
      <c r="CA3" s="753"/>
      <c r="CB3" s="753"/>
      <c r="CC3" s="753"/>
      <c r="CD3" s="753"/>
      <c r="CE3" s="753"/>
      <c r="CF3" s="753"/>
      <c r="CG3" s="753"/>
      <c r="CH3" s="753"/>
      <c r="CI3" s="753"/>
      <c r="CJ3" s="753"/>
      <c r="CK3" s="753"/>
      <c r="CL3" s="753"/>
      <c r="CM3" s="753"/>
      <c r="CN3" s="753"/>
      <c r="CO3" s="753"/>
      <c r="CP3" s="753"/>
      <c r="CQ3" s="753"/>
      <c r="CR3" s="753"/>
      <c r="CS3" s="753"/>
      <c r="CT3" s="753"/>
      <c r="CU3" s="753"/>
      <c r="CV3" s="753"/>
      <c r="CW3" s="753"/>
      <c r="CX3" s="753"/>
      <c r="CY3" s="753"/>
      <c r="CZ3" s="753"/>
      <c r="DA3" s="753"/>
      <c r="DB3" s="753"/>
      <c r="DC3" s="753"/>
      <c r="DD3" s="753"/>
      <c r="DE3" s="753"/>
      <c r="DF3" s="753"/>
      <c r="DG3" s="753"/>
      <c r="DH3" s="753"/>
      <c r="DI3" s="753"/>
      <c r="DJ3" s="753"/>
      <c r="DK3" s="753"/>
      <c r="DL3" s="753"/>
      <c r="DM3" s="753"/>
      <c r="DN3" s="753"/>
      <c r="DO3" s="753"/>
      <c r="DP3" s="753"/>
      <c r="DQ3" s="753"/>
      <c r="DR3" s="753"/>
      <c r="DS3" s="754"/>
      <c r="DT3" s="755" t="s">
        <v>417</v>
      </c>
      <c r="DU3" s="755"/>
      <c r="DV3" s="755"/>
      <c r="DW3" s="755"/>
      <c r="DX3" s="755"/>
      <c r="DY3" s="755"/>
      <c r="DZ3" s="755"/>
      <c r="EA3" s="755"/>
      <c r="EB3" s="755"/>
      <c r="EC3" s="755"/>
      <c r="ED3" s="755"/>
      <c r="EE3" s="755"/>
      <c r="EF3" s="755"/>
      <c r="EG3" s="755"/>
      <c r="EH3" s="755"/>
      <c r="EI3" s="755"/>
      <c r="EJ3" s="755"/>
      <c r="EK3" s="755"/>
      <c r="EL3" s="755"/>
      <c r="EM3" s="755"/>
      <c r="EN3" s="755"/>
      <c r="EO3" s="755"/>
      <c r="EP3" s="755"/>
      <c r="EQ3" s="755"/>
      <c r="ER3" s="755"/>
      <c r="ES3" s="755"/>
      <c r="ET3" s="755"/>
      <c r="EU3" s="755"/>
      <c r="EV3" s="755"/>
      <c r="EW3" s="755"/>
      <c r="EX3" s="755"/>
      <c r="EY3" s="755"/>
      <c r="EZ3" s="755"/>
      <c r="FA3" s="755"/>
      <c r="FB3" s="755"/>
      <c r="FC3" s="755"/>
      <c r="FD3" s="755"/>
      <c r="FE3" s="755"/>
      <c r="FF3" s="755"/>
      <c r="FG3" s="755"/>
      <c r="FH3" s="755"/>
      <c r="FI3" s="755"/>
      <c r="FJ3" s="755"/>
      <c r="FK3" s="755"/>
      <c r="FL3" s="755"/>
      <c r="FM3" s="755"/>
      <c r="FN3" s="755"/>
      <c r="FO3" s="755"/>
      <c r="FP3" s="755"/>
      <c r="FQ3" s="755"/>
      <c r="FR3" s="755"/>
      <c r="FS3" s="755"/>
      <c r="FT3" s="755"/>
    </row>
    <row r="4" spans="1:176" s="103" customFormat="1">
      <c r="A4" s="746" t="s">
        <v>7</v>
      </c>
      <c r="B4" s="748" t="s">
        <v>8</v>
      </c>
      <c r="C4" s="748" t="s">
        <v>9</v>
      </c>
      <c r="D4" s="748" t="s">
        <v>10</v>
      </c>
      <c r="E4" s="746" t="s">
        <v>11</v>
      </c>
      <c r="F4" s="747" t="s">
        <v>60</v>
      </c>
      <c r="G4" s="748" t="s">
        <v>13</v>
      </c>
      <c r="H4" s="746" t="s">
        <v>14</v>
      </c>
      <c r="I4" s="764" t="s">
        <v>15</v>
      </c>
      <c r="J4" s="764" t="s">
        <v>16</v>
      </c>
      <c r="K4" s="748" t="s">
        <v>17</v>
      </c>
      <c r="L4" s="764" t="s">
        <v>18</v>
      </c>
      <c r="M4" s="762"/>
      <c r="N4" s="735" t="s">
        <v>394</v>
      </c>
      <c r="O4" s="732">
        <v>46023</v>
      </c>
      <c r="P4" s="733"/>
      <c r="Q4" s="733"/>
      <c r="R4" s="734"/>
      <c r="S4" s="732">
        <v>46054</v>
      </c>
      <c r="T4" s="733"/>
      <c r="U4" s="733"/>
      <c r="V4" s="734"/>
      <c r="W4" s="732">
        <v>46082</v>
      </c>
      <c r="X4" s="733"/>
      <c r="Y4" s="733"/>
      <c r="Z4" s="734"/>
      <c r="AA4" s="732">
        <v>46113</v>
      </c>
      <c r="AB4" s="733"/>
      <c r="AC4" s="733"/>
      <c r="AD4" s="734"/>
      <c r="AE4" s="732">
        <v>46143</v>
      </c>
      <c r="AF4" s="733"/>
      <c r="AG4" s="733"/>
      <c r="AH4" s="734"/>
      <c r="AI4" s="732">
        <v>46174</v>
      </c>
      <c r="AJ4" s="733"/>
      <c r="AK4" s="733"/>
      <c r="AL4" s="734"/>
      <c r="AM4" s="732">
        <v>46204</v>
      </c>
      <c r="AN4" s="733"/>
      <c r="AO4" s="733"/>
      <c r="AP4" s="734"/>
      <c r="AQ4" s="732">
        <v>46235</v>
      </c>
      <c r="AR4" s="733"/>
      <c r="AS4" s="733"/>
      <c r="AT4" s="734"/>
      <c r="AU4" s="732">
        <v>46266</v>
      </c>
      <c r="AV4" s="733"/>
      <c r="AW4" s="733"/>
      <c r="AX4" s="734"/>
      <c r="AY4" s="732">
        <v>46296</v>
      </c>
      <c r="AZ4" s="733"/>
      <c r="BA4" s="733"/>
      <c r="BB4" s="734"/>
      <c r="BC4" s="732">
        <v>46327</v>
      </c>
      <c r="BD4" s="733"/>
      <c r="BE4" s="733"/>
      <c r="BF4" s="734"/>
      <c r="BG4" s="732">
        <v>46357</v>
      </c>
      <c r="BH4" s="733"/>
      <c r="BI4" s="733"/>
      <c r="BJ4" s="734"/>
      <c r="BK4" s="739"/>
      <c r="BL4" s="741" t="s">
        <v>20</v>
      </c>
      <c r="BM4" s="741"/>
      <c r="BN4" s="741"/>
      <c r="BO4" s="741"/>
      <c r="BP4" s="741"/>
      <c r="BQ4" s="741"/>
      <c r="BR4" s="759"/>
      <c r="BS4" s="735" t="s">
        <v>395</v>
      </c>
      <c r="BT4" s="756">
        <v>46388</v>
      </c>
      <c r="BU4" s="757"/>
      <c r="BV4" s="757"/>
      <c r="BW4" s="758"/>
      <c r="BX4" s="756">
        <v>46419</v>
      </c>
      <c r="BY4" s="757"/>
      <c r="BZ4" s="757"/>
      <c r="CA4" s="758"/>
      <c r="CB4" s="756">
        <v>46447</v>
      </c>
      <c r="CC4" s="757"/>
      <c r="CD4" s="757"/>
      <c r="CE4" s="758"/>
      <c r="CF4" s="756">
        <v>46478</v>
      </c>
      <c r="CG4" s="757"/>
      <c r="CH4" s="757"/>
      <c r="CI4" s="758"/>
      <c r="CJ4" s="756">
        <v>46508</v>
      </c>
      <c r="CK4" s="757"/>
      <c r="CL4" s="757"/>
      <c r="CM4" s="758"/>
      <c r="CN4" s="756">
        <v>46539</v>
      </c>
      <c r="CO4" s="757"/>
      <c r="CP4" s="757"/>
      <c r="CQ4" s="758"/>
      <c r="CR4" s="756">
        <v>46569</v>
      </c>
      <c r="CS4" s="757"/>
      <c r="CT4" s="757"/>
      <c r="CU4" s="758"/>
      <c r="CV4" s="756">
        <v>46600</v>
      </c>
      <c r="CW4" s="757"/>
      <c r="CX4" s="757"/>
      <c r="CY4" s="758"/>
      <c r="CZ4" s="756">
        <v>46631</v>
      </c>
      <c r="DA4" s="757"/>
      <c r="DB4" s="757"/>
      <c r="DC4" s="758"/>
      <c r="DD4" s="756">
        <v>46661</v>
      </c>
      <c r="DE4" s="757"/>
      <c r="DF4" s="757"/>
      <c r="DG4" s="758"/>
      <c r="DH4" s="756">
        <v>46692</v>
      </c>
      <c r="DI4" s="757"/>
      <c r="DJ4" s="757"/>
      <c r="DK4" s="758"/>
      <c r="DL4" s="756">
        <v>46722</v>
      </c>
      <c r="DM4" s="757"/>
      <c r="DN4" s="757"/>
      <c r="DO4" s="758"/>
      <c r="DP4" s="739"/>
      <c r="DQ4" s="761" t="s">
        <v>21</v>
      </c>
      <c r="DR4" s="761"/>
      <c r="DS4" s="759"/>
      <c r="DT4" s="735" t="s">
        <v>396</v>
      </c>
      <c r="DU4" s="728">
        <v>46753</v>
      </c>
      <c r="DV4" s="729"/>
      <c r="DW4" s="729"/>
      <c r="DX4" s="730"/>
      <c r="DY4" s="728">
        <v>46784</v>
      </c>
      <c r="DZ4" s="729"/>
      <c r="EA4" s="729"/>
      <c r="EB4" s="730"/>
      <c r="EC4" s="728">
        <v>46813</v>
      </c>
      <c r="ED4" s="729"/>
      <c r="EE4" s="729"/>
      <c r="EF4" s="730"/>
      <c r="EG4" s="728">
        <v>46844</v>
      </c>
      <c r="EH4" s="729"/>
      <c r="EI4" s="729"/>
      <c r="EJ4" s="730"/>
      <c r="EK4" s="728">
        <v>46874</v>
      </c>
      <c r="EL4" s="729"/>
      <c r="EM4" s="729"/>
      <c r="EN4" s="730"/>
      <c r="EO4" s="728">
        <v>46905</v>
      </c>
      <c r="EP4" s="729"/>
      <c r="EQ4" s="729"/>
      <c r="ER4" s="730"/>
      <c r="ES4" s="728">
        <v>46935</v>
      </c>
      <c r="ET4" s="729"/>
      <c r="EU4" s="729"/>
      <c r="EV4" s="730"/>
      <c r="EW4" s="728">
        <v>46966</v>
      </c>
      <c r="EX4" s="729"/>
      <c r="EY4" s="729"/>
      <c r="EZ4" s="730"/>
      <c r="FA4" s="728">
        <v>46997</v>
      </c>
      <c r="FB4" s="729"/>
      <c r="FC4" s="729"/>
      <c r="FD4" s="730"/>
      <c r="FE4" s="728">
        <v>47027</v>
      </c>
      <c r="FF4" s="729"/>
      <c r="FG4" s="729"/>
      <c r="FH4" s="730"/>
      <c r="FI4" s="728">
        <v>47058</v>
      </c>
      <c r="FJ4" s="729"/>
      <c r="FK4" s="729"/>
      <c r="FL4" s="730"/>
      <c r="FM4" s="728">
        <v>47088</v>
      </c>
      <c r="FN4" s="729"/>
      <c r="FO4" s="729"/>
      <c r="FP4" s="730"/>
      <c r="FQ4" s="739"/>
      <c r="FR4" s="731" t="s">
        <v>22</v>
      </c>
      <c r="FS4" s="731"/>
      <c r="FT4" s="749"/>
    </row>
    <row r="5" spans="1:176" s="103" customFormat="1" ht="43.2">
      <c r="A5" s="746"/>
      <c r="B5" s="748"/>
      <c r="C5" s="748"/>
      <c r="D5" s="748"/>
      <c r="E5" s="746"/>
      <c r="F5" s="747"/>
      <c r="G5" s="748"/>
      <c r="H5" s="746"/>
      <c r="I5" s="764"/>
      <c r="J5" s="764"/>
      <c r="K5" s="748"/>
      <c r="L5" s="764"/>
      <c r="M5" s="763"/>
      <c r="N5" s="763"/>
      <c r="O5" s="104" t="s">
        <v>23</v>
      </c>
      <c r="P5" s="105" t="s">
        <v>24</v>
      </c>
      <c r="Q5" s="106" t="s">
        <v>25</v>
      </c>
      <c r="R5" s="107" t="s">
        <v>26</v>
      </c>
      <c r="S5" s="104" t="s">
        <v>23</v>
      </c>
      <c r="T5" s="105" t="s">
        <v>24</v>
      </c>
      <c r="U5" s="106" t="s">
        <v>25</v>
      </c>
      <c r="V5" s="107" t="s">
        <v>26</v>
      </c>
      <c r="W5" s="104" t="s">
        <v>23</v>
      </c>
      <c r="X5" s="105" t="s">
        <v>24</v>
      </c>
      <c r="Y5" s="106" t="s">
        <v>25</v>
      </c>
      <c r="Z5" s="107" t="s">
        <v>26</v>
      </c>
      <c r="AA5" s="104" t="s">
        <v>23</v>
      </c>
      <c r="AB5" s="105" t="s">
        <v>24</v>
      </c>
      <c r="AC5" s="106" t="s">
        <v>25</v>
      </c>
      <c r="AD5" s="107" t="s">
        <v>26</v>
      </c>
      <c r="AE5" s="104" t="s">
        <v>23</v>
      </c>
      <c r="AF5" s="105" t="s">
        <v>24</v>
      </c>
      <c r="AG5" s="106" t="s">
        <v>25</v>
      </c>
      <c r="AH5" s="107" t="s">
        <v>26</v>
      </c>
      <c r="AI5" s="104" t="s">
        <v>23</v>
      </c>
      <c r="AJ5" s="105" t="s">
        <v>24</v>
      </c>
      <c r="AK5" s="106" t="s">
        <v>25</v>
      </c>
      <c r="AL5" s="107" t="s">
        <v>26</v>
      </c>
      <c r="AM5" s="104" t="s">
        <v>23</v>
      </c>
      <c r="AN5" s="105" t="s">
        <v>24</v>
      </c>
      <c r="AO5" s="106" t="s">
        <v>25</v>
      </c>
      <c r="AP5" s="107" t="s">
        <v>26</v>
      </c>
      <c r="AQ5" s="104" t="s">
        <v>23</v>
      </c>
      <c r="AR5" s="105" t="s">
        <v>24</v>
      </c>
      <c r="AS5" s="106" t="s">
        <v>25</v>
      </c>
      <c r="AT5" s="107" t="s">
        <v>26</v>
      </c>
      <c r="AU5" s="104" t="s">
        <v>23</v>
      </c>
      <c r="AV5" s="105" t="s">
        <v>24</v>
      </c>
      <c r="AW5" s="106" t="s">
        <v>25</v>
      </c>
      <c r="AX5" s="107" t="s">
        <v>26</v>
      </c>
      <c r="AY5" s="104" t="s">
        <v>23</v>
      </c>
      <c r="AZ5" s="105" t="s">
        <v>24</v>
      </c>
      <c r="BA5" s="106" t="s">
        <v>25</v>
      </c>
      <c r="BB5" s="107" t="s">
        <v>26</v>
      </c>
      <c r="BC5" s="104" t="s">
        <v>23</v>
      </c>
      <c r="BD5" s="105" t="s">
        <v>24</v>
      </c>
      <c r="BE5" s="106" t="s">
        <v>25</v>
      </c>
      <c r="BF5" s="107" t="s">
        <v>26</v>
      </c>
      <c r="BG5" s="104" t="s">
        <v>23</v>
      </c>
      <c r="BH5" s="105" t="s">
        <v>24</v>
      </c>
      <c r="BI5" s="106" t="s">
        <v>25</v>
      </c>
      <c r="BJ5" s="107" t="s">
        <v>26</v>
      </c>
      <c r="BK5" s="740"/>
      <c r="BL5" s="472" t="s">
        <v>23</v>
      </c>
      <c r="BM5" s="472" t="s">
        <v>27</v>
      </c>
      <c r="BN5" s="357" t="s">
        <v>24</v>
      </c>
      <c r="BO5" s="357" t="s">
        <v>28</v>
      </c>
      <c r="BP5" s="358" t="s">
        <v>25</v>
      </c>
      <c r="BQ5" s="358" t="s">
        <v>29</v>
      </c>
      <c r="BR5" s="760"/>
      <c r="BS5" s="763"/>
      <c r="BT5" s="104" t="s">
        <v>23</v>
      </c>
      <c r="BU5" s="105" t="s">
        <v>24</v>
      </c>
      <c r="BV5" s="106" t="s">
        <v>25</v>
      </c>
      <c r="BW5" s="107" t="s">
        <v>26</v>
      </c>
      <c r="BX5" s="104" t="s">
        <v>23</v>
      </c>
      <c r="BY5" s="105" t="s">
        <v>24</v>
      </c>
      <c r="BZ5" s="106" t="s">
        <v>25</v>
      </c>
      <c r="CA5" s="107" t="s">
        <v>26</v>
      </c>
      <c r="CB5" s="104" t="s">
        <v>23</v>
      </c>
      <c r="CC5" s="105" t="s">
        <v>24</v>
      </c>
      <c r="CD5" s="106" t="s">
        <v>25</v>
      </c>
      <c r="CE5" s="107" t="s">
        <v>26</v>
      </c>
      <c r="CF5" s="104" t="s">
        <v>23</v>
      </c>
      <c r="CG5" s="105" t="s">
        <v>24</v>
      </c>
      <c r="CH5" s="106" t="s">
        <v>25</v>
      </c>
      <c r="CI5" s="107" t="s">
        <v>26</v>
      </c>
      <c r="CJ5" s="104" t="s">
        <v>23</v>
      </c>
      <c r="CK5" s="105" t="s">
        <v>24</v>
      </c>
      <c r="CL5" s="106" t="s">
        <v>25</v>
      </c>
      <c r="CM5" s="107" t="s">
        <v>26</v>
      </c>
      <c r="CN5" s="104" t="s">
        <v>23</v>
      </c>
      <c r="CO5" s="105" t="s">
        <v>24</v>
      </c>
      <c r="CP5" s="106" t="s">
        <v>25</v>
      </c>
      <c r="CQ5" s="107" t="s">
        <v>26</v>
      </c>
      <c r="CR5" s="104" t="s">
        <v>23</v>
      </c>
      <c r="CS5" s="105" t="s">
        <v>24</v>
      </c>
      <c r="CT5" s="106" t="s">
        <v>25</v>
      </c>
      <c r="CU5" s="107" t="s">
        <v>26</v>
      </c>
      <c r="CV5" s="104" t="s">
        <v>23</v>
      </c>
      <c r="CW5" s="105" t="s">
        <v>24</v>
      </c>
      <c r="CX5" s="106" t="s">
        <v>25</v>
      </c>
      <c r="CY5" s="107" t="s">
        <v>26</v>
      </c>
      <c r="CZ5" s="104" t="s">
        <v>23</v>
      </c>
      <c r="DA5" s="105" t="s">
        <v>24</v>
      </c>
      <c r="DB5" s="106" t="s">
        <v>25</v>
      </c>
      <c r="DC5" s="107" t="s">
        <v>26</v>
      </c>
      <c r="DD5" s="104" t="s">
        <v>23</v>
      </c>
      <c r="DE5" s="105" t="s">
        <v>24</v>
      </c>
      <c r="DF5" s="106" t="s">
        <v>25</v>
      </c>
      <c r="DG5" s="107" t="s">
        <v>26</v>
      </c>
      <c r="DH5" s="104" t="s">
        <v>23</v>
      </c>
      <c r="DI5" s="105" t="s">
        <v>24</v>
      </c>
      <c r="DJ5" s="106" t="s">
        <v>25</v>
      </c>
      <c r="DK5" s="107" t="s">
        <v>26</v>
      </c>
      <c r="DL5" s="104" t="s">
        <v>23</v>
      </c>
      <c r="DM5" s="105" t="s">
        <v>24</v>
      </c>
      <c r="DN5" s="106" t="s">
        <v>25</v>
      </c>
      <c r="DO5" s="107" t="s">
        <v>26</v>
      </c>
      <c r="DP5" s="740"/>
      <c r="DQ5" s="104" t="s">
        <v>23</v>
      </c>
      <c r="DR5" s="104" t="s">
        <v>27</v>
      </c>
      <c r="DS5" s="760"/>
      <c r="DT5" s="763"/>
      <c r="DU5" s="104" t="s">
        <v>23</v>
      </c>
      <c r="DV5" s="105" t="s">
        <v>24</v>
      </c>
      <c r="DW5" s="106" t="s">
        <v>25</v>
      </c>
      <c r="DX5" s="107" t="s">
        <v>26</v>
      </c>
      <c r="DY5" s="104" t="s">
        <v>23</v>
      </c>
      <c r="DZ5" s="105" t="s">
        <v>24</v>
      </c>
      <c r="EA5" s="106" t="s">
        <v>25</v>
      </c>
      <c r="EB5" s="107" t="s">
        <v>26</v>
      </c>
      <c r="EC5" s="104" t="s">
        <v>23</v>
      </c>
      <c r="ED5" s="105" t="s">
        <v>24</v>
      </c>
      <c r="EE5" s="106" t="s">
        <v>25</v>
      </c>
      <c r="EF5" s="107" t="s">
        <v>26</v>
      </c>
      <c r="EG5" s="104" t="s">
        <v>23</v>
      </c>
      <c r="EH5" s="105" t="s">
        <v>24</v>
      </c>
      <c r="EI5" s="106" t="s">
        <v>25</v>
      </c>
      <c r="EJ5" s="107" t="s">
        <v>26</v>
      </c>
      <c r="EK5" s="104" t="s">
        <v>23</v>
      </c>
      <c r="EL5" s="105" t="s">
        <v>24</v>
      </c>
      <c r="EM5" s="106" t="s">
        <v>25</v>
      </c>
      <c r="EN5" s="107" t="s">
        <v>26</v>
      </c>
      <c r="EO5" s="104" t="s">
        <v>23</v>
      </c>
      <c r="EP5" s="105" t="s">
        <v>24</v>
      </c>
      <c r="EQ5" s="106" t="s">
        <v>25</v>
      </c>
      <c r="ER5" s="107" t="s">
        <v>26</v>
      </c>
      <c r="ES5" s="104" t="s">
        <v>23</v>
      </c>
      <c r="ET5" s="105" t="s">
        <v>24</v>
      </c>
      <c r="EU5" s="106" t="s">
        <v>25</v>
      </c>
      <c r="EV5" s="107" t="s">
        <v>26</v>
      </c>
      <c r="EW5" s="104" t="s">
        <v>23</v>
      </c>
      <c r="EX5" s="105" t="s">
        <v>24</v>
      </c>
      <c r="EY5" s="106" t="s">
        <v>25</v>
      </c>
      <c r="EZ5" s="107" t="s">
        <v>26</v>
      </c>
      <c r="FA5" s="104" t="s">
        <v>23</v>
      </c>
      <c r="FB5" s="105" t="s">
        <v>24</v>
      </c>
      <c r="FC5" s="106" t="s">
        <v>25</v>
      </c>
      <c r="FD5" s="107" t="s">
        <v>26</v>
      </c>
      <c r="FE5" s="104" t="s">
        <v>23</v>
      </c>
      <c r="FF5" s="105" t="s">
        <v>24</v>
      </c>
      <c r="FG5" s="106" t="s">
        <v>25</v>
      </c>
      <c r="FH5" s="107" t="s">
        <v>26</v>
      </c>
      <c r="FI5" s="104" t="s">
        <v>23</v>
      </c>
      <c r="FJ5" s="105" t="s">
        <v>24</v>
      </c>
      <c r="FK5" s="106" t="s">
        <v>25</v>
      </c>
      <c r="FL5" s="107" t="s">
        <v>26</v>
      </c>
      <c r="FM5" s="104" t="s">
        <v>23</v>
      </c>
      <c r="FN5" s="105" t="s">
        <v>24</v>
      </c>
      <c r="FO5" s="106" t="s">
        <v>25</v>
      </c>
      <c r="FP5" s="107" t="s">
        <v>26</v>
      </c>
      <c r="FQ5" s="740"/>
      <c r="FR5" s="104" t="s">
        <v>23</v>
      </c>
      <c r="FS5" s="104" t="s">
        <v>27</v>
      </c>
      <c r="FT5" s="750"/>
    </row>
    <row r="6" spans="1:176" s="14" customFormat="1" outlineLevel="2">
      <c r="A6" s="375" t="s">
        <v>468</v>
      </c>
      <c r="B6" s="389" t="s">
        <v>82</v>
      </c>
      <c r="C6" s="432" t="s">
        <v>31</v>
      </c>
      <c r="D6" s="575" t="s">
        <v>32</v>
      </c>
      <c r="E6" s="284">
        <f>IF(ISBLANK(G6),"",IF($A$6:$A$330=$A6,COUNTIF($A$6:A6,$A6),""))</f>
        <v>1</v>
      </c>
      <c r="F6" s="284">
        <v>1</v>
      </c>
      <c r="G6" s="304">
        <v>9253761210</v>
      </c>
      <c r="H6" s="602" t="s">
        <v>54</v>
      </c>
      <c r="I6" s="623">
        <f>306/НДС</f>
        <v>250.81967213114754</v>
      </c>
      <c r="J6" s="616"/>
      <c r="K6" s="333"/>
      <c r="L6" s="616"/>
      <c r="M6" s="305"/>
      <c r="N6" s="305">
        <f t="shared" ref="N6:N75" si="0">IF(BP6&gt;0,1,IF(BN6&gt;0,2,))</f>
        <v>1</v>
      </c>
      <c r="O6" s="322">
        <v>8</v>
      </c>
      <c r="P6" s="408"/>
      <c r="Q6" s="307"/>
      <c r="R6" s="408"/>
      <c r="S6" s="322">
        <v>8</v>
      </c>
      <c r="T6" s="408"/>
      <c r="U6" s="307"/>
      <c r="V6" s="408"/>
      <c r="W6" s="322">
        <v>8</v>
      </c>
      <c r="X6" s="408">
        <f>4*X$11</f>
        <v>8</v>
      </c>
      <c r="Y6" s="307">
        <v>8</v>
      </c>
      <c r="Z6" s="408"/>
      <c r="AA6" s="322">
        <v>12</v>
      </c>
      <c r="AB6" s="408">
        <f>4*AB$11</f>
        <v>8</v>
      </c>
      <c r="AC6" s="307">
        <v>8</v>
      </c>
      <c r="AD6" s="408"/>
      <c r="AE6" s="322">
        <v>12</v>
      </c>
      <c r="AF6" s="408"/>
      <c r="AG6" s="307">
        <v>0</v>
      </c>
      <c r="AH6" s="408"/>
      <c r="AI6" s="322">
        <v>12</v>
      </c>
      <c r="AJ6" s="408">
        <f>4*AJ$11</f>
        <v>16</v>
      </c>
      <c r="AK6" s="307"/>
      <c r="AL6" s="408"/>
      <c r="AM6" s="322">
        <v>12</v>
      </c>
      <c r="AN6" s="408">
        <f>4*AN$11</f>
        <v>8</v>
      </c>
      <c r="AO6" s="307"/>
      <c r="AP6" s="408"/>
      <c r="AQ6" s="322">
        <v>12</v>
      </c>
      <c r="AR6" s="408">
        <f>4*AR$11</f>
        <v>12</v>
      </c>
      <c r="AS6" s="307"/>
      <c r="AT6" s="408"/>
      <c r="AU6" s="322">
        <v>12</v>
      </c>
      <c r="AV6" s="408">
        <f>4*AV$11</f>
        <v>12</v>
      </c>
      <c r="AW6" s="307"/>
      <c r="AX6" s="408"/>
      <c r="AY6" s="322">
        <v>12</v>
      </c>
      <c r="AZ6" s="408">
        <f>4*AZ$11</f>
        <v>12</v>
      </c>
      <c r="BA6" s="307"/>
      <c r="BB6" s="408"/>
      <c r="BC6" s="322">
        <v>12</v>
      </c>
      <c r="BD6" s="408">
        <f>4*BD$11</f>
        <v>12</v>
      </c>
      <c r="BE6" s="307"/>
      <c r="BF6" s="408"/>
      <c r="BG6" s="322">
        <v>12</v>
      </c>
      <c r="BH6" s="408">
        <f>4*BH$11</f>
        <v>12</v>
      </c>
      <c r="BI6" s="307"/>
      <c r="BJ6" s="408"/>
      <c r="BK6" s="340"/>
      <c r="BL6" s="328">
        <f t="shared" ref="BL6:BL75" si="1">SUMPRODUCT(--(MOD(COLUMN($O6:$AL6),4)=MOD(COLUMN($O6)+0,4)),$O6:$AL6)
+SUMPRODUCT(--(MOD(COLUMN($AM6:$BJ6),4)=MOD(COLUMN($AM6)+0,4)),$AM6:$BJ6)</f>
        <v>132</v>
      </c>
      <c r="BM6" s="328">
        <f t="shared" ref="BM6:BM75" si="2">SUMPRODUCT(--(MOD(COLUMN($O6:$AL6),4)=MOD(COLUMN($O6)+0,4)),$O6:$AL6)*$I6
+SUMPRODUCT(--(MOD(COLUMN($AM6:$BJ6),4)=MOD(COLUMN($AM6)+0,4)),$AM6:$BJ6)*$I6</f>
        <v>33108.196721311477</v>
      </c>
      <c r="BN6" s="324">
        <f t="shared" ref="BN6:BN75" si="3">SUMPRODUCT(--(MOD(COLUMN($O6:$AL6),4)=MOD(COLUMN($O6)+1,4)),$O6:$AL6)
+SUMPRODUCT(--(MOD(COLUMN($AM6:$BJ6),4)=MOD(COLUMN($AM6)+1,4)),$AM6:$BJ6)</f>
        <v>100</v>
      </c>
      <c r="BO6" s="325">
        <f t="shared" ref="BO6:BO75" si="4">SUMPRODUCT(--(MOD(COLUMN($O6:$AL6),4)=MOD(COLUMN($O6)+1,4)),$O6:$AL6)*$I6
+SUMPRODUCT(--(MOD(COLUMN($AM6:$BJ6),4)=MOD(COLUMN($AM6)+1,4)),$AM6:$BJ6)*$I6</f>
        <v>25081.967213114753</v>
      </c>
      <c r="BP6" s="326">
        <f t="shared" ref="BP6:BP75" si="5">SUMPRODUCT(--(MOD(COLUMN($O6:$AL6),4)=MOD(COLUMN($O6)+2,4)),$O6:$AL6)
+SUMPRODUCT(--(MOD(COLUMN($AM6:$BJ6),4)=MOD(COLUMN($AM6)+2,4)),$AM6:$BJ6)</f>
        <v>16</v>
      </c>
      <c r="BQ6" s="327">
        <f t="shared" ref="BQ6:BQ75" si="6">SUMPRODUCT(--(MOD(COLUMN($O6:$AL6),4)=MOD(COLUMN($O6)+2,4)),$O6:$AL6)*$I6
+SUMPRODUCT(--(MOD(COLUMN($AM6:$BJ6),4)=MOD(COLUMN($AM6)+2,4)),$AM6:$BJ6)*$I6</f>
        <v>4013.1147540983607</v>
      </c>
      <c r="BR6" s="329"/>
      <c r="BS6" s="329"/>
      <c r="BT6" s="322"/>
      <c r="BU6" s="408"/>
      <c r="BV6" s="307"/>
      <c r="BW6" s="408"/>
      <c r="BX6" s="322"/>
      <c r="BY6" s="408"/>
      <c r="BZ6" s="307"/>
      <c r="CA6" s="408"/>
      <c r="CB6" s="322"/>
      <c r="CC6" s="408"/>
      <c r="CD6" s="307"/>
      <c r="CE6" s="408"/>
      <c r="CF6" s="322"/>
      <c r="CG6" s="408"/>
      <c r="CH6" s="307"/>
      <c r="CI6" s="408"/>
      <c r="CJ6" s="322"/>
      <c r="CK6" s="408"/>
      <c r="CL6" s="307"/>
      <c r="CM6" s="408"/>
      <c r="CN6" s="322"/>
      <c r="CO6" s="408"/>
      <c r="CP6" s="307"/>
      <c r="CQ6" s="408"/>
      <c r="CR6" s="322"/>
      <c r="CS6" s="408"/>
      <c r="CT6" s="307"/>
      <c r="CU6" s="408"/>
      <c r="CV6" s="322"/>
      <c r="CW6" s="408"/>
      <c r="CX6" s="307"/>
      <c r="CY6" s="408"/>
      <c r="CZ6" s="322"/>
      <c r="DA6" s="408"/>
      <c r="DB6" s="307"/>
      <c r="DC6" s="408"/>
      <c r="DD6" s="322"/>
      <c r="DE6" s="408"/>
      <c r="DF6" s="307"/>
      <c r="DG6" s="408"/>
      <c r="DH6" s="322"/>
      <c r="DI6" s="408"/>
      <c r="DJ6" s="307"/>
      <c r="DK6" s="408"/>
      <c r="DL6" s="322"/>
      <c r="DM6" s="408"/>
      <c r="DN6" s="307"/>
      <c r="DO6" s="408"/>
      <c r="DP6" s="340"/>
      <c r="DQ6" s="328">
        <f t="shared" ref="DQ6:DQ32" si="7">SUMPRODUCT(--(MOD(COLUMN(BT6:CQ6),4)=MOD(COLUMN(BT6),4)),BT6:CQ6)+SUMPRODUCT(--(MOD(COLUMN(CR6:DO6),4)=MOD(COLUMN(CR6),4)),CR6:DO6)</f>
        <v>0</v>
      </c>
      <c r="DR6" s="328">
        <f t="shared" ref="DR6:DR32" si="8">SUMPRODUCT(--(MOD(COLUMN(BT6:CQ6),4)=MOD(COLUMN(BT6),4)),BT6:CQ6)*$I6+SUMPRODUCT(--(MOD(COLUMN(CR6:DO6),4)=MOD(COLUMN(CR6),4)),CR6:DO6)*$I6</f>
        <v>0</v>
      </c>
      <c r="DS6" s="329"/>
      <c r="DT6" s="329"/>
      <c r="DU6" s="322"/>
      <c r="DV6" s="408"/>
      <c r="DW6" s="307"/>
      <c r="DX6" s="408"/>
      <c r="DY6" s="322"/>
      <c r="DZ6" s="408"/>
      <c r="EA6" s="307"/>
      <c r="EB6" s="408"/>
      <c r="EC6" s="322"/>
      <c r="ED6" s="408"/>
      <c r="EE6" s="307"/>
      <c r="EF6" s="408"/>
      <c r="EG6" s="322"/>
      <c r="EH6" s="408"/>
      <c r="EI6" s="307"/>
      <c r="EJ6" s="408"/>
      <c r="EK6" s="322"/>
      <c r="EL6" s="408"/>
      <c r="EM6" s="307"/>
      <c r="EN6" s="408"/>
      <c r="EO6" s="322"/>
      <c r="EP6" s="408"/>
      <c r="EQ6" s="307"/>
      <c r="ER6" s="408"/>
      <c r="ES6" s="322"/>
      <c r="ET6" s="408"/>
      <c r="EU6" s="307"/>
      <c r="EV6" s="408"/>
      <c r="EW6" s="322"/>
      <c r="EX6" s="408"/>
      <c r="EY6" s="307"/>
      <c r="EZ6" s="408"/>
      <c r="FA6" s="322"/>
      <c r="FB6" s="408"/>
      <c r="FC6" s="307"/>
      <c r="FD6" s="408"/>
      <c r="FE6" s="322"/>
      <c r="FF6" s="408"/>
      <c r="FG6" s="307"/>
      <c r="FH6" s="408"/>
      <c r="FI6" s="322"/>
      <c r="FJ6" s="408"/>
      <c r="FK6" s="307"/>
      <c r="FL6" s="408"/>
      <c r="FM6" s="322"/>
      <c r="FN6" s="408"/>
      <c r="FO6" s="307"/>
      <c r="FP6" s="408"/>
      <c r="FQ6" s="340"/>
      <c r="FR6" s="328">
        <f t="shared" ref="FR6:FR32" si="9">SUMPRODUCT(--(MOD(COLUMN(DU6:ER6),4)=MOD(COLUMN(DU6),4)),DU6:ER6)+SUMPRODUCT(--(MOD(COLUMN(ES6:FP6),4)=MOD(COLUMN(ES6),4)),ES6:FP6)</f>
        <v>0</v>
      </c>
      <c r="FS6" s="328">
        <f t="shared" ref="FS6:FS32" si="10">SUMPRODUCT(--(MOD(COLUMN(DU6:ER6),4)=MOD(COLUMN(DU6),4)),DU6:ER6)*$I6+SUMPRODUCT(--(MOD(COLUMN(ES6:FP6),4)=MOD(COLUMN(ES6),4)),ES6:FP6)*$I6</f>
        <v>0</v>
      </c>
      <c r="FT6" s="360"/>
    </row>
    <row r="7" spans="1:176" s="14" customFormat="1" outlineLevel="2">
      <c r="A7" s="413" t="s">
        <v>468</v>
      </c>
      <c r="B7" s="444" t="s">
        <v>82</v>
      </c>
      <c r="C7" s="587" t="s">
        <v>31</v>
      </c>
      <c r="D7" s="580" t="s">
        <v>32</v>
      </c>
      <c r="E7" s="414">
        <f>IF(ISBLANK(G7),"",IF($A$6:$A$330=$A7,COUNTIF($A$6:A7,$A7),""))</f>
        <v>2</v>
      </c>
      <c r="F7" s="284">
        <v>1</v>
      </c>
      <c r="G7" s="304">
        <v>9253771100</v>
      </c>
      <c r="H7" s="602" t="s">
        <v>55</v>
      </c>
      <c r="I7" s="623">
        <f>310/НДС</f>
        <v>254.09836065573771</v>
      </c>
      <c r="J7" s="616"/>
      <c r="K7" s="333"/>
      <c r="L7" s="616"/>
      <c r="M7" s="305"/>
      <c r="N7" s="305">
        <f t="shared" si="0"/>
        <v>0</v>
      </c>
      <c r="O7" s="322"/>
      <c r="P7" s="408"/>
      <c r="Q7" s="307"/>
      <c r="R7" s="408"/>
      <c r="S7" s="322"/>
      <c r="T7" s="408"/>
      <c r="U7" s="307"/>
      <c r="V7" s="408"/>
      <c r="W7" s="322"/>
      <c r="X7" s="408"/>
      <c r="Y7" s="307"/>
      <c r="Z7" s="408"/>
      <c r="AA7" s="322"/>
      <c r="AB7" s="408"/>
      <c r="AC7" s="307"/>
      <c r="AD7" s="408"/>
      <c r="AE7" s="322"/>
      <c r="AF7" s="408"/>
      <c r="AG7" s="307">
        <v>0</v>
      </c>
      <c r="AH7" s="408"/>
      <c r="AI7" s="322"/>
      <c r="AJ7" s="408"/>
      <c r="AK7" s="307"/>
      <c r="AL7" s="408"/>
      <c r="AM7" s="322"/>
      <c r="AN7" s="408"/>
      <c r="AO7" s="307"/>
      <c r="AP7" s="408"/>
      <c r="AQ7" s="322"/>
      <c r="AR7" s="408"/>
      <c r="AS7" s="307"/>
      <c r="AT7" s="408"/>
      <c r="AU7" s="322"/>
      <c r="AV7" s="408"/>
      <c r="AW7" s="307"/>
      <c r="AX7" s="408"/>
      <c r="AY7" s="322"/>
      <c r="AZ7" s="408"/>
      <c r="BA7" s="307"/>
      <c r="BB7" s="408"/>
      <c r="BC7" s="322"/>
      <c r="BD7" s="408"/>
      <c r="BE7" s="307"/>
      <c r="BF7" s="408"/>
      <c r="BG7" s="322"/>
      <c r="BH7" s="408"/>
      <c r="BI7" s="307"/>
      <c r="BJ7" s="408"/>
      <c r="BK7" s="340"/>
      <c r="BL7" s="328">
        <f t="shared" si="1"/>
        <v>0</v>
      </c>
      <c r="BM7" s="328">
        <f t="shared" si="2"/>
        <v>0</v>
      </c>
      <c r="BN7" s="324">
        <f t="shared" si="3"/>
        <v>0</v>
      </c>
      <c r="BO7" s="325">
        <f t="shared" si="4"/>
        <v>0</v>
      </c>
      <c r="BP7" s="326">
        <f t="shared" si="5"/>
        <v>0</v>
      </c>
      <c r="BQ7" s="327">
        <f t="shared" si="6"/>
        <v>0</v>
      </c>
      <c r="BR7" s="329"/>
      <c r="BS7" s="329"/>
      <c r="BT7" s="322"/>
      <c r="BU7" s="408"/>
      <c r="BV7" s="307"/>
      <c r="BW7" s="408"/>
      <c r="BX7" s="322"/>
      <c r="BY7" s="408"/>
      <c r="BZ7" s="307"/>
      <c r="CA7" s="408"/>
      <c r="CB7" s="322"/>
      <c r="CC7" s="408"/>
      <c r="CD7" s="307"/>
      <c r="CE7" s="408"/>
      <c r="CF7" s="322"/>
      <c r="CG7" s="408"/>
      <c r="CH7" s="307"/>
      <c r="CI7" s="408"/>
      <c r="CJ7" s="322"/>
      <c r="CK7" s="408"/>
      <c r="CL7" s="307"/>
      <c r="CM7" s="408"/>
      <c r="CN7" s="322"/>
      <c r="CO7" s="408"/>
      <c r="CP7" s="307"/>
      <c r="CQ7" s="408"/>
      <c r="CR7" s="322"/>
      <c r="CS7" s="408"/>
      <c r="CT7" s="307"/>
      <c r="CU7" s="408"/>
      <c r="CV7" s="322"/>
      <c r="CW7" s="408"/>
      <c r="CX7" s="307"/>
      <c r="CY7" s="408"/>
      <c r="CZ7" s="322"/>
      <c r="DA7" s="408"/>
      <c r="DB7" s="307"/>
      <c r="DC7" s="408"/>
      <c r="DD7" s="322"/>
      <c r="DE7" s="408"/>
      <c r="DF7" s="307"/>
      <c r="DG7" s="408"/>
      <c r="DH7" s="322"/>
      <c r="DI7" s="408"/>
      <c r="DJ7" s="307"/>
      <c r="DK7" s="408"/>
      <c r="DL7" s="322"/>
      <c r="DM7" s="408"/>
      <c r="DN7" s="307"/>
      <c r="DO7" s="408"/>
      <c r="DP7" s="340"/>
      <c r="DQ7" s="328">
        <f t="shared" si="7"/>
        <v>0</v>
      </c>
      <c r="DR7" s="328">
        <f t="shared" si="8"/>
        <v>0</v>
      </c>
      <c r="DS7" s="329"/>
      <c r="DT7" s="329"/>
      <c r="DU7" s="322"/>
      <c r="DV7" s="408"/>
      <c r="DW7" s="307"/>
      <c r="DX7" s="408"/>
      <c r="DY7" s="322"/>
      <c r="DZ7" s="408"/>
      <c r="EA7" s="307"/>
      <c r="EB7" s="408"/>
      <c r="EC7" s="322"/>
      <c r="ED7" s="408"/>
      <c r="EE7" s="307"/>
      <c r="EF7" s="408"/>
      <c r="EG7" s="322"/>
      <c r="EH7" s="408"/>
      <c r="EI7" s="307"/>
      <c r="EJ7" s="408"/>
      <c r="EK7" s="322"/>
      <c r="EL7" s="408"/>
      <c r="EM7" s="307"/>
      <c r="EN7" s="408"/>
      <c r="EO7" s="322"/>
      <c r="EP7" s="408"/>
      <c r="EQ7" s="307"/>
      <c r="ER7" s="408"/>
      <c r="ES7" s="322"/>
      <c r="ET7" s="408"/>
      <c r="EU7" s="307"/>
      <c r="EV7" s="408"/>
      <c r="EW7" s="322"/>
      <c r="EX7" s="408"/>
      <c r="EY7" s="307"/>
      <c r="EZ7" s="408"/>
      <c r="FA7" s="322"/>
      <c r="FB7" s="408"/>
      <c r="FC7" s="307"/>
      <c r="FD7" s="408"/>
      <c r="FE7" s="322"/>
      <c r="FF7" s="408"/>
      <c r="FG7" s="307"/>
      <c r="FH7" s="408"/>
      <c r="FI7" s="322"/>
      <c r="FJ7" s="408"/>
      <c r="FK7" s="307"/>
      <c r="FL7" s="408"/>
      <c r="FM7" s="322"/>
      <c r="FN7" s="408"/>
      <c r="FO7" s="307"/>
      <c r="FP7" s="408"/>
      <c r="FQ7" s="340"/>
      <c r="FR7" s="328">
        <f t="shared" si="9"/>
        <v>0</v>
      </c>
      <c r="FS7" s="328">
        <f t="shared" si="10"/>
        <v>0</v>
      </c>
      <c r="FT7" s="360"/>
    </row>
    <row r="8" spans="1:176" s="14" customFormat="1" outlineLevel="2">
      <c r="A8" s="56" t="s">
        <v>468</v>
      </c>
      <c r="B8" s="387" t="s">
        <v>82</v>
      </c>
      <c r="C8" s="541" t="s">
        <v>72</v>
      </c>
      <c r="D8" s="565" t="s">
        <v>32</v>
      </c>
      <c r="E8" s="10">
        <f>IF(ISBLANK(G8),"",IF($A$6:$A$330=$A8,COUNTIF($A$6:A8,$A8),""))</f>
        <v>3</v>
      </c>
      <c r="F8" s="10">
        <v>1</v>
      </c>
      <c r="G8" s="55">
        <v>9735000510</v>
      </c>
      <c r="H8" s="54" t="s">
        <v>87</v>
      </c>
      <c r="I8" s="617">
        <f>146.4/НДС_20</f>
        <v>122.00000000000001</v>
      </c>
      <c r="J8" s="617"/>
      <c r="K8" s="113"/>
      <c r="L8" s="617" t="str">
        <f>IF(K8="RUB",J8/ЮАНЬ,IF(K8="EUR",J8*ЕВРО/ЮАНЬ,""))</f>
        <v/>
      </c>
      <c r="M8" s="102"/>
      <c r="N8" s="305">
        <f t="shared" si="0"/>
        <v>2</v>
      </c>
      <c r="O8" s="23">
        <v>2</v>
      </c>
      <c r="P8" s="24"/>
      <c r="Q8" s="25"/>
      <c r="R8" s="24"/>
      <c r="S8" s="23">
        <v>2</v>
      </c>
      <c r="T8" s="24"/>
      <c r="U8" s="307"/>
      <c r="V8" s="24"/>
      <c r="W8" s="23">
        <v>2</v>
      </c>
      <c r="X8" s="24"/>
      <c r="Y8" s="25"/>
      <c r="Z8" s="24"/>
      <c r="AA8" s="23">
        <v>3</v>
      </c>
      <c r="AB8" s="24"/>
      <c r="AC8" s="25"/>
      <c r="AD8" s="24"/>
      <c r="AE8" s="23">
        <v>3</v>
      </c>
      <c r="AF8" s="24"/>
      <c r="AG8" s="307">
        <v>0</v>
      </c>
      <c r="AH8" s="24"/>
      <c r="AI8" s="23">
        <v>3</v>
      </c>
      <c r="AJ8" s="24"/>
      <c r="AK8" s="25"/>
      <c r="AL8" s="24"/>
      <c r="AM8" s="23">
        <v>3</v>
      </c>
      <c r="AN8" s="24"/>
      <c r="AO8" s="25"/>
      <c r="AP8" s="24"/>
      <c r="AQ8" s="23">
        <v>3</v>
      </c>
      <c r="AR8" s="24"/>
      <c r="AS8" s="25"/>
      <c r="AT8" s="24"/>
      <c r="AU8" s="23">
        <v>3</v>
      </c>
      <c r="AV8" s="24">
        <f>1*AV$11</f>
        <v>3</v>
      </c>
      <c r="AW8" s="25"/>
      <c r="AX8" s="24"/>
      <c r="AY8" s="23">
        <v>3</v>
      </c>
      <c r="AZ8" s="24">
        <f>1*AZ$11</f>
        <v>3</v>
      </c>
      <c r="BA8" s="25"/>
      <c r="BB8" s="24"/>
      <c r="BC8" s="23">
        <v>3</v>
      </c>
      <c r="BD8" s="24">
        <f>1*BD$11</f>
        <v>3</v>
      </c>
      <c r="BE8" s="25"/>
      <c r="BF8" s="24"/>
      <c r="BG8" s="23">
        <v>3</v>
      </c>
      <c r="BH8" s="24">
        <f>1*BH$11</f>
        <v>3</v>
      </c>
      <c r="BI8" s="25"/>
      <c r="BJ8" s="24"/>
      <c r="BK8" s="340"/>
      <c r="BL8" s="32">
        <f t="shared" si="1"/>
        <v>33</v>
      </c>
      <c r="BM8" s="32">
        <f t="shared" si="2"/>
        <v>4026.0000000000009</v>
      </c>
      <c r="BN8" s="28">
        <f t="shared" si="3"/>
        <v>12</v>
      </c>
      <c r="BO8" s="29">
        <f t="shared" si="4"/>
        <v>1464.0000000000002</v>
      </c>
      <c r="BP8" s="30">
        <f t="shared" si="5"/>
        <v>0</v>
      </c>
      <c r="BQ8" s="31">
        <f t="shared" si="6"/>
        <v>0</v>
      </c>
      <c r="BR8" s="11"/>
      <c r="BS8" s="329"/>
      <c r="BT8" s="23"/>
      <c r="BU8" s="24"/>
      <c r="BV8" s="25"/>
      <c r="BW8" s="24"/>
      <c r="BX8" s="23"/>
      <c r="BY8" s="24"/>
      <c r="BZ8" s="25"/>
      <c r="CA8" s="24"/>
      <c r="CB8" s="23"/>
      <c r="CC8" s="24"/>
      <c r="CD8" s="25"/>
      <c r="CE8" s="24"/>
      <c r="CF8" s="23"/>
      <c r="CG8" s="24"/>
      <c r="CH8" s="25"/>
      <c r="CI8" s="24"/>
      <c r="CJ8" s="23"/>
      <c r="CK8" s="24"/>
      <c r="CL8" s="25"/>
      <c r="CM8" s="24"/>
      <c r="CN8" s="23"/>
      <c r="CO8" s="24"/>
      <c r="CP8" s="25"/>
      <c r="CQ8" s="24"/>
      <c r="CR8" s="23"/>
      <c r="CS8" s="24"/>
      <c r="CT8" s="25"/>
      <c r="CU8" s="24"/>
      <c r="CV8" s="23"/>
      <c r="CW8" s="24"/>
      <c r="CX8" s="25"/>
      <c r="CY8" s="24"/>
      <c r="CZ8" s="23"/>
      <c r="DA8" s="24"/>
      <c r="DB8" s="25"/>
      <c r="DC8" s="24"/>
      <c r="DD8" s="23"/>
      <c r="DE8" s="24"/>
      <c r="DF8" s="25"/>
      <c r="DG8" s="24"/>
      <c r="DH8" s="23"/>
      <c r="DI8" s="24"/>
      <c r="DJ8" s="25"/>
      <c r="DK8" s="24"/>
      <c r="DL8" s="23"/>
      <c r="DM8" s="24"/>
      <c r="DN8" s="25"/>
      <c r="DO8" s="24"/>
      <c r="DP8" s="340"/>
      <c r="DQ8" s="32">
        <f t="shared" si="7"/>
        <v>0</v>
      </c>
      <c r="DR8" s="32">
        <f t="shared" si="8"/>
        <v>0</v>
      </c>
      <c r="DS8" s="11"/>
      <c r="DT8" s="329"/>
      <c r="DU8" s="23"/>
      <c r="DV8" s="24"/>
      <c r="DW8" s="25"/>
      <c r="DX8" s="24"/>
      <c r="DY8" s="23"/>
      <c r="DZ8" s="24"/>
      <c r="EA8" s="25"/>
      <c r="EB8" s="24"/>
      <c r="EC8" s="23"/>
      <c r="ED8" s="24"/>
      <c r="EE8" s="25"/>
      <c r="EF8" s="24"/>
      <c r="EG8" s="23"/>
      <c r="EH8" s="24"/>
      <c r="EI8" s="25"/>
      <c r="EJ8" s="24"/>
      <c r="EK8" s="23"/>
      <c r="EL8" s="24"/>
      <c r="EM8" s="25"/>
      <c r="EN8" s="24"/>
      <c r="EO8" s="23"/>
      <c r="EP8" s="24"/>
      <c r="EQ8" s="25"/>
      <c r="ER8" s="24"/>
      <c r="ES8" s="23"/>
      <c r="ET8" s="24"/>
      <c r="EU8" s="25"/>
      <c r="EV8" s="24"/>
      <c r="EW8" s="23"/>
      <c r="EX8" s="24"/>
      <c r="EY8" s="25"/>
      <c r="EZ8" s="24"/>
      <c r="FA8" s="23"/>
      <c r="FB8" s="24"/>
      <c r="FC8" s="25"/>
      <c r="FD8" s="24"/>
      <c r="FE8" s="23"/>
      <c r="FF8" s="24"/>
      <c r="FG8" s="25"/>
      <c r="FH8" s="24"/>
      <c r="FI8" s="23"/>
      <c r="FJ8" s="24"/>
      <c r="FK8" s="25"/>
      <c r="FL8" s="24"/>
      <c r="FM8" s="23"/>
      <c r="FN8" s="24"/>
      <c r="FO8" s="25"/>
      <c r="FP8" s="24"/>
      <c r="FQ8" s="340"/>
      <c r="FR8" s="32">
        <f t="shared" si="9"/>
        <v>0</v>
      </c>
      <c r="FS8" s="32">
        <f t="shared" si="10"/>
        <v>0</v>
      </c>
      <c r="FT8" s="360"/>
    </row>
    <row r="9" spans="1:176" s="14" customFormat="1" outlineLevel="2">
      <c r="A9" s="56" t="s">
        <v>468</v>
      </c>
      <c r="B9" s="387" t="s">
        <v>82</v>
      </c>
      <c r="C9" s="541" t="s">
        <v>72</v>
      </c>
      <c r="D9" s="565" t="s">
        <v>32</v>
      </c>
      <c r="E9" s="10">
        <f>IF(ISBLANK(G9),"",IF($A$6:$A$330=$A9,COUNTIF($A$6:A9,$A9),""))</f>
        <v>4</v>
      </c>
      <c r="F9" s="10">
        <v>1</v>
      </c>
      <c r="G9" s="55">
        <v>4750103050</v>
      </c>
      <c r="H9" s="54" t="s">
        <v>88</v>
      </c>
      <c r="I9" s="617">
        <f>117.6/НДС_20</f>
        <v>98</v>
      </c>
      <c r="J9" s="617"/>
      <c r="K9" s="113"/>
      <c r="L9" s="617" t="str">
        <f>IF(K9="RUB",J9/ЮАНЬ,IF(K9="EUR",J9*ЕВРО/ЮАНЬ,""))</f>
        <v/>
      </c>
      <c r="M9" s="102"/>
      <c r="N9" s="305">
        <f t="shared" si="0"/>
        <v>2</v>
      </c>
      <c r="O9" s="23">
        <v>2</v>
      </c>
      <c r="P9" s="24"/>
      <c r="Q9" s="25"/>
      <c r="R9" s="24"/>
      <c r="S9" s="23">
        <v>2</v>
      </c>
      <c r="T9" s="24"/>
      <c r="U9" s="307"/>
      <c r="V9" s="24"/>
      <c r="W9" s="23">
        <v>2</v>
      </c>
      <c r="X9" s="24"/>
      <c r="Y9" s="25"/>
      <c r="Z9" s="24"/>
      <c r="AA9" s="23">
        <v>3</v>
      </c>
      <c r="AB9" s="24"/>
      <c r="AC9" s="25"/>
      <c r="AD9" s="24"/>
      <c r="AE9" s="23">
        <v>3</v>
      </c>
      <c r="AF9" s="24"/>
      <c r="AG9" s="307">
        <v>0</v>
      </c>
      <c r="AH9" s="24"/>
      <c r="AI9" s="23">
        <v>3</v>
      </c>
      <c r="AJ9" s="24"/>
      <c r="AK9" s="25"/>
      <c r="AL9" s="24"/>
      <c r="AM9" s="23">
        <v>3</v>
      </c>
      <c r="AN9" s="24"/>
      <c r="AO9" s="25"/>
      <c r="AP9" s="24"/>
      <c r="AQ9" s="23">
        <v>3</v>
      </c>
      <c r="AR9" s="24"/>
      <c r="AS9" s="25"/>
      <c r="AT9" s="24"/>
      <c r="AU9" s="23">
        <v>3</v>
      </c>
      <c r="AV9" s="24">
        <f>1*AV$11</f>
        <v>3</v>
      </c>
      <c r="AW9" s="25"/>
      <c r="AX9" s="24"/>
      <c r="AY9" s="23">
        <v>3</v>
      </c>
      <c r="AZ9" s="24">
        <f>1*AZ$11</f>
        <v>3</v>
      </c>
      <c r="BA9" s="25"/>
      <c r="BB9" s="24"/>
      <c r="BC9" s="23">
        <v>3</v>
      </c>
      <c r="BD9" s="24">
        <f>1*BD$11</f>
        <v>3</v>
      </c>
      <c r="BE9" s="25"/>
      <c r="BF9" s="24"/>
      <c r="BG9" s="23">
        <v>3</v>
      </c>
      <c r="BH9" s="24">
        <f>1*BH$11</f>
        <v>3</v>
      </c>
      <c r="BI9" s="25"/>
      <c r="BJ9" s="24"/>
      <c r="BK9" s="340"/>
      <c r="BL9" s="32">
        <f t="shared" si="1"/>
        <v>33</v>
      </c>
      <c r="BM9" s="32">
        <f t="shared" si="2"/>
        <v>3234</v>
      </c>
      <c r="BN9" s="28">
        <f t="shared" si="3"/>
        <v>12</v>
      </c>
      <c r="BO9" s="29">
        <f t="shared" si="4"/>
        <v>1176</v>
      </c>
      <c r="BP9" s="30">
        <f t="shared" si="5"/>
        <v>0</v>
      </c>
      <c r="BQ9" s="31">
        <f t="shared" si="6"/>
        <v>0</v>
      </c>
      <c r="BR9" s="11"/>
      <c r="BS9" s="329"/>
      <c r="BT9" s="23"/>
      <c r="BU9" s="24"/>
      <c r="BV9" s="25"/>
      <c r="BW9" s="24"/>
      <c r="BX9" s="23"/>
      <c r="BY9" s="24"/>
      <c r="BZ9" s="25"/>
      <c r="CA9" s="24"/>
      <c r="CB9" s="23"/>
      <c r="CC9" s="24"/>
      <c r="CD9" s="25"/>
      <c r="CE9" s="24"/>
      <c r="CF9" s="23"/>
      <c r="CG9" s="24"/>
      <c r="CH9" s="25"/>
      <c r="CI9" s="24"/>
      <c r="CJ9" s="23"/>
      <c r="CK9" s="24"/>
      <c r="CL9" s="25"/>
      <c r="CM9" s="24"/>
      <c r="CN9" s="23"/>
      <c r="CO9" s="24"/>
      <c r="CP9" s="25"/>
      <c r="CQ9" s="24"/>
      <c r="CR9" s="23"/>
      <c r="CS9" s="24"/>
      <c r="CT9" s="25"/>
      <c r="CU9" s="24"/>
      <c r="CV9" s="23"/>
      <c r="CW9" s="24"/>
      <c r="CX9" s="25"/>
      <c r="CY9" s="24"/>
      <c r="CZ9" s="23"/>
      <c r="DA9" s="24"/>
      <c r="DB9" s="25"/>
      <c r="DC9" s="24"/>
      <c r="DD9" s="23"/>
      <c r="DE9" s="24"/>
      <c r="DF9" s="25"/>
      <c r="DG9" s="24"/>
      <c r="DH9" s="23"/>
      <c r="DI9" s="24"/>
      <c r="DJ9" s="25"/>
      <c r="DK9" s="24"/>
      <c r="DL9" s="23"/>
      <c r="DM9" s="24"/>
      <c r="DN9" s="25"/>
      <c r="DO9" s="24"/>
      <c r="DP9" s="340"/>
      <c r="DQ9" s="32">
        <f t="shared" si="7"/>
        <v>0</v>
      </c>
      <c r="DR9" s="32">
        <f t="shared" si="8"/>
        <v>0</v>
      </c>
      <c r="DS9" s="11"/>
      <c r="DT9" s="329"/>
      <c r="DU9" s="23"/>
      <c r="DV9" s="24"/>
      <c r="DW9" s="25"/>
      <c r="DX9" s="24"/>
      <c r="DY9" s="23"/>
      <c r="DZ9" s="24"/>
      <c r="EA9" s="25"/>
      <c r="EB9" s="24"/>
      <c r="EC9" s="23"/>
      <c r="ED9" s="24"/>
      <c r="EE9" s="25"/>
      <c r="EF9" s="24"/>
      <c r="EG9" s="23"/>
      <c r="EH9" s="24"/>
      <c r="EI9" s="25"/>
      <c r="EJ9" s="24"/>
      <c r="EK9" s="23"/>
      <c r="EL9" s="24"/>
      <c r="EM9" s="25"/>
      <c r="EN9" s="24"/>
      <c r="EO9" s="23"/>
      <c r="EP9" s="24"/>
      <c r="EQ9" s="25"/>
      <c r="ER9" s="24"/>
      <c r="ES9" s="23"/>
      <c r="ET9" s="24"/>
      <c r="EU9" s="25"/>
      <c r="EV9" s="24"/>
      <c r="EW9" s="23"/>
      <c r="EX9" s="24"/>
      <c r="EY9" s="25"/>
      <c r="EZ9" s="24"/>
      <c r="FA9" s="23"/>
      <c r="FB9" s="24"/>
      <c r="FC9" s="25"/>
      <c r="FD9" s="24"/>
      <c r="FE9" s="23"/>
      <c r="FF9" s="24"/>
      <c r="FG9" s="25"/>
      <c r="FH9" s="24"/>
      <c r="FI9" s="23"/>
      <c r="FJ9" s="24"/>
      <c r="FK9" s="25"/>
      <c r="FL9" s="24"/>
      <c r="FM9" s="23"/>
      <c r="FN9" s="24"/>
      <c r="FO9" s="25"/>
      <c r="FP9" s="24"/>
      <c r="FQ9" s="340"/>
      <c r="FR9" s="32">
        <f t="shared" si="9"/>
        <v>0</v>
      </c>
      <c r="FS9" s="32">
        <f t="shared" si="10"/>
        <v>0</v>
      </c>
      <c r="FT9" s="360"/>
    </row>
    <row r="10" spans="1:176" s="14" customFormat="1" outlineLevel="2">
      <c r="A10" s="413" t="s">
        <v>468</v>
      </c>
      <c r="B10" s="444" t="s">
        <v>82</v>
      </c>
      <c r="C10" s="587" t="s">
        <v>72</v>
      </c>
      <c r="D10" s="580" t="s">
        <v>32</v>
      </c>
      <c r="E10" s="414">
        <f>IF(ISBLANK(G10),"",IF($A$6:$A$330=$A10,COUNTIF($A$6:A10,$A10),""))</f>
        <v>5</v>
      </c>
      <c r="F10" s="284">
        <v>1</v>
      </c>
      <c r="G10" s="304">
        <v>4494430400</v>
      </c>
      <c r="H10" s="602" t="s">
        <v>150</v>
      </c>
      <c r="I10" s="616">
        <f>191/НДС_20</f>
        <v>159.16666666666669</v>
      </c>
      <c r="J10" s="616"/>
      <c r="K10" s="333"/>
      <c r="L10" s="616"/>
      <c r="M10" s="305"/>
      <c r="N10" s="305">
        <f t="shared" si="0"/>
        <v>0</v>
      </c>
      <c r="O10" s="322"/>
      <c r="P10" s="408"/>
      <c r="Q10" s="307"/>
      <c r="R10" s="408"/>
      <c r="S10" s="322"/>
      <c r="T10" s="408"/>
      <c r="U10" s="307"/>
      <c r="V10" s="408"/>
      <c r="W10" s="322"/>
      <c r="X10" s="408"/>
      <c r="Y10" s="307"/>
      <c r="Z10" s="408"/>
      <c r="AA10" s="322"/>
      <c r="AB10" s="408"/>
      <c r="AC10" s="307"/>
      <c r="AD10" s="408"/>
      <c r="AE10" s="322"/>
      <c r="AF10" s="408"/>
      <c r="AG10" s="307">
        <v>0</v>
      </c>
      <c r="AH10" s="408"/>
      <c r="AI10" s="322"/>
      <c r="AJ10" s="408"/>
      <c r="AK10" s="307"/>
      <c r="AL10" s="408"/>
      <c r="AM10" s="322"/>
      <c r="AN10" s="408"/>
      <c r="AO10" s="307"/>
      <c r="AP10" s="408"/>
      <c r="AQ10" s="322"/>
      <c r="AR10" s="408"/>
      <c r="AS10" s="307"/>
      <c r="AT10" s="408"/>
      <c r="AU10" s="322"/>
      <c r="AV10" s="408"/>
      <c r="AW10" s="307"/>
      <c r="AX10" s="408"/>
      <c r="AY10" s="322"/>
      <c r="AZ10" s="408"/>
      <c r="BA10" s="307"/>
      <c r="BB10" s="408"/>
      <c r="BC10" s="322"/>
      <c r="BD10" s="408"/>
      <c r="BE10" s="307"/>
      <c r="BF10" s="408"/>
      <c r="BG10" s="322"/>
      <c r="BH10" s="408"/>
      <c r="BI10" s="307"/>
      <c r="BJ10" s="408"/>
      <c r="BK10" s="340"/>
      <c r="BL10" s="328">
        <f t="shared" si="1"/>
        <v>0</v>
      </c>
      <c r="BM10" s="328">
        <f t="shared" si="2"/>
        <v>0</v>
      </c>
      <c r="BN10" s="324">
        <f t="shared" si="3"/>
        <v>0</v>
      </c>
      <c r="BO10" s="325">
        <f t="shared" si="4"/>
        <v>0</v>
      </c>
      <c r="BP10" s="326">
        <f t="shared" si="5"/>
        <v>0</v>
      </c>
      <c r="BQ10" s="327">
        <f t="shared" si="6"/>
        <v>0</v>
      </c>
      <c r="BR10" s="329"/>
      <c r="BS10" s="329"/>
      <c r="BT10" s="322"/>
      <c r="BU10" s="408"/>
      <c r="BV10" s="307"/>
      <c r="BW10" s="408"/>
      <c r="BX10" s="322"/>
      <c r="BY10" s="408"/>
      <c r="BZ10" s="307"/>
      <c r="CA10" s="408"/>
      <c r="CB10" s="322"/>
      <c r="CC10" s="408"/>
      <c r="CD10" s="307"/>
      <c r="CE10" s="408"/>
      <c r="CF10" s="322"/>
      <c r="CG10" s="408"/>
      <c r="CH10" s="307"/>
      <c r="CI10" s="408"/>
      <c r="CJ10" s="322"/>
      <c r="CK10" s="408"/>
      <c r="CL10" s="307"/>
      <c r="CM10" s="408"/>
      <c r="CN10" s="322"/>
      <c r="CO10" s="408"/>
      <c r="CP10" s="307"/>
      <c r="CQ10" s="408"/>
      <c r="CR10" s="322"/>
      <c r="CS10" s="408"/>
      <c r="CT10" s="307"/>
      <c r="CU10" s="408"/>
      <c r="CV10" s="322"/>
      <c r="CW10" s="408"/>
      <c r="CX10" s="307"/>
      <c r="CY10" s="408"/>
      <c r="CZ10" s="322"/>
      <c r="DA10" s="408"/>
      <c r="DB10" s="307"/>
      <c r="DC10" s="408"/>
      <c r="DD10" s="322"/>
      <c r="DE10" s="408"/>
      <c r="DF10" s="307"/>
      <c r="DG10" s="408"/>
      <c r="DH10" s="322"/>
      <c r="DI10" s="408"/>
      <c r="DJ10" s="307"/>
      <c r="DK10" s="408"/>
      <c r="DL10" s="322"/>
      <c r="DM10" s="408"/>
      <c r="DN10" s="307"/>
      <c r="DO10" s="408"/>
      <c r="DP10" s="340"/>
      <c r="DQ10" s="328">
        <f t="shared" si="7"/>
        <v>0</v>
      </c>
      <c r="DR10" s="328">
        <f t="shared" si="8"/>
        <v>0</v>
      </c>
      <c r="DS10" s="329"/>
      <c r="DT10" s="329"/>
      <c r="DU10" s="322"/>
      <c r="DV10" s="408"/>
      <c r="DW10" s="307"/>
      <c r="DX10" s="408"/>
      <c r="DY10" s="322"/>
      <c r="DZ10" s="408"/>
      <c r="EA10" s="307"/>
      <c r="EB10" s="408"/>
      <c r="EC10" s="322"/>
      <c r="ED10" s="408"/>
      <c r="EE10" s="307"/>
      <c r="EF10" s="408"/>
      <c r="EG10" s="322"/>
      <c r="EH10" s="408"/>
      <c r="EI10" s="307"/>
      <c r="EJ10" s="408"/>
      <c r="EK10" s="322"/>
      <c r="EL10" s="408"/>
      <c r="EM10" s="307"/>
      <c r="EN10" s="408"/>
      <c r="EO10" s="322"/>
      <c r="EP10" s="408"/>
      <c r="EQ10" s="307"/>
      <c r="ER10" s="408"/>
      <c r="ES10" s="322"/>
      <c r="ET10" s="408"/>
      <c r="EU10" s="307"/>
      <c r="EV10" s="408"/>
      <c r="EW10" s="322"/>
      <c r="EX10" s="408"/>
      <c r="EY10" s="307"/>
      <c r="EZ10" s="408"/>
      <c r="FA10" s="322"/>
      <c r="FB10" s="408"/>
      <c r="FC10" s="307"/>
      <c r="FD10" s="408"/>
      <c r="FE10" s="322"/>
      <c r="FF10" s="408"/>
      <c r="FG10" s="307"/>
      <c r="FH10" s="408"/>
      <c r="FI10" s="322"/>
      <c r="FJ10" s="408"/>
      <c r="FK10" s="307"/>
      <c r="FL10" s="408"/>
      <c r="FM10" s="322"/>
      <c r="FN10" s="408"/>
      <c r="FO10" s="307"/>
      <c r="FP10" s="408"/>
      <c r="FQ10" s="340"/>
      <c r="FR10" s="328">
        <f t="shared" si="9"/>
        <v>0</v>
      </c>
      <c r="FS10" s="328">
        <f t="shared" si="10"/>
        <v>0</v>
      </c>
      <c r="FT10" s="360"/>
    </row>
    <row r="11" spans="1:176" s="574" customFormat="1" outlineLevel="2">
      <c r="A11" s="565" t="s">
        <v>468</v>
      </c>
      <c r="B11" s="565" t="s">
        <v>82</v>
      </c>
      <c r="C11" s="541" t="s">
        <v>72</v>
      </c>
      <c r="D11" s="565" t="s">
        <v>32</v>
      </c>
      <c r="E11" s="566">
        <f>IF(ISBLANK(G11),"",IF($A$6:$A$330=$A11,COUNTIF($A$6:A11,$A11),""))</f>
        <v>6</v>
      </c>
      <c r="F11" s="567" t="s">
        <v>89</v>
      </c>
      <c r="G11" s="124">
        <v>4441000440</v>
      </c>
      <c r="H11" s="604" t="s">
        <v>456</v>
      </c>
      <c r="I11" s="618">
        <f>9119/НДС</f>
        <v>7474.5901639344265</v>
      </c>
      <c r="J11" s="618"/>
      <c r="K11" s="126"/>
      <c r="L11" s="618" t="str">
        <f t="shared" ref="L11:L32" si="11">IF(K11="RUB",J11/ЮАНЬ,IF(K11="EUR",J11*ЕВРО/ЮАНЬ,""))</f>
        <v/>
      </c>
      <c r="M11" s="568"/>
      <c r="N11" s="353">
        <f t="shared" si="0"/>
        <v>1</v>
      </c>
      <c r="O11" s="569">
        <v>2</v>
      </c>
      <c r="P11" s="570"/>
      <c r="Q11" s="571"/>
      <c r="R11" s="570"/>
      <c r="S11" s="569">
        <v>2</v>
      </c>
      <c r="T11" s="570"/>
      <c r="U11" s="307"/>
      <c r="V11" s="570"/>
      <c r="W11" s="569">
        <v>2</v>
      </c>
      <c r="X11" s="570">
        <f>2</f>
        <v>2</v>
      </c>
      <c r="Y11" s="571">
        <v>2</v>
      </c>
      <c r="Z11" s="570"/>
      <c r="AA11" s="569">
        <v>3</v>
      </c>
      <c r="AB11" s="570">
        <f>2</f>
        <v>2</v>
      </c>
      <c r="AC11" s="571">
        <v>2</v>
      </c>
      <c r="AD11" s="570"/>
      <c r="AE11" s="569">
        <v>3</v>
      </c>
      <c r="AF11" s="570"/>
      <c r="AG11" s="307">
        <v>0</v>
      </c>
      <c r="AH11" s="570"/>
      <c r="AI11" s="569">
        <v>3</v>
      </c>
      <c r="AJ11" s="570">
        <v>4</v>
      </c>
      <c r="AK11" s="571"/>
      <c r="AL11" s="570"/>
      <c r="AM11" s="569">
        <v>3</v>
      </c>
      <c r="AN11" s="570">
        <v>2</v>
      </c>
      <c r="AO11" s="571"/>
      <c r="AP11" s="570"/>
      <c r="AQ11" s="569">
        <v>3</v>
      </c>
      <c r="AR11" s="570">
        <v>3</v>
      </c>
      <c r="AS11" s="571"/>
      <c r="AT11" s="570"/>
      <c r="AU11" s="569">
        <v>3</v>
      </c>
      <c r="AV11" s="570">
        <v>3</v>
      </c>
      <c r="AW11" s="571"/>
      <c r="AX11" s="570"/>
      <c r="AY11" s="569">
        <v>3</v>
      </c>
      <c r="AZ11" s="570">
        <v>3</v>
      </c>
      <c r="BA11" s="571"/>
      <c r="BB11" s="570"/>
      <c r="BC11" s="569">
        <v>3</v>
      </c>
      <c r="BD11" s="570">
        <v>3</v>
      </c>
      <c r="BE11" s="571"/>
      <c r="BF11" s="570"/>
      <c r="BG11" s="569">
        <v>3</v>
      </c>
      <c r="BH11" s="570">
        <v>3</v>
      </c>
      <c r="BI11" s="571"/>
      <c r="BJ11" s="570"/>
      <c r="BK11" s="572"/>
      <c r="BL11" s="32">
        <f t="shared" si="1"/>
        <v>33</v>
      </c>
      <c r="BM11" s="32">
        <f t="shared" si="2"/>
        <v>246661.47540983607</v>
      </c>
      <c r="BN11" s="28">
        <f t="shared" si="3"/>
        <v>25</v>
      </c>
      <c r="BO11" s="29">
        <f t="shared" si="4"/>
        <v>186864.75409836066</v>
      </c>
      <c r="BP11" s="30">
        <f t="shared" si="5"/>
        <v>4</v>
      </c>
      <c r="BQ11" s="31">
        <f t="shared" si="6"/>
        <v>29898.360655737706</v>
      </c>
      <c r="BR11" s="11"/>
      <c r="BS11" s="329"/>
      <c r="BT11" s="569"/>
      <c r="BU11" s="570"/>
      <c r="BV11" s="571"/>
      <c r="BW11" s="570"/>
      <c r="BX11" s="569"/>
      <c r="BY11" s="570"/>
      <c r="BZ11" s="571"/>
      <c r="CA11" s="570"/>
      <c r="CB11" s="569"/>
      <c r="CC11" s="570"/>
      <c r="CD11" s="571"/>
      <c r="CE11" s="570"/>
      <c r="CF11" s="569"/>
      <c r="CG11" s="570"/>
      <c r="CH11" s="571"/>
      <c r="CI11" s="570"/>
      <c r="CJ11" s="569"/>
      <c r="CK11" s="570"/>
      <c r="CL11" s="571"/>
      <c r="CM11" s="570"/>
      <c r="CN11" s="569"/>
      <c r="CO11" s="570"/>
      <c r="CP11" s="571"/>
      <c r="CQ11" s="570"/>
      <c r="CR11" s="569"/>
      <c r="CS11" s="570"/>
      <c r="CT11" s="571"/>
      <c r="CU11" s="570"/>
      <c r="CV11" s="569"/>
      <c r="CW11" s="570"/>
      <c r="CX11" s="571"/>
      <c r="CY11" s="570"/>
      <c r="CZ11" s="569"/>
      <c r="DA11" s="570"/>
      <c r="DB11" s="571"/>
      <c r="DC11" s="570"/>
      <c r="DD11" s="569"/>
      <c r="DE11" s="570"/>
      <c r="DF11" s="571"/>
      <c r="DG11" s="570"/>
      <c r="DH11" s="569"/>
      <c r="DI11" s="570"/>
      <c r="DJ11" s="571"/>
      <c r="DK11" s="570"/>
      <c r="DL11" s="569"/>
      <c r="DM11" s="570"/>
      <c r="DN11" s="571"/>
      <c r="DO11" s="570"/>
      <c r="DP11" s="572"/>
      <c r="DQ11" s="32">
        <f t="shared" si="7"/>
        <v>0</v>
      </c>
      <c r="DR11" s="32">
        <f t="shared" si="8"/>
        <v>0</v>
      </c>
      <c r="DS11" s="11"/>
      <c r="DT11" s="329"/>
      <c r="DU11" s="569"/>
      <c r="DV11" s="570"/>
      <c r="DW11" s="571"/>
      <c r="DX11" s="570"/>
      <c r="DY11" s="569"/>
      <c r="DZ11" s="570"/>
      <c r="EA11" s="571"/>
      <c r="EB11" s="570"/>
      <c r="EC11" s="569"/>
      <c r="ED11" s="570"/>
      <c r="EE11" s="571"/>
      <c r="EF11" s="570"/>
      <c r="EG11" s="569"/>
      <c r="EH11" s="570"/>
      <c r="EI11" s="571"/>
      <c r="EJ11" s="570"/>
      <c r="EK11" s="569"/>
      <c r="EL11" s="570"/>
      <c r="EM11" s="571"/>
      <c r="EN11" s="570"/>
      <c r="EO11" s="569"/>
      <c r="EP11" s="570"/>
      <c r="EQ11" s="571"/>
      <c r="ER11" s="570"/>
      <c r="ES11" s="569"/>
      <c r="ET11" s="570"/>
      <c r="EU11" s="571"/>
      <c r="EV11" s="570"/>
      <c r="EW11" s="569"/>
      <c r="EX11" s="570"/>
      <c r="EY11" s="571"/>
      <c r="EZ11" s="570"/>
      <c r="FA11" s="569"/>
      <c r="FB11" s="570"/>
      <c r="FC11" s="571"/>
      <c r="FD11" s="570"/>
      <c r="FE11" s="569"/>
      <c r="FF11" s="570"/>
      <c r="FG11" s="571"/>
      <c r="FH11" s="570"/>
      <c r="FI11" s="569"/>
      <c r="FJ11" s="570"/>
      <c r="FK11" s="571"/>
      <c r="FL11" s="570"/>
      <c r="FM11" s="569"/>
      <c r="FN11" s="570"/>
      <c r="FO11" s="571"/>
      <c r="FP11" s="570"/>
      <c r="FQ11" s="572"/>
      <c r="FR11" s="32">
        <f t="shared" si="9"/>
        <v>0</v>
      </c>
      <c r="FS11" s="32">
        <f t="shared" si="10"/>
        <v>0</v>
      </c>
      <c r="FT11" s="573"/>
    </row>
    <row r="12" spans="1:176" s="574" customFormat="1" outlineLevel="2">
      <c r="A12" s="575" t="s">
        <v>468</v>
      </c>
      <c r="B12" s="575" t="s">
        <v>82</v>
      </c>
      <c r="C12" s="432" t="s">
        <v>72</v>
      </c>
      <c r="D12" s="575" t="s">
        <v>32</v>
      </c>
      <c r="E12" s="576">
        <f>IF(ISBLANK(G12),"",IF($A$6:$A$330=$A12,COUNTIF($A$6:A12,$A12),""))</f>
        <v>7</v>
      </c>
      <c r="F12" s="577" t="s">
        <v>89</v>
      </c>
      <c r="G12" s="319">
        <v>4441000260</v>
      </c>
      <c r="H12" s="603" t="s">
        <v>448</v>
      </c>
      <c r="I12" s="618">
        <f>8355/НДС</f>
        <v>6848.3606557377052</v>
      </c>
      <c r="J12" s="619"/>
      <c r="K12" s="321"/>
      <c r="L12" s="619" t="str">
        <f t="shared" si="11"/>
        <v/>
      </c>
      <c r="M12" s="353"/>
      <c r="N12" s="353">
        <f t="shared" si="0"/>
        <v>0</v>
      </c>
      <c r="O12" s="578"/>
      <c r="P12" s="498"/>
      <c r="Q12" s="579"/>
      <c r="R12" s="498"/>
      <c r="S12" s="578"/>
      <c r="T12" s="498"/>
      <c r="U12" s="307"/>
      <c r="V12" s="498"/>
      <c r="W12" s="578"/>
      <c r="X12" s="498"/>
      <c r="Y12" s="579"/>
      <c r="Z12" s="498"/>
      <c r="AA12" s="578"/>
      <c r="AB12" s="498"/>
      <c r="AC12" s="579"/>
      <c r="AD12" s="498"/>
      <c r="AE12" s="578"/>
      <c r="AF12" s="498"/>
      <c r="AG12" s="307">
        <v>0</v>
      </c>
      <c r="AH12" s="498"/>
      <c r="AI12" s="578"/>
      <c r="AJ12" s="498"/>
      <c r="AK12" s="579"/>
      <c r="AL12" s="498"/>
      <c r="AM12" s="578"/>
      <c r="AN12" s="498"/>
      <c r="AO12" s="579"/>
      <c r="AP12" s="498"/>
      <c r="AQ12" s="578"/>
      <c r="AR12" s="498"/>
      <c r="AS12" s="579"/>
      <c r="AT12" s="498"/>
      <c r="AU12" s="578"/>
      <c r="AV12" s="498"/>
      <c r="AW12" s="579"/>
      <c r="AX12" s="498"/>
      <c r="AY12" s="578"/>
      <c r="AZ12" s="498"/>
      <c r="BA12" s="579"/>
      <c r="BB12" s="498"/>
      <c r="BC12" s="578"/>
      <c r="BD12" s="498"/>
      <c r="BE12" s="579"/>
      <c r="BF12" s="498"/>
      <c r="BG12" s="578"/>
      <c r="BH12" s="498"/>
      <c r="BI12" s="579"/>
      <c r="BJ12" s="498"/>
      <c r="BK12" s="572"/>
      <c r="BL12" s="328">
        <f t="shared" si="1"/>
        <v>0</v>
      </c>
      <c r="BM12" s="328">
        <f t="shared" si="2"/>
        <v>0</v>
      </c>
      <c r="BN12" s="324">
        <f t="shared" si="3"/>
        <v>0</v>
      </c>
      <c r="BO12" s="325">
        <f t="shared" si="4"/>
        <v>0</v>
      </c>
      <c r="BP12" s="326">
        <f t="shared" si="5"/>
        <v>0</v>
      </c>
      <c r="BQ12" s="327">
        <f t="shared" si="6"/>
        <v>0</v>
      </c>
      <c r="BR12" s="329"/>
      <c r="BS12" s="329"/>
      <c r="BT12" s="578"/>
      <c r="BU12" s="498"/>
      <c r="BV12" s="579"/>
      <c r="BW12" s="498"/>
      <c r="BX12" s="578"/>
      <c r="BY12" s="498"/>
      <c r="BZ12" s="579"/>
      <c r="CA12" s="498"/>
      <c r="CB12" s="578"/>
      <c r="CC12" s="498"/>
      <c r="CD12" s="579"/>
      <c r="CE12" s="498"/>
      <c r="CF12" s="578"/>
      <c r="CG12" s="498"/>
      <c r="CH12" s="579"/>
      <c r="CI12" s="498"/>
      <c r="CJ12" s="578"/>
      <c r="CK12" s="498"/>
      <c r="CL12" s="579"/>
      <c r="CM12" s="498"/>
      <c r="CN12" s="578"/>
      <c r="CO12" s="498"/>
      <c r="CP12" s="579"/>
      <c r="CQ12" s="498"/>
      <c r="CR12" s="578"/>
      <c r="CS12" s="498"/>
      <c r="CT12" s="579"/>
      <c r="CU12" s="498"/>
      <c r="CV12" s="578"/>
      <c r="CW12" s="498"/>
      <c r="CX12" s="579"/>
      <c r="CY12" s="498"/>
      <c r="CZ12" s="578"/>
      <c r="DA12" s="498"/>
      <c r="DB12" s="579"/>
      <c r="DC12" s="498"/>
      <c r="DD12" s="578"/>
      <c r="DE12" s="498"/>
      <c r="DF12" s="579"/>
      <c r="DG12" s="498"/>
      <c r="DH12" s="578"/>
      <c r="DI12" s="498"/>
      <c r="DJ12" s="579"/>
      <c r="DK12" s="498"/>
      <c r="DL12" s="578"/>
      <c r="DM12" s="498"/>
      <c r="DN12" s="579"/>
      <c r="DO12" s="498"/>
      <c r="DP12" s="572"/>
      <c r="DQ12" s="328">
        <f t="shared" si="7"/>
        <v>0</v>
      </c>
      <c r="DR12" s="328">
        <f t="shared" si="8"/>
        <v>0</v>
      </c>
      <c r="DS12" s="329"/>
      <c r="DT12" s="329"/>
      <c r="DU12" s="578"/>
      <c r="DV12" s="498"/>
      <c r="DW12" s="579"/>
      <c r="DX12" s="498"/>
      <c r="DY12" s="578"/>
      <c r="DZ12" s="498"/>
      <c r="EA12" s="579"/>
      <c r="EB12" s="498"/>
      <c r="EC12" s="578"/>
      <c r="ED12" s="498"/>
      <c r="EE12" s="579"/>
      <c r="EF12" s="498"/>
      <c r="EG12" s="578"/>
      <c r="EH12" s="498"/>
      <c r="EI12" s="579"/>
      <c r="EJ12" s="498"/>
      <c r="EK12" s="578"/>
      <c r="EL12" s="498"/>
      <c r="EM12" s="579"/>
      <c r="EN12" s="498"/>
      <c r="EO12" s="578"/>
      <c r="EP12" s="498"/>
      <c r="EQ12" s="579"/>
      <c r="ER12" s="498"/>
      <c r="ES12" s="578"/>
      <c r="ET12" s="498"/>
      <c r="EU12" s="579"/>
      <c r="EV12" s="498"/>
      <c r="EW12" s="578"/>
      <c r="EX12" s="498"/>
      <c r="EY12" s="579"/>
      <c r="EZ12" s="498"/>
      <c r="FA12" s="578"/>
      <c r="FB12" s="498"/>
      <c r="FC12" s="579"/>
      <c r="FD12" s="498"/>
      <c r="FE12" s="578"/>
      <c r="FF12" s="498"/>
      <c r="FG12" s="579"/>
      <c r="FH12" s="498"/>
      <c r="FI12" s="578"/>
      <c r="FJ12" s="498"/>
      <c r="FK12" s="579"/>
      <c r="FL12" s="498"/>
      <c r="FM12" s="578"/>
      <c r="FN12" s="498"/>
      <c r="FO12" s="579"/>
      <c r="FP12" s="498"/>
      <c r="FQ12" s="572"/>
      <c r="FR12" s="328">
        <f t="shared" si="9"/>
        <v>0</v>
      </c>
      <c r="FS12" s="328">
        <f t="shared" si="10"/>
        <v>0</v>
      </c>
      <c r="FT12" s="573"/>
    </row>
    <row r="13" spans="1:176" s="574" customFormat="1" outlineLevel="2">
      <c r="A13" s="575" t="s">
        <v>468</v>
      </c>
      <c r="B13" s="575" t="s">
        <v>82</v>
      </c>
      <c r="C13" s="432" t="s">
        <v>72</v>
      </c>
      <c r="D13" s="575" t="s">
        <v>32</v>
      </c>
      <c r="E13" s="576">
        <f>IF(ISBLANK(G13),"",IF($A$6:$A$330=$A13,COUNTIF($A$6:A13,$A13),""))</f>
        <v>8</v>
      </c>
      <c r="F13" s="577" t="s">
        <v>89</v>
      </c>
      <c r="G13" s="319">
        <v>4441000210</v>
      </c>
      <c r="H13" s="603" t="s">
        <v>443</v>
      </c>
      <c r="I13" s="618">
        <f>847.9/НДС</f>
        <v>695</v>
      </c>
      <c r="J13" s="619"/>
      <c r="K13" s="321"/>
      <c r="L13" s="619" t="str">
        <f t="shared" si="11"/>
        <v/>
      </c>
      <c r="M13" s="353"/>
      <c r="N13" s="353">
        <f t="shared" si="0"/>
        <v>0</v>
      </c>
      <c r="O13" s="578"/>
      <c r="P13" s="498"/>
      <c r="Q13" s="579"/>
      <c r="R13" s="498"/>
      <c r="S13" s="578"/>
      <c r="T13" s="498"/>
      <c r="U13" s="307"/>
      <c r="V13" s="498"/>
      <c r="W13" s="578"/>
      <c r="X13" s="498"/>
      <c r="Y13" s="579"/>
      <c r="Z13" s="498"/>
      <c r="AA13" s="578"/>
      <c r="AB13" s="498"/>
      <c r="AC13" s="579"/>
      <c r="AD13" s="498"/>
      <c r="AE13" s="578"/>
      <c r="AF13" s="498"/>
      <c r="AG13" s="307">
        <v>0</v>
      </c>
      <c r="AH13" s="498"/>
      <c r="AI13" s="578"/>
      <c r="AJ13" s="498"/>
      <c r="AK13" s="579"/>
      <c r="AL13" s="498"/>
      <c r="AM13" s="578"/>
      <c r="AN13" s="498"/>
      <c r="AO13" s="579"/>
      <c r="AP13" s="498"/>
      <c r="AQ13" s="578"/>
      <c r="AR13" s="498"/>
      <c r="AS13" s="579"/>
      <c r="AT13" s="498"/>
      <c r="AU13" s="578"/>
      <c r="AV13" s="498"/>
      <c r="AW13" s="579"/>
      <c r="AX13" s="498"/>
      <c r="AY13" s="578"/>
      <c r="AZ13" s="498"/>
      <c r="BA13" s="579"/>
      <c r="BB13" s="498"/>
      <c r="BC13" s="578"/>
      <c r="BD13" s="498"/>
      <c r="BE13" s="579"/>
      <c r="BF13" s="498"/>
      <c r="BG13" s="578"/>
      <c r="BH13" s="498"/>
      <c r="BI13" s="579"/>
      <c r="BJ13" s="498"/>
      <c r="BK13" s="572"/>
      <c r="BL13" s="328">
        <f t="shared" si="1"/>
        <v>0</v>
      </c>
      <c r="BM13" s="328">
        <f t="shared" si="2"/>
        <v>0</v>
      </c>
      <c r="BN13" s="324">
        <f t="shared" si="3"/>
        <v>0</v>
      </c>
      <c r="BO13" s="325">
        <f t="shared" si="4"/>
        <v>0</v>
      </c>
      <c r="BP13" s="326">
        <f t="shared" si="5"/>
        <v>0</v>
      </c>
      <c r="BQ13" s="327">
        <f t="shared" si="6"/>
        <v>0</v>
      </c>
      <c r="BR13" s="329"/>
      <c r="BS13" s="329"/>
      <c r="BT13" s="578"/>
      <c r="BU13" s="498"/>
      <c r="BV13" s="579"/>
      <c r="BW13" s="498"/>
      <c r="BX13" s="578"/>
      <c r="BY13" s="498"/>
      <c r="BZ13" s="579"/>
      <c r="CA13" s="498"/>
      <c r="CB13" s="578"/>
      <c r="CC13" s="498"/>
      <c r="CD13" s="579"/>
      <c r="CE13" s="498"/>
      <c r="CF13" s="578"/>
      <c r="CG13" s="498"/>
      <c r="CH13" s="579"/>
      <c r="CI13" s="498"/>
      <c r="CJ13" s="578"/>
      <c r="CK13" s="498"/>
      <c r="CL13" s="579"/>
      <c r="CM13" s="498"/>
      <c r="CN13" s="578"/>
      <c r="CO13" s="498"/>
      <c r="CP13" s="579"/>
      <c r="CQ13" s="498"/>
      <c r="CR13" s="578"/>
      <c r="CS13" s="498"/>
      <c r="CT13" s="579"/>
      <c r="CU13" s="498"/>
      <c r="CV13" s="578"/>
      <c r="CW13" s="498"/>
      <c r="CX13" s="579"/>
      <c r="CY13" s="498"/>
      <c r="CZ13" s="578"/>
      <c r="DA13" s="498"/>
      <c r="DB13" s="579"/>
      <c r="DC13" s="498"/>
      <c r="DD13" s="578"/>
      <c r="DE13" s="498"/>
      <c r="DF13" s="579"/>
      <c r="DG13" s="498"/>
      <c r="DH13" s="578"/>
      <c r="DI13" s="498"/>
      <c r="DJ13" s="579"/>
      <c r="DK13" s="498"/>
      <c r="DL13" s="578"/>
      <c r="DM13" s="498"/>
      <c r="DN13" s="579"/>
      <c r="DO13" s="498"/>
      <c r="DP13" s="572"/>
      <c r="DQ13" s="328">
        <f t="shared" si="7"/>
        <v>0</v>
      </c>
      <c r="DR13" s="328">
        <f t="shared" si="8"/>
        <v>0</v>
      </c>
      <c r="DS13" s="329"/>
      <c r="DT13" s="329"/>
      <c r="DU13" s="578"/>
      <c r="DV13" s="498"/>
      <c r="DW13" s="579"/>
      <c r="DX13" s="498"/>
      <c r="DY13" s="578"/>
      <c r="DZ13" s="498"/>
      <c r="EA13" s="579"/>
      <c r="EB13" s="498"/>
      <c r="EC13" s="578"/>
      <c r="ED13" s="498"/>
      <c r="EE13" s="579"/>
      <c r="EF13" s="498"/>
      <c r="EG13" s="578"/>
      <c r="EH13" s="498"/>
      <c r="EI13" s="579"/>
      <c r="EJ13" s="498"/>
      <c r="EK13" s="578"/>
      <c r="EL13" s="498"/>
      <c r="EM13" s="579"/>
      <c r="EN13" s="498"/>
      <c r="EO13" s="578"/>
      <c r="EP13" s="498"/>
      <c r="EQ13" s="579"/>
      <c r="ER13" s="498"/>
      <c r="ES13" s="578"/>
      <c r="ET13" s="498"/>
      <c r="EU13" s="579"/>
      <c r="EV13" s="498"/>
      <c r="EW13" s="578"/>
      <c r="EX13" s="498"/>
      <c r="EY13" s="579"/>
      <c r="EZ13" s="498"/>
      <c r="FA13" s="578"/>
      <c r="FB13" s="498"/>
      <c r="FC13" s="579"/>
      <c r="FD13" s="498"/>
      <c r="FE13" s="578"/>
      <c r="FF13" s="498"/>
      <c r="FG13" s="579"/>
      <c r="FH13" s="498"/>
      <c r="FI13" s="578"/>
      <c r="FJ13" s="498"/>
      <c r="FK13" s="579"/>
      <c r="FL13" s="498"/>
      <c r="FM13" s="578"/>
      <c r="FN13" s="498"/>
      <c r="FO13" s="579"/>
      <c r="FP13" s="498"/>
      <c r="FQ13" s="572"/>
      <c r="FR13" s="328">
        <f t="shared" si="9"/>
        <v>0</v>
      </c>
      <c r="FS13" s="328">
        <f t="shared" si="10"/>
        <v>0</v>
      </c>
      <c r="FT13" s="573"/>
    </row>
    <row r="14" spans="1:176" s="14" customFormat="1" outlineLevel="2">
      <c r="A14" s="56" t="s">
        <v>468</v>
      </c>
      <c r="B14" s="387" t="s">
        <v>82</v>
      </c>
      <c r="C14" s="541" t="s">
        <v>72</v>
      </c>
      <c r="D14" s="565" t="s">
        <v>32</v>
      </c>
      <c r="E14" s="10">
        <f>IF(ISBLANK(G14),"",IF($A$6:$A$330=$A14,COUNTIF($A$6:A14,$A14),""))</f>
        <v>9</v>
      </c>
      <c r="F14" s="123">
        <v>1</v>
      </c>
      <c r="G14" s="124">
        <v>9522010010</v>
      </c>
      <c r="H14" s="604" t="s">
        <v>73</v>
      </c>
      <c r="I14" s="618">
        <v>0</v>
      </c>
      <c r="J14" s="618"/>
      <c r="K14" s="126"/>
      <c r="L14" s="618" t="str">
        <f t="shared" si="11"/>
        <v/>
      </c>
      <c r="M14" s="102"/>
      <c r="N14" s="305">
        <f t="shared" si="0"/>
        <v>1</v>
      </c>
      <c r="O14" s="23">
        <v>2</v>
      </c>
      <c r="P14" s="24"/>
      <c r="Q14" s="25"/>
      <c r="R14" s="24"/>
      <c r="S14" s="23">
        <v>2</v>
      </c>
      <c r="T14" s="24"/>
      <c r="U14" s="307"/>
      <c r="V14" s="24"/>
      <c r="W14" s="23">
        <v>2</v>
      </c>
      <c r="X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2</v>
      </c>
      <c r="Y14" s="25">
        <f>SUMPRODUCT((Комплекты[Пр]=ПНЕВМАТИКА!$F14)*(Комплекты[Обозначение]=ПНЕВМАТИКА!$G14)*Комплекты[Кол-во]*(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2</v>
      </c>
      <c r="Z14" s="24"/>
      <c r="AA14" s="23">
        <v>3</v>
      </c>
      <c r="AB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2</v>
      </c>
      <c r="AC14" s="25"/>
      <c r="AD14" s="24"/>
      <c r="AE14" s="23">
        <v>3</v>
      </c>
      <c r="AF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14" s="307">
        <f>SUMPRODUCT((Комплекты[Пр]=ПНЕВМАТИКА!$F14)*(Комплекты[Обозначение]=ПНЕВМАТИКА!$G14)*Комплекты[Кол-во]*(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14" s="24"/>
      <c r="AI14" s="23">
        <v>3</v>
      </c>
      <c r="AJ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4</v>
      </c>
      <c r="AK14" s="25"/>
      <c r="AL14" s="24"/>
      <c r="AM14" s="23">
        <v>3</v>
      </c>
      <c r="AN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2</v>
      </c>
      <c r="AO14" s="25"/>
      <c r="AP14" s="24"/>
      <c r="AQ14" s="23">
        <v>3</v>
      </c>
      <c r="AR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3</v>
      </c>
      <c r="AS14" s="25"/>
      <c r="AT14" s="24"/>
      <c r="AU14" s="23">
        <v>3</v>
      </c>
      <c r="AV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3</v>
      </c>
      <c r="AW14" s="25"/>
      <c r="AX14" s="24"/>
      <c r="AY14" s="23">
        <v>3</v>
      </c>
      <c r="AZ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3</v>
      </c>
      <c r="BA14" s="25"/>
      <c r="BB14" s="24"/>
      <c r="BC14" s="23">
        <v>3</v>
      </c>
      <c r="BD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3</v>
      </c>
      <c r="BE14" s="25"/>
      <c r="BF14" s="24"/>
      <c r="BG14" s="23">
        <v>3</v>
      </c>
      <c r="BH14" s="24">
        <f>SUMPRODUCT((Комплекты[Пр]=ПНЕВМАТИКА!$F14)*(Комплекты[Обозначение]=ПНЕВМАТИКА!$G14)*Комплекты[Кол-во]*(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3</v>
      </c>
      <c r="BI14" s="25"/>
      <c r="BJ14" s="24"/>
      <c r="BK14" s="340"/>
      <c r="BL14" s="32">
        <f t="shared" si="1"/>
        <v>33</v>
      </c>
      <c r="BM14" s="32">
        <f t="shared" si="2"/>
        <v>0</v>
      </c>
      <c r="BN14" s="28">
        <f t="shared" si="3"/>
        <v>25</v>
      </c>
      <c r="BO14" s="29">
        <f t="shared" si="4"/>
        <v>0</v>
      </c>
      <c r="BP14" s="30">
        <f t="shared" si="5"/>
        <v>2</v>
      </c>
      <c r="BQ14" s="31">
        <f t="shared" si="6"/>
        <v>0</v>
      </c>
      <c r="BR14" s="11"/>
      <c r="BS14" s="329"/>
      <c r="BT14" s="23"/>
      <c r="BU14" s="24"/>
      <c r="BV14" s="25"/>
      <c r="BW14" s="24"/>
      <c r="BX14" s="23"/>
      <c r="BY14" s="24"/>
      <c r="BZ14" s="25"/>
      <c r="CA14" s="24"/>
      <c r="CB14" s="23"/>
      <c r="CC14" s="24"/>
      <c r="CD14" s="25"/>
      <c r="CE14" s="24"/>
      <c r="CF14" s="23"/>
      <c r="CG14" s="24"/>
      <c r="CH14" s="25"/>
      <c r="CI14" s="24"/>
      <c r="CJ14" s="23"/>
      <c r="CK14" s="24"/>
      <c r="CL14" s="25"/>
      <c r="CM14" s="24"/>
      <c r="CN14" s="23"/>
      <c r="CO14" s="24"/>
      <c r="CP14" s="25"/>
      <c r="CQ14" s="24"/>
      <c r="CR14" s="23"/>
      <c r="CS14" s="24"/>
      <c r="CT14" s="25"/>
      <c r="CU14" s="24"/>
      <c r="CV14" s="23"/>
      <c r="CW14" s="24"/>
      <c r="CX14" s="25"/>
      <c r="CY14" s="24"/>
      <c r="CZ14" s="23"/>
      <c r="DA14" s="24"/>
      <c r="DB14" s="25"/>
      <c r="DC14" s="24"/>
      <c r="DD14" s="23"/>
      <c r="DE14" s="24"/>
      <c r="DF14" s="25"/>
      <c r="DG14" s="24"/>
      <c r="DH14" s="23"/>
      <c r="DI14" s="24"/>
      <c r="DJ14" s="25"/>
      <c r="DK14" s="24"/>
      <c r="DL14" s="23"/>
      <c r="DM14" s="24"/>
      <c r="DN14" s="25"/>
      <c r="DO14" s="24"/>
      <c r="DP14" s="340"/>
      <c r="DQ14" s="32">
        <f t="shared" si="7"/>
        <v>0</v>
      </c>
      <c r="DR14" s="32">
        <f t="shared" si="8"/>
        <v>0</v>
      </c>
      <c r="DS14" s="11"/>
      <c r="DT14" s="329"/>
      <c r="DU14" s="23"/>
      <c r="DV14" s="24"/>
      <c r="DW14" s="25"/>
      <c r="DX14" s="24"/>
      <c r="DY14" s="23"/>
      <c r="DZ14" s="24"/>
      <c r="EA14" s="25"/>
      <c r="EB14" s="24"/>
      <c r="EC14" s="23"/>
      <c r="ED14" s="24"/>
      <c r="EE14" s="25"/>
      <c r="EF14" s="24"/>
      <c r="EG14" s="23"/>
      <c r="EH14" s="24"/>
      <c r="EI14" s="25"/>
      <c r="EJ14" s="24"/>
      <c r="EK14" s="23"/>
      <c r="EL14" s="24"/>
      <c r="EM14" s="25"/>
      <c r="EN14" s="24"/>
      <c r="EO14" s="23"/>
      <c r="EP14" s="24"/>
      <c r="EQ14" s="25"/>
      <c r="ER14" s="24"/>
      <c r="ES14" s="23"/>
      <c r="ET14" s="24"/>
      <c r="EU14" s="25"/>
      <c r="EV14" s="24"/>
      <c r="EW14" s="23"/>
      <c r="EX14" s="24"/>
      <c r="EY14" s="25"/>
      <c r="EZ14" s="24"/>
      <c r="FA14" s="23"/>
      <c r="FB14" s="24"/>
      <c r="FC14" s="25"/>
      <c r="FD14" s="24"/>
      <c r="FE14" s="23"/>
      <c r="FF14" s="24"/>
      <c r="FG14" s="25"/>
      <c r="FH14" s="24"/>
      <c r="FI14" s="23"/>
      <c r="FJ14" s="24"/>
      <c r="FK14" s="25"/>
      <c r="FL14" s="24"/>
      <c r="FM14" s="23"/>
      <c r="FN14" s="24"/>
      <c r="FO14" s="25"/>
      <c r="FP14" s="24"/>
      <c r="FQ14" s="340"/>
      <c r="FR14" s="32">
        <f t="shared" si="9"/>
        <v>0</v>
      </c>
      <c r="FS14" s="32">
        <f t="shared" si="10"/>
        <v>0</v>
      </c>
      <c r="FT14" s="360"/>
    </row>
    <row r="15" spans="1:176" s="14" customFormat="1" outlineLevel="2">
      <c r="A15" s="56" t="s">
        <v>468</v>
      </c>
      <c r="B15" s="387" t="s">
        <v>82</v>
      </c>
      <c r="C15" s="541" t="s">
        <v>72</v>
      </c>
      <c r="D15" s="565" t="s">
        <v>32</v>
      </c>
      <c r="E15" s="10">
        <f>IF(ISBLANK(G15),"",IF($A$6:$A$330=$A15,COUNTIF($A$6:A15,$A15),""))</f>
        <v>10</v>
      </c>
      <c r="F15" s="123">
        <v>1</v>
      </c>
      <c r="G15" s="124">
        <v>9522010020</v>
      </c>
      <c r="H15" s="604" t="s">
        <v>74</v>
      </c>
      <c r="I15" s="618">
        <v>0</v>
      </c>
      <c r="J15" s="618"/>
      <c r="K15" s="126"/>
      <c r="L15" s="618" t="str">
        <f t="shared" si="11"/>
        <v/>
      </c>
      <c r="M15" s="102"/>
      <c r="N15" s="305">
        <f t="shared" si="0"/>
        <v>1</v>
      </c>
      <c r="O15" s="23">
        <v>2</v>
      </c>
      <c r="P15" s="24"/>
      <c r="Q15" s="25"/>
      <c r="R15" s="24"/>
      <c r="S15" s="23">
        <v>2</v>
      </c>
      <c r="T15" s="24"/>
      <c r="U15" s="307"/>
      <c r="V15" s="24"/>
      <c r="W15" s="23">
        <v>2</v>
      </c>
      <c r="X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2</v>
      </c>
      <c r="Y15" s="25">
        <f>SUMPRODUCT((Комплекты[Пр]=ПНЕВМАТИКА!$F15)*(Комплекты[Обозначение]=ПНЕВМАТИКА!$G15)*Комплекты[Кол-во]*(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2</v>
      </c>
      <c r="Z15" s="24"/>
      <c r="AA15" s="23">
        <v>3</v>
      </c>
      <c r="AB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2</v>
      </c>
      <c r="AC15" s="25"/>
      <c r="AD15" s="24"/>
      <c r="AE15" s="23">
        <v>3</v>
      </c>
      <c r="AF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15" s="307">
        <f>SUMPRODUCT((Комплекты[Пр]=ПНЕВМАТИКА!$F15)*(Комплекты[Обозначение]=ПНЕВМАТИКА!$G15)*Комплекты[Кол-во]*(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15" s="24"/>
      <c r="AI15" s="23">
        <v>3</v>
      </c>
      <c r="AJ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4</v>
      </c>
      <c r="AK15" s="25"/>
      <c r="AL15" s="24"/>
      <c r="AM15" s="23">
        <v>3</v>
      </c>
      <c r="AN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2</v>
      </c>
      <c r="AO15" s="25"/>
      <c r="AP15" s="24"/>
      <c r="AQ15" s="23">
        <v>3</v>
      </c>
      <c r="AR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3</v>
      </c>
      <c r="AS15" s="25"/>
      <c r="AT15" s="24"/>
      <c r="AU15" s="23">
        <v>3</v>
      </c>
      <c r="AV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3</v>
      </c>
      <c r="AW15" s="25"/>
      <c r="AX15" s="24"/>
      <c r="AY15" s="23">
        <v>3</v>
      </c>
      <c r="AZ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3</v>
      </c>
      <c r="BA15" s="25"/>
      <c r="BB15" s="24"/>
      <c r="BC15" s="23">
        <v>3</v>
      </c>
      <c r="BD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3</v>
      </c>
      <c r="BE15" s="25"/>
      <c r="BF15" s="24"/>
      <c r="BG15" s="23">
        <v>3</v>
      </c>
      <c r="BH15" s="24">
        <f>SUMPRODUCT((Комплекты[Пр]=ПНЕВМАТИКА!$F15)*(Комплекты[Обозначение]=ПНЕВМАТИКА!$G15)*Комплекты[Кол-во]*(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3</v>
      </c>
      <c r="BI15" s="25"/>
      <c r="BJ15" s="24"/>
      <c r="BK15" s="340"/>
      <c r="BL15" s="32">
        <f t="shared" si="1"/>
        <v>33</v>
      </c>
      <c r="BM15" s="32">
        <f t="shared" si="2"/>
        <v>0</v>
      </c>
      <c r="BN15" s="28">
        <f t="shared" si="3"/>
        <v>25</v>
      </c>
      <c r="BO15" s="29">
        <f t="shared" si="4"/>
        <v>0</v>
      </c>
      <c r="BP15" s="30">
        <f t="shared" si="5"/>
        <v>2</v>
      </c>
      <c r="BQ15" s="31">
        <f t="shared" si="6"/>
        <v>0</v>
      </c>
      <c r="BR15" s="11"/>
      <c r="BS15" s="329"/>
      <c r="BT15" s="23"/>
      <c r="BU15" s="24"/>
      <c r="BV15" s="25"/>
      <c r="BW15" s="24"/>
      <c r="BX15" s="23"/>
      <c r="BY15" s="24"/>
      <c r="BZ15" s="25"/>
      <c r="CA15" s="24"/>
      <c r="CB15" s="23"/>
      <c r="CC15" s="24"/>
      <c r="CD15" s="25"/>
      <c r="CE15" s="24"/>
      <c r="CF15" s="23"/>
      <c r="CG15" s="24"/>
      <c r="CH15" s="25"/>
      <c r="CI15" s="24"/>
      <c r="CJ15" s="23"/>
      <c r="CK15" s="24"/>
      <c r="CL15" s="25"/>
      <c r="CM15" s="24"/>
      <c r="CN15" s="23"/>
      <c r="CO15" s="24"/>
      <c r="CP15" s="25"/>
      <c r="CQ15" s="24"/>
      <c r="CR15" s="23"/>
      <c r="CS15" s="24"/>
      <c r="CT15" s="25"/>
      <c r="CU15" s="24"/>
      <c r="CV15" s="23"/>
      <c r="CW15" s="24"/>
      <c r="CX15" s="25"/>
      <c r="CY15" s="24"/>
      <c r="CZ15" s="23"/>
      <c r="DA15" s="24"/>
      <c r="DB15" s="25"/>
      <c r="DC15" s="24"/>
      <c r="DD15" s="23"/>
      <c r="DE15" s="24"/>
      <c r="DF15" s="25"/>
      <c r="DG15" s="24"/>
      <c r="DH15" s="23"/>
      <c r="DI15" s="24"/>
      <c r="DJ15" s="25"/>
      <c r="DK15" s="24"/>
      <c r="DL15" s="23"/>
      <c r="DM15" s="24"/>
      <c r="DN15" s="25"/>
      <c r="DO15" s="24"/>
      <c r="DP15" s="340"/>
      <c r="DQ15" s="32">
        <f t="shared" si="7"/>
        <v>0</v>
      </c>
      <c r="DR15" s="32">
        <f t="shared" si="8"/>
        <v>0</v>
      </c>
      <c r="DS15" s="11"/>
      <c r="DT15" s="329"/>
      <c r="DU15" s="23"/>
      <c r="DV15" s="24"/>
      <c r="DW15" s="25"/>
      <c r="DX15" s="24"/>
      <c r="DY15" s="23"/>
      <c r="DZ15" s="24"/>
      <c r="EA15" s="25"/>
      <c r="EB15" s="24"/>
      <c r="EC15" s="23"/>
      <c r="ED15" s="24"/>
      <c r="EE15" s="25"/>
      <c r="EF15" s="24"/>
      <c r="EG15" s="23"/>
      <c r="EH15" s="24"/>
      <c r="EI15" s="25"/>
      <c r="EJ15" s="24"/>
      <c r="EK15" s="23"/>
      <c r="EL15" s="24"/>
      <c r="EM15" s="25"/>
      <c r="EN15" s="24"/>
      <c r="EO15" s="23"/>
      <c r="EP15" s="24"/>
      <c r="EQ15" s="25"/>
      <c r="ER15" s="24"/>
      <c r="ES15" s="23"/>
      <c r="ET15" s="24"/>
      <c r="EU15" s="25"/>
      <c r="EV15" s="24"/>
      <c r="EW15" s="23"/>
      <c r="EX15" s="24"/>
      <c r="EY15" s="25"/>
      <c r="EZ15" s="24"/>
      <c r="FA15" s="23"/>
      <c r="FB15" s="24"/>
      <c r="FC15" s="25"/>
      <c r="FD15" s="24"/>
      <c r="FE15" s="23"/>
      <c r="FF15" s="24"/>
      <c r="FG15" s="25"/>
      <c r="FH15" s="24"/>
      <c r="FI15" s="23"/>
      <c r="FJ15" s="24"/>
      <c r="FK15" s="25"/>
      <c r="FL15" s="24"/>
      <c r="FM15" s="23"/>
      <c r="FN15" s="24"/>
      <c r="FO15" s="25"/>
      <c r="FP15" s="24"/>
      <c r="FQ15" s="340"/>
      <c r="FR15" s="32">
        <f t="shared" si="9"/>
        <v>0</v>
      </c>
      <c r="FS15" s="32">
        <f t="shared" si="10"/>
        <v>0</v>
      </c>
      <c r="FT15" s="360"/>
    </row>
    <row r="16" spans="1:176" s="14" customFormat="1" outlineLevel="2">
      <c r="A16" s="56" t="s">
        <v>468</v>
      </c>
      <c r="B16" s="387" t="s">
        <v>82</v>
      </c>
      <c r="C16" s="541" t="s">
        <v>72</v>
      </c>
      <c r="D16" s="565" t="s">
        <v>32</v>
      </c>
      <c r="E16" s="10">
        <f>IF(ISBLANK(G16),"",IF($A$6:$A$330=$A16,COUNTIF($A$6:A16,$A16),""))</f>
        <v>11</v>
      </c>
      <c r="F16" s="123">
        <v>1</v>
      </c>
      <c r="G16" s="124">
        <v>9710029000</v>
      </c>
      <c r="H16" s="604" t="s">
        <v>75</v>
      </c>
      <c r="I16" s="618">
        <v>0</v>
      </c>
      <c r="J16" s="618"/>
      <c r="K16" s="126"/>
      <c r="L16" s="618" t="str">
        <f t="shared" si="11"/>
        <v/>
      </c>
      <c r="M16" s="102"/>
      <c r="N16" s="305">
        <f t="shared" si="0"/>
        <v>1</v>
      </c>
      <c r="O16" s="23">
        <v>2</v>
      </c>
      <c r="P16" s="24"/>
      <c r="Q16" s="25"/>
      <c r="R16" s="24"/>
      <c r="S16" s="23">
        <v>2</v>
      </c>
      <c r="T16" s="24"/>
      <c r="U16" s="307"/>
      <c r="V16" s="24"/>
      <c r="W16" s="23">
        <v>2</v>
      </c>
      <c r="X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2</v>
      </c>
      <c r="Y16" s="25">
        <f>SUMPRODUCT((Комплекты[Пр]=ПНЕВМАТИКА!$F16)*(Комплекты[Обозначение]=ПНЕВМАТИКА!$G16)*Комплекты[Кол-во]*(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2</v>
      </c>
      <c r="Z16" s="24"/>
      <c r="AA16" s="23">
        <v>3</v>
      </c>
      <c r="AB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2</v>
      </c>
      <c r="AC16" s="25"/>
      <c r="AD16" s="24"/>
      <c r="AE16" s="23">
        <v>3</v>
      </c>
      <c r="AF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16" s="307">
        <f>SUMPRODUCT((Комплекты[Пр]=ПНЕВМАТИКА!$F16)*(Комплекты[Обозначение]=ПНЕВМАТИКА!$G16)*Комплекты[Кол-во]*(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16" s="24"/>
      <c r="AI16" s="23">
        <v>3</v>
      </c>
      <c r="AJ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4</v>
      </c>
      <c r="AK16" s="25"/>
      <c r="AL16" s="24"/>
      <c r="AM16" s="23">
        <v>3</v>
      </c>
      <c r="AN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2</v>
      </c>
      <c r="AO16" s="25"/>
      <c r="AP16" s="24"/>
      <c r="AQ16" s="23">
        <v>3</v>
      </c>
      <c r="AR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3</v>
      </c>
      <c r="AS16" s="25"/>
      <c r="AT16" s="24"/>
      <c r="AU16" s="23">
        <v>3</v>
      </c>
      <c r="AV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3</v>
      </c>
      <c r="AW16" s="25"/>
      <c r="AX16" s="24"/>
      <c r="AY16" s="23">
        <v>3</v>
      </c>
      <c r="AZ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3</v>
      </c>
      <c r="BA16" s="25"/>
      <c r="BB16" s="24"/>
      <c r="BC16" s="23">
        <v>3</v>
      </c>
      <c r="BD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3</v>
      </c>
      <c r="BE16" s="25"/>
      <c r="BF16" s="24"/>
      <c r="BG16" s="23">
        <v>3</v>
      </c>
      <c r="BH16" s="24">
        <f>SUMPRODUCT((Комплекты[Пр]=ПНЕВМАТИКА!$F16)*(Комплекты[Обозначение]=ПНЕВМАТИКА!$G16)*Комплекты[Кол-во]*(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3</v>
      </c>
      <c r="BI16" s="25"/>
      <c r="BJ16" s="24"/>
      <c r="BK16" s="340"/>
      <c r="BL16" s="32">
        <f t="shared" si="1"/>
        <v>33</v>
      </c>
      <c r="BM16" s="32">
        <f t="shared" si="2"/>
        <v>0</v>
      </c>
      <c r="BN16" s="28">
        <f t="shared" si="3"/>
        <v>25</v>
      </c>
      <c r="BO16" s="29">
        <f t="shared" si="4"/>
        <v>0</v>
      </c>
      <c r="BP16" s="30">
        <f t="shared" si="5"/>
        <v>2</v>
      </c>
      <c r="BQ16" s="31">
        <f t="shared" si="6"/>
        <v>0</v>
      </c>
      <c r="BR16" s="11"/>
      <c r="BS16" s="329"/>
      <c r="BT16" s="23"/>
      <c r="BU16" s="24"/>
      <c r="BV16" s="25"/>
      <c r="BW16" s="24"/>
      <c r="BX16" s="23"/>
      <c r="BY16" s="24"/>
      <c r="BZ16" s="25"/>
      <c r="CA16" s="24"/>
      <c r="CB16" s="23"/>
      <c r="CC16" s="24"/>
      <c r="CD16" s="25"/>
      <c r="CE16" s="24"/>
      <c r="CF16" s="23"/>
      <c r="CG16" s="24"/>
      <c r="CH16" s="25"/>
      <c r="CI16" s="24"/>
      <c r="CJ16" s="23"/>
      <c r="CK16" s="24"/>
      <c r="CL16" s="25"/>
      <c r="CM16" s="24"/>
      <c r="CN16" s="23"/>
      <c r="CO16" s="24"/>
      <c r="CP16" s="25"/>
      <c r="CQ16" s="24"/>
      <c r="CR16" s="23"/>
      <c r="CS16" s="24"/>
      <c r="CT16" s="25"/>
      <c r="CU16" s="24"/>
      <c r="CV16" s="23"/>
      <c r="CW16" s="24"/>
      <c r="CX16" s="25"/>
      <c r="CY16" s="24"/>
      <c r="CZ16" s="23"/>
      <c r="DA16" s="24"/>
      <c r="DB16" s="25"/>
      <c r="DC16" s="24"/>
      <c r="DD16" s="23"/>
      <c r="DE16" s="24"/>
      <c r="DF16" s="25"/>
      <c r="DG16" s="24"/>
      <c r="DH16" s="23"/>
      <c r="DI16" s="24"/>
      <c r="DJ16" s="25"/>
      <c r="DK16" s="24"/>
      <c r="DL16" s="23"/>
      <c r="DM16" s="24"/>
      <c r="DN16" s="25"/>
      <c r="DO16" s="24"/>
      <c r="DP16" s="340"/>
      <c r="DQ16" s="32">
        <f t="shared" si="7"/>
        <v>0</v>
      </c>
      <c r="DR16" s="32">
        <f t="shared" si="8"/>
        <v>0</v>
      </c>
      <c r="DS16" s="11"/>
      <c r="DT16" s="329"/>
      <c r="DU16" s="23"/>
      <c r="DV16" s="24"/>
      <c r="DW16" s="25"/>
      <c r="DX16" s="24"/>
      <c r="DY16" s="23"/>
      <c r="DZ16" s="24"/>
      <c r="EA16" s="25"/>
      <c r="EB16" s="24"/>
      <c r="EC16" s="23"/>
      <c r="ED16" s="24"/>
      <c r="EE16" s="25"/>
      <c r="EF16" s="24"/>
      <c r="EG16" s="23"/>
      <c r="EH16" s="24"/>
      <c r="EI16" s="25"/>
      <c r="EJ16" s="24"/>
      <c r="EK16" s="23"/>
      <c r="EL16" s="24"/>
      <c r="EM16" s="25"/>
      <c r="EN16" s="24"/>
      <c r="EO16" s="23"/>
      <c r="EP16" s="24"/>
      <c r="EQ16" s="25"/>
      <c r="ER16" s="24"/>
      <c r="ES16" s="23"/>
      <c r="ET16" s="24"/>
      <c r="EU16" s="25"/>
      <c r="EV16" s="24"/>
      <c r="EW16" s="23"/>
      <c r="EX16" s="24"/>
      <c r="EY16" s="25"/>
      <c r="EZ16" s="24"/>
      <c r="FA16" s="23"/>
      <c r="FB16" s="24"/>
      <c r="FC16" s="25"/>
      <c r="FD16" s="24"/>
      <c r="FE16" s="23"/>
      <c r="FF16" s="24"/>
      <c r="FG16" s="25"/>
      <c r="FH16" s="24"/>
      <c r="FI16" s="23"/>
      <c r="FJ16" s="24"/>
      <c r="FK16" s="25"/>
      <c r="FL16" s="24"/>
      <c r="FM16" s="23"/>
      <c r="FN16" s="24"/>
      <c r="FO16" s="25"/>
      <c r="FP16" s="24"/>
      <c r="FQ16" s="340"/>
      <c r="FR16" s="32">
        <f t="shared" si="9"/>
        <v>0</v>
      </c>
      <c r="FS16" s="32">
        <f t="shared" si="10"/>
        <v>0</v>
      </c>
      <c r="FT16" s="360"/>
    </row>
    <row r="17" spans="1:176" s="14" customFormat="1" outlineLevel="2">
      <c r="A17" s="56" t="s">
        <v>468</v>
      </c>
      <c r="B17" s="387" t="s">
        <v>82</v>
      </c>
      <c r="C17" s="541" t="s">
        <v>72</v>
      </c>
      <c r="D17" s="565" t="s">
        <v>32</v>
      </c>
      <c r="E17" s="10">
        <f>IF(ISBLANK(G17),"",IF($A$6:$A$330=$A17,COUNTIF($A$6:A17,$A17),""))</f>
        <v>12</v>
      </c>
      <c r="F17" s="123">
        <v>1</v>
      </c>
      <c r="G17" s="124">
        <v>4801020640</v>
      </c>
      <c r="H17" s="604" t="s">
        <v>124</v>
      </c>
      <c r="I17" s="618">
        <v>0</v>
      </c>
      <c r="J17" s="618"/>
      <c r="K17" s="126"/>
      <c r="L17" s="618" t="str">
        <f t="shared" si="11"/>
        <v/>
      </c>
      <c r="M17" s="102"/>
      <c r="N17" s="305">
        <f t="shared" si="0"/>
        <v>1</v>
      </c>
      <c r="O17" s="23">
        <v>2</v>
      </c>
      <c r="P17" s="24"/>
      <c r="Q17" s="25"/>
      <c r="R17" s="24"/>
      <c r="S17" s="23">
        <v>2</v>
      </c>
      <c r="T17" s="24"/>
      <c r="U17" s="307"/>
      <c r="V17" s="24"/>
      <c r="W17" s="23">
        <v>2</v>
      </c>
      <c r="X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2</v>
      </c>
      <c r="Y17" s="25">
        <f>SUMPRODUCT((Комплекты[Пр]=ПНЕВМАТИКА!$F17)*(Комплекты[Обозначение]=ПНЕВМАТИКА!$G17)*Комплекты[Кол-во]*(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2</v>
      </c>
      <c r="Z17" s="24"/>
      <c r="AA17" s="23">
        <v>3</v>
      </c>
      <c r="AB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2</v>
      </c>
      <c r="AC17" s="25"/>
      <c r="AD17" s="24"/>
      <c r="AE17" s="23">
        <v>3</v>
      </c>
      <c r="AF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17" s="307">
        <f>SUMPRODUCT((Комплекты[Пр]=ПНЕВМАТИКА!$F17)*(Комплекты[Обозначение]=ПНЕВМАТИКА!$G17)*Комплекты[Кол-во]*(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17" s="24"/>
      <c r="AI17" s="23">
        <v>3</v>
      </c>
      <c r="AJ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4</v>
      </c>
      <c r="AK17" s="25"/>
      <c r="AL17" s="24"/>
      <c r="AM17" s="23">
        <v>3</v>
      </c>
      <c r="AN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2</v>
      </c>
      <c r="AO17" s="25"/>
      <c r="AP17" s="24"/>
      <c r="AQ17" s="23">
        <v>3</v>
      </c>
      <c r="AR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3</v>
      </c>
      <c r="AS17" s="25"/>
      <c r="AT17" s="24"/>
      <c r="AU17" s="23">
        <v>3</v>
      </c>
      <c r="AV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3</v>
      </c>
      <c r="AW17" s="25"/>
      <c r="AX17" s="24"/>
      <c r="AY17" s="23">
        <v>3</v>
      </c>
      <c r="AZ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3</v>
      </c>
      <c r="BA17" s="25"/>
      <c r="BB17" s="24"/>
      <c r="BC17" s="23">
        <v>3</v>
      </c>
      <c r="BD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3</v>
      </c>
      <c r="BE17" s="25"/>
      <c r="BF17" s="24"/>
      <c r="BG17" s="23">
        <v>3</v>
      </c>
      <c r="BH17" s="24">
        <f>SUMPRODUCT((Комплекты[Пр]=ПНЕВМАТИКА!$F17)*(Комплекты[Обозначение]=ПНЕВМАТИКА!$G17)*Комплекты[Кол-во]*(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3</v>
      </c>
      <c r="BI17" s="25"/>
      <c r="BJ17" s="24"/>
      <c r="BK17" s="340"/>
      <c r="BL17" s="32">
        <f t="shared" si="1"/>
        <v>33</v>
      </c>
      <c r="BM17" s="32">
        <f t="shared" si="2"/>
        <v>0</v>
      </c>
      <c r="BN17" s="28">
        <f t="shared" si="3"/>
        <v>25</v>
      </c>
      <c r="BO17" s="29">
        <f t="shared" si="4"/>
        <v>0</v>
      </c>
      <c r="BP17" s="30">
        <f t="shared" si="5"/>
        <v>2</v>
      </c>
      <c r="BQ17" s="31">
        <f t="shared" si="6"/>
        <v>0</v>
      </c>
      <c r="BR17" s="11"/>
      <c r="BS17" s="329"/>
      <c r="BT17" s="23"/>
      <c r="BU17" s="24"/>
      <c r="BV17" s="25"/>
      <c r="BW17" s="24"/>
      <c r="BX17" s="23"/>
      <c r="BY17" s="24"/>
      <c r="BZ17" s="25"/>
      <c r="CA17" s="24"/>
      <c r="CB17" s="23"/>
      <c r="CC17" s="24"/>
      <c r="CD17" s="25"/>
      <c r="CE17" s="24"/>
      <c r="CF17" s="23"/>
      <c r="CG17" s="24"/>
      <c r="CH17" s="25"/>
      <c r="CI17" s="24"/>
      <c r="CJ17" s="23"/>
      <c r="CK17" s="24"/>
      <c r="CL17" s="25"/>
      <c r="CM17" s="24"/>
      <c r="CN17" s="23"/>
      <c r="CO17" s="24"/>
      <c r="CP17" s="25"/>
      <c r="CQ17" s="24"/>
      <c r="CR17" s="23"/>
      <c r="CS17" s="24"/>
      <c r="CT17" s="25"/>
      <c r="CU17" s="24"/>
      <c r="CV17" s="23"/>
      <c r="CW17" s="24"/>
      <c r="CX17" s="25"/>
      <c r="CY17" s="24"/>
      <c r="CZ17" s="23"/>
      <c r="DA17" s="24"/>
      <c r="DB17" s="25"/>
      <c r="DC17" s="24"/>
      <c r="DD17" s="23"/>
      <c r="DE17" s="24"/>
      <c r="DF17" s="25"/>
      <c r="DG17" s="24"/>
      <c r="DH17" s="23"/>
      <c r="DI17" s="24"/>
      <c r="DJ17" s="25"/>
      <c r="DK17" s="24"/>
      <c r="DL17" s="23"/>
      <c r="DM17" s="24"/>
      <c r="DN17" s="25"/>
      <c r="DO17" s="24"/>
      <c r="DP17" s="340"/>
      <c r="DQ17" s="32">
        <f t="shared" si="7"/>
        <v>0</v>
      </c>
      <c r="DR17" s="32">
        <f t="shared" si="8"/>
        <v>0</v>
      </c>
      <c r="DS17" s="11"/>
      <c r="DT17" s="329"/>
      <c r="DU17" s="23"/>
      <c r="DV17" s="24"/>
      <c r="DW17" s="25"/>
      <c r="DX17" s="24"/>
      <c r="DY17" s="23"/>
      <c r="DZ17" s="24"/>
      <c r="EA17" s="25"/>
      <c r="EB17" s="24"/>
      <c r="EC17" s="23"/>
      <c r="ED17" s="24"/>
      <c r="EE17" s="25"/>
      <c r="EF17" s="24"/>
      <c r="EG17" s="23"/>
      <c r="EH17" s="24"/>
      <c r="EI17" s="25"/>
      <c r="EJ17" s="24"/>
      <c r="EK17" s="23"/>
      <c r="EL17" s="24"/>
      <c r="EM17" s="25"/>
      <c r="EN17" s="24"/>
      <c r="EO17" s="23"/>
      <c r="EP17" s="24"/>
      <c r="EQ17" s="25"/>
      <c r="ER17" s="24"/>
      <c r="ES17" s="23"/>
      <c r="ET17" s="24"/>
      <c r="EU17" s="25"/>
      <c r="EV17" s="24"/>
      <c r="EW17" s="23"/>
      <c r="EX17" s="24"/>
      <c r="EY17" s="25"/>
      <c r="EZ17" s="24"/>
      <c r="FA17" s="23"/>
      <c r="FB17" s="24"/>
      <c r="FC17" s="25"/>
      <c r="FD17" s="24"/>
      <c r="FE17" s="23"/>
      <c r="FF17" s="24"/>
      <c r="FG17" s="25"/>
      <c r="FH17" s="24"/>
      <c r="FI17" s="23"/>
      <c r="FJ17" s="24"/>
      <c r="FK17" s="25"/>
      <c r="FL17" s="24"/>
      <c r="FM17" s="23"/>
      <c r="FN17" s="24"/>
      <c r="FO17" s="25"/>
      <c r="FP17" s="24"/>
      <c r="FQ17" s="340"/>
      <c r="FR17" s="32">
        <f t="shared" si="9"/>
        <v>0</v>
      </c>
      <c r="FS17" s="32">
        <f t="shared" si="10"/>
        <v>0</v>
      </c>
      <c r="FT17" s="360"/>
    </row>
    <row r="18" spans="1:176" s="14" customFormat="1" outlineLevel="2">
      <c r="A18" s="56" t="s">
        <v>468</v>
      </c>
      <c r="B18" s="387" t="s">
        <v>82</v>
      </c>
      <c r="C18" s="541" t="s">
        <v>72</v>
      </c>
      <c r="D18" s="565" t="s">
        <v>32</v>
      </c>
      <c r="E18" s="10">
        <f>IF(ISBLANK(G18),"",IF($A$6:$A$330=$A18,COUNTIF($A$6:A18,$A18),""))</f>
        <v>13</v>
      </c>
      <c r="F18" s="669">
        <v>2</v>
      </c>
      <c r="G18" s="124">
        <v>4460084042</v>
      </c>
      <c r="H18" s="604" t="s">
        <v>86</v>
      </c>
      <c r="I18" s="618">
        <v>0</v>
      </c>
      <c r="J18" s="618"/>
      <c r="K18" s="126"/>
      <c r="L18" s="618" t="str">
        <f t="shared" si="11"/>
        <v/>
      </c>
      <c r="M18" s="102"/>
      <c r="N18" s="305">
        <f t="shared" si="0"/>
        <v>1</v>
      </c>
      <c r="O18" s="23">
        <v>2</v>
      </c>
      <c r="P18" s="24"/>
      <c r="Q18" s="25"/>
      <c r="R18" s="24"/>
      <c r="S18" s="23">
        <v>2</v>
      </c>
      <c r="T18" s="24"/>
      <c r="U18" s="307"/>
      <c r="V18" s="24"/>
      <c r="W18" s="23">
        <v>2</v>
      </c>
      <c r="X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2</v>
      </c>
      <c r="Y18" s="25">
        <f>SUMPRODUCT((Комплекты[Пр]=ПНЕВМАТИКА!$F18)*(Комплекты[Обозначение]=ПНЕВМАТИКА!$G18)*Комплекты[Кол-во]*(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2</v>
      </c>
      <c r="Z18" s="24"/>
      <c r="AA18" s="23">
        <v>3</v>
      </c>
      <c r="AB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2</v>
      </c>
      <c r="AC18" s="25"/>
      <c r="AD18" s="24"/>
      <c r="AE18" s="23">
        <v>3</v>
      </c>
      <c r="AF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18" s="307">
        <f>SUMPRODUCT((Комплекты[Пр]=ПНЕВМАТИКА!$F18)*(Комплекты[Обозначение]=ПНЕВМАТИКА!$G18)*Комплекты[Кол-во]*(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18" s="24"/>
      <c r="AI18" s="23">
        <v>3</v>
      </c>
      <c r="AJ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4</v>
      </c>
      <c r="AK18" s="25"/>
      <c r="AL18" s="24"/>
      <c r="AM18" s="23">
        <v>3</v>
      </c>
      <c r="AN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2</v>
      </c>
      <c r="AO18" s="25"/>
      <c r="AP18" s="24"/>
      <c r="AQ18" s="23">
        <v>3</v>
      </c>
      <c r="AR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3</v>
      </c>
      <c r="AS18" s="25"/>
      <c r="AT18" s="24"/>
      <c r="AU18" s="23">
        <v>3</v>
      </c>
      <c r="AV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3</v>
      </c>
      <c r="AW18" s="25"/>
      <c r="AX18" s="24"/>
      <c r="AY18" s="23">
        <v>3</v>
      </c>
      <c r="AZ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3</v>
      </c>
      <c r="BA18" s="25"/>
      <c r="BB18" s="24"/>
      <c r="BC18" s="23">
        <v>3</v>
      </c>
      <c r="BD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3</v>
      </c>
      <c r="BE18" s="25"/>
      <c r="BF18" s="24"/>
      <c r="BG18" s="23">
        <v>3</v>
      </c>
      <c r="BH18" s="24">
        <f>SUMPRODUCT((Комплекты[Пр]=ПНЕВМАТИКА!$F18)*(Комплекты[Обозначение]=ПНЕВМАТИКА!$G18)*Комплекты[Кол-во]*(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3</v>
      </c>
      <c r="BI18" s="25"/>
      <c r="BJ18" s="24"/>
      <c r="BK18" s="340"/>
      <c r="BL18" s="32">
        <f t="shared" si="1"/>
        <v>33</v>
      </c>
      <c r="BM18" s="32">
        <f t="shared" si="2"/>
        <v>0</v>
      </c>
      <c r="BN18" s="28">
        <f t="shared" si="3"/>
        <v>25</v>
      </c>
      <c r="BO18" s="29">
        <f t="shared" si="4"/>
        <v>0</v>
      </c>
      <c r="BP18" s="30">
        <f t="shared" si="5"/>
        <v>2</v>
      </c>
      <c r="BQ18" s="31">
        <f t="shared" si="6"/>
        <v>0</v>
      </c>
      <c r="BR18" s="11"/>
      <c r="BS18" s="329"/>
      <c r="BT18" s="23"/>
      <c r="BU18" s="24"/>
      <c r="BV18" s="25"/>
      <c r="BW18" s="24"/>
      <c r="BX18" s="23"/>
      <c r="BY18" s="24"/>
      <c r="BZ18" s="25"/>
      <c r="CA18" s="24"/>
      <c r="CB18" s="23"/>
      <c r="CC18" s="24"/>
      <c r="CD18" s="25"/>
      <c r="CE18" s="24"/>
      <c r="CF18" s="23"/>
      <c r="CG18" s="24"/>
      <c r="CH18" s="25"/>
      <c r="CI18" s="24"/>
      <c r="CJ18" s="23"/>
      <c r="CK18" s="24"/>
      <c r="CL18" s="25"/>
      <c r="CM18" s="24"/>
      <c r="CN18" s="23"/>
      <c r="CO18" s="24"/>
      <c r="CP18" s="25"/>
      <c r="CQ18" s="24"/>
      <c r="CR18" s="23"/>
      <c r="CS18" s="24"/>
      <c r="CT18" s="25"/>
      <c r="CU18" s="24"/>
      <c r="CV18" s="23"/>
      <c r="CW18" s="24"/>
      <c r="CX18" s="25"/>
      <c r="CY18" s="24"/>
      <c r="CZ18" s="23"/>
      <c r="DA18" s="24"/>
      <c r="DB18" s="25"/>
      <c r="DC18" s="24"/>
      <c r="DD18" s="23"/>
      <c r="DE18" s="24"/>
      <c r="DF18" s="25"/>
      <c r="DG18" s="24"/>
      <c r="DH18" s="23"/>
      <c r="DI18" s="24"/>
      <c r="DJ18" s="25"/>
      <c r="DK18" s="24"/>
      <c r="DL18" s="23"/>
      <c r="DM18" s="24"/>
      <c r="DN18" s="25"/>
      <c r="DO18" s="24"/>
      <c r="DP18" s="340"/>
      <c r="DQ18" s="32">
        <f t="shared" si="7"/>
        <v>0</v>
      </c>
      <c r="DR18" s="32">
        <f t="shared" si="8"/>
        <v>0</v>
      </c>
      <c r="DS18" s="11"/>
      <c r="DT18" s="329"/>
      <c r="DU18" s="23"/>
      <c r="DV18" s="24"/>
      <c r="DW18" s="25"/>
      <c r="DX18" s="24"/>
      <c r="DY18" s="23"/>
      <c r="DZ18" s="24"/>
      <c r="EA18" s="25"/>
      <c r="EB18" s="24"/>
      <c r="EC18" s="23"/>
      <c r="ED18" s="24"/>
      <c r="EE18" s="25"/>
      <c r="EF18" s="24"/>
      <c r="EG18" s="23"/>
      <c r="EH18" s="24"/>
      <c r="EI18" s="25"/>
      <c r="EJ18" s="24"/>
      <c r="EK18" s="23"/>
      <c r="EL18" s="24"/>
      <c r="EM18" s="25"/>
      <c r="EN18" s="24"/>
      <c r="EO18" s="23"/>
      <c r="EP18" s="24"/>
      <c r="EQ18" s="25"/>
      <c r="ER18" s="24"/>
      <c r="ES18" s="23"/>
      <c r="ET18" s="24"/>
      <c r="EU18" s="25"/>
      <c r="EV18" s="24"/>
      <c r="EW18" s="23"/>
      <c r="EX18" s="24"/>
      <c r="EY18" s="25"/>
      <c r="EZ18" s="24"/>
      <c r="FA18" s="23"/>
      <c r="FB18" s="24"/>
      <c r="FC18" s="25"/>
      <c r="FD18" s="24"/>
      <c r="FE18" s="23"/>
      <c r="FF18" s="24"/>
      <c r="FG18" s="25"/>
      <c r="FH18" s="24"/>
      <c r="FI18" s="23"/>
      <c r="FJ18" s="24"/>
      <c r="FK18" s="25"/>
      <c r="FL18" s="24"/>
      <c r="FM18" s="23"/>
      <c r="FN18" s="24"/>
      <c r="FO18" s="25"/>
      <c r="FP18" s="24"/>
      <c r="FQ18" s="340"/>
      <c r="FR18" s="32">
        <f t="shared" si="9"/>
        <v>0</v>
      </c>
      <c r="FS18" s="32">
        <f t="shared" si="10"/>
        <v>0</v>
      </c>
      <c r="FT18" s="360"/>
    </row>
    <row r="19" spans="1:176" s="14" customFormat="1" outlineLevel="2">
      <c r="A19" s="56" t="s">
        <v>468</v>
      </c>
      <c r="B19" s="387" t="s">
        <v>82</v>
      </c>
      <c r="C19" s="541" t="s">
        <v>72</v>
      </c>
      <c r="D19" s="565" t="s">
        <v>32</v>
      </c>
      <c r="E19" s="10">
        <f>IF(ISBLANK(G19),"",IF($A$6:$A$330=$A19,COUNTIF($A$6:A19,$A19),""))</f>
        <v>14</v>
      </c>
      <c r="F19" s="669">
        <v>2</v>
      </c>
      <c r="G19" s="127">
        <v>4493711800</v>
      </c>
      <c r="H19" s="605" t="s">
        <v>85</v>
      </c>
      <c r="I19" s="618">
        <v>0</v>
      </c>
      <c r="J19" s="618"/>
      <c r="K19" s="126"/>
      <c r="L19" s="618" t="str">
        <f t="shared" si="11"/>
        <v/>
      </c>
      <c r="M19" s="102"/>
      <c r="N19" s="305">
        <f t="shared" si="0"/>
        <v>1</v>
      </c>
      <c r="O19" s="23">
        <v>2</v>
      </c>
      <c r="P19" s="24"/>
      <c r="Q19" s="25"/>
      <c r="R19" s="24"/>
      <c r="S19" s="23">
        <v>2</v>
      </c>
      <c r="T19" s="24"/>
      <c r="U19" s="307"/>
      <c r="V19" s="24"/>
      <c r="W19" s="23">
        <v>2</v>
      </c>
      <c r="X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2</v>
      </c>
      <c r="Y19" s="25">
        <f>SUMPRODUCT((Комплекты[Пр]=ПНЕВМАТИКА!$F19)*(Комплекты[Обозначение]=ПНЕВМАТИКА!$G19)*Комплекты[Кол-во]*(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2</v>
      </c>
      <c r="Z19" s="24"/>
      <c r="AA19" s="23">
        <v>3</v>
      </c>
      <c r="AB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2</v>
      </c>
      <c r="AC19" s="25"/>
      <c r="AD19" s="24"/>
      <c r="AE19" s="23">
        <v>3</v>
      </c>
      <c r="AF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19" s="307">
        <f>SUMPRODUCT((Комплекты[Пр]=ПНЕВМАТИКА!$F19)*(Комплекты[Обозначение]=ПНЕВМАТИКА!$G19)*Комплекты[Кол-во]*(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19" s="24"/>
      <c r="AI19" s="23">
        <v>3</v>
      </c>
      <c r="AJ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4</v>
      </c>
      <c r="AK19" s="25"/>
      <c r="AL19" s="24"/>
      <c r="AM19" s="23">
        <v>3</v>
      </c>
      <c r="AN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2</v>
      </c>
      <c r="AO19" s="25"/>
      <c r="AP19" s="24"/>
      <c r="AQ19" s="23">
        <v>3</v>
      </c>
      <c r="AR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3</v>
      </c>
      <c r="AS19" s="25"/>
      <c r="AT19" s="24"/>
      <c r="AU19" s="23">
        <v>3</v>
      </c>
      <c r="AV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3</v>
      </c>
      <c r="AW19" s="25"/>
      <c r="AX19" s="24"/>
      <c r="AY19" s="23">
        <v>3</v>
      </c>
      <c r="AZ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3</v>
      </c>
      <c r="BA19" s="25"/>
      <c r="BB19" s="24"/>
      <c r="BC19" s="23">
        <v>3</v>
      </c>
      <c r="BD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3</v>
      </c>
      <c r="BE19" s="25"/>
      <c r="BF19" s="24"/>
      <c r="BG19" s="23">
        <v>3</v>
      </c>
      <c r="BH19" s="24">
        <f>SUMPRODUCT((Комплекты[Пр]=ПНЕВМАТИКА!$F19)*(Комплекты[Обозначение]=ПНЕВМАТИКА!$G19)*Комплекты[Кол-во]*(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3</v>
      </c>
      <c r="BI19" s="25"/>
      <c r="BJ19" s="24"/>
      <c r="BK19" s="340"/>
      <c r="BL19" s="32">
        <f t="shared" si="1"/>
        <v>33</v>
      </c>
      <c r="BM19" s="32">
        <f t="shared" si="2"/>
        <v>0</v>
      </c>
      <c r="BN19" s="28">
        <f t="shared" si="3"/>
        <v>25</v>
      </c>
      <c r="BO19" s="29">
        <f t="shared" si="4"/>
        <v>0</v>
      </c>
      <c r="BP19" s="30">
        <f t="shared" si="5"/>
        <v>2</v>
      </c>
      <c r="BQ19" s="31">
        <f t="shared" si="6"/>
        <v>0</v>
      </c>
      <c r="BR19" s="11"/>
      <c r="BS19" s="329"/>
      <c r="BT19" s="23"/>
      <c r="BU19" s="24"/>
      <c r="BV19" s="25"/>
      <c r="BW19" s="24"/>
      <c r="BX19" s="23"/>
      <c r="BY19" s="24"/>
      <c r="BZ19" s="25"/>
      <c r="CA19" s="24"/>
      <c r="CB19" s="23"/>
      <c r="CC19" s="24"/>
      <c r="CD19" s="25"/>
      <c r="CE19" s="24"/>
      <c r="CF19" s="23"/>
      <c r="CG19" s="24"/>
      <c r="CH19" s="25"/>
      <c r="CI19" s="24"/>
      <c r="CJ19" s="23"/>
      <c r="CK19" s="24"/>
      <c r="CL19" s="25"/>
      <c r="CM19" s="24"/>
      <c r="CN19" s="23"/>
      <c r="CO19" s="24"/>
      <c r="CP19" s="25"/>
      <c r="CQ19" s="24"/>
      <c r="CR19" s="23"/>
      <c r="CS19" s="24"/>
      <c r="CT19" s="25"/>
      <c r="CU19" s="24"/>
      <c r="CV19" s="23"/>
      <c r="CW19" s="24"/>
      <c r="CX19" s="25"/>
      <c r="CY19" s="24"/>
      <c r="CZ19" s="23"/>
      <c r="DA19" s="24"/>
      <c r="DB19" s="25"/>
      <c r="DC19" s="24"/>
      <c r="DD19" s="23"/>
      <c r="DE19" s="24"/>
      <c r="DF19" s="25"/>
      <c r="DG19" s="24"/>
      <c r="DH19" s="23"/>
      <c r="DI19" s="24"/>
      <c r="DJ19" s="25"/>
      <c r="DK19" s="24"/>
      <c r="DL19" s="23"/>
      <c r="DM19" s="24"/>
      <c r="DN19" s="25"/>
      <c r="DO19" s="24"/>
      <c r="DP19" s="340"/>
      <c r="DQ19" s="32">
        <f t="shared" si="7"/>
        <v>0</v>
      </c>
      <c r="DR19" s="32">
        <f t="shared" si="8"/>
        <v>0</v>
      </c>
      <c r="DS19" s="11"/>
      <c r="DT19" s="329"/>
      <c r="DU19" s="23"/>
      <c r="DV19" s="24"/>
      <c r="DW19" s="25"/>
      <c r="DX19" s="24"/>
      <c r="DY19" s="23"/>
      <c r="DZ19" s="24"/>
      <c r="EA19" s="25"/>
      <c r="EB19" s="24"/>
      <c r="EC19" s="23"/>
      <c r="ED19" s="24"/>
      <c r="EE19" s="25"/>
      <c r="EF19" s="24"/>
      <c r="EG19" s="23"/>
      <c r="EH19" s="24"/>
      <c r="EI19" s="25"/>
      <c r="EJ19" s="24"/>
      <c r="EK19" s="23"/>
      <c r="EL19" s="24"/>
      <c r="EM19" s="25"/>
      <c r="EN19" s="24"/>
      <c r="EO19" s="23"/>
      <c r="EP19" s="24"/>
      <c r="EQ19" s="25"/>
      <c r="ER19" s="24"/>
      <c r="ES19" s="23"/>
      <c r="ET19" s="24"/>
      <c r="EU19" s="25"/>
      <c r="EV19" s="24"/>
      <c r="EW19" s="23"/>
      <c r="EX19" s="24"/>
      <c r="EY19" s="25"/>
      <c r="EZ19" s="24"/>
      <c r="FA19" s="23"/>
      <c r="FB19" s="24"/>
      <c r="FC19" s="25"/>
      <c r="FD19" s="24"/>
      <c r="FE19" s="23"/>
      <c r="FF19" s="24"/>
      <c r="FG19" s="25"/>
      <c r="FH19" s="24"/>
      <c r="FI19" s="23"/>
      <c r="FJ19" s="24"/>
      <c r="FK19" s="25"/>
      <c r="FL19" s="24"/>
      <c r="FM19" s="23"/>
      <c r="FN19" s="24"/>
      <c r="FO19" s="25"/>
      <c r="FP19" s="24"/>
      <c r="FQ19" s="340"/>
      <c r="FR19" s="32">
        <f t="shared" si="9"/>
        <v>0</v>
      </c>
      <c r="FS19" s="32">
        <f t="shared" si="10"/>
        <v>0</v>
      </c>
      <c r="FT19" s="360"/>
    </row>
    <row r="20" spans="1:176" s="14" customFormat="1" outlineLevel="2">
      <c r="A20" s="375" t="s">
        <v>468</v>
      </c>
      <c r="B20" s="389" t="s">
        <v>82</v>
      </c>
      <c r="C20" s="432" t="s">
        <v>72</v>
      </c>
      <c r="D20" s="575" t="s">
        <v>32</v>
      </c>
      <c r="E20" s="284">
        <f>IF(ISBLANK(G20),"",IF($A$6:$A$330=$A20,COUNTIF($A$6:A20,$A20),""))</f>
        <v>15</v>
      </c>
      <c r="F20" s="330">
        <v>1</v>
      </c>
      <c r="G20" s="331">
        <v>4491731200</v>
      </c>
      <c r="H20" s="606" t="s">
        <v>83</v>
      </c>
      <c r="I20" s="619">
        <v>0</v>
      </c>
      <c r="J20" s="619"/>
      <c r="K20" s="321"/>
      <c r="L20" s="619" t="str">
        <f t="shared" si="11"/>
        <v/>
      </c>
      <c r="M20" s="305"/>
      <c r="N20" s="305">
        <f t="shared" si="0"/>
        <v>0</v>
      </c>
      <c r="O20" s="322">
        <v>0</v>
      </c>
      <c r="P20" s="408"/>
      <c r="Q20" s="307"/>
      <c r="R20" s="408"/>
      <c r="S20" s="322">
        <v>0</v>
      </c>
      <c r="T20" s="408"/>
      <c r="U20" s="307"/>
      <c r="V20" s="408"/>
      <c r="W20" s="322">
        <v>0</v>
      </c>
      <c r="X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0</v>
      </c>
      <c r="Y20" s="307">
        <f>SUMPRODUCT((Комплекты[Пр]=ПНЕВМАТИКА!$F20)*(Комплекты[Обозначение]=ПНЕВМАТИКА!$G20)*Комплекты[Кол-во]*(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0</v>
      </c>
      <c r="Z20" s="408"/>
      <c r="AA20" s="322">
        <v>0</v>
      </c>
      <c r="AB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0</v>
      </c>
      <c r="AC20" s="307"/>
      <c r="AD20" s="408"/>
      <c r="AE20" s="322">
        <v>0</v>
      </c>
      <c r="AF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20" s="307">
        <f>SUMPRODUCT((Комплекты[Пр]=ПНЕВМАТИКА!$F20)*(Комплекты[Обозначение]=ПНЕВМАТИКА!$G20)*Комплекты[Кол-во]*(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20" s="408"/>
      <c r="AI20" s="322">
        <v>0</v>
      </c>
      <c r="AJ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0</v>
      </c>
      <c r="AK20" s="307"/>
      <c r="AL20" s="408"/>
      <c r="AM20" s="322">
        <v>0</v>
      </c>
      <c r="AN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0</v>
      </c>
      <c r="AO20" s="307"/>
      <c r="AP20" s="408"/>
      <c r="AQ20" s="322">
        <v>0</v>
      </c>
      <c r="AR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0</v>
      </c>
      <c r="AS20" s="307"/>
      <c r="AT20" s="408"/>
      <c r="AU20" s="322">
        <v>0</v>
      </c>
      <c r="AV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0</v>
      </c>
      <c r="AW20" s="307"/>
      <c r="AX20" s="408"/>
      <c r="AY20" s="322">
        <v>0</v>
      </c>
      <c r="AZ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0</v>
      </c>
      <c r="BA20" s="307"/>
      <c r="BB20" s="408"/>
      <c r="BC20" s="322">
        <v>0</v>
      </c>
      <c r="BD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0</v>
      </c>
      <c r="BE20" s="307"/>
      <c r="BF20" s="408"/>
      <c r="BG20" s="322">
        <v>0</v>
      </c>
      <c r="BH20" s="408">
        <f>SUMPRODUCT((Комплекты[Пр]=ПНЕВМАТИКА!$F20)*(Комплекты[Обозначение]=ПНЕВМАТИКА!$G20)*Комплекты[Кол-во]*(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0</v>
      </c>
      <c r="BI20" s="307"/>
      <c r="BJ20" s="408"/>
      <c r="BK20" s="340"/>
      <c r="BL20" s="328">
        <f t="shared" si="1"/>
        <v>0</v>
      </c>
      <c r="BM20" s="328">
        <f t="shared" si="2"/>
        <v>0</v>
      </c>
      <c r="BN20" s="324">
        <f t="shared" si="3"/>
        <v>0</v>
      </c>
      <c r="BO20" s="325">
        <f t="shared" si="4"/>
        <v>0</v>
      </c>
      <c r="BP20" s="326">
        <f t="shared" si="5"/>
        <v>0</v>
      </c>
      <c r="BQ20" s="327">
        <f t="shared" si="6"/>
        <v>0</v>
      </c>
      <c r="BR20" s="329"/>
      <c r="BS20" s="329"/>
      <c r="BT20" s="322"/>
      <c r="BU20" s="408"/>
      <c r="BV20" s="307"/>
      <c r="BW20" s="408"/>
      <c r="BX20" s="322"/>
      <c r="BY20" s="408"/>
      <c r="BZ20" s="307"/>
      <c r="CA20" s="408"/>
      <c r="CB20" s="322"/>
      <c r="CC20" s="408"/>
      <c r="CD20" s="307"/>
      <c r="CE20" s="408"/>
      <c r="CF20" s="322"/>
      <c r="CG20" s="408"/>
      <c r="CH20" s="307"/>
      <c r="CI20" s="408"/>
      <c r="CJ20" s="322"/>
      <c r="CK20" s="408"/>
      <c r="CL20" s="307"/>
      <c r="CM20" s="408"/>
      <c r="CN20" s="322"/>
      <c r="CO20" s="408"/>
      <c r="CP20" s="307"/>
      <c r="CQ20" s="408"/>
      <c r="CR20" s="322"/>
      <c r="CS20" s="408"/>
      <c r="CT20" s="307"/>
      <c r="CU20" s="408"/>
      <c r="CV20" s="322"/>
      <c r="CW20" s="408"/>
      <c r="CX20" s="307"/>
      <c r="CY20" s="408"/>
      <c r="CZ20" s="322"/>
      <c r="DA20" s="408"/>
      <c r="DB20" s="307"/>
      <c r="DC20" s="408"/>
      <c r="DD20" s="322"/>
      <c r="DE20" s="408"/>
      <c r="DF20" s="307"/>
      <c r="DG20" s="408"/>
      <c r="DH20" s="322"/>
      <c r="DI20" s="408"/>
      <c r="DJ20" s="307"/>
      <c r="DK20" s="408"/>
      <c r="DL20" s="322"/>
      <c r="DM20" s="408"/>
      <c r="DN20" s="307"/>
      <c r="DO20" s="408"/>
      <c r="DP20" s="340"/>
      <c r="DQ20" s="328">
        <f t="shared" si="7"/>
        <v>0</v>
      </c>
      <c r="DR20" s="328">
        <f t="shared" si="8"/>
        <v>0</v>
      </c>
      <c r="DS20" s="329"/>
      <c r="DT20" s="329"/>
      <c r="DU20" s="322"/>
      <c r="DV20" s="408"/>
      <c r="DW20" s="307"/>
      <c r="DX20" s="408"/>
      <c r="DY20" s="322"/>
      <c r="DZ20" s="408"/>
      <c r="EA20" s="307"/>
      <c r="EB20" s="408"/>
      <c r="EC20" s="322"/>
      <c r="ED20" s="408"/>
      <c r="EE20" s="307"/>
      <c r="EF20" s="408"/>
      <c r="EG20" s="322"/>
      <c r="EH20" s="408"/>
      <c r="EI20" s="307"/>
      <c r="EJ20" s="408"/>
      <c r="EK20" s="322"/>
      <c r="EL20" s="408"/>
      <c r="EM20" s="307"/>
      <c r="EN20" s="408"/>
      <c r="EO20" s="322"/>
      <c r="EP20" s="408"/>
      <c r="EQ20" s="307"/>
      <c r="ER20" s="408"/>
      <c r="ES20" s="322"/>
      <c r="ET20" s="408"/>
      <c r="EU20" s="307"/>
      <c r="EV20" s="408"/>
      <c r="EW20" s="322"/>
      <c r="EX20" s="408"/>
      <c r="EY20" s="307"/>
      <c r="EZ20" s="408"/>
      <c r="FA20" s="322"/>
      <c r="FB20" s="408"/>
      <c r="FC20" s="307"/>
      <c r="FD20" s="408"/>
      <c r="FE20" s="322"/>
      <c r="FF20" s="408"/>
      <c r="FG20" s="307"/>
      <c r="FH20" s="408"/>
      <c r="FI20" s="322"/>
      <c r="FJ20" s="408"/>
      <c r="FK20" s="307"/>
      <c r="FL20" s="408"/>
      <c r="FM20" s="322"/>
      <c r="FN20" s="408"/>
      <c r="FO20" s="307"/>
      <c r="FP20" s="408"/>
      <c r="FQ20" s="340"/>
      <c r="FR20" s="328">
        <f t="shared" si="9"/>
        <v>0</v>
      </c>
      <c r="FS20" s="328">
        <f t="shared" si="10"/>
        <v>0</v>
      </c>
      <c r="FT20" s="360"/>
    </row>
    <row r="21" spans="1:176" s="14" customFormat="1" outlineLevel="2">
      <c r="A21" s="56" t="s">
        <v>468</v>
      </c>
      <c r="B21" s="387" t="s">
        <v>82</v>
      </c>
      <c r="C21" s="541" t="s">
        <v>72</v>
      </c>
      <c r="D21" s="565" t="s">
        <v>32</v>
      </c>
      <c r="E21" s="10">
        <f>IF(ISBLANK(G21),"",IF($A$6:$A$330=$A21,COUNTIF($A$6:A21,$A21),""))</f>
        <v>16</v>
      </c>
      <c r="F21" s="123">
        <v>1</v>
      </c>
      <c r="G21" s="124">
        <v>4497230500</v>
      </c>
      <c r="H21" s="604" t="s">
        <v>78</v>
      </c>
      <c r="I21" s="618">
        <v>0</v>
      </c>
      <c r="J21" s="618"/>
      <c r="K21" s="126"/>
      <c r="L21" s="618" t="str">
        <f t="shared" si="11"/>
        <v/>
      </c>
      <c r="M21" s="102"/>
      <c r="N21" s="305">
        <f t="shared" si="0"/>
        <v>1</v>
      </c>
      <c r="O21" s="23">
        <v>4</v>
      </c>
      <c r="P21" s="24"/>
      <c r="Q21" s="25"/>
      <c r="R21" s="24"/>
      <c r="S21" s="23">
        <v>4</v>
      </c>
      <c r="T21" s="24"/>
      <c r="U21" s="307"/>
      <c r="V21" s="24"/>
      <c r="W21" s="23">
        <v>4</v>
      </c>
      <c r="X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4</v>
      </c>
      <c r="Y21" s="25">
        <f>SUMPRODUCT((Комплекты[Пр]=ПНЕВМАТИКА!$F21)*(Комплекты[Обозначение]=ПНЕВМАТИКА!$G21)*Комплекты[Кол-во]*(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4</v>
      </c>
      <c r="Z21" s="24"/>
      <c r="AA21" s="23">
        <v>6</v>
      </c>
      <c r="AB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4</v>
      </c>
      <c r="AC21" s="25"/>
      <c r="AD21" s="24"/>
      <c r="AE21" s="23">
        <v>6</v>
      </c>
      <c r="AF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21" s="307">
        <f>SUMPRODUCT((Комплекты[Пр]=ПНЕВМАТИКА!$F21)*(Комплекты[Обозначение]=ПНЕВМАТИКА!$G21)*Комплекты[Кол-во]*(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21" s="24"/>
      <c r="AI21" s="23">
        <v>6</v>
      </c>
      <c r="AJ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8</v>
      </c>
      <c r="AK21" s="25"/>
      <c r="AL21" s="24"/>
      <c r="AM21" s="23">
        <v>6</v>
      </c>
      <c r="AN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4</v>
      </c>
      <c r="AO21" s="25"/>
      <c r="AP21" s="24"/>
      <c r="AQ21" s="23">
        <v>6</v>
      </c>
      <c r="AR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6</v>
      </c>
      <c r="AS21" s="25"/>
      <c r="AT21" s="24"/>
      <c r="AU21" s="23">
        <v>6</v>
      </c>
      <c r="AV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6</v>
      </c>
      <c r="AW21" s="25"/>
      <c r="AX21" s="24"/>
      <c r="AY21" s="23">
        <v>6</v>
      </c>
      <c r="AZ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6</v>
      </c>
      <c r="BA21" s="25"/>
      <c r="BB21" s="24"/>
      <c r="BC21" s="23">
        <v>6</v>
      </c>
      <c r="BD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6</v>
      </c>
      <c r="BE21" s="25"/>
      <c r="BF21" s="24"/>
      <c r="BG21" s="23">
        <v>6</v>
      </c>
      <c r="BH21" s="24">
        <f>SUMPRODUCT((Комплекты[Пр]=ПНЕВМАТИКА!$F21)*(Комплекты[Обозначение]=ПНЕВМАТИКА!$G21)*Комплекты[Кол-во]*(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6</v>
      </c>
      <c r="BI21" s="25"/>
      <c r="BJ21" s="24"/>
      <c r="BK21" s="340"/>
      <c r="BL21" s="32">
        <f t="shared" si="1"/>
        <v>66</v>
      </c>
      <c r="BM21" s="32">
        <f t="shared" si="2"/>
        <v>0</v>
      </c>
      <c r="BN21" s="28">
        <f t="shared" si="3"/>
        <v>50</v>
      </c>
      <c r="BO21" s="29">
        <f t="shared" si="4"/>
        <v>0</v>
      </c>
      <c r="BP21" s="30">
        <f t="shared" si="5"/>
        <v>4</v>
      </c>
      <c r="BQ21" s="31">
        <f t="shared" si="6"/>
        <v>0</v>
      </c>
      <c r="BR21" s="11"/>
      <c r="BS21" s="329"/>
      <c r="BT21" s="23"/>
      <c r="BU21" s="24"/>
      <c r="BV21" s="25"/>
      <c r="BW21" s="24"/>
      <c r="BX21" s="23"/>
      <c r="BY21" s="24"/>
      <c r="BZ21" s="25"/>
      <c r="CA21" s="24"/>
      <c r="CB21" s="23"/>
      <c r="CC21" s="24"/>
      <c r="CD21" s="25"/>
      <c r="CE21" s="24"/>
      <c r="CF21" s="23"/>
      <c r="CG21" s="24"/>
      <c r="CH21" s="25"/>
      <c r="CI21" s="24"/>
      <c r="CJ21" s="23"/>
      <c r="CK21" s="24"/>
      <c r="CL21" s="25"/>
      <c r="CM21" s="24"/>
      <c r="CN21" s="23"/>
      <c r="CO21" s="24"/>
      <c r="CP21" s="25"/>
      <c r="CQ21" s="24"/>
      <c r="CR21" s="23"/>
      <c r="CS21" s="24"/>
      <c r="CT21" s="25"/>
      <c r="CU21" s="24"/>
      <c r="CV21" s="23"/>
      <c r="CW21" s="24"/>
      <c r="CX21" s="25"/>
      <c r="CY21" s="24"/>
      <c r="CZ21" s="23"/>
      <c r="DA21" s="24"/>
      <c r="DB21" s="25"/>
      <c r="DC21" s="24"/>
      <c r="DD21" s="23"/>
      <c r="DE21" s="24"/>
      <c r="DF21" s="25"/>
      <c r="DG21" s="24"/>
      <c r="DH21" s="23"/>
      <c r="DI21" s="24"/>
      <c r="DJ21" s="25"/>
      <c r="DK21" s="24"/>
      <c r="DL21" s="23"/>
      <c r="DM21" s="24"/>
      <c r="DN21" s="25"/>
      <c r="DO21" s="24"/>
      <c r="DP21" s="340"/>
      <c r="DQ21" s="32">
        <f t="shared" si="7"/>
        <v>0</v>
      </c>
      <c r="DR21" s="32">
        <f t="shared" si="8"/>
        <v>0</v>
      </c>
      <c r="DS21" s="11"/>
      <c r="DT21" s="329"/>
      <c r="DU21" s="23"/>
      <c r="DV21" s="24"/>
      <c r="DW21" s="25"/>
      <c r="DX21" s="24"/>
      <c r="DY21" s="23"/>
      <c r="DZ21" s="24"/>
      <c r="EA21" s="25"/>
      <c r="EB21" s="24"/>
      <c r="EC21" s="23"/>
      <c r="ED21" s="24"/>
      <c r="EE21" s="25"/>
      <c r="EF21" s="24"/>
      <c r="EG21" s="23"/>
      <c r="EH21" s="24"/>
      <c r="EI21" s="25"/>
      <c r="EJ21" s="24"/>
      <c r="EK21" s="23"/>
      <c r="EL21" s="24"/>
      <c r="EM21" s="25"/>
      <c r="EN21" s="24"/>
      <c r="EO21" s="23"/>
      <c r="EP21" s="24"/>
      <c r="EQ21" s="25"/>
      <c r="ER21" s="24"/>
      <c r="ES21" s="23"/>
      <c r="ET21" s="24"/>
      <c r="EU21" s="25"/>
      <c r="EV21" s="24"/>
      <c r="EW21" s="23"/>
      <c r="EX21" s="24"/>
      <c r="EY21" s="25"/>
      <c r="EZ21" s="24"/>
      <c r="FA21" s="23"/>
      <c r="FB21" s="24"/>
      <c r="FC21" s="25"/>
      <c r="FD21" s="24"/>
      <c r="FE21" s="23"/>
      <c r="FF21" s="24"/>
      <c r="FG21" s="25"/>
      <c r="FH21" s="24"/>
      <c r="FI21" s="23"/>
      <c r="FJ21" s="24"/>
      <c r="FK21" s="25"/>
      <c r="FL21" s="24"/>
      <c r="FM21" s="23"/>
      <c r="FN21" s="24"/>
      <c r="FO21" s="25"/>
      <c r="FP21" s="24"/>
      <c r="FQ21" s="340"/>
      <c r="FR21" s="32">
        <f t="shared" si="9"/>
        <v>0</v>
      </c>
      <c r="FS21" s="32">
        <f t="shared" si="10"/>
        <v>0</v>
      </c>
      <c r="FT21" s="360"/>
    </row>
    <row r="22" spans="1:176" s="14" customFormat="1" outlineLevel="2">
      <c r="A22" s="56" t="s">
        <v>468</v>
      </c>
      <c r="B22" s="387" t="s">
        <v>82</v>
      </c>
      <c r="C22" s="541" t="s">
        <v>72</v>
      </c>
      <c r="D22" s="565" t="s">
        <v>32</v>
      </c>
      <c r="E22" s="10">
        <f>IF(ISBLANK(G22),"",IF($A$6:$A$330=$A22,COUNTIF($A$6:A22,$A22),""))</f>
        <v>17</v>
      </c>
      <c r="F22" s="123">
        <v>1</v>
      </c>
      <c r="G22" s="124">
        <v>4640061000</v>
      </c>
      <c r="H22" s="604" t="s">
        <v>79</v>
      </c>
      <c r="I22" s="618">
        <v>0</v>
      </c>
      <c r="J22" s="618"/>
      <c r="K22" s="126"/>
      <c r="L22" s="618" t="str">
        <f t="shared" si="11"/>
        <v/>
      </c>
      <c r="M22" s="102"/>
      <c r="N22" s="305">
        <f t="shared" si="0"/>
        <v>1</v>
      </c>
      <c r="O22" s="23">
        <v>2</v>
      </c>
      <c r="P22" s="24"/>
      <c r="Q22" s="25"/>
      <c r="R22" s="24"/>
      <c r="S22" s="23">
        <v>2</v>
      </c>
      <c r="T22" s="24"/>
      <c r="U22" s="307"/>
      <c r="V22" s="24"/>
      <c r="W22" s="23">
        <v>2</v>
      </c>
      <c r="X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2</v>
      </c>
      <c r="Y22" s="25">
        <f>SUMPRODUCT((Комплекты[Пр]=ПНЕВМАТИКА!$F22)*(Комплекты[Обозначение]=ПНЕВМАТИКА!$G22)*Комплекты[Кол-во]*(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2</v>
      </c>
      <c r="Z22" s="24"/>
      <c r="AA22" s="23">
        <v>3</v>
      </c>
      <c r="AB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2</v>
      </c>
      <c r="AC22" s="25"/>
      <c r="AD22" s="24"/>
      <c r="AE22" s="23">
        <v>3</v>
      </c>
      <c r="AF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22" s="307">
        <f>SUMPRODUCT((Комплекты[Пр]=ПНЕВМАТИКА!$F22)*(Комплекты[Обозначение]=ПНЕВМАТИКА!$G22)*Комплекты[Кол-во]*(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22" s="24"/>
      <c r="AI22" s="23">
        <v>3</v>
      </c>
      <c r="AJ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4</v>
      </c>
      <c r="AK22" s="25"/>
      <c r="AL22" s="24"/>
      <c r="AM22" s="23">
        <v>3</v>
      </c>
      <c r="AN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2</v>
      </c>
      <c r="AO22" s="25"/>
      <c r="AP22" s="24"/>
      <c r="AQ22" s="23">
        <v>3</v>
      </c>
      <c r="AR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3</v>
      </c>
      <c r="AS22" s="25"/>
      <c r="AT22" s="24"/>
      <c r="AU22" s="23">
        <v>3</v>
      </c>
      <c r="AV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3</v>
      </c>
      <c r="AW22" s="25"/>
      <c r="AX22" s="24"/>
      <c r="AY22" s="23">
        <v>3</v>
      </c>
      <c r="AZ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3</v>
      </c>
      <c r="BA22" s="25"/>
      <c r="BB22" s="24"/>
      <c r="BC22" s="23">
        <v>3</v>
      </c>
      <c r="BD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3</v>
      </c>
      <c r="BE22" s="25"/>
      <c r="BF22" s="24"/>
      <c r="BG22" s="23">
        <v>3</v>
      </c>
      <c r="BH22" s="24">
        <f>SUMPRODUCT((Комплекты[Пр]=ПНЕВМАТИКА!$F22)*(Комплекты[Обозначение]=ПНЕВМАТИКА!$G22)*Комплекты[Кол-во]*(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3</v>
      </c>
      <c r="BI22" s="25"/>
      <c r="BJ22" s="24"/>
      <c r="BK22" s="340"/>
      <c r="BL22" s="32">
        <f t="shared" si="1"/>
        <v>33</v>
      </c>
      <c r="BM22" s="32">
        <f t="shared" si="2"/>
        <v>0</v>
      </c>
      <c r="BN22" s="28">
        <f t="shared" si="3"/>
        <v>25</v>
      </c>
      <c r="BO22" s="29">
        <f t="shared" si="4"/>
        <v>0</v>
      </c>
      <c r="BP22" s="30">
        <f t="shared" si="5"/>
        <v>2</v>
      </c>
      <c r="BQ22" s="31">
        <f t="shared" si="6"/>
        <v>0</v>
      </c>
      <c r="BR22" s="11"/>
      <c r="BS22" s="329"/>
      <c r="BT22" s="23"/>
      <c r="BU22" s="24"/>
      <c r="BV22" s="25"/>
      <c r="BW22" s="24"/>
      <c r="BX22" s="23"/>
      <c r="BY22" s="24"/>
      <c r="BZ22" s="25"/>
      <c r="CA22" s="24"/>
      <c r="CB22" s="23"/>
      <c r="CC22" s="24"/>
      <c r="CD22" s="25"/>
      <c r="CE22" s="24"/>
      <c r="CF22" s="23"/>
      <c r="CG22" s="24"/>
      <c r="CH22" s="25"/>
      <c r="CI22" s="24"/>
      <c r="CJ22" s="23"/>
      <c r="CK22" s="24"/>
      <c r="CL22" s="25"/>
      <c r="CM22" s="24"/>
      <c r="CN22" s="23"/>
      <c r="CO22" s="24"/>
      <c r="CP22" s="25"/>
      <c r="CQ22" s="24"/>
      <c r="CR22" s="23"/>
      <c r="CS22" s="24"/>
      <c r="CT22" s="25"/>
      <c r="CU22" s="24"/>
      <c r="CV22" s="23"/>
      <c r="CW22" s="24"/>
      <c r="CX22" s="25"/>
      <c r="CY22" s="24"/>
      <c r="CZ22" s="23"/>
      <c r="DA22" s="24"/>
      <c r="DB22" s="25"/>
      <c r="DC22" s="24"/>
      <c r="DD22" s="23"/>
      <c r="DE22" s="24"/>
      <c r="DF22" s="25"/>
      <c r="DG22" s="24"/>
      <c r="DH22" s="23"/>
      <c r="DI22" s="24"/>
      <c r="DJ22" s="25"/>
      <c r="DK22" s="24"/>
      <c r="DL22" s="23"/>
      <c r="DM22" s="24"/>
      <c r="DN22" s="25"/>
      <c r="DO22" s="24"/>
      <c r="DP22" s="340"/>
      <c r="DQ22" s="32">
        <f t="shared" si="7"/>
        <v>0</v>
      </c>
      <c r="DR22" s="32">
        <f t="shared" si="8"/>
        <v>0</v>
      </c>
      <c r="DS22" s="11"/>
      <c r="DT22" s="329"/>
      <c r="DU22" s="23"/>
      <c r="DV22" s="24"/>
      <c r="DW22" s="25"/>
      <c r="DX22" s="24"/>
      <c r="DY22" s="23"/>
      <c r="DZ22" s="24"/>
      <c r="EA22" s="25"/>
      <c r="EB22" s="24"/>
      <c r="EC22" s="23"/>
      <c r="ED22" s="24"/>
      <c r="EE22" s="25"/>
      <c r="EF22" s="24"/>
      <c r="EG22" s="23"/>
      <c r="EH22" s="24"/>
      <c r="EI22" s="25"/>
      <c r="EJ22" s="24"/>
      <c r="EK22" s="23"/>
      <c r="EL22" s="24"/>
      <c r="EM22" s="25"/>
      <c r="EN22" s="24"/>
      <c r="EO22" s="23"/>
      <c r="EP22" s="24"/>
      <c r="EQ22" s="25"/>
      <c r="ER22" s="24"/>
      <c r="ES22" s="23"/>
      <c r="ET22" s="24"/>
      <c r="EU22" s="25"/>
      <c r="EV22" s="24"/>
      <c r="EW22" s="23"/>
      <c r="EX22" s="24"/>
      <c r="EY22" s="25"/>
      <c r="EZ22" s="24"/>
      <c r="FA22" s="23"/>
      <c r="FB22" s="24"/>
      <c r="FC22" s="25"/>
      <c r="FD22" s="24"/>
      <c r="FE22" s="23"/>
      <c r="FF22" s="24"/>
      <c r="FG22" s="25"/>
      <c r="FH22" s="24"/>
      <c r="FI22" s="23"/>
      <c r="FJ22" s="24"/>
      <c r="FK22" s="25"/>
      <c r="FL22" s="24"/>
      <c r="FM22" s="23"/>
      <c r="FN22" s="24"/>
      <c r="FO22" s="25"/>
      <c r="FP22" s="24"/>
      <c r="FQ22" s="340"/>
      <c r="FR22" s="32">
        <f t="shared" si="9"/>
        <v>0</v>
      </c>
      <c r="FS22" s="32">
        <f t="shared" si="10"/>
        <v>0</v>
      </c>
      <c r="FT22" s="360"/>
    </row>
    <row r="23" spans="1:176" s="14" customFormat="1" outlineLevel="2">
      <c r="A23" s="56" t="s">
        <v>468</v>
      </c>
      <c r="B23" s="387" t="s">
        <v>82</v>
      </c>
      <c r="C23" s="541" t="s">
        <v>72</v>
      </c>
      <c r="D23" s="565" t="s">
        <v>32</v>
      </c>
      <c r="E23" s="10">
        <f>IF(ISBLANK(G23),"",IF($A$6:$A$330=$A23,COUNTIF($A$6:A23,$A23),""))</f>
        <v>18</v>
      </c>
      <c r="F23" s="123">
        <v>1</v>
      </c>
      <c r="G23" s="124">
        <v>4630320200</v>
      </c>
      <c r="H23" s="604" t="s">
        <v>80</v>
      </c>
      <c r="I23" s="618">
        <v>0</v>
      </c>
      <c r="J23" s="618"/>
      <c r="K23" s="126"/>
      <c r="L23" s="618" t="str">
        <f t="shared" si="11"/>
        <v/>
      </c>
      <c r="M23" s="102"/>
      <c r="N23" s="305">
        <f t="shared" si="0"/>
        <v>1</v>
      </c>
      <c r="O23" s="23">
        <v>2</v>
      </c>
      <c r="P23" s="24"/>
      <c r="Q23" s="25"/>
      <c r="R23" s="24"/>
      <c r="S23" s="23">
        <v>2</v>
      </c>
      <c r="T23" s="24"/>
      <c r="U23" s="307"/>
      <c r="V23" s="24"/>
      <c r="W23" s="23">
        <v>2</v>
      </c>
      <c r="X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2</v>
      </c>
      <c r="Y23" s="25">
        <f>SUMPRODUCT((Комплекты[Пр]=ПНЕВМАТИКА!$F23)*(Комплекты[Обозначение]=ПНЕВМАТИКА!$G23)*Комплекты[Кол-во]*(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2</v>
      </c>
      <c r="Z23" s="24"/>
      <c r="AA23" s="23">
        <v>3</v>
      </c>
      <c r="AB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2</v>
      </c>
      <c r="AC23" s="25"/>
      <c r="AD23" s="24"/>
      <c r="AE23" s="23">
        <v>3</v>
      </c>
      <c r="AF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23" s="307">
        <f>SUMPRODUCT((Комплекты[Пр]=ПНЕВМАТИКА!$F23)*(Комплекты[Обозначение]=ПНЕВМАТИКА!$G23)*Комплекты[Кол-во]*(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23" s="24"/>
      <c r="AI23" s="23">
        <v>3</v>
      </c>
      <c r="AJ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4</v>
      </c>
      <c r="AK23" s="25"/>
      <c r="AL23" s="24"/>
      <c r="AM23" s="23">
        <v>3</v>
      </c>
      <c r="AN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2</v>
      </c>
      <c r="AO23" s="25"/>
      <c r="AP23" s="24"/>
      <c r="AQ23" s="23">
        <v>3</v>
      </c>
      <c r="AR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3</v>
      </c>
      <c r="AS23" s="25"/>
      <c r="AT23" s="24"/>
      <c r="AU23" s="23">
        <v>3</v>
      </c>
      <c r="AV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3</v>
      </c>
      <c r="AW23" s="25"/>
      <c r="AX23" s="24"/>
      <c r="AY23" s="23">
        <v>3</v>
      </c>
      <c r="AZ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3</v>
      </c>
      <c r="BA23" s="25"/>
      <c r="BB23" s="24"/>
      <c r="BC23" s="23">
        <v>3</v>
      </c>
      <c r="BD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3</v>
      </c>
      <c r="BE23" s="25"/>
      <c r="BF23" s="24"/>
      <c r="BG23" s="23">
        <v>3</v>
      </c>
      <c r="BH23" s="24">
        <f>SUMPRODUCT((Комплекты[Пр]=ПНЕВМАТИКА!$F23)*(Комплекты[Обозначение]=ПНЕВМАТИКА!$G23)*Комплекты[Кол-во]*(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3</v>
      </c>
      <c r="BI23" s="25"/>
      <c r="BJ23" s="24"/>
      <c r="BK23" s="340"/>
      <c r="BL23" s="32">
        <f t="shared" si="1"/>
        <v>33</v>
      </c>
      <c r="BM23" s="32">
        <f t="shared" si="2"/>
        <v>0</v>
      </c>
      <c r="BN23" s="28">
        <f t="shared" si="3"/>
        <v>25</v>
      </c>
      <c r="BO23" s="29">
        <f t="shared" si="4"/>
        <v>0</v>
      </c>
      <c r="BP23" s="30">
        <f t="shared" si="5"/>
        <v>2</v>
      </c>
      <c r="BQ23" s="31">
        <f t="shared" si="6"/>
        <v>0</v>
      </c>
      <c r="BR23" s="11"/>
      <c r="BS23" s="329"/>
      <c r="BT23" s="23"/>
      <c r="BU23" s="24"/>
      <c r="BV23" s="25"/>
      <c r="BW23" s="24"/>
      <c r="BX23" s="23"/>
      <c r="BY23" s="24"/>
      <c r="BZ23" s="25"/>
      <c r="CA23" s="24"/>
      <c r="CB23" s="23"/>
      <c r="CC23" s="24"/>
      <c r="CD23" s="25"/>
      <c r="CE23" s="24"/>
      <c r="CF23" s="23"/>
      <c r="CG23" s="24"/>
      <c r="CH23" s="25"/>
      <c r="CI23" s="24"/>
      <c r="CJ23" s="23"/>
      <c r="CK23" s="24"/>
      <c r="CL23" s="25"/>
      <c r="CM23" s="24"/>
      <c r="CN23" s="23"/>
      <c r="CO23" s="24"/>
      <c r="CP23" s="25"/>
      <c r="CQ23" s="24"/>
      <c r="CR23" s="23"/>
      <c r="CS23" s="24"/>
      <c r="CT23" s="25"/>
      <c r="CU23" s="24"/>
      <c r="CV23" s="23"/>
      <c r="CW23" s="24"/>
      <c r="CX23" s="25"/>
      <c r="CY23" s="24"/>
      <c r="CZ23" s="23"/>
      <c r="DA23" s="24"/>
      <c r="DB23" s="25"/>
      <c r="DC23" s="24"/>
      <c r="DD23" s="23"/>
      <c r="DE23" s="24"/>
      <c r="DF23" s="25"/>
      <c r="DG23" s="24"/>
      <c r="DH23" s="23"/>
      <c r="DI23" s="24"/>
      <c r="DJ23" s="25"/>
      <c r="DK23" s="24"/>
      <c r="DL23" s="23"/>
      <c r="DM23" s="24"/>
      <c r="DN23" s="25"/>
      <c r="DO23" s="24"/>
      <c r="DP23" s="340"/>
      <c r="DQ23" s="32">
        <f t="shared" si="7"/>
        <v>0</v>
      </c>
      <c r="DR23" s="32">
        <f t="shared" si="8"/>
        <v>0</v>
      </c>
      <c r="DS23" s="11"/>
      <c r="DT23" s="329"/>
      <c r="DU23" s="23"/>
      <c r="DV23" s="24"/>
      <c r="DW23" s="25"/>
      <c r="DX23" s="24"/>
      <c r="DY23" s="23"/>
      <c r="DZ23" s="24"/>
      <c r="EA23" s="25"/>
      <c r="EB23" s="24"/>
      <c r="EC23" s="23"/>
      <c r="ED23" s="24"/>
      <c r="EE23" s="25"/>
      <c r="EF23" s="24"/>
      <c r="EG23" s="23"/>
      <c r="EH23" s="24"/>
      <c r="EI23" s="25"/>
      <c r="EJ23" s="24"/>
      <c r="EK23" s="23"/>
      <c r="EL23" s="24"/>
      <c r="EM23" s="25"/>
      <c r="EN23" s="24"/>
      <c r="EO23" s="23"/>
      <c r="EP23" s="24"/>
      <c r="EQ23" s="25"/>
      <c r="ER23" s="24"/>
      <c r="ES23" s="23"/>
      <c r="ET23" s="24"/>
      <c r="EU23" s="25"/>
      <c r="EV23" s="24"/>
      <c r="EW23" s="23"/>
      <c r="EX23" s="24"/>
      <c r="EY23" s="25"/>
      <c r="EZ23" s="24"/>
      <c r="FA23" s="23"/>
      <c r="FB23" s="24"/>
      <c r="FC23" s="25"/>
      <c r="FD23" s="24"/>
      <c r="FE23" s="23"/>
      <c r="FF23" s="24"/>
      <c r="FG23" s="25"/>
      <c r="FH23" s="24"/>
      <c r="FI23" s="23"/>
      <c r="FJ23" s="24"/>
      <c r="FK23" s="25"/>
      <c r="FL23" s="24"/>
      <c r="FM23" s="23"/>
      <c r="FN23" s="24"/>
      <c r="FO23" s="25"/>
      <c r="FP23" s="24"/>
      <c r="FQ23" s="340"/>
      <c r="FR23" s="32">
        <f t="shared" si="9"/>
        <v>0</v>
      </c>
      <c r="FS23" s="32">
        <f t="shared" si="10"/>
        <v>0</v>
      </c>
      <c r="FT23" s="360"/>
    </row>
    <row r="24" spans="1:176" s="14" customFormat="1" outlineLevel="2">
      <c r="A24" s="56" t="s">
        <v>468</v>
      </c>
      <c r="B24" s="387" t="s">
        <v>82</v>
      </c>
      <c r="C24" s="541" t="s">
        <v>72</v>
      </c>
      <c r="D24" s="565" t="s">
        <v>32</v>
      </c>
      <c r="E24" s="10">
        <f>IF(ISBLANK(G24),"",IF($A$6:$A$330=$A24,COUNTIF($A$6:A24,$A24),""))</f>
        <v>19</v>
      </c>
      <c r="F24" s="123">
        <v>1</v>
      </c>
      <c r="G24" s="124">
        <v>4334010030</v>
      </c>
      <c r="H24" s="604" t="s">
        <v>81</v>
      </c>
      <c r="I24" s="618">
        <v>0</v>
      </c>
      <c r="J24" s="618"/>
      <c r="K24" s="126"/>
      <c r="L24" s="618" t="str">
        <f t="shared" si="11"/>
        <v/>
      </c>
      <c r="M24" s="102"/>
      <c r="N24" s="305">
        <f t="shared" si="0"/>
        <v>1</v>
      </c>
      <c r="O24" s="23">
        <v>2</v>
      </c>
      <c r="P24" s="24"/>
      <c r="Q24" s="25"/>
      <c r="R24" s="24"/>
      <c r="S24" s="23">
        <v>2</v>
      </c>
      <c r="T24" s="24"/>
      <c r="U24" s="307"/>
      <c r="V24" s="24"/>
      <c r="W24" s="23">
        <v>2</v>
      </c>
      <c r="X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2</v>
      </c>
      <c r="Y24" s="25">
        <f>SUMPRODUCT((Комплекты[Пр]=ПНЕВМАТИКА!$F24)*(Комплекты[Обозначение]=ПНЕВМАТИКА!$G24)*Комплекты[Кол-во]*(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2</v>
      </c>
      <c r="Z24" s="24"/>
      <c r="AA24" s="23">
        <v>3</v>
      </c>
      <c r="AB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2</v>
      </c>
      <c r="AC24" s="25"/>
      <c r="AD24" s="24"/>
      <c r="AE24" s="23">
        <v>3</v>
      </c>
      <c r="AF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24" s="307">
        <f>SUMPRODUCT((Комплекты[Пр]=ПНЕВМАТИКА!$F24)*(Комплекты[Обозначение]=ПНЕВМАТИКА!$G24)*Комплекты[Кол-во]*(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24" s="24"/>
      <c r="AI24" s="23">
        <v>3</v>
      </c>
      <c r="AJ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4</v>
      </c>
      <c r="AK24" s="25"/>
      <c r="AL24" s="24"/>
      <c r="AM24" s="23">
        <v>3</v>
      </c>
      <c r="AN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2</v>
      </c>
      <c r="AO24" s="25"/>
      <c r="AP24" s="24"/>
      <c r="AQ24" s="23">
        <v>3</v>
      </c>
      <c r="AR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3</v>
      </c>
      <c r="AS24" s="25"/>
      <c r="AT24" s="24"/>
      <c r="AU24" s="23">
        <v>3</v>
      </c>
      <c r="AV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3</v>
      </c>
      <c r="AW24" s="25"/>
      <c r="AX24" s="24"/>
      <c r="AY24" s="23">
        <v>3</v>
      </c>
      <c r="AZ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3</v>
      </c>
      <c r="BA24" s="25"/>
      <c r="BB24" s="24"/>
      <c r="BC24" s="23">
        <v>3</v>
      </c>
      <c r="BD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3</v>
      </c>
      <c r="BE24" s="25"/>
      <c r="BF24" s="24"/>
      <c r="BG24" s="23">
        <v>3</v>
      </c>
      <c r="BH24" s="24">
        <f>SUMPRODUCT((Комплекты[Пр]=ПНЕВМАТИКА!$F24)*(Комплекты[Обозначение]=ПНЕВМАТИКА!$G24)*Комплекты[Кол-во]*(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3</v>
      </c>
      <c r="BI24" s="25"/>
      <c r="BJ24" s="24"/>
      <c r="BK24" s="340"/>
      <c r="BL24" s="32">
        <f t="shared" si="1"/>
        <v>33</v>
      </c>
      <c r="BM24" s="32">
        <f t="shared" si="2"/>
        <v>0</v>
      </c>
      <c r="BN24" s="28">
        <f t="shared" si="3"/>
        <v>25</v>
      </c>
      <c r="BO24" s="29">
        <f t="shared" si="4"/>
        <v>0</v>
      </c>
      <c r="BP24" s="30">
        <f t="shared" si="5"/>
        <v>2</v>
      </c>
      <c r="BQ24" s="31">
        <f t="shared" si="6"/>
        <v>0</v>
      </c>
      <c r="BR24" s="11"/>
      <c r="BS24" s="329"/>
      <c r="BT24" s="23"/>
      <c r="BU24" s="24"/>
      <c r="BV24" s="25"/>
      <c r="BW24" s="24"/>
      <c r="BX24" s="23"/>
      <c r="BY24" s="24"/>
      <c r="BZ24" s="25"/>
      <c r="CA24" s="24"/>
      <c r="CB24" s="23"/>
      <c r="CC24" s="24"/>
      <c r="CD24" s="25"/>
      <c r="CE24" s="24"/>
      <c r="CF24" s="23"/>
      <c r="CG24" s="24"/>
      <c r="CH24" s="25"/>
      <c r="CI24" s="24"/>
      <c r="CJ24" s="23"/>
      <c r="CK24" s="24"/>
      <c r="CL24" s="25"/>
      <c r="CM24" s="24"/>
      <c r="CN24" s="23"/>
      <c r="CO24" s="24"/>
      <c r="CP24" s="25"/>
      <c r="CQ24" s="24"/>
      <c r="CR24" s="23"/>
      <c r="CS24" s="24"/>
      <c r="CT24" s="25"/>
      <c r="CU24" s="24"/>
      <c r="CV24" s="23"/>
      <c r="CW24" s="24"/>
      <c r="CX24" s="25"/>
      <c r="CY24" s="24"/>
      <c r="CZ24" s="23"/>
      <c r="DA24" s="24"/>
      <c r="DB24" s="25"/>
      <c r="DC24" s="24"/>
      <c r="DD24" s="23"/>
      <c r="DE24" s="24"/>
      <c r="DF24" s="25"/>
      <c r="DG24" s="24"/>
      <c r="DH24" s="23"/>
      <c r="DI24" s="24"/>
      <c r="DJ24" s="25"/>
      <c r="DK24" s="24"/>
      <c r="DL24" s="23"/>
      <c r="DM24" s="24"/>
      <c r="DN24" s="25"/>
      <c r="DO24" s="24"/>
      <c r="DP24" s="340"/>
      <c r="DQ24" s="32">
        <f t="shared" si="7"/>
        <v>0</v>
      </c>
      <c r="DR24" s="32">
        <f t="shared" si="8"/>
        <v>0</v>
      </c>
      <c r="DS24" s="11"/>
      <c r="DT24" s="329"/>
      <c r="DU24" s="23"/>
      <c r="DV24" s="24"/>
      <c r="DW24" s="25"/>
      <c r="DX24" s="24"/>
      <c r="DY24" s="23"/>
      <c r="DZ24" s="24"/>
      <c r="EA24" s="25"/>
      <c r="EB24" s="24"/>
      <c r="EC24" s="23"/>
      <c r="ED24" s="24"/>
      <c r="EE24" s="25"/>
      <c r="EF24" s="24"/>
      <c r="EG24" s="23"/>
      <c r="EH24" s="24"/>
      <c r="EI24" s="25"/>
      <c r="EJ24" s="24"/>
      <c r="EK24" s="23"/>
      <c r="EL24" s="24"/>
      <c r="EM24" s="25"/>
      <c r="EN24" s="24"/>
      <c r="EO24" s="23"/>
      <c r="EP24" s="24"/>
      <c r="EQ24" s="25"/>
      <c r="ER24" s="24"/>
      <c r="ES24" s="23"/>
      <c r="ET24" s="24"/>
      <c r="EU24" s="25"/>
      <c r="EV24" s="24"/>
      <c r="EW24" s="23"/>
      <c r="EX24" s="24"/>
      <c r="EY24" s="25"/>
      <c r="EZ24" s="24"/>
      <c r="FA24" s="23"/>
      <c r="FB24" s="24"/>
      <c r="FC24" s="25"/>
      <c r="FD24" s="24"/>
      <c r="FE24" s="23"/>
      <c r="FF24" s="24"/>
      <c r="FG24" s="25"/>
      <c r="FH24" s="24"/>
      <c r="FI24" s="23"/>
      <c r="FJ24" s="24"/>
      <c r="FK24" s="25"/>
      <c r="FL24" s="24"/>
      <c r="FM24" s="23"/>
      <c r="FN24" s="24"/>
      <c r="FO24" s="25"/>
      <c r="FP24" s="24"/>
      <c r="FQ24" s="340"/>
      <c r="FR24" s="32">
        <f t="shared" si="9"/>
        <v>0</v>
      </c>
      <c r="FS24" s="32">
        <f t="shared" si="10"/>
        <v>0</v>
      </c>
      <c r="FT24" s="360"/>
    </row>
    <row r="25" spans="1:176" s="14" customFormat="1" outlineLevel="2">
      <c r="A25" s="375" t="s">
        <v>468</v>
      </c>
      <c r="B25" s="389" t="s">
        <v>82</v>
      </c>
      <c r="C25" s="432" t="s">
        <v>72</v>
      </c>
      <c r="D25" s="575" t="s">
        <v>32</v>
      </c>
      <c r="E25" s="284">
        <f>IF(ISBLANK(G25),"",IF($A$6:$A$330=$A25,COUNTIF($A$6:A25,$A25),""))</f>
        <v>20</v>
      </c>
      <c r="F25" s="318">
        <v>1</v>
      </c>
      <c r="G25" s="319">
        <v>4494430600</v>
      </c>
      <c r="H25" s="603" t="s">
        <v>136</v>
      </c>
      <c r="I25" s="619">
        <v>0</v>
      </c>
      <c r="J25" s="619"/>
      <c r="K25" s="321"/>
      <c r="L25" s="619" t="str">
        <f t="shared" si="11"/>
        <v/>
      </c>
      <c r="M25" s="305"/>
      <c r="N25" s="305">
        <f t="shared" si="0"/>
        <v>0</v>
      </c>
      <c r="O25" s="322">
        <v>0</v>
      </c>
      <c r="P25" s="408"/>
      <c r="Q25" s="307"/>
      <c r="R25" s="408"/>
      <c r="S25" s="322">
        <v>0</v>
      </c>
      <c r="T25" s="408"/>
      <c r="U25" s="307"/>
      <c r="V25" s="408"/>
      <c r="W25" s="322">
        <v>0</v>
      </c>
      <c r="X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0</v>
      </c>
      <c r="Y25" s="307">
        <f>SUMPRODUCT((Комплекты[Пр]=ПНЕВМАТИКА!$F25)*(Комплекты[Обозначение]=ПНЕВМАТИКА!$G25)*Комплекты[Кол-во]*(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0</v>
      </c>
      <c r="Z25" s="408"/>
      <c r="AA25" s="322">
        <v>0</v>
      </c>
      <c r="AB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0</v>
      </c>
      <c r="AC25" s="307"/>
      <c r="AD25" s="408"/>
      <c r="AE25" s="322">
        <v>0</v>
      </c>
      <c r="AF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25" s="307">
        <f>SUMPRODUCT((Комплекты[Пр]=ПНЕВМАТИКА!$F25)*(Комплекты[Обозначение]=ПНЕВМАТИКА!$G25)*Комплекты[Кол-во]*(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25" s="408"/>
      <c r="AI25" s="322">
        <v>0</v>
      </c>
      <c r="AJ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0</v>
      </c>
      <c r="AK25" s="307"/>
      <c r="AL25" s="408"/>
      <c r="AM25" s="322">
        <v>0</v>
      </c>
      <c r="AN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0</v>
      </c>
      <c r="AO25" s="307"/>
      <c r="AP25" s="408"/>
      <c r="AQ25" s="322">
        <v>0</v>
      </c>
      <c r="AR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0</v>
      </c>
      <c r="AS25" s="307"/>
      <c r="AT25" s="408"/>
      <c r="AU25" s="322">
        <v>0</v>
      </c>
      <c r="AV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0</v>
      </c>
      <c r="AW25" s="307"/>
      <c r="AX25" s="408"/>
      <c r="AY25" s="322">
        <v>0</v>
      </c>
      <c r="AZ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0</v>
      </c>
      <c r="BA25" s="307"/>
      <c r="BB25" s="408"/>
      <c r="BC25" s="322">
        <v>0</v>
      </c>
      <c r="BD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0</v>
      </c>
      <c r="BE25" s="307"/>
      <c r="BF25" s="408"/>
      <c r="BG25" s="322">
        <v>0</v>
      </c>
      <c r="BH25" s="408">
        <f>SUMPRODUCT((Комплекты[Пр]=ПНЕВМАТИКА!$F25)*(Комплекты[Обозначение]=ПНЕВМАТИКА!$G25)*Комплекты[Кол-во]*(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0</v>
      </c>
      <c r="BI25" s="307"/>
      <c r="BJ25" s="408"/>
      <c r="BK25" s="340"/>
      <c r="BL25" s="328">
        <f t="shared" si="1"/>
        <v>0</v>
      </c>
      <c r="BM25" s="328">
        <f t="shared" si="2"/>
        <v>0</v>
      </c>
      <c r="BN25" s="324">
        <f t="shared" si="3"/>
        <v>0</v>
      </c>
      <c r="BO25" s="325">
        <f t="shared" si="4"/>
        <v>0</v>
      </c>
      <c r="BP25" s="326">
        <f t="shared" si="5"/>
        <v>0</v>
      </c>
      <c r="BQ25" s="327">
        <f t="shared" si="6"/>
        <v>0</v>
      </c>
      <c r="BR25" s="329"/>
      <c r="BS25" s="329"/>
      <c r="BT25" s="322"/>
      <c r="BU25" s="408"/>
      <c r="BV25" s="307"/>
      <c r="BW25" s="408"/>
      <c r="BX25" s="322"/>
      <c r="BY25" s="408"/>
      <c r="BZ25" s="307"/>
      <c r="CA25" s="408"/>
      <c r="CB25" s="322"/>
      <c r="CC25" s="408"/>
      <c r="CD25" s="307"/>
      <c r="CE25" s="408"/>
      <c r="CF25" s="322"/>
      <c r="CG25" s="408"/>
      <c r="CH25" s="307"/>
      <c r="CI25" s="408"/>
      <c r="CJ25" s="322"/>
      <c r="CK25" s="408"/>
      <c r="CL25" s="307"/>
      <c r="CM25" s="408"/>
      <c r="CN25" s="322"/>
      <c r="CO25" s="408"/>
      <c r="CP25" s="307"/>
      <c r="CQ25" s="408"/>
      <c r="CR25" s="322"/>
      <c r="CS25" s="408"/>
      <c r="CT25" s="307"/>
      <c r="CU25" s="408"/>
      <c r="CV25" s="322"/>
      <c r="CW25" s="408"/>
      <c r="CX25" s="307"/>
      <c r="CY25" s="408"/>
      <c r="CZ25" s="322"/>
      <c r="DA25" s="408"/>
      <c r="DB25" s="307"/>
      <c r="DC25" s="408"/>
      <c r="DD25" s="322"/>
      <c r="DE25" s="408"/>
      <c r="DF25" s="307"/>
      <c r="DG25" s="408"/>
      <c r="DH25" s="322"/>
      <c r="DI25" s="408"/>
      <c r="DJ25" s="307"/>
      <c r="DK25" s="408"/>
      <c r="DL25" s="322"/>
      <c r="DM25" s="408"/>
      <c r="DN25" s="307"/>
      <c r="DO25" s="408"/>
      <c r="DP25" s="340"/>
      <c r="DQ25" s="328">
        <f t="shared" si="7"/>
        <v>0</v>
      </c>
      <c r="DR25" s="328">
        <f t="shared" si="8"/>
        <v>0</v>
      </c>
      <c r="DS25" s="329"/>
      <c r="DT25" s="329"/>
      <c r="DU25" s="322"/>
      <c r="DV25" s="408"/>
      <c r="DW25" s="307"/>
      <c r="DX25" s="408"/>
      <c r="DY25" s="322"/>
      <c r="DZ25" s="408"/>
      <c r="EA25" s="307"/>
      <c r="EB25" s="408"/>
      <c r="EC25" s="322"/>
      <c r="ED25" s="408"/>
      <c r="EE25" s="307"/>
      <c r="EF25" s="408"/>
      <c r="EG25" s="322"/>
      <c r="EH25" s="408"/>
      <c r="EI25" s="307"/>
      <c r="EJ25" s="408"/>
      <c r="EK25" s="322"/>
      <c r="EL25" s="408"/>
      <c r="EM25" s="307"/>
      <c r="EN25" s="408"/>
      <c r="EO25" s="322"/>
      <c r="EP25" s="408"/>
      <c r="EQ25" s="307"/>
      <c r="ER25" s="408"/>
      <c r="ES25" s="322"/>
      <c r="ET25" s="408"/>
      <c r="EU25" s="307"/>
      <c r="EV25" s="408"/>
      <c r="EW25" s="322"/>
      <c r="EX25" s="408"/>
      <c r="EY25" s="307"/>
      <c r="EZ25" s="408"/>
      <c r="FA25" s="322"/>
      <c r="FB25" s="408"/>
      <c r="FC25" s="307"/>
      <c r="FD25" s="408"/>
      <c r="FE25" s="322"/>
      <c r="FF25" s="408"/>
      <c r="FG25" s="307"/>
      <c r="FH25" s="408"/>
      <c r="FI25" s="322"/>
      <c r="FJ25" s="408"/>
      <c r="FK25" s="307"/>
      <c r="FL25" s="408"/>
      <c r="FM25" s="322"/>
      <c r="FN25" s="408"/>
      <c r="FO25" s="307"/>
      <c r="FP25" s="408"/>
      <c r="FQ25" s="340"/>
      <c r="FR25" s="328">
        <f t="shared" si="9"/>
        <v>0</v>
      </c>
      <c r="FS25" s="328">
        <f t="shared" si="10"/>
        <v>0</v>
      </c>
      <c r="FT25" s="360"/>
    </row>
    <row r="26" spans="1:176" s="14" customFormat="1" outlineLevel="2">
      <c r="A26" s="375" t="s">
        <v>468</v>
      </c>
      <c r="B26" s="389" t="s">
        <v>82</v>
      </c>
      <c r="C26" s="432" t="s">
        <v>72</v>
      </c>
      <c r="D26" s="575" t="s">
        <v>32</v>
      </c>
      <c r="E26" s="284">
        <f>IF(ISBLANK(G26),"",IF($A$6:$A$330=$A26,COUNTIF($A$6:A26,$A26),""))</f>
        <v>21</v>
      </c>
      <c r="F26" s="318">
        <v>1</v>
      </c>
      <c r="G26" s="319">
        <v>4630840310</v>
      </c>
      <c r="H26" s="603" t="s">
        <v>135</v>
      </c>
      <c r="I26" s="619">
        <v>0</v>
      </c>
      <c r="J26" s="619"/>
      <c r="K26" s="321"/>
      <c r="L26" s="619" t="str">
        <f t="shared" si="11"/>
        <v/>
      </c>
      <c r="M26" s="305"/>
      <c r="N26" s="305">
        <f t="shared" si="0"/>
        <v>0</v>
      </c>
      <c r="O26" s="322">
        <v>0</v>
      </c>
      <c r="P26" s="408"/>
      <c r="Q26" s="307"/>
      <c r="R26" s="408"/>
      <c r="S26" s="322">
        <v>0</v>
      </c>
      <c r="T26" s="408"/>
      <c r="U26" s="307"/>
      <c r="V26" s="408"/>
      <c r="W26" s="322">
        <v>0</v>
      </c>
      <c r="X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((Комплекты[Комплект]=ПНЕВМАТИКА!$G$13)*ПНЕВМАТИКА!X$13)+
((Комплекты[Комплект]=ПНЕВМАТИКА!$G$12)*ПНЕВМАТИКА!X$12)+
((Комплекты[Комплект]=ПНЕВМАТИКА!$G$11)*ПНЕВМАТИКА!X$11)))</f>
        <v>0</v>
      </c>
      <c r="Y26" s="307">
        <f>SUMPRODUCT((Комплекты[Пр]=ПНЕВМАТИКА!$F26)*(Комплекты[Обозначение]=ПНЕВМАТИКА!$G26)*Комплекты[Кол-во]*(
((Комплекты[Комплект]=ПНЕВМАТИКА!$G$13)*ПНЕВМАТИКА!Y$13)+
((Комплекты[Комплект]=ПНЕВМАТИКА!$G$12)*ПНЕВМАТИКА!Y$12)+
((Комплекты[Комплект]=ПНЕВМАТИКА!$G$11)*ПНЕВМАТИКА!Y$11)))</f>
        <v>0</v>
      </c>
      <c r="Z26" s="408"/>
      <c r="AA26" s="322">
        <v>0</v>
      </c>
      <c r="AB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((Комплекты[Комплект]=ПНЕВМАТИКА!$G$13)*ПНЕВМАТИКА!AB$13)+
((Комплекты[Комплект]=ПНЕВМАТИКА!$G$12)*ПНЕВМАТИКА!AB$12)+
((Комплекты[Комплект]=ПНЕВМАТИКА!$G$11)*ПНЕВМАТИКА!AB$11)))</f>
        <v>0</v>
      </c>
      <c r="AC26" s="307"/>
      <c r="AD26" s="408"/>
      <c r="AE26" s="322">
        <v>0</v>
      </c>
      <c r="AF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((Комплекты[Комплект]=ПНЕВМАТИКА!$G$13)*ПНЕВМАТИКА!AF$13)+
((Комплекты[Комплект]=ПНЕВМАТИКА!$G$12)*ПНЕВМАТИКА!AF$12)+
((Комплекты[Комплект]=ПНЕВМАТИКА!$G$11)*ПНЕВМАТИКА!AF$11)))</f>
        <v>0</v>
      </c>
      <c r="AG26" s="307">
        <f>SUMPRODUCT((Комплекты[Пр]=ПНЕВМАТИКА!$F26)*(Комплекты[Обозначение]=ПНЕВМАТИКА!$G26)*Комплекты[Кол-во]*(
((Комплекты[Комплект]=ПНЕВМАТИКА!$G$13)*ПНЕВМАТИКА!AG$13)+
((Комплекты[Комплект]=ПНЕВМАТИКА!$G$12)*ПНЕВМАТИКА!AG$12)+
((Комплекты[Комплект]=ПНЕВМАТИКА!$G$11)*ПНЕВМАТИКА!AG$11)))</f>
        <v>0</v>
      </c>
      <c r="AH26" s="408"/>
      <c r="AI26" s="322">
        <v>0</v>
      </c>
      <c r="AJ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((Комплекты[Комплект]=ПНЕВМАТИКА!$G$13)*ПНЕВМАТИКА!AJ$13)+
((Комплекты[Комплект]=ПНЕВМАТИКА!$G$12)*ПНЕВМАТИКА!AJ$12)+
((Комплекты[Комплект]=ПНЕВМАТИКА!$G$11)*ПНЕВМАТИКА!AJ$11)))</f>
        <v>0</v>
      </c>
      <c r="AK26" s="307"/>
      <c r="AL26" s="408"/>
      <c r="AM26" s="322">
        <v>0</v>
      </c>
      <c r="AN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((Комплекты[Комплект]=ПНЕВМАТИКА!$G$13)*ПНЕВМАТИКА!AN$13)+
((Комплекты[Комплект]=ПНЕВМАТИКА!$G$12)*ПНЕВМАТИКА!AN$12)+
((Комплекты[Комплект]=ПНЕВМАТИКА!$G$11)*ПНЕВМАТИКА!AN$11)))</f>
        <v>0</v>
      </c>
      <c r="AO26" s="307"/>
      <c r="AP26" s="408"/>
      <c r="AQ26" s="322">
        <v>0</v>
      </c>
      <c r="AR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((Комплекты[Комплект]=ПНЕВМАТИКА!$G$13)*ПНЕВМАТИКА!AR$13)+
((Комплекты[Комплект]=ПНЕВМАТИКА!$G$12)*ПНЕВМАТИКА!AR$12)+
((Комплекты[Комплект]=ПНЕВМАТИКА!$G$11)*ПНЕВМАТИКА!AR$11)))</f>
        <v>0</v>
      </c>
      <c r="AS26" s="307"/>
      <c r="AT26" s="408"/>
      <c r="AU26" s="322">
        <v>0</v>
      </c>
      <c r="AV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((Комплекты[Комплект]=ПНЕВМАТИКА!$G$13)*ПНЕВМАТИКА!AV$13)+
((Комплекты[Комплект]=ПНЕВМАТИКА!$G$12)*ПНЕВМАТИКА!AV$12)+
((Комплекты[Комплект]=ПНЕВМАТИКА!$G$11)*ПНЕВМАТИКА!AV$11)))</f>
        <v>0</v>
      </c>
      <c r="AW26" s="307"/>
      <c r="AX26" s="408"/>
      <c r="AY26" s="322">
        <v>0</v>
      </c>
      <c r="AZ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((Комплекты[Комплект]=ПНЕВМАТИКА!$G$13)*ПНЕВМАТИКА!AZ$13)+
((Комплекты[Комплект]=ПНЕВМАТИКА!$G$12)*ПНЕВМАТИКА!AZ$12)+
((Комплекты[Комплект]=ПНЕВМАТИКА!$G$11)*ПНЕВМАТИКА!AZ$11)))</f>
        <v>0</v>
      </c>
      <c r="BA26" s="307"/>
      <c r="BB26" s="408"/>
      <c r="BC26" s="322">
        <v>0</v>
      </c>
      <c r="BD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((Комплекты[Комплект]=ПНЕВМАТИКА!$G$13)*ПНЕВМАТИКА!BD$13)+
((Комплекты[Комплект]=ПНЕВМАТИКА!$G$12)*ПНЕВМАТИКА!BD$12)+
((Комплекты[Комплект]=ПНЕВМАТИКА!$G$11)*ПНЕВМАТИКА!BD$11)))</f>
        <v>0</v>
      </c>
      <c r="BE26" s="307"/>
      <c r="BF26" s="408"/>
      <c r="BG26" s="322">
        <v>0</v>
      </c>
      <c r="BH26" s="408">
        <f>SUMPRODUCT((Комплекты[Пр]=ПНЕВМАТИКА!$F26)*(Комплекты[Обозначение]=ПНЕВМАТИКА!$G26)*Комплекты[Кол-во]*(
((Комплекты[Комплект]=ПНЕВМАТИКА!$G$13)*ПНЕВМАТИКА!BH$13)+
((Комплекты[Комплект]=ПНЕВМАТИКА!$G$12)*ПНЕВМАТИКА!BH$12)+
((Комплекты[Комплект]=ПНЕВМАТИКА!$G$11)*ПНЕВМАТИКА!BH$11)))</f>
        <v>0</v>
      </c>
      <c r="BI26" s="307"/>
      <c r="BJ26" s="408"/>
      <c r="BK26" s="340"/>
      <c r="BL26" s="328">
        <f t="shared" si="1"/>
        <v>0</v>
      </c>
      <c r="BM26" s="328">
        <f t="shared" si="2"/>
        <v>0</v>
      </c>
      <c r="BN26" s="324">
        <f t="shared" si="3"/>
        <v>0</v>
      </c>
      <c r="BO26" s="325">
        <f t="shared" si="4"/>
        <v>0</v>
      </c>
      <c r="BP26" s="326">
        <f t="shared" si="5"/>
        <v>0</v>
      </c>
      <c r="BQ26" s="327">
        <f t="shared" si="6"/>
        <v>0</v>
      </c>
      <c r="BR26" s="329"/>
      <c r="BS26" s="329"/>
      <c r="BT26" s="322"/>
      <c r="BU26" s="408"/>
      <c r="BV26" s="307"/>
      <c r="BW26" s="408"/>
      <c r="BX26" s="322"/>
      <c r="BY26" s="408"/>
      <c r="BZ26" s="307"/>
      <c r="CA26" s="408"/>
      <c r="CB26" s="322"/>
      <c r="CC26" s="408"/>
      <c r="CD26" s="307"/>
      <c r="CE26" s="408"/>
      <c r="CF26" s="322"/>
      <c r="CG26" s="408"/>
      <c r="CH26" s="307"/>
      <c r="CI26" s="408"/>
      <c r="CJ26" s="322"/>
      <c r="CK26" s="408"/>
      <c r="CL26" s="307"/>
      <c r="CM26" s="408"/>
      <c r="CN26" s="322"/>
      <c r="CO26" s="408"/>
      <c r="CP26" s="307"/>
      <c r="CQ26" s="408"/>
      <c r="CR26" s="322"/>
      <c r="CS26" s="408"/>
      <c r="CT26" s="307"/>
      <c r="CU26" s="408"/>
      <c r="CV26" s="322"/>
      <c r="CW26" s="408"/>
      <c r="CX26" s="307"/>
      <c r="CY26" s="408"/>
      <c r="CZ26" s="322"/>
      <c r="DA26" s="408"/>
      <c r="DB26" s="307"/>
      <c r="DC26" s="408"/>
      <c r="DD26" s="322"/>
      <c r="DE26" s="408"/>
      <c r="DF26" s="307"/>
      <c r="DG26" s="408"/>
      <c r="DH26" s="322"/>
      <c r="DI26" s="408"/>
      <c r="DJ26" s="307"/>
      <c r="DK26" s="408"/>
      <c r="DL26" s="322"/>
      <c r="DM26" s="408"/>
      <c r="DN26" s="307"/>
      <c r="DO26" s="408"/>
      <c r="DP26" s="340"/>
      <c r="DQ26" s="328">
        <f t="shared" si="7"/>
        <v>0</v>
      </c>
      <c r="DR26" s="328">
        <f t="shared" si="8"/>
        <v>0</v>
      </c>
      <c r="DS26" s="329"/>
      <c r="DT26" s="329"/>
      <c r="DU26" s="322"/>
      <c r="DV26" s="408"/>
      <c r="DW26" s="307"/>
      <c r="DX26" s="408"/>
      <c r="DY26" s="322"/>
      <c r="DZ26" s="408"/>
      <c r="EA26" s="307"/>
      <c r="EB26" s="408"/>
      <c r="EC26" s="322"/>
      <c r="ED26" s="408"/>
      <c r="EE26" s="307"/>
      <c r="EF26" s="408"/>
      <c r="EG26" s="322"/>
      <c r="EH26" s="408"/>
      <c r="EI26" s="307"/>
      <c r="EJ26" s="408"/>
      <c r="EK26" s="322"/>
      <c r="EL26" s="408"/>
      <c r="EM26" s="307"/>
      <c r="EN26" s="408"/>
      <c r="EO26" s="322"/>
      <c r="EP26" s="408"/>
      <c r="EQ26" s="307"/>
      <c r="ER26" s="408"/>
      <c r="ES26" s="322"/>
      <c r="ET26" s="408"/>
      <c r="EU26" s="307"/>
      <c r="EV26" s="408"/>
      <c r="EW26" s="322"/>
      <c r="EX26" s="408"/>
      <c r="EY26" s="307"/>
      <c r="EZ26" s="408"/>
      <c r="FA26" s="322"/>
      <c r="FB26" s="408"/>
      <c r="FC26" s="307"/>
      <c r="FD26" s="408"/>
      <c r="FE26" s="322"/>
      <c r="FF26" s="408"/>
      <c r="FG26" s="307"/>
      <c r="FH26" s="408"/>
      <c r="FI26" s="322"/>
      <c r="FJ26" s="408"/>
      <c r="FK26" s="307"/>
      <c r="FL26" s="408"/>
      <c r="FM26" s="322"/>
      <c r="FN26" s="408"/>
      <c r="FO26" s="307"/>
      <c r="FP26" s="408"/>
      <c r="FQ26" s="340"/>
      <c r="FR26" s="328">
        <f t="shared" si="9"/>
        <v>0</v>
      </c>
      <c r="FS26" s="328">
        <f t="shared" si="10"/>
        <v>0</v>
      </c>
      <c r="FT26" s="360"/>
    </row>
    <row r="27" spans="1:176" s="14" customFormat="1" outlineLevel="2">
      <c r="A27" s="56" t="s">
        <v>468</v>
      </c>
      <c r="B27" s="387"/>
      <c r="C27" s="541"/>
      <c r="D27" s="565"/>
      <c r="E27" s="13" t="str">
        <f>IF(ISBLANK(G27),"",IF($A$6:$A$330=$A27,COUNTIF($A$6:A27,$A27),""))</f>
        <v/>
      </c>
      <c r="F27" s="13"/>
      <c r="G27" s="111"/>
      <c r="H27" s="607" t="s">
        <v>43</v>
      </c>
      <c r="I27" s="617"/>
      <c r="J27" s="617"/>
      <c r="K27" s="113"/>
      <c r="L27" s="617" t="str">
        <f t="shared" si="11"/>
        <v/>
      </c>
      <c r="M27" s="102"/>
      <c r="N27" s="305">
        <f t="shared" si="0"/>
        <v>0</v>
      </c>
      <c r="O27" s="40"/>
      <c r="P27" s="41"/>
      <c r="Q27" s="42"/>
      <c r="R27" s="41"/>
      <c r="S27" s="40"/>
      <c r="T27" s="41"/>
      <c r="U27" s="42"/>
      <c r="V27" s="41"/>
      <c r="W27" s="40"/>
      <c r="X27" s="41"/>
      <c r="Y27" s="42"/>
      <c r="Z27" s="41"/>
      <c r="AA27" s="40"/>
      <c r="AB27" s="41"/>
      <c r="AC27" s="42"/>
      <c r="AD27" s="41"/>
      <c r="AE27" s="40"/>
      <c r="AF27" s="41"/>
      <c r="AG27" s="42"/>
      <c r="AH27" s="41"/>
      <c r="AI27" s="40"/>
      <c r="AJ27" s="41"/>
      <c r="AK27" s="42"/>
      <c r="AL27" s="41"/>
      <c r="AM27" s="40"/>
      <c r="AN27" s="41"/>
      <c r="AO27" s="42"/>
      <c r="AP27" s="41"/>
      <c r="AQ27" s="40"/>
      <c r="AR27" s="41"/>
      <c r="AS27" s="42"/>
      <c r="AT27" s="41"/>
      <c r="AU27" s="40"/>
      <c r="AV27" s="41"/>
      <c r="AW27" s="42"/>
      <c r="AX27" s="41"/>
      <c r="AY27" s="40"/>
      <c r="AZ27" s="41"/>
      <c r="BA27" s="42"/>
      <c r="BB27" s="41"/>
      <c r="BC27" s="40"/>
      <c r="BD27" s="41"/>
      <c r="BE27" s="42"/>
      <c r="BF27" s="41"/>
      <c r="BG27" s="40"/>
      <c r="BH27" s="41"/>
      <c r="BI27" s="42"/>
      <c r="BJ27" s="43"/>
      <c r="BK27" s="341"/>
      <c r="BL27" s="27">
        <f t="shared" si="1"/>
        <v>0</v>
      </c>
      <c r="BM27" s="27">
        <f t="shared" si="2"/>
        <v>0</v>
      </c>
      <c r="BN27" s="28">
        <f t="shared" si="3"/>
        <v>0</v>
      </c>
      <c r="BO27" s="29">
        <f t="shared" si="4"/>
        <v>0</v>
      </c>
      <c r="BP27" s="30">
        <f t="shared" si="5"/>
        <v>0</v>
      </c>
      <c r="BQ27" s="31">
        <f t="shared" si="6"/>
        <v>0</v>
      </c>
      <c r="BR27" s="11"/>
      <c r="BS27" s="329"/>
      <c r="BT27" s="40"/>
      <c r="BU27" s="41"/>
      <c r="BV27" s="42"/>
      <c r="BW27" s="41"/>
      <c r="BX27" s="40"/>
      <c r="BY27" s="41"/>
      <c r="BZ27" s="42"/>
      <c r="CA27" s="41"/>
      <c r="CB27" s="40"/>
      <c r="CC27" s="41"/>
      <c r="CD27" s="42"/>
      <c r="CE27" s="41"/>
      <c r="CF27" s="40"/>
      <c r="CG27" s="41"/>
      <c r="CH27" s="42"/>
      <c r="CI27" s="41"/>
      <c r="CJ27" s="40"/>
      <c r="CK27" s="41"/>
      <c r="CL27" s="42"/>
      <c r="CM27" s="41"/>
      <c r="CN27" s="40"/>
      <c r="CO27" s="41"/>
      <c r="CP27" s="42"/>
      <c r="CQ27" s="41"/>
      <c r="CR27" s="40"/>
      <c r="CS27" s="41"/>
      <c r="CT27" s="42"/>
      <c r="CU27" s="41"/>
      <c r="CV27" s="40"/>
      <c r="CW27" s="41"/>
      <c r="CX27" s="42"/>
      <c r="CY27" s="41"/>
      <c r="CZ27" s="40"/>
      <c r="DA27" s="41"/>
      <c r="DB27" s="42"/>
      <c r="DC27" s="41"/>
      <c r="DD27" s="40"/>
      <c r="DE27" s="41"/>
      <c r="DF27" s="42"/>
      <c r="DG27" s="41"/>
      <c r="DH27" s="40"/>
      <c r="DI27" s="41"/>
      <c r="DJ27" s="42"/>
      <c r="DK27" s="41"/>
      <c r="DL27" s="40"/>
      <c r="DM27" s="41"/>
      <c r="DN27" s="42"/>
      <c r="DO27" s="43"/>
      <c r="DP27" s="341"/>
      <c r="DQ27" s="27">
        <f t="shared" si="7"/>
        <v>0</v>
      </c>
      <c r="DR27" s="27">
        <f t="shared" si="8"/>
        <v>0</v>
      </c>
      <c r="DS27" s="11"/>
      <c r="DT27" s="329"/>
      <c r="DU27" s="40"/>
      <c r="DV27" s="41"/>
      <c r="DW27" s="42"/>
      <c r="DX27" s="41"/>
      <c r="DY27" s="40"/>
      <c r="DZ27" s="41"/>
      <c r="EA27" s="42"/>
      <c r="EB27" s="41"/>
      <c r="EC27" s="40"/>
      <c r="ED27" s="41"/>
      <c r="EE27" s="42"/>
      <c r="EF27" s="41"/>
      <c r="EG27" s="40"/>
      <c r="EH27" s="41"/>
      <c r="EI27" s="42"/>
      <c r="EJ27" s="41"/>
      <c r="EK27" s="40"/>
      <c r="EL27" s="41"/>
      <c r="EM27" s="42"/>
      <c r="EN27" s="41"/>
      <c r="EO27" s="40"/>
      <c r="EP27" s="41"/>
      <c r="EQ27" s="42"/>
      <c r="ER27" s="41"/>
      <c r="ES27" s="40"/>
      <c r="ET27" s="41"/>
      <c r="EU27" s="42"/>
      <c r="EV27" s="41"/>
      <c r="EW27" s="40"/>
      <c r="EX27" s="41"/>
      <c r="EY27" s="42"/>
      <c r="EZ27" s="41"/>
      <c r="FA27" s="40"/>
      <c r="FB27" s="41"/>
      <c r="FC27" s="42"/>
      <c r="FD27" s="41"/>
      <c r="FE27" s="40"/>
      <c r="FF27" s="41"/>
      <c r="FG27" s="42"/>
      <c r="FH27" s="41"/>
      <c r="FI27" s="40"/>
      <c r="FJ27" s="41"/>
      <c r="FK27" s="42"/>
      <c r="FL27" s="41"/>
      <c r="FM27" s="40"/>
      <c r="FN27" s="41"/>
      <c r="FO27" s="42"/>
      <c r="FP27" s="43"/>
      <c r="FQ27" s="341"/>
      <c r="FR27" s="27">
        <f t="shared" si="9"/>
        <v>0</v>
      </c>
      <c r="FS27" s="27">
        <f t="shared" si="10"/>
        <v>0</v>
      </c>
      <c r="FT27" s="360"/>
    </row>
    <row r="28" spans="1:176" s="116" customFormat="1" outlineLevel="1">
      <c r="A28" s="46" t="s">
        <v>468</v>
      </c>
      <c r="B28" s="388"/>
      <c r="C28" s="650"/>
      <c r="D28" s="651"/>
      <c r="E28" s="118" t="str">
        <f>IF(ISBLANK(G28),"",IF($A$6:$A$330=$A28,COUNTIF($A$6:A28,$A28),""))</f>
        <v/>
      </c>
      <c r="F28" s="117"/>
      <c r="G28" s="119"/>
      <c r="H28" s="608"/>
      <c r="I28" s="620"/>
      <c r="J28" s="620"/>
      <c r="K28" s="120"/>
      <c r="L28" s="620" t="str">
        <f t="shared" si="11"/>
        <v/>
      </c>
      <c r="M28" s="102"/>
      <c r="N28" s="305">
        <f t="shared" si="0"/>
        <v>0</v>
      </c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356"/>
      <c r="BL28" s="52">
        <f t="shared" si="1"/>
        <v>0</v>
      </c>
      <c r="BM28" s="52">
        <f t="shared" si="2"/>
        <v>0</v>
      </c>
      <c r="BN28" s="52">
        <f t="shared" si="3"/>
        <v>0</v>
      </c>
      <c r="BO28" s="52">
        <f t="shared" si="4"/>
        <v>0</v>
      </c>
      <c r="BP28" s="52">
        <f t="shared" si="5"/>
        <v>0</v>
      </c>
      <c r="BQ28" s="52">
        <f t="shared" si="6"/>
        <v>0</v>
      </c>
      <c r="BR28" s="51"/>
      <c r="BS28" s="335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356"/>
      <c r="DQ28" s="52">
        <f t="shared" si="7"/>
        <v>0</v>
      </c>
      <c r="DR28" s="52">
        <f t="shared" si="8"/>
        <v>0</v>
      </c>
      <c r="DS28" s="51"/>
      <c r="DT28" s="335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356"/>
      <c r="FR28" s="52">
        <f t="shared" si="9"/>
        <v>0</v>
      </c>
      <c r="FS28" s="52">
        <f t="shared" si="10"/>
        <v>0</v>
      </c>
      <c r="FT28" s="343"/>
    </row>
    <row r="29" spans="1:176" s="14" customFormat="1" outlineLevel="2">
      <c r="A29" s="56" t="s">
        <v>481</v>
      </c>
      <c r="B29" s="387" t="s">
        <v>44</v>
      </c>
      <c r="C29" s="173" t="s">
        <v>31</v>
      </c>
      <c r="D29" s="565" t="s">
        <v>32</v>
      </c>
      <c r="E29" s="10">
        <f>IF(ISBLANK(G29),"",IF($A$6:$A$330=$A29,COUNTIF($A$6:A29,$A29),""))</f>
        <v>1</v>
      </c>
      <c r="F29" s="10">
        <v>1</v>
      </c>
      <c r="G29" s="55">
        <v>4231069000</v>
      </c>
      <c r="H29" s="54" t="s">
        <v>52</v>
      </c>
      <c r="I29" s="617">
        <f>145/НДС_20</f>
        <v>120.83333333333334</v>
      </c>
      <c r="J29" s="617"/>
      <c r="K29" s="113"/>
      <c r="L29" s="617" t="str">
        <f t="shared" si="11"/>
        <v/>
      </c>
      <c r="M29" s="102"/>
      <c r="N29" s="305">
        <f t="shared" si="0"/>
        <v>0</v>
      </c>
      <c r="O29" s="23"/>
      <c r="P29" s="24"/>
      <c r="Q29" s="25"/>
      <c r="R29" s="24"/>
      <c r="S29" s="23"/>
      <c r="T29" s="24"/>
      <c r="U29" s="25"/>
      <c r="V29" s="24"/>
      <c r="W29" s="23"/>
      <c r="X29" s="24"/>
      <c r="Y29" s="25"/>
      <c r="Z29" s="24"/>
      <c r="AA29" s="23"/>
      <c r="AB29" s="24"/>
      <c r="AC29" s="25"/>
      <c r="AD29" s="24"/>
      <c r="AE29" s="23"/>
      <c r="AF29" s="24"/>
      <c r="AG29" s="25">
        <v>0</v>
      </c>
      <c r="AH29" s="24"/>
      <c r="AI29" s="23"/>
      <c r="AJ29" s="24"/>
      <c r="AK29" s="25"/>
      <c r="AL29" s="24"/>
      <c r="AM29" s="23"/>
      <c r="AN29" s="24"/>
      <c r="AO29" s="25"/>
      <c r="AP29" s="24"/>
      <c r="AQ29" s="23"/>
      <c r="AR29" s="24"/>
      <c r="AS29" s="25"/>
      <c r="AT29" s="24"/>
      <c r="AU29" s="23"/>
      <c r="AV29" s="24"/>
      <c r="AW29" s="25"/>
      <c r="AX29" s="24"/>
      <c r="AY29" s="23"/>
      <c r="AZ29" s="24"/>
      <c r="BA29" s="25"/>
      <c r="BB29" s="24"/>
      <c r="BC29" s="23"/>
      <c r="BD29" s="24"/>
      <c r="BE29" s="25"/>
      <c r="BF29" s="24"/>
      <c r="BG29" s="23"/>
      <c r="BH29" s="24"/>
      <c r="BI29" s="25"/>
      <c r="BJ29" s="24"/>
      <c r="BK29" s="340"/>
      <c r="BL29" s="32">
        <f t="shared" si="1"/>
        <v>0</v>
      </c>
      <c r="BM29" s="32">
        <f t="shared" si="2"/>
        <v>0</v>
      </c>
      <c r="BN29" s="28">
        <f t="shared" si="3"/>
        <v>0</v>
      </c>
      <c r="BO29" s="29">
        <f t="shared" si="4"/>
        <v>0</v>
      </c>
      <c r="BP29" s="30">
        <f t="shared" si="5"/>
        <v>0</v>
      </c>
      <c r="BQ29" s="31">
        <f t="shared" si="6"/>
        <v>0</v>
      </c>
      <c r="BR29" s="11"/>
      <c r="BS29" s="329"/>
      <c r="BT29" s="23"/>
      <c r="BU29" s="24"/>
      <c r="BV29" s="25"/>
      <c r="BW29" s="24"/>
      <c r="BX29" s="23"/>
      <c r="BY29" s="24"/>
      <c r="BZ29" s="25"/>
      <c r="CA29" s="24"/>
      <c r="CB29" s="23"/>
      <c r="CC29" s="24"/>
      <c r="CD29" s="25"/>
      <c r="CE29" s="24"/>
      <c r="CF29" s="23"/>
      <c r="CG29" s="24"/>
      <c r="CH29" s="25"/>
      <c r="CI29" s="24"/>
      <c r="CJ29" s="23"/>
      <c r="CK29" s="24"/>
      <c r="CL29" s="25"/>
      <c r="CM29" s="24"/>
      <c r="CN29" s="23"/>
      <c r="CO29" s="24"/>
      <c r="CP29" s="25"/>
      <c r="CQ29" s="24"/>
      <c r="CR29" s="23"/>
      <c r="CS29" s="24"/>
      <c r="CT29" s="25"/>
      <c r="CU29" s="24"/>
      <c r="CV29" s="23"/>
      <c r="CW29" s="24"/>
      <c r="CX29" s="25"/>
      <c r="CY29" s="24"/>
      <c r="CZ29" s="23"/>
      <c r="DA29" s="24"/>
      <c r="DB29" s="25"/>
      <c r="DC29" s="24"/>
      <c r="DD29" s="23"/>
      <c r="DE29" s="24"/>
      <c r="DF29" s="25"/>
      <c r="DG29" s="24"/>
      <c r="DH29" s="23"/>
      <c r="DI29" s="24"/>
      <c r="DJ29" s="25"/>
      <c r="DK29" s="24"/>
      <c r="DL29" s="23"/>
      <c r="DM29" s="24"/>
      <c r="DN29" s="25"/>
      <c r="DO29" s="24"/>
      <c r="DP29" s="340"/>
      <c r="DQ29" s="32">
        <f t="shared" si="7"/>
        <v>0</v>
      </c>
      <c r="DR29" s="32">
        <f t="shared" si="8"/>
        <v>0</v>
      </c>
      <c r="DS29" s="11"/>
      <c r="DT29" s="329"/>
      <c r="DU29" s="23"/>
      <c r="DV29" s="24"/>
      <c r="DW29" s="25"/>
      <c r="DX29" s="24"/>
      <c r="DY29" s="23"/>
      <c r="DZ29" s="24"/>
      <c r="EA29" s="25"/>
      <c r="EB29" s="24"/>
      <c r="EC29" s="23"/>
      <c r="ED29" s="24"/>
      <c r="EE29" s="25"/>
      <c r="EF29" s="24"/>
      <c r="EG29" s="23"/>
      <c r="EH29" s="24"/>
      <c r="EI29" s="25"/>
      <c r="EJ29" s="24"/>
      <c r="EK29" s="23"/>
      <c r="EL29" s="24"/>
      <c r="EM29" s="25"/>
      <c r="EN29" s="24"/>
      <c r="EO29" s="23"/>
      <c r="EP29" s="24"/>
      <c r="EQ29" s="25"/>
      <c r="ER29" s="24"/>
      <c r="ES29" s="23"/>
      <c r="ET29" s="24"/>
      <c r="EU29" s="25"/>
      <c r="EV29" s="24"/>
      <c r="EW29" s="23"/>
      <c r="EX29" s="24"/>
      <c r="EY29" s="25"/>
      <c r="EZ29" s="24"/>
      <c r="FA29" s="23"/>
      <c r="FB29" s="24"/>
      <c r="FC29" s="25"/>
      <c r="FD29" s="24"/>
      <c r="FE29" s="23"/>
      <c r="FF29" s="24"/>
      <c r="FG29" s="25"/>
      <c r="FH29" s="24"/>
      <c r="FI29" s="23"/>
      <c r="FJ29" s="24"/>
      <c r="FK29" s="25"/>
      <c r="FL29" s="24"/>
      <c r="FM29" s="23"/>
      <c r="FN29" s="24"/>
      <c r="FO29" s="25"/>
      <c r="FP29" s="24"/>
      <c r="FQ29" s="340"/>
      <c r="FR29" s="32">
        <f t="shared" si="9"/>
        <v>0</v>
      </c>
      <c r="FS29" s="32">
        <f t="shared" si="10"/>
        <v>0</v>
      </c>
      <c r="FT29" s="360"/>
    </row>
    <row r="30" spans="1:176" s="14" customFormat="1" outlineLevel="2">
      <c r="A30" s="56" t="s">
        <v>481</v>
      </c>
      <c r="B30" s="387" t="s">
        <v>44</v>
      </c>
      <c r="C30" s="173" t="s">
        <v>31</v>
      </c>
      <c r="D30" s="565" t="s">
        <v>32</v>
      </c>
      <c r="E30" s="10">
        <f>IF(ISBLANK(G30),"",IF($A$6:$A$330=$A30,COUNTIF($A$6:A30,$A30),""))</f>
        <v>2</v>
      </c>
      <c r="F30" s="10">
        <v>1</v>
      </c>
      <c r="G30" s="55">
        <v>4231079000</v>
      </c>
      <c r="H30" s="54" t="s">
        <v>53</v>
      </c>
      <c r="I30" s="617">
        <f>153/НДС_20</f>
        <v>127.5</v>
      </c>
      <c r="J30" s="617"/>
      <c r="K30" s="113"/>
      <c r="L30" s="617" t="str">
        <f t="shared" si="11"/>
        <v/>
      </c>
      <c r="M30" s="102"/>
      <c r="N30" s="305">
        <f t="shared" si="0"/>
        <v>0</v>
      </c>
      <c r="O30" s="23"/>
      <c r="P30" s="24"/>
      <c r="Q30" s="25"/>
      <c r="R30" s="24"/>
      <c r="S30" s="23"/>
      <c r="T30" s="24"/>
      <c r="U30" s="25"/>
      <c r="V30" s="24"/>
      <c r="W30" s="23"/>
      <c r="X30" s="24"/>
      <c r="Y30" s="25"/>
      <c r="Z30" s="24"/>
      <c r="AA30" s="23"/>
      <c r="AB30" s="24"/>
      <c r="AC30" s="25">
        <v>0</v>
      </c>
      <c r="AD30" s="24"/>
      <c r="AE30" s="23"/>
      <c r="AF30" s="24"/>
      <c r="AG30" s="25">
        <v>0</v>
      </c>
      <c r="AH30" s="24"/>
      <c r="AI30" s="23"/>
      <c r="AJ30" s="24"/>
      <c r="AK30" s="25"/>
      <c r="AL30" s="24"/>
      <c r="AM30" s="23"/>
      <c r="AN30" s="24"/>
      <c r="AO30" s="25"/>
      <c r="AP30" s="24"/>
      <c r="AQ30" s="23"/>
      <c r="AR30" s="24"/>
      <c r="AS30" s="25"/>
      <c r="AT30" s="24"/>
      <c r="AU30" s="23"/>
      <c r="AV30" s="24"/>
      <c r="AW30" s="25"/>
      <c r="AX30" s="24"/>
      <c r="AY30" s="23"/>
      <c r="AZ30" s="24"/>
      <c r="BA30" s="25"/>
      <c r="BB30" s="24"/>
      <c r="BC30" s="23"/>
      <c r="BD30" s="24"/>
      <c r="BE30" s="25"/>
      <c r="BF30" s="24"/>
      <c r="BG30" s="23"/>
      <c r="BH30" s="24"/>
      <c r="BI30" s="25"/>
      <c r="BJ30" s="24"/>
      <c r="BK30" s="340"/>
      <c r="BL30" s="32">
        <f t="shared" si="1"/>
        <v>0</v>
      </c>
      <c r="BM30" s="32">
        <f t="shared" si="2"/>
        <v>0</v>
      </c>
      <c r="BN30" s="28">
        <f t="shared" si="3"/>
        <v>0</v>
      </c>
      <c r="BO30" s="29">
        <f t="shared" si="4"/>
        <v>0</v>
      </c>
      <c r="BP30" s="30">
        <f t="shared" si="5"/>
        <v>0</v>
      </c>
      <c r="BQ30" s="31">
        <f t="shared" si="6"/>
        <v>0</v>
      </c>
      <c r="BR30" s="11"/>
      <c r="BS30" s="329"/>
      <c r="BT30" s="23"/>
      <c r="BU30" s="24"/>
      <c r="BV30" s="25"/>
      <c r="BW30" s="24"/>
      <c r="BX30" s="23"/>
      <c r="BY30" s="24"/>
      <c r="BZ30" s="25"/>
      <c r="CA30" s="24"/>
      <c r="CB30" s="23"/>
      <c r="CC30" s="24"/>
      <c r="CD30" s="25"/>
      <c r="CE30" s="24"/>
      <c r="CF30" s="23"/>
      <c r="CG30" s="24"/>
      <c r="CH30" s="25"/>
      <c r="CI30" s="24"/>
      <c r="CJ30" s="23"/>
      <c r="CK30" s="24"/>
      <c r="CL30" s="25"/>
      <c r="CM30" s="24"/>
      <c r="CN30" s="23"/>
      <c r="CO30" s="24"/>
      <c r="CP30" s="25"/>
      <c r="CQ30" s="24"/>
      <c r="CR30" s="23"/>
      <c r="CS30" s="24"/>
      <c r="CT30" s="25"/>
      <c r="CU30" s="24"/>
      <c r="CV30" s="23"/>
      <c r="CW30" s="24"/>
      <c r="CX30" s="25"/>
      <c r="CY30" s="24"/>
      <c r="CZ30" s="23"/>
      <c r="DA30" s="24"/>
      <c r="DB30" s="25"/>
      <c r="DC30" s="24"/>
      <c r="DD30" s="23"/>
      <c r="DE30" s="24"/>
      <c r="DF30" s="25"/>
      <c r="DG30" s="24"/>
      <c r="DH30" s="23"/>
      <c r="DI30" s="24"/>
      <c r="DJ30" s="25"/>
      <c r="DK30" s="24"/>
      <c r="DL30" s="23"/>
      <c r="DM30" s="24"/>
      <c r="DN30" s="25"/>
      <c r="DO30" s="24"/>
      <c r="DP30" s="340"/>
      <c r="DQ30" s="32">
        <f t="shared" si="7"/>
        <v>0</v>
      </c>
      <c r="DR30" s="32">
        <f t="shared" si="8"/>
        <v>0</v>
      </c>
      <c r="DS30" s="11"/>
      <c r="DT30" s="329"/>
      <c r="DU30" s="23"/>
      <c r="DV30" s="24"/>
      <c r="DW30" s="25"/>
      <c r="DX30" s="24"/>
      <c r="DY30" s="23"/>
      <c r="DZ30" s="24"/>
      <c r="EA30" s="25"/>
      <c r="EB30" s="24"/>
      <c r="EC30" s="23"/>
      <c r="ED30" s="24"/>
      <c r="EE30" s="25"/>
      <c r="EF30" s="24"/>
      <c r="EG30" s="23"/>
      <c r="EH30" s="24"/>
      <c r="EI30" s="25"/>
      <c r="EJ30" s="24"/>
      <c r="EK30" s="23"/>
      <c r="EL30" s="24"/>
      <c r="EM30" s="25"/>
      <c r="EN30" s="24"/>
      <c r="EO30" s="23"/>
      <c r="EP30" s="24"/>
      <c r="EQ30" s="25"/>
      <c r="ER30" s="24"/>
      <c r="ES30" s="23"/>
      <c r="ET30" s="24"/>
      <c r="EU30" s="25"/>
      <c r="EV30" s="24"/>
      <c r="EW30" s="23"/>
      <c r="EX30" s="24"/>
      <c r="EY30" s="25"/>
      <c r="EZ30" s="24"/>
      <c r="FA30" s="23"/>
      <c r="FB30" s="24"/>
      <c r="FC30" s="25"/>
      <c r="FD30" s="24"/>
      <c r="FE30" s="23"/>
      <c r="FF30" s="24"/>
      <c r="FG30" s="25"/>
      <c r="FH30" s="24"/>
      <c r="FI30" s="23"/>
      <c r="FJ30" s="24"/>
      <c r="FK30" s="25"/>
      <c r="FL30" s="24"/>
      <c r="FM30" s="23"/>
      <c r="FN30" s="24"/>
      <c r="FO30" s="25"/>
      <c r="FP30" s="24"/>
      <c r="FQ30" s="340"/>
      <c r="FR30" s="32">
        <f t="shared" si="9"/>
        <v>0</v>
      </c>
      <c r="FS30" s="32">
        <f t="shared" si="10"/>
        <v>0</v>
      </c>
      <c r="FT30" s="360"/>
    </row>
    <row r="31" spans="1:176" s="14" customFormat="1" outlineLevel="2">
      <c r="A31" s="56" t="s">
        <v>481</v>
      </c>
      <c r="B31" s="387" t="s">
        <v>44</v>
      </c>
      <c r="C31" s="173" t="s">
        <v>31</v>
      </c>
      <c r="D31" s="565" t="s">
        <v>32</v>
      </c>
      <c r="E31" s="10">
        <f>IF(ISBLANK(G31),"",IF($A$6:$A$330=$A31,COUNTIF($A$6:A31,$A31),""))</f>
        <v>3</v>
      </c>
      <c r="F31" s="10">
        <v>1</v>
      </c>
      <c r="G31" s="55">
        <v>9253761210</v>
      </c>
      <c r="H31" s="54" t="s">
        <v>54</v>
      </c>
      <c r="I31" s="617">
        <f>301/НДС_20</f>
        <v>250.83333333333334</v>
      </c>
      <c r="J31" s="617"/>
      <c r="K31" s="113"/>
      <c r="L31" s="617" t="str">
        <f t="shared" si="11"/>
        <v/>
      </c>
      <c r="M31" s="102"/>
      <c r="N31" s="305">
        <f t="shared" si="0"/>
        <v>0</v>
      </c>
      <c r="O31" s="23"/>
      <c r="P31" s="24"/>
      <c r="Q31" s="25"/>
      <c r="R31" s="24"/>
      <c r="S31" s="23"/>
      <c r="T31" s="24"/>
      <c r="U31" s="25"/>
      <c r="V31" s="24"/>
      <c r="W31" s="23"/>
      <c r="X31" s="24"/>
      <c r="Y31" s="25"/>
      <c r="Z31" s="24"/>
      <c r="AA31" s="23"/>
      <c r="AB31" s="24"/>
      <c r="AC31" s="25"/>
      <c r="AD31" s="24"/>
      <c r="AE31" s="23"/>
      <c r="AF31" s="24"/>
      <c r="AG31" s="25">
        <v>0</v>
      </c>
      <c r="AH31" s="24"/>
      <c r="AI31" s="23"/>
      <c r="AJ31" s="24"/>
      <c r="AK31" s="25"/>
      <c r="AL31" s="24"/>
      <c r="AM31" s="23"/>
      <c r="AN31" s="24"/>
      <c r="AO31" s="25"/>
      <c r="AP31" s="24"/>
      <c r="AQ31" s="23"/>
      <c r="AR31" s="24"/>
      <c r="AS31" s="25"/>
      <c r="AT31" s="24"/>
      <c r="AU31" s="23"/>
      <c r="AV31" s="24"/>
      <c r="AW31" s="25"/>
      <c r="AX31" s="24"/>
      <c r="AY31" s="23"/>
      <c r="AZ31" s="24"/>
      <c r="BA31" s="25"/>
      <c r="BB31" s="24"/>
      <c r="BC31" s="23"/>
      <c r="BD31" s="24"/>
      <c r="BE31" s="25"/>
      <c r="BF31" s="24"/>
      <c r="BG31" s="23"/>
      <c r="BH31" s="24"/>
      <c r="BI31" s="25"/>
      <c r="BJ31" s="24"/>
      <c r="BK31" s="340"/>
      <c r="BL31" s="32">
        <f t="shared" si="1"/>
        <v>0</v>
      </c>
      <c r="BM31" s="32">
        <f t="shared" si="2"/>
        <v>0</v>
      </c>
      <c r="BN31" s="28">
        <f t="shared" si="3"/>
        <v>0</v>
      </c>
      <c r="BO31" s="29">
        <f t="shared" si="4"/>
        <v>0</v>
      </c>
      <c r="BP31" s="30">
        <f t="shared" si="5"/>
        <v>0</v>
      </c>
      <c r="BQ31" s="31">
        <f t="shared" si="6"/>
        <v>0</v>
      </c>
      <c r="BR31" s="11"/>
      <c r="BS31" s="329"/>
      <c r="BT31" s="23"/>
      <c r="BU31" s="24"/>
      <c r="BV31" s="25"/>
      <c r="BW31" s="24"/>
      <c r="BX31" s="23"/>
      <c r="BY31" s="24"/>
      <c r="BZ31" s="25"/>
      <c r="CA31" s="24"/>
      <c r="CB31" s="23"/>
      <c r="CC31" s="24"/>
      <c r="CD31" s="25"/>
      <c r="CE31" s="24"/>
      <c r="CF31" s="23"/>
      <c r="CG31" s="24"/>
      <c r="CH31" s="25"/>
      <c r="CI31" s="24"/>
      <c r="CJ31" s="23"/>
      <c r="CK31" s="24"/>
      <c r="CL31" s="25"/>
      <c r="CM31" s="24"/>
      <c r="CN31" s="23"/>
      <c r="CO31" s="24"/>
      <c r="CP31" s="25"/>
      <c r="CQ31" s="24"/>
      <c r="CR31" s="23"/>
      <c r="CS31" s="24"/>
      <c r="CT31" s="25"/>
      <c r="CU31" s="24"/>
      <c r="CV31" s="23"/>
      <c r="CW31" s="24"/>
      <c r="CX31" s="25"/>
      <c r="CY31" s="24"/>
      <c r="CZ31" s="23"/>
      <c r="DA31" s="24"/>
      <c r="DB31" s="25"/>
      <c r="DC31" s="24"/>
      <c r="DD31" s="23"/>
      <c r="DE31" s="24"/>
      <c r="DF31" s="25"/>
      <c r="DG31" s="24"/>
      <c r="DH31" s="23"/>
      <c r="DI31" s="24"/>
      <c r="DJ31" s="25"/>
      <c r="DK31" s="24"/>
      <c r="DL31" s="23"/>
      <c r="DM31" s="24"/>
      <c r="DN31" s="25"/>
      <c r="DO31" s="24"/>
      <c r="DP31" s="340"/>
      <c r="DQ31" s="32">
        <f t="shared" si="7"/>
        <v>0</v>
      </c>
      <c r="DR31" s="32">
        <f t="shared" si="8"/>
        <v>0</v>
      </c>
      <c r="DS31" s="11"/>
      <c r="DT31" s="329"/>
      <c r="DU31" s="23"/>
      <c r="DV31" s="24"/>
      <c r="DW31" s="25"/>
      <c r="DX31" s="24"/>
      <c r="DY31" s="23"/>
      <c r="DZ31" s="24"/>
      <c r="EA31" s="25"/>
      <c r="EB31" s="24"/>
      <c r="EC31" s="23"/>
      <c r="ED31" s="24"/>
      <c r="EE31" s="25"/>
      <c r="EF31" s="24"/>
      <c r="EG31" s="23"/>
      <c r="EH31" s="24"/>
      <c r="EI31" s="25"/>
      <c r="EJ31" s="24"/>
      <c r="EK31" s="23"/>
      <c r="EL31" s="24"/>
      <c r="EM31" s="25"/>
      <c r="EN31" s="24"/>
      <c r="EO31" s="23"/>
      <c r="EP31" s="24"/>
      <c r="EQ31" s="25"/>
      <c r="ER31" s="24"/>
      <c r="ES31" s="23"/>
      <c r="ET31" s="24"/>
      <c r="EU31" s="25"/>
      <c r="EV31" s="24"/>
      <c r="EW31" s="23"/>
      <c r="EX31" s="24"/>
      <c r="EY31" s="25"/>
      <c r="EZ31" s="24"/>
      <c r="FA31" s="23"/>
      <c r="FB31" s="24"/>
      <c r="FC31" s="25"/>
      <c r="FD31" s="24"/>
      <c r="FE31" s="23"/>
      <c r="FF31" s="24"/>
      <c r="FG31" s="25"/>
      <c r="FH31" s="24"/>
      <c r="FI31" s="23"/>
      <c r="FJ31" s="24"/>
      <c r="FK31" s="25"/>
      <c r="FL31" s="24"/>
      <c r="FM31" s="23"/>
      <c r="FN31" s="24"/>
      <c r="FO31" s="25"/>
      <c r="FP31" s="24"/>
      <c r="FQ31" s="340"/>
      <c r="FR31" s="32">
        <f t="shared" si="9"/>
        <v>0</v>
      </c>
      <c r="FS31" s="32">
        <f t="shared" si="10"/>
        <v>0</v>
      </c>
      <c r="FT31" s="360"/>
    </row>
    <row r="32" spans="1:176" s="14" customFormat="1" outlineLevel="2">
      <c r="A32" s="56" t="s">
        <v>481</v>
      </c>
      <c r="B32" s="387" t="s">
        <v>44</v>
      </c>
      <c r="C32" s="173" t="s">
        <v>31</v>
      </c>
      <c r="D32" s="565" t="s">
        <v>32</v>
      </c>
      <c r="E32" s="10">
        <f>IF(ISBLANK(G32),"",IF($A$6:$A$330=$A32,COUNTIF($A$6:A32,$A32),""))</f>
        <v>4</v>
      </c>
      <c r="F32" s="10">
        <v>1</v>
      </c>
      <c r="G32" s="55">
        <v>9253771100</v>
      </c>
      <c r="H32" s="54" t="s">
        <v>55</v>
      </c>
      <c r="I32" s="617">
        <f>305/НДС_20</f>
        <v>254.16666666666669</v>
      </c>
      <c r="J32" s="617"/>
      <c r="K32" s="113"/>
      <c r="L32" s="617" t="str">
        <f t="shared" si="11"/>
        <v/>
      </c>
      <c r="M32" s="102"/>
      <c r="N32" s="305">
        <f t="shared" si="0"/>
        <v>0</v>
      </c>
      <c r="O32" s="23"/>
      <c r="P32" s="24"/>
      <c r="Q32" s="25"/>
      <c r="R32" s="24"/>
      <c r="S32" s="23"/>
      <c r="T32" s="24"/>
      <c r="U32" s="25"/>
      <c r="V32" s="24"/>
      <c r="W32" s="23"/>
      <c r="X32" s="24"/>
      <c r="Y32" s="25"/>
      <c r="Z32" s="24"/>
      <c r="AA32" s="23"/>
      <c r="AB32" s="24"/>
      <c r="AC32" s="25"/>
      <c r="AD32" s="24"/>
      <c r="AE32" s="23"/>
      <c r="AF32" s="24"/>
      <c r="AG32" s="25">
        <v>0</v>
      </c>
      <c r="AH32" s="24"/>
      <c r="AI32" s="23"/>
      <c r="AJ32" s="24"/>
      <c r="AK32" s="25"/>
      <c r="AL32" s="24"/>
      <c r="AM32" s="23"/>
      <c r="AN32" s="24"/>
      <c r="AO32" s="25"/>
      <c r="AP32" s="24"/>
      <c r="AQ32" s="23"/>
      <c r="AR32" s="24"/>
      <c r="AS32" s="25"/>
      <c r="AT32" s="24"/>
      <c r="AU32" s="23"/>
      <c r="AV32" s="24"/>
      <c r="AW32" s="25"/>
      <c r="AX32" s="24"/>
      <c r="AY32" s="23"/>
      <c r="AZ32" s="24"/>
      <c r="BA32" s="25"/>
      <c r="BB32" s="24"/>
      <c r="BC32" s="23"/>
      <c r="BD32" s="24"/>
      <c r="BE32" s="25"/>
      <c r="BF32" s="24"/>
      <c r="BG32" s="23"/>
      <c r="BH32" s="24"/>
      <c r="BI32" s="25"/>
      <c r="BJ32" s="24"/>
      <c r="BK32" s="340"/>
      <c r="BL32" s="32">
        <f t="shared" si="1"/>
        <v>0</v>
      </c>
      <c r="BM32" s="32">
        <f t="shared" si="2"/>
        <v>0</v>
      </c>
      <c r="BN32" s="28">
        <f t="shared" si="3"/>
        <v>0</v>
      </c>
      <c r="BO32" s="29">
        <f t="shared" si="4"/>
        <v>0</v>
      </c>
      <c r="BP32" s="30">
        <f t="shared" si="5"/>
        <v>0</v>
      </c>
      <c r="BQ32" s="31">
        <f t="shared" si="6"/>
        <v>0</v>
      </c>
      <c r="BR32" s="11"/>
      <c r="BS32" s="329"/>
      <c r="BT32" s="23"/>
      <c r="BU32" s="24"/>
      <c r="BV32" s="25"/>
      <c r="BW32" s="24"/>
      <c r="BX32" s="23"/>
      <c r="BY32" s="24"/>
      <c r="BZ32" s="25"/>
      <c r="CA32" s="24"/>
      <c r="CB32" s="23"/>
      <c r="CC32" s="24"/>
      <c r="CD32" s="25"/>
      <c r="CE32" s="24"/>
      <c r="CF32" s="23"/>
      <c r="CG32" s="24"/>
      <c r="CH32" s="25"/>
      <c r="CI32" s="24"/>
      <c r="CJ32" s="23"/>
      <c r="CK32" s="24"/>
      <c r="CL32" s="25"/>
      <c r="CM32" s="24"/>
      <c r="CN32" s="23"/>
      <c r="CO32" s="24"/>
      <c r="CP32" s="25"/>
      <c r="CQ32" s="24"/>
      <c r="CR32" s="23"/>
      <c r="CS32" s="24"/>
      <c r="CT32" s="25"/>
      <c r="CU32" s="24"/>
      <c r="CV32" s="23"/>
      <c r="CW32" s="24"/>
      <c r="CX32" s="25"/>
      <c r="CY32" s="24"/>
      <c r="CZ32" s="23"/>
      <c r="DA32" s="24"/>
      <c r="DB32" s="25"/>
      <c r="DC32" s="24"/>
      <c r="DD32" s="23"/>
      <c r="DE32" s="24"/>
      <c r="DF32" s="25"/>
      <c r="DG32" s="24"/>
      <c r="DH32" s="23"/>
      <c r="DI32" s="24"/>
      <c r="DJ32" s="25"/>
      <c r="DK32" s="24"/>
      <c r="DL32" s="23"/>
      <c r="DM32" s="24"/>
      <c r="DN32" s="25"/>
      <c r="DO32" s="24"/>
      <c r="DP32" s="340"/>
      <c r="DQ32" s="32">
        <f t="shared" si="7"/>
        <v>0</v>
      </c>
      <c r="DR32" s="32">
        <f t="shared" si="8"/>
        <v>0</v>
      </c>
      <c r="DS32" s="11"/>
      <c r="DT32" s="329"/>
      <c r="DU32" s="23"/>
      <c r="DV32" s="24"/>
      <c r="DW32" s="25"/>
      <c r="DX32" s="24"/>
      <c r="DY32" s="23"/>
      <c r="DZ32" s="24"/>
      <c r="EA32" s="25"/>
      <c r="EB32" s="24"/>
      <c r="EC32" s="23"/>
      <c r="ED32" s="24"/>
      <c r="EE32" s="25"/>
      <c r="EF32" s="24"/>
      <c r="EG32" s="23"/>
      <c r="EH32" s="24"/>
      <c r="EI32" s="25"/>
      <c r="EJ32" s="24"/>
      <c r="EK32" s="23"/>
      <c r="EL32" s="24"/>
      <c r="EM32" s="25"/>
      <c r="EN32" s="24"/>
      <c r="EO32" s="23"/>
      <c r="EP32" s="24"/>
      <c r="EQ32" s="25"/>
      <c r="ER32" s="24"/>
      <c r="ES32" s="23"/>
      <c r="ET32" s="24"/>
      <c r="EU32" s="25"/>
      <c r="EV32" s="24"/>
      <c r="EW32" s="23"/>
      <c r="EX32" s="24"/>
      <c r="EY32" s="25"/>
      <c r="EZ32" s="24"/>
      <c r="FA32" s="23"/>
      <c r="FB32" s="24"/>
      <c r="FC32" s="25"/>
      <c r="FD32" s="24"/>
      <c r="FE32" s="23"/>
      <c r="FF32" s="24"/>
      <c r="FG32" s="25"/>
      <c r="FH32" s="24"/>
      <c r="FI32" s="23"/>
      <c r="FJ32" s="24"/>
      <c r="FK32" s="25"/>
      <c r="FL32" s="24"/>
      <c r="FM32" s="23"/>
      <c r="FN32" s="24"/>
      <c r="FO32" s="25"/>
      <c r="FP32" s="24"/>
      <c r="FQ32" s="340"/>
      <c r="FR32" s="32">
        <f t="shared" si="9"/>
        <v>0</v>
      </c>
      <c r="FS32" s="32">
        <f t="shared" si="10"/>
        <v>0</v>
      </c>
      <c r="FT32" s="360"/>
    </row>
    <row r="33" spans="1:176" s="14" customFormat="1" outlineLevel="2">
      <c r="A33" s="375" t="s">
        <v>481</v>
      </c>
      <c r="B33" s="389" t="s">
        <v>44</v>
      </c>
      <c r="C33" s="311" t="s">
        <v>72</v>
      </c>
      <c r="D33" s="575" t="s">
        <v>32</v>
      </c>
      <c r="E33" s="284">
        <f>IF(ISBLANK(G33),"",IF($A$6:$A$330=$A33,COUNTIF($A$6:A33,$A33),""))</f>
        <v>5</v>
      </c>
      <c r="F33" s="284">
        <v>2</v>
      </c>
      <c r="G33" s="304">
        <v>4757145000</v>
      </c>
      <c r="H33" s="602" t="s">
        <v>94</v>
      </c>
      <c r="I33" s="616">
        <v>1670.6069958847738</v>
      </c>
      <c r="J33" s="616"/>
      <c r="K33" s="333"/>
      <c r="L33" s="616"/>
      <c r="M33" s="305"/>
      <c r="N33" s="305">
        <f t="shared" si="0"/>
        <v>0</v>
      </c>
      <c r="O33" s="322"/>
      <c r="P33" s="408"/>
      <c r="Q33" s="307"/>
      <c r="R33" s="408"/>
      <c r="S33" s="322"/>
      <c r="T33" s="408"/>
      <c r="U33" s="307"/>
      <c r="V33" s="408"/>
      <c r="W33" s="322"/>
      <c r="X33" s="408"/>
      <c r="Y33" s="307"/>
      <c r="Z33" s="408"/>
      <c r="AA33" s="322"/>
      <c r="AB33" s="408"/>
      <c r="AC33" s="307"/>
      <c r="AD33" s="408"/>
      <c r="AE33" s="322"/>
      <c r="AF33" s="408"/>
      <c r="AG33" s="25">
        <v>0</v>
      </c>
      <c r="AH33" s="408"/>
      <c r="AI33" s="322"/>
      <c r="AJ33" s="408"/>
      <c r="AK33" s="307"/>
      <c r="AL33" s="408"/>
      <c r="AM33" s="322"/>
      <c r="AN33" s="408"/>
      <c r="AO33" s="307"/>
      <c r="AP33" s="408"/>
      <c r="AQ33" s="322"/>
      <c r="AR33" s="408"/>
      <c r="AS33" s="307"/>
      <c r="AT33" s="408"/>
      <c r="AU33" s="322"/>
      <c r="AV33" s="408"/>
      <c r="AW33" s="307"/>
      <c r="AX33" s="408"/>
      <c r="AY33" s="322"/>
      <c r="AZ33" s="408"/>
      <c r="BA33" s="307"/>
      <c r="BB33" s="408"/>
      <c r="BC33" s="322"/>
      <c r="BD33" s="408"/>
      <c r="BE33" s="307"/>
      <c r="BF33" s="408"/>
      <c r="BG33" s="322"/>
      <c r="BH33" s="408"/>
      <c r="BI33" s="307"/>
      <c r="BJ33" s="408"/>
      <c r="BK33" s="340"/>
      <c r="BL33" s="328">
        <f t="shared" si="1"/>
        <v>0</v>
      </c>
      <c r="BM33" s="328">
        <f t="shared" si="2"/>
        <v>0</v>
      </c>
      <c r="BN33" s="324">
        <f t="shared" si="3"/>
        <v>0</v>
      </c>
      <c r="BO33" s="325">
        <f t="shared" si="4"/>
        <v>0</v>
      </c>
      <c r="BP33" s="326">
        <f t="shared" si="5"/>
        <v>0</v>
      </c>
      <c r="BQ33" s="327">
        <f t="shared" si="6"/>
        <v>0</v>
      </c>
      <c r="BR33" s="329"/>
      <c r="BS33" s="329"/>
      <c r="BT33" s="322"/>
      <c r="BU33" s="408"/>
      <c r="BV33" s="307"/>
      <c r="BW33" s="408"/>
      <c r="BX33" s="322"/>
      <c r="BY33" s="408"/>
      <c r="BZ33" s="307"/>
      <c r="CA33" s="408"/>
      <c r="CB33" s="322"/>
      <c r="CC33" s="408"/>
      <c r="CD33" s="307"/>
      <c r="CE33" s="408"/>
      <c r="CF33" s="322"/>
      <c r="CG33" s="408"/>
      <c r="CH33" s="307"/>
      <c r="CI33" s="408"/>
      <c r="CJ33" s="322"/>
      <c r="CK33" s="408"/>
      <c r="CL33" s="307"/>
      <c r="CM33" s="408"/>
      <c r="CN33" s="322"/>
      <c r="CO33" s="408"/>
      <c r="CP33" s="307"/>
      <c r="CQ33" s="408"/>
      <c r="CR33" s="322"/>
      <c r="CS33" s="408"/>
      <c r="CT33" s="307"/>
      <c r="CU33" s="408"/>
      <c r="CV33" s="322"/>
      <c r="CW33" s="408"/>
      <c r="CX33" s="307"/>
      <c r="CY33" s="408"/>
      <c r="CZ33" s="322"/>
      <c r="DA33" s="408"/>
      <c r="DB33" s="307"/>
      <c r="DC33" s="408"/>
      <c r="DD33" s="322"/>
      <c r="DE33" s="408"/>
      <c r="DF33" s="307"/>
      <c r="DG33" s="408"/>
      <c r="DH33" s="322"/>
      <c r="DI33" s="408"/>
      <c r="DJ33" s="307"/>
      <c r="DK33" s="408"/>
      <c r="DL33" s="322"/>
      <c r="DM33" s="408"/>
      <c r="DN33" s="307"/>
      <c r="DO33" s="408"/>
      <c r="DP33" s="340"/>
      <c r="DQ33" s="328"/>
      <c r="DR33" s="328"/>
      <c r="DS33" s="329"/>
      <c r="DT33" s="329"/>
      <c r="DU33" s="322"/>
      <c r="DV33" s="408"/>
      <c r="DW33" s="307"/>
      <c r="DX33" s="408"/>
      <c r="DY33" s="322"/>
      <c r="DZ33" s="408"/>
      <c r="EA33" s="307"/>
      <c r="EB33" s="408"/>
      <c r="EC33" s="322"/>
      <c r="ED33" s="408"/>
      <c r="EE33" s="307"/>
      <c r="EF33" s="408"/>
      <c r="EG33" s="322"/>
      <c r="EH33" s="408"/>
      <c r="EI33" s="307"/>
      <c r="EJ33" s="408"/>
      <c r="EK33" s="322"/>
      <c r="EL33" s="408"/>
      <c r="EM33" s="307"/>
      <c r="EN33" s="408"/>
      <c r="EO33" s="322"/>
      <c r="EP33" s="408"/>
      <c r="EQ33" s="307"/>
      <c r="ER33" s="408"/>
      <c r="ES33" s="322"/>
      <c r="ET33" s="408"/>
      <c r="EU33" s="307"/>
      <c r="EV33" s="408"/>
      <c r="EW33" s="322"/>
      <c r="EX33" s="408"/>
      <c r="EY33" s="307"/>
      <c r="EZ33" s="408"/>
      <c r="FA33" s="322"/>
      <c r="FB33" s="408"/>
      <c r="FC33" s="307"/>
      <c r="FD33" s="408"/>
      <c r="FE33" s="322"/>
      <c r="FF33" s="408"/>
      <c r="FG33" s="307"/>
      <c r="FH33" s="408"/>
      <c r="FI33" s="322"/>
      <c r="FJ33" s="408"/>
      <c r="FK33" s="307"/>
      <c r="FL33" s="408"/>
      <c r="FM33" s="322"/>
      <c r="FN33" s="408"/>
      <c r="FO33" s="307"/>
      <c r="FP33" s="408"/>
      <c r="FQ33" s="340"/>
      <c r="FR33" s="328"/>
      <c r="FS33" s="328"/>
      <c r="FT33" s="360"/>
    </row>
    <row r="34" spans="1:176" s="14" customFormat="1" outlineLevel="2">
      <c r="A34" s="413" t="s">
        <v>481</v>
      </c>
      <c r="B34" s="444" t="s">
        <v>44</v>
      </c>
      <c r="C34" s="592" t="s">
        <v>72</v>
      </c>
      <c r="D34" s="580" t="s">
        <v>32</v>
      </c>
      <c r="E34" s="414">
        <f>IF(ISBLANK(G34),"",IF($A$6:$A$330=$A34,COUNTIF($A$6:A34,$A34),""))</f>
        <v>6</v>
      </c>
      <c r="F34" s="284">
        <v>2</v>
      </c>
      <c r="G34" s="304">
        <v>4630320200</v>
      </c>
      <c r="H34" s="602" t="s">
        <v>80</v>
      </c>
      <c r="I34" s="616">
        <f>J34/ЮАНЬ_2025_08_29</f>
        <v>819.67213114754111</v>
      </c>
      <c r="J34" s="616">
        <f>11250/НДС</f>
        <v>9221.3114754098369</v>
      </c>
      <c r="K34" s="333" t="s">
        <v>95</v>
      </c>
      <c r="L34" s="616">
        <f t="shared" ref="L34:L35" si="12">IF(K34="RUB",J34/ЮАНЬ,IF(K34="EUR",J34*ЕВРО/ЮАНЬ,""))</f>
        <v>819.67213114754111</v>
      </c>
      <c r="M34" s="305"/>
      <c r="N34" s="305">
        <f t="shared" si="0"/>
        <v>2</v>
      </c>
      <c r="O34" s="322"/>
      <c r="P34" s="408"/>
      <c r="Q34" s="307"/>
      <c r="R34" s="408"/>
      <c r="S34" s="322"/>
      <c r="T34" s="408"/>
      <c r="U34" s="307"/>
      <c r="V34" s="408"/>
      <c r="W34" s="322"/>
      <c r="X34" s="408"/>
      <c r="Y34" s="307"/>
      <c r="Z34" s="408"/>
      <c r="AA34" s="322"/>
      <c r="AB34" s="408"/>
      <c r="AC34" s="307"/>
      <c r="AD34" s="408"/>
      <c r="AE34" s="322"/>
      <c r="AF34" s="408"/>
      <c r="AG34" s="307"/>
      <c r="AH34" s="408"/>
      <c r="AI34" s="322"/>
      <c r="AJ34" s="408">
        <f>2</f>
        <v>2</v>
      </c>
      <c r="AK34" s="307"/>
      <c r="AL34" s="408"/>
      <c r="AM34" s="322"/>
      <c r="AN34" s="408"/>
      <c r="AO34" s="307"/>
      <c r="AP34" s="408"/>
      <c r="AQ34" s="322"/>
      <c r="AR34" s="408"/>
      <c r="AS34" s="307"/>
      <c r="AT34" s="408"/>
      <c r="AU34" s="322"/>
      <c r="AV34" s="408"/>
      <c r="AW34" s="307"/>
      <c r="AX34" s="408"/>
      <c r="AY34" s="322"/>
      <c r="AZ34" s="408"/>
      <c r="BA34" s="307"/>
      <c r="BB34" s="408"/>
      <c r="BC34" s="322"/>
      <c r="BD34" s="408"/>
      <c r="BE34" s="307"/>
      <c r="BF34" s="408"/>
      <c r="BG34" s="322"/>
      <c r="BH34" s="408"/>
      <c r="BI34" s="307"/>
      <c r="BJ34" s="408"/>
      <c r="BK34" s="340"/>
      <c r="BL34" s="328">
        <f t="shared" si="1"/>
        <v>0</v>
      </c>
      <c r="BM34" s="328">
        <f t="shared" si="2"/>
        <v>0</v>
      </c>
      <c r="BN34" s="324">
        <f t="shared" si="3"/>
        <v>2</v>
      </c>
      <c r="BO34" s="325">
        <f t="shared" si="4"/>
        <v>1639.3442622950822</v>
      </c>
      <c r="BP34" s="326">
        <f t="shared" si="5"/>
        <v>0</v>
      </c>
      <c r="BQ34" s="327">
        <f t="shared" si="6"/>
        <v>0</v>
      </c>
      <c r="BR34" s="329"/>
      <c r="BS34" s="329"/>
      <c r="BT34" s="322"/>
      <c r="BU34" s="408"/>
      <c r="BV34" s="307"/>
      <c r="BW34" s="408"/>
      <c r="BX34" s="322"/>
      <c r="BY34" s="408"/>
      <c r="BZ34" s="307"/>
      <c r="CA34" s="408"/>
      <c r="CB34" s="322"/>
      <c r="CC34" s="408"/>
      <c r="CD34" s="307"/>
      <c r="CE34" s="408"/>
      <c r="CF34" s="322"/>
      <c r="CG34" s="408"/>
      <c r="CH34" s="307"/>
      <c r="CI34" s="408"/>
      <c r="CJ34" s="322"/>
      <c r="CK34" s="408"/>
      <c r="CL34" s="307"/>
      <c r="CM34" s="408"/>
      <c r="CN34" s="322"/>
      <c r="CO34" s="408"/>
      <c r="CP34" s="307"/>
      <c r="CQ34" s="408"/>
      <c r="CR34" s="322"/>
      <c r="CS34" s="408"/>
      <c r="CT34" s="307"/>
      <c r="CU34" s="408"/>
      <c r="CV34" s="322"/>
      <c r="CW34" s="408"/>
      <c r="CX34" s="307"/>
      <c r="CY34" s="408"/>
      <c r="CZ34" s="322"/>
      <c r="DA34" s="408"/>
      <c r="DB34" s="307"/>
      <c r="DC34" s="408"/>
      <c r="DD34" s="322"/>
      <c r="DE34" s="408"/>
      <c r="DF34" s="307"/>
      <c r="DG34" s="408"/>
      <c r="DH34" s="322"/>
      <c r="DI34" s="408"/>
      <c r="DJ34" s="307"/>
      <c r="DK34" s="408"/>
      <c r="DL34" s="322"/>
      <c r="DM34" s="408"/>
      <c r="DN34" s="307"/>
      <c r="DO34" s="408"/>
      <c r="DP34" s="340"/>
      <c r="DQ34" s="328"/>
      <c r="DR34" s="328"/>
      <c r="DS34" s="329"/>
      <c r="DT34" s="329"/>
      <c r="DU34" s="322"/>
      <c r="DV34" s="408"/>
      <c r="DW34" s="307"/>
      <c r="DX34" s="408"/>
      <c r="DY34" s="322"/>
      <c r="DZ34" s="408"/>
      <c r="EA34" s="307"/>
      <c r="EB34" s="408"/>
      <c r="EC34" s="322"/>
      <c r="ED34" s="408"/>
      <c r="EE34" s="307"/>
      <c r="EF34" s="408"/>
      <c r="EG34" s="322"/>
      <c r="EH34" s="408"/>
      <c r="EI34" s="307"/>
      <c r="EJ34" s="408"/>
      <c r="EK34" s="322"/>
      <c r="EL34" s="408"/>
      <c r="EM34" s="307"/>
      <c r="EN34" s="408"/>
      <c r="EO34" s="322"/>
      <c r="EP34" s="408"/>
      <c r="EQ34" s="307"/>
      <c r="ER34" s="408"/>
      <c r="ES34" s="322"/>
      <c r="ET34" s="408"/>
      <c r="EU34" s="307"/>
      <c r="EV34" s="408"/>
      <c r="EW34" s="322"/>
      <c r="EX34" s="408"/>
      <c r="EY34" s="307"/>
      <c r="EZ34" s="408"/>
      <c r="FA34" s="322"/>
      <c r="FB34" s="408"/>
      <c r="FC34" s="307"/>
      <c r="FD34" s="408"/>
      <c r="FE34" s="322"/>
      <c r="FF34" s="408"/>
      <c r="FG34" s="307"/>
      <c r="FH34" s="408"/>
      <c r="FI34" s="322"/>
      <c r="FJ34" s="408"/>
      <c r="FK34" s="307"/>
      <c r="FL34" s="408"/>
      <c r="FM34" s="322"/>
      <c r="FN34" s="408"/>
      <c r="FO34" s="307"/>
      <c r="FP34" s="408"/>
      <c r="FQ34" s="340"/>
      <c r="FR34" s="328"/>
      <c r="FS34" s="328"/>
      <c r="FT34" s="360"/>
    </row>
    <row r="35" spans="1:176" s="14" customFormat="1" outlineLevel="2">
      <c r="A35" s="413" t="s">
        <v>481</v>
      </c>
      <c r="B35" s="444" t="s">
        <v>44</v>
      </c>
      <c r="C35" s="592" t="s">
        <v>72</v>
      </c>
      <c r="D35" s="580" t="s">
        <v>32</v>
      </c>
      <c r="E35" s="414">
        <f>IF(ISBLANK(G35),"",IF($A$6:$A$330=$A35,COUNTIF($A$6:A35,$A35),""))</f>
        <v>7</v>
      </c>
      <c r="F35" s="284">
        <v>2</v>
      </c>
      <c r="G35" s="304">
        <v>4640061000</v>
      </c>
      <c r="H35" s="602" t="s">
        <v>93</v>
      </c>
      <c r="I35" s="623">
        <f>J35/ЮАНЬ_2025_08_29</f>
        <v>786.15664845173046</v>
      </c>
      <c r="J35" s="663">
        <f>10790/НДС</f>
        <v>8844.2622950819677</v>
      </c>
      <c r="K35" s="465" t="s">
        <v>95</v>
      </c>
      <c r="L35" s="616">
        <f t="shared" si="12"/>
        <v>786.15664845173046</v>
      </c>
      <c r="M35" s="305"/>
      <c r="N35" s="305">
        <f t="shared" si="0"/>
        <v>2</v>
      </c>
      <c r="O35" s="322"/>
      <c r="P35" s="408"/>
      <c r="Q35" s="307"/>
      <c r="R35" s="408"/>
      <c r="S35" s="322"/>
      <c r="T35" s="408"/>
      <c r="U35" s="307"/>
      <c r="V35" s="408"/>
      <c r="W35" s="322"/>
      <c r="X35" s="408"/>
      <c r="Y35" s="307"/>
      <c r="Z35" s="408"/>
      <c r="AA35" s="322"/>
      <c r="AB35" s="408"/>
      <c r="AC35" s="307"/>
      <c r="AD35" s="408"/>
      <c r="AE35" s="322"/>
      <c r="AF35" s="408"/>
      <c r="AG35" s="25">
        <v>0</v>
      </c>
      <c r="AH35" s="408"/>
      <c r="AI35" s="322"/>
      <c r="AJ35" s="408">
        <f>2</f>
        <v>2</v>
      </c>
      <c r="AK35" s="307"/>
      <c r="AL35" s="408"/>
      <c r="AM35" s="322"/>
      <c r="AN35" s="408"/>
      <c r="AO35" s="307"/>
      <c r="AP35" s="408"/>
      <c r="AQ35" s="322"/>
      <c r="AR35" s="408"/>
      <c r="AS35" s="307"/>
      <c r="AT35" s="408"/>
      <c r="AU35" s="322"/>
      <c r="AV35" s="408"/>
      <c r="AW35" s="307"/>
      <c r="AX35" s="408"/>
      <c r="AY35" s="322"/>
      <c r="AZ35" s="408"/>
      <c r="BA35" s="307"/>
      <c r="BB35" s="408"/>
      <c r="BC35" s="322"/>
      <c r="BD35" s="408"/>
      <c r="BE35" s="307"/>
      <c r="BF35" s="408"/>
      <c r="BG35" s="322"/>
      <c r="BH35" s="408"/>
      <c r="BI35" s="307"/>
      <c r="BJ35" s="408"/>
      <c r="BK35" s="340"/>
      <c r="BL35" s="328">
        <f t="shared" si="1"/>
        <v>0</v>
      </c>
      <c r="BM35" s="328">
        <f t="shared" si="2"/>
        <v>0</v>
      </c>
      <c r="BN35" s="324">
        <f t="shared" si="3"/>
        <v>2</v>
      </c>
      <c r="BO35" s="325">
        <f t="shared" si="4"/>
        <v>1572.3132969034609</v>
      </c>
      <c r="BP35" s="326">
        <f t="shared" si="5"/>
        <v>0</v>
      </c>
      <c r="BQ35" s="327">
        <f t="shared" si="6"/>
        <v>0</v>
      </c>
      <c r="BR35" s="329"/>
      <c r="BS35" s="329"/>
      <c r="BT35" s="322"/>
      <c r="BU35" s="408"/>
      <c r="BV35" s="307"/>
      <c r="BW35" s="408"/>
      <c r="BX35" s="322"/>
      <c r="BY35" s="408"/>
      <c r="BZ35" s="307"/>
      <c r="CA35" s="408"/>
      <c r="CB35" s="322"/>
      <c r="CC35" s="408"/>
      <c r="CD35" s="307"/>
      <c r="CE35" s="408"/>
      <c r="CF35" s="322"/>
      <c r="CG35" s="408"/>
      <c r="CH35" s="307"/>
      <c r="CI35" s="408"/>
      <c r="CJ35" s="322"/>
      <c r="CK35" s="408"/>
      <c r="CL35" s="307"/>
      <c r="CM35" s="408"/>
      <c r="CN35" s="322"/>
      <c r="CO35" s="408"/>
      <c r="CP35" s="307"/>
      <c r="CQ35" s="408"/>
      <c r="CR35" s="322"/>
      <c r="CS35" s="408"/>
      <c r="CT35" s="307"/>
      <c r="CU35" s="408"/>
      <c r="CV35" s="322"/>
      <c r="CW35" s="408"/>
      <c r="CX35" s="307"/>
      <c r="CY35" s="408"/>
      <c r="CZ35" s="322"/>
      <c r="DA35" s="408"/>
      <c r="DB35" s="307"/>
      <c r="DC35" s="408"/>
      <c r="DD35" s="322"/>
      <c r="DE35" s="408"/>
      <c r="DF35" s="307"/>
      <c r="DG35" s="408"/>
      <c r="DH35" s="322"/>
      <c r="DI35" s="408"/>
      <c r="DJ35" s="307"/>
      <c r="DK35" s="408"/>
      <c r="DL35" s="322"/>
      <c r="DM35" s="408"/>
      <c r="DN35" s="307"/>
      <c r="DO35" s="408"/>
      <c r="DP35" s="340"/>
      <c r="DQ35" s="328"/>
      <c r="DR35" s="328"/>
      <c r="DS35" s="329"/>
      <c r="DT35" s="329"/>
      <c r="DU35" s="322"/>
      <c r="DV35" s="408"/>
      <c r="DW35" s="307"/>
      <c r="DX35" s="408"/>
      <c r="DY35" s="322"/>
      <c r="DZ35" s="408"/>
      <c r="EA35" s="307"/>
      <c r="EB35" s="408"/>
      <c r="EC35" s="322"/>
      <c r="ED35" s="408"/>
      <c r="EE35" s="307"/>
      <c r="EF35" s="408"/>
      <c r="EG35" s="322"/>
      <c r="EH35" s="408"/>
      <c r="EI35" s="307"/>
      <c r="EJ35" s="408"/>
      <c r="EK35" s="322"/>
      <c r="EL35" s="408"/>
      <c r="EM35" s="307"/>
      <c r="EN35" s="408"/>
      <c r="EO35" s="322"/>
      <c r="EP35" s="408"/>
      <c r="EQ35" s="307"/>
      <c r="ER35" s="408"/>
      <c r="ES35" s="322"/>
      <c r="ET35" s="408"/>
      <c r="EU35" s="307"/>
      <c r="EV35" s="408"/>
      <c r="EW35" s="322"/>
      <c r="EX35" s="408"/>
      <c r="EY35" s="307"/>
      <c r="EZ35" s="408"/>
      <c r="FA35" s="322"/>
      <c r="FB35" s="408"/>
      <c r="FC35" s="307"/>
      <c r="FD35" s="408"/>
      <c r="FE35" s="322"/>
      <c r="FF35" s="408"/>
      <c r="FG35" s="307"/>
      <c r="FH35" s="408"/>
      <c r="FI35" s="322"/>
      <c r="FJ35" s="408"/>
      <c r="FK35" s="307"/>
      <c r="FL35" s="408"/>
      <c r="FM35" s="322"/>
      <c r="FN35" s="408"/>
      <c r="FO35" s="307"/>
      <c r="FP35" s="408"/>
      <c r="FQ35" s="340"/>
      <c r="FR35" s="328"/>
      <c r="FS35" s="328"/>
      <c r="FT35" s="360"/>
    </row>
    <row r="36" spans="1:176" s="14" customFormat="1" outlineLevel="2">
      <c r="A36" s="411" t="s">
        <v>481</v>
      </c>
      <c r="B36" s="448" t="s">
        <v>44</v>
      </c>
      <c r="C36" s="594" t="s">
        <v>72</v>
      </c>
      <c r="D36" s="589" t="s">
        <v>32</v>
      </c>
      <c r="E36" s="412">
        <f>IF(ISBLANK(G36),"",IF($A$6:$A$330=$A36,COUNTIF($A$6:A36,$A36),""))</f>
        <v>8</v>
      </c>
      <c r="F36" s="10">
        <v>2</v>
      </c>
      <c r="G36" s="55">
        <v>9630010510</v>
      </c>
      <c r="H36" s="54" t="s">
        <v>91</v>
      </c>
      <c r="I36" s="663">
        <f>J36/ЮАНЬ_2025_08_29</f>
        <v>392.21639344262292</v>
      </c>
      <c r="J36" s="663">
        <f>5383.17/НДС</f>
        <v>4412.4344262295081</v>
      </c>
      <c r="K36" s="113" t="s">
        <v>95</v>
      </c>
      <c r="L36" s="617">
        <f t="shared" ref="L36:L47" si="13">IF(K36="RUB",J36/ЮАНЬ,IF(K36="EUR",J36*ЕВРО/ЮАНЬ,""))</f>
        <v>392.21639344262292</v>
      </c>
      <c r="M36" s="102"/>
      <c r="N36" s="305">
        <f t="shared" si="0"/>
        <v>2</v>
      </c>
      <c r="O36" s="23"/>
      <c r="P36" s="24"/>
      <c r="Q36" s="25"/>
      <c r="R36" s="24"/>
      <c r="S36" s="23"/>
      <c r="T36" s="24"/>
      <c r="U36" s="25"/>
      <c r="V36" s="24"/>
      <c r="W36" s="23"/>
      <c r="X36" s="24"/>
      <c r="Y36" s="25"/>
      <c r="Z36" s="434"/>
      <c r="AA36" s="23"/>
      <c r="AB36" s="24"/>
      <c r="AC36" s="25"/>
      <c r="AD36" s="24"/>
      <c r="AE36" s="23"/>
      <c r="AF36" s="24"/>
      <c r="AG36" s="25">
        <v>0</v>
      </c>
      <c r="AH36" s="24"/>
      <c r="AI36" s="23"/>
      <c r="AJ36" s="408">
        <f>2</f>
        <v>2</v>
      </c>
      <c r="AK36" s="25"/>
      <c r="AL36" s="24"/>
      <c r="AM36" s="23"/>
      <c r="AN36" s="24"/>
      <c r="AO36" s="25"/>
      <c r="AP36" s="24"/>
      <c r="AQ36" s="23"/>
      <c r="AR36" s="24"/>
      <c r="AS36" s="25"/>
      <c r="AT36" s="24"/>
      <c r="AU36" s="23"/>
      <c r="AV36" s="24"/>
      <c r="AW36" s="25"/>
      <c r="AX36" s="24"/>
      <c r="AY36" s="23"/>
      <c r="AZ36" s="24"/>
      <c r="BA36" s="25"/>
      <c r="BB36" s="24"/>
      <c r="BC36" s="23"/>
      <c r="BD36" s="24"/>
      <c r="BE36" s="25"/>
      <c r="BF36" s="24"/>
      <c r="BG36" s="23"/>
      <c r="BH36" s="24"/>
      <c r="BI36" s="25"/>
      <c r="BJ36" s="24"/>
      <c r="BK36" s="340"/>
      <c r="BL36" s="32">
        <f t="shared" si="1"/>
        <v>0</v>
      </c>
      <c r="BM36" s="32">
        <f t="shared" si="2"/>
        <v>0</v>
      </c>
      <c r="BN36" s="28">
        <f t="shared" si="3"/>
        <v>2</v>
      </c>
      <c r="BO36" s="29">
        <f t="shared" si="4"/>
        <v>784.43278688524583</v>
      </c>
      <c r="BP36" s="30">
        <f t="shared" si="5"/>
        <v>0</v>
      </c>
      <c r="BQ36" s="31">
        <f t="shared" si="6"/>
        <v>0</v>
      </c>
      <c r="BR36" s="11"/>
      <c r="BS36" s="329"/>
      <c r="BT36" s="23"/>
      <c r="BU36" s="24"/>
      <c r="BV36" s="25"/>
      <c r="BW36" s="24"/>
      <c r="BX36" s="23"/>
      <c r="BY36" s="24"/>
      <c r="BZ36" s="25"/>
      <c r="CA36" s="24"/>
      <c r="CB36" s="23"/>
      <c r="CC36" s="24"/>
      <c r="CD36" s="25"/>
      <c r="CE36" s="434"/>
      <c r="CF36" s="23"/>
      <c r="CG36" s="24"/>
      <c r="CH36" s="25"/>
      <c r="CI36" s="24"/>
      <c r="CJ36" s="23"/>
      <c r="CK36" s="24"/>
      <c r="CL36" s="25"/>
      <c r="CM36" s="24"/>
      <c r="CN36" s="23"/>
      <c r="CO36" s="24"/>
      <c r="CP36" s="25"/>
      <c r="CQ36" s="24"/>
      <c r="CR36" s="23"/>
      <c r="CS36" s="24"/>
      <c r="CT36" s="25"/>
      <c r="CU36" s="24"/>
      <c r="CV36" s="23"/>
      <c r="CW36" s="24"/>
      <c r="CX36" s="25"/>
      <c r="CY36" s="24"/>
      <c r="CZ36" s="23"/>
      <c r="DA36" s="24"/>
      <c r="DB36" s="25"/>
      <c r="DC36" s="24"/>
      <c r="DD36" s="23"/>
      <c r="DE36" s="24"/>
      <c r="DF36" s="25"/>
      <c r="DG36" s="24"/>
      <c r="DH36" s="23"/>
      <c r="DI36" s="24"/>
      <c r="DJ36" s="25"/>
      <c r="DK36" s="24"/>
      <c r="DL36" s="23"/>
      <c r="DM36" s="24"/>
      <c r="DN36" s="25"/>
      <c r="DO36" s="24"/>
      <c r="DP36" s="340"/>
      <c r="DQ36" s="32">
        <f t="shared" ref="DQ36:DQ47" si="14">SUMPRODUCT(--(MOD(COLUMN(BT36:CQ36),4)=MOD(COLUMN(BT36),4)),BT36:CQ36)+SUMPRODUCT(--(MOD(COLUMN(CR36:DO36),4)=MOD(COLUMN(CR36),4)),CR36:DO36)</f>
        <v>0</v>
      </c>
      <c r="DR36" s="32">
        <f t="shared" ref="DR36:DR69" si="15">SUMPRODUCT(--(MOD(COLUMN(BT36:CQ36),4)=MOD(COLUMN(BT36),4)),BT36:CQ36)*$I36+SUMPRODUCT(--(MOD(COLUMN(CR36:DO36),4)=MOD(COLUMN(CR36),4)),CR36:DO36)*$I36</f>
        <v>0</v>
      </c>
      <c r="DS36" s="11"/>
      <c r="DT36" s="329"/>
      <c r="DU36" s="23"/>
      <c r="DV36" s="24"/>
      <c r="DW36" s="25"/>
      <c r="DX36" s="24"/>
      <c r="DY36" s="23"/>
      <c r="DZ36" s="24"/>
      <c r="EA36" s="25"/>
      <c r="EB36" s="24"/>
      <c r="EC36" s="23"/>
      <c r="ED36" s="24"/>
      <c r="EE36" s="25"/>
      <c r="EF36" s="434"/>
      <c r="EG36" s="23"/>
      <c r="EH36" s="24"/>
      <c r="EI36" s="25"/>
      <c r="EJ36" s="24"/>
      <c r="EK36" s="23"/>
      <c r="EL36" s="24"/>
      <c r="EM36" s="25"/>
      <c r="EN36" s="24"/>
      <c r="EO36" s="23"/>
      <c r="EP36" s="24"/>
      <c r="EQ36" s="25"/>
      <c r="ER36" s="24"/>
      <c r="ES36" s="23"/>
      <c r="ET36" s="24"/>
      <c r="EU36" s="25"/>
      <c r="EV36" s="24"/>
      <c r="EW36" s="23"/>
      <c r="EX36" s="24"/>
      <c r="EY36" s="25"/>
      <c r="EZ36" s="24"/>
      <c r="FA36" s="23"/>
      <c r="FB36" s="24"/>
      <c r="FC36" s="25"/>
      <c r="FD36" s="24"/>
      <c r="FE36" s="23"/>
      <c r="FF36" s="24"/>
      <c r="FG36" s="25"/>
      <c r="FH36" s="24"/>
      <c r="FI36" s="23"/>
      <c r="FJ36" s="24"/>
      <c r="FK36" s="25"/>
      <c r="FL36" s="24"/>
      <c r="FM36" s="23"/>
      <c r="FN36" s="24"/>
      <c r="FO36" s="25"/>
      <c r="FP36" s="24"/>
      <c r="FQ36" s="340"/>
      <c r="FR36" s="32">
        <f t="shared" ref="FR36:FR47" si="16">SUMPRODUCT(--(MOD(COLUMN(DU36:ER36),4)=MOD(COLUMN(DU36),4)),DU36:ER36)+SUMPRODUCT(--(MOD(COLUMN(ES36:FP36),4)=MOD(COLUMN(ES36),4)),ES36:FP36)</f>
        <v>0</v>
      </c>
      <c r="FS36" s="32">
        <f t="shared" ref="FS36:FS69" si="17">SUMPRODUCT(--(MOD(COLUMN(DU36:ER36),4)=MOD(COLUMN(DU36),4)),DU36:ER36)*$I36+SUMPRODUCT(--(MOD(COLUMN(ES36:FP36),4)=MOD(COLUMN(ES36),4)),ES36:FP36)*$I36</f>
        <v>0</v>
      </c>
      <c r="FT36" s="360"/>
    </row>
    <row r="37" spans="1:176" s="14" customFormat="1" outlineLevel="2">
      <c r="A37" s="411" t="s">
        <v>481</v>
      </c>
      <c r="B37" s="448" t="s">
        <v>44</v>
      </c>
      <c r="C37" s="594" t="s">
        <v>72</v>
      </c>
      <c r="D37" s="589" t="s">
        <v>32</v>
      </c>
      <c r="E37" s="412">
        <f>IF(ISBLANK(G37),"",IF($A$6:$A$330=$A37,COUNTIF($A$6:A37,$A37),""))</f>
        <v>9</v>
      </c>
      <c r="F37" s="10">
        <v>2</v>
      </c>
      <c r="G37" s="55">
        <v>9735000510</v>
      </c>
      <c r="H37" s="54" t="s">
        <v>87</v>
      </c>
      <c r="I37" s="663">
        <f>J37/ЮАНЬ_2025_08_29</f>
        <v>355.55555555555554</v>
      </c>
      <c r="J37" s="663">
        <f>4880/НДС</f>
        <v>4000</v>
      </c>
      <c r="K37" s="113" t="s">
        <v>95</v>
      </c>
      <c r="L37" s="617">
        <f t="shared" si="13"/>
        <v>355.55555555555554</v>
      </c>
      <c r="M37" s="102"/>
      <c r="N37" s="305">
        <f t="shared" si="0"/>
        <v>2</v>
      </c>
      <c r="O37" s="23"/>
      <c r="P37" s="24"/>
      <c r="Q37" s="25"/>
      <c r="R37" s="24"/>
      <c r="S37" s="23"/>
      <c r="T37" s="24"/>
      <c r="U37" s="25"/>
      <c r="V37" s="24"/>
      <c r="W37" s="23"/>
      <c r="X37" s="24"/>
      <c r="Y37" s="25"/>
      <c r="Z37" s="434"/>
      <c r="AA37" s="23"/>
      <c r="AB37" s="24"/>
      <c r="AC37" s="25"/>
      <c r="AD37" s="24"/>
      <c r="AE37" s="23"/>
      <c r="AF37" s="24"/>
      <c r="AG37" s="25">
        <v>0</v>
      </c>
      <c r="AH37" s="24"/>
      <c r="AI37" s="23"/>
      <c r="AJ37" s="408">
        <f>2</f>
        <v>2</v>
      </c>
      <c r="AK37" s="25"/>
      <c r="AL37" s="24"/>
      <c r="AM37" s="23"/>
      <c r="AN37" s="24"/>
      <c r="AO37" s="25"/>
      <c r="AP37" s="24"/>
      <c r="AQ37" s="23"/>
      <c r="AR37" s="24"/>
      <c r="AS37" s="25"/>
      <c r="AT37" s="24"/>
      <c r="AU37" s="23"/>
      <c r="AV37" s="24"/>
      <c r="AW37" s="25"/>
      <c r="AX37" s="24"/>
      <c r="AY37" s="23"/>
      <c r="AZ37" s="24"/>
      <c r="BA37" s="25"/>
      <c r="BB37" s="24"/>
      <c r="BC37" s="23"/>
      <c r="BD37" s="24"/>
      <c r="BE37" s="25"/>
      <c r="BF37" s="24"/>
      <c r="BG37" s="23"/>
      <c r="BH37" s="24"/>
      <c r="BI37" s="25"/>
      <c r="BJ37" s="24"/>
      <c r="BK37" s="340"/>
      <c r="BL37" s="32">
        <f t="shared" si="1"/>
        <v>0</v>
      </c>
      <c r="BM37" s="32">
        <f t="shared" si="2"/>
        <v>0</v>
      </c>
      <c r="BN37" s="28">
        <f t="shared" si="3"/>
        <v>2</v>
      </c>
      <c r="BO37" s="29">
        <f t="shared" si="4"/>
        <v>711.11111111111109</v>
      </c>
      <c r="BP37" s="30">
        <f t="shared" si="5"/>
        <v>0</v>
      </c>
      <c r="BQ37" s="31">
        <f t="shared" si="6"/>
        <v>0</v>
      </c>
      <c r="BR37" s="11"/>
      <c r="BS37" s="329"/>
      <c r="BT37" s="23"/>
      <c r="BU37" s="24"/>
      <c r="BV37" s="25"/>
      <c r="BW37" s="24"/>
      <c r="BX37" s="23"/>
      <c r="BY37" s="24"/>
      <c r="BZ37" s="25"/>
      <c r="CA37" s="24"/>
      <c r="CB37" s="23"/>
      <c r="CC37" s="24"/>
      <c r="CD37" s="25"/>
      <c r="CE37" s="434"/>
      <c r="CF37" s="23"/>
      <c r="CG37" s="24"/>
      <c r="CH37" s="25"/>
      <c r="CI37" s="24"/>
      <c r="CJ37" s="23"/>
      <c r="CK37" s="24"/>
      <c r="CL37" s="25"/>
      <c r="CM37" s="24"/>
      <c r="CN37" s="23"/>
      <c r="CO37" s="24"/>
      <c r="CP37" s="25"/>
      <c r="CQ37" s="24"/>
      <c r="CR37" s="23"/>
      <c r="CS37" s="24"/>
      <c r="CT37" s="25"/>
      <c r="CU37" s="24"/>
      <c r="CV37" s="23"/>
      <c r="CW37" s="24"/>
      <c r="CX37" s="25"/>
      <c r="CY37" s="24"/>
      <c r="CZ37" s="23"/>
      <c r="DA37" s="24"/>
      <c r="DB37" s="25"/>
      <c r="DC37" s="24"/>
      <c r="DD37" s="23"/>
      <c r="DE37" s="24"/>
      <c r="DF37" s="25"/>
      <c r="DG37" s="24"/>
      <c r="DH37" s="23"/>
      <c r="DI37" s="24"/>
      <c r="DJ37" s="25"/>
      <c r="DK37" s="24"/>
      <c r="DL37" s="23"/>
      <c r="DM37" s="24"/>
      <c r="DN37" s="25"/>
      <c r="DO37" s="24"/>
      <c r="DP37" s="340"/>
      <c r="DQ37" s="32">
        <f t="shared" si="14"/>
        <v>0</v>
      </c>
      <c r="DR37" s="32">
        <f t="shared" si="15"/>
        <v>0</v>
      </c>
      <c r="DS37" s="11"/>
      <c r="DT37" s="329"/>
      <c r="DU37" s="23"/>
      <c r="DV37" s="24"/>
      <c r="DW37" s="25"/>
      <c r="DX37" s="24"/>
      <c r="DY37" s="23"/>
      <c r="DZ37" s="24"/>
      <c r="EA37" s="25"/>
      <c r="EB37" s="24"/>
      <c r="EC37" s="23"/>
      <c r="ED37" s="24"/>
      <c r="EE37" s="25"/>
      <c r="EF37" s="434"/>
      <c r="EG37" s="23"/>
      <c r="EH37" s="24"/>
      <c r="EI37" s="25"/>
      <c r="EJ37" s="24"/>
      <c r="EK37" s="23"/>
      <c r="EL37" s="24"/>
      <c r="EM37" s="25"/>
      <c r="EN37" s="24"/>
      <c r="EO37" s="23"/>
      <c r="EP37" s="24"/>
      <c r="EQ37" s="25"/>
      <c r="ER37" s="24"/>
      <c r="ES37" s="23"/>
      <c r="ET37" s="24"/>
      <c r="EU37" s="25"/>
      <c r="EV37" s="24"/>
      <c r="EW37" s="23"/>
      <c r="EX37" s="24"/>
      <c r="EY37" s="25"/>
      <c r="EZ37" s="24"/>
      <c r="FA37" s="23"/>
      <c r="FB37" s="24"/>
      <c r="FC37" s="25"/>
      <c r="FD37" s="24"/>
      <c r="FE37" s="23"/>
      <c r="FF37" s="24"/>
      <c r="FG37" s="25"/>
      <c r="FH37" s="24"/>
      <c r="FI37" s="23"/>
      <c r="FJ37" s="24"/>
      <c r="FK37" s="25"/>
      <c r="FL37" s="24"/>
      <c r="FM37" s="23"/>
      <c r="FN37" s="24"/>
      <c r="FO37" s="25"/>
      <c r="FP37" s="24"/>
      <c r="FQ37" s="340"/>
      <c r="FR37" s="32">
        <f t="shared" si="16"/>
        <v>0</v>
      </c>
      <c r="FS37" s="32">
        <f t="shared" si="17"/>
        <v>0</v>
      </c>
      <c r="FT37" s="360"/>
    </row>
    <row r="38" spans="1:176" s="14" customFormat="1" outlineLevel="2">
      <c r="A38" s="411" t="s">
        <v>481</v>
      </c>
      <c r="B38" s="448" t="s">
        <v>44</v>
      </c>
      <c r="C38" s="594" t="s">
        <v>72</v>
      </c>
      <c r="D38" s="589" t="s">
        <v>32</v>
      </c>
      <c r="E38" s="412">
        <f>IF(ISBLANK(G38),"",IF($A$6:$A$330=$A38,COUNTIF($A$6:A38,$A38),""))</f>
        <v>10</v>
      </c>
      <c r="F38" s="10">
        <v>2</v>
      </c>
      <c r="G38" s="55">
        <v>4341001250</v>
      </c>
      <c r="H38" s="54" t="s">
        <v>92</v>
      </c>
      <c r="I38" s="663">
        <f>J38/ЮАНЬ_2025_08_29</f>
        <v>155.55555555555554</v>
      </c>
      <c r="J38" s="663">
        <f>2135/НДС</f>
        <v>1750</v>
      </c>
      <c r="K38" s="113" t="s">
        <v>95</v>
      </c>
      <c r="L38" s="617">
        <f t="shared" si="13"/>
        <v>155.55555555555554</v>
      </c>
      <c r="M38" s="102"/>
      <c r="N38" s="305">
        <f t="shared" si="0"/>
        <v>1</v>
      </c>
      <c r="O38" s="23"/>
      <c r="P38" s="24"/>
      <c r="Q38" s="25"/>
      <c r="R38" s="24"/>
      <c r="S38" s="23"/>
      <c r="T38" s="24">
        <f>3</f>
        <v>3</v>
      </c>
      <c r="U38" s="25">
        <v>3</v>
      </c>
      <c r="V38" s="24"/>
      <c r="W38" s="23"/>
      <c r="X38" s="24"/>
      <c r="Y38" s="25"/>
      <c r="Z38" s="434"/>
      <c r="AA38" s="23"/>
      <c r="AB38" s="24"/>
      <c r="AC38" s="25"/>
      <c r="AD38" s="24"/>
      <c r="AE38" s="23"/>
      <c r="AF38" s="24"/>
      <c r="AG38" s="25">
        <v>0</v>
      </c>
      <c r="AH38" s="24"/>
      <c r="AI38" s="23"/>
      <c r="AJ38" s="408">
        <f>2</f>
        <v>2</v>
      </c>
      <c r="AK38" s="25"/>
      <c r="AL38" s="24"/>
      <c r="AM38" s="23"/>
      <c r="AN38" s="24"/>
      <c r="AO38" s="25"/>
      <c r="AP38" s="24"/>
      <c r="AQ38" s="23"/>
      <c r="AR38" s="24"/>
      <c r="AS38" s="25"/>
      <c r="AT38" s="24"/>
      <c r="AU38" s="23"/>
      <c r="AV38" s="24"/>
      <c r="AW38" s="25"/>
      <c r="AX38" s="24"/>
      <c r="AY38" s="23"/>
      <c r="AZ38" s="24"/>
      <c r="BA38" s="25"/>
      <c r="BB38" s="24"/>
      <c r="BC38" s="23"/>
      <c r="BD38" s="24"/>
      <c r="BE38" s="25"/>
      <c r="BF38" s="24"/>
      <c r="BG38" s="23"/>
      <c r="BH38" s="24"/>
      <c r="BI38" s="25"/>
      <c r="BJ38" s="24"/>
      <c r="BK38" s="340"/>
      <c r="BL38" s="32">
        <f t="shared" si="1"/>
        <v>0</v>
      </c>
      <c r="BM38" s="32">
        <f t="shared" si="2"/>
        <v>0</v>
      </c>
      <c r="BN38" s="28">
        <f t="shared" si="3"/>
        <v>5</v>
      </c>
      <c r="BO38" s="29">
        <f t="shared" si="4"/>
        <v>777.77777777777771</v>
      </c>
      <c r="BP38" s="30">
        <f t="shared" si="5"/>
        <v>3</v>
      </c>
      <c r="BQ38" s="31">
        <f t="shared" si="6"/>
        <v>466.66666666666663</v>
      </c>
      <c r="BR38" s="11"/>
      <c r="BS38" s="329"/>
      <c r="BT38" s="23"/>
      <c r="BU38" s="24"/>
      <c r="BV38" s="25"/>
      <c r="BW38" s="24"/>
      <c r="BX38" s="23"/>
      <c r="BY38" s="24"/>
      <c r="BZ38" s="25"/>
      <c r="CA38" s="24"/>
      <c r="CB38" s="23"/>
      <c r="CC38" s="24"/>
      <c r="CD38" s="25"/>
      <c r="CE38" s="434"/>
      <c r="CF38" s="23"/>
      <c r="CG38" s="24"/>
      <c r="CH38" s="25"/>
      <c r="CI38" s="24"/>
      <c r="CJ38" s="23"/>
      <c r="CK38" s="24"/>
      <c r="CL38" s="25"/>
      <c r="CM38" s="24"/>
      <c r="CN38" s="23"/>
      <c r="CO38" s="24"/>
      <c r="CP38" s="25"/>
      <c r="CQ38" s="24"/>
      <c r="CR38" s="23"/>
      <c r="CS38" s="24"/>
      <c r="CT38" s="25"/>
      <c r="CU38" s="24"/>
      <c r="CV38" s="23"/>
      <c r="CW38" s="24"/>
      <c r="CX38" s="25"/>
      <c r="CY38" s="24"/>
      <c r="CZ38" s="23"/>
      <c r="DA38" s="24"/>
      <c r="DB38" s="25"/>
      <c r="DC38" s="24"/>
      <c r="DD38" s="23"/>
      <c r="DE38" s="24"/>
      <c r="DF38" s="25"/>
      <c r="DG38" s="24"/>
      <c r="DH38" s="23"/>
      <c r="DI38" s="24"/>
      <c r="DJ38" s="25"/>
      <c r="DK38" s="24"/>
      <c r="DL38" s="23"/>
      <c r="DM38" s="24"/>
      <c r="DN38" s="25"/>
      <c r="DO38" s="24"/>
      <c r="DP38" s="340"/>
      <c r="DQ38" s="32">
        <f t="shared" si="14"/>
        <v>0</v>
      </c>
      <c r="DR38" s="32">
        <f t="shared" si="15"/>
        <v>0</v>
      </c>
      <c r="DS38" s="11"/>
      <c r="DT38" s="329"/>
      <c r="DU38" s="23"/>
      <c r="DV38" s="24"/>
      <c r="DW38" s="25"/>
      <c r="DX38" s="24"/>
      <c r="DY38" s="23"/>
      <c r="DZ38" s="24"/>
      <c r="EA38" s="25"/>
      <c r="EB38" s="24"/>
      <c r="EC38" s="23"/>
      <c r="ED38" s="24"/>
      <c r="EE38" s="25"/>
      <c r="EF38" s="434"/>
      <c r="EG38" s="23"/>
      <c r="EH38" s="24"/>
      <c r="EI38" s="25"/>
      <c r="EJ38" s="24"/>
      <c r="EK38" s="23"/>
      <c r="EL38" s="24"/>
      <c r="EM38" s="25"/>
      <c r="EN38" s="24"/>
      <c r="EO38" s="23"/>
      <c r="EP38" s="24"/>
      <c r="EQ38" s="25"/>
      <c r="ER38" s="24"/>
      <c r="ES38" s="23"/>
      <c r="ET38" s="24"/>
      <c r="EU38" s="25"/>
      <c r="EV38" s="24"/>
      <c r="EW38" s="23"/>
      <c r="EX38" s="24"/>
      <c r="EY38" s="25"/>
      <c r="EZ38" s="24"/>
      <c r="FA38" s="23"/>
      <c r="FB38" s="24"/>
      <c r="FC38" s="25"/>
      <c r="FD38" s="24"/>
      <c r="FE38" s="23"/>
      <c r="FF38" s="24"/>
      <c r="FG38" s="25"/>
      <c r="FH38" s="24"/>
      <c r="FI38" s="23"/>
      <c r="FJ38" s="24"/>
      <c r="FK38" s="25"/>
      <c r="FL38" s="24"/>
      <c r="FM38" s="23"/>
      <c r="FN38" s="24"/>
      <c r="FO38" s="25"/>
      <c r="FP38" s="24"/>
      <c r="FQ38" s="340"/>
      <c r="FR38" s="32">
        <f t="shared" si="16"/>
        <v>0</v>
      </c>
      <c r="FS38" s="32">
        <f t="shared" si="17"/>
        <v>0</v>
      </c>
      <c r="FT38" s="360"/>
    </row>
    <row r="39" spans="1:176" s="14" customFormat="1" outlineLevel="2">
      <c r="A39" s="413" t="s">
        <v>481</v>
      </c>
      <c r="B39" s="444" t="s">
        <v>44</v>
      </c>
      <c r="C39" s="592" t="s">
        <v>72</v>
      </c>
      <c r="D39" s="580" t="s">
        <v>32</v>
      </c>
      <c r="E39" s="414">
        <f>IF(ISBLANK(G39),"",IF($A$6:$A$330=$A39,COUNTIF($A$6:A39,$A39),""))</f>
        <v>11</v>
      </c>
      <c r="F39" s="284">
        <v>2</v>
      </c>
      <c r="G39" s="304">
        <v>9522010010</v>
      </c>
      <c r="H39" s="602" t="s">
        <v>106</v>
      </c>
      <c r="I39" s="623">
        <f t="shared" ref="I39:I43" si="18">J39/ЮАНЬ_2025_08_29</f>
        <v>102.02258652094717</v>
      </c>
      <c r="J39" s="623">
        <f>1400.26/НДС</f>
        <v>1147.7540983606557</v>
      </c>
      <c r="K39" s="333" t="s">
        <v>95</v>
      </c>
      <c r="L39" s="616">
        <f t="shared" ref="L39:L43" si="19">IF(K39="RUB",J39/ЮАНЬ,IF(K39="EUR",J39*ЕВРО/ЮАНЬ,""))</f>
        <v>102.02258652094717</v>
      </c>
      <c r="M39" s="305"/>
      <c r="N39" s="305">
        <f t="shared" si="0"/>
        <v>2</v>
      </c>
      <c r="O39" s="322"/>
      <c r="P39" s="408"/>
      <c r="Q39" s="307"/>
      <c r="R39" s="408"/>
      <c r="S39" s="322"/>
      <c r="T39" s="408"/>
      <c r="U39" s="307"/>
      <c r="V39" s="408"/>
      <c r="W39" s="322"/>
      <c r="X39" s="408"/>
      <c r="Y39" s="307"/>
      <c r="Z39" s="547"/>
      <c r="AA39" s="322"/>
      <c r="AB39" s="408"/>
      <c r="AC39" s="307"/>
      <c r="AD39" s="408"/>
      <c r="AE39" s="322"/>
      <c r="AF39" s="408"/>
      <c r="AG39" s="307"/>
      <c r="AH39" s="408"/>
      <c r="AI39" s="322"/>
      <c r="AJ39" s="408">
        <f>2</f>
        <v>2</v>
      </c>
      <c r="AK39" s="307"/>
      <c r="AL39" s="408"/>
      <c r="AM39" s="322"/>
      <c r="AN39" s="408"/>
      <c r="AO39" s="307"/>
      <c r="AP39" s="408"/>
      <c r="AQ39" s="322"/>
      <c r="AR39" s="408"/>
      <c r="AS39" s="307"/>
      <c r="AT39" s="408"/>
      <c r="AU39" s="322"/>
      <c r="AV39" s="408"/>
      <c r="AW39" s="307"/>
      <c r="AX39" s="408"/>
      <c r="AY39" s="322"/>
      <c r="AZ39" s="408"/>
      <c r="BA39" s="307"/>
      <c r="BB39" s="408"/>
      <c r="BC39" s="322"/>
      <c r="BD39" s="408"/>
      <c r="BE39" s="307"/>
      <c r="BF39" s="408"/>
      <c r="BG39" s="322"/>
      <c r="BH39" s="408"/>
      <c r="BI39" s="307"/>
      <c r="BJ39" s="408"/>
      <c r="BK39" s="340"/>
      <c r="BL39" s="328">
        <f t="shared" si="1"/>
        <v>0</v>
      </c>
      <c r="BM39" s="328">
        <f t="shared" si="2"/>
        <v>0</v>
      </c>
      <c r="BN39" s="324">
        <f t="shared" si="3"/>
        <v>2</v>
      </c>
      <c r="BO39" s="325">
        <f t="shared" si="4"/>
        <v>204.04517304189434</v>
      </c>
      <c r="BP39" s="326">
        <f t="shared" si="5"/>
        <v>0</v>
      </c>
      <c r="BQ39" s="327">
        <f t="shared" si="6"/>
        <v>0</v>
      </c>
      <c r="BR39" s="329"/>
      <c r="BS39" s="329"/>
      <c r="BT39" s="322"/>
      <c r="BU39" s="408"/>
      <c r="BV39" s="307"/>
      <c r="BW39" s="408"/>
      <c r="BX39" s="322"/>
      <c r="BY39" s="408"/>
      <c r="BZ39" s="307"/>
      <c r="CA39" s="408"/>
      <c r="CB39" s="322"/>
      <c r="CC39" s="408"/>
      <c r="CD39" s="307"/>
      <c r="CE39" s="547"/>
      <c r="CF39" s="322"/>
      <c r="CG39" s="408"/>
      <c r="CH39" s="307"/>
      <c r="CI39" s="408"/>
      <c r="CJ39" s="322"/>
      <c r="CK39" s="408"/>
      <c r="CL39" s="307"/>
      <c r="CM39" s="408"/>
      <c r="CN39" s="322"/>
      <c r="CO39" s="408"/>
      <c r="CP39" s="307"/>
      <c r="CQ39" s="408"/>
      <c r="CR39" s="322"/>
      <c r="CS39" s="408"/>
      <c r="CT39" s="307"/>
      <c r="CU39" s="408"/>
      <c r="CV39" s="322"/>
      <c r="CW39" s="408"/>
      <c r="CX39" s="307"/>
      <c r="CY39" s="408"/>
      <c r="CZ39" s="322"/>
      <c r="DA39" s="408"/>
      <c r="DB39" s="307"/>
      <c r="DC39" s="408"/>
      <c r="DD39" s="322"/>
      <c r="DE39" s="408"/>
      <c r="DF39" s="307"/>
      <c r="DG39" s="408"/>
      <c r="DH39" s="322"/>
      <c r="DI39" s="408"/>
      <c r="DJ39" s="307"/>
      <c r="DK39" s="408"/>
      <c r="DL39" s="322"/>
      <c r="DM39" s="408"/>
      <c r="DN39" s="307"/>
      <c r="DO39" s="408"/>
      <c r="DP39" s="340"/>
      <c r="DQ39" s="328"/>
      <c r="DR39" s="328"/>
      <c r="DS39" s="329"/>
      <c r="DT39" s="329"/>
      <c r="DU39" s="322"/>
      <c r="DV39" s="408"/>
      <c r="DW39" s="307"/>
      <c r="DX39" s="408"/>
      <c r="DY39" s="322"/>
      <c r="DZ39" s="408"/>
      <c r="EA39" s="307"/>
      <c r="EB39" s="408"/>
      <c r="EC39" s="322"/>
      <c r="ED39" s="408"/>
      <c r="EE39" s="307"/>
      <c r="EF39" s="547"/>
      <c r="EG39" s="322"/>
      <c r="EH39" s="408"/>
      <c r="EI39" s="307"/>
      <c r="EJ39" s="408"/>
      <c r="EK39" s="322"/>
      <c r="EL39" s="408"/>
      <c r="EM39" s="307"/>
      <c r="EN39" s="408"/>
      <c r="EO39" s="322"/>
      <c r="EP39" s="408"/>
      <c r="EQ39" s="307"/>
      <c r="ER39" s="408"/>
      <c r="ES39" s="322"/>
      <c r="ET39" s="408"/>
      <c r="EU39" s="307"/>
      <c r="EV39" s="408"/>
      <c r="EW39" s="322"/>
      <c r="EX39" s="408"/>
      <c r="EY39" s="307"/>
      <c r="EZ39" s="408"/>
      <c r="FA39" s="322"/>
      <c r="FB39" s="408"/>
      <c r="FC39" s="307"/>
      <c r="FD39" s="408"/>
      <c r="FE39" s="322"/>
      <c r="FF39" s="408"/>
      <c r="FG39" s="307"/>
      <c r="FH39" s="408"/>
      <c r="FI39" s="322"/>
      <c r="FJ39" s="408"/>
      <c r="FK39" s="307"/>
      <c r="FL39" s="408"/>
      <c r="FM39" s="322"/>
      <c r="FN39" s="408"/>
      <c r="FO39" s="307"/>
      <c r="FP39" s="408"/>
      <c r="FQ39" s="340"/>
      <c r="FR39" s="328"/>
      <c r="FS39" s="328"/>
      <c r="FT39" s="360"/>
    </row>
    <row r="40" spans="1:176" s="14" customFormat="1" outlineLevel="2">
      <c r="A40" s="413" t="s">
        <v>481</v>
      </c>
      <c r="B40" s="444" t="s">
        <v>44</v>
      </c>
      <c r="C40" s="592" t="s">
        <v>72</v>
      </c>
      <c r="D40" s="580" t="s">
        <v>32</v>
      </c>
      <c r="E40" s="414">
        <f>IF(ISBLANK(G40),"",IF($A$6:$A$330=$A40,COUNTIF($A$6:A40,$A40),""))</f>
        <v>12</v>
      </c>
      <c r="F40" s="284">
        <v>2</v>
      </c>
      <c r="G40" s="304">
        <v>9522010020</v>
      </c>
      <c r="H40" s="602" t="s">
        <v>106</v>
      </c>
      <c r="I40" s="623">
        <f t="shared" si="18"/>
        <v>102.02258652094717</v>
      </c>
      <c r="J40" s="623">
        <f>1400.26/НДС</f>
        <v>1147.7540983606557</v>
      </c>
      <c r="K40" s="333" t="s">
        <v>95</v>
      </c>
      <c r="L40" s="616">
        <f t="shared" si="19"/>
        <v>102.02258652094717</v>
      </c>
      <c r="M40" s="305"/>
      <c r="N40" s="305">
        <f t="shared" si="0"/>
        <v>2</v>
      </c>
      <c r="O40" s="322"/>
      <c r="P40" s="408"/>
      <c r="Q40" s="307"/>
      <c r="R40" s="408"/>
      <c r="S40" s="322"/>
      <c r="T40" s="408"/>
      <c r="U40" s="307"/>
      <c r="V40" s="408"/>
      <c r="W40" s="322"/>
      <c r="X40" s="408"/>
      <c r="Y40" s="307"/>
      <c r="Z40" s="547"/>
      <c r="AA40" s="322"/>
      <c r="AB40" s="408"/>
      <c r="AC40" s="307"/>
      <c r="AD40" s="408"/>
      <c r="AE40" s="322"/>
      <c r="AF40" s="408"/>
      <c r="AG40" s="307"/>
      <c r="AH40" s="408"/>
      <c r="AI40" s="322"/>
      <c r="AJ40" s="408">
        <f>2</f>
        <v>2</v>
      </c>
      <c r="AK40" s="307"/>
      <c r="AL40" s="408"/>
      <c r="AM40" s="322"/>
      <c r="AN40" s="408"/>
      <c r="AO40" s="307"/>
      <c r="AP40" s="408"/>
      <c r="AQ40" s="322"/>
      <c r="AR40" s="408"/>
      <c r="AS40" s="307"/>
      <c r="AT40" s="408"/>
      <c r="AU40" s="322"/>
      <c r="AV40" s="408"/>
      <c r="AW40" s="307"/>
      <c r="AX40" s="408"/>
      <c r="AY40" s="322"/>
      <c r="AZ40" s="408"/>
      <c r="BA40" s="307"/>
      <c r="BB40" s="408"/>
      <c r="BC40" s="322"/>
      <c r="BD40" s="408"/>
      <c r="BE40" s="307"/>
      <c r="BF40" s="408"/>
      <c r="BG40" s="322"/>
      <c r="BH40" s="408"/>
      <c r="BI40" s="307"/>
      <c r="BJ40" s="408"/>
      <c r="BK40" s="340"/>
      <c r="BL40" s="328">
        <f t="shared" si="1"/>
        <v>0</v>
      </c>
      <c r="BM40" s="328">
        <f t="shared" si="2"/>
        <v>0</v>
      </c>
      <c r="BN40" s="324">
        <f t="shared" si="3"/>
        <v>2</v>
      </c>
      <c r="BO40" s="325">
        <f t="shared" si="4"/>
        <v>204.04517304189434</v>
      </c>
      <c r="BP40" s="326">
        <f t="shared" si="5"/>
        <v>0</v>
      </c>
      <c r="BQ40" s="327">
        <f t="shared" si="6"/>
        <v>0</v>
      </c>
      <c r="BR40" s="329"/>
      <c r="BS40" s="329"/>
      <c r="BT40" s="322"/>
      <c r="BU40" s="408"/>
      <c r="BV40" s="307"/>
      <c r="BW40" s="408"/>
      <c r="BX40" s="322"/>
      <c r="BY40" s="408"/>
      <c r="BZ40" s="307"/>
      <c r="CA40" s="408"/>
      <c r="CB40" s="322"/>
      <c r="CC40" s="408"/>
      <c r="CD40" s="307"/>
      <c r="CE40" s="547"/>
      <c r="CF40" s="322"/>
      <c r="CG40" s="408"/>
      <c r="CH40" s="307"/>
      <c r="CI40" s="408"/>
      <c r="CJ40" s="322"/>
      <c r="CK40" s="408"/>
      <c r="CL40" s="307"/>
      <c r="CM40" s="408"/>
      <c r="CN40" s="322"/>
      <c r="CO40" s="408"/>
      <c r="CP40" s="307"/>
      <c r="CQ40" s="408"/>
      <c r="CR40" s="322"/>
      <c r="CS40" s="408"/>
      <c r="CT40" s="307"/>
      <c r="CU40" s="408"/>
      <c r="CV40" s="322"/>
      <c r="CW40" s="408"/>
      <c r="CX40" s="307"/>
      <c r="CY40" s="408"/>
      <c r="CZ40" s="322"/>
      <c r="DA40" s="408"/>
      <c r="DB40" s="307"/>
      <c r="DC40" s="408"/>
      <c r="DD40" s="322"/>
      <c r="DE40" s="408"/>
      <c r="DF40" s="307"/>
      <c r="DG40" s="408"/>
      <c r="DH40" s="322"/>
      <c r="DI40" s="408"/>
      <c r="DJ40" s="307"/>
      <c r="DK40" s="408"/>
      <c r="DL40" s="322"/>
      <c r="DM40" s="408"/>
      <c r="DN40" s="307"/>
      <c r="DO40" s="408"/>
      <c r="DP40" s="340"/>
      <c r="DQ40" s="328"/>
      <c r="DR40" s="328"/>
      <c r="DS40" s="329"/>
      <c r="DT40" s="329"/>
      <c r="DU40" s="322"/>
      <c r="DV40" s="408"/>
      <c r="DW40" s="307"/>
      <c r="DX40" s="408"/>
      <c r="DY40" s="322"/>
      <c r="DZ40" s="408"/>
      <c r="EA40" s="307"/>
      <c r="EB40" s="408"/>
      <c r="EC40" s="322"/>
      <c r="ED40" s="408"/>
      <c r="EE40" s="307"/>
      <c r="EF40" s="547"/>
      <c r="EG40" s="322"/>
      <c r="EH40" s="408"/>
      <c r="EI40" s="307"/>
      <c r="EJ40" s="408"/>
      <c r="EK40" s="322"/>
      <c r="EL40" s="408"/>
      <c r="EM40" s="307"/>
      <c r="EN40" s="408"/>
      <c r="EO40" s="322"/>
      <c r="EP40" s="408"/>
      <c r="EQ40" s="307"/>
      <c r="ER40" s="408"/>
      <c r="ES40" s="322"/>
      <c r="ET40" s="408"/>
      <c r="EU40" s="307"/>
      <c r="EV40" s="408"/>
      <c r="EW40" s="322"/>
      <c r="EX40" s="408"/>
      <c r="EY40" s="307"/>
      <c r="EZ40" s="408"/>
      <c r="FA40" s="322"/>
      <c r="FB40" s="408"/>
      <c r="FC40" s="307"/>
      <c r="FD40" s="408"/>
      <c r="FE40" s="322"/>
      <c r="FF40" s="408"/>
      <c r="FG40" s="307"/>
      <c r="FH40" s="408"/>
      <c r="FI40" s="322"/>
      <c r="FJ40" s="408"/>
      <c r="FK40" s="307"/>
      <c r="FL40" s="408"/>
      <c r="FM40" s="322"/>
      <c r="FN40" s="408"/>
      <c r="FO40" s="307"/>
      <c r="FP40" s="408"/>
      <c r="FQ40" s="340"/>
      <c r="FR40" s="328"/>
      <c r="FS40" s="328"/>
      <c r="FT40" s="360"/>
    </row>
    <row r="41" spans="1:176" s="14" customFormat="1" outlineLevel="2">
      <c r="A41" s="413" t="s">
        <v>481</v>
      </c>
      <c r="B41" s="444" t="s">
        <v>44</v>
      </c>
      <c r="C41" s="592" t="s">
        <v>72</v>
      </c>
      <c r="D41" s="580" t="s">
        <v>32</v>
      </c>
      <c r="E41" s="414">
        <f>IF(ISBLANK(G41),"",IF($A$6:$A$330=$A41,COUNTIF($A$6:A41,$A41),""))</f>
        <v>13</v>
      </c>
      <c r="F41" s="284">
        <v>2</v>
      </c>
      <c r="G41" s="304">
        <v>4801020640</v>
      </c>
      <c r="H41" s="602" t="s">
        <v>107</v>
      </c>
      <c r="I41" s="623">
        <f t="shared" si="18"/>
        <v>8960.4655737704925</v>
      </c>
      <c r="J41" s="623">
        <f>122982.39/НДС</f>
        <v>100805.23770491804</v>
      </c>
      <c r="K41" s="333" t="s">
        <v>95</v>
      </c>
      <c r="L41" s="616">
        <f t="shared" si="19"/>
        <v>8960.4655737704925</v>
      </c>
      <c r="M41" s="305"/>
      <c r="N41" s="305">
        <f t="shared" si="0"/>
        <v>2</v>
      </c>
      <c r="O41" s="322"/>
      <c r="P41" s="408"/>
      <c r="Q41" s="307"/>
      <c r="R41" s="408"/>
      <c r="S41" s="322"/>
      <c r="T41" s="408"/>
      <c r="U41" s="307"/>
      <c r="V41" s="408"/>
      <c r="W41" s="322"/>
      <c r="X41" s="408"/>
      <c r="Y41" s="307"/>
      <c r="Z41" s="547"/>
      <c r="AA41" s="322"/>
      <c r="AB41" s="408"/>
      <c r="AC41" s="307"/>
      <c r="AD41" s="408"/>
      <c r="AE41" s="322"/>
      <c r="AF41" s="408"/>
      <c r="AG41" s="307"/>
      <c r="AH41" s="408"/>
      <c r="AI41" s="322"/>
      <c r="AJ41" s="408">
        <f>2</f>
        <v>2</v>
      </c>
      <c r="AK41" s="307"/>
      <c r="AL41" s="408"/>
      <c r="AM41" s="322"/>
      <c r="AN41" s="408"/>
      <c r="AO41" s="307"/>
      <c r="AP41" s="408"/>
      <c r="AQ41" s="322"/>
      <c r="AR41" s="408"/>
      <c r="AS41" s="307"/>
      <c r="AT41" s="408"/>
      <c r="AU41" s="322"/>
      <c r="AV41" s="408"/>
      <c r="AW41" s="307"/>
      <c r="AX41" s="408"/>
      <c r="AY41" s="322"/>
      <c r="AZ41" s="408"/>
      <c r="BA41" s="307"/>
      <c r="BB41" s="408"/>
      <c r="BC41" s="322"/>
      <c r="BD41" s="408"/>
      <c r="BE41" s="307"/>
      <c r="BF41" s="408"/>
      <c r="BG41" s="322"/>
      <c r="BH41" s="408"/>
      <c r="BI41" s="307"/>
      <c r="BJ41" s="408"/>
      <c r="BK41" s="340"/>
      <c r="BL41" s="328">
        <f t="shared" si="1"/>
        <v>0</v>
      </c>
      <c r="BM41" s="328">
        <f t="shared" si="2"/>
        <v>0</v>
      </c>
      <c r="BN41" s="324">
        <f t="shared" si="3"/>
        <v>2</v>
      </c>
      <c r="BO41" s="325">
        <f t="shared" si="4"/>
        <v>17920.931147540985</v>
      </c>
      <c r="BP41" s="326">
        <f t="shared" si="5"/>
        <v>0</v>
      </c>
      <c r="BQ41" s="327">
        <f t="shared" si="6"/>
        <v>0</v>
      </c>
      <c r="BR41" s="329"/>
      <c r="BS41" s="329"/>
      <c r="BT41" s="322"/>
      <c r="BU41" s="408"/>
      <c r="BV41" s="307"/>
      <c r="BW41" s="408"/>
      <c r="BX41" s="322"/>
      <c r="BY41" s="408"/>
      <c r="BZ41" s="307"/>
      <c r="CA41" s="408"/>
      <c r="CB41" s="322"/>
      <c r="CC41" s="408"/>
      <c r="CD41" s="307"/>
      <c r="CE41" s="547"/>
      <c r="CF41" s="322"/>
      <c r="CG41" s="408"/>
      <c r="CH41" s="307"/>
      <c r="CI41" s="408"/>
      <c r="CJ41" s="322"/>
      <c r="CK41" s="408"/>
      <c r="CL41" s="307"/>
      <c r="CM41" s="408"/>
      <c r="CN41" s="322"/>
      <c r="CO41" s="408"/>
      <c r="CP41" s="307"/>
      <c r="CQ41" s="408"/>
      <c r="CR41" s="322"/>
      <c r="CS41" s="408"/>
      <c r="CT41" s="307"/>
      <c r="CU41" s="408"/>
      <c r="CV41" s="322"/>
      <c r="CW41" s="408"/>
      <c r="CX41" s="307"/>
      <c r="CY41" s="408"/>
      <c r="CZ41" s="322"/>
      <c r="DA41" s="408"/>
      <c r="DB41" s="307"/>
      <c r="DC41" s="408"/>
      <c r="DD41" s="322"/>
      <c r="DE41" s="408"/>
      <c r="DF41" s="307"/>
      <c r="DG41" s="408"/>
      <c r="DH41" s="322"/>
      <c r="DI41" s="408"/>
      <c r="DJ41" s="307"/>
      <c r="DK41" s="408"/>
      <c r="DL41" s="322"/>
      <c r="DM41" s="408"/>
      <c r="DN41" s="307"/>
      <c r="DO41" s="408"/>
      <c r="DP41" s="340"/>
      <c r="DQ41" s="328"/>
      <c r="DR41" s="328"/>
      <c r="DS41" s="329"/>
      <c r="DT41" s="329"/>
      <c r="DU41" s="322"/>
      <c r="DV41" s="408"/>
      <c r="DW41" s="307"/>
      <c r="DX41" s="408"/>
      <c r="DY41" s="322"/>
      <c r="DZ41" s="408"/>
      <c r="EA41" s="307"/>
      <c r="EB41" s="408"/>
      <c r="EC41" s="322"/>
      <c r="ED41" s="408"/>
      <c r="EE41" s="307"/>
      <c r="EF41" s="547"/>
      <c r="EG41" s="322"/>
      <c r="EH41" s="408"/>
      <c r="EI41" s="307"/>
      <c r="EJ41" s="408"/>
      <c r="EK41" s="322"/>
      <c r="EL41" s="408"/>
      <c r="EM41" s="307"/>
      <c r="EN41" s="408"/>
      <c r="EO41" s="322"/>
      <c r="EP41" s="408"/>
      <c r="EQ41" s="307"/>
      <c r="ER41" s="408"/>
      <c r="ES41" s="322"/>
      <c r="ET41" s="408"/>
      <c r="EU41" s="307"/>
      <c r="EV41" s="408"/>
      <c r="EW41" s="322"/>
      <c r="EX41" s="408"/>
      <c r="EY41" s="307"/>
      <c r="EZ41" s="408"/>
      <c r="FA41" s="322"/>
      <c r="FB41" s="408"/>
      <c r="FC41" s="307"/>
      <c r="FD41" s="408"/>
      <c r="FE41" s="322"/>
      <c r="FF41" s="408"/>
      <c r="FG41" s="307"/>
      <c r="FH41" s="408"/>
      <c r="FI41" s="322"/>
      <c r="FJ41" s="408"/>
      <c r="FK41" s="307"/>
      <c r="FL41" s="408"/>
      <c r="FM41" s="322"/>
      <c r="FN41" s="408"/>
      <c r="FO41" s="307"/>
      <c r="FP41" s="408"/>
      <c r="FQ41" s="340"/>
      <c r="FR41" s="328"/>
      <c r="FS41" s="328"/>
      <c r="FT41" s="360"/>
    </row>
    <row r="42" spans="1:176" s="14" customFormat="1" outlineLevel="2">
      <c r="A42" s="413" t="s">
        <v>481</v>
      </c>
      <c r="B42" s="444" t="s">
        <v>44</v>
      </c>
      <c r="C42" s="592" t="s">
        <v>72</v>
      </c>
      <c r="D42" s="580" t="s">
        <v>32</v>
      </c>
      <c r="E42" s="414">
        <f>IF(ISBLANK(G42),"",IF($A$6:$A$330=$A42,COUNTIF($A$6:A42,$A42),""))</f>
        <v>14</v>
      </c>
      <c r="F42" s="284">
        <v>2</v>
      </c>
      <c r="G42" s="304">
        <v>9710020400</v>
      </c>
      <c r="H42" s="602" t="s">
        <v>101</v>
      </c>
      <c r="I42" s="623">
        <f t="shared" si="18"/>
        <v>388.08961748633874</v>
      </c>
      <c r="J42" s="623">
        <f>5326.53/НДС</f>
        <v>4366.0081967213109</v>
      </c>
      <c r="K42" s="333" t="s">
        <v>95</v>
      </c>
      <c r="L42" s="616">
        <f t="shared" si="19"/>
        <v>388.08961748633874</v>
      </c>
      <c r="M42" s="305"/>
      <c r="N42" s="305">
        <f t="shared" si="0"/>
        <v>2</v>
      </c>
      <c r="O42" s="322"/>
      <c r="P42" s="408"/>
      <c r="Q42" s="307"/>
      <c r="R42" s="408"/>
      <c r="S42" s="322"/>
      <c r="T42" s="408"/>
      <c r="U42" s="307"/>
      <c r="V42" s="408"/>
      <c r="W42" s="322"/>
      <c r="X42" s="408"/>
      <c r="Y42" s="307"/>
      <c r="Z42" s="547"/>
      <c r="AA42" s="322"/>
      <c r="AB42" s="408"/>
      <c r="AC42" s="307"/>
      <c r="AD42" s="408"/>
      <c r="AE42" s="322"/>
      <c r="AF42" s="408"/>
      <c r="AG42" s="307"/>
      <c r="AH42" s="408"/>
      <c r="AI42" s="322"/>
      <c r="AJ42" s="408">
        <f>2</f>
        <v>2</v>
      </c>
      <c r="AK42" s="307"/>
      <c r="AL42" s="408"/>
      <c r="AM42" s="322"/>
      <c r="AN42" s="408"/>
      <c r="AO42" s="307"/>
      <c r="AP42" s="408"/>
      <c r="AQ42" s="322"/>
      <c r="AR42" s="408"/>
      <c r="AS42" s="307"/>
      <c r="AT42" s="408"/>
      <c r="AU42" s="322"/>
      <c r="AV42" s="408"/>
      <c r="AW42" s="307"/>
      <c r="AX42" s="408"/>
      <c r="AY42" s="322"/>
      <c r="AZ42" s="408"/>
      <c r="BA42" s="307"/>
      <c r="BB42" s="408"/>
      <c r="BC42" s="322"/>
      <c r="BD42" s="408"/>
      <c r="BE42" s="307"/>
      <c r="BF42" s="408"/>
      <c r="BG42" s="322"/>
      <c r="BH42" s="408"/>
      <c r="BI42" s="307"/>
      <c r="BJ42" s="408"/>
      <c r="BK42" s="340"/>
      <c r="BL42" s="328">
        <f t="shared" si="1"/>
        <v>0</v>
      </c>
      <c r="BM42" s="328">
        <f t="shared" si="2"/>
        <v>0</v>
      </c>
      <c r="BN42" s="324">
        <f t="shared" si="3"/>
        <v>2</v>
      </c>
      <c r="BO42" s="325">
        <f t="shared" si="4"/>
        <v>776.17923497267748</v>
      </c>
      <c r="BP42" s="326">
        <f t="shared" si="5"/>
        <v>0</v>
      </c>
      <c r="BQ42" s="327">
        <f t="shared" si="6"/>
        <v>0</v>
      </c>
      <c r="BR42" s="329"/>
      <c r="BS42" s="329"/>
      <c r="BT42" s="322"/>
      <c r="BU42" s="408"/>
      <c r="BV42" s="307"/>
      <c r="BW42" s="408"/>
      <c r="BX42" s="322"/>
      <c r="BY42" s="408"/>
      <c r="BZ42" s="307"/>
      <c r="CA42" s="408"/>
      <c r="CB42" s="322"/>
      <c r="CC42" s="408"/>
      <c r="CD42" s="307"/>
      <c r="CE42" s="547"/>
      <c r="CF42" s="322"/>
      <c r="CG42" s="408"/>
      <c r="CH42" s="307"/>
      <c r="CI42" s="408"/>
      <c r="CJ42" s="322"/>
      <c r="CK42" s="408"/>
      <c r="CL42" s="307"/>
      <c r="CM42" s="408"/>
      <c r="CN42" s="322"/>
      <c r="CO42" s="408"/>
      <c r="CP42" s="307"/>
      <c r="CQ42" s="408"/>
      <c r="CR42" s="322"/>
      <c r="CS42" s="408"/>
      <c r="CT42" s="307"/>
      <c r="CU42" s="408"/>
      <c r="CV42" s="322"/>
      <c r="CW42" s="408"/>
      <c r="CX42" s="307"/>
      <c r="CY42" s="408"/>
      <c r="CZ42" s="322"/>
      <c r="DA42" s="408"/>
      <c r="DB42" s="307"/>
      <c r="DC42" s="408"/>
      <c r="DD42" s="322"/>
      <c r="DE42" s="408"/>
      <c r="DF42" s="307"/>
      <c r="DG42" s="408"/>
      <c r="DH42" s="322"/>
      <c r="DI42" s="408"/>
      <c r="DJ42" s="307"/>
      <c r="DK42" s="408"/>
      <c r="DL42" s="322"/>
      <c r="DM42" s="408"/>
      <c r="DN42" s="307"/>
      <c r="DO42" s="408"/>
      <c r="DP42" s="340"/>
      <c r="DQ42" s="328"/>
      <c r="DR42" s="328"/>
      <c r="DS42" s="329"/>
      <c r="DT42" s="329"/>
      <c r="DU42" s="322"/>
      <c r="DV42" s="408"/>
      <c r="DW42" s="307"/>
      <c r="DX42" s="408"/>
      <c r="DY42" s="322"/>
      <c r="DZ42" s="408"/>
      <c r="EA42" s="307"/>
      <c r="EB42" s="408"/>
      <c r="EC42" s="322"/>
      <c r="ED42" s="408"/>
      <c r="EE42" s="307"/>
      <c r="EF42" s="547"/>
      <c r="EG42" s="322"/>
      <c r="EH42" s="408"/>
      <c r="EI42" s="307"/>
      <c r="EJ42" s="408"/>
      <c r="EK42" s="322"/>
      <c r="EL42" s="408"/>
      <c r="EM42" s="307"/>
      <c r="EN42" s="408"/>
      <c r="EO42" s="322"/>
      <c r="EP42" s="408"/>
      <c r="EQ42" s="307"/>
      <c r="ER42" s="408"/>
      <c r="ES42" s="322"/>
      <c r="ET42" s="408"/>
      <c r="EU42" s="307"/>
      <c r="EV42" s="408"/>
      <c r="EW42" s="322"/>
      <c r="EX42" s="408"/>
      <c r="EY42" s="307"/>
      <c r="EZ42" s="408"/>
      <c r="FA42" s="322"/>
      <c r="FB42" s="408"/>
      <c r="FC42" s="307"/>
      <c r="FD42" s="408"/>
      <c r="FE42" s="322"/>
      <c r="FF42" s="408"/>
      <c r="FG42" s="307"/>
      <c r="FH42" s="408"/>
      <c r="FI42" s="322"/>
      <c r="FJ42" s="408"/>
      <c r="FK42" s="307"/>
      <c r="FL42" s="408"/>
      <c r="FM42" s="322"/>
      <c r="FN42" s="408"/>
      <c r="FO42" s="307"/>
      <c r="FP42" s="408"/>
      <c r="FQ42" s="340"/>
      <c r="FR42" s="328"/>
      <c r="FS42" s="328"/>
      <c r="FT42" s="360"/>
    </row>
    <row r="43" spans="1:176" s="14" customFormat="1" outlineLevel="2">
      <c r="A43" s="413" t="s">
        <v>481</v>
      </c>
      <c r="B43" s="444" t="s">
        <v>44</v>
      </c>
      <c r="C43" s="592" t="s">
        <v>72</v>
      </c>
      <c r="D43" s="580" t="s">
        <v>32</v>
      </c>
      <c r="E43" s="414">
        <f>IF(ISBLANK(G43),"",IF($A$6:$A$330=$A43,COUNTIF($A$6:A43,$A43),""))</f>
        <v>15</v>
      </c>
      <c r="F43" s="284">
        <v>2</v>
      </c>
      <c r="G43" s="304">
        <v>4497230300</v>
      </c>
      <c r="H43" s="602" t="s">
        <v>108</v>
      </c>
      <c r="I43" s="623">
        <f t="shared" si="18"/>
        <v>87.205828779599287</v>
      </c>
      <c r="J43" s="623">
        <f>1196.9/НДС</f>
        <v>981.06557377049194</v>
      </c>
      <c r="K43" s="333" t="s">
        <v>95</v>
      </c>
      <c r="L43" s="616">
        <f t="shared" si="19"/>
        <v>87.205828779599287</v>
      </c>
      <c r="M43" s="305"/>
      <c r="N43" s="305">
        <f t="shared" si="0"/>
        <v>2</v>
      </c>
      <c r="O43" s="322"/>
      <c r="P43" s="408"/>
      <c r="Q43" s="307"/>
      <c r="R43" s="408"/>
      <c r="S43" s="322"/>
      <c r="T43" s="408"/>
      <c r="U43" s="307"/>
      <c r="V43" s="408"/>
      <c r="W43" s="322"/>
      <c r="X43" s="408"/>
      <c r="Y43" s="307"/>
      <c r="Z43" s="547"/>
      <c r="AA43" s="322"/>
      <c r="AB43" s="408"/>
      <c r="AC43" s="307"/>
      <c r="AD43" s="408"/>
      <c r="AE43" s="322"/>
      <c r="AF43" s="408"/>
      <c r="AG43" s="307"/>
      <c r="AH43" s="408"/>
      <c r="AI43" s="322"/>
      <c r="AJ43" s="408">
        <f>4</f>
        <v>4</v>
      </c>
      <c r="AK43" s="307"/>
      <c r="AL43" s="408"/>
      <c r="AM43" s="322"/>
      <c r="AN43" s="408"/>
      <c r="AO43" s="307"/>
      <c r="AP43" s="408"/>
      <c r="AQ43" s="322"/>
      <c r="AR43" s="408"/>
      <c r="AS43" s="307"/>
      <c r="AT43" s="408"/>
      <c r="AU43" s="322"/>
      <c r="AV43" s="408"/>
      <c r="AW43" s="307"/>
      <c r="AX43" s="408"/>
      <c r="AY43" s="322"/>
      <c r="AZ43" s="408"/>
      <c r="BA43" s="307"/>
      <c r="BB43" s="408"/>
      <c r="BC43" s="322"/>
      <c r="BD43" s="408"/>
      <c r="BE43" s="307"/>
      <c r="BF43" s="408"/>
      <c r="BG43" s="322"/>
      <c r="BH43" s="408"/>
      <c r="BI43" s="307"/>
      <c r="BJ43" s="408"/>
      <c r="BK43" s="340"/>
      <c r="BL43" s="328">
        <f t="shared" si="1"/>
        <v>0</v>
      </c>
      <c r="BM43" s="328">
        <f t="shared" si="2"/>
        <v>0</v>
      </c>
      <c r="BN43" s="324">
        <f t="shared" si="3"/>
        <v>4</v>
      </c>
      <c r="BO43" s="325">
        <f t="shared" si="4"/>
        <v>348.82331511839715</v>
      </c>
      <c r="BP43" s="326">
        <f t="shared" si="5"/>
        <v>0</v>
      </c>
      <c r="BQ43" s="327">
        <f t="shared" si="6"/>
        <v>0</v>
      </c>
      <c r="BR43" s="329"/>
      <c r="BS43" s="329"/>
      <c r="BT43" s="322"/>
      <c r="BU43" s="408"/>
      <c r="BV43" s="307"/>
      <c r="BW43" s="408"/>
      <c r="BX43" s="322"/>
      <c r="BY43" s="408"/>
      <c r="BZ43" s="307"/>
      <c r="CA43" s="408"/>
      <c r="CB43" s="322"/>
      <c r="CC43" s="408"/>
      <c r="CD43" s="307"/>
      <c r="CE43" s="547"/>
      <c r="CF43" s="322"/>
      <c r="CG43" s="408"/>
      <c r="CH43" s="307"/>
      <c r="CI43" s="408"/>
      <c r="CJ43" s="322"/>
      <c r="CK43" s="408"/>
      <c r="CL43" s="307"/>
      <c r="CM43" s="408"/>
      <c r="CN43" s="322"/>
      <c r="CO43" s="408"/>
      <c r="CP43" s="307"/>
      <c r="CQ43" s="408"/>
      <c r="CR43" s="322"/>
      <c r="CS43" s="408"/>
      <c r="CT43" s="307"/>
      <c r="CU43" s="408"/>
      <c r="CV43" s="322"/>
      <c r="CW43" s="408"/>
      <c r="CX43" s="307"/>
      <c r="CY43" s="408"/>
      <c r="CZ43" s="322"/>
      <c r="DA43" s="408"/>
      <c r="DB43" s="307"/>
      <c r="DC43" s="408"/>
      <c r="DD43" s="322"/>
      <c r="DE43" s="408"/>
      <c r="DF43" s="307"/>
      <c r="DG43" s="408"/>
      <c r="DH43" s="322"/>
      <c r="DI43" s="408"/>
      <c r="DJ43" s="307"/>
      <c r="DK43" s="408"/>
      <c r="DL43" s="322"/>
      <c r="DM43" s="408"/>
      <c r="DN43" s="307"/>
      <c r="DO43" s="408"/>
      <c r="DP43" s="340"/>
      <c r="DQ43" s="328"/>
      <c r="DR43" s="328"/>
      <c r="DS43" s="329"/>
      <c r="DT43" s="329"/>
      <c r="DU43" s="322"/>
      <c r="DV43" s="408"/>
      <c r="DW43" s="307"/>
      <c r="DX43" s="408"/>
      <c r="DY43" s="322"/>
      <c r="DZ43" s="408"/>
      <c r="EA43" s="307"/>
      <c r="EB43" s="408"/>
      <c r="EC43" s="322"/>
      <c r="ED43" s="408"/>
      <c r="EE43" s="307"/>
      <c r="EF43" s="547"/>
      <c r="EG43" s="322"/>
      <c r="EH43" s="408"/>
      <c r="EI43" s="307"/>
      <c r="EJ43" s="408"/>
      <c r="EK43" s="322"/>
      <c r="EL43" s="408"/>
      <c r="EM43" s="307"/>
      <c r="EN43" s="408"/>
      <c r="EO43" s="322"/>
      <c r="EP43" s="408"/>
      <c r="EQ43" s="307"/>
      <c r="ER43" s="408"/>
      <c r="ES43" s="322"/>
      <c r="ET43" s="408"/>
      <c r="EU43" s="307"/>
      <c r="EV43" s="408"/>
      <c r="EW43" s="322"/>
      <c r="EX43" s="408"/>
      <c r="EY43" s="307"/>
      <c r="EZ43" s="408"/>
      <c r="FA43" s="322"/>
      <c r="FB43" s="408"/>
      <c r="FC43" s="307"/>
      <c r="FD43" s="408"/>
      <c r="FE43" s="322"/>
      <c r="FF43" s="408"/>
      <c r="FG43" s="307"/>
      <c r="FH43" s="408"/>
      <c r="FI43" s="322"/>
      <c r="FJ43" s="408"/>
      <c r="FK43" s="307"/>
      <c r="FL43" s="408"/>
      <c r="FM43" s="322"/>
      <c r="FN43" s="408"/>
      <c r="FO43" s="307"/>
      <c r="FP43" s="408"/>
      <c r="FQ43" s="340"/>
      <c r="FR43" s="328"/>
      <c r="FS43" s="328"/>
      <c r="FT43" s="360"/>
    </row>
    <row r="44" spans="1:176" s="14" customFormat="1" outlineLevel="2">
      <c r="A44" s="375" t="s">
        <v>481</v>
      </c>
      <c r="B44" s="387" t="s">
        <v>44</v>
      </c>
      <c r="C44" s="311" t="s">
        <v>72</v>
      </c>
      <c r="D44" s="575" t="s">
        <v>32</v>
      </c>
      <c r="E44" s="284">
        <f>IF(ISBLANK(G44),"",IF($A$6:$A$330=$A44,COUNTIF($A$6:A44,$A44),""))</f>
        <v>16</v>
      </c>
      <c r="F44" s="284">
        <v>2</v>
      </c>
      <c r="G44" s="304">
        <v>4493711800</v>
      </c>
      <c r="H44" s="602" t="s">
        <v>85</v>
      </c>
      <c r="I44" s="663">
        <f>J44/ЮАНЬ_2025_08_29</f>
        <v>907.75956284153006</v>
      </c>
      <c r="J44" s="623">
        <f>12459/НДС</f>
        <v>10212.295081967213</v>
      </c>
      <c r="K44" s="113" t="s">
        <v>95</v>
      </c>
      <c r="L44" s="617">
        <f t="shared" si="13"/>
        <v>907.75956284153006</v>
      </c>
      <c r="M44" s="305"/>
      <c r="N44" s="305">
        <f t="shared" si="0"/>
        <v>2</v>
      </c>
      <c r="O44" s="322"/>
      <c r="P44" s="408"/>
      <c r="Q44" s="307"/>
      <c r="R44" s="408"/>
      <c r="S44" s="322"/>
      <c r="T44" s="408"/>
      <c r="U44" s="307"/>
      <c r="V44" s="408"/>
      <c r="W44" s="322"/>
      <c r="X44" s="408"/>
      <c r="Y44" s="307"/>
      <c r="Z44" s="386"/>
      <c r="AA44" s="322"/>
      <c r="AB44" s="408"/>
      <c r="AC44" s="307"/>
      <c r="AD44" s="408"/>
      <c r="AE44" s="322"/>
      <c r="AF44" s="408"/>
      <c r="AG44" s="25">
        <v>0</v>
      </c>
      <c r="AH44" s="408"/>
      <c r="AI44" s="322"/>
      <c r="AJ44" s="408">
        <f>2</f>
        <v>2</v>
      </c>
      <c r="AK44" s="307"/>
      <c r="AL44" s="408"/>
      <c r="AM44" s="322"/>
      <c r="AN44" s="408"/>
      <c r="AO44" s="307"/>
      <c r="AP44" s="408"/>
      <c r="AQ44" s="322"/>
      <c r="AR44" s="408"/>
      <c r="AS44" s="307"/>
      <c r="AT44" s="408"/>
      <c r="AU44" s="322"/>
      <c r="AV44" s="408"/>
      <c r="AW44" s="307"/>
      <c r="AX44" s="408"/>
      <c r="AY44" s="322"/>
      <c r="AZ44" s="408"/>
      <c r="BA44" s="307"/>
      <c r="BB44" s="408"/>
      <c r="BC44" s="322"/>
      <c r="BD44" s="408"/>
      <c r="BE44" s="307"/>
      <c r="BF44" s="408"/>
      <c r="BG44" s="322"/>
      <c r="BH44" s="408"/>
      <c r="BI44" s="307"/>
      <c r="BJ44" s="408"/>
      <c r="BK44" s="340"/>
      <c r="BL44" s="328">
        <f t="shared" si="1"/>
        <v>0</v>
      </c>
      <c r="BM44" s="328">
        <f t="shared" si="2"/>
        <v>0</v>
      </c>
      <c r="BN44" s="324">
        <f t="shared" si="3"/>
        <v>2</v>
      </c>
      <c r="BO44" s="325">
        <f t="shared" si="4"/>
        <v>1815.5191256830601</v>
      </c>
      <c r="BP44" s="326">
        <f t="shared" si="5"/>
        <v>0</v>
      </c>
      <c r="BQ44" s="327">
        <f t="shared" si="6"/>
        <v>0</v>
      </c>
      <c r="BR44" s="329"/>
      <c r="BS44" s="329"/>
      <c r="BT44" s="322"/>
      <c r="BU44" s="408"/>
      <c r="BV44" s="307"/>
      <c r="BW44" s="408"/>
      <c r="BX44" s="322"/>
      <c r="BY44" s="408"/>
      <c r="BZ44" s="307"/>
      <c r="CA44" s="408"/>
      <c r="CB44" s="322"/>
      <c r="CC44" s="408"/>
      <c r="CD44" s="307"/>
      <c r="CE44" s="386"/>
      <c r="CF44" s="322"/>
      <c r="CG44" s="408"/>
      <c r="CH44" s="307"/>
      <c r="CI44" s="408"/>
      <c r="CJ44" s="322"/>
      <c r="CK44" s="408"/>
      <c r="CL44" s="307"/>
      <c r="CM44" s="408"/>
      <c r="CN44" s="322"/>
      <c r="CO44" s="408"/>
      <c r="CP44" s="307"/>
      <c r="CQ44" s="408"/>
      <c r="CR44" s="322"/>
      <c r="CS44" s="408"/>
      <c r="CT44" s="307"/>
      <c r="CU44" s="408"/>
      <c r="CV44" s="322"/>
      <c r="CW44" s="408"/>
      <c r="CX44" s="307"/>
      <c r="CY44" s="408"/>
      <c r="CZ44" s="322"/>
      <c r="DA44" s="408"/>
      <c r="DB44" s="307"/>
      <c r="DC44" s="408"/>
      <c r="DD44" s="322"/>
      <c r="DE44" s="408"/>
      <c r="DF44" s="307"/>
      <c r="DG44" s="408"/>
      <c r="DH44" s="322"/>
      <c r="DI44" s="408"/>
      <c r="DJ44" s="307"/>
      <c r="DK44" s="408"/>
      <c r="DL44" s="322"/>
      <c r="DM44" s="408"/>
      <c r="DN44" s="307"/>
      <c r="DO44" s="408"/>
      <c r="DP44" s="340"/>
      <c r="DQ44" s="328">
        <f t="shared" si="14"/>
        <v>0</v>
      </c>
      <c r="DR44" s="328">
        <f t="shared" si="15"/>
        <v>0</v>
      </c>
      <c r="DS44" s="329"/>
      <c r="DT44" s="329"/>
      <c r="DU44" s="322"/>
      <c r="DV44" s="408"/>
      <c r="DW44" s="307"/>
      <c r="DX44" s="408"/>
      <c r="DY44" s="322"/>
      <c r="DZ44" s="408"/>
      <c r="EA44" s="307"/>
      <c r="EB44" s="408"/>
      <c r="EC44" s="322"/>
      <c r="ED44" s="408"/>
      <c r="EE44" s="307"/>
      <c r="EF44" s="386"/>
      <c r="EG44" s="322"/>
      <c r="EH44" s="408"/>
      <c r="EI44" s="307"/>
      <c r="EJ44" s="408"/>
      <c r="EK44" s="322"/>
      <c r="EL44" s="408"/>
      <c r="EM44" s="307"/>
      <c r="EN44" s="408"/>
      <c r="EO44" s="322"/>
      <c r="EP44" s="408"/>
      <c r="EQ44" s="307"/>
      <c r="ER44" s="408"/>
      <c r="ES44" s="322"/>
      <c r="ET44" s="408"/>
      <c r="EU44" s="307"/>
      <c r="EV44" s="408"/>
      <c r="EW44" s="322"/>
      <c r="EX44" s="408"/>
      <c r="EY44" s="307"/>
      <c r="EZ44" s="408"/>
      <c r="FA44" s="322"/>
      <c r="FB44" s="408"/>
      <c r="FC44" s="307"/>
      <c r="FD44" s="408"/>
      <c r="FE44" s="322"/>
      <c r="FF44" s="408"/>
      <c r="FG44" s="307"/>
      <c r="FH44" s="408"/>
      <c r="FI44" s="322"/>
      <c r="FJ44" s="408"/>
      <c r="FK44" s="307"/>
      <c r="FL44" s="408"/>
      <c r="FM44" s="322"/>
      <c r="FN44" s="408"/>
      <c r="FO44" s="307"/>
      <c r="FP44" s="408"/>
      <c r="FQ44" s="340"/>
      <c r="FR44" s="328">
        <f t="shared" si="16"/>
        <v>0</v>
      </c>
      <c r="FS44" s="328">
        <f t="shared" si="17"/>
        <v>0</v>
      </c>
      <c r="FT44" s="360"/>
    </row>
    <row r="45" spans="1:176" s="14" customFormat="1" outlineLevel="2">
      <c r="A45" s="375" t="s">
        <v>481</v>
      </c>
      <c r="B45" s="387" t="s">
        <v>44</v>
      </c>
      <c r="C45" s="311" t="s">
        <v>72</v>
      </c>
      <c r="D45" s="575" t="s">
        <v>32</v>
      </c>
      <c r="E45" s="284">
        <f>IF(ISBLANK(G45),"",IF($A$6:$A$330=$A45,COUNTIF($A$6:A45,$A45),""))</f>
        <v>17</v>
      </c>
      <c r="F45" s="284">
        <v>2</v>
      </c>
      <c r="G45" s="304">
        <v>4460084042</v>
      </c>
      <c r="H45" s="602" t="s">
        <v>86</v>
      </c>
      <c r="I45" s="663">
        <f>J45/ЮАНЬ_2025_08_29</f>
        <v>226.88524590163934</v>
      </c>
      <c r="J45" s="623">
        <f>3114/НДС</f>
        <v>2552.4590163934427</v>
      </c>
      <c r="K45" s="113" t="s">
        <v>95</v>
      </c>
      <c r="L45" s="617">
        <f t="shared" si="13"/>
        <v>226.88524590163934</v>
      </c>
      <c r="M45" s="305"/>
      <c r="N45" s="305">
        <f t="shared" si="0"/>
        <v>2</v>
      </c>
      <c r="O45" s="322"/>
      <c r="P45" s="408"/>
      <c r="Q45" s="307"/>
      <c r="R45" s="408"/>
      <c r="S45" s="322"/>
      <c r="T45" s="408"/>
      <c r="U45" s="307"/>
      <c r="V45" s="408"/>
      <c r="W45" s="322"/>
      <c r="X45" s="408"/>
      <c r="Y45" s="307"/>
      <c r="Z45" s="386"/>
      <c r="AA45" s="322"/>
      <c r="AB45" s="408"/>
      <c r="AC45" s="307"/>
      <c r="AD45" s="408"/>
      <c r="AE45" s="322"/>
      <c r="AF45" s="408"/>
      <c r="AG45" s="25">
        <v>0</v>
      </c>
      <c r="AH45" s="408"/>
      <c r="AI45" s="322"/>
      <c r="AJ45" s="408">
        <f>2</f>
        <v>2</v>
      </c>
      <c r="AK45" s="307"/>
      <c r="AL45" s="408"/>
      <c r="AM45" s="322"/>
      <c r="AN45" s="408"/>
      <c r="AO45" s="307"/>
      <c r="AP45" s="408"/>
      <c r="AQ45" s="322"/>
      <c r="AR45" s="408"/>
      <c r="AS45" s="307"/>
      <c r="AT45" s="408"/>
      <c r="AU45" s="322"/>
      <c r="AV45" s="408"/>
      <c r="AW45" s="307"/>
      <c r="AX45" s="408"/>
      <c r="AY45" s="322"/>
      <c r="AZ45" s="408"/>
      <c r="BA45" s="307"/>
      <c r="BB45" s="408"/>
      <c r="BC45" s="322"/>
      <c r="BD45" s="408"/>
      <c r="BE45" s="307"/>
      <c r="BF45" s="408"/>
      <c r="BG45" s="322"/>
      <c r="BH45" s="408"/>
      <c r="BI45" s="307"/>
      <c r="BJ45" s="408"/>
      <c r="BK45" s="340"/>
      <c r="BL45" s="328">
        <f t="shared" si="1"/>
        <v>0</v>
      </c>
      <c r="BM45" s="328">
        <f t="shared" si="2"/>
        <v>0</v>
      </c>
      <c r="BN45" s="324">
        <f t="shared" si="3"/>
        <v>2</v>
      </c>
      <c r="BO45" s="325">
        <f t="shared" si="4"/>
        <v>453.77049180327867</v>
      </c>
      <c r="BP45" s="326">
        <f t="shared" si="5"/>
        <v>0</v>
      </c>
      <c r="BQ45" s="327">
        <f t="shared" si="6"/>
        <v>0</v>
      </c>
      <c r="BR45" s="329"/>
      <c r="BS45" s="329"/>
      <c r="BT45" s="322"/>
      <c r="BU45" s="408"/>
      <c r="BV45" s="307"/>
      <c r="BW45" s="408"/>
      <c r="BX45" s="322"/>
      <c r="BY45" s="408"/>
      <c r="BZ45" s="307"/>
      <c r="CA45" s="408"/>
      <c r="CB45" s="322"/>
      <c r="CC45" s="408"/>
      <c r="CD45" s="307"/>
      <c r="CE45" s="386"/>
      <c r="CF45" s="322"/>
      <c r="CG45" s="408"/>
      <c r="CH45" s="307"/>
      <c r="CI45" s="408"/>
      <c r="CJ45" s="322"/>
      <c r="CK45" s="408"/>
      <c r="CL45" s="307"/>
      <c r="CM45" s="408"/>
      <c r="CN45" s="322"/>
      <c r="CO45" s="408"/>
      <c r="CP45" s="307"/>
      <c r="CQ45" s="408"/>
      <c r="CR45" s="322"/>
      <c r="CS45" s="408"/>
      <c r="CT45" s="307"/>
      <c r="CU45" s="408"/>
      <c r="CV45" s="322"/>
      <c r="CW45" s="408"/>
      <c r="CX45" s="307"/>
      <c r="CY45" s="408"/>
      <c r="CZ45" s="322"/>
      <c r="DA45" s="408"/>
      <c r="DB45" s="307"/>
      <c r="DC45" s="408"/>
      <c r="DD45" s="322"/>
      <c r="DE45" s="408"/>
      <c r="DF45" s="307"/>
      <c r="DG45" s="408"/>
      <c r="DH45" s="322"/>
      <c r="DI45" s="408"/>
      <c r="DJ45" s="307"/>
      <c r="DK45" s="408"/>
      <c r="DL45" s="322"/>
      <c r="DM45" s="408"/>
      <c r="DN45" s="307"/>
      <c r="DO45" s="408"/>
      <c r="DP45" s="340"/>
      <c r="DQ45" s="328">
        <f t="shared" si="14"/>
        <v>0</v>
      </c>
      <c r="DR45" s="328">
        <f t="shared" si="15"/>
        <v>0</v>
      </c>
      <c r="DS45" s="329"/>
      <c r="DT45" s="329"/>
      <c r="DU45" s="322"/>
      <c r="DV45" s="408"/>
      <c r="DW45" s="307"/>
      <c r="DX45" s="408"/>
      <c r="DY45" s="322"/>
      <c r="DZ45" s="408"/>
      <c r="EA45" s="307"/>
      <c r="EB45" s="408"/>
      <c r="EC45" s="322"/>
      <c r="ED45" s="408"/>
      <c r="EE45" s="307"/>
      <c r="EF45" s="386"/>
      <c r="EG45" s="322"/>
      <c r="EH45" s="408"/>
      <c r="EI45" s="307"/>
      <c r="EJ45" s="408"/>
      <c r="EK45" s="322"/>
      <c r="EL45" s="408"/>
      <c r="EM45" s="307"/>
      <c r="EN45" s="408"/>
      <c r="EO45" s="322"/>
      <c r="EP45" s="408"/>
      <c r="EQ45" s="307"/>
      <c r="ER45" s="408"/>
      <c r="ES45" s="322"/>
      <c r="ET45" s="408"/>
      <c r="EU45" s="307"/>
      <c r="EV45" s="408"/>
      <c r="EW45" s="322"/>
      <c r="EX45" s="408"/>
      <c r="EY45" s="307"/>
      <c r="EZ45" s="408"/>
      <c r="FA45" s="322"/>
      <c r="FB45" s="408"/>
      <c r="FC45" s="307"/>
      <c r="FD45" s="408"/>
      <c r="FE45" s="322"/>
      <c r="FF45" s="408"/>
      <c r="FG45" s="307"/>
      <c r="FH45" s="408"/>
      <c r="FI45" s="322"/>
      <c r="FJ45" s="408"/>
      <c r="FK45" s="307"/>
      <c r="FL45" s="408"/>
      <c r="FM45" s="322"/>
      <c r="FN45" s="408"/>
      <c r="FO45" s="307"/>
      <c r="FP45" s="408"/>
      <c r="FQ45" s="340"/>
      <c r="FR45" s="328">
        <f t="shared" si="16"/>
        <v>0</v>
      </c>
      <c r="FS45" s="328">
        <f t="shared" si="17"/>
        <v>0</v>
      </c>
      <c r="FT45" s="360"/>
    </row>
    <row r="46" spans="1:176" s="14" customFormat="1" outlineLevel="2">
      <c r="A46" s="56" t="s">
        <v>481</v>
      </c>
      <c r="B46" s="387"/>
      <c r="C46" s="173"/>
      <c r="D46" s="565"/>
      <c r="E46" s="13" t="str">
        <f>IF(ISBLANK(G46),"",IF($A$6:$A$330=$A46,COUNTIF($A$6:A46,$A46),""))</f>
        <v/>
      </c>
      <c r="F46" s="13"/>
      <c r="G46" s="111"/>
      <c r="H46" s="607" t="s">
        <v>43</v>
      </c>
      <c r="I46" s="617"/>
      <c r="J46" s="617"/>
      <c r="K46" s="113"/>
      <c r="L46" s="617" t="str">
        <f t="shared" si="13"/>
        <v/>
      </c>
      <c r="M46" s="102"/>
      <c r="N46" s="305">
        <f t="shared" si="0"/>
        <v>0</v>
      </c>
      <c r="O46" s="40"/>
      <c r="P46" s="41"/>
      <c r="Q46" s="42"/>
      <c r="R46" s="41"/>
      <c r="S46" s="40"/>
      <c r="T46" s="41"/>
      <c r="U46" s="42"/>
      <c r="V46" s="41"/>
      <c r="W46" s="40"/>
      <c r="X46" s="41"/>
      <c r="Y46" s="42"/>
      <c r="Z46" s="41"/>
      <c r="AA46" s="40"/>
      <c r="AB46" s="41"/>
      <c r="AC46" s="25"/>
      <c r="AD46" s="41"/>
      <c r="AE46" s="40"/>
      <c r="AF46" s="41"/>
      <c r="AG46" s="42"/>
      <c r="AH46" s="41"/>
      <c r="AI46" s="40"/>
      <c r="AJ46" s="41"/>
      <c r="AK46" s="42"/>
      <c r="AL46" s="41"/>
      <c r="AM46" s="40"/>
      <c r="AN46" s="41"/>
      <c r="AO46" s="42"/>
      <c r="AP46" s="41"/>
      <c r="AQ46" s="40"/>
      <c r="AR46" s="41"/>
      <c r="AS46" s="42"/>
      <c r="AT46" s="41"/>
      <c r="AU46" s="40"/>
      <c r="AV46" s="41"/>
      <c r="AW46" s="42"/>
      <c r="AX46" s="41"/>
      <c r="AY46" s="40"/>
      <c r="AZ46" s="41"/>
      <c r="BA46" s="42"/>
      <c r="BB46" s="41"/>
      <c r="BC46" s="40"/>
      <c r="BD46" s="41"/>
      <c r="BE46" s="42"/>
      <c r="BF46" s="41"/>
      <c r="BG46" s="40"/>
      <c r="BH46" s="41"/>
      <c r="BI46" s="42"/>
      <c r="BJ46" s="43"/>
      <c r="BK46" s="341"/>
      <c r="BL46" s="27">
        <f t="shared" si="1"/>
        <v>0</v>
      </c>
      <c r="BM46" s="27">
        <f t="shared" si="2"/>
        <v>0</v>
      </c>
      <c r="BN46" s="28">
        <f t="shared" si="3"/>
        <v>0</v>
      </c>
      <c r="BO46" s="29">
        <f t="shared" si="4"/>
        <v>0</v>
      </c>
      <c r="BP46" s="30">
        <f t="shared" si="5"/>
        <v>0</v>
      </c>
      <c r="BQ46" s="31">
        <f t="shared" si="6"/>
        <v>0</v>
      </c>
      <c r="BR46" s="11"/>
      <c r="BS46" s="329"/>
      <c r="BT46" s="40"/>
      <c r="BU46" s="41"/>
      <c r="BV46" s="42"/>
      <c r="BW46" s="41"/>
      <c r="BX46" s="40"/>
      <c r="BY46" s="41"/>
      <c r="BZ46" s="42"/>
      <c r="CA46" s="41"/>
      <c r="CB46" s="40"/>
      <c r="CC46" s="41"/>
      <c r="CD46" s="42"/>
      <c r="CE46" s="41"/>
      <c r="CF46" s="40"/>
      <c r="CG46" s="41"/>
      <c r="CH46" s="25"/>
      <c r="CI46" s="41"/>
      <c r="CJ46" s="40"/>
      <c r="CK46" s="41"/>
      <c r="CL46" s="42"/>
      <c r="CM46" s="41"/>
      <c r="CN46" s="40"/>
      <c r="CO46" s="41"/>
      <c r="CP46" s="42"/>
      <c r="CQ46" s="41"/>
      <c r="CR46" s="40"/>
      <c r="CS46" s="41"/>
      <c r="CT46" s="42"/>
      <c r="CU46" s="41"/>
      <c r="CV46" s="40"/>
      <c r="CW46" s="41"/>
      <c r="CX46" s="42"/>
      <c r="CY46" s="41"/>
      <c r="CZ46" s="40"/>
      <c r="DA46" s="41"/>
      <c r="DB46" s="42"/>
      <c r="DC46" s="41"/>
      <c r="DD46" s="40"/>
      <c r="DE46" s="41"/>
      <c r="DF46" s="42"/>
      <c r="DG46" s="41"/>
      <c r="DH46" s="40"/>
      <c r="DI46" s="41"/>
      <c r="DJ46" s="42"/>
      <c r="DK46" s="41"/>
      <c r="DL46" s="40"/>
      <c r="DM46" s="41"/>
      <c r="DN46" s="42"/>
      <c r="DO46" s="43"/>
      <c r="DP46" s="341"/>
      <c r="DQ46" s="27">
        <f t="shared" si="14"/>
        <v>0</v>
      </c>
      <c r="DR46" s="27">
        <f t="shared" si="15"/>
        <v>0</v>
      </c>
      <c r="DS46" s="11"/>
      <c r="DT46" s="329"/>
      <c r="DU46" s="40"/>
      <c r="DV46" s="41"/>
      <c r="DW46" s="42"/>
      <c r="DX46" s="41"/>
      <c r="DY46" s="40"/>
      <c r="DZ46" s="41"/>
      <c r="EA46" s="42"/>
      <c r="EB46" s="41"/>
      <c r="EC46" s="40"/>
      <c r="ED46" s="41"/>
      <c r="EE46" s="42"/>
      <c r="EF46" s="41"/>
      <c r="EG46" s="40"/>
      <c r="EH46" s="41"/>
      <c r="EI46" s="25"/>
      <c r="EJ46" s="41"/>
      <c r="EK46" s="40"/>
      <c r="EL46" s="41"/>
      <c r="EM46" s="42"/>
      <c r="EN46" s="41"/>
      <c r="EO46" s="40"/>
      <c r="EP46" s="41"/>
      <c r="EQ46" s="42"/>
      <c r="ER46" s="41"/>
      <c r="ES46" s="40"/>
      <c r="ET46" s="41"/>
      <c r="EU46" s="42"/>
      <c r="EV46" s="41"/>
      <c r="EW46" s="40"/>
      <c r="EX46" s="41"/>
      <c r="EY46" s="42"/>
      <c r="EZ46" s="41"/>
      <c r="FA46" s="40"/>
      <c r="FB46" s="41"/>
      <c r="FC46" s="42"/>
      <c r="FD46" s="41"/>
      <c r="FE46" s="40"/>
      <c r="FF46" s="41"/>
      <c r="FG46" s="42"/>
      <c r="FH46" s="41"/>
      <c r="FI46" s="40"/>
      <c r="FJ46" s="41"/>
      <c r="FK46" s="42"/>
      <c r="FL46" s="41"/>
      <c r="FM46" s="40"/>
      <c r="FN46" s="41"/>
      <c r="FO46" s="42"/>
      <c r="FP46" s="43"/>
      <c r="FQ46" s="341"/>
      <c r="FR46" s="27">
        <f t="shared" si="16"/>
        <v>0</v>
      </c>
      <c r="FS46" s="27">
        <f t="shared" si="17"/>
        <v>0</v>
      </c>
      <c r="FT46" s="360"/>
    </row>
    <row r="47" spans="1:176" s="116" customFormat="1" outlineLevel="1">
      <c r="A47" s="46" t="s">
        <v>481</v>
      </c>
      <c r="B47" s="388"/>
      <c r="C47" s="650"/>
      <c r="D47" s="651"/>
      <c r="E47" s="118" t="str">
        <f>IF(ISBLANK(G47),"",IF($A$6:$A$330=$A47,COUNTIF($A$6:A47,$A47),""))</f>
        <v/>
      </c>
      <c r="F47" s="117"/>
      <c r="G47" s="119"/>
      <c r="H47" s="608"/>
      <c r="I47" s="620"/>
      <c r="J47" s="620"/>
      <c r="K47" s="120"/>
      <c r="L47" s="620" t="str">
        <f t="shared" si="13"/>
        <v/>
      </c>
      <c r="M47" s="102"/>
      <c r="N47" s="305">
        <f t="shared" si="0"/>
        <v>0</v>
      </c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356"/>
      <c r="BL47" s="52">
        <f t="shared" si="1"/>
        <v>0</v>
      </c>
      <c r="BM47" s="52">
        <f t="shared" si="2"/>
        <v>0</v>
      </c>
      <c r="BN47" s="52">
        <f t="shared" si="3"/>
        <v>0</v>
      </c>
      <c r="BO47" s="52">
        <f t="shared" si="4"/>
        <v>0</v>
      </c>
      <c r="BP47" s="52">
        <f t="shared" si="5"/>
        <v>0</v>
      </c>
      <c r="BQ47" s="52">
        <f t="shared" si="6"/>
        <v>0</v>
      </c>
      <c r="BR47" s="51"/>
      <c r="BS47" s="335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356"/>
      <c r="DQ47" s="52">
        <f t="shared" si="14"/>
        <v>0</v>
      </c>
      <c r="DR47" s="52">
        <f t="shared" si="15"/>
        <v>0</v>
      </c>
      <c r="DS47" s="51"/>
      <c r="DT47" s="335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356"/>
      <c r="FR47" s="52">
        <f t="shared" si="16"/>
        <v>0</v>
      </c>
      <c r="FS47" s="52">
        <f t="shared" si="17"/>
        <v>0</v>
      </c>
      <c r="FT47" s="343"/>
    </row>
    <row r="48" spans="1:176" s="14" customFormat="1" outlineLevel="2">
      <c r="A48" s="411" t="s">
        <v>478</v>
      </c>
      <c r="B48" s="387" t="s">
        <v>44</v>
      </c>
      <c r="C48" s="541" t="s">
        <v>31</v>
      </c>
      <c r="D48" s="565" t="s">
        <v>32</v>
      </c>
      <c r="E48" s="10">
        <f>IF(ISBLANK(G48),"",IF($A$6:$A$330=$A48,COUNTIF($A$6:A48,$A48),""))</f>
        <v>1</v>
      </c>
      <c r="F48" s="10">
        <v>1</v>
      </c>
      <c r="G48" s="55">
        <v>4231069000</v>
      </c>
      <c r="H48" s="54" t="s">
        <v>52</v>
      </c>
      <c r="I48" s="617">
        <f>145/НДС_20</f>
        <v>120.83333333333334</v>
      </c>
      <c r="J48" s="617"/>
      <c r="K48" s="112"/>
      <c r="L48" s="617"/>
      <c r="M48" s="305"/>
      <c r="N48" s="305">
        <f t="shared" si="0"/>
        <v>0</v>
      </c>
      <c r="O48" s="322"/>
      <c r="P48" s="408"/>
      <c r="Q48" s="307"/>
      <c r="R48" s="408"/>
      <c r="S48" s="322"/>
      <c r="T48" s="408"/>
      <c r="U48" s="307"/>
      <c r="V48" s="408"/>
      <c r="W48" s="322"/>
      <c r="X48" s="408"/>
      <c r="Y48" s="307"/>
      <c r="Z48" s="408"/>
      <c r="AA48" s="322"/>
      <c r="AB48" s="408"/>
      <c r="AC48" s="307"/>
      <c r="AD48" s="408"/>
      <c r="AE48" s="322"/>
      <c r="AF48" s="408"/>
      <c r="AG48" s="307">
        <v>0</v>
      </c>
      <c r="AH48" s="408"/>
      <c r="AI48" s="322"/>
      <c r="AJ48" s="408"/>
      <c r="AK48" s="307"/>
      <c r="AL48" s="408"/>
      <c r="AM48" s="322"/>
      <c r="AN48" s="408"/>
      <c r="AO48" s="307"/>
      <c r="AP48" s="408"/>
      <c r="AQ48" s="322"/>
      <c r="AR48" s="408"/>
      <c r="AS48" s="307"/>
      <c r="AT48" s="408"/>
      <c r="AU48" s="322"/>
      <c r="AV48" s="408"/>
      <c r="AW48" s="307"/>
      <c r="AX48" s="408"/>
      <c r="AY48" s="322"/>
      <c r="AZ48" s="408"/>
      <c r="BA48" s="307"/>
      <c r="BB48" s="408"/>
      <c r="BC48" s="322"/>
      <c r="BD48" s="408"/>
      <c r="BE48" s="307"/>
      <c r="BF48" s="408"/>
      <c r="BG48" s="322"/>
      <c r="BH48" s="408"/>
      <c r="BI48" s="307"/>
      <c r="BJ48" s="408"/>
      <c r="BK48" s="340"/>
      <c r="BL48" s="328">
        <f t="shared" si="1"/>
        <v>0</v>
      </c>
      <c r="BM48" s="328">
        <f t="shared" si="2"/>
        <v>0</v>
      </c>
      <c r="BN48" s="324">
        <f t="shared" si="3"/>
        <v>0</v>
      </c>
      <c r="BO48" s="325">
        <f t="shared" si="4"/>
        <v>0</v>
      </c>
      <c r="BP48" s="326">
        <f t="shared" si="5"/>
        <v>0</v>
      </c>
      <c r="BQ48" s="327">
        <f t="shared" si="6"/>
        <v>0</v>
      </c>
      <c r="BR48" s="329"/>
      <c r="BS48" s="329"/>
      <c r="BT48" s="488"/>
      <c r="BU48" s="489"/>
      <c r="BV48" s="490"/>
      <c r="BW48" s="489"/>
      <c r="BX48" s="488"/>
      <c r="BY48" s="489"/>
      <c r="BZ48" s="490"/>
      <c r="CA48" s="489"/>
      <c r="CB48" s="488"/>
      <c r="CC48" s="489"/>
      <c r="CD48" s="490"/>
      <c r="CE48" s="489"/>
      <c r="CF48" s="488"/>
      <c r="CG48" s="489"/>
      <c r="CH48" s="307"/>
      <c r="CI48" s="489"/>
      <c r="CJ48" s="488"/>
      <c r="CK48" s="489"/>
      <c r="CL48" s="490"/>
      <c r="CM48" s="489"/>
      <c r="CN48" s="488"/>
      <c r="CO48" s="489"/>
      <c r="CP48" s="490"/>
      <c r="CQ48" s="489"/>
      <c r="CR48" s="488"/>
      <c r="CS48" s="489"/>
      <c r="CT48" s="490"/>
      <c r="CU48" s="489"/>
      <c r="CV48" s="488"/>
      <c r="CW48" s="489"/>
      <c r="CX48" s="490"/>
      <c r="CY48" s="489"/>
      <c r="CZ48" s="488"/>
      <c r="DA48" s="489"/>
      <c r="DB48" s="490"/>
      <c r="DC48" s="489"/>
      <c r="DD48" s="488"/>
      <c r="DE48" s="489"/>
      <c r="DF48" s="490"/>
      <c r="DG48" s="489"/>
      <c r="DH48" s="488"/>
      <c r="DI48" s="489"/>
      <c r="DJ48" s="490"/>
      <c r="DK48" s="489"/>
      <c r="DL48" s="488"/>
      <c r="DM48" s="489"/>
      <c r="DN48" s="490"/>
      <c r="DO48" s="306"/>
      <c r="DP48" s="341"/>
      <c r="DQ48" s="323"/>
      <c r="DR48" s="323">
        <f t="shared" si="15"/>
        <v>0</v>
      </c>
      <c r="DS48" s="329"/>
      <c r="DT48" s="329"/>
      <c r="DU48" s="488"/>
      <c r="DV48" s="489"/>
      <c r="DW48" s="490"/>
      <c r="DX48" s="489"/>
      <c r="DY48" s="488"/>
      <c r="DZ48" s="489"/>
      <c r="EA48" s="490"/>
      <c r="EB48" s="489"/>
      <c r="EC48" s="488"/>
      <c r="ED48" s="489"/>
      <c r="EE48" s="490"/>
      <c r="EF48" s="489"/>
      <c r="EG48" s="488"/>
      <c r="EH48" s="489"/>
      <c r="EI48" s="307"/>
      <c r="EJ48" s="489"/>
      <c r="EK48" s="488"/>
      <c r="EL48" s="489"/>
      <c r="EM48" s="490"/>
      <c r="EN48" s="489"/>
      <c r="EO48" s="488"/>
      <c r="EP48" s="489"/>
      <c r="EQ48" s="490"/>
      <c r="ER48" s="489"/>
      <c r="ES48" s="488"/>
      <c r="ET48" s="489"/>
      <c r="EU48" s="490"/>
      <c r="EV48" s="489"/>
      <c r="EW48" s="488"/>
      <c r="EX48" s="489"/>
      <c r="EY48" s="490"/>
      <c r="EZ48" s="489"/>
      <c r="FA48" s="488"/>
      <c r="FB48" s="489"/>
      <c r="FC48" s="490"/>
      <c r="FD48" s="489"/>
      <c r="FE48" s="488"/>
      <c r="FF48" s="489"/>
      <c r="FG48" s="490"/>
      <c r="FH48" s="489"/>
      <c r="FI48" s="488"/>
      <c r="FJ48" s="489"/>
      <c r="FK48" s="490"/>
      <c r="FL48" s="489"/>
      <c r="FM48" s="488"/>
      <c r="FN48" s="489"/>
      <c r="FO48" s="490"/>
      <c r="FP48" s="306"/>
      <c r="FQ48" s="341"/>
      <c r="FR48" s="323"/>
      <c r="FS48" s="323">
        <f t="shared" si="17"/>
        <v>0</v>
      </c>
      <c r="FT48" s="360"/>
    </row>
    <row r="49" spans="1:176" s="14" customFormat="1" outlineLevel="2">
      <c r="A49" s="411" t="s">
        <v>478</v>
      </c>
      <c r="B49" s="387" t="s">
        <v>44</v>
      </c>
      <c r="C49" s="541" t="s">
        <v>31</v>
      </c>
      <c r="D49" s="565" t="s">
        <v>32</v>
      </c>
      <c r="E49" s="10">
        <f>IF(ISBLANK(G49),"",IF($A$6:$A$330=$A49,COUNTIF($A$6:A49,$A49),""))</f>
        <v>2</v>
      </c>
      <c r="F49" s="10">
        <v>1</v>
      </c>
      <c r="G49" s="55">
        <v>4231079000</v>
      </c>
      <c r="H49" s="54" t="s">
        <v>53</v>
      </c>
      <c r="I49" s="617">
        <f>153/НДС_20</f>
        <v>127.5</v>
      </c>
      <c r="J49" s="617"/>
      <c r="K49" s="112"/>
      <c r="L49" s="617"/>
      <c r="M49" s="305"/>
      <c r="N49" s="305">
        <f t="shared" si="0"/>
        <v>0</v>
      </c>
      <c r="O49" s="322"/>
      <c r="P49" s="408"/>
      <c r="Q49" s="307"/>
      <c r="R49" s="408"/>
      <c r="S49" s="322"/>
      <c r="T49" s="408"/>
      <c r="U49" s="307"/>
      <c r="V49" s="408"/>
      <c r="W49" s="322"/>
      <c r="X49" s="408"/>
      <c r="Y49" s="307"/>
      <c r="Z49" s="408"/>
      <c r="AA49" s="322"/>
      <c r="AB49" s="408"/>
      <c r="AC49" s="307"/>
      <c r="AD49" s="408"/>
      <c r="AE49" s="322"/>
      <c r="AF49" s="408"/>
      <c r="AG49" s="307">
        <v>0</v>
      </c>
      <c r="AH49" s="408"/>
      <c r="AI49" s="322"/>
      <c r="AJ49" s="408"/>
      <c r="AK49" s="307"/>
      <c r="AL49" s="408"/>
      <c r="AM49" s="322"/>
      <c r="AN49" s="408"/>
      <c r="AO49" s="307"/>
      <c r="AP49" s="408"/>
      <c r="AQ49" s="322"/>
      <c r="AR49" s="408"/>
      <c r="AS49" s="307"/>
      <c r="AT49" s="408"/>
      <c r="AU49" s="322"/>
      <c r="AV49" s="408"/>
      <c r="AW49" s="307"/>
      <c r="AX49" s="408"/>
      <c r="AY49" s="322"/>
      <c r="AZ49" s="408"/>
      <c r="BA49" s="307"/>
      <c r="BB49" s="408"/>
      <c r="BC49" s="322"/>
      <c r="BD49" s="408"/>
      <c r="BE49" s="307"/>
      <c r="BF49" s="408"/>
      <c r="BG49" s="322"/>
      <c r="BH49" s="408"/>
      <c r="BI49" s="307"/>
      <c r="BJ49" s="408"/>
      <c r="BK49" s="340"/>
      <c r="BL49" s="328">
        <f t="shared" si="1"/>
        <v>0</v>
      </c>
      <c r="BM49" s="328">
        <f t="shared" si="2"/>
        <v>0</v>
      </c>
      <c r="BN49" s="324">
        <f t="shared" si="3"/>
        <v>0</v>
      </c>
      <c r="BO49" s="325">
        <f t="shared" si="4"/>
        <v>0</v>
      </c>
      <c r="BP49" s="326">
        <f t="shared" si="5"/>
        <v>0</v>
      </c>
      <c r="BQ49" s="327">
        <f t="shared" si="6"/>
        <v>0</v>
      </c>
      <c r="BR49" s="329"/>
      <c r="BS49" s="329"/>
      <c r="BT49" s="488"/>
      <c r="BU49" s="489"/>
      <c r="BV49" s="490"/>
      <c r="BW49" s="489"/>
      <c r="BX49" s="488"/>
      <c r="BY49" s="489"/>
      <c r="BZ49" s="490"/>
      <c r="CA49" s="489"/>
      <c r="CB49" s="488"/>
      <c r="CC49" s="489"/>
      <c r="CD49" s="490"/>
      <c r="CE49" s="489"/>
      <c r="CF49" s="488"/>
      <c r="CG49" s="489"/>
      <c r="CH49" s="307"/>
      <c r="CI49" s="489"/>
      <c r="CJ49" s="488"/>
      <c r="CK49" s="489"/>
      <c r="CL49" s="490"/>
      <c r="CM49" s="489"/>
      <c r="CN49" s="488"/>
      <c r="CO49" s="489"/>
      <c r="CP49" s="490"/>
      <c r="CQ49" s="489"/>
      <c r="CR49" s="488"/>
      <c r="CS49" s="489"/>
      <c r="CT49" s="490"/>
      <c r="CU49" s="489"/>
      <c r="CV49" s="488"/>
      <c r="CW49" s="489"/>
      <c r="CX49" s="490"/>
      <c r="CY49" s="489"/>
      <c r="CZ49" s="488"/>
      <c r="DA49" s="489"/>
      <c r="DB49" s="490"/>
      <c r="DC49" s="489"/>
      <c r="DD49" s="488"/>
      <c r="DE49" s="489"/>
      <c r="DF49" s="490"/>
      <c r="DG49" s="489"/>
      <c r="DH49" s="488"/>
      <c r="DI49" s="489"/>
      <c r="DJ49" s="490"/>
      <c r="DK49" s="489"/>
      <c r="DL49" s="488"/>
      <c r="DM49" s="489"/>
      <c r="DN49" s="490"/>
      <c r="DO49" s="306"/>
      <c r="DP49" s="341"/>
      <c r="DQ49" s="323"/>
      <c r="DR49" s="323">
        <f t="shared" si="15"/>
        <v>0</v>
      </c>
      <c r="DS49" s="329"/>
      <c r="DT49" s="329"/>
      <c r="DU49" s="488"/>
      <c r="DV49" s="489"/>
      <c r="DW49" s="490"/>
      <c r="DX49" s="489"/>
      <c r="DY49" s="488"/>
      <c r="DZ49" s="489"/>
      <c r="EA49" s="490"/>
      <c r="EB49" s="489"/>
      <c r="EC49" s="488"/>
      <c r="ED49" s="489"/>
      <c r="EE49" s="490"/>
      <c r="EF49" s="489"/>
      <c r="EG49" s="488"/>
      <c r="EH49" s="489"/>
      <c r="EI49" s="307"/>
      <c r="EJ49" s="489"/>
      <c r="EK49" s="488"/>
      <c r="EL49" s="489"/>
      <c r="EM49" s="490"/>
      <c r="EN49" s="489"/>
      <c r="EO49" s="488"/>
      <c r="EP49" s="489"/>
      <c r="EQ49" s="490"/>
      <c r="ER49" s="489"/>
      <c r="ES49" s="488"/>
      <c r="ET49" s="489"/>
      <c r="EU49" s="490"/>
      <c r="EV49" s="489"/>
      <c r="EW49" s="488"/>
      <c r="EX49" s="489"/>
      <c r="EY49" s="490"/>
      <c r="EZ49" s="489"/>
      <c r="FA49" s="488"/>
      <c r="FB49" s="489"/>
      <c r="FC49" s="490"/>
      <c r="FD49" s="489"/>
      <c r="FE49" s="488"/>
      <c r="FF49" s="489"/>
      <c r="FG49" s="490"/>
      <c r="FH49" s="489"/>
      <c r="FI49" s="488"/>
      <c r="FJ49" s="489"/>
      <c r="FK49" s="490"/>
      <c r="FL49" s="489"/>
      <c r="FM49" s="488"/>
      <c r="FN49" s="489"/>
      <c r="FO49" s="490"/>
      <c r="FP49" s="306"/>
      <c r="FQ49" s="341"/>
      <c r="FR49" s="323"/>
      <c r="FS49" s="323">
        <f t="shared" si="17"/>
        <v>0</v>
      </c>
      <c r="FT49" s="360"/>
    </row>
    <row r="50" spans="1:176" s="14" customFormat="1" outlineLevel="2">
      <c r="A50" s="411" t="s">
        <v>478</v>
      </c>
      <c r="B50" s="387" t="s">
        <v>44</v>
      </c>
      <c r="C50" s="541" t="s">
        <v>31</v>
      </c>
      <c r="D50" s="565" t="s">
        <v>32</v>
      </c>
      <c r="E50" s="10">
        <f>IF(ISBLANK(G50),"",IF($A$6:$A$330=$A50,COUNTIF($A$6:A50,$A50),""))</f>
        <v>3</v>
      </c>
      <c r="F50" s="10">
        <v>1</v>
      </c>
      <c r="G50" s="55">
        <v>9253761210</v>
      </c>
      <c r="H50" s="54" t="s">
        <v>54</v>
      </c>
      <c r="I50" s="617">
        <f>301/НДС_20</f>
        <v>250.83333333333334</v>
      </c>
      <c r="J50" s="617"/>
      <c r="K50" s="112"/>
      <c r="L50" s="617"/>
      <c r="M50" s="305"/>
      <c r="N50" s="305">
        <f t="shared" si="0"/>
        <v>0</v>
      </c>
      <c r="O50" s="322"/>
      <c r="P50" s="408"/>
      <c r="Q50" s="307"/>
      <c r="R50" s="408"/>
      <c r="S50" s="322"/>
      <c r="T50" s="408"/>
      <c r="U50" s="307"/>
      <c r="V50" s="408"/>
      <c r="W50" s="322"/>
      <c r="X50" s="408"/>
      <c r="Y50" s="307"/>
      <c r="Z50" s="408"/>
      <c r="AA50" s="322"/>
      <c r="AB50" s="408"/>
      <c r="AC50" s="307"/>
      <c r="AD50" s="408"/>
      <c r="AE50" s="322"/>
      <c r="AF50" s="408"/>
      <c r="AG50" s="307">
        <v>0</v>
      </c>
      <c r="AH50" s="408"/>
      <c r="AI50" s="322"/>
      <c r="AJ50" s="408"/>
      <c r="AK50" s="307"/>
      <c r="AL50" s="408"/>
      <c r="AM50" s="322"/>
      <c r="AN50" s="408"/>
      <c r="AO50" s="307"/>
      <c r="AP50" s="408"/>
      <c r="AQ50" s="322"/>
      <c r="AR50" s="408"/>
      <c r="AS50" s="307"/>
      <c r="AT50" s="408"/>
      <c r="AU50" s="322"/>
      <c r="AV50" s="408"/>
      <c r="AW50" s="307"/>
      <c r="AX50" s="408"/>
      <c r="AY50" s="322"/>
      <c r="AZ50" s="408"/>
      <c r="BA50" s="307"/>
      <c r="BB50" s="408"/>
      <c r="BC50" s="322"/>
      <c r="BD50" s="408"/>
      <c r="BE50" s="307"/>
      <c r="BF50" s="408"/>
      <c r="BG50" s="322"/>
      <c r="BH50" s="408"/>
      <c r="BI50" s="307"/>
      <c r="BJ50" s="408"/>
      <c r="BK50" s="340"/>
      <c r="BL50" s="328">
        <f t="shared" si="1"/>
        <v>0</v>
      </c>
      <c r="BM50" s="328">
        <f t="shared" si="2"/>
        <v>0</v>
      </c>
      <c r="BN50" s="324">
        <f t="shared" si="3"/>
        <v>0</v>
      </c>
      <c r="BO50" s="325">
        <f t="shared" si="4"/>
        <v>0</v>
      </c>
      <c r="BP50" s="326">
        <f t="shared" si="5"/>
        <v>0</v>
      </c>
      <c r="BQ50" s="327">
        <f t="shared" si="6"/>
        <v>0</v>
      </c>
      <c r="BR50" s="329"/>
      <c r="BS50" s="329"/>
      <c r="BT50" s="488"/>
      <c r="BU50" s="489"/>
      <c r="BV50" s="490"/>
      <c r="BW50" s="489"/>
      <c r="BX50" s="488"/>
      <c r="BY50" s="489"/>
      <c r="BZ50" s="490"/>
      <c r="CA50" s="489"/>
      <c r="CB50" s="488"/>
      <c r="CC50" s="489"/>
      <c r="CD50" s="490"/>
      <c r="CE50" s="489"/>
      <c r="CF50" s="488"/>
      <c r="CG50" s="489"/>
      <c r="CH50" s="307"/>
      <c r="CI50" s="489"/>
      <c r="CJ50" s="488"/>
      <c r="CK50" s="489"/>
      <c r="CL50" s="490"/>
      <c r="CM50" s="489"/>
      <c r="CN50" s="488"/>
      <c r="CO50" s="489"/>
      <c r="CP50" s="490"/>
      <c r="CQ50" s="489"/>
      <c r="CR50" s="488"/>
      <c r="CS50" s="489"/>
      <c r="CT50" s="490"/>
      <c r="CU50" s="489"/>
      <c r="CV50" s="488"/>
      <c r="CW50" s="489"/>
      <c r="CX50" s="490"/>
      <c r="CY50" s="489"/>
      <c r="CZ50" s="488"/>
      <c r="DA50" s="489"/>
      <c r="DB50" s="490"/>
      <c r="DC50" s="489"/>
      <c r="DD50" s="488"/>
      <c r="DE50" s="489"/>
      <c r="DF50" s="490"/>
      <c r="DG50" s="489"/>
      <c r="DH50" s="488"/>
      <c r="DI50" s="489"/>
      <c r="DJ50" s="490"/>
      <c r="DK50" s="489"/>
      <c r="DL50" s="488"/>
      <c r="DM50" s="489"/>
      <c r="DN50" s="490"/>
      <c r="DO50" s="306"/>
      <c r="DP50" s="341"/>
      <c r="DQ50" s="323"/>
      <c r="DR50" s="323">
        <f t="shared" si="15"/>
        <v>0</v>
      </c>
      <c r="DS50" s="329"/>
      <c r="DT50" s="329"/>
      <c r="DU50" s="488"/>
      <c r="DV50" s="489"/>
      <c r="DW50" s="490"/>
      <c r="DX50" s="489"/>
      <c r="DY50" s="488"/>
      <c r="DZ50" s="489"/>
      <c r="EA50" s="490"/>
      <c r="EB50" s="489"/>
      <c r="EC50" s="488"/>
      <c r="ED50" s="489"/>
      <c r="EE50" s="490"/>
      <c r="EF50" s="489"/>
      <c r="EG50" s="488"/>
      <c r="EH50" s="489"/>
      <c r="EI50" s="307"/>
      <c r="EJ50" s="489"/>
      <c r="EK50" s="488"/>
      <c r="EL50" s="489"/>
      <c r="EM50" s="490"/>
      <c r="EN50" s="489"/>
      <c r="EO50" s="488"/>
      <c r="EP50" s="489"/>
      <c r="EQ50" s="490"/>
      <c r="ER50" s="489"/>
      <c r="ES50" s="488"/>
      <c r="ET50" s="489"/>
      <c r="EU50" s="490"/>
      <c r="EV50" s="489"/>
      <c r="EW50" s="488"/>
      <c r="EX50" s="489"/>
      <c r="EY50" s="490"/>
      <c r="EZ50" s="489"/>
      <c r="FA50" s="488"/>
      <c r="FB50" s="489"/>
      <c r="FC50" s="490"/>
      <c r="FD50" s="489"/>
      <c r="FE50" s="488"/>
      <c r="FF50" s="489"/>
      <c r="FG50" s="490"/>
      <c r="FH50" s="489"/>
      <c r="FI50" s="488"/>
      <c r="FJ50" s="489"/>
      <c r="FK50" s="490"/>
      <c r="FL50" s="489"/>
      <c r="FM50" s="488"/>
      <c r="FN50" s="489"/>
      <c r="FO50" s="490"/>
      <c r="FP50" s="306"/>
      <c r="FQ50" s="341"/>
      <c r="FR50" s="323"/>
      <c r="FS50" s="323">
        <f t="shared" si="17"/>
        <v>0</v>
      </c>
      <c r="FT50" s="360"/>
    </row>
    <row r="51" spans="1:176" s="14" customFormat="1" outlineLevel="2">
      <c r="A51" s="411" t="s">
        <v>478</v>
      </c>
      <c r="B51" s="387" t="s">
        <v>44</v>
      </c>
      <c r="C51" s="541" t="s">
        <v>31</v>
      </c>
      <c r="D51" s="565" t="s">
        <v>32</v>
      </c>
      <c r="E51" s="10">
        <f>IF(ISBLANK(G51),"",IF($A$6:$A$330=$A51,COUNTIF($A$6:A51,$A51),""))</f>
        <v>4</v>
      </c>
      <c r="F51" s="10">
        <v>1</v>
      </c>
      <c r="G51" s="55">
        <v>9253771100</v>
      </c>
      <c r="H51" s="54" t="s">
        <v>55</v>
      </c>
      <c r="I51" s="617">
        <f>305/НДС_20</f>
        <v>254.16666666666669</v>
      </c>
      <c r="J51" s="617"/>
      <c r="K51" s="112"/>
      <c r="L51" s="617"/>
      <c r="M51" s="305"/>
      <c r="N51" s="305">
        <f t="shared" si="0"/>
        <v>0</v>
      </c>
      <c r="O51" s="322"/>
      <c r="P51" s="408"/>
      <c r="Q51" s="307"/>
      <c r="R51" s="408"/>
      <c r="S51" s="322"/>
      <c r="T51" s="408"/>
      <c r="U51" s="307"/>
      <c r="V51" s="408"/>
      <c r="W51" s="322"/>
      <c r="X51" s="408"/>
      <c r="Y51" s="307"/>
      <c r="Z51" s="408"/>
      <c r="AA51" s="322"/>
      <c r="AB51" s="408"/>
      <c r="AC51" s="307"/>
      <c r="AD51" s="408"/>
      <c r="AE51" s="322"/>
      <c r="AF51" s="408"/>
      <c r="AG51" s="307">
        <v>0</v>
      </c>
      <c r="AH51" s="408"/>
      <c r="AI51" s="322"/>
      <c r="AJ51" s="408"/>
      <c r="AK51" s="307"/>
      <c r="AL51" s="408"/>
      <c r="AM51" s="322"/>
      <c r="AN51" s="408"/>
      <c r="AO51" s="307"/>
      <c r="AP51" s="408"/>
      <c r="AQ51" s="322"/>
      <c r="AR51" s="408"/>
      <c r="AS51" s="307"/>
      <c r="AT51" s="408"/>
      <c r="AU51" s="322"/>
      <c r="AV51" s="408"/>
      <c r="AW51" s="307"/>
      <c r="AX51" s="408"/>
      <c r="AY51" s="322"/>
      <c r="AZ51" s="408"/>
      <c r="BA51" s="307"/>
      <c r="BB51" s="408"/>
      <c r="BC51" s="322"/>
      <c r="BD51" s="408"/>
      <c r="BE51" s="307"/>
      <c r="BF51" s="408"/>
      <c r="BG51" s="322"/>
      <c r="BH51" s="408"/>
      <c r="BI51" s="307"/>
      <c r="BJ51" s="408"/>
      <c r="BK51" s="340"/>
      <c r="BL51" s="328">
        <f t="shared" si="1"/>
        <v>0</v>
      </c>
      <c r="BM51" s="328">
        <f t="shared" si="2"/>
        <v>0</v>
      </c>
      <c r="BN51" s="324">
        <f t="shared" si="3"/>
        <v>0</v>
      </c>
      <c r="BO51" s="325">
        <f t="shared" si="4"/>
        <v>0</v>
      </c>
      <c r="BP51" s="326">
        <f t="shared" si="5"/>
        <v>0</v>
      </c>
      <c r="BQ51" s="327">
        <f t="shared" si="6"/>
        <v>0</v>
      </c>
      <c r="BR51" s="329"/>
      <c r="BS51" s="329"/>
      <c r="BT51" s="488"/>
      <c r="BU51" s="489"/>
      <c r="BV51" s="490"/>
      <c r="BW51" s="489"/>
      <c r="BX51" s="488"/>
      <c r="BY51" s="489"/>
      <c r="BZ51" s="490"/>
      <c r="CA51" s="489"/>
      <c r="CB51" s="488"/>
      <c r="CC51" s="489"/>
      <c r="CD51" s="490"/>
      <c r="CE51" s="489"/>
      <c r="CF51" s="488"/>
      <c r="CG51" s="489"/>
      <c r="CH51" s="307"/>
      <c r="CI51" s="489"/>
      <c r="CJ51" s="488"/>
      <c r="CK51" s="489"/>
      <c r="CL51" s="490"/>
      <c r="CM51" s="489"/>
      <c r="CN51" s="488"/>
      <c r="CO51" s="489"/>
      <c r="CP51" s="490"/>
      <c r="CQ51" s="489"/>
      <c r="CR51" s="488"/>
      <c r="CS51" s="489"/>
      <c r="CT51" s="490"/>
      <c r="CU51" s="489"/>
      <c r="CV51" s="488"/>
      <c r="CW51" s="489"/>
      <c r="CX51" s="490"/>
      <c r="CY51" s="489"/>
      <c r="CZ51" s="488"/>
      <c r="DA51" s="489"/>
      <c r="DB51" s="490"/>
      <c r="DC51" s="489"/>
      <c r="DD51" s="488"/>
      <c r="DE51" s="489"/>
      <c r="DF51" s="490"/>
      <c r="DG51" s="489"/>
      <c r="DH51" s="488"/>
      <c r="DI51" s="489"/>
      <c r="DJ51" s="490"/>
      <c r="DK51" s="489"/>
      <c r="DL51" s="488"/>
      <c r="DM51" s="489"/>
      <c r="DN51" s="490"/>
      <c r="DO51" s="306"/>
      <c r="DP51" s="341"/>
      <c r="DQ51" s="323"/>
      <c r="DR51" s="323">
        <f t="shared" si="15"/>
        <v>0</v>
      </c>
      <c r="DS51" s="329"/>
      <c r="DT51" s="329"/>
      <c r="DU51" s="488"/>
      <c r="DV51" s="489"/>
      <c r="DW51" s="490"/>
      <c r="DX51" s="489"/>
      <c r="DY51" s="488"/>
      <c r="DZ51" s="489"/>
      <c r="EA51" s="490"/>
      <c r="EB51" s="489"/>
      <c r="EC51" s="488"/>
      <c r="ED51" s="489"/>
      <c r="EE51" s="490"/>
      <c r="EF51" s="489"/>
      <c r="EG51" s="488"/>
      <c r="EH51" s="489"/>
      <c r="EI51" s="307"/>
      <c r="EJ51" s="489"/>
      <c r="EK51" s="488"/>
      <c r="EL51" s="489"/>
      <c r="EM51" s="490"/>
      <c r="EN51" s="489"/>
      <c r="EO51" s="488"/>
      <c r="EP51" s="489"/>
      <c r="EQ51" s="490"/>
      <c r="ER51" s="489"/>
      <c r="ES51" s="488"/>
      <c r="ET51" s="489"/>
      <c r="EU51" s="490"/>
      <c r="EV51" s="489"/>
      <c r="EW51" s="488"/>
      <c r="EX51" s="489"/>
      <c r="EY51" s="490"/>
      <c r="EZ51" s="489"/>
      <c r="FA51" s="488"/>
      <c r="FB51" s="489"/>
      <c r="FC51" s="490"/>
      <c r="FD51" s="489"/>
      <c r="FE51" s="488"/>
      <c r="FF51" s="489"/>
      <c r="FG51" s="490"/>
      <c r="FH51" s="489"/>
      <c r="FI51" s="488"/>
      <c r="FJ51" s="489"/>
      <c r="FK51" s="490"/>
      <c r="FL51" s="489"/>
      <c r="FM51" s="488"/>
      <c r="FN51" s="489"/>
      <c r="FO51" s="490"/>
      <c r="FP51" s="306"/>
      <c r="FQ51" s="341"/>
      <c r="FR51" s="323"/>
      <c r="FS51" s="323">
        <f t="shared" si="17"/>
        <v>0</v>
      </c>
      <c r="FT51" s="360"/>
    </row>
    <row r="52" spans="1:176" s="14" customFormat="1" outlineLevel="2">
      <c r="A52" s="413" t="s">
        <v>478</v>
      </c>
      <c r="B52" s="389" t="s">
        <v>44</v>
      </c>
      <c r="C52" s="432" t="s">
        <v>72</v>
      </c>
      <c r="D52" s="575" t="s">
        <v>32</v>
      </c>
      <c r="E52" s="284">
        <f>IF(ISBLANK(G52),"",IF($A$6:$A$330=$A52,COUNTIF($A$6:A52,$A52),""))</f>
        <v>5</v>
      </c>
      <c r="F52" s="284">
        <v>1</v>
      </c>
      <c r="G52" s="304">
        <v>4497230500</v>
      </c>
      <c r="H52" s="602" t="s">
        <v>78</v>
      </c>
      <c r="I52" s="616">
        <f>154/НДС</f>
        <v>126.22950819672131</v>
      </c>
      <c r="J52" s="616"/>
      <c r="K52" s="332"/>
      <c r="L52" s="616"/>
      <c r="M52" s="305"/>
      <c r="N52" s="305">
        <f t="shared" si="0"/>
        <v>1</v>
      </c>
      <c r="O52" s="322"/>
      <c r="P52" s="408">
        <f>2*P53</f>
        <v>4</v>
      </c>
      <c r="Q52" s="307">
        <v>4</v>
      </c>
      <c r="R52" s="408"/>
      <c r="S52" s="322"/>
      <c r="T52" s="408"/>
      <c r="U52" s="307"/>
      <c r="V52" s="408"/>
      <c r="W52" s="322"/>
      <c r="X52" s="408"/>
      <c r="Y52" s="307"/>
      <c r="Z52" s="408"/>
      <c r="AA52" s="322"/>
      <c r="AB52" s="408"/>
      <c r="AC52" s="307">
        <v>0</v>
      </c>
      <c r="AD52" s="408"/>
      <c r="AE52" s="322"/>
      <c r="AF52" s="408"/>
      <c r="AG52" s="307">
        <v>0</v>
      </c>
      <c r="AH52" s="408"/>
      <c r="AI52" s="322"/>
      <c r="AJ52" s="408"/>
      <c r="AK52" s="307"/>
      <c r="AL52" s="408"/>
      <c r="AM52" s="322"/>
      <c r="AN52" s="408"/>
      <c r="AO52" s="307"/>
      <c r="AP52" s="408"/>
      <c r="AQ52" s="322"/>
      <c r="AR52" s="408"/>
      <c r="AS52" s="307"/>
      <c r="AT52" s="408"/>
      <c r="AU52" s="322"/>
      <c r="AV52" s="408"/>
      <c r="AW52" s="307"/>
      <c r="AX52" s="408"/>
      <c r="AY52" s="322"/>
      <c r="AZ52" s="408"/>
      <c r="BA52" s="307"/>
      <c r="BB52" s="408"/>
      <c r="BC52" s="322"/>
      <c r="BD52" s="408"/>
      <c r="BE52" s="307"/>
      <c r="BF52" s="408"/>
      <c r="BG52" s="322"/>
      <c r="BH52" s="408"/>
      <c r="BI52" s="307"/>
      <c r="BJ52" s="408"/>
      <c r="BK52" s="340"/>
      <c r="BL52" s="328">
        <f t="shared" si="1"/>
        <v>0</v>
      </c>
      <c r="BM52" s="328">
        <f t="shared" si="2"/>
        <v>0</v>
      </c>
      <c r="BN52" s="324">
        <f t="shared" si="3"/>
        <v>4</v>
      </c>
      <c r="BO52" s="325">
        <f t="shared" si="4"/>
        <v>504.91803278688525</v>
      </c>
      <c r="BP52" s="326">
        <f t="shared" si="5"/>
        <v>4</v>
      </c>
      <c r="BQ52" s="327">
        <f t="shared" si="6"/>
        <v>504.91803278688525</v>
      </c>
      <c r="BR52" s="329"/>
      <c r="BS52" s="329"/>
      <c r="BT52" s="488"/>
      <c r="BU52" s="489"/>
      <c r="BV52" s="490"/>
      <c r="BW52" s="489"/>
      <c r="BX52" s="488"/>
      <c r="BY52" s="489"/>
      <c r="BZ52" s="490"/>
      <c r="CA52" s="489"/>
      <c r="CB52" s="488"/>
      <c r="CC52" s="489"/>
      <c r="CD52" s="490"/>
      <c r="CE52" s="489"/>
      <c r="CF52" s="488"/>
      <c r="CG52" s="489"/>
      <c r="CH52" s="307"/>
      <c r="CI52" s="489"/>
      <c r="CJ52" s="488"/>
      <c r="CK52" s="489"/>
      <c r="CL52" s="490"/>
      <c r="CM52" s="489"/>
      <c r="CN52" s="488"/>
      <c r="CO52" s="489"/>
      <c r="CP52" s="490"/>
      <c r="CQ52" s="489"/>
      <c r="CR52" s="488"/>
      <c r="CS52" s="489"/>
      <c r="CT52" s="490"/>
      <c r="CU52" s="489"/>
      <c r="CV52" s="488"/>
      <c r="CW52" s="489"/>
      <c r="CX52" s="490"/>
      <c r="CY52" s="489"/>
      <c r="CZ52" s="488"/>
      <c r="DA52" s="489"/>
      <c r="DB52" s="490"/>
      <c r="DC52" s="489"/>
      <c r="DD52" s="488"/>
      <c r="DE52" s="489"/>
      <c r="DF52" s="490"/>
      <c r="DG52" s="489"/>
      <c r="DH52" s="488"/>
      <c r="DI52" s="489"/>
      <c r="DJ52" s="490"/>
      <c r="DK52" s="489"/>
      <c r="DL52" s="488"/>
      <c r="DM52" s="489"/>
      <c r="DN52" s="490"/>
      <c r="DO52" s="306"/>
      <c r="DP52" s="341"/>
      <c r="DQ52" s="323"/>
      <c r="DR52" s="323">
        <f t="shared" si="15"/>
        <v>0</v>
      </c>
      <c r="DS52" s="329"/>
      <c r="DT52" s="329"/>
      <c r="DU52" s="488"/>
      <c r="DV52" s="489"/>
      <c r="DW52" s="490"/>
      <c r="DX52" s="489"/>
      <c r="DY52" s="488"/>
      <c r="DZ52" s="489"/>
      <c r="EA52" s="490"/>
      <c r="EB52" s="489"/>
      <c r="EC52" s="488"/>
      <c r="ED52" s="489"/>
      <c r="EE52" s="490"/>
      <c r="EF52" s="489"/>
      <c r="EG52" s="488"/>
      <c r="EH52" s="489"/>
      <c r="EI52" s="307"/>
      <c r="EJ52" s="489"/>
      <c r="EK52" s="488"/>
      <c r="EL52" s="489"/>
      <c r="EM52" s="490"/>
      <c r="EN52" s="489"/>
      <c r="EO52" s="488"/>
      <c r="EP52" s="489"/>
      <c r="EQ52" s="490"/>
      <c r="ER52" s="489"/>
      <c r="ES52" s="488"/>
      <c r="ET52" s="489"/>
      <c r="EU52" s="490"/>
      <c r="EV52" s="489"/>
      <c r="EW52" s="488"/>
      <c r="EX52" s="489"/>
      <c r="EY52" s="490"/>
      <c r="EZ52" s="489"/>
      <c r="FA52" s="488"/>
      <c r="FB52" s="489"/>
      <c r="FC52" s="490"/>
      <c r="FD52" s="489"/>
      <c r="FE52" s="488"/>
      <c r="FF52" s="489"/>
      <c r="FG52" s="490"/>
      <c r="FH52" s="489"/>
      <c r="FI52" s="488"/>
      <c r="FJ52" s="489"/>
      <c r="FK52" s="490"/>
      <c r="FL52" s="489"/>
      <c r="FM52" s="488"/>
      <c r="FN52" s="489"/>
      <c r="FO52" s="490"/>
      <c r="FP52" s="306"/>
      <c r="FQ52" s="341"/>
      <c r="FR52" s="323"/>
      <c r="FS52" s="323">
        <f t="shared" si="17"/>
        <v>0</v>
      </c>
      <c r="FT52" s="360"/>
    </row>
    <row r="53" spans="1:176" s="574" customFormat="1" outlineLevel="2">
      <c r="A53" s="580" t="s">
        <v>478</v>
      </c>
      <c r="B53" s="575" t="s">
        <v>44</v>
      </c>
      <c r="C53" s="432" t="s">
        <v>72</v>
      </c>
      <c r="D53" s="575" t="s">
        <v>32</v>
      </c>
      <c r="E53" s="576">
        <f>IF(ISBLANK(G53),"",IF($A$6:$A$330=$A53,COUNTIF($A$6:A53,$A53),""))</f>
        <v>6</v>
      </c>
      <c r="F53" s="577" t="s">
        <v>89</v>
      </c>
      <c r="G53" s="319">
        <v>4441000260</v>
      </c>
      <c r="H53" s="603" t="s">
        <v>448</v>
      </c>
      <c r="I53" s="619">
        <f>8732.15/НДС</f>
        <v>7157.5</v>
      </c>
      <c r="J53" s="619"/>
      <c r="K53" s="320"/>
      <c r="L53" s="619"/>
      <c r="M53" s="353"/>
      <c r="N53" s="353">
        <f t="shared" si="0"/>
        <v>1</v>
      </c>
      <c r="O53" s="578"/>
      <c r="P53" s="498">
        <f>2</f>
        <v>2</v>
      </c>
      <c r="Q53" s="579">
        <v>2</v>
      </c>
      <c r="R53" s="498"/>
      <c r="S53" s="578"/>
      <c r="T53" s="498"/>
      <c r="U53" s="307"/>
      <c r="V53" s="498"/>
      <c r="W53" s="578"/>
      <c r="X53" s="498"/>
      <c r="Y53" s="579"/>
      <c r="Z53" s="498"/>
      <c r="AA53" s="578"/>
      <c r="AB53" s="498"/>
      <c r="AC53" s="579"/>
      <c r="AD53" s="498"/>
      <c r="AE53" s="578"/>
      <c r="AF53" s="498"/>
      <c r="AG53" s="307">
        <v>0</v>
      </c>
      <c r="AH53" s="498"/>
      <c r="AI53" s="578"/>
      <c r="AJ53" s="498"/>
      <c r="AK53" s="579"/>
      <c r="AL53" s="498"/>
      <c r="AM53" s="578"/>
      <c r="AN53" s="498"/>
      <c r="AO53" s="579"/>
      <c r="AP53" s="498"/>
      <c r="AQ53" s="578"/>
      <c r="AR53" s="498"/>
      <c r="AS53" s="579"/>
      <c r="AT53" s="498"/>
      <c r="AU53" s="578"/>
      <c r="AV53" s="498"/>
      <c r="AW53" s="579"/>
      <c r="AX53" s="498"/>
      <c r="AY53" s="578"/>
      <c r="AZ53" s="498"/>
      <c r="BA53" s="579"/>
      <c r="BB53" s="498"/>
      <c r="BC53" s="578"/>
      <c r="BD53" s="498"/>
      <c r="BE53" s="579"/>
      <c r="BF53" s="498"/>
      <c r="BG53" s="578"/>
      <c r="BH53" s="498"/>
      <c r="BI53" s="579"/>
      <c r="BJ53" s="498"/>
      <c r="BK53" s="572"/>
      <c r="BL53" s="328">
        <f t="shared" si="1"/>
        <v>0</v>
      </c>
      <c r="BM53" s="328">
        <f t="shared" si="2"/>
        <v>0</v>
      </c>
      <c r="BN53" s="324">
        <f t="shared" si="3"/>
        <v>2</v>
      </c>
      <c r="BO53" s="325">
        <f t="shared" si="4"/>
        <v>14315</v>
      </c>
      <c r="BP53" s="326">
        <f t="shared" si="5"/>
        <v>2</v>
      </c>
      <c r="BQ53" s="327">
        <f t="shared" si="6"/>
        <v>14315</v>
      </c>
      <c r="BR53" s="329"/>
      <c r="BS53" s="329"/>
      <c r="BT53" s="581"/>
      <c r="BU53" s="582"/>
      <c r="BV53" s="583"/>
      <c r="BW53" s="582"/>
      <c r="BX53" s="581"/>
      <c r="BY53" s="582"/>
      <c r="BZ53" s="583"/>
      <c r="CA53" s="582"/>
      <c r="CB53" s="581"/>
      <c r="CC53" s="582"/>
      <c r="CD53" s="583"/>
      <c r="CE53" s="582"/>
      <c r="CF53" s="581"/>
      <c r="CG53" s="582"/>
      <c r="CH53" s="579"/>
      <c r="CI53" s="582"/>
      <c r="CJ53" s="581"/>
      <c r="CK53" s="582"/>
      <c r="CL53" s="583"/>
      <c r="CM53" s="582"/>
      <c r="CN53" s="581"/>
      <c r="CO53" s="582"/>
      <c r="CP53" s="583"/>
      <c r="CQ53" s="582"/>
      <c r="CR53" s="581"/>
      <c r="CS53" s="582"/>
      <c r="CT53" s="583"/>
      <c r="CU53" s="582"/>
      <c r="CV53" s="581"/>
      <c r="CW53" s="582"/>
      <c r="CX53" s="583"/>
      <c r="CY53" s="582"/>
      <c r="CZ53" s="581"/>
      <c r="DA53" s="582"/>
      <c r="DB53" s="583"/>
      <c r="DC53" s="582"/>
      <c r="DD53" s="581"/>
      <c r="DE53" s="582"/>
      <c r="DF53" s="583"/>
      <c r="DG53" s="582"/>
      <c r="DH53" s="581"/>
      <c r="DI53" s="582"/>
      <c r="DJ53" s="583"/>
      <c r="DK53" s="582"/>
      <c r="DL53" s="581"/>
      <c r="DM53" s="582"/>
      <c r="DN53" s="583"/>
      <c r="DO53" s="498"/>
      <c r="DP53" s="572"/>
      <c r="DQ53" s="323"/>
      <c r="DR53" s="323">
        <f t="shared" si="15"/>
        <v>0</v>
      </c>
      <c r="DS53" s="329"/>
      <c r="DT53" s="329"/>
      <c r="DU53" s="581"/>
      <c r="DV53" s="582"/>
      <c r="DW53" s="583"/>
      <c r="DX53" s="582"/>
      <c r="DY53" s="581"/>
      <c r="DZ53" s="582"/>
      <c r="EA53" s="583"/>
      <c r="EB53" s="582"/>
      <c r="EC53" s="581"/>
      <c r="ED53" s="582"/>
      <c r="EE53" s="583"/>
      <c r="EF53" s="582"/>
      <c r="EG53" s="581"/>
      <c r="EH53" s="582"/>
      <c r="EI53" s="579"/>
      <c r="EJ53" s="582"/>
      <c r="EK53" s="581"/>
      <c r="EL53" s="582"/>
      <c r="EM53" s="583"/>
      <c r="EN53" s="582"/>
      <c r="EO53" s="581"/>
      <c r="EP53" s="582"/>
      <c r="EQ53" s="583"/>
      <c r="ER53" s="582"/>
      <c r="ES53" s="581"/>
      <c r="ET53" s="582"/>
      <c r="EU53" s="583"/>
      <c r="EV53" s="582"/>
      <c r="EW53" s="581"/>
      <c r="EX53" s="582"/>
      <c r="EY53" s="583"/>
      <c r="EZ53" s="582"/>
      <c r="FA53" s="581"/>
      <c r="FB53" s="582"/>
      <c r="FC53" s="583"/>
      <c r="FD53" s="582"/>
      <c r="FE53" s="581"/>
      <c r="FF53" s="582"/>
      <c r="FG53" s="583"/>
      <c r="FH53" s="582"/>
      <c r="FI53" s="581"/>
      <c r="FJ53" s="582"/>
      <c r="FK53" s="583"/>
      <c r="FL53" s="582"/>
      <c r="FM53" s="581"/>
      <c r="FN53" s="582"/>
      <c r="FO53" s="583"/>
      <c r="FP53" s="498"/>
      <c r="FQ53" s="572"/>
      <c r="FR53" s="323"/>
      <c r="FS53" s="323">
        <f t="shared" si="17"/>
        <v>0</v>
      </c>
      <c r="FT53" s="573"/>
    </row>
    <row r="54" spans="1:176" s="574" customFormat="1" outlineLevel="2">
      <c r="A54" s="580" t="s">
        <v>478</v>
      </c>
      <c r="B54" s="575" t="s">
        <v>44</v>
      </c>
      <c r="C54" s="432" t="s">
        <v>72</v>
      </c>
      <c r="D54" s="575" t="s">
        <v>32</v>
      </c>
      <c r="E54" s="576">
        <f>IF(ISBLANK(G54),"",IF($A$6:$A$330=$A54,COUNTIF($A$6:A54,$A54),""))</f>
        <v>7</v>
      </c>
      <c r="F54" s="577" t="s">
        <v>89</v>
      </c>
      <c r="G54" s="319">
        <v>4441000210</v>
      </c>
      <c r="H54" s="603" t="s">
        <v>443</v>
      </c>
      <c r="I54" s="618">
        <f>847.9/НДС</f>
        <v>695</v>
      </c>
      <c r="J54" s="618"/>
      <c r="K54" s="125"/>
      <c r="L54" s="618"/>
      <c r="M54" s="353"/>
      <c r="N54" s="353">
        <f t="shared" si="0"/>
        <v>0</v>
      </c>
      <c r="O54" s="578"/>
      <c r="P54" s="498"/>
      <c r="Q54" s="579"/>
      <c r="R54" s="498"/>
      <c r="S54" s="578"/>
      <c r="T54" s="498"/>
      <c r="U54" s="307"/>
      <c r="V54" s="498"/>
      <c r="W54" s="578"/>
      <c r="X54" s="498"/>
      <c r="Y54" s="579"/>
      <c r="Z54" s="498"/>
      <c r="AA54" s="578"/>
      <c r="AB54" s="498"/>
      <c r="AC54" s="579"/>
      <c r="AD54" s="498"/>
      <c r="AE54" s="578"/>
      <c r="AF54" s="498"/>
      <c r="AG54" s="307">
        <v>0</v>
      </c>
      <c r="AH54" s="498"/>
      <c r="AI54" s="578"/>
      <c r="AJ54" s="498"/>
      <c r="AK54" s="579"/>
      <c r="AL54" s="498"/>
      <c r="AM54" s="578"/>
      <c r="AN54" s="498"/>
      <c r="AO54" s="579"/>
      <c r="AP54" s="498"/>
      <c r="AQ54" s="578"/>
      <c r="AR54" s="498"/>
      <c r="AS54" s="579"/>
      <c r="AT54" s="498"/>
      <c r="AU54" s="578"/>
      <c r="AV54" s="498"/>
      <c r="AW54" s="579"/>
      <c r="AX54" s="498"/>
      <c r="AY54" s="578"/>
      <c r="AZ54" s="498"/>
      <c r="BA54" s="579"/>
      <c r="BB54" s="498"/>
      <c r="BC54" s="578"/>
      <c r="BD54" s="498"/>
      <c r="BE54" s="579"/>
      <c r="BF54" s="498"/>
      <c r="BG54" s="578"/>
      <c r="BH54" s="498"/>
      <c r="BI54" s="579"/>
      <c r="BJ54" s="498"/>
      <c r="BK54" s="572"/>
      <c r="BL54" s="328">
        <f t="shared" si="1"/>
        <v>0</v>
      </c>
      <c r="BM54" s="328">
        <f t="shared" si="2"/>
        <v>0</v>
      </c>
      <c r="BN54" s="324">
        <f t="shared" si="3"/>
        <v>0</v>
      </c>
      <c r="BO54" s="325">
        <f t="shared" si="4"/>
        <v>0</v>
      </c>
      <c r="BP54" s="326">
        <f t="shared" si="5"/>
        <v>0</v>
      </c>
      <c r="BQ54" s="327">
        <f t="shared" si="6"/>
        <v>0</v>
      </c>
      <c r="BR54" s="329"/>
      <c r="BS54" s="329"/>
      <c r="BT54" s="581"/>
      <c r="BU54" s="582"/>
      <c r="BV54" s="583"/>
      <c r="BW54" s="582"/>
      <c r="BX54" s="581"/>
      <c r="BY54" s="582"/>
      <c r="BZ54" s="583"/>
      <c r="CA54" s="582"/>
      <c r="CB54" s="581"/>
      <c r="CC54" s="582"/>
      <c r="CD54" s="583"/>
      <c r="CE54" s="582"/>
      <c r="CF54" s="581"/>
      <c r="CG54" s="582"/>
      <c r="CH54" s="579"/>
      <c r="CI54" s="582"/>
      <c r="CJ54" s="581"/>
      <c r="CK54" s="582"/>
      <c r="CL54" s="583"/>
      <c r="CM54" s="582"/>
      <c r="CN54" s="581"/>
      <c r="CO54" s="582"/>
      <c r="CP54" s="583"/>
      <c r="CQ54" s="582"/>
      <c r="CR54" s="581"/>
      <c r="CS54" s="582"/>
      <c r="CT54" s="583"/>
      <c r="CU54" s="582"/>
      <c r="CV54" s="581"/>
      <c r="CW54" s="582"/>
      <c r="CX54" s="583"/>
      <c r="CY54" s="582"/>
      <c r="CZ54" s="581"/>
      <c r="DA54" s="582"/>
      <c r="DB54" s="583"/>
      <c r="DC54" s="582"/>
      <c r="DD54" s="581"/>
      <c r="DE54" s="582"/>
      <c r="DF54" s="583"/>
      <c r="DG54" s="582"/>
      <c r="DH54" s="581"/>
      <c r="DI54" s="582"/>
      <c r="DJ54" s="583"/>
      <c r="DK54" s="582"/>
      <c r="DL54" s="581"/>
      <c r="DM54" s="582"/>
      <c r="DN54" s="583"/>
      <c r="DO54" s="498"/>
      <c r="DP54" s="572"/>
      <c r="DQ54" s="323"/>
      <c r="DR54" s="323">
        <f t="shared" si="15"/>
        <v>0</v>
      </c>
      <c r="DS54" s="329"/>
      <c r="DT54" s="329"/>
      <c r="DU54" s="581"/>
      <c r="DV54" s="582"/>
      <c r="DW54" s="583"/>
      <c r="DX54" s="582"/>
      <c r="DY54" s="581"/>
      <c r="DZ54" s="582"/>
      <c r="EA54" s="583"/>
      <c r="EB54" s="582"/>
      <c r="EC54" s="581"/>
      <c r="ED54" s="582"/>
      <c r="EE54" s="583"/>
      <c r="EF54" s="582"/>
      <c r="EG54" s="581"/>
      <c r="EH54" s="582"/>
      <c r="EI54" s="579"/>
      <c r="EJ54" s="582"/>
      <c r="EK54" s="581"/>
      <c r="EL54" s="582"/>
      <c r="EM54" s="583"/>
      <c r="EN54" s="582"/>
      <c r="EO54" s="581"/>
      <c r="EP54" s="582"/>
      <c r="EQ54" s="583"/>
      <c r="ER54" s="582"/>
      <c r="ES54" s="581"/>
      <c r="ET54" s="582"/>
      <c r="EU54" s="583"/>
      <c r="EV54" s="582"/>
      <c r="EW54" s="581"/>
      <c r="EX54" s="582"/>
      <c r="EY54" s="583"/>
      <c r="EZ54" s="582"/>
      <c r="FA54" s="581"/>
      <c r="FB54" s="582"/>
      <c r="FC54" s="583"/>
      <c r="FD54" s="582"/>
      <c r="FE54" s="581"/>
      <c r="FF54" s="582"/>
      <c r="FG54" s="583"/>
      <c r="FH54" s="582"/>
      <c r="FI54" s="581"/>
      <c r="FJ54" s="582"/>
      <c r="FK54" s="583"/>
      <c r="FL54" s="582"/>
      <c r="FM54" s="581"/>
      <c r="FN54" s="582"/>
      <c r="FO54" s="583"/>
      <c r="FP54" s="498"/>
      <c r="FQ54" s="572"/>
      <c r="FR54" s="323"/>
      <c r="FS54" s="323">
        <f t="shared" si="17"/>
        <v>0</v>
      </c>
      <c r="FT54" s="573"/>
    </row>
    <row r="55" spans="1:176" s="14" customFormat="1" outlineLevel="2">
      <c r="A55" s="411" t="s">
        <v>478</v>
      </c>
      <c r="B55" s="387" t="s">
        <v>44</v>
      </c>
      <c r="C55" s="541" t="s">
        <v>72</v>
      </c>
      <c r="D55" s="565" t="s">
        <v>32</v>
      </c>
      <c r="E55" s="10">
        <f>IF(ISBLANK(G55),"",IF($A$6:$A$330=$A55,COUNTIF($A$6:A55,$A55),""))</f>
        <v>8</v>
      </c>
      <c r="F55" s="123">
        <v>1</v>
      </c>
      <c r="G55" s="124">
        <v>9522010010</v>
      </c>
      <c r="H55" s="604" t="s">
        <v>73</v>
      </c>
      <c r="I55" s="618">
        <v>0</v>
      </c>
      <c r="J55" s="618"/>
      <c r="K55" s="125"/>
      <c r="L55" s="618"/>
      <c r="M55" s="305"/>
      <c r="N55" s="305">
        <f t="shared" si="0"/>
        <v>1</v>
      </c>
      <c r="O55" s="322"/>
      <c r="P55" s="408">
        <f>SUMPRODUCT((Комплекты[Пр]=$F55)*(Комплекты[Обозначение]=$G55)*Комплекты[Кол-во]*(
((Комплекты[Комплект]=$G$54)*P$54)+
((Комплекты[Комплект]=$G$53)*P$53)))</f>
        <v>2</v>
      </c>
      <c r="Q55" s="307">
        <f>SUMPRODUCT((Комплекты[Пр]=$F55)*(Комплекты[Обозначение]=$G55)*Комплекты[Кол-во]*(
((Комплекты[Комплект]=$G$54)*Q$54)+
((Комплекты[Комплект]=$G$53)*Q$53)))</f>
        <v>2</v>
      </c>
      <c r="R55" s="408"/>
      <c r="S55" s="322"/>
      <c r="T55" s="408"/>
      <c r="U55" s="307"/>
      <c r="V55" s="408"/>
      <c r="W55" s="322"/>
      <c r="X55" s="408"/>
      <c r="Y55" s="307"/>
      <c r="Z55" s="408"/>
      <c r="AA55" s="322"/>
      <c r="AB55" s="408"/>
      <c r="AC55" s="307"/>
      <c r="AD55" s="408"/>
      <c r="AE55" s="322"/>
      <c r="AF55" s="408"/>
      <c r="AG55" s="307">
        <v>0</v>
      </c>
      <c r="AH55" s="408"/>
      <c r="AI55" s="322"/>
      <c r="AJ55" s="408"/>
      <c r="AK55" s="307"/>
      <c r="AL55" s="408"/>
      <c r="AM55" s="322"/>
      <c r="AN55" s="408"/>
      <c r="AO55" s="307"/>
      <c r="AP55" s="408"/>
      <c r="AQ55" s="322"/>
      <c r="AR55" s="408"/>
      <c r="AS55" s="307"/>
      <c r="AT55" s="408"/>
      <c r="AU55" s="322"/>
      <c r="AV55" s="408"/>
      <c r="AW55" s="307"/>
      <c r="AX55" s="408"/>
      <c r="AY55" s="322"/>
      <c r="AZ55" s="408"/>
      <c r="BA55" s="307"/>
      <c r="BB55" s="408"/>
      <c r="BC55" s="322"/>
      <c r="BD55" s="408"/>
      <c r="BE55" s="307"/>
      <c r="BF55" s="408"/>
      <c r="BG55" s="322"/>
      <c r="BH55" s="408"/>
      <c r="BI55" s="307"/>
      <c r="BJ55" s="408"/>
      <c r="BK55" s="340"/>
      <c r="BL55" s="328">
        <f t="shared" si="1"/>
        <v>0</v>
      </c>
      <c r="BM55" s="328">
        <f t="shared" si="2"/>
        <v>0</v>
      </c>
      <c r="BN55" s="324">
        <f t="shared" si="3"/>
        <v>2</v>
      </c>
      <c r="BO55" s="325">
        <f t="shared" si="4"/>
        <v>0</v>
      </c>
      <c r="BP55" s="326">
        <f t="shared" si="5"/>
        <v>2</v>
      </c>
      <c r="BQ55" s="327">
        <f t="shared" si="6"/>
        <v>0</v>
      </c>
      <c r="BR55" s="329"/>
      <c r="BS55" s="329"/>
      <c r="BT55" s="488"/>
      <c r="BU55" s="489"/>
      <c r="BV55" s="490"/>
      <c r="BW55" s="489"/>
      <c r="BX55" s="488"/>
      <c r="BY55" s="489"/>
      <c r="BZ55" s="490"/>
      <c r="CA55" s="489"/>
      <c r="CB55" s="488"/>
      <c r="CC55" s="489"/>
      <c r="CD55" s="490"/>
      <c r="CE55" s="489"/>
      <c r="CF55" s="488"/>
      <c r="CG55" s="489"/>
      <c r="CH55" s="307"/>
      <c r="CI55" s="489"/>
      <c r="CJ55" s="488"/>
      <c r="CK55" s="489"/>
      <c r="CL55" s="490"/>
      <c r="CM55" s="489"/>
      <c r="CN55" s="488"/>
      <c r="CO55" s="489"/>
      <c r="CP55" s="490"/>
      <c r="CQ55" s="489"/>
      <c r="CR55" s="488"/>
      <c r="CS55" s="489"/>
      <c r="CT55" s="490"/>
      <c r="CU55" s="489"/>
      <c r="CV55" s="488"/>
      <c r="CW55" s="489"/>
      <c r="CX55" s="490"/>
      <c r="CY55" s="489"/>
      <c r="CZ55" s="488"/>
      <c r="DA55" s="489"/>
      <c r="DB55" s="490"/>
      <c r="DC55" s="489"/>
      <c r="DD55" s="488"/>
      <c r="DE55" s="489"/>
      <c r="DF55" s="490"/>
      <c r="DG55" s="489"/>
      <c r="DH55" s="488"/>
      <c r="DI55" s="489"/>
      <c r="DJ55" s="490"/>
      <c r="DK55" s="489"/>
      <c r="DL55" s="488"/>
      <c r="DM55" s="489"/>
      <c r="DN55" s="490"/>
      <c r="DO55" s="306"/>
      <c r="DP55" s="341"/>
      <c r="DQ55" s="323"/>
      <c r="DR55" s="323">
        <f t="shared" si="15"/>
        <v>0</v>
      </c>
      <c r="DS55" s="329"/>
      <c r="DT55" s="329"/>
      <c r="DU55" s="488"/>
      <c r="DV55" s="489"/>
      <c r="DW55" s="490"/>
      <c r="DX55" s="489"/>
      <c r="DY55" s="488"/>
      <c r="DZ55" s="489"/>
      <c r="EA55" s="490"/>
      <c r="EB55" s="489"/>
      <c r="EC55" s="488"/>
      <c r="ED55" s="489"/>
      <c r="EE55" s="490"/>
      <c r="EF55" s="489"/>
      <c r="EG55" s="488"/>
      <c r="EH55" s="489"/>
      <c r="EI55" s="307"/>
      <c r="EJ55" s="489"/>
      <c r="EK55" s="488"/>
      <c r="EL55" s="489"/>
      <c r="EM55" s="490"/>
      <c r="EN55" s="489"/>
      <c r="EO55" s="488"/>
      <c r="EP55" s="489"/>
      <c r="EQ55" s="490"/>
      <c r="ER55" s="489"/>
      <c r="ES55" s="488"/>
      <c r="ET55" s="489"/>
      <c r="EU55" s="490"/>
      <c r="EV55" s="489"/>
      <c r="EW55" s="488"/>
      <c r="EX55" s="489"/>
      <c r="EY55" s="490"/>
      <c r="EZ55" s="489"/>
      <c r="FA55" s="488"/>
      <c r="FB55" s="489"/>
      <c r="FC55" s="490"/>
      <c r="FD55" s="489"/>
      <c r="FE55" s="488"/>
      <c r="FF55" s="489"/>
      <c r="FG55" s="490"/>
      <c r="FH55" s="489"/>
      <c r="FI55" s="488"/>
      <c r="FJ55" s="489"/>
      <c r="FK55" s="490"/>
      <c r="FL55" s="489"/>
      <c r="FM55" s="488"/>
      <c r="FN55" s="489"/>
      <c r="FO55" s="490"/>
      <c r="FP55" s="306"/>
      <c r="FQ55" s="341"/>
      <c r="FR55" s="323"/>
      <c r="FS55" s="323">
        <f t="shared" si="17"/>
        <v>0</v>
      </c>
      <c r="FT55" s="360"/>
    </row>
    <row r="56" spans="1:176" s="14" customFormat="1" outlineLevel="2">
      <c r="A56" s="411" t="s">
        <v>478</v>
      </c>
      <c r="B56" s="387" t="s">
        <v>44</v>
      </c>
      <c r="C56" s="541" t="s">
        <v>72</v>
      </c>
      <c r="D56" s="565" t="s">
        <v>32</v>
      </c>
      <c r="E56" s="10">
        <f>IF(ISBLANK(G56),"",IF($A$6:$A$330=$A56,COUNTIF($A$6:A56,$A56),""))</f>
        <v>9</v>
      </c>
      <c r="F56" s="123">
        <v>1</v>
      </c>
      <c r="G56" s="124">
        <v>9522010020</v>
      </c>
      <c r="H56" s="604" t="s">
        <v>74</v>
      </c>
      <c r="I56" s="618">
        <v>0</v>
      </c>
      <c r="J56" s="618"/>
      <c r="K56" s="125"/>
      <c r="L56" s="618"/>
      <c r="M56" s="305"/>
      <c r="N56" s="305">
        <f t="shared" si="0"/>
        <v>1</v>
      </c>
      <c r="O56" s="322"/>
      <c r="P56" s="408">
        <f>SUMPRODUCT((Комплекты[Пр]=$F56)*(Комплекты[Обозначение]=$G56)*Комплекты[Кол-во]*(
((Комплекты[Комплект]=$G$54)*P$54)+
((Комплекты[Комплект]=$G$53)*P$53)))</f>
        <v>2</v>
      </c>
      <c r="Q56" s="307">
        <f>SUMPRODUCT((Комплекты[Пр]=$F56)*(Комплекты[Обозначение]=$G56)*Комплекты[Кол-во]*(
((Комплекты[Комплект]=$G$54)*Q$54)+
((Комплекты[Комплект]=$G$53)*Q$53)))</f>
        <v>2</v>
      </c>
      <c r="R56" s="408"/>
      <c r="S56" s="322"/>
      <c r="T56" s="408"/>
      <c r="U56" s="307"/>
      <c r="V56" s="408"/>
      <c r="W56" s="322"/>
      <c r="X56" s="408"/>
      <c r="Y56" s="307"/>
      <c r="Z56" s="408"/>
      <c r="AA56" s="322"/>
      <c r="AB56" s="408"/>
      <c r="AC56" s="307"/>
      <c r="AD56" s="408"/>
      <c r="AE56" s="322"/>
      <c r="AF56" s="408"/>
      <c r="AG56" s="307">
        <v>0</v>
      </c>
      <c r="AH56" s="408"/>
      <c r="AI56" s="322"/>
      <c r="AJ56" s="408"/>
      <c r="AK56" s="307"/>
      <c r="AL56" s="408"/>
      <c r="AM56" s="322"/>
      <c r="AN56" s="408"/>
      <c r="AO56" s="307"/>
      <c r="AP56" s="408"/>
      <c r="AQ56" s="322"/>
      <c r="AR56" s="408"/>
      <c r="AS56" s="307"/>
      <c r="AT56" s="408"/>
      <c r="AU56" s="322"/>
      <c r="AV56" s="408"/>
      <c r="AW56" s="307"/>
      <c r="AX56" s="408"/>
      <c r="AY56" s="322"/>
      <c r="AZ56" s="408"/>
      <c r="BA56" s="307"/>
      <c r="BB56" s="408"/>
      <c r="BC56" s="322"/>
      <c r="BD56" s="408"/>
      <c r="BE56" s="307"/>
      <c r="BF56" s="408"/>
      <c r="BG56" s="322"/>
      <c r="BH56" s="408"/>
      <c r="BI56" s="307"/>
      <c r="BJ56" s="408"/>
      <c r="BK56" s="340"/>
      <c r="BL56" s="328">
        <f t="shared" si="1"/>
        <v>0</v>
      </c>
      <c r="BM56" s="328">
        <f t="shared" si="2"/>
        <v>0</v>
      </c>
      <c r="BN56" s="324">
        <f t="shared" si="3"/>
        <v>2</v>
      </c>
      <c r="BO56" s="325">
        <f t="shared" si="4"/>
        <v>0</v>
      </c>
      <c r="BP56" s="326">
        <f t="shared" si="5"/>
        <v>2</v>
      </c>
      <c r="BQ56" s="327">
        <f t="shared" si="6"/>
        <v>0</v>
      </c>
      <c r="BR56" s="329"/>
      <c r="BS56" s="329"/>
      <c r="BT56" s="488"/>
      <c r="BU56" s="489"/>
      <c r="BV56" s="490"/>
      <c r="BW56" s="489"/>
      <c r="BX56" s="488"/>
      <c r="BY56" s="489"/>
      <c r="BZ56" s="490"/>
      <c r="CA56" s="489"/>
      <c r="CB56" s="488"/>
      <c r="CC56" s="489"/>
      <c r="CD56" s="490"/>
      <c r="CE56" s="489"/>
      <c r="CF56" s="488"/>
      <c r="CG56" s="489"/>
      <c r="CH56" s="307"/>
      <c r="CI56" s="489"/>
      <c r="CJ56" s="488"/>
      <c r="CK56" s="489"/>
      <c r="CL56" s="490"/>
      <c r="CM56" s="489"/>
      <c r="CN56" s="488"/>
      <c r="CO56" s="489"/>
      <c r="CP56" s="490"/>
      <c r="CQ56" s="489"/>
      <c r="CR56" s="488"/>
      <c r="CS56" s="489"/>
      <c r="CT56" s="490"/>
      <c r="CU56" s="489"/>
      <c r="CV56" s="488"/>
      <c r="CW56" s="489"/>
      <c r="CX56" s="490"/>
      <c r="CY56" s="489"/>
      <c r="CZ56" s="488"/>
      <c r="DA56" s="489"/>
      <c r="DB56" s="490"/>
      <c r="DC56" s="489"/>
      <c r="DD56" s="488"/>
      <c r="DE56" s="489"/>
      <c r="DF56" s="490"/>
      <c r="DG56" s="489"/>
      <c r="DH56" s="488"/>
      <c r="DI56" s="489"/>
      <c r="DJ56" s="490"/>
      <c r="DK56" s="489"/>
      <c r="DL56" s="488"/>
      <c r="DM56" s="489"/>
      <c r="DN56" s="490"/>
      <c r="DO56" s="306"/>
      <c r="DP56" s="341"/>
      <c r="DQ56" s="323"/>
      <c r="DR56" s="323">
        <f t="shared" si="15"/>
        <v>0</v>
      </c>
      <c r="DS56" s="329"/>
      <c r="DT56" s="329"/>
      <c r="DU56" s="488"/>
      <c r="DV56" s="489"/>
      <c r="DW56" s="490"/>
      <c r="DX56" s="489"/>
      <c r="DY56" s="488"/>
      <c r="DZ56" s="489"/>
      <c r="EA56" s="490"/>
      <c r="EB56" s="489"/>
      <c r="EC56" s="488"/>
      <c r="ED56" s="489"/>
      <c r="EE56" s="490"/>
      <c r="EF56" s="489"/>
      <c r="EG56" s="488"/>
      <c r="EH56" s="489"/>
      <c r="EI56" s="307"/>
      <c r="EJ56" s="489"/>
      <c r="EK56" s="488"/>
      <c r="EL56" s="489"/>
      <c r="EM56" s="490"/>
      <c r="EN56" s="489"/>
      <c r="EO56" s="488"/>
      <c r="EP56" s="489"/>
      <c r="EQ56" s="490"/>
      <c r="ER56" s="489"/>
      <c r="ES56" s="488"/>
      <c r="ET56" s="489"/>
      <c r="EU56" s="490"/>
      <c r="EV56" s="489"/>
      <c r="EW56" s="488"/>
      <c r="EX56" s="489"/>
      <c r="EY56" s="490"/>
      <c r="EZ56" s="489"/>
      <c r="FA56" s="488"/>
      <c r="FB56" s="489"/>
      <c r="FC56" s="490"/>
      <c r="FD56" s="489"/>
      <c r="FE56" s="488"/>
      <c r="FF56" s="489"/>
      <c r="FG56" s="490"/>
      <c r="FH56" s="489"/>
      <c r="FI56" s="488"/>
      <c r="FJ56" s="489"/>
      <c r="FK56" s="490"/>
      <c r="FL56" s="489"/>
      <c r="FM56" s="488"/>
      <c r="FN56" s="489"/>
      <c r="FO56" s="490"/>
      <c r="FP56" s="306"/>
      <c r="FQ56" s="341"/>
      <c r="FR56" s="323"/>
      <c r="FS56" s="323">
        <f t="shared" si="17"/>
        <v>0</v>
      </c>
      <c r="FT56" s="360"/>
    </row>
    <row r="57" spans="1:176" s="14" customFormat="1" outlineLevel="2">
      <c r="A57" s="411" t="s">
        <v>478</v>
      </c>
      <c r="B57" s="387" t="s">
        <v>44</v>
      </c>
      <c r="C57" s="541" t="s">
        <v>72</v>
      </c>
      <c r="D57" s="565" t="s">
        <v>32</v>
      </c>
      <c r="E57" s="10">
        <f>IF(ISBLANK(G57),"",IF($A$6:$A$330=$A57,COUNTIF($A$6:A57,$A57),""))</f>
        <v>10</v>
      </c>
      <c r="F57" s="123">
        <v>1</v>
      </c>
      <c r="G57" s="124">
        <v>9710029000</v>
      </c>
      <c r="H57" s="604" t="s">
        <v>75</v>
      </c>
      <c r="I57" s="618">
        <v>0</v>
      </c>
      <c r="J57" s="618"/>
      <c r="K57" s="125"/>
      <c r="L57" s="618"/>
      <c r="M57" s="305"/>
      <c r="N57" s="305">
        <f t="shared" si="0"/>
        <v>1</v>
      </c>
      <c r="O57" s="322"/>
      <c r="P57" s="408">
        <f>SUMPRODUCT((Комплекты[Пр]=$F57)*(Комплекты[Обозначение]=$G57)*Комплекты[Кол-во]*(
((Комплекты[Комплект]=$G$54)*P$54)+
((Комплекты[Комплект]=$G$53)*P$53)))</f>
        <v>2</v>
      </c>
      <c r="Q57" s="307">
        <f>SUMPRODUCT((Комплекты[Пр]=$F57)*(Комплекты[Обозначение]=$G57)*Комплекты[Кол-во]*(
((Комплекты[Комплект]=$G$54)*Q$54)+
((Комплекты[Комплект]=$G$53)*Q$53)))</f>
        <v>2</v>
      </c>
      <c r="R57" s="408"/>
      <c r="S57" s="322"/>
      <c r="T57" s="408"/>
      <c r="U57" s="307"/>
      <c r="V57" s="408"/>
      <c r="W57" s="322"/>
      <c r="X57" s="408"/>
      <c r="Y57" s="307"/>
      <c r="Z57" s="408"/>
      <c r="AA57" s="322"/>
      <c r="AB57" s="408"/>
      <c r="AC57" s="307"/>
      <c r="AD57" s="408"/>
      <c r="AE57" s="322"/>
      <c r="AF57" s="408"/>
      <c r="AG57" s="307">
        <v>0</v>
      </c>
      <c r="AH57" s="408"/>
      <c r="AI57" s="322"/>
      <c r="AJ57" s="408"/>
      <c r="AK57" s="307"/>
      <c r="AL57" s="408"/>
      <c r="AM57" s="322"/>
      <c r="AN57" s="408"/>
      <c r="AO57" s="307"/>
      <c r="AP57" s="408"/>
      <c r="AQ57" s="322"/>
      <c r="AR57" s="408"/>
      <c r="AS57" s="307"/>
      <c r="AT57" s="408"/>
      <c r="AU57" s="322"/>
      <c r="AV57" s="408"/>
      <c r="AW57" s="307"/>
      <c r="AX57" s="408"/>
      <c r="AY57" s="322"/>
      <c r="AZ57" s="408"/>
      <c r="BA57" s="307"/>
      <c r="BB57" s="408"/>
      <c r="BC57" s="322"/>
      <c r="BD57" s="408"/>
      <c r="BE57" s="307"/>
      <c r="BF57" s="408"/>
      <c r="BG57" s="322"/>
      <c r="BH57" s="408"/>
      <c r="BI57" s="307"/>
      <c r="BJ57" s="408"/>
      <c r="BK57" s="340"/>
      <c r="BL57" s="328">
        <f t="shared" si="1"/>
        <v>0</v>
      </c>
      <c r="BM57" s="328">
        <f t="shared" si="2"/>
        <v>0</v>
      </c>
      <c r="BN57" s="324">
        <f t="shared" si="3"/>
        <v>2</v>
      </c>
      <c r="BO57" s="325">
        <f t="shared" si="4"/>
        <v>0</v>
      </c>
      <c r="BP57" s="326">
        <f t="shared" si="5"/>
        <v>2</v>
      </c>
      <c r="BQ57" s="327">
        <f t="shared" si="6"/>
        <v>0</v>
      </c>
      <c r="BR57" s="329"/>
      <c r="BS57" s="329"/>
      <c r="BT57" s="488"/>
      <c r="BU57" s="489"/>
      <c r="BV57" s="490"/>
      <c r="BW57" s="489"/>
      <c r="BX57" s="488"/>
      <c r="BY57" s="489"/>
      <c r="BZ57" s="490"/>
      <c r="CA57" s="489"/>
      <c r="CB57" s="488"/>
      <c r="CC57" s="489"/>
      <c r="CD57" s="490"/>
      <c r="CE57" s="489"/>
      <c r="CF57" s="488"/>
      <c r="CG57" s="489"/>
      <c r="CH57" s="307"/>
      <c r="CI57" s="489"/>
      <c r="CJ57" s="488"/>
      <c r="CK57" s="489"/>
      <c r="CL57" s="490"/>
      <c r="CM57" s="489"/>
      <c r="CN57" s="488"/>
      <c r="CO57" s="489"/>
      <c r="CP57" s="490"/>
      <c r="CQ57" s="489"/>
      <c r="CR57" s="488"/>
      <c r="CS57" s="489"/>
      <c r="CT57" s="490"/>
      <c r="CU57" s="489"/>
      <c r="CV57" s="488"/>
      <c r="CW57" s="489"/>
      <c r="CX57" s="490"/>
      <c r="CY57" s="489"/>
      <c r="CZ57" s="488"/>
      <c r="DA57" s="489"/>
      <c r="DB57" s="490"/>
      <c r="DC57" s="489"/>
      <c r="DD57" s="488"/>
      <c r="DE57" s="489"/>
      <c r="DF57" s="490"/>
      <c r="DG57" s="489"/>
      <c r="DH57" s="488"/>
      <c r="DI57" s="489"/>
      <c r="DJ57" s="490"/>
      <c r="DK57" s="489"/>
      <c r="DL57" s="488"/>
      <c r="DM57" s="489"/>
      <c r="DN57" s="490"/>
      <c r="DO57" s="306"/>
      <c r="DP57" s="341"/>
      <c r="DQ57" s="323"/>
      <c r="DR57" s="323">
        <f t="shared" si="15"/>
        <v>0</v>
      </c>
      <c r="DS57" s="329"/>
      <c r="DT57" s="329"/>
      <c r="DU57" s="488"/>
      <c r="DV57" s="489"/>
      <c r="DW57" s="490"/>
      <c r="DX57" s="489"/>
      <c r="DY57" s="488"/>
      <c r="DZ57" s="489"/>
      <c r="EA57" s="490"/>
      <c r="EB57" s="489"/>
      <c r="EC57" s="488"/>
      <c r="ED57" s="489"/>
      <c r="EE57" s="490"/>
      <c r="EF57" s="489"/>
      <c r="EG57" s="488"/>
      <c r="EH57" s="489"/>
      <c r="EI57" s="307"/>
      <c r="EJ57" s="489"/>
      <c r="EK57" s="488"/>
      <c r="EL57" s="489"/>
      <c r="EM57" s="490"/>
      <c r="EN57" s="489"/>
      <c r="EO57" s="488"/>
      <c r="EP57" s="489"/>
      <c r="EQ57" s="490"/>
      <c r="ER57" s="489"/>
      <c r="ES57" s="488"/>
      <c r="ET57" s="489"/>
      <c r="EU57" s="490"/>
      <c r="EV57" s="489"/>
      <c r="EW57" s="488"/>
      <c r="EX57" s="489"/>
      <c r="EY57" s="490"/>
      <c r="EZ57" s="489"/>
      <c r="FA57" s="488"/>
      <c r="FB57" s="489"/>
      <c r="FC57" s="490"/>
      <c r="FD57" s="489"/>
      <c r="FE57" s="488"/>
      <c r="FF57" s="489"/>
      <c r="FG57" s="490"/>
      <c r="FH57" s="489"/>
      <c r="FI57" s="488"/>
      <c r="FJ57" s="489"/>
      <c r="FK57" s="490"/>
      <c r="FL57" s="489"/>
      <c r="FM57" s="488"/>
      <c r="FN57" s="489"/>
      <c r="FO57" s="490"/>
      <c r="FP57" s="306"/>
      <c r="FQ57" s="341"/>
      <c r="FR57" s="323"/>
      <c r="FS57" s="323">
        <f t="shared" si="17"/>
        <v>0</v>
      </c>
      <c r="FT57" s="360"/>
    </row>
    <row r="58" spans="1:176" s="14" customFormat="1" outlineLevel="2">
      <c r="A58" s="411" t="s">
        <v>478</v>
      </c>
      <c r="B58" s="387" t="s">
        <v>44</v>
      </c>
      <c r="C58" s="541" t="s">
        <v>72</v>
      </c>
      <c r="D58" s="565" t="s">
        <v>32</v>
      </c>
      <c r="E58" s="10">
        <f>IF(ISBLANK(G58),"",IF($A$6:$A$330=$A58,COUNTIF($A$6:A58,$A58),""))</f>
        <v>11</v>
      </c>
      <c r="F58" s="123">
        <v>1</v>
      </c>
      <c r="G58" s="124">
        <v>4801020640</v>
      </c>
      <c r="H58" s="604" t="s">
        <v>124</v>
      </c>
      <c r="I58" s="618">
        <v>0</v>
      </c>
      <c r="J58" s="618"/>
      <c r="K58" s="125"/>
      <c r="L58" s="618"/>
      <c r="M58" s="305"/>
      <c r="N58" s="305">
        <f t="shared" si="0"/>
        <v>1</v>
      </c>
      <c r="O58" s="322"/>
      <c r="P58" s="408">
        <f>SUMPRODUCT((Комплекты[Пр]=$F58)*(Комплекты[Обозначение]=$G58)*Комплекты[Кол-во]*(
((Комплекты[Комплект]=$G$54)*P$54)+
((Комплекты[Комплект]=$G$53)*P$53)))</f>
        <v>2</v>
      </c>
      <c r="Q58" s="307">
        <f>SUMPRODUCT((Комплекты[Пр]=$F58)*(Комплекты[Обозначение]=$G58)*Комплекты[Кол-во]*(
((Комплекты[Комплект]=$G$54)*Q$54)+
((Комплекты[Комплект]=$G$53)*Q$53)))</f>
        <v>2</v>
      </c>
      <c r="R58" s="408"/>
      <c r="S58" s="322"/>
      <c r="T58" s="408"/>
      <c r="U58" s="307"/>
      <c r="V58" s="408"/>
      <c r="W58" s="322"/>
      <c r="X58" s="408"/>
      <c r="Y58" s="307"/>
      <c r="Z58" s="408"/>
      <c r="AA58" s="322"/>
      <c r="AB58" s="408"/>
      <c r="AC58" s="307"/>
      <c r="AD58" s="408"/>
      <c r="AE58" s="322"/>
      <c r="AF58" s="408"/>
      <c r="AG58" s="307">
        <v>0</v>
      </c>
      <c r="AH58" s="408"/>
      <c r="AI58" s="322"/>
      <c r="AJ58" s="408"/>
      <c r="AK58" s="307"/>
      <c r="AL58" s="408"/>
      <c r="AM58" s="322"/>
      <c r="AN58" s="408"/>
      <c r="AO58" s="307"/>
      <c r="AP58" s="408"/>
      <c r="AQ58" s="322"/>
      <c r="AR58" s="408"/>
      <c r="AS58" s="307"/>
      <c r="AT58" s="408"/>
      <c r="AU58" s="322"/>
      <c r="AV58" s="408"/>
      <c r="AW58" s="307"/>
      <c r="AX58" s="408"/>
      <c r="AY58" s="322"/>
      <c r="AZ58" s="408"/>
      <c r="BA58" s="307"/>
      <c r="BB58" s="408"/>
      <c r="BC58" s="322"/>
      <c r="BD58" s="408"/>
      <c r="BE58" s="307"/>
      <c r="BF58" s="408"/>
      <c r="BG58" s="322"/>
      <c r="BH58" s="408"/>
      <c r="BI58" s="307"/>
      <c r="BJ58" s="408"/>
      <c r="BK58" s="340"/>
      <c r="BL58" s="328">
        <f t="shared" si="1"/>
        <v>0</v>
      </c>
      <c r="BM58" s="328">
        <f t="shared" si="2"/>
        <v>0</v>
      </c>
      <c r="BN58" s="324">
        <f t="shared" si="3"/>
        <v>2</v>
      </c>
      <c r="BO58" s="325">
        <f t="shared" si="4"/>
        <v>0</v>
      </c>
      <c r="BP58" s="326">
        <f t="shared" si="5"/>
        <v>2</v>
      </c>
      <c r="BQ58" s="327">
        <f t="shared" si="6"/>
        <v>0</v>
      </c>
      <c r="BR58" s="329"/>
      <c r="BS58" s="329"/>
      <c r="BT58" s="488"/>
      <c r="BU58" s="489"/>
      <c r="BV58" s="490"/>
      <c r="BW58" s="489"/>
      <c r="BX58" s="488"/>
      <c r="BY58" s="489"/>
      <c r="BZ58" s="490"/>
      <c r="CA58" s="489"/>
      <c r="CB58" s="488"/>
      <c r="CC58" s="489"/>
      <c r="CD58" s="490"/>
      <c r="CE58" s="489"/>
      <c r="CF58" s="488"/>
      <c r="CG58" s="489"/>
      <c r="CH58" s="307"/>
      <c r="CI58" s="489"/>
      <c r="CJ58" s="488"/>
      <c r="CK58" s="489"/>
      <c r="CL58" s="490"/>
      <c r="CM58" s="489"/>
      <c r="CN58" s="488"/>
      <c r="CO58" s="489"/>
      <c r="CP58" s="490"/>
      <c r="CQ58" s="489"/>
      <c r="CR58" s="488"/>
      <c r="CS58" s="489"/>
      <c r="CT58" s="490"/>
      <c r="CU58" s="489"/>
      <c r="CV58" s="488"/>
      <c r="CW58" s="489"/>
      <c r="CX58" s="490"/>
      <c r="CY58" s="489"/>
      <c r="CZ58" s="488"/>
      <c r="DA58" s="489"/>
      <c r="DB58" s="490"/>
      <c r="DC58" s="489"/>
      <c r="DD58" s="488"/>
      <c r="DE58" s="489"/>
      <c r="DF58" s="490"/>
      <c r="DG58" s="489"/>
      <c r="DH58" s="488"/>
      <c r="DI58" s="489"/>
      <c r="DJ58" s="490"/>
      <c r="DK58" s="489"/>
      <c r="DL58" s="488"/>
      <c r="DM58" s="489"/>
      <c r="DN58" s="490"/>
      <c r="DO58" s="306"/>
      <c r="DP58" s="341"/>
      <c r="DQ58" s="323"/>
      <c r="DR58" s="323">
        <f t="shared" si="15"/>
        <v>0</v>
      </c>
      <c r="DS58" s="329"/>
      <c r="DT58" s="329"/>
      <c r="DU58" s="488"/>
      <c r="DV58" s="489"/>
      <c r="DW58" s="490"/>
      <c r="DX58" s="489"/>
      <c r="DY58" s="488"/>
      <c r="DZ58" s="489"/>
      <c r="EA58" s="490"/>
      <c r="EB58" s="489"/>
      <c r="EC58" s="488"/>
      <c r="ED58" s="489"/>
      <c r="EE58" s="490"/>
      <c r="EF58" s="489"/>
      <c r="EG58" s="488"/>
      <c r="EH58" s="489"/>
      <c r="EI58" s="307"/>
      <c r="EJ58" s="489"/>
      <c r="EK58" s="488"/>
      <c r="EL58" s="489"/>
      <c r="EM58" s="490"/>
      <c r="EN58" s="489"/>
      <c r="EO58" s="488"/>
      <c r="EP58" s="489"/>
      <c r="EQ58" s="490"/>
      <c r="ER58" s="489"/>
      <c r="ES58" s="488"/>
      <c r="ET58" s="489"/>
      <c r="EU58" s="490"/>
      <c r="EV58" s="489"/>
      <c r="EW58" s="488"/>
      <c r="EX58" s="489"/>
      <c r="EY58" s="490"/>
      <c r="EZ58" s="489"/>
      <c r="FA58" s="488"/>
      <c r="FB58" s="489"/>
      <c r="FC58" s="490"/>
      <c r="FD58" s="489"/>
      <c r="FE58" s="488"/>
      <c r="FF58" s="489"/>
      <c r="FG58" s="490"/>
      <c r="FH58" s="489"/>
      <c r="FI58" s="488"/>
      <c r="FJ58" s="489"/>
      <c r="FK58" s="490"/>
      <c r="FL58" s="489"/>
      <c r="FM58" s="488"/>
      <c r="FN58" s="489"/>
      <c r="FO58" s="490"/>
      <c r="FP58" s="306"/>
      <c r="FQ58" s="341"/>
      <c r="FR58" s="323"/>
      <c r="FS58" s="323">
        <f t="shared" si="17"/>
        <v>0</v>
      </c>
      <c r="FT58" s="360"/>
    </row>
    <row r="59" spans="1:176" s="14" customFormat="1" outlineLevel="2">
      <c r="A59" s="413" t="s">
        <v>478</v>
      </c>
      <c r="B59" s="389" t="s">
        <v>44</v>
      </c>
      <c r="C59" s="432" t="s">
        <v>72</v>
      </c>
      <c r="D59" s="575" t="s">
        <v>32</v>
      </c>
      <c r="E59" s="284">
        <f>IF(ISBLANK(G59),"",IF($A$6:$A$330=$A59,COUNTIF($A$6:A59,$A59),""))</f>
        <v>12</v>
      </c>
      <c r="F59" s="330">
        <v>1</v>
      </c>
      <c r="G59" s="331">
        <v>4491731200</v>
      </c>
      <c r="H59" s="606" t="s">
        <v>83</v>
      </c>
      <c r="I59" s="619">
        <v>0</v>
      </c>
      <c r="J59" s="619"/>
      <c r="K59" s="320"/>
      <c r="L59" s="619"/>
      <c r="M59" s="305"/>
      <c r="N59" s="305">
        <f t="shared" si="0"/>
        <v>1</v>
      </c>
      <c r="O59" s="322"/>
      <c r="P59" s="408">
        <f>SUMPRODUCT((Комплекты[Пр]=$F59)*(Комплекты[Обозначение]=$G59)*Комплекты[Кол-во]*(
((Комплекты[Комплект]=$G$54)*P$54)+
((Комплекты[Комплект]=$G$53)*P$53)))</f>
        <v>2</v>
      </c>
      <c r="Q59" s="307">
        <f>SUMPRODUCT((Комплекты[Пр]=$F59)*(Комплекты[Обозначение]=$G59)*Комплекты[Кол-во]*(
((Комплекты[Комплект]=$G$54)*Q$54)+
((Комплекты[Комплект]=$G$53)*Q$53)))</f>
        <v>2</v>
      </c>
      <c r="R59" s="408"/>
      <c r="S59" s="322"/>
      <c r="T59" s="408"/>
      <c r="U59" s="307"/>
      <c r="V59" s="408"/>
      <c r="W59" s="322"/>
      <c r="X59" s="408"/>
      <c r="Y59" s="307"/>
      <c r="Z59" s="408"/>
      <c r="AA59" s="322"/>
      <c r="AB59" s="408"/>
      <c r="AC59" s="307"/>
      <c r="AD59" s="408"/>
      <c r="AE59" s="322"/>
      <c r="AF59" s="408"/>
      <c r="AG59" s="307">
        <v>0</v>
      </c>
      <c r="AH59" s="408"/>
      <c r="AI59" s="322"/>
      <c r="AJ59" s="408"/>
      <c r="AK59" s="307"/>
      <c r="AL59" s="408"/>
      <c r="AM59" s="322"/>
      <c r="AN59" s="408"/>
      <c r="AO59" s="307"/>
      <c r="AP59" s="408"/>
      <c r="AQ59" s="322"/>
      <c r="AR59" s="408"/>
      <c r="AS59" s="307"/>
      <c r="AT59" s="408"/>
      <c r="AU59" s="322"/>
      <c r="AV59" s="408"/>
      <c r="AW59" s="307"/>
      <c r="AX59" s="408"/>
      <c r="AY59" s="322"/>
      <c r="AZ59" s="408"/>
      <c r="BA59" s="307"/>
      <c r="BB59" s="408"/>
      <c r="BC59" s="322"/>
      <c r="BD59" s="408"/>
      <c r="BE59" s="307"/>
      <c r="BF59" s="408"/>
      <c r="BG59" s="322"/>
      <c r="BH59" s="408"/>
      <c r="BI59" s="307"/>
      <c r="BJ59" s="408"/>
      <c r="BK59" s="340"/>
      <c r="BL59" s="328">
        <f t="shared" si="1"/>
        <v>0</v>
      </c>
      <c r="BM59" s="328">
        <f t="shared" si="2"/>
        <v>0</v>
      </c>
      <c r="BN59" s="324">
        <f t="shared" si="3"/>
        <v>2</v>
      </c>
      <c r="BO59" s="325">
        <f t="shared" si="4"/>
        <v>0</v>
      </c>
      <c r="BP59" s="326">
        <f t="shared" si="5"/>
        <v>2</v>
      </c>
      <c r="BQ59" s="327">
        <f t="shared" si="6"/>
        <v>0</v>
      </c>
      <c r="BR59" s="329"/>
      <c r="BS59" s="329"/>
      <c r="BT59" s="488"/>
      <c r="BU59" s="489"/>
      <c r="BV59" s="490"/>
      <c r="BW59" s="489"/>
      <c r="BX59" s="488"/>
      <c r="BY59" s="489"/>
      <c r="BZ59" s="490"/>
      <c r="CA59" s="489"/>
      <c r="CB59" s="488"/>
      <c r="CC59" s="489"/>
      <c r="CD59" s="490"/>
      <c r="CE59" s="489"/>
      <c r="CF59" s="488"/>
      <c r="CG59" s="489"/>
      <c r="CH59" s="307"/>
      <c r="CI59" s="489"/>
      <c r="CJ59" s="488"/>
      <c r="CK59" s="489"/>
      <c r="CL59" s="490"/>
      <c r="CM59" s="489"/>
      <c r="CN59" s="488"/>
      <c r="CO59" s="489"/>
      <c r="CP59" s="490"/>
      <c r="CQ59" s="489"/>
      <c r="CR59" s="488"/>
      <c r="CS59" s="489"/>
      <c r="CT59" s="490"/>
      <c r="CU59" s="489"/>
      <c r="CV59" s="488"/>
      <c r="CW59" s="489"/>
      <c r="CX59" s="490"/>
      <c r="CY59" s="489"/>
      <c r="CZ59" s="488"/>
      <c r="DA59" s="489"/>
      <c r="DB59" s="490"/>
      <c r="DC59" s="489"/>
      <c r="DD59" s="488"/>
      <c r="DE59" s="489"/>
      <c r="DF59" s="490"/>
      <c r="DG59" s="489"/>
      <c r="DH59" s="488"/>
      <c r="DI59" s="489"/>
      <c r="DJ59" s="490"/>
      <c r="DK59" s="489"/>
      <c r="DL59" s="488"/>
      <c r="DM59" s="489"/>
      <c r="DN59" s="490"/>
      <c r="DO59" s="306"/>
      <c r="DP59" s="341"/>
      <c r="DQ59" s="323"/>
      <c r="DR59" s="323">
        <f t="shared" si="15"/>
        <v>0</v>
      </c>
      <c r="DS59" s="329"/>
      <c r="DT59" s="329"/>
      <c r="DU59" s="488"/>
      <c r="DV59" s="489"/>
      <c r="DW59" s="490"/>
      <c r="DX59" s="489"/>
      <c r="DY59" s="488"/>
      <c r="DZ59" s="489"/>
      <c r="EA59" s="490"/>
      <c r="EB59" s="489"/>
      <c r="EC59" s="488"/>
      <c r="ED59" s="489"/>
      <c r="EE59" s="490"/>
      <c r="EF59" s="489"/>
      <c r="EG59" s="488"/>
      <c r="EH59" s="489"/>
      <c r="EI59" s="307"/>
      <c r="EJ59" s="489"/>
      <c r="EK59" s="488"/>
      <c r="EL59" s="489"/>
      <c r="EM59" s="490"/>
      <c r="EN59" s="489"/>
      <c r="EO59" s="488"/>
      <c r="EP59" s="489"/>
      <c r="EQ59" s="490"/>
      <c r="ER59" s="489"/>
      <c r="ES59" s="488"/>
      <c r="ET59" s="489"/>
      <c r="EU59" s="490"/>
      <c r="EV59" s="489"/>
      <c r="EW59" s="488"/>
      <c r="EX59" s="489"/>
      <c r="EY59" s="490"/>
      <c r="EZ59" s="489"/>
      <c r="FA59" s="488"/>
      <c r="FB59" s="489"/>
      <c r="FC59" s="490"/>
      <c r="FD59" s="489"/>
      <c r="FE59" s="488"/>
      <c r="FF59" s="489"/>
      <c r="FG59" s="490"/>
      <c r="FH59" s="489"/>
      <c r="FI59" s="488"/>
      <c r="FJ59" s="489"/>
      <c r="FK59" s="490"/>
      <c r="FL59" s="489"/>
      <c r="FM59" s="488"/>
      <c r="FN59" s="489"/>
      <c r="FO59" s="490"/>
      <c r="FP59" s="306"/>
      <c r="FQ59" s="341"/>
      <c r="FR59" s="323"/>
      <c r="FS59" s="323">
        <f t="shared" si="17"/>
        <v>0</v>
      </c>
      <c r="FT59" s="360"/>
    </row>
    <row r="60" spans="1:176" s="14" customFormat="1" outlineLevel="2">
      <c r="A60" s="411" t="s">
        <v>478</v>
      </c>
      <c r="B60" s="387" t="s">
        <v>44</v>
      </c>
      <c r="C60" s="541" t="s">
        <v>72</v>
      </c>
      <c r="D60" s="565" t="s">
        <v>32</v>
      </c>
      <c r="E60" s="10">
        <f>IF(ISBLANK(G60),"",IF($A$6:$A$330=$A60,COUNTIF($A$6:A60,$A60),""))</f>
        <v>13</v>
      </c>
      <c r="F60" s="123">
        <v>1</v>
      </c>
      <c r="G60" s="124">
        <v>4497230500</v>
      </c>
      <c r="H60" s="604" t="s">
        <v>78</v>
      </c>
      <c r="I60" s="618">
        <v>0</v>
      </c>
      <c r="J60" s="618"/>
      <c r="K60" s="125"/>
      <c r="L60" s="618"/>
      <c r="M60" s="305"/>
      <c r="N60" s="305">
        <f t="shared" si="0"/>
        <v>1</v>
      </c>
      <c r="O60" s="322"/>
      <c r="P60" s="408">
        <f>SUMPRODUCT((Комплекты[Пр]=$F60)*(Комплекты[Обозначение]=$G60)*Комплекты[Кол-во]*(
((Комплекты[Комплект]=$G$54)*P$54)+
((Комплекты[Комплект]=$G$53)*P$53)))</f>
        <v>4</v>
      </c>
      <c r="Q60" s="307">
        <f>SUMPRODUCT((Комплекты[Пр]=$F60)*(Комплекты[Обозначение]=$G60)*Комплекты[Кол-во]*(
((Комплекты[Комплект]=$G$54)*Q$54)+
((Комплекты[Комплект]=$G$53)*Q$53)))</f>
        <v>4</v>
      </c>
      <c r="R60" s="408"/>
      <c r="S60" s="322"/>
      <c r="T60" s="408"/>
      <c r="U60" s="307"/>
      <c r="V60" s="408"/>
      <c r="W60" s="322"/>
      <c r="X60" s="408"/>
      <c r="Y60" s="307"/>
      <c r="Z60" s="408"/>
      <c r="AA60" s="322"/>
      <c r="AB60" s="408"/>
      <c r="AC60" s="307"/>
      <c r="AD60" s="408"/>
      <c r="AE60" s="322"/>
      <c r="AF60" s="408"/>
      <c r="AG60" s="307">
        <v>0</v>
      </c>
      <c r="AH60" s="408"/>
      <c r="AI60" s="322"/>
      <c r="AJ60" s="408"/>
      <c r="AK60" s="307"/>
      <c r="AL60" s="408"/>
      <c r="AM60" s="322"/>
      <c r="AN60" s="408"/>
      <c r="AO60" s="307"/>
      <c r="AP60" s="408"/>
      <c r="AQ60" s="322"/>
      <c r="AR60" s="408"/>
      <c r="AS60" s="307"/>
      <c r="AT60" s="408"/>
      <c r="AU60" s="322"/>
      <c r="AV60" s="408"/>
      <c r="AW60" s="307"/>
      <c r="AX60" s="408"/>
      <c r="AY60" s="322"/>
      <c r="AZ60" s="408"/>
      <c r="BA60" s="307"/>
      <c r="BB60" s="408"/>
      <c r="BC60" s="322"/>
      <c r="BD60" s="408"/>
      <c r="BE60" s="307"/>
      <c r="BF60" s="408"/>
      <c r="BG60" s="322"/>
      <c r="BH60" s="408"/>
      <c r="BI60" s="307"/>
      <c r="BJ60" s="408"/>
      <c r="BK60" s="340"/>
      <c r="BL60" s="328">
        <f t="shared" si="1"/>
        <v>0</v>
      </c>
      <c r="BM60" s="328">
        <f t="shared" si="2"/>
        <v>0</v>
      </c>
      <c r="BN60" s="324">
        <f t="shared" si="3"/>
        <v>4</v>
      </c>
      <c r="BO60" s="325">
        <f t="shared" si="4"/>
        <v>0</v>
      </c>
      <c r="BP60" s="326">
        <f t="shared" si="5"/>
        <v>4</v>
      </c>
      <c r="BQ60" s="327">
        <f t="shared" si="6"/>
        <v>0</v>
      </c>
      <c r="BR60" s="329"/>
      <c r="BS60" s="329"/>
      <c r="BT60" s="488"/>
      <c r="BU60" s="489"/>
      <c r="BV60" s="490"/>
      <c r="BW60" s="489"/>
      <c r="BX60" s="488"/>
      <c r="BY60" s="489"/>
      <c r="BZ60" s="490"/>
      <c r="CA60" s="489"/>
      <c r="CB60" s="488"/>
      <c r="CC60" s="489"/>
      <c r="CD60" s="490"/>
      <c r="CE60" s="489"/>
      <c r="CF60" s="488"/>
      <c r="CG60" s="489"/>
      <c r="CH60" s="307"/>
      <c r="CI60" s="489"/>
      <c r="CJ60" s="488"/>
      <c r="CK60" s="489"/>
      <c r="CL60" s="490"/>
      <c r="CM60" s="489"/>
      <c r="CN60" s="488"/>
      <c r="CO60" s="489"/>
      <c r="CP60" s="490"/>
      <c r="CQ60" s="489"/>
      <c r="CR60" s="488"/>
      <c r="CS60" s="489"/>
      <c r="CT60" s="490"/>
      <c r="CU60" s="489"/>
      <c r="CV60" s="488"/>
      <c r="CW60" s="489"/>
      <c r="CX60" s="490"/>
      <c r="CY60" s="489"/>
      <c r="CZ60" s="488"/>
      <c r="DA60" s="489"/>
      <c r="DB60" s="490"/>
      <c r="DC60" s="489"/>
      <c r="DD60" s="488"/>
      <c r="DE60" s="489"/>
      <c r="DF60" s="490"/>
      <c r="DG60" s="489"/>
      <c r="DH60" s="488"/>
      <c r="DI60" s="489"/>
      <c r="DJ60" s="490"/>
      <c r="DK60" s="489"/>
      <c r="DL60" s="488"/>
      <c r="DM60" s="489"/>
      <c r="DN60" s="490"/>
      <c r="DO60" s="306"/>
      <c r="DP60" s="341"/>
      <c r="DQ60" s="323"/>
      <c r="DR60" s="323">
        <f t="shared" si="15"/>
        <v>0</v>
      </c>
      <c r="DS60" s="329"/>
      <c r="DT60" s="329"/>
      <c r="DU60" s="488"/>
      <c r="DV60" s="489"/>
      <c r="DW60" s="490"/>
      <c r="DX60" s="489"/>
      <c r="DY60" s="488"/>
      <c r="DZ60" s="489"/>
      <c r="EA60" s="490"/>
      <c r="EB60" s="489"/>
      <c r="EC60" s="488"/>
      <c r="ED60" s="489"/>
      <c r="EE60" s="490"/>
      <c r="EF60" s="489"/>
      <c r="EG60" s="488"/>
      <c r="EH60" s="489"/>
      <c r="EI60" s="307"/>
      <c r="EJ60" s="489"/>
      <c r="EK60" s="488"/>
      <c r="EL60" s="489"/>
      <c r="EM60" s="490"/>
      <c r="EN60" s="489"/>
      <c r="EO60" s="488"/>
      <c r="EP60" s="489"/>
      <c r="EQ60" s="490"/>
      <c r="ER60" s="489"/>
      <c r="ES60" s="488"/>
      <c r="ET60" s="489"/>
      <c r="EU60" s="490"/>
      <c r="EV60" s="489"/>
      <c r="EW60" s="488"/>
      <c r="EX60" s="489"/>
      <c r="EY60" s="490"/>
      <c r="EZ60" s="489"/>
      <c r="FA60" s="488"/>
      <c r="FB60" s="489"/>
      <c r="FC60" s="490"/>
      <c r="FD60" s="489"/>
      <c r="FE60" s="488"/>
      <c r="FF60" s="489"/>
      <c r="FG60" s="490"/>
      <c r="FH60" s="489"/>
      <c r="FI60" s="488"/>
      <c r="FJ60" s="489"/>
      <c r="FK60" s="490"/>
      <c r="FL60" s="489"/>
      <c r="FM60" s="488"/>
      <c r="FN60" s="489"/>
      <c r="FO60" s="490"/>
      <c r="FP60" s="306"/>
      <c r="FQ60" s="341"/>
      <c r="FR60" s="323"/>
      <c r="FS60" s="323">
        <f t="shared" si="17"/>
        <v>0</v>
      </c>
      <c r="FT60" s="360"/>
    </row>
    <row r="61" spans="1:176" s="14" customFormat="1" outlineLevel="2">
      <c r="A61" s="411" t="s">
        <v>478</v>
      </c>
      <c r="B61" s="387" t="s">
        <v>44</v>
      </c>
      <c r="C61" s="541" t="s">
        <v>72</v>
      </c>
      <c r="D61" s="565" t="s">
        <v>32</v>
      </c>
      <c r="E61" s="10">
        <f>IF(ISBLANK(G61),"",IF($A$6:$A$330=$A61,COUNTIF($A$6:A61,$A61),""))</f>
        <v>14</v>
      </c>
      <c r="F61" s="123">
        <v>1</v>
      </c>
      <c r="G61" s="124">
        <v>4640061000</v>
      </c>
      <c r="H61" s="604" t="s">
        <v>79</v>
      </c>
      <c r="I61" s="618">
        <v>0</v>
      </c>
      <c r="J61" s="618"/>
      <c r="K61" s="125"/>
      <c r="L61" s="618"/>
      <c r="M61" s="305"/>
      <c r="N61" s="305">
        <f t="shared" si="0"/>
        <v>1</v>
      </c>
      <c r="O61" s="322"/>
      <c r="P61" s="408">
        <f>SUMPRODUCT((Комплекты[Пр]=$F61)*(Комплекты[Обозначение]=$G61)*Комплекты[Кол-во]*(
((Комплекты[Комплект]=$G$54)*P$54)+
((Комплекты[Комплект]=$G$53)*P$53)))</f>
        <v>2</v>
      </c>
      <c r="Q61" s="307">
        <f>SUMPRODUCT((Комплекты[Пр]=$F61)*(Комплекты[Обозначение]=$G61)*Комплекты[Кол-во]*(
((Комплекты[Комплект]=$G$54)*Q$54)+
((Комплекты[Комплект]=$G$53)*Q$53)))</f>
        <v>2</v>
      </c>
      <c r="R61" s="408"/>
      <c r="S61" s="322"/>
      <c r="T61" s="408"/>
      <c r="U61" s="307"/>
      <c r="V61" s="408"/>
      <c r="W61" s="322"/>
      <c r="X61" s="408"/>
      <c r="Y61" s="307"/>
      <c r="Z61" s="408"/>
      <c r="AA61" s="322"/>
      <c r="AB61" s="408"/>
      <c r="AC61" s="307"/>
      <c r="AD61" s="408"/>
      <c r="AE61" s="322"/>
      <c r="AF61" s="408"/>
      <c r="AG61" s="307">
        <v>0</v>
      </c>
      <c r="AH61" s="408"/>
      <c r="AI61" s="322"/>
      <c r="AJ61" s="408"/>
      <c r="AK61" s="307"/>
      <c r="AL61" s="408"/>
      <c r="AM61" s="322"/>
      <c r="AN61" s="408"/>
      <c r="AO61" s="307"/>
      <c r="AP61" s="408"/>
      <c r="AQ61" s="322"/>
      <c r="AR61" s="408"/>
      <c r="AS61" s="307"/>
      <c r="AT61" s="408"/>
      <c r="AU61" s="322"/>
      <c r="AV61" s="408"/>
      <c r="AW61" s="307"/>
      <c r="AX61" s="408"/>
      <c r="AY61" s="322"/>
      <c r="AZ61" s="408"/>
      <c r="BA61" s="307"/>
      <c r="BB61" s="408"/>
      <c r="BC61" s="322"/>
      <c r="BD61" s="408"/>
      <c r="BE61" s="307"/>
      <c r="BF61" s="408"/>
      <c r="BG61" s="322"/>
      <c r="BH61" s="408"/>
      <c r="BI61" s="307"/>
      <c r="BJ61" s="408"/>
      <c r="BK61" s="340"/>
      <c r="BL61" s="328">
        <f t="shared" si="1"/>
        <v>0</v>
      </c>
      <c r="BM61" s="328">
        <f t="shared" si="2"/>
        <v>0</v>
      </c>
      <c r="BN61" s="324">
        <f t="shared" si="3"/>
        <v>2</v>
      </c>
      <c r="BO61" s="325">
        <f t="shared" si="4"/>
        <v>0</v>
      </c>
      <c r="BP61" s="326">
        <f t="shared" si="5"/>
        <v>2</v>
      </c>
      <c r="BQ61" s="327">
        <f t="shared" si="6"/>
        <v>0</v>
      </c>
      <c r="BR61" s="329"/>
      <c r="BS61" s="329"/>
      <c r="BT61" s="488"/>
      <c r="BU61" s="489"/>
      <c r="BV61" s="490"/>
      <c r="BW61" s="489"/>
      <c r="BX61" s="488"/>
      <c r="BY61" s="489"/>
      <c r="BZ61" s="490"/>
      <c r="CA61" s="489"/>
      <c r="CB61" s="488"/>
      <c r="CC61" s="489"/>
      <c r="CD61" s="490"/>
      <c r="CE61" s="489"/>
      <c r="CF61" s="488"/>
      <c r="CG61" s="489"/>
      <c r="CH61" s="307"/>
      <c r="CI61" s="489"/>
      <c r="CJ61" s="488"/>
      <c r="CK61" s="489"/>
      <c r="CL61" s="490"/>
      <c r="CM61" s="489"/>
      <c r="CN61" s="488"/>
      <c r="CO61" s="489"/>
      <c r="CP61" s="490"/>
      <c r="CQ61" s="489"/>
      <c r="CR61" s="488"/>
      <c r="CS61" s="489"/>
      <c r="CT61" s="490"/>
      <c r="CU61" s="489"/>
      <c r="CV61" s="488"/>
      <c r="CW61" s="489"/>
      <c r="CX61" s="490"/>
      <c r="CY61" s="489"/>
      <c r="CZ61" s="488"/>
      <c r="DA61" s="489"/>
      <c r="DB61" s="490"/>
      <c r="DC61" s="489"/>
      <c r="DD61" s="488"/>
      <c r="DE61" s="489"/>
      <c r="DF61" s="490"/>
      <c r="DG61" s="489"/>
      <c r="DH61" s="488"/>
      <c r="DI61" s="489"/>
      <c r="DJ61" s="490"/>
      <c r="DK61" s="489"/>
      <c r="DL61" s="488"/>
      <c r="DM61" s="489"/>
      <c r="DN61" s="490"/>
      <c r="DO61" s="306"/>
      <c r="DP61" s="341"/>
      <c r="DQ61" s="323"/>
      <c r="DR61" s="323">
        <f t="shared" si="15"/>
        <v>0</v>
      </c>
      <c r="DS61" s="329"/>
      <c r="DT61" s="329"/>
      <c r="DU61" s="488"/>
      <c r="DV61" s="489"/>
      <c r="DW61" s="490"/>
      <c r="DX61" s="489"/>
      <c r="DY61" s="488"/>
      <c r="DZ61" s="489"/>
      <c r="EA61" s="490"/>
      <c r="EB61" s="489"/>
      <c r="EC61" s="488"/>
      <c r="ED61" s="489"/>
      <c r="EE61" s="490"/>
      <c r="EF61" s="489"/>
      <c r="EG61" s="488"/>
      <c r="EH61" s="489"/>
      <c r="EI61" s="307"/>
      <c r="EJ61" s="489"/>
      <c r="EK61" s="488"/>
      <c r="EL61" s="489"/>
      <c r="EM61" s="490"/>
      <c r="EN61" s="489"/>
      <c r="EO61" s="488"/>
      <c r="EP61" s="489"/>
      <c r="EQ61" s="490"/>
      <c r="ER61" s="489"/>
      <c r="ES61" s="488"/>
      <c r="ET61" s="489"/>
      <c r="EU61" s="490"/>
      <c r="EV61" s="489"/>
      <c r="EW61" s="488"/>
      <c r="EX61" s="489"/>
      <c r="EY61" s="490"/>
      <c r="EZ61" s="489"/>
      <c r="FA61" s="488"/>
      <c r="FB61" s="489"/>
      <c r="FC61" s="490"/>
      <c r="FD61" s="489"/>
      <c r="FE61" s="488"/>
      <c r="FF61" s="489"/>
      <c r="FG61" s="490"/>
      <c r="FH61" s="489"/>
      <c r="FI61" s="488"/>
      <c r="FJ61" s="489"/>
      <c r="FK61" s="490"/>
      <c r="FL61" s="489"/>
      <c r="FM61" s="488"/>
      <c r="FN61" s="489"/>
      <c r="FO61" s="490"/>
      <c r="FP61" s="306"/>
      <c r="FQ61" s="341"/>
      <c r="FR61" s="323"/>
      <c r="FS61" s="323">
        <f t="shared" si="17"/>
        <v>0</v>
      </c>
      <c r="FT61" s="360"/>
    </row>
    <row r="62" spans="1:176" s="14" customFormat="1" outlineLevel="2">
      <c r="A62" s="411" t="s">
        <v>478</v>
      </c>
      <c r="B62" s="387" t="s">
        <v>44</v>
      </c>
      <c r="C62" s="541" t="s">
        <v>72</v>
      </c>
      <c r="D62" s="565" t="s">
        <v>32</v>
      </c>
      <c r="E62" s="10">
        <f>IF(ISBLANK(G62),"",IF($A$6:$A$330=$A62,COUNTIF($A$6:A62,$A62),""))</f>
        <v>15</v>
      </c>
      <c r="F62" s="123">
        <v>1</v>
      </c>
      <c r="G62" s="124">
        <v>4630320200</v>
      </c>
      <c r="H62" s="604" t="s">
        <v>80</v>
      </c>
      <c r="I62" s="618">
        <v>0</v>
      </c>
      <c r="J62" s="618"/>
      <c r="K62" s="125"/>
      <c r="L62" s="618"/>
      <c r="M62" s="305"/>
      <c r="N62" s="305">
        <f t="shared" si="0"/>
        <v>1</v>
      </c>
      <c r="O62" s="322"/>
      <c r="P62" s="408">
        <f>SUMPRODUCT((Комплекты[Пр]=$F62)*(Комплекты[Обозначение]=$G62)*Комплекты[Кол-во]*(
((Комплекты[Комплект]=$G$54)*P$54)+
((Комплекты[Комплект]=$G$53)*P$53)))</f>
        <v>2</v>
      </c>
      <c r="Q62" s="307">
        <f>SUMPRODUCT((Комплекты[Пр]=$F62)*(Комплекты[Обозначение]=$G62)*Комплекты[Кол-во]*(
((Комплекты[Комплект]=$G$54)*Q$54)+
((Комплекты[Комплект]=$G$53)*Q$53)))</f>
        <v>2</v>
      </c>
      <c r="R62" s="408"/>
      <c r="S62" s="322"/>
      <c r="T62" s="408"/>
      <c r="U62" s="307"/>
      <c r="V62" s="408"/>
      <c r="W62" s="322"/>
      <c r="X62" s="408"/>
      <c r="Y62" s="307"/>
      <c r="Z62" s="408"/>
      <c r="AA62" s="322"/>
      <c r="AB62" s="408"/>
      <c r="AC62" s="307"/>
      <c r="AD62" s="408"/>
      <c r="AE62" s="322"/>
      <c r="AF62" s="408"/>
      <c r="AG62" s="307">
        <v>0</v>
      </c>
      <c r="AH62" s="408"/>
      <c r="AI62" s="322"/>
      <c r="AJ62" s="408"/>
      <c r="AK62" s="307"/>
      <c r="AL62" s="408"/>
      <c r="AM62" s="322"/>
      <c r="AN62" s="408"/>
      <c r="AO62" s="307"/>
      <c r="AP62" s="408"/>
      <c r="AQ62" s="322"/>
      <c r="AR62" s="408"/>
      <c r="AS62" s="307"/>
      <c r="AT62" s="408"/>
      <c r="AU62" s="322"/>
      <c r="AV62" s="408"/>
      <c r="AW62" s="307"/>
      <c r="AX62" s="408"/>
      <c r="AY62" s="322"/>
      <c r="AZ62" s="408"/>
      <c r="BA62" s="307"/>
      <c r="BB62" s="408"/>
      <c r="BC62" s="322"/>
      <c r="BD62" s="408"/>
      <c r="BE62" s="307"/>
      <c r="BF62" s="408"/>
      <c r="BG62" s="322"/>
      <c r="BH62" s="408"/>
      <c r="BI62" s="307"/>
      <c r="BJ62" s="408"/>
      <c r="BK62" s="340"/>
      <c r="BL62" s="328">
        <f t="shared" si="1"/>
        <v>0</v>
      </c>
      <c r="BM62" s="328">
        <f t="shared" si="2"/>
        <v>0</v>
      </c>
      <c r="BN62" s="324">
        <f t="shared" si="3"/>
        <v>2</v>
      </c>
      <c r="BO62" s="325">
        <f t="shared" si="4"/>
        <v>0</v>
      </c>
      <c r="BP62" s="326">
        <f t="shared" si="5"/>
        <v>2</v>
      </c>
      <c r="BQ62" s="327">
        <f t="shared" si="6"/>
        <v>0</v>
      </c>
      <c r="BR62" s="329"/>
      <c r="BS62" s="329"/>
      <c r="BT62" s="488"/>
      <c r="BU62" s="489"/>
      <c r="BV62" s="490"/>
      <c r="BW62" s="489"/>
      <c r="BX62" s="488"/>
      <c r="BY62" s="489"/>
      <c r="BZ62" s="490"/>
      <c r="CA62" s="489"/>
      <c r="CB62" s="488"/>
      <c r="CC62" s="489"/>
      <c r="CD62" s="490"/>
      <c r="CE62" s="489"/>
      <c r="CF62" s="488"/>
      <c r="CG62" s="489"/>
      <c r="CH62" s="307"/>
      <c r="CI62" s="489"/>
      <c r="CJ62" s="488"/>
      <c r="CK62" s="489"/>
      <c r="CL62" s="490"/>
      <c r="CM62" s="489"/>
      <c r="CN62" s="488"/>
      <c r="CO62" s="489"/>
      <c r="CP62" s="490"/>
      <c r="CQ62" s="489"/>
      <c r="CR62" s="488"/>
      <c r="CS62" s="489"/>
      <c r="CT62" s="490"/>
      <c r="CU62" s="489"/>
      <c r="CV62" s="488"/>
      <c r="CW62" s="489"/>
      <c r="CX62" s="490"/>
      <c r="CY62" s="489"/>
      <c r="CZ62" s="488"/>
      <c r="DA62" s="489"/>
      <c r="DB62" s="490"/>
      <c r="DC62" s="489"/>
      <c r="DD62" s="488"/>
      <c r="DE62" s="489"/>
      <c r="DF62" s="490"/>
      <c r="DG62" s="489"/>
      <c r="DH62" s="488"/>
      <c r="DI62" s="489"/>
      <c r="DJ62" s="490"/>
      <c r="DK62" s="489"/>
      <c r="DL62" s="488"/>
      <c r="DM62" s="489"/>
      <c r="DN62" s="490"/>
      <c r="DO62" s="306"/>
      <c r="DP62" s="341"/>
      <c r="DQ62" s="323"/>
      <c r="DR62" s="323">
        <f t="shared" si="15"/>
        <v>0</v>
      </c>
      <c r="DS62" s="329"/>
      <c r="DT62" s="329"/>
      <c r="DU62" s="488"/>
      <c r="DV62" s="489"/>
      <c r="DW62" s="490"/>
      <c r="DX62" s="489"/>
      <c r="DY62" s="488"/>
      <c r="DZ62" s="489"/>
      <c r="EA62" s="490"/>
      <c r="EB62" s="489"/>
      <c r="EC62" s="488"/>
      <c r="ED62" s="489"/>
      <c r="EE62" s="490"/>
      <c r="EF62" s="489"/>
      <c r="EG62" s="488"/>
      <c r="EH62" s="489"/>
      <c r="EI62" s="307"/>
      <c r="EJ62" s="489"/>
      <c r="EK62" s="488"/>
      <c r="EL62" s="489"/>
      <c r="EM62" s="490"/>
      <c r="EN62" s="489"/>
      <c r="EO62" s="488"/>
      <c r="EP62" s="489"/>
      <c r="EQ62" s="490"/>
      <c r="ER62" s="489"/>
      <c r="ES62" s="488"/>
      <c r="ET62" s="489"/>
      <c r="EU62" s="490"/>
      <c r="EV62" s="489"/>
      <c r="EW62" s="488"/>
      <c r="EX62" s="489"/>
      <c r="EY62" s="490"/>
      <c r="EZ62" s="489"/>
      <c r="FA62" s="488"/>
      <c r="FB62" s="489"/>
      <c r="FC62" s="490"/>
      <c r="FD62" s="489"/>
      <c r="FE62" s="488"/>
      <c r="FF62" s="489"/>
      <c r="FG62" s="490"/>
      <c r="FH62" s="489"/>
      <c r="FI62" s="488"/>
      <c r="FJ62" s="489"/>
      <c r="FK62" s="490"/>
      <c r="FL62" s="489"/>
      <c r="FM62" s="488"/>
      <c r="FN62" s="489"/>
      <c r="FO62" s="490"/>
      <c r="FP62" s="306"/>
      <c r="FQ62" s="341"/>
      <c r="FR62" s="323"/>
      <c r="FS62" s="323">
        <f t="shared" si="17"/>
        <v>0</v>
      </c>
      <c r="FT62" s="360"/>
    </row>
    <row r="63" spans="1:176" s="14" customFormat="1" outlineLevel="2">
      <c r="A63" s="411" t="s">
        <v>478</v>
      </c>
      <c r="B63" s="387" t="s">
        <v>44</v>
      </c>
      <c r="C63" s="541" t="s">
        <v>72</v>
      </c>
      <c r="D63" s="565" t="s">
        <v>32</v>
      </c>
      <c r="E63" s="10">
        <f>IF(ISBLANK(G63),"",IF($A$6:$A$330=$A63,COUNTIF($A$6:A63,$A63),""))</f>
        <v>16</v>
      </c>
      <c r="F63" s="123">
        <v>1</v>
      </c>
      <c r="G63" s="124">
        <v>4334010030</v>
      </c>
      <c r="H63" s="604" t="s">
        <v>81</v>
      </c>
      <c r="I63" s="618">
        <v>0</v>
      </c>
      <c r="J63" s="618"/>
      <c r="K63" s="125"/>
      <c r="L63" s="618"/>
      <c r="M63" s="305"/>
      <c r="N63" s="305">
        <f t="shared" si="0"/>
        <v>1</v>
      </c>
      <c r="O63" s="322"/>
      <c r="P63" s="408">
        <f>SUMPRODUCT((Комплекты[Пр]=$F63)*(Комплекты[Обозначение]=$G63)*Комплекты[Кол-во]*(
((Комплекты[Комплект]=$G$54)*P$54)+
((Комплекты[Комплект]=$G$53)*P$53)))</f>
        <v>2</v>
      </c>
      <c r="Q63" s="307">
        <f>SUMPRODUCT((Комплекты[Пр]=$F63)*(Комплекты[Обозначение]=$G63)*Комплекты[Кол-во]*(
((Комплекты[Комплект]=$G$54)*Q$54)+
((Комплекты[Комплект]=$G$53)*Q$53)))</f>
        <v>2</v>
      </c>
      <c r="R63" s="408"/>
      <c r="S63" s="322"/>
      <c r="T63" s="408"/>
      <c r="U63" s="307"/>
      <c r="V63" s="408"/>
      <c r="W63" s="322"/>
      <c r="X63" s="408"/>
      <c r="Y63" s="307"/>
      <c r="Z63" s="408"/>
      <c r="AA63" s="322"/>
      <c r="AB63" s="408"/>
      <c r="AC63" s="307"/>
      <c r="AD63" s="408"/>
      <c r="AE63" s="322"/>
      <c r="AF63" s="408"/>
      <c r="AG63" s="307">
        <v>0</v>
      </c>
      <c r="AH63" s="408"/>
      <c r="AI63" s="322"/>
      <c r="AJ63" s="408"/>
      <c r="AK63" s="307"/>
      <c r="AL63" s="408"/>
      <c r="AM63" s="322"/>
      <c r="AN63" s="408"/>
      <c r="AO63" s="307"/>
      <c r="AP63" s="408"/>
      <c r="AQ63" s="322"/>
      <c r="AR63" s="408"/>
      <c r="AS63" s="307"/>
      <c r="AT63" s="408"/>
      <c r="AU63" s="322"/>
      <c r="AV63" s="408"/>
      <c r="AW63" s="307"/>
      <c r="AX63" s="408"/>
      <c r="AY63" s="322"/>
      <c r="AZ63" s="408"/>
      <c r="BA63" s="307"/>
      <c r="BB63" s="408"/>
      <c r="BC63" s="322"/>
      <c r="BD63" s="408"/>
      <c r="BE63" s="307"/>
      <c r="BF63" s="408"/>
      <c r="BG63" s="322"/>
      <c r="BH63" s="408"/>
      <c r="BI63" s="307"/>
      <c r="BJ63" s="408"/>
      <c r="BK63" s="340"/>
      <c r="BL63" s="328">
        <f t="shared" si="1"/>
        <v>0</v>
      </c>
      <c r="BM63" s="328">
        <f t="shared" si="2"/>
        <v>0</v>
      </c>
      <c r="BN63" s="324">
        <f t="shared" si="3"/>
        <v>2</v>
      </c>
      <c r="BO63" s="325">
        <f t="shared" si="4"/>
        <v>0</v>
      </c>
      <c r="BP63" s="326">
        <f t="shared" si="5"/>
        <v>2</v>
      </c>
      <c r="BQ63" s="327">
        <f t="shared" si="6"/>
        <v>0</v>
      </c>
      <c r="BR63" s="329"/>
      <c r="BS63" s="329"/>
      <c r="BT63" s="488"/>
      <c r="BU63" s="489"/>
      <c r="BV63" s="490"/>
      <c r="BW63" s="489"/>
      <c r="BX63" s="488"/>
      <c r="BY63" s="489"/>
      <c r="BZ63" s="490"/>
      <c r="CA63" s="489"/>
      <c r="CB63" s="488"/>
      <c r="CC63" s="489"/>
      <c r="CD63" s="490"/>
      <c r="CE63" s="489"/>
      <c r="CF63" s="488"/>
      <c r="CG63" s="489"/>
      <c r="CH63" s="307"/>
      <c r="CI63" s="489"/>
      <c r="CJ63" s="488"/>
      <c r="CK63" s="489"/>
      <c r="CL63" s="490"/>
      <c r="CM63" s="489"/>
      <c r="CN63" s="488"/>
      <c r="CO63" s="489"/>
      <c r="CP63" s="490"/>
      <c r="CQ63" s="489"/>
      <c r="CR63" s="488"/>
      <c r="CS63" s="489"/>
      <c r="CT63" s="490"/>
      <c r="CU63" s="489"/>
      <c r="CV63" s="488"/>
      <c r="CW63" s="489"/>
      <c r="CX63" s="490"/>
      <c r="CY63" s="489"/>
      <c r="CZ63" s="488"/>
      <c r="DA63" s="489"/>
      <c r="DB63" s="490"/>
      <c r="DC63" s="489"/>
      <c r="DD63" s="488"/>
      <c r="DE63" s="489"/>
      <c r="DF63" s="490"/>
      <c r="DG63" s="489"/>
      <c r="DH63" s="488"/>
      <c r="DI63" s="489"/>
      <c r="DJ63" s="490"/>
      <c r="DK63" s="489"/>
      <c r="DL63" s="488"/>
      <c r="DM63" s="489"/>
      <c r="DN63" s="490"/>
      <c r="DO63" s="306"/>
      <c r="DP63" s="341"/>
      <c r="DQ63" s="323"/>
      <c r="DR63" s="323">
        <f t="shared" si="15"/>
        <v>0</v>
      </c>
      <c r="DS63" s="329"/>
      <c r="DT63" s="329"/>
      <c r="DU63" s="488"/>
      <c r="DV63" s="489"/>
      <c r="DW63" s="490"/>
      <c r="DX63" s="489"/>
      <c r="DY63" s="488"/>
      <c r="DZ63" s="489"/>
      <c r="EA63" s="490"/>
      <c r="EB63" s="489"/>
      <c r="EC63" s="488"/>
      <c r="ED63" s="489"/>
      <c r="EE63" s="490"/>
      <c r="EF63" s="489"/>
      <c r="EG63" s="488"/>
      <c r="EH63" s="489"/>
      <c r="EI63" s="307"/>
      <c r="EJ63" s="489"/>
      <c r="EK63" s="488"/>
      <c r="EL63" s="489"/>
      <c r="EM63" s="490"/>
      <c r="EN63" s="489"/>
      <c r="EO63" s="488"/>
      <c r="EP63" s="489"/>
      <c r="EQ63" s="490"/>
      <c r="ER63" s="489"/>
      <c r="ES63" s="488"/>
      <c r="ET63" s="489"/>
      <c r="EU63" s="490"/>
      <c r="EV63" s="489"/>
      <c r="EW63" s="488"/>
      <c r="EX63" s="489"/>
      <c r="EY63" s="490"/>
      <c r="EZ63" s="489"/>
      <c r="FA63" s="488"/>
      <c r="FB63" s="489"/>
      <c r="FC63" s="490"/>
      <c r="FD63" s="489"/>
      <c r="FE63" s="488"/>
      <c r="FF63" s="489"/>
      <c r="FG63" s="490"/>
      <c r="FH63" s="489"/>
      <c r="FI63" s="488"/>
      <c r="FJ63" s="489"/>
      <c r="FK63" s="490"/>
      <c r="FL63" s="489"/>
      <c r="FM63" s="488"/>
      <c r="FN63" s="489"/>
      <c r="FO63" s="490"/>
      <c r="FP63" s="306"/>
      <c r="FQ63" s="341"/>
      <c r="FR63" s="323"/>
      <c r="FS63" s="323">
        <f t="shared" si="17"/>
        <v>0</v>
      </c>
      <c r="FT63" s="360"/>
    </row>
    <row r="64" spans="1:176" s="14" customFormat="1" outlineLevel="2">
      <c r="A64" s="413" t="s">
        <v>478</v>
      </c>
      <c r="B64" s="389" t="s">
        <v>44</v>
      </c>
      <c r="C64" s="432" t="s">
        <v>72</v>
      </c>
      <c r="D64" s="575" t="s">
        <v>32</v>
      </c>
      <c r="E64" s="284">
        <f>IF(ISBLANK(G64),"",IF($A$6:$A$330=$A64,COUNTIF($A$6:A64,$A64),""))</f>
        <v>17</v>
      </c>
      <c r="F64" s="318">
        <v>1</v>
      </c>
      <c r="G64" s="319">
        <v>4494430600</v>
      </c>
      <c r="H64" s="603" t="s">
        <v>136</v>
      </c>
      <c r="I64" s="619">
        <v>0</v>
      </c>
      <c r="J64" s="619"/>
      <c r="K64" s="320"/>
      <c r="L64" s="619"/>
      <c r="M64" s="305"/>
      <c r="N64" s="305">
        <f t="shared" si="0"/>
        <v>0</v>
      </c>
      <c r="O64" s="322"/>
      <c r="P64" s="408">
        <f>SUMPRODUCT((Комплекты[Пр]=$F64)*(Комплекты[Обозначение]=$G64)*Комплекты[Кол-во]*(
((Комплекты[Комплект]=$G$54)*P$54)+
((Комплекты[Комплект]=$G$53)*P$53)))</f>
        <v>0</v>
      </c>
      <c r="Q64" s="307">
        <f>SUMPRODUCT((Комплекты[Пр]=$F64)*(Комплекты[Обозначение]=$G64)*Комплекты[Кол-во]*(
((Комплекты[Комплект]=$G$54)*Q$54)+
((Комплекты[Комплект]=$G$53)*Q$53)))</f>
        <v>0</v>
      </c>
      <c r="R64" s="408"/>
      <c r="S64" s="322"/>
      <c r="T64" s="408"/>
      <c r="U64" s="307"/>
      <c r="V64" s="408"/>
      <c r="W64" s="322"/>
      <c r="X64" s="408"/>
      <c r="Y64" s="307"/>
      <c r="Z64" s="408"/>
      <c r="AA64" s="322"/>
      <c r="AB64" s="408"/>
      <c r="AC64" s="307"/>
      <c r="AD64" s="408"/>
      <c r="AE64" s="322"/>
      <c r="AF64" s="408"/>
      <c r="AG64" s="307">
        <v>0</v>
      </c>
      <c r="AH64" s="408"/>
      <c r="AI64" s="322"/>
      <c r="AJ64" s="408"/>
      <c r="AK64" s="307"/>
      <c r="AL64" s="408"/>
      <c r="AM64" s="322"/>
      <c r="AN64" s="408"/>
      <c r="AO64" s="307"/>
      <c r="AP64" s="408"/>
      <c r="AQ64" s="322"/>
      <c r="AR64" s="408"/>
      <c r="AS64" s="307"/>
      <c r="AT64" s="408"/>
      <c r="AU64" s="322"/>
      <c r="AV64" s="408"/>
      <c r="AW64" s="307"/>
      <c r="AX64" s="408"/>
      <c r="AY64" s="322"/>
      <c r="AZ64" s="408"/>
      <c r="BA64" s="307"/>
      <c r="BB64" s="408"/>
      <c r="BC64" s="322"/>
      <c r="BD64" s="408"/>
      <c r="BE64" s="307"/>
      <c r="BF64" s="408"/>
      <c r="BG64" s="322"/>
      <c r="BH64" s="408"/>
      <c r="BI64" s="307"/>
      <c r="BJ64" s="408"/>
      <c r="BK64" s="340"/>
      <c r="BL64" s="328">
        <f t="shared" si="1"/>
        <v>0</v>
      </c>
      <c r="BM64" s="328">
        <f t="shared" si="2"/>
        <v>0</v>
      </c>
      <c r="BN64" s="324">
        <f t="shared" si="3"/>
        <v>0</v>
      </c>
      <c r="BO64" s="325">
        <f t="shared" si="4"/>
        <v>0</v>
      </c>
      <c r="BP64" s="326">
        <f t="shared" si="5"/>
        <v>0</v>
      </c>
      <c r="BQ64" s="327">
        <f t="shared" si="6"/>
        <v>0</v>
      </c>
      <c r="BR64" s="329"/>
      <c r="BS64" s="329"/>
      <c r="BT64" s="488"/>
      <c r="BU64" s="489"/>
      <c r="BV64" s="490"/>
      <c r="BW64" s="489"/>
      <c r="BX64" s="488"/>
      <c r="BY64" s="489"/>
      <c r="BZ64" s="490"/>
      <c r="CA64" s="489"/>
      <c r="CB64" s="488"/>
      <c r="CC64" s="489"/>
      <c r="CD64" s="490"/>
      <c r="CE64" s="489"/>
      <c r="CF64" s="488"/>
      <c r="CG64" s="489"/>
      <c r="CH64" s="307"/>
      <c r="CI64" s="489"/>
      <c r="CJ64" s="488"/>
      <c r="CK64" s="489"/>
      <c r="CL64" s="490"/>
      <c r="CM64" s="489"/>
      <c r="CN64" s="488"/>
      <c r="CO64" s="489"/>
      <c r="CP64" s="490"/>
      <c r="CQ64" s="489"/>
      <c r="CR64" s="488"/>
      <c r="CS64" s="489"/>
      <c r="CT64" s="490"/>
      <c r="CU64" s="489"/>
      <c r="CV64" s="488"/>
      <c r="CW64" s="489"/>
      <c r="CX64" s="490"/>
      <c r="CY64" s="489"/>
      <c r="CZ64" s="488"/>
      <c r="DA64" s="489"/>
      <c r="DB64" s="490"/>
      <c r="DC64" s="489"/>
      <c r="DD64" s="488"/>
      <c r="DE64" s="489"/>
      <c r="DF64" s="490"/>
      <c r="DG64" s="489"/>
      <c r="DH64" s="488"/>
      <c r="DI64" s="489"/>
      <c r="DJ64" s="490"/>
      <c r="DK64" s="489"/>
      <c r="DL64" s="488"/>
      <c r="DM64" s="489"/>
      <c r="DN64" s="490"/>
      <c r="DO64" s="306"/>
      <c r="DP64" s="341"/>
      <c r="DQ64" s="323"/>
      <c r="DR64" s="323">
        <f t="shared" si="15"/>
        <v>0</v>
      </c>
      <c r="DS64" s="329"/>
      <c r="DT64" s="329"/>
      <c r="DU64" s="488"/>
      <c r="DV64" s="489"/>
      <c r="DW64" s="490"/>
      <c r="DX64" s="489"/>
      <c r="DY64" s="488"/>
      <c r="DZ64" s="489"/>
      <c r="EA64" s="490"/>
      <c r="EB64" s="489"/>
      <c r="EC64" s="488"/>
      <c r="ED64" s="489"/>
      <c r="EE64" s="490"/>
      <c r="EF64" s="489"/>
      <c r="EG64" s="488"/>
      <c r="EH64" s="489"/>
      <c r="EI64" s="307"/>
      <c r="EJ64" s="489"/>
      <c r="EK64" s="488"/>
      <c r="EL64" s="489"/>
      <c r="EM64" s="490"/>
      <c r="EN64" s="489"/>
      <c r="EO64" s="488"/>
      <c r="EP64" s="489"/>
      <c r="EQ64" s="490"/>
      <c r="ER64" s="489"/>
      <c r="ES64" s="488"/>
      <c r="ET64" s="489"/>
      <c r="EU64" s="490"/>
      <c r="EV64" s="489"/>
      <c r="EW64" s="488"/>
      <c r="EX64" s="489"/>
      <c r="EY64" s="490"/>
      <c r="EZ64" s="489"/>
      <c r="FA64" s="488"/>
      <c r="FB64" s="489"/>
      <c r="FC64" s="490"/>
      <c r="FD64" s="489"/>
      <c r="FE64" s="488"/>
      <c r="FF64" s="489"/>
      <c r="FG64" s="490"/>
      <c r="FH64" s="489"/>
      <c r="FI64" s="488"/>
      <c r="FJ64" s="489"/>
      <c r="FK64" s="490"/>
      <c r="FL64" s="489"/>
      <c r="FM64" s="488"/>
      <c r="FN64" s="489"/>
      <c r="FO64" s="490"/>
      <c r="FP64" s="306"/>
      <c r="FQ64" s="341"/>
      <c r="FR64" s="323"/>
      <c r="FS64" s="323">
        <f t="shared" si="17"/>
        <v>0</v>
      </c>
      <c r="FT64" s="360"/>
    </row>
    <row r="65" spans="1:176" s="14" customFormat="1" outlineLevel="2">
      <c r="A65" s="413" t="s">
        <v>478</v>
      </c>
      <c r="B65" s="389" t="s">
        <v>44</v>
      </c>
      <c r="C65" s="432" t="s">
        <v>72</v>
      </c>
      <c r="D65" s="575" t="s">
        <v>32</v>
      </c>
      <c r="E65" s="284">
        <f>IF(ISBLANK(G65),"",IF($A$6:$A$330=$A65,COUNTIF($A$6:A65,$A65),""))</f>
        <v>18</v>
      </c>
      <c r="F65" s="318">
        <v>1</v>
      </c>
      <c r="G65" s="319">
        <v>4630840310</v>
      </c>
      <c r="H65" s="603" t="s">
        <v>135</v>
      </c>
      <c r="I65" s="619">
        <v>0</v>
      </c>
      <c r="J65" s="619"/>
      <c r="K65" s="320"/>
      <c r="L65" s="619"/>
      <c r="M65" s="305"/>
      <c r="N65" s="305">
        <f t="shared" si="0"/>
        <v>0</v>
      </c>
      <c r="O65" s="322"/>
      <c r="P65" s="408">
        <f>SUMPRODUCT((Комплекты[Пр]=$F65)*(Комплекты[Обозначение]=$G65)*Комплекты[Кол-во]*(
((Комплекты[Комплект]=$G$54)*P$54)+
((Комплекты[Комплект]=$G$53)*P$53)))</f>
        <v>0</v>
      </c>
      <c r="Q65" s="307">
        <f>SUMPRODUCT((Комплекты[Пр]=$F65)*(Комплекты[Обозначение]=$G65)*Комплекты[Кол-во]*(
((Комплекты[Комплект]=$G$54)*Q$54)+
((Комплекты[Комплект]=$G$53)*Q$53)))</f>
        <v>0</v>
      </c>
      <c r="R65" s="408"/>
      <c r="S65" s="322"/>
      <c r="T65" s="408"/>
      <c r="U65" s="307"/>
      <c r="V65" s="408"/>
      <c r="W65" s="322"/>
      <c r="X65" s="408"/>
      <c r="Y65" s="307"/>
      <c r="Z65" s="408"/>
      <c r="AA65" s="322"/>
      <c r="AB65" s="408"/>
      <c r="AC65" s="307"/>
      <c r="AD65" s="408"/>
      <c r="AE65" s="322"/>
      <c r="AF65" s="408"/>
      <c r="AG65" s="307">
        <v>0</v>
      </c>
      <c r="AH65" s="408"/>
      <c r="AI65" s="322"/>
      <c r="AJ65" s="408"/>
      <c r="AK65" s="307"/>
      <c r="AL65" s="408"/>
      <c r="AM65" s="322"/>
      <c r="AN65" s="408"/>
      <c r="AO65" s="307"/>
      <c r="AP65" s="408"/>
      <c r="AQ65" s="322"/>
      <c r="AR65" s="408"/>
      <c r="AS65" s="307"/>
      <c r="AT65" s="408"/>
      <c r="AU65" s="322"/>
      <c r="AV65" s="408"/>
      <c r="AW65" s="307"/>
      <c r="AX65" s="408"/>
      <c r="AY65" s="322"/>
      <c r="AZ65" s="408"/>
      <c r="BA65" s="307"/>
      <c r="BB65" s="408"/>
      <c r="BC65" s="322"/>
      <c r="BD65" s="408"/>
      <c r="BE65" s="307"/>
      <c r="BF65" s="408"/>
      <c r="BG65" s="322"/>
      <c r="BH65" s="408"/>
      <c r="BI65" s="307"/>
      <c r="BJ65" s="408"/>
      <c r="BK65" s="340"/>
      <c r="BL65" s="328">
        <f t="shared" si="1"/>
        <v>0</v>
      </c>
      <c r="BM65" s="328">
        <f t="shared" si="2"/>
        <v>0</v>
      </c>
      <c r="BN65" s="324">
        <f t="shared" si="3"/>
        <v>0</v>
      </c>
      <c r="BO65" s="325">
        <f t="shared" si="4"/>
        <v>0</v>
      </c>
      <c r="BP65" s="326">
        <f t="shared" si="5"/>
        <v>0</v>
      </c>
      <c r="BQ65" s="327">
        <f t="shared" si="6"/>
        <v>0</v>
      </c>
      <c r="BR65" s="329"/>
      <c r="BS65" s="329"/>
      <c r="BT65" s="488"/>
      <c r="BU65" s="489"/>
      <c r="BV65" s="490"/>
      <c r="BW65" s="489"/>
      <c r="BX65" s="488"/>
      <c r="BY65" s="489"/>
      <c r="BZ65" s="490"/>
      <c r="CA65" s="489"/>
      <c r="CB65" s="488"/>
      <c r="CC65" s="489"/>
      <c r="CD65" s="490"/>
      <c r="CE65" s="489"/>
      <c r="CF65" s="488"/>
      <c r="CG65" s="489"/>
      <c r="CH65" s="307"/>
      <c r="CI65" s="489"/>
      <c r="CJ65" s="488"/>
      <c r="CK65" s="489"/>
      <c r="CL65" s="490"/>
      <c r="CM65" s="489"/>
      <c r="CN65" s="488"/>
      <c r="CO65" s="489"/>
      <c r="CP65" s="490"/>
      <c r="CQ65" s="489"/>
      <c r="CR65" s="488"/>
      <c r="CS65" s="489"/>
      <c r="CT65" s="490"/>
      <c r="CU65" s="489"/>
      <c r="CV65" s="488"/>
      <c r="CW65" s="489"/>
      <c r="CX65" s="490"/>
      <c r="CY65" s="489"/>
      <c r="CZ65" s="488"/>
      <c r="DA65" s="489"/>
      <c r="DB65" s="490"/>
      <c r="DC65" s="489"/>
      <c r="DD65" s="488"/>
      <c r="DE65" s="489"/>
      <c r="DF65" s="490"/>
      <c r="DG65" s="489"/>
      <c r="DH65" s="488"/>
      <c r="DI65" s="489"/>
      <c r="DJ65" s="490"/>
      <c r="DK65" s="489"/>
      <c r="DL65" s="488"/>
      <c r="DM65" s="489"/>
      <c r="DN65" s="490"/>
      <c r="DO65" s="306"/>
      <c r="DP65" s="341"/>
      <c r="DQ65" s="323"/>
      <c r="DR65" s="323">
        <f t="shared" si="15"/>
        <v>0</v>
      </c>
      <c r="DS65" s="329"/>
      <c r="DT65" s="329"/>
      <c r="DU65" s="488"/>
      <c r="DV65" s="489"/>
      <c r="DW65" s="490"/>
      <c r="DX65" s="489"/>
      <c r="DY65" s="488"/>
      <c r="DZ65" s="489"/>
      <c r="EA65" s="490"/>
      <c r="EB65" s="489"/>
      <c r="EC65" s="488"/>
      <c r="ED65" s="489"/>
      <c r="EE65" s="490"/>
      <c r="EF65" s="489"/>
      <c r="EG65" s="488"/>
      <c r="EH65" s="489"/>
      <c r="EI65" s="307"/>
      <c r="EJ65" s="489"/>
      <c r="EK65" s="488"/>
      <c r="EL65" s="489"/>
      <c r="EM65" s="490"/>
      <c r="EN65" s="489"/>
      <c r="EO65" s="488"/>
      <c r="EP65" s="489"/>
      <c r="EQ65" s="490"/>
      <c r="ER65" s="489"/>
      <c r="ES65" s="488"/>
      <c r="ET65" s="489"/>
      <c r="EU65" s="490"/>
      <c r="EV65" s="489"/>
      <c r="EW65" s="488"/>
      <c r="EX65" s="489"/>
      <c r="EY65" s="490"/>
      <c r="EZ65" s="489"/>
      <c r="FA65" s="488"/>
      <c r="FB65" s="489"/>
      <c r="FC65" s="490"/>
      <c r="FD65" s="489"/>
      <c r="FE65" s="488"/>
      <c r="FF65" s="489"/>
      <c r="FG65" s="490"/>
      <c r="FH65" s="489"/>
      <c r="FI65" s="488"/>
      <c r="FJ65" s="489"/>
      <c r="FK65" s="490"/>
      <c r="FL65" s="489"/>
      <c r="FM65" s="488"/>
      <c r="FN65" s="489"/>
      <c r="FO65" s="490"/>
      <c r="FP65" s="306"/>
      <c r="FQ65" s="341"/>
      <c r="FR65" s="323"/>
      <c r="FS65" s="323">
        <f t="shared" si="17"/>
        <v>0</v>
      </c>
      <c r="FT65" s="360"/>
    </row>
    <row r="66" spans="1:176" s="14" customFormat="1" outlineLevel="2">
      <c r="A66" s="411" t="s">
        <v>478</v>
      </c>
      <c r="B66" s="387"/>
      <c r="C66" s="541"/>
      <c r="D66" s="565"/>
      <c r="E66" s="13" t="str">
        <f>IF(ISBLANK(G66),"",IF($A$6:$A$330=$A66,COUNTIF($A$6:A66,$A66),""))</f>
        <v/>
      </c>
      <c r="F66" s="13"/>
      <c r="G66" s="111"/>
      <c r="H66" s="607" t="s">
        <v>43</v>
      </c>
      <c r="I66" s="617"/>
      <c r="J66" s="616"/>
      <c r="K66" s="333"/>
      <c r="L66" s="616"/>
      <c r="M66" s="305"/>
      <c r="N66" s="305">
        <f t="shared" si="0"/>
        <v>0</v>
      </c>
      <c r="O66" s="322"/>
      <c r="P66" s="408"/>
      <c r="Q66" s="307"/>
      <c r="R66" s="408"/>
      <c r="S66" s="322"/>
      <c r="T66" s="408"/>
      <c r="U66" s="307"/>
      <c r="V66" s="408"/>
      <c r="W66" s="322"/>
      <c r="X66" s="408"/>
      <c r="Y66" s="307"/>
      <c r="Z66" s="408"/>
      <c r="AA66" s="322"/>
      <c r="AB66" s="408"/>
      <c r="AC66" s="307"/>
      <c r="AD66" s="408"/>
      <c r="AE66" s="322"/>
      <c r="AF66" s="408"/>
      <c r="AG66" s="307"/>
      <c r="AH66" s="408"/>
      <c r="AI66" s="322"/>
      <c r="AJ66" s="408"/>
      <c r="AK66" s="307"/>
      <c r="AL66" s="408"/>
      <c r="AM66" s="322"/>
      <c r="AN66" s="408"/>
      <c r="AO66" s="307"/>
      <c r="AP66" s="408"/>
      <c r="AQ66" s="322"/>
      <c r="AR66" s="408"/>
      <c r="AS66" s="307"/>
      <c r="AT66" s="408"/>
      <c r="AU66" s="322"/>
      <c r="AV66" s="408"/>
      <c r="AW66" s="307"/>
      <c r="AX66" s="408"/>
      <c r="AY66" s="322"/>
      <c r="AZ66" s="408"/>
      <c r="BA66" s="307"/>
      <c r="BB66" s="408"/>
      <c r="BC66" s="322"/>
      <c r="BD66" s="408"/>
      <c r="BE66" s="307"/>
      <c r="BF66" s="408"/>
      <c r="BG66" s="322"/>
      <c r="BH66" s="408"/>
      <c r="BI66" s="307"/>
      <c r="BJ66" s="408"/>
      <c r="BK66" s="340"/>
      <c r="BL66" s="328">
        <f t="shared" si="1"/>
        <v>0</v>
      </c>
      <c r="BM66" s="328">
        <f t="shared" si="2"/>
        <v>0</v>
      </c>
      <c r="BN66" s="324">
        <f t="shared" si="3"/>
        <v>0</v>
      </c>
      <c r="BO66" s="325">
        <f t="shared" si="4"/>
        <v>0</v>
      </c>
      <c r="BP66" s="326">
        <f t="shared" si="5"/>
        <v>0</v>
      </c>
      <c r="BQ66" s="327">
        <f t="shared" si="6"/>
        <v>0</v>
      </c>
      <c r="BR66" s="329"/>
      <c r="BS66" s="329"/>
      <c r="BT66" s="488"/>
      <c r="BU66" s="489"/>
      <c r="BV66" s="490"/>
      <c r="BW66" s="489"/>
      <c r="BX66" s="488"/>
      <c r="BY66" s="489"/>
      <c r="BZ66" s="490"/>
      <c r="CA66" s="489"/>
      <c r="CB66" s="488"/>
      <c r="CC66" s="489"/>
      <c r="CD66" s="490"/>
      <c r="CE66" s="489"/>
      <c r="CF66" s="488"/>
      <c r="CG66" s="489"/>
      <c r="CH66" s="307"/>
      <c r="CI66" s="489"/>
      <c r="CJ66" s="488"/>
      <c r="CK66" s="489"/>
      <c r="CL66" s="490"/>
      <c r="CM66" s="489"/>
      <c r="CN66" s="488"/>
      <c r="CO66" s="489"/>
      <c r="CP66" s="490"/>
      <c r="CQ66" s="489"/>
      <c r="CR66" s="488"/>
      <c r="CS66" s="489"/>
      <c r="CT66" s="490"/>
      <c r="CU66" s="489"/>
      <c r="CV66" s="488"/>
      <c r="CW66" s="489"/>
      <c r="CX66" s="490"/>
      <c r="CY66" s="489"/>
      <c r="CZ66" s="488"/>
      <c r="DA66" s="489"/>
      <c r="DB66" s="490"/>
      <c r="DC66" s="489"/>
      <c r="DD66" s="488"/>
      <c r="DE66" s="489"/>
      <c r="DF66" s="490"/>
      <c r="DG66" s="489"/>
      <c r="DH66" s="488"/>
      <c r="DI66" s="489"/>
      <c r="DJ66" s="490"/>
      <c r="DK66" s="489"/>
      <c r="DL66" s="488"/>
      <c r="DM66" s="489"/>
      <c r="DN66" s="490"/>
      <c r="DO66" s="306"/>
      <c r="DP66" s="341"/>
      <c r="DQ66" s="323"/>
      <c r="DR66" s="323">
        <f t="shared" si="15"/>
        <v>0</v>
      </c>
      <c r="DS66" s="329"/>
      <c r="DT66" s="329"/>
      <c r="DU66" s="488"/>
      <c r="DV66" s="489"/>
      <c r="DW66" s="490"/>
      <c r="DX66" s="489"/>
      <c r="DY66" s="488"/>
      <c r="DZ66" s="489"/>
      <c r="EA66" s="490"/>
      <c r="EB66" s="489"/>
      <c r="EC66" s="488"/>
      <c r="ED66" s="489"/>
      <c r="EE66" s="490"/>
      <c r="EF66" s="489"/>
      <c r="EG66" s="488"/>
      <c r="EH66" s="489"/>
      <c r="EI66" s="307"/>
      <c r="EJ66" s="489"/>
      <c r="EK66" s="488"/>
      <c r="EL66" s="489"/>
      <c r="EM66" s="490"/>
      <c r="EN66" s="489"/>
      <c r="EO66" s="488"/>
      <c r="EP66" s="489"/>
      <c r="EQ66" s="490"/>
      <c r="ER66" s="489"/>
      <c r="ES66" s="488"/>
      <c r="ET66" s="489"/>
      <c r="EU66" s="490"/>
      <c r="EV66" s="489"/>
      <c r="EW66" s="488"/>
      <c r="EX66" s="489"/>
      <c r="EY66" s="490"/>
      <c r="EZ66" s="489"/>
      <c r="FA66" s="488"/>
      <c r="FB66" s="489"/>
      <c r="FC66" s="490"/>
      <c r="FD66" s="489"/>
      <c r="FE66" s="488"/>
      <c r="FF66" s="489"/>
      <c r="FG66" s="490"/>
      <c r="FH66" s="489"/>
      <c r="FI66" s="488"/>
      <c r="FJ66" s="489"/>
      <c r="FK66" s="490"/>
      <c r="FL66" s="489"/>
      <c r="FM66" s="488"/>
      <c r="FN66" s="489"/>
      <c r="FO66" s="490"/>
      <c r="FP66" s="306"/>
      <c r="FQ66" s="341"/>
      <c r="FR66" s="323"/>
      <c r="FS66" s="323">
        <f t="shared" si="17"/>
        <v>0</v>
      </c>
      <c r="FT66" s="360"/>
    </row>
    <row r="67" spans="1:176" s="116" customFormat="1" outlineLevel="1">
      <c r="A67" s="46" t="s">
        <v>478</v>
      </c>
      <c r="B67" s="388"/>
      <c r="C67" s="650"/>
      <c r="D67" s="651"/>
      <c r="E67" s="118" t="str">
        <f>IF(ISBLANK(G67),"",IF($A$6:$A$330=$A67,COUNTIF($A$6:A67,$A67),""))</f>
        <v/>
      </c>
      <c r="F67" s="117"/>
      <c r="G67" s="119"/>
      <c r="H67" s="608"/>
      <c r="I67" s="620"/>
      <c r="J67" s="620"/>
      <c r="K67" s="120"/>
      <c r="L67" s="620" t="str">
        <f t="shared" ref="L67:L72" si="20">IF(K67="RUB",J67/ЮАНЬ,IF(K67="EUR",J67*ЕВРО/ЮАНЬ,""))</f>
        <v/>
      </c>
      <c r="M67" s="102"/>
      <c r="N67" s="305">
        <f t="shared" si="0"/>
        <v>0</v>
      </c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356"/>
      <c r="BL67" s="52">
        <f t="shared" si="1"/>
        <v>0</v>
      </c>
      <c r="BM67" s="52">
        <f t="shared" si="2"/>
        <v>0</v>
      </c>
      <c r="BN67" s="52">
        <f t="shared" si="3"/>
        <v>0</v>
      </c>
      <c r="BO67" s="52">
        <f t="shared" si="4"/>
        <v>0</v>
      </c>
      <c r="BP67" s="52">
        <f t="shared" si="5"/>
        <v>0</v>
      </c>
      <c r="BQ67" s="52">
        <f t="shared" si="6"/>
        <v>0</v>
      </c>
      <c r="BR67" s="51"/>
      <c r="BS67" s="335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356"/>
      <c r="DQ67" s="52">
        <f>SUMPRODUCT(--(MOD(COLUMN(BT67:CQ67),4)=MOD(COLUMN(BT67),4)),BT67:CQ67)+SUMPRODUCT(--(MOD(COLUMN(CR67:DO67),4)=MOD(COLUMN(CR67),4)),CR67:DO67)</f>
        <v>0</v>
      </c>
      <c r="DR67" s="52">
        <f t="shared" si="15"/>
        <v>0</v>
      </c>
      <c r="DS67" s="51"/>
      <c r="DT67" s="335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356"/>
      <c r="FR67" s="52">
        <f>SUMPRODUCT(--(MOD(COLUMN(DU67:ER67),4)=MOD(COLUMN(DU67),4)),DU67:ER67)+SUMPRODUCT(--(MOD(COLUMN(ES67:FP67),4)=MOD(COLUMN(ES67),4)),ES67:FP67)</f>
        <v>0</v>
      </c>
      <c r="FS67" s="52">
        <f t="shared" si="17"/>
        <v>0</v>
      </c>
      <c r="FT67" s="343"/>
    </row>
    <row r="68" spans="1:176" s="14" customFormat="1" outlineLevel="2">
      <c r="A68" s="418" t="s">
        <v>480</v>
      </c>
      <c r="B68" s="387" t="s">
        <v>44</v>
      </c>
      <c r="C68" s="541" t="s">
        <v>72</v>
      </c>
      <c r="D68" s="565" t="s">
        <v>32</v>
      </c>
      <c r="E68" s="10">
        <f>IF(ISBLANK(G68),"",IF($A$6:$A$330=$A68,COUNTIF($A$6:A68,$A68),""))</f>
        <v>1</v>
      </c>
      <c r="F68" s="10">
        <v>2</v>
      </c>
      <c r="G68" s="55">
        <v>9630010510</v>
      </c>
      <c r="H68" s="54" t="s">
        <v>91</v>
      </c>
      <c r="I68" s="617">
        <f>J68/ЮАНЬ_2025_08_29</f>
        <v>717.33333333333337</v>
      </c>
      <c r="J68" s="617">
        <f>9684/НДС_20</f>
        <v>8070</v>
      </c>
      <c r="K68" s="113" t="s">
        <v>95</v>
      </c>
      <c r="L68" s="617">
        <f t="shared" si="20"/>
        <v>717.33333333333337</v>
      </c>
      <c r="M68" s="102"/>
      <c r="N68" s="305">
        <f t="shared" si="0"/>
        <v>0</v>
      </c>
      <c r="O68" s="23"/>
      <c r="P68" s="24"/>
      <c r="Q68" s="25"/>
      <c r="R68" s="24"/>
      <c r="S68" s="23"/>
      <c r="T68" s="24"/>
      <c r="U68" s="25"/>
      <c r="V68" s="24"/>
      <c r="W68" s="23"/>
      <c r="X68" s="24"/>
      <c r="Y68" s="25"/>
      <c r="Z68" s="24"/>
      <c r="AA68" s="23"/>
      <c r="AB68" s="24"/>
      <c r="AC68" s="25"/>
      <c r="AD68" s="24"/>
      <c r="AE68" s="23"/>
      <c r="AF68" s="24"/>
      <c r="AG68" s="25"/>
      <c r="AH68" s="24"/>
      <c r="AI68" s="23"/>
      <c r="AJ68" s="24"/>
      <c r="AK68" s="25"/>
      <c r="AL68" s="24"/>
      <c r="AM68" s="23"/>
      <c r="AN68" s="24"/>
      <c r="AO68" s="25"/>
      <c r="AP68" s="24"/>
      <c r="AQ68" s="23"/>
      <c r="AR68" s="24"/>
      <c r="AS68" s="25"/>
      <c r="AT68" s="24"/>
      <c r="AU68" s="23"/>
      <c r="AV68" s="24"/>
      <c r="AW68" s="25"/>
      <c r="AX68" s="24"/>
      <c r="AY68" s="23"/>
      <c r="AZ68" s="24"/>
      <c r="BA68" s="25"/>
      <c r="BB68" s="24"/>
      <c r="BC68" s="23"/>
      <c r="BD68" s="24"/>
      <c r="BE68" s="25"/>
      <c r="BF68" s="24"/>
      <c r="BG68" s="23"/>
      <c r="BH68" s="24"/>
      <c r="BI68" s="25"/>
      <c r="BJ68" s="24"/>
      <c r="BK68" s="340"/>
      <c r="BL68" s="32">
        <f t="shared" si="1"/>
        <v>0</v>
      </c>
      <c r="BM68" s="32">
        <f t="shared" si="2"/>
        <v>0</v>
      </c>
      <c r="BN68" s="28">
        <f t="shared" si="3"/>
        <v>0</v>
      </c>
      <c r="BO68" s="29">
        <f t="shared" si="4"/>
        <v>0</v>
      </c>
      <c r="BP68" s="30">
        <f t="shared" si="5"/>
        <v>0</v>
      </c>
      <c r="BQ68" s="31">
        <f t="shared" si="6"/>
        <v>0</v>
      </c>
      <c r="BR68" s="11"/>
      <c r="BS68" s="329"/>
      <c r="BT68" s="23"/>
      <c r="BU68" s="24"/>
      <c r="BV68" s="25"/>
      <c r="BW68" s="24"/>
      <c r="BX68" s="23"/>
      <c r="BY68" s="24"/>
      <c r="BZ68" s="25"/>
      <c r="CA68" s="24"/>
      <c r="CB68" s="23"/>
      <c r="CC68" s="24"/>
      <c r="CD68" s="25"/>
      <c r="CE68" s="24"/>
      <c r="CF68" s="23"/>
      <c r="CG68" s="24"/>
      <c r="CH68" s="25"/>
      <c r="CI68" s="24"/>
      <c r="CJ68" s="23"/>
      <c r="CK68" s="24"/>
      <c r="CL68" s="25"/>
      <c r="CM68" s="24"/>
      <c r="CN68" s="23"/>
      <c r="CO68" s="24"/>
      <c r="CP68" s="25"/>
      <c r="CQ68" s="24"/>
      <c r="CR68" s="23"/>
      <c r="CS68" s="24"/>
      <c r="CT68" s="25"/>
      <c r="CU68" s="24"/>
      <c r="CV68" s="23"/>
      <c r="CW68" s="24"/>
      <c r="CX68" s="25"/>
      <c r="CY68" s="24"/>
      <c r="CZ68" s="23"/>
      <c r="DA68" s="24"/>
      <c r="DB68" s="25"/>
      <c r="DC68" s="24"/>
      <c r="DD68" s="23"/>
      <c r="DE68" s="24"/>
      <c r="DF68" s="25"/>
      <c r="DG68" s="24"/>
      <c r="DH68" s="23"/>
      <c r="DI68" s="24"/>
      <c r="DJ68" s="25"/>
      <c r="DK68" s="24"/>
      <c r="DL68" s="23"/>
      <c r="DM68" s="24"/>
      <c r="DN68" s="25"/>
      <c r="DO68" s="24"/>
      <c r="DP68" s="340"/>
      <c r="DQ68" s="32">
        <f>SUMPRODUCT(--(MOD(COLUMN(BT68:CQ68),4)=MOD(COLUMN(BT68),4)),BT68:CQ68)+SUMPRODUCT(--(MOD(COLUMN(CR68:DO68),4)=MOD(COLUMN(CR68),4)),CR68:DO68)</f>
        <v>0</v>
      </c>
      <c r="DR68" s="32">
        <f t="shared" si="15"/>
        <v>0</v>
      </c>
      <c r="DS68" s="11"/>
      <c r="DT68" s="329"/>
      <c r="DU68" s="23"/>
      <c r="DV68" s="24"/>
      <c r="DW68" s="25"/>
      <c r="DX68" s="24"/>
      <c r="DY68" s="23"/>
      <c r="DZ68" s="24"/>
      <c r="EA68" s="25"/>
      <c r="EB68" s="24"/>
      <c r="EC68" s="23"/>
      <c r="ED68" s="24"/>
      <c r="EE68" s="25"/>
      <c r="EF68" s="24"/>
      <c r="EG68" s="23"/>
      <c r="EH68" s="24"/>
      <c r="EI68" s="25"/>
      <c r="EJ68" s="24"/>
      <c r="EK68" s="23"/>
      <c r="EL68" s="24"/>
      <c r="EM68" s="25"/>
      <c r="EN68" s="24"/>
      <c r="EO68" s="23"/>
      <c r="EP68" s="24"/>
      <c r="EQ68" s="25"/>
      <c r="ER68" s="24"/>
      <c r="ES68" s="23"/>
      <c r="ET68" s="24"/>
      <c r="EU68" s="25"/>
      <c r="EV68" s="24"/>
      <c r="EW68" s="23"/>
      <c r="EX68" s="24"/>
      <c r="EY68" s="25"/>
      <c r="EZ68" s="24"/>
      <c r="FA68" s="23"/>
      <c r="FB68" s="24"/>
      <c r="FC68" s="25"/>
      <c r="FD68" s="24"/>
      <c r="FE68" s="23"/>
      <c r="FF68" s="24"/>
      <c r="FG68" s="25"/>
      <c r="FH68" s="24"/>
      <c r="FI68" s="23"/>
      <c r="FJ68" s="24"/>
      <c r="FK68" s="25"/>
      <c r="FL68" s="24"/>
      <c r="FM68" s="23"/>
      <c r="FN68" s="24"/>
      <c r="FO68" s="25"/>
      <c r="FP68" s="24"/>
      <c r="FQ68" s="340"/>
      <c r="FR68" s="32">
        <f>SUMPRODUCT(--(MOD(COLUMN(DU68:ER68),4)=MOD(COLUMN(DU68),4)),DU68:ER68)+SUMPRODUCT(--(MOD(COLUMN(ES68:FP68),4)=MOD(COLUMN(ES68),4)),ES68:FP68)</f>
        <v>0</v>
      </c>
      <c r="FS68" s="32">
        <f t="shared" si="17"/>
        <v>0</v>
      </c>
      <c r="FT68" s="360"/>
    </row>
    <row r="69" spans="1:176" s="14" customFormat="1" outlineLevel="2">
      <c r="A69" s="418" t="s">
        <v>480</v>
      </c>
      <c r="B69" s="387" t="s">
        <v>44</v>
      </c>
      <c r="C69" s="541" t="s">
        <v>72</v>
      </c>
      <c r="D69" s="565" t="s">
        <v>32</v>
      </c>
      <c r="E69" s="10">
        <f>IF(ISBLANK(G69),"",IF($A$6:$A$330=$A69,COUNTIF($A$6:A69,$A69),""))</f>
        <v>2</v>
      </c>
      <c r="F69" s="10">
        <v>2</v>
      </c>
      <c r="G69" s="55">
        <v>9735000510</v>
      </c>
      <c r="H69" s="54" t="s">
        <v>87</v>
      </c>
      <c r="I69" s="617">
        <f>J69/ЮАНЬ_2025_08_29</f>
        <v>352.66666666666669</v>
      </c>
      <c r="J69" s="617">
        <f>4761/НДС_20</f>
        <v>3967.5</v>
      </c>
      <c r="K69" s="113" t="s">
        <v>95</v>
      </c>
      <c r="L69" s="617">
        <f t="shared" si="20"/>
        <v>352.66666666666669</v>
      </c>
      <c r="M69" s="102"/>
      <c r="N69" s="305">
        <f t="shared" si="0"/>
        <v>0</v>
      </c>
      <c r="O69" s="23"/>
      <c r="P69" s="24"/>
      <c r="Q69" s="25"/>
      <c r="R69" s="24"/>
      <c r="S69" s="23"/>
      <c r="T69" s="24"/>
      <c r="U69" s="25"/>
      <c r="V69" s="24"/>
      <c r="W69" s="23"/>
      <c r="X69" s="24"/>
      <c r="Y69" s="25"/>
      <c r="Z69" s="24"/>
      <c r="AA69" s="23"/>
      <c r="AB69" s="24"/>
      <c r="AC69" s="25"/>
      <c r="AD69" s="24"/>
      <c r="AE69" s="23"/>
      <c r="AF69" s="24"/>
      <c r="AG69" s="25"/>
      <c r="AH69" s="24"/>
      <c r="AI69" s="23"/>
      <c r="AJ69" s="24"/>
      <c r="AK69" s="25"/>
      <c r="AL69" s="24"/>
      <c r="AM69" s="23"/>
      <c r="AN69" s="24"/>
      <c r="AO69" s="25"/>
      <c r="AP69" s="24"/>
      <c r="AQ69" s="23"/>
      <c r="AR69" s="24"/>
      <c r="AS69" s="25"/>
      <c r="AT69" s="24"/>
      <c r="AU69" s="23"/>
      <c r="AV69" s="24"/>
      <c r="AW69" s="25"/>
      <c r="AX69" s="24"/>
      <c r="AY69" s="23"/>
      <c r="AZ69" s="24"/>
      <c r="BA69" s="25"/>
      <c r="BB69" s="24"/>
      <c r="BC69" s="23"/>
      <c r="BD69" s="24"/>
      <c r="BE69" s="25"/>
      <c r="BF69" s="24"/>
      <c r="BG69" s="23"/>
      <c r="BH69" s="24"/>
      <c r="BI69" s="25"/>
      <c r="BJ69" s="24"/>
      <c r="BK69" s="340"/>
      <c r="BL69" s="32">
        <f t="shared" si="1"/>
        <v>0</v>
      </c>
      <c r="BM69" s="32">
        <f t="shared" si="2"/>
        <v>0</v>
      </c>
      <c r="BN69" s="28">
        <f t="shared" si="3"/>
        <v>0</v>
      </c>
      <c r="BO69" s="29">
        <f t="shared" si="4"/>
        <v>0</v>
      </c>
      <c r="BP69" s="30">
        <f t="shared" si="5"/>
        <v>0</v>
      </c>
      <c r="BQ69" s="31">
        <f t="shared" si="6"/>
        <v>0</v>
      </c>
      <c r="BR69" s="11"/>
      <c r="BS69" s="329"/>
      <c r="BT69" s="23"/>
      <c r="BU69" s="24"/>
      <c r="BV69" s="25"/>
      <c r="BW69" s="24"/>
      <c r="BX69" s="23"/>
      <c r="BY69" s="24"/>
      <c r="BZ69" s="25"/>
      <c r="CA69" s="24"/>
      <c r="CB69" s="23"/>
      <c r="CC69" s="24"/>
      <c r="CD69" s="25"/>
      <c r="CE69" s="24"/>
      <c r="CF69" s="23"/>
      <c r="CG69" s="24"/>
      <c r="CH69" s="25"/>
      <c r="CI69" s="24"/>
      <c r="CJ69" s="23"/>
      <c r="CK69" s="24"/>
      <c r="CL69" s="25"/>
      <c r="CM69" s="24"/>
      <c r="CN69" s="23"/>
      <c r="CO69" s="24"/>
      <c r="CP69" s="25"/>
      <c r="CQ69" s="24"/>
      <c r="CR69" s="23"/>
      <c r="CS69" s="24"/>
      <c r="CT69" s="25"/>
      <c r="CU69" s="24"/>
      <c r="CV69" s="23"/>
      <c r="CW69" s="24"/>
      <c r="CX69" s="25"/>
      <c r="CY69" s="24"/>
      <c r="CZ69" s="23"/>
      <c r="DA69" s="24"/>
      <c r="DB69" s="25"/>
      <c r="DC69" s="24"/>
      <c r="DD69" s="23"/>
      <c r="DE69" s="24"/>
      <c r="DF69" s="25"/>
      <c r="DG69" s="24"/>
      <c r="DH69" s="23"/>
      <c r="DI69" s="24"/>
      <c r="DJ69" s="25"/>
      <c r="DK69" s="24"/>
      <c r="DL69" s="23"/>
      <c r="DM69" s="24"/>
      <c r="DN69" s="25"/>
      <c r="DO69" s="24"/>
      <c r="DP69" s="340"/>
      <c r="DQ69" s="32">
        <f>SUMPRODUCT(--(MOD(COLUMN(BT69:CQ69),4)=MOD(COLUMN(BT69),4)),BT69:CQ69)+SUMPRODUCT(--(MOD(COLUMN(CR69:DO69),4)=MOD(COLUMN(CR69),4)),CR69:DO69)</f>
        <v>0</v>
      </c>
      <c r="DR69" s="32">
        <f t="shared" si="15"/>
        <v>0</v>
      </c>
      <c r="DS69" s="11"/>
      <c r="DT69" s="329"/>
      <c r="DU69" s="23"/>
      <c r="DV69" s="24"/>
      <c r="DW69" s="25"/>
      <c r="DX69" s="24"/>
      <c r="DY69" s="23"/>
      <c r="DZ69" s="24"/>
      <c r="EA69" s="25"/>
      <c r="EB69" s="24"/>
      <c r="EC69" s="23"/>
      <c r="ED69" s="24"/>
      <c r="EE69" s="25"/>
      <c r="EF69" s="24"/>
      <c r="EG69" s="23"/>
      <c r="EH69" s="24"/>
      <c r="EI69" s="25"/>
      <c r="EJ69" s="24"/>
      <c r="EK69" s="23"/>
      <c r="EL69" s="24"/>
      <c r="EM69" s="25"/>
      <c r="EN69" s="24"/>
      <c r="EO69" s="23"/>
      <c r="EP69" s="24"/>
      <c r="EQ69" s="25"/>
      <c r="ER69" s="24"/>
      <c r="ES69" s="23"/>
      <c r="ET69" s="24"/>
      <c r="EU69" s="25"/>
      <c r="EV69" s="24"/>
      <c r="EW69" s="23"/>
      <c r="EX69" s="24"/>
      <c r="EY69" s="25"/>
      <c r="EZ69" s="24"/>
      <c r="FA69" s="23"/>
      <c r="FB69" s="24"/>
      <c r="FC69" s="25"/>
      <c r="FD69" s="24"/>
      <c r="FE69" s="23"/>
      <c r="FF69" s="24"/>
      <c r="FG69" s="25"/>
      <c r="FH69" s="24"/>
      <c r="FI69" s="23"/>
      <c r="FJ69" s="24"/>
      <c r="FK69" s="25"/>
      <c r="FL69" s="24"/>
      <c r="FM69" s="23"/>
      <c r="FN69" s="24"/>
      <c r="FO69" s="25"/>
      <c r="FP69" s="24"/>
      <c r="FQ69" s="340"/>
      <c r="FR69" s="32">
        <f>SUMPRODUCT(--(MOD(COLUMN(DU69:ER69),4)=MOD(COLUMN(DU69),4)),DU69:ER69)+SUMPRODUCT(--(MOD(COLUMN(ES69:FP69),4)=MOD(COLUMN(ES69),4)),ES69:FP69)</f>
        <v>0</v>
      </c>
      <c r="FS69" s="32">
        <f t="shared" si="17"/>
        <v>0</v>
      </c>
      <c r="FT69" s="360"/>
    </row>
    <row r="70" spans="1:176" s="14" customFormat="1" outlineLevel="2">
      <c r="A70" s="421" t="s">
        <v>480</v>
      </c>
      <c r="B70" s="389" t="s">
        <v>44</v>
      </c>
      <c r="C70" s="432" t="s">
        <v>72</v>
      </c>
      <c r="D70" s="575" t="s">
        <v>32</v>
      </c>
      <c r="E70" s="284">
        <f>IF(ISBLANK(G70),"",IF($A$6:$A$330=$A70,COUNTIF($A$6:A70,$A70),""))</f>
        <v>3</v>
      </c>
      <c r="F70" s="284">
        <v>2</v>
      </c>
      <c r="G70" s="304">
        <v>4640061000</v>
      </c>
      <c r="H70" s="602" t="s">
        <v>93</v>
      </c>
      <c r="I70" s="616">
        <f>J70/ЮАНЬ_2025_08_29</f>
        <v>817.80109289617496</v>
      </c>
      <c r="J70" s="616">
        <f>11224.32/НДС</f>
        <v>9200.2622950819677</v>
      </c>
      <c r="K70" s="333" t="s">
        <v>95</v>
      </c>
      <c r="L70" s="616">
        <f t="shared" si="20"/>
        <v>817.80109289617496</v>
      </c>
      <c r="M70" s="305"/>
      <c r="N70" s="305">
        <f t="shared" si="0"/>
        <v>1</v>
      </c>
      <c r="O70" s="322"/>
      <c r="P70" s="408"/>
      <c r="Q70" s="307"/>
      <c r="R70" s="408"/>
      <c r="S70" s="322"/>
      <c r="T70" s="408"/>
      <c r="U70" s="307"/>
      <c r="V70" s="408"/>
      <c r="W70" s="322"/>
      <c r="X70" s="408"/>
      <c r="Y70" s="307"/>
      <c r="Z70" s="408"/>
      <c r="AA70" s="322"/>
      <c r="AB70" s="408"/>
      <c r="AC70" s="307"/>
      <c r="AD70" s="408"/>
      <c r="AE70" s="322"/>
      <c r="AF70" s="408">
        <f>1</f>
        <v>1</v>
      </c>
      <c r="AG70" s="307">
        <v>1</v>
      </c>
      <c r="AH70" s="408"/>
      <c r="AI70" s="322"/>
      <c r="AJ70" s="408"/>
      <c r="AK70" s="307"/>
      <c r="AL70" s="408"/>
      <c r="AM70" s="322"/>
      <c r="AN70" s="408"/>
      <c r="AO70" s="307"/>
      <c r="AP70" s="408"/>
      <c r="AQ70" s="322"/>
      <c r="AR70" s="408"/>
      <c r="AS70" s="307"/>
      <c r="AT70" s="408"/>
      <c r="AU70" s="322"/>
      <c r="AV70" s="408"/>
      <c r="AW70" s="307"/>
      <c r="AX70" s="408"/>
      <c r="AY70" s="322"/>
      <c r="AZ70" s="408"/>
      <c r="BA70" s="307"/>
      <c r="BB70" s="408"/>
      <c r="BC70" s="322"/>
      <c r="BD70" s="408"/>
      <c r="BE70" s="307"/>
      <c r="BF70" s="408"/>
      <c r="BG70" s="322"/>
      <c r="BH70" s="408"/>
      <c r="BI70" s="307"/>
      <c r="BJ70" s="408"/>
      <c r="BK70" s="340"/>
      <c r="BL70" s="328">
        <f t="shared" si="1"/>
        <v>0</v>
      </c>
      <c r="BM70" s="328">
        <f t="shared" si="2"/>
        <v>0</v>
      </c>
      <c r="BN70" s="324">
        <f t="shared" si="3"/>
        <v>1</v>
      </c>
      <c r="BO70" s="325">
        <f t="shared" si="4"/>
        <v>817.80109289617496</v>
      </c>
      <c r="BP70" s="326">
        <f t="shared" si="5"/>
        <v>1</v>
      </c>
      <c r="BQ70" s="327">
        <f t="shared" si="6"/>
        <v>817.80109289617496</v>
      </c>
      <c r="BR70" s="329"/>
      <c r="BS70" s="329"/>
      <c r="BT70" s="322"/>
      <c r="BU70" s="408"/>
      <c r="BV70" s="307"/>
      <c r="BW70" s="408"/>
      <c r="BX70" s="322"/>
      <c r="BY70" s="408"/>
      <c r="BZ70" s="307"/>
      <c r="CA70" s="408"/>
      <c r="CB70" s="322"/>
      <c r="CC70" s="408"/>
      <c r="CD70" s="307"/>
      <c r="CE70" s="408"/>
      <c r="CF70" s="322"/>
      <c r="CG70" s="408"/>
      <c r="CH70" s="307"/>
      <c r="CI70" s="408"/>
      <c r="CJ70" s="322"/>
      <c r="CK70" s="408"/>
      <c r="CL70" s="307"/>
      <c r="CM70" s="408"/>
      <c r="CN70" s="322"/>
      <c r="CO70" s="408"/>
      <c r="CP70" s="307"/>
      <c r="CQ70" s="408"/>
      <c r="CR70" s="322"/>
      <c r="CS70" s="408"/>
      <c r="CT70" s="307"/>
      <c r="CU70" s="408"/>
      <c r="CV70" s="322"/>
      <c r="CW70" s="408"/>
      <c r="CX70" s="307"/>
      <c r="CY70" s="408"/>
      <c r="CZ70" s="322"/>
      <c r="DA70" s="408"/>
      <c r="DB70" s="307"/>
      <c r="DC70" s="408"/>
      <c r="DD70" s="322"/>
      <c r="DE70" s="408"/>
      <c r="DF70" s="307"/>
      <c r="DG70" s="408"/>
      <c r="DH70" s="322"/>
      <c r="DI70" s="408"/>
      <c r="DJ70" s="307"/>
      <c r="DK70" s="408"/>
      <c r="DL70" s="322"/>
      <c r="DM70" s="408"/>
      <c r="DN70" s="307"/>
      <c r="DO70" s="408"/>
      <c r="DP70" s="340"/>
      <c r="DQ70" s="328"/>
      <c r="DR70" s="328"/>
      <c r="DS70" s="329"/>
      <c r="DT70" s="329"/>
      <c r="DU70" s="322"/>
      <c r="DV70" s="408"/>
      <c r="DW70" s="307"/>
      <c r="DX70" s="408"/>
      <c r="DY70" s="322"/>
      <c r="DZ70" s="408"/>
      <c r="EA70" s="307"/>
      <c r="EB70" s="408"/>
      <c r="EC70" s="322"/>
      <c r="ED70" s="408"/>
      <c r="EE70" s="307"/>
      <c r="EF70" s="408"/>
      <c r="EG70" s="322"/>
      <c r="EH70" s="408"/>
      <c r="EI70" s="307"/>
      <c r="EJ70" s="408"/>
      <c r="EK70" s="322"/>
      <c r="EL70" s="408"/>
      <c r="EM70" s="307"/>
      <c r="EN70" s="408"/>
      <c r="EO70" s="322"/>
      <c r="EP70" s="408"/>
      <c r="EQ70" s="307"/>
      <c r="ER70" s="408"/>
      <c r="ES70" s="322"/>
      <c r="ET70" s="408"/>
      <c r="EU70" s="307"/>
      <c r="EV70" s="408"/>
      <c r="EW70" s="322"/>
      <c r="EX70" s="408"/>
      <c r="EY70" s="307"/>
      <c r="EZ70" s="408"/>
      <c r="FA70" s="322"/>
      <c r="FB70" s="408"/>
      <c r="FC70" s="307"/>
      <c r="FD70" s="408"/>
      <c r="FE70" s="322"/>
      <c r="FF70" s="408"/>
      <c r="FG70" s="307"/>
      <c r="FH70" s="408"/>
      <c r="FI70" s="322"/>
      <c r="FJ70" s="408"/>
      <c r="FK70" s="307"/>
      <c r="FL70" s="408"/>
      <c r="FM70" s="322"/>
      <c r="FN70" s="408"/>
      <c r="FO70" s="307"/>
      <c r="FP70" s="408"/>
      <c r="FQ70" s="340"/>
      <c r="FR70" s="328"/>
      <c r="FS70" s="328"/>
      <c r="FT70" s="360"/>
    </row>
    <row r="71" spans="1:176" s="14" customFormat="1" outlineLevel="2">
      <c r="A71" s="421" t="s">
        <v>480</v>
      </c>
      <c r="B71" s="389" t="s">
        <v>44</v>
      </c>
      <c r="C71" s="432" t="s">
        <v>72</v>
      </c>
      <c r="D71" s="575" t="s">
        <v>32</v>
      </c>
      <c r="E71" s="284">
        <f>IF(ISBLANK(G71),"",IF($A$6:$A$330=$A71,COUNTIF($A$6:A71,$A71),""))</f>
        <v>4</v>
      </c>
      <c r="F71" s="284">
        <v>2</v>
      </c>
      <c r="G71" s="304">
        <v>4630320200</v>
      </c>
      <c r="H71" s="602" t="s">
        <v>80</v>
      </c>
      <c r="I71" s="616">
        <f>J71/ЮАНЬ_2025_08_29</f>
        <v>861.96575591985425</v>
      </c>
      <c r="J71" s="616">
        <f>11830.48/НДС</f>
        <v>9697.1147540983602</v>
      </c>
      <c r="K71" s="333" t="s">
        <v>95</v>
      </c>
      <c r="L71" s="616">
        <f t="shared" si="20"/>
        <v>861.96575591985425</v>
      </c>
      <c r="M71" s="305"/>
      <c r="N71" s="305">
        <f t="shared" si="0"/>
        <v>1</v>
      </c>
      <c r="O71" s="322"/>
      <c r="P71" s="408"/>
      <c r="Q71" s="307"/>
      <c r="R71" s="408"/>
      <c r="S71" s="322"/>
      <c r="T71" s="408"/>
      <c r="U71" s="307"/>
      <c r="V71" s="408"/>
      <c r="W71" s="322"/>
      <c r="X71" s="408"/>
      <c r="Y71" s="307"/>
      <c r="Z71" s="408"/>
      <c r="AA71" s="322"/>
      <c r="AB71" s="408"/>
      <c r="AC71" s="307"/>
      <c r="AD71" s="408"/>
      <c r="AE71" s="322"/>
      <c r="AF71" s="408">
        <f>1</f>
        <v>1</v>
      </c>
      <c r="AG71" s="307">
        <v>1</v>
      </c>
      <c r="AH71" s="408"/>
      <c r="AI71" s="322"/>
      <c r="AJ71" s="408"/>
      <c r="AK71" s="307"/>
      <c r="AL71" s="408"/>
      <c r="AM71" s="322"/>
      <c r="AN71" s="408"/>
      <c r="AO71" s="307"/>
      <c r="AP71" s="408"/>
      <c r="AQ71" s="322"/>
      <c r="AR71" s="408"/>
      <c r="AS71" s="307"/>
      <c r="AT71" s="408"/>
      <c r="AU71" s="322"/>
      <c r="AV71" s="408"/>
      <c r="AW71" s="307"/>
      <c r="AX71" s="408"/>
      <c r="AY71" s="322"/>
      <c r="AZ71" s="408"/>
      <c r="BA71" s="307"/>
      <c r="BB71" s="408"/>
      <c r="BC71" s="322"/>
      <c r="BD71" s="408"/>
      <c r="BE71" s="307"/>
      <c r="BF71" s="408"/>
      <c r="BG71" s="322"/>
      <c r="BH71" s="408"/>
      <c r="BI71" s="307"/>
      <c r="BJ71" s="408"/>
      <c r="BK71" s="340"/>
      <c r="BL71" s="328">
        <f t="shared" si="1"/>
        <v>0</v>
      </c>
      <c r="BM71" s="328">
        <f t="shared" si="2"/>
        <v>0</v>
      </c>
      <c r="BN71" s="324">
        <f t="shared" si="3"/>
        <v>1</v>
      </c>
      <c r="BO71" s="325">
        <f t="shared" si="4"/>
        <v>861.96575591985425</v>
      </c>
      <c r="BP71" s="326">
        <f t="shared" si="5"/>
        <v>1</v>
      </c>
      <c r="BQ71" s="327">
        <f t="shared" si="6"/>
        <v>861.96575591985425</v>
      </c>
      <c r="BR71" s="329"/>
      <c r="BS71" s="329"/>
      <c r="BT71" s="322"/>
      <c r="BU71" s="408"/>
      <c r="BV71" s="307"/>
      <c r="BW71" s="408"/>
      <c r="BX71" s="322"/>
      <c r="BY71" s="408"/>
      <c r="BZ71" s="307"/>
      <c r="CA71" s="408"/>
      <c r="CB71" s="322"/>
      <c r="CC71" s="408"/>
      <c r="CD71" s="307"/>
      <c r="CE71" s="408"/>
      <c r="CF71" s="322"/>
      <c r="CG71" s="408"/>
      <c r="CH71" s="307"/>
      <c r="CI71" s="408"/>
      <c r="CJ71" s="322"/>
      <c r="CK71" s="408"/>
      <c r="CL71" s="307"/>
      <c r="CM71" s="408"/>
      <c r="CN71" s="322"/>
      <c r="CO71" s="408"/>
      <c r="CP71" s="307"/>
      <c r="CQ71" s="408"/>
      <c r="CR71" s="322"/>
      <c r="CS71" s="408"/>
      <c r="CT71" s="307"/>
      <c r="CU71" s="408"/>
      <c r="CV71" s="322"/>
      <c r="CW71" s="408"/>
      <c r="CX71" s="307"/>
      <c r="CY71" s="408"/>
      <c r="CZ71" s="322"/>
      <c r="DA71" s="408"/>
      <c r="DB71" s="307"/>
      <c r="DC71" s="408"/>
      <c r="DD71" s="322"/>
      <c r="DE71" s="408"/>
      <c r="DF71" s="307"/>
      <c r="DG71" s="408"/>
      <c r="DH71" s="322"/>
      <c r="DI71" s="408"/>
      <c r="DJ71" s="307"/>
      <c r="DK71" s="408"/>
      <c r="DL71" s="322"/>
      <c r="DM71" s="408"/>
      <c r="DN71" s="307"/>
      <c r="DO71" s="408"/>
      <c r="DP71" s="340"/>
      <c r="DQ71" s="328"/>
      <c r="DR71" s="328"/>
      <c r="DS71" s="329"/>
      <c r="DT71" s="329"/>
      <c r="DU71" s="322"/>
      <c r="DV71" s="408"/>
      <c r="DW71" s="307"/>
      <c r="DX71" s="408"/>
      <c r="DY71" s="322"/>
      <c r="DZ71" s="408"/>
      <c r="EA71" s="307"/>
      <c r="EB71" s="408"/>
      <c r="EC71" s="322"/>
      <c r="ED71" s="408"/>
      <c r="EE71" s="307"/>
      <c r="EF71" s="408"/>
      <c r="EG71" s="322"/>
      <c r="EH71" s="408"/>
      <c r="EI71" s="307"/>
      <c r="EJ71" s="408"/>
      <c r="EK71" s="322"/>
      <c r="EL71" s="408"/>
      <c r="EM71" s="307"/>
      <c r="EN71" s="408"/>
      <c r="EO71" s="322"/>
      <c r="EP71" s="408"/>
      <c r="EQ71" s="307"/>
      <c r="ER71" s="408"/>
      <c r="ES71" s="322"/>
      <c r="ET71" s="408"/>
      <c r="EU71" s="307"/>
      <c r="EV71" s="408"/>
      <c r="EW71" s="322"/>
      <c r="EX71" s="408"/>
      <c r="EY71" s="307"/>
      <c r="EZ71" s="408"/>
      <c r="FA71" s="322"/>
      <c r="FB71" s="408"/>
      <c r="FC71" s="307"/>
      <c r="FD71" s="408"/>
      <c r="FE71" s="322"/>
      <c r="FF71" s="408"/>
      <c r="FG71" s="307"/>
      <c r="FH71" s="408"/>
      <c r="FI71" s="322"/>
      <c r="FJ71" s="408"/>
      <c r="FK71" s="307"/>
      <c r="FL71" s="408"/>
      <c r="FM71" s="322"/>
      <c r="FN71" s="408"/>
      <c r="FO71" s="307"/>
      <c r="FP71" s="408"/>
      <c r="FQ71" s="340"/>
      <c r="FR71" s="328"/>
      <c r="FS71" s="328"/>
      <c r="FT71" s="360"/>
    </row>
    <row r="72" spans="1:176" s="14" customFormat="1" outlineLevel="2">
      <c r="A72" s="421" t="s">
        <v>480</v>
      </c>
      <c r="B72" s="389" t="s">
        <v>44</v>
      </c>
      <c r="C72" s="432" t="s">
        <v>72</v>
      </c>
      <c r="D72" s="575" t="s">
        <v>32</v>
      </c>
      <c r="E72" s="284">
        <f>IF(ISBLANK(G72),"",IF($A$6:$A$330=$A72,COUNTIF($A$6:A72,$A72),""))</f>
        <v>5</v>
      </c>
      <c r="F72" s="284">
        <v>2</v>
      </c>
      <c r="G72" s="304">
        <v>4334010030</v>
      </c>
      <c r="H72" s="602" t="s">
        <v>81</v>
      </c>
      <c r="I72" s="616">
        <f>J72/ЮАНЬ_2025_08_29</f>
        <v>68.867030965391621</v>
      </c>
      <c r="J72" s="616">
        <f>945.2/НДС</f>
        <v>774.7540983606558</v>
      </c>
      <c r="K72" s="333" t="s">
        <v>95</v>
      </c>
      <c r="L72" s="616">
        <f t="shared" si="20"/>
        <v>68.867030965391621</v>
      </c>
      <c r="M72" s="305"/>
      <c r="N72" s="305">
        <f t="shared" si="0"/>
        <v>1</v>
      </c>
      <c r="O72" s="322"/>
      <c r="P72" s="408"/>
      <c r="Q72" s="307"/>
      <c r="R72" s="408"/>
      <c r="S72" s="322"/>
      <c r="T72" s="408"/>
      <c r="U72" s="307"/>
      <c r="V72" s="408"/>
      <c r="W72" s="322"/>
      <c r="X72" s="408"/>
      <c r="Y72" s="307"/>
      <c r="Z72" s="408"/>
      <c r="AA72" s="322"/>
      <c r="AB72" s="408"/>
      <c r="AC72" s="307"/>
      <c r="AD72" s="408"/>
      <c r="AE72" s="322"/>
      <c r="AF72" s="408">
        <f>1</f>
        <v>1</v>
      </c>
      <c r="AG72" s="307">
        <v>1</v>
      </c>
      <c r="AH72" s="408"/>
      <c r="AI72" s="322"/>
      <c r="AJ72" s="408"/>
      <c r="AK72" s="307"/>
      <c r="AL72" s="408"/>
      <c r="AM72" s="322"/>
      <c r="AN72" s="408"/>
      <c r="AO72" s="307"/>
      <c r="AP72" s="408"/>
      <c r="AQ72" s="322"/>
      <c r="AR72" s="408"/>
      <c r="AS72" s="307"/>
      <c r="AT72" s="408"/>
      <c r="AU72" s="322"/>
      <c r="AV72" s="408"/>
      <c r="AW72" s="307"/>
      <c r="AX72" s="408"/>
      <c r="AY72" s="322"/>
      <c r="AZ72" s="408"/>
      <c r="BA72" s="307"/>
      <c r="BB72" s="408"/>
      <c r="BC72" s="322"/>
      <c r="BD72" s="408"/>
      <c r="BE72" s="307"/>
      <c r="BF72" s="408"/>
      <c r="BG72" s="322"/>
      <c r="BH72" s="408"/>
      <c r="BI72" s="307"/>
      <c r="BJ72" s="408"/>
      <c r="BK72" s="340"/>
      <c r="BL72" s="328">
        <f t="shared" si="1"/>
        <v>0</v>
      </c>
      <c r="BM72" s="328">
        <f t="shared" si="2"/>
        <v>0</v>
      </c>
      <c r="BN72" s="324">
        <f t="shared" si="3"/>
        <v>1</v>
      </c>
      <c r="BO72" s="325">
        <f t="shared" si="4"/>
        <v>68.867030965391621</v>
      </c>
      <c r="BP72" s="326">
        <f t="shared" si="5"/>
        <v>1</v>
      </c>
      <c r="BQ72" s="327">
        <f t="shared" si="6"/>
        <v>68.867030965391621</v>
      </c>
      <c r="BR72" s="329"/>
      <c r="BS72" s="329"/>
      <c r="BT72" s="322"/>
      <c r="BU72" s="408"/>
      <c r="BV72" s="307"/>
      <c r="BW72" s="408"/>
      <c r="BX72" s="322"/>
      <c r="BY72" s="408"/>
      <c r="BZ72" s="307"/>
      <c r="CA72" s="408"/>
      <c r="CB72" s="322"/>
      <c r="CC72" s="408"/>
      <c r="CD72" s="307"/>
      <c r="CE72" s="408"/>
      <c r="CF72" s="322"/>
      <c r="CG72" s="408"/>
      <c r="CH72" s="307"/>
      <c r="CI72" s="408"/>
      <c r="CJ72" s="322"/>
      <c r="CK72" s="408"/>
      <c r="CL72" s="307"/>
      <c r="CM72" s="408"/>
      <c r="CN72" s="322"/>
      <c r="CO72" s="408"/>
      <c r="CP72" s="307"/>
      <c r="CQ72" s="408"/>
      <c r="CR72" s="322"/>
      <c r="CS72" s="408"/>
      <c r="CT72" s="307"/>
      <c r="CU72" s="408"/>
      <c r="CV72" s="322"/>
      <c r="CW72" s="408"/>
      <c r="CX72" s="307"/>
      <c r="CY72" s="408"/>
      <c r="CZ72" s="322"/>
      <c r="DA72" s="408"/>
      <c r="DB72" s="307"/>
      <c r="DC72" s="408"/>
      <c r="DD72" s="322"/>
      <c r="DE72" s="408"/>
      <c r="DF72" s="307"/>
      <c r="DG72" s="408"/>
      <c r="DH72" s="322"/>
      <c r="DI72" s="408"/>
      <c r="DJ72" s="307"/>
      <c r="DK72" s="408"/>
      <c r="DL72" s="322"/>
      <c r="DM72" s="408"/>
      <c r="DN72" s="307"/>
      <c r="DO72" s="408"/>
      <c r="DP72" s="340"/>
      <c r="DQ72" s="328"/>
      <c r="DR72" s="328"/>
      <c r="DS72" s="329"/>
      <c r="DT72" s="329"/>
      <c r="DU72" s="322"/>
      <c r="DV72" s="408"/>
      <c r="DW72" s="307"/>
      <c r="DX72" s="408"/>
      <c r="DY72" s="322"/>
      <c r="DZ72" s="408"/>
      <c r="EA72" s="307"/>
      <c r="EB72" s="408"/>
      <c r="EC72" s="322"/>
      <c r="ED72" s="408"/>
      <c r="EE72" s="307"/>
      <c r="EF72" s="408"/>
      <c r="EG72" s="322"/>
      <c r="EH72" s="408"/>
      <c r="EI72" s="307"/>
      <c r="EJ72" s="408"/>
      <c r="EK72" s="322"/>
      <c r="EL72" s="408"/>
      <c r="EM72" s="307"/>
      <c r="EN72" s="408"/>
      <c r="EO72" s="322"/>
      <c r="EP72" s="408"/>
      <c r="EQ72" s="307"/>
      <c r="ER72" s="408"/>
      <c r="ES72" s="322"/>
      <c r="ET72" s="408"/>
      <c r="EU72" s="307"/>
      <c r="EV72" s="408"/>
      <c r="EW72" s="322"/>
      <c r="EX72" s="408"/>
      <c r="EY72" s="307"/>
      <c r="EZ72" s="408"/>
      <c r="FA72" s="322"/>
      <c r="FB72" s="408"/>
      <c r="FC72" s="307"/>
      <c r="FD72" s="408"/>
      <c r="FE72" s="322"/>
      <c r="FF72" s="408"/>
      <c r="FG72" s="307"/>
      <c r="FH72" s="408"/>
      <c r="FI72" s="322"/>
      <c r="FJ72" s="408"/>
      <c r="FK72" s="307"/>
      <c r="FL72" s="408"/>
      <c r="FM72" s="322"/>
      <c r="FN72" s="408"/>
      <c r="FO72" s="307"/>
      <c r="FP72" s="408"/>
      <c r="FQ72" s="340"/>
      <c r="FR72" s="328"/>
      <c r="FS72" s="328"/>
      <c r="FT72" s="360"/>
    </row>
    <row r="73" spans="1:176" s="14" customFormat="1" outlineLevel="2">
      <c r="A73" s="421" t="s">
        <v>480</v>
      </c>
      <c r="B73" s="389" t="s">
        <v>44</v>
      </c>
      <c r="C73" s="432" t="s">
        <v>72</v>
      </c>
      <c r="D73" s="575" t="s">
        <v>32</v>
      </c>
      <c r="E73" s="284">
        <f>IF(ISBLANK(G73),"",IF($A$6:$A$330=$A73,COUNTIF($A$6:A73,$A73),""))</f>
        <v>6</v>
      </c>
      <c r="F73" s="284">
        <v>1</v>
      </c>
      <c r="G73" s="304">
        <v>4494430400</v>
      </c>
      <c r="H73" s="602" t="s">
        <v>150</v>
      </c>
      <c r="I73" s="616">
        <f>194.18/НДС</f>
        <v>159.16393442622953</v>
      </c>
      <c r="J73" s="616"/>
      <c r="K73" s="333"/>
      <c r="L73" s="616"/>
      <c r="M73" s="305"/>
      <c r="N73" s="305">
        <f t="shared" si="0"/>
        <v>1</v>
      </c>
      <c r="O73" s="322"/>
      <c r="P73" s="408"/>
      <c r="Q73" s="307"/>
      <c r="R73" s="408"/>
      <c r="S73" s="322"/>
      <c r="T73" s="408">
        <f>2</f>
        <v>2</v>
      </c>
      <c r="U73" s="307">
        <v>2</v>
      </c>
      <c r="V73" s="408"/>
      <c r="W73" s="322"/>
      <c r="X73" s="408"/>
      <c r="Y73" s="307"/>
      <c r="Z73" s="408"/>
      <c r="AA73" s="322"/>
      <c r="AB73" s="408"/>
      <c r="AC73" s="307"/>
      <c r="AD73" s="408"/>
      <c r="AE73" s="322"/>
      <c r="AF73" s="408"/>
      <c r="AG73" s="307"/>
      <c r="AH73" s="408"/>
      <c r="AI73" s="322"/>
      <c r="AJ73" s="408"/>
      <c r="AK73" s="307"/>
      <c r="AL73" s="408"/>
      <c r="AM73" s="322"/>
      <c r="AN73" s="408"/>
      <c r="AO73" s="307"/>
      <c r="AP73" s="408"/>
      <c r="AQ73" s="322"/>
      <c r="AR73" s="408"/>
      <c r="AS73" s="307"/>
      <c r="AT73" s="408"/>
      <c r="AU73" s="322"/>
      <c r="AV73" s="408"/>
      <c r="AW73" s="307"/>
      <c r="AX73" s="408"/>
      <c r="AY73" s="322"/>
      <c r="AZ73" s="408"/>
      <c r="BA73" s="307"/>
      <c r="BB73" s="408"/>
      <c r="BC73" s="322"/>
      <c r="BD73" s="408"/>
      <c r="BE73" s="307"/>
      <c r="BF73" s="408"/>
      <c r="BG73" s="322"/>
      <c r="BH73" s="408"/>
      <c r="BI73" s="307"/>
      <c r="BJ73" s="408"/>
      <c r="BK73" s="340"/>
      <c r="BL73" s="328">
        <f t="shared" si="1"/>
        <v>0</v>
      </c>
      <c r="BM73" s="328">
        <f t="shared" si="2"/>
        <v>0</v>
      </c>
      <c r="BN73" s="324">
        <f t="shared" si="3"/>
        <v>2</v>
      </c>
      <c r="BO73" s="325">
        <f t="shared" si="4"/>
        <v>318.32786885245906</v>
      </c>
      <c r="BP73" s="326">
        <f t="shared" si="5"/>
        <v>2</v>
      </c>
      <c r="BQ73" s="327">
        <f t="shared" si="6"/>
        <v>318.32786885245906</v>
      </c>
      <c r="BR73" s="329"/>
      <c r="BS73" s="329"/>
      <c r="BT73" s="322"/>
      <c r="BU73" s="408"/>
      <c r="BV73" s="307"/>
      <c r="BW73" s="408"/>
      <c r="BX73" s="322"/>
      <c r="BY73" s="408"/>
      <c r="BZ73" s="307"/>
      <c r="CA73" s="408"/>
      <c r="CB73" s="322"/>
      <c r="CC73" s="408"/>
      <c r="CD73" s="307"/>
      <c r="CE73" s="408"/>
      <c r="CF73" s="322"/>
      <c r="CG73" s="408"/>
      <c r="CH73" s="307"/>
      <c r="CI73" s="408"/>
      <c r="CJ73" s="322"/>
      <c r="CK73" s="408"/>
      <c r="CL73" s="307"/>
      <c r="CM73" s="408"/>
      <c r="CN73" s="322"/>
      <c r="CO73" s="408"/>
      <c r="CP73" s="307"/>
      <c r="CQ73" s="408"/>
      <c r="CR73" s="322"/>
      <c r="CS73" s="408"/>
      <c r="CT73" s="307"/>
      <c r="CU73" s="408"/>
      <c r="CV73" s="322"/>
      <c r="CW73" s="408"/>
      <c r="CX73" s="307"/>
      <c r="CY73" s="408"/>
      <c r="CZ73" s="322"/>
      <c r="DA73" s="408"/>
      <c r="DB73" s="307"/>
      <c r="DC73" s="408"/>
      <c r="DD73" s="322"/>
      <c r="DE73" s="408"/>
      <c r="DF73" s="307"/>
      <c r="DG73" s="408"/>
      <c r="DH73" s="322"/>
      <c r="DI73" s="408"/>
      <c r="DJ73" s="307"/>
      <c r="DK73" s="408"/>
      <c r="DL73" s="322"/>
      <c r="DM73" s="408"/>
      <c r="DN73" s="307"/>
      <c r="DO73" s="408"/>
      <c r="DP73" s="340"/>
      <c r="DQ73" s="328"/>
      <c r="DR73" s="328">
        <f>SUMPRODUCT(--(MOD(COLUMN(BT73:CQ73),4)=MOD(COLUMN(BT73),4)),BT73:CQ73)*$I73+SUMPRODUCT(--(MOD(COLUMN(CR73:DO73),4)=MOD(COLUMN(CR73),4)),CR73:DO73)*$I73</f>
        <v>0</v>
      </c>
      <c r="DS73" s="329"/>
      <c r="DT73" s="329"/>
      <c r="DU73" s="322"/>
      <c r="DV73" s="408"/>
      <c r="DW73" s="307"/>
      <c r="DX73" s="408"/>
      <c r="DY73" s="322"/>
      <c r="DZ73" s="408"/>
      <c r="EA73" s="307"/>
      <c r="EB73" s="408"/>
      <c r="EC73" s="322"/>
      <c r="ED73" s="408"/>
      <c r="EE73" s="307"/>
      <c r="EF73" s="408"/>
      <c r="EG73" s="322"/>
      <c r="EH73" s="408"/>
      <c r="EI73" s="307"/>
      <c r="EJ73" s="408"/>
      <c r="EK73" s="322"/>
      <c r="EL73" s="408"/>
      <c r="EM73" s="307"/>
      <c r="EN73" s="408"/>
      <c r="EO73" s="322"/>
      <c r="EP73" s="408"/>
      <c r="EQ73" s="307"/>
      <c r="ER73" s="408"/>
      <c r="ES73" s="322"/>
      <c r="ET73" s="408"/>
      <c r="EU73" s="307"/>
      <c r="EV73" s="408"/>
      <c r="EW73" s="322"/>
      <c r="EX73" s="408"/>
      <c r="EY73" s="307"/>
      <c r="EZ73" s="408"/>
      <c r="FA73" s="322"/>
      <c r="FB73" s="408"/>
      <c r="FC73" s="307"/>
      <c r="FD73" s="408"/>
      <c r="FE73" s="322"/>
      <c r="FF73" s="408"/>
      <c r="FG73" s="307"/>
      <c r="FH73" s="408"/>
      <c r="FI73" s="322"/>
      <c r="FJ73" s="408"/>
      <c r="FK73" s="307"/>
      <c r="FL73" s="408"/>
      <c r="FM73" s="322"/>
      <c r="FN73" s="408"/>
      <c r="FO73" s="307"/>
      <c r="FP73" s="408"/>
      <c r="FQ73" s="340"/>
      <c r="FR73" s="328"/>
      <c r="FS73" s="328">
        <f>SUMPRODUCT(--(MOD(COLUMN(DU73:ER73),4)=MOD(COLUMN(DU73),4)),DU73:ER73)*$I73+SUMPRODUCT(--(MOD(COLUMN(ES73:FP73),4)=MOD(COLUMN(ES73),4)),ES73:FP73)*$I73</f>
        <v>0</v>
      </c>
      <c r="FT73" s="360"/>
    </row>
    <row r="74" spans="1:176" s="14" customFormat="1" outlineLevel="2">
      <c r="A74" s="421" t="s">
        <v>480</v>
      </c>
      <c r="B74" s="389" t="s">
        <v>44</v>
      </c>
      <c r="C74" s="432" t="s">
        <v>72</v>
      </c>
      <c r="D74" s="575" t="s">
        <v>32</v>
      </c>
      <c r="E74" s="284">
        <f>IF(ISBLANK(G74),"",IF($A$6:$A$330=$A74,COUNTIF($A$6:A74,$A74),""))</f>
        <v>7</v>
      </c>
      <c r="F74" s="284">
        <v>2</v>
      </c>
      <c r="G74" s="304">
        <v>4497120300</v>
      </c>
      <c r="H74" s="602" t="s">
        <v>100</v>
      </c>
      <c r="I74" s="616">
        <f>J74/ЮАНЬ_2025_08_29</f>
        <v>72.859744990892537</v>
      </c>
      <c r="J74" s="616">
        <f>1000/НДС</f>
        <v>819.67213114754099</v>
      </c>
      <c r="K74" s="333" t="s">
        <v>95</v>
      </c>
      <c r="L74" s="616">
        <f t="shared" ref="L74:L87" si="21">IF(K74="RUB",J74/ЮАНЬ,IF(K74="EUR",J74*ЕВРО/ЮАНЬ,""))</f>
        <v>72.859744990892537</v>
      </c>
      <c r="M74" s="305"/>
      <c r="N74" s="305">
        <f t="shared" si="0"/>
        <v>1</v>
      </c>
      <c r="O74" s="322"/>
      <c r="P74" s="408"/>
      <c r="Q74" s="307"/>
      <c r="R74" s="408"/>
      <c r="S74" s="322"/>
      <c r="T74" s="408"/>
      <c r="U74" s="307"/>
      <c r="V74" s="408"/>
      <c r="W74" s="322"/>
      <c r="X74" s="408"/>
      <c r="Y74" s="307"/>
      <c r="Z74" s="408"/>
      <c r="AA74" s="322"/>
      <c r="AB74" s="408"/>
      <c r="AC74" s="307"/>
      <c r="AD74" s="408"/>
      <c r="AE74" s="322"/>
      <c r="AF74" s="408">
        <f>4</f>
        <v>4</v>
      </c>
      <c r="AG74" s="307">
        <v>4</v>
      </c>
      <c r="AH74" s="408"/>
      <c r="AI74" s="322"/>
      <c r="AJ74" s="408"/>
      <c r="AK74" s="307"/>
      <c r="AL74" s="408"/>
      <c r="AM74" s="322"/>
      <c r="AN74" s="408"/>
      <c r="AO74" s="307"/>
      <c r="AP74" s="408"/>
      <c r="AQ74" s="322"/>
      <c r="AR74" s="408"/>
      <c r="AS74" s="307"/>
      <c r="AT74" s="408"/>
      <c r="AU74" s="322"/>
      <c r="AV74" s="408"/>
      <c r="AW74" s="307"/>
      <c r="AX74" s="408"/>
      <c r="AY74" s="322"/>
      <c r="AZ74" s="408"/>
      <c r="BA74" s="307"/>
      <c r="BB74" s="408"/>
      <c r="BC74" s="322"/>
      <c r="BD74" s="408"/>
      <c r="BE74" s="307"/>
      <c r="BF74" s="408"/>
      <c r="BG74" s="322"/>
      <c r="BH74" s="408"/>
      <c r="BI74" s="307"/>
      <c r="BJ74" s="408"/>
      <c r="BK74" s="340"/>
      <c r="BL74" s="328">
        <f t="shared" si="1"/>
        <v>0</v>
      </c>
      <c r="BM74" s="328">
        <f t="shared" si="2"/>
        <v>0</v>
      </c>
      <c r="BN74" s="324">
        <f t="shared" si="3"/>
        <v>4</v>
      </c>
      <c r="BO74" s="325">
        <f t="shared" si="4"/>
        <v>291.43897996357015</v>
      </c>
      <c r="BP74" s="326">
        <f t="shared" si="5"/>
        <v>4</v>
      </c>
      <c r="BQ74" s="327">
        <f t="shared" si="6"/>
        <v>291.43897996357015</v>
      </c>
      <c r="BR74" s="329"/>
      <c r="BS74" s="329"/>
      <c r="BT74" s="322"/>
      <c r="BU74" s="408"/>
      <c r="BV74" s="307"/>
      <c r="BW74" s="408"/>
      <c r="BX74" s="322"/>
      <c r="BY74" s="408"/>
      <c r="BZ74" s="307"/>
      <c r="CA74" s="408"/>
      <c r="CB74" s="322"/>
      <c r="CC74" s="408"/>
      <c r="CD74" s="307"/>
      <c r="CE74" s="408"/>
      <c r="CF74" s="322"/>
      <c r="CG74" s="408"/>
      <c r="CH74" s="307"/>
      <c r="CI74" s="408"/>
      <c r="CJ74" s="322"/>
      <c r="CK74" s="408"/>
      <c r="CL74" s="307"/>
      <c r="CM74" s="408"/>
      <c r="CN74" s="322"/>
      <c r="CO74" s="408"/>
      <c r="CP74" s="307"/>
      <c r="CQ74" s="408"/>
      <c r="CR74" s="322"/>
      <c r="CS74" s="408"/>
      <c r="CT74" s="307"/>
      <c r="CU74" s="408"/>
      <c r="CV74" s="322"/>
      <c r="CW74" s="408"/>
      <c r="CX74" s="307"/>
      <c r="CY74" s="408"/>
      <c r="CZ74" s="322"/>
      <c r="DA74" s="408"/>
      <c r="DB74" s="307"/>
      <c r="DC74" s="408"/>
      <c r="DD74" s="322"/>
      <c r="DE74" s="408"/>
      <c r="DF74" s="307"/>
      <c r="DG74" s="408"/>
      <c r="DH74" s="322"/>
      <c r="DI74" s="408"/>
      <c r="DJ74" s="307"/>
      <c r="DK74" s="408"/>
      <c r="DL74" s="322"/>
      <c r="DM74" s="408"/>
      <c r="DN74" s="307"/>
      <c r="DO74" s="408"/>
      <c r="DP74" s="340"/>
      <c r="DQ74" s="328"/>
      <c r="DR74" s="328"/>
      <c r="DS74" s="329"/>
      <c r="DT74" s="329"/>
      <c r="DU74" s="322"/>
      <c r="DV74" s="408"/>
      <c r="DW74" s="307"/>
      <c r="DX74" s="408"/>
      <c r="DY74" s="322"/>
      <c r="DZ74" s="408"/>
      <c r="EA74" s="307"/>
      <c r="EB74" s="408"/>
      <c r="EC74" s="322"/>
      <c r="ED74" s="408"/>
      <c r="EE74" s="307"/>
      <c r="EF74" s="408"/>
      <c r="EG74" s="322"/>
      <c r="EH74" s="408"/>
      <c r="EI74" s="307"/>
      <c r="EJ74" s="408"/>
      <c r="EK74" s="322"/>
      <c r="EL74" s="408"/>
      <c r="EM74" s="307"/>
      <c r="EN74" s="408"/>
      <c r="EO74" s="322"/>
      <c r="EP74" s="408"/>
      <c r="EQ74" s="307"/>
      <c r="ER74" s="408"/>
      <c r="ES74" s="322"/>
      <c r="ET74" s="408"/>
      <c r="EU74" s="307"/>
      <c r="EV74" s="408"/>
      <c r="EW74" s="322"/>
      <c r="EX74" s="408"/>
      <c r="EY74" s="307"/>
      <c r="EZ74" s="408"/>
      <c r="FA74" s="322"/>
      <c r="FB74" s="408"/>
      <c r="FC74" s="307"/>
      <c r="FD74" s="408"/>
      <c r="FE74" s="322"/>
      <c r="FF74" s="408"/>
      <c r="FG74" s="307"/>
      <c r="FH74" s="408"/>
      <c r="FI74" s="322"/>
      <c r="FJ74" s="408"/>
      <c r="FK74" s="307"/>
      <c r="FL74" s="408"/>
      <c r="FM74" s="322"/>
      <c r="FN74" s="408"/>
      <c r="FO74" s="307"/>
      <c r="FP74" s="408"/>
      <c r="FQ74" s="340"/>
      <c r="FR74" s="328"/>
      <c r="FS74" s="328"/>
      <c r="FT74" s="360"/>
    </row>
    <row r="75" spans="1:176" s="14" customFormat="1" outlineLevel="2">
      <c r="A75" s="420" t="s">
        <v>480</v>
      </c>
      <c r="B75" s="444" t="s">
        <v>44</v>
      </c>
      <c r="C75" s="587" t="s">
        <v>72</v>
      </c>
      <c r="D75" s="580" t="s">
        <v>32</v>
      </c>
      <c r="E75" s="414">
        <f>IF(ISBLANK(G75),"",IF($A$6:$A$330=$A75,COUNTIF($A$6:A75,$A75),""))</f>
        <v>8</v>
      </c>
      <c r="F75" s="284">
        <v>1</v>
      </c>
      <c r="G75" s="304">
        <v>4497230300</v>
      </c>
      <c r="H75" s="602" t="s">
        <v>108</v>
      </c>
      <c r="I75" s="616">
        <f>144/НДС_20</f>
        <v>120</v>
      </c>
      <c r="J75" s="616"/>
      <c r="K75" s="333"/>
      <c r="L75" s="616" t="str">
        <f t="shared" si="21"/>
        <v/>
      </c>
      <c r="M75" s="305"/>
      <c r="N75" s="305">
        <f t="shared" si="0"/>
        <v>0</v>
      </c>
      <c r="O75" s="322"/>
      <c r="P75" s="408"/>
      <c r="Q75" s="307"/>
      <c r="R75" s="408"/>
      <c r="S75" s="322"/>
      <c r="T75" s="408"/>
      <c r="U75" s="307"/>
      <c r="V75" s="408"/>
      <c r="W75" s="322"/>
      <c r="X75" s="408"/>
      <c r="Y75" s="307"/>
      <c r="Z75" s="408"/>
      <c r="AA75" s="322"/>
      <c r="AB75" s="408"/>
      <c r="AC75" s="307">
        <v>0</v>
      </c>
      <c r="AD75" s="408"/>
      <c r="AE75" s="322"/>
      <c r="AF75" s="408"/>
      <c r="AG75" s="307"/>
      <c r="AH75" s="408"/>
      <c r="AI75" s="322"/>
      <c r="AJ75" s="408"/>
      <c r="AK75" s="307"/>
      <c r="AL75" s="408"/>
      <c r="AM75" s="322"/>
      <c r="AN75" s="408"/>
      <c r="AO75" s="307"/>
      <c r="AP75" s="408"/>
      <c r="AQ75" s="322"/>
      <c r="AR75" s="408"/>
      <c r="AS75" s="307"/>
      <c r="AT75" s="408"/>
      <c r="AU75" s="322"/>
      <c r="AV75" s="408"/>
      <c r="AW75" s="307"/>
      <c r="AX75" s="408"/>
      <c r="AY75" s="322"/>
      <c r="AZ75" s="408"/>
      <c r="BA75" s="307"/>
      <c r="BB75" s="408"/>
      <c r="BC75" s="322"/>
      <c r="BD75" s="408"/>
      <c r="BE75" s="307"/>
      <c r="BF75" s="408"/>
      <c r="BG75" s="322"/>
      <c r="BH75" s="408"/>
      <c r="BI75" s="307"/>
      <c r="BJ75" s="408"/>
      <c r="BK75" s="340"/>
      <c r="BL75" s="328">
        <f t="shared" si="1"/>
        <v>0</v>
      </c>
      <c r="BM75" s="328">
        <f t="shared" si="2"/>
        <v>0</v>
      </c>
      <c r="BN75" s="324">
        <f t="shared" si="3"/>
        <v>0</v>
      </c>
      <c r="BO75" s="325">
        <f t="shared" si="4"/>
        <v>0</v>
      </c>
      <c r="BP75" s="326">
        <f t="shared" si="5"/>
        <v>0</v>
      </c>
      <c r="BQ75" s="327">
        <f t="shared" si="6"/>
        <v>0</v>
      </c>
      <c r="BR75" s="329"/>
      <c r="BS75" s="329"/>
      <c r="BT75" s="322"/>
      <c r="BU75" s="408"/>
      <c r="BV75" s="307"/>
      <c r="BW75" s="408"/>
      <c r="BX75" s="322"/>
      <c r="BY75" s="408"/>
      <c r="BZ75" s="307"/>
      <c r="CA75" s="408"/>
      <c r="CB75" s="322"/>
      <c r="CC75" s="408"/>
      <c r="CD75" s="307"/>
      <c r="CE75" s="408"/>
      <c r="CF75" s="322"/>
      <c r="CG75" s="408"/>
      <c r="CH75" s="307"/>
      <c r="CI75" s="408"/>
      <c r="CJ75" s="322"/>
      <c r="CK75" s="408"/>
      <c r="CL75" s="307"/>
      <c r="CM75" s="408"/>
      <c r="CN75" s="322"/>
      <c r="CO75" s="408"/>
      <c r="CP75" s="307"/>
      <c r="CQ75" s="408"/>
      <c r="CR75" s="322"/>
      <c r="CS75" s="408"/>
      <c r="CT75" s="307"/>
      <c r="CU75" s="408"/>
      <c r="CV75" s="322"/>
      <c r="CW75" s="408"/>
      <c r="CX75" s="307"/>
      <c r="CY75" s="408"/>
      <c r="CZ75" s="322"/>
      <c r="DA75" s="408"/>
      <c r="DB75" s="307"/>
      <c r="DC75" s="408"/>
      <c r="DD75" s="322"/>
      <c r="DE75" s="408"/>
      <c r="DF75" s="307"/>
      <c r="DG75" s="408"/>
      <c r="DH75" s="322"/>
      <c r="DI75" s="408"/>
      <c r="DJ75" s="307"/>
      <c r="DK75" s="408"/>
      <c r="DL75" s="322"/>
      <c r="DM75" s="408"/>
      <c r="DN75" s="307"/>
      <c r="DO75" s="408"/>
      <c r="DP75" s="340"/>
      <c r="DQ75" s="328">
        <f>SUMPRODUCT(--(MOD(COLUMN(BT75:CQ75),4)=MOD(COLUMN(BT75),4)),BT75:CQ75)+SUMPRODUCT(--(MOD(COLUMN(CR75:DO75),4)=MOD(COLUMN(CR75),4)),CR75:DO75)</f>
        <v>0</v>
      </c>
      <c r="DR75" s="328">
        <f>SUMPRODUCT(--(MOD(COLUMN(BT75:CQ75),4)=MOD(COLUMN(BT75),4)),BT75:CQ75)*$I75+SUMPRODUCT(--(MOD(COLUMN(CR75:DO75),4)=MOD(COLUMN(CR75),4)),CR75:DO75)*$I75</f>
        <v>0</v>
      </c>
      <c r="DS75" s="329"/>
      <c r="DT75" s="329"/>
      <c r="DU75" s="322"/>
      <c r="DV75" s="408"/>
      <c r="DW75" s="307"/>
      <c r="DX75" s="408"/>
      <c r="DY75" s="322"/>
      <c r="DZ75" s="408"/>
      <c r="EA75" s="307"/>
      <c r="EB75" s="408"/>
      <c r="EC75" s="322"/>
      <c r="ED75" s="408"/>
      <c r="EE75" s="307"/>
      <c r="EF75" s="408"/>
      <c r="EG75" s="322"/>
      <c r="EH75" s="408"/>
      <c r="EI75" s="307"/>
      <c r="EJ75" s="408"/>
      <c r="EK75" s="322"/>
      <c r="EL75" s="408"/>
      <c r="EM75" s="307"/>
      <c r="EN75" s="408"/>
      <c r="EO75" s="322"/>
      <c r="EP75" s="408"/>
      <c r="EQ75" s="307"/>
      <c r="ER75" s="408"/>
      <c r="ES75" s="322"/>
      <c r="ET75" s="408"/>
      <c r="EU75" s="307"/>
      <c r="EV75" s="408"/>
      <c r="EW75" s="322"/>
      <c r="EX75" s="408"/>
      <c r="EY75" s="307"/>
      <c r="EZ75" s="408"/>
      <c r="FA75" s="322"/>
      <c r="FB75" s="408"/>
      <c r="FC75" s="307"/>
      <c r="FD75" s="408"/>
      <c r="FE75" s="322"/>
      <c r="FF75" s="408"/>
      <c r="FG75" s="307"/>
      <c r="FH75" s="408"/>
      <c r="FI75" s="322"/>
      <c r="FJ75" s="408"/>
      <c r="FK75" s="307"/>
      <c r="FL75" s="408"/>
      <c r="FM75" s="322"/>
      <c r="FN75" s="408"/>
      <c r="FO75" s="307"/>
      <c r="FP75" s="408"/>
      <c r="FQ75" s="340"/>
      <c r="FR75" s="328">
        <f>SUMPRODUCT(--(MOD(COLUMN(DU75:ER75),4)=MOD(COLUMN(DU75),4)),DU75:ER75)+SUMPRODUCT(--(MOD(COLUMN(ES75:FP75),4)=MOD(COLUMN(ES75),4)),ES75:FP75)</f>
        <v>0</v>
      </c>
      <c r="FS75" s="328">
        <f>SUMPRODUCT(--(MOD(COLUMN(DU75:ER75),4)=MOD(COLUMN(DU75),4)),DU75:ER75)*$I75+SUMPRODUCT(--(MOD(COLUMN(ES75:FP75),4)=MOD(COLUMN(ES75),4)),ES75:FP75)*$I75</f>
        <v>0</v>
      </c>
      <c r="FT75" s="360"/>
    </row>
    <row r="76" spans="1:176" s="14" customFormat="1" outlineLevel="2">
      <c r="A76" s="421" t="s">
        <v>480</v>
      </c>
      <c r="B76" s="389" t="s">
        <v>44</v>
      </c>
      <c r="C76" s="432" t="s">
        <v>72</v>
      </c>
      <c r="D76" s="575" t="s">
        <v>32</v>
      </c>
      <c r="E76" s="284">
        <f>IF(ISBLANK(G76),"",IF($A$6:$A$330=$A76,COUNTIF($A$6:A76,$A76),""))</f>
        <v>9</v>
      </c>
      <c r="F76" s="284">
        <v>1</v>
      </c>
      <c r="G76" s="304">
        <v>4497230800</v>
      </c>
      <c r="H76" s="602" t="s">
        <v>141</v>
      </c>
      <c r="I76" s="616">
        <f>256.2/НДС</f>
        <v>210</v>
      </c>
      <c r="J76" s="616"/>
      <c r="K76" s="333"/>
      <c r="L76" s="616" t="str">
        <f t="shared" si="21"/>
        <v/>
      </c>
      <c r="M76" s="305"/>
      <c r="N76" s="305">
        <f t="shared" ref="N76:N142" si="22">IF(BP76&gt;0,1,IF(BN76&gt;0,2,))</f>
        <v>1</v>
      </c>
      <c r="O76" s="322"/>
      <c r="P76" s="408"/>
      <c r="Q76" s="307"/>
      <c r="R76" s="408"/>
      <c r="S76" s="322"/>
      <c r="T76" s="408">
        <f>2</f>
        <v>2</v>
      </c>
      <c r="U76" s="307">
        <v>2</v>
      </c>
      <c r="V76" s="408"/>
      <c r="W76" s="322"/>
      <c r="X76" s="408"/>
      <c r="Y76" s="307"/>
      <c r="Z76" s="408"/>
      <c r="AA76" s="322"/>
      <c r="AB76" s="408"/>
      <c r="AC76" s="307"/>
      <c r="AD76" s="408"/>
      <c r="AE76" s="322"/>
      <c r="AF76" s="408"/>
      <c r="AG76" s="307"/>
      <c r="AH76" s="408"/>
      <c r="AI76" s="322"/>
      <c r="AJ76" s="408"/>
      <c r="AK76" s="307"/>
      <c r="AL76" s="408"/>
      <c r="AM76" s="322"/>
      <c r="AN76" s="408"/>
      <c r="AO76" s="307"/>
      <c r="AP76" s="408"/>
      <c r="AQ76" s="322"/>
      <c r="AR76" s="408"/>
      <c r="AS76" s="307"/>
      <c r="AT76" s="408"/>
      <c r="AU76" s="322"/>
      <c r="AV76" s="408"/>
      <c r="AW76" s="307"/>
      <c r="AX76" s="408"/>
      <c r="AY76" s="322"/>
      <c r="AZ76" s="408"/>
      <c r="BA76" s="307"/>
      <c r="BB76" s="408"/>
      <c r="BC76" s="322"/>
      <c r="BD76" s="408"/>
      <c r="BE76" s="307"/>
      <c r="BF76" s="408"/>
      <c r="BG76" s="322"/>
      <c r="BH76" s="408"/>
      <c r="BI76" s="307"/>
      <c r="BJ76" s="408"/>
      <c r="BK76" s="340"/>
      <c r="BL76" s="328">
        <f t="shared" ref="BL76:BL142" si="23">SUMPRODUCT(--(MOD(COLUMN($O76:$AL76),4)=MOD(COLUMN($O76)+0,4)),$O76:$AL76)
+SUMPRODUCT(--(MOD(COLUMN($AM76:$BJ76),4)=MOD(COLUMN($AM76)+0,4)),$AM76:$BJ76)</f>
        <v>0</v>
      </c>
      <c r="BM76" s="328">
        <f t="shared" ref="BM76:BM142" si="24">SUMPRODUCT(--(MOD(COLUMN($O76:$AL76),4)=MOD(COLUMN($O76)+0,4)),$O76:$AL76)*$I76
+SUMPRODUCT(--(MOD(COLUMN($AM76:$BJ76),4)=MOD(COLUMN($AM76)+0,4)),$AM76:$BJ76)*$I76</f>
        <v>0</v>
      </c>
      <c r="BN76" s="324">
        <f t="shared" ref="BN76:BN142" si="25">SUMPRODUCT(--(MOD(COLUMN($O76:$AL76),4)=MOD(COLUMN($O76)+1,4)),$O76:$AL76)
+SUMPRODUCT(--(MOD(COLUMN($AM76:$BJ76),4)=MOD(COLUMN($AM76)+1,4)),$AM76:$BJ76)</f>
        <v>2</v>
      </c>
      <c r="BO76" s="325">
        <f t="shared" ref="BO76:BO142" si="26">SUMPRODUCT(--(MOD(COLUMN($O76:$AL76),4)=MOD(COLUMN($O76)+1,4)),$O76:$AL76)*$I76
+SUMPRODUCT(--(MOD(COLUMN($AM76:$BJ76),4)=MOD(COLUMN($AM76)+1,4)),$AM76:$BJ76)*$I76</f>
        <v>420</v>
      </c>
      <c r="BP76" s="326">
        <f t="shared" ref="BP76:BP142" si="27">SUMPRODUCT(--(MOD(COLUMN($O76:$AL76),4)=MOD(COLUMN($O76)+2,4)),$O76:$AL76)
+SUMPRODUCT(--(MOD(COLUMN($AM76:$BJ76),4)=MOD(COLUMN($AM76)+2,4)),$AM76:$BJ76)</f>
        <v>2</v>
      </c>
      <c r="BQ76" s="327">
        <f t="shared" ref="BQ76:BQ142" si="28">SUMPRODUCT(--(MOD(COLUMN($O76:$AL76),4)=MOD(COLUMN($O76)+2,4)),$O76:$AL76)*$I76
+SUMPRODUCT(--(MOD(COLUMN($AM76:$BJ76),4)=MOD(COLUMN($AM76)+2,4)),$AM76:$BJ76)*$I76</f>
        <v>420</v>
      </c>
      <c r="BR76" s="329"/>
      <c r="BS76" s="329"/>
      <c r="BT76" s="322"/>
      <c r="BU76" s="408"/>
      <c r="BV76" s="307"/>
      <c r="BW76" s="408"/>
      <c r="BX76" s="322"/>
      <c r="BY76" s="408"/>
      <c r="BZ76" s="307"/>
      <c r="CA76" s="408"/>
      <c r="CB76" s="322"/>
      <c r="CC76" s="408"/>
      <c r="CD76" s="307"/>
      <c r="CE76" s="408"/>
      <c r="CF76" s="322"/>
      <c r="CG76" s="408"/>
      <c r="CH76" s="307"/>
      <c r="CI76" s="408"/>
      <c r="CJ76" s="322"/>
      <c r="CK76" s="408"/>
      <c r="CL76" s="307"/>
      <c r="CM76" s="408"/>
      <c r="CN76" s="322"/>
      <c r="CO76" s="408"/>
      <c r="CP76" s="307"/>
      <c r="CQ76" s="408"/>
      <c r="CR76" s="322"/>
      <c r="CS76" s="408"/>
      <c r="CT76" s="307"/>
      <c r="CU76" s="408"/>
      <c r="CV76" s="322"/>
      <c r="CW76" s="408"/>
      <c r="CX76" s="307"/>
      <c r="CY76" s="408"/>
      <c r="CZ76" s="322"/>
      <c r="DA76" s="408"/>
      <c r="DB76" s="307"/>
      <c r="DC76" s="408"/>
      <c r="DD76" s="322"/>
      <c r="DE76" s="408"/>
      <c r="DF76" s="307"/>
      <c r="DG76" s="408"/>
      <c r="DH76" s="322"/>
      <c r="DI76" s="408"/>
      <c r="DJ76" s="307"/>
      <c r="DK76" s="408"/>
      <c r="DL76" s="322"/>
      <c r="DM76" s="408"/>
      <c r="DN76" s="307"/>
      <c r="DO76" s="408"/>
      <c r="DP76" s="340"/>
      <c r="DQ76" s="328"/>
      <c r="DR76" s="328">
        <f>SUMPRODUCT(--(MOD(COLUMN(BT76:CQ76),4)=MOD(COLUMN(BT76),4)),BT76:CQ76)*$I76+SUMPRODUCT(--(MOD(COLUMN(CR76:DO76),4)=MOD(COLUMN(CR76),4)),CR76:DO76)*$I76</f>
        <v>0</v>
      </c>
      <c r="DS76" s="329"/>
      <c r="DT76" s="329"/>
      <c r="DU76" s="322"/>
      <c r="DV76" s="408"/>
      <c r="DW76" s="307"/>
      <c r="DX76" s="408"/>
      <c r="DY76" s="322"/>
      <c r="DZ76" s="408"/>
      <c r="EA76" s="307"/>
      <c r="EB76" s="408"/>
      <c r="EC76" s="322"/>
      <c r="ED76" s="408"/>
      <c r="EE76" s="307"/>
      <c r="EF76" s="408"/>
      <c r="EG76" s="322"/>
      <c r="EH76" s="408"/>
      <c r="EI76" s="307"/>
      <c r="EJ76" s="408"/>
      <c r="EK76" s="322"/>
      <c r="EL76" s="408"/>
      <c r="EM76" s="307"/>
      <c r="EN76" s="408"/>
      <c r="EO76" s="322"/>
      <c r="EP76" s="408"/>
      <c r="EQ76" s="307"/>
      <c r="ER76" s="408"/>
      <c r="ES76" s="322"/>
      <c r="ET76" s="408"/>
      <c r="EU76" s="307"/>
      <c r="EV76" s="408"/>
      <c r="EW76" s="322"/>
      <c r="EX76" s="408"/>
      <c r="EY76" s="307"/>
      <c r="EZ76" s="408"/>
      <c r="FA76" s="322"/>
      <c r="FB76" s="408"/>
      <c r="FC76" s="307"/>
      <c r="FD76" s="408"/>
      <c r="FE76" s="322"/>
      <c r="FF76" s="408"/>
      <c r="FG76" s="307"/>
      <c r="FH76" s="408"/>
      <c r="FI76" s="322"/>
      <c r="FJ76" s="408"/>
      <c r="FK76" s="307"/>
      <c r="FL76" s="408"/>
      <c r="FM76" s="322"/>
      <c r="FN76" s="408"/>
      <c r="FO76" s="307"/>
      <c r="FP76" s="408"/>
      <c r="FQ76" s="340"/>
      <c r="FR76" s="328"/>
      <c r="FS76" s="328">
        <f>SUMPRODUCT(--(MOD(COLUMN(DU76:ER76),4)=MOD(COLUMN(DU76),4)),DU76:ER76)*$I76+SUMPRODUCT(--(MOD(COLUMN(ES76:FP76),4)=MOD(COLUMN(ES76),4)),ES76:FP76)*$I76</f>
        <v>0</v>
      </c>
      <c r="FT76" s="360"/>
    </row>
    <row r="77" spans="1:176" s="574" customFormat="1" ht="28.8" outlineLevel="2">
      <c r="A77" s="678" t="s">
        <v>480</v>
      </c>
      <c r="B77" s="679" t="s">
        <v>44</v>
      </c>
      <c r="C77" s="693" t="s">
        <v>72</v>
      </c>
      <c r="D77" s="679" t="s">
        <v>32</v>
      </c>
      <c r="E77" s="680">
        <f>IF(ISBLANK(G77),"",IF($A$6:$A$330=$A77,COUNTIF($A$6:A77,$A77),""))</f>
        <v>10</v>
      </c>
      <c r="F77" s="681" t="s">
        <v>89</v>
      </c>
      <c r="G77" s="694" t="s">
        <v>104</v>
      </c>
      <c r="H77" s="695" t="s">
        <v>105</v>
      </c>
      <c r="I77" s="682">
        <f>J77/ЮАНЬ_2025_08_29</f>
        <v>11851.851851851852</v>
      </c>
      <c r="J77" s="682">
        <f>160000/НДС_20</f>
        <v>133333.33333333334</v>
      </c>
      <c r="K77" s="696" t="s">
        <v>95</v>
      </c>
      <c r="L77" s="697">
        <f t="shared" si="21"/>
        <v>11851.851851851852</v>
      </c>
      <c r="M77" s="568"/>
      <c r="N77" s="353">
        <f t="shared" si="22"/>
        <v>0</v>
      </c>
      <c r="O77" s="569"/>
      <c r="P77" s="570"/>
      <c r="Q77" s="571"/>
      <c r="R77" s="570"/>
      <c r="S77" s="569"/>
      <c r="T77" s="570"/>
      <c r="U77" s="571"/>
      <c r="V77" s="570"/>
      <c r="W77" s="569"/>
      <c r="X77" s="570"/>
      <c r="Y77" s="571"/>
      <c r="Z77" s="570"/>
      <c r="AA77" s="569"/>
      <c r="AB77" s="570"/>
      <c r="AC77" s="571"/>
      <c r="AD77" s="570"/>
      <c r="AE77" s="569"/>
      <c r="AF77" s="570"/>
      <c r="AG77" s="571"/>
      <c r="AH77" s="570"/>
      <c r="AI77" s="569"/>
      <c r="AJ77" s="570"/>
      <c r="AK77" s="571"/>
      <c r="AL77" s="570"/>
      <c r="AM77" s="569"/>
      <c r="AN77" s="570"/>
      <c r="AO77" s="571"/>
      <c r="AP77" s="570"/>
      <c r="AQ77" s="569"/>
      <c r="AR77" s="570"/>
      <c r="AS77" s="571"/>
      <c r="AT77" s="570"/>
      <c r="AU77" s="569"/>
      <c r="AV77" s="570"/>
      <c r="AW77" s="571"/>
      <c r="AX77" s="570"/>
      <c r="AY77" s="569"/>
      <c r="AZ77" s="570"/>
      <c r="BA77" s="571"/>
      <c r="BB77" s="570"/>
      <c r="BC77" s="569"/>
      <c r="BD77" s="570"/>
      <c r="BE77" s="571"/>
      <c r="BF77" s="570"/>
      <c r="BG77" s="569"/>
      <c r="BH77" s="570"/>
      <c r="BI77" s="571"/>
      <c r="BJ77" s="570"/>
      <c r="BK77" s="572"/>
      <c r="BL77" s="32">
        <f t="shared" si="23"/>
        <v>0</v>
      </c>
      <c r="BM77" s="32">
        <f t="shared" si="24"/>
        <v>0</v>
      </c>
      <c r="BN77" s="28">
        <f t="shared" si="25"/>
        <v>0</v>
      </c>
      <c r="BO77" s="29">
        <f t="shared" si="26"/>
        <v>0</v>
      </c>
      <c r="BP77" s="30">
        <f t="shared" si="27"/>
        <v>0</v>
      </c>
      <c r="BQ77" s="31">
        <f t="shared" si="28"/>
        <v>0</v>
      </c>
      <c r="BR77" s="11"/>
      <c r="BS77" s="329"/>
      <c r="BT77" s="569"/>
      <c r="BU77" s="570"/>
      <c r="BV77" s="571"/>
      <c r="BW77" s="570"/>
      <c r="BX77" s="569"/>
      <c r="BY77" s="570"/>
      <c r="BZ77" s="571"/>
      <c r="CA77" s="570"/>
      <c r="CB77" s="569"/>
      <c r="CC77" s="570"/>
      <c r="CD77" s="571"/>
      <c r="CE77" s="570"/>
      <c r="CF77" s="569"/>
      <c r="CG77" s="570"/>
      <c r="CH77" s="571"/>
      <c r="CI77" s="570"/>
      <c r="CJ77" s="569"/>
      <c r="CK77" s="570"/>
      <c r="CL77" s="571"/>
      <c r="CM77" s="570"/>
      <c r="CN77" s="569"/>
      <c r="CO77" s="570"/>
      <c r="CP77" s="571"/>
      <c r="CQ77" s="570"/>
      <c r="CR77" s="569"/>
      <c r="CS77" s="570"/>
      <c r="CT77" s="571"/>
      <c r="CU77" s="570"/>
      <c r="CV77" s="569"/>
      <c r="CW77" s="570"/>
      <c r="CX77" s="571"/>
      <c r="CY77" s="570"/>
      <c r="CZ77" s="569"/>
      <c r="DA77" s="570"/>
      <c r="DB77" s="571"/>
      <c r="DC77" s="570"/>
      <c r="DD77" s="569"/>
      <c r="DE77" s="570"/>
      <c r="DF77" s="571"/>
      <c r="DG77" s="570"/>
      <c r="DH77" s="569"/>
      <c r="DI77" s="570"/>
      <c r="DJ77" s="571"/>
      <c r="DK77" s="570"/>
      <c r="DL77" s="569"/>
      <c r="DM77" s="570"/>
      <c r="DN77" s="571"/>
      <c r="DO77" s="570"/>
      <c r="DP77" s="572"/>
      <c r="DQ77" s="32">
        <f>SUMPRODUCT(--(MOD(COLUMN(BT77:CQ77),4)=MOD(COLUMN(BT77),4)),BT77:CQ77)+SUMPRODUCT(--(MOD(COLUMN(CR77:DO77),4)=MOD(COLUMN(CR77),4)),CR77:DO77)</f>
        <v>0</v>
      </c>
      <c r="DR77" s="32">
        <f>SUMPRODUCT(--(MOD(COLUMN(BT77:CQ77),4)=MOD(COLUMN(BT77),4)),BT77:CQ77)*$I77+SUMPRODUCT(--(MOD(COLUMN(CR77:DO77),4)=MOD(COLUMN(CR77),4)),CR77:DO77)*$I77</f>
        <v>0</v>
      </c>
      <c r="DS77" s="11"/>
      <c r="DT77" s="329"/>
      <c r="DU77" s="569"/>
      <c r="DV77" s="570"/>
      <c r="DW77" s="571"/>
      <c r="DX77" s="570"/>
      <c r="DY77" s="569"/>
      <c r="DZ77" s="570"/>
      <c r="EA77" s="571"/>
      <c r="EB77" s="570"/>
      <c r="EC77" s="569"/>
      <c r="ED77" s="570"/>
      <c r="EE77" s="571"/>
      <c r="EF77" s="570"/>
      <c r="EG77" s="569"/>
      <c r="EH77" s="570"/>
      <c r="EI77" s="571"/>
      <c r="EJ77" s="570"/>
      <c r="EK77" s="569"/>
      <c r="EL77" s="570"/>
      <c r="EM77" s="571"/>
      <c r="EN77" s="570"/>
      <c r="EO77" s="569"/>
      <c r="EP77" s="570"/>
      <c r="EQ77" s="571"/>
      <c r="ER77" s="570"/>
      <c r="ES77" s="569"/>
      <c r="ET77" s="570"/>
      <c r="EU77" s="571"/>
      <c r="EV77" s="570"/>
      <c r="EW77" s="569"/>
      <c r="EX77" s="570"/>
      <c r="EY77" s="571"/>
      <c r="EZ77" s="570"/>
      <c r="FA77" s="569"/>
      <c r="FB77" s="570"/>
      <c r="FC77" s="571"/>
      <c r="FD77" s="570"/>
      <c r="FE77" s="569"/>
      <c r="FF77" s="570"/>
      <c r="FG77" s="571"/>
      <c r="FH77" s="570"/>
      <c r="FI77" s="569"/>
      <c r="FJ77" s="570"/>
      <c r="FK77" s="571"/>
      <c r="FL77" s="570"/>
      <c r="FM77" s="569"/>
      <c r="FN77" s="570"/>
      <c r="FO77" s="571"/>
      <c r="FP77" s="570"/>
      <c r="FQ77" s="572"/>
      <c r="FR77" s="32">
        <f>SUMPRODUCT(--(MOD(COLUMN(DU77:ER77),4)=MOD(COLUMN(DU77),4)),DU77:ER77)+SUMPRODUCT(--(MOD(COLUMN(ES77:FP77),4)=MOD(COLUMN(ES77),4)),ES77:FP77)</f>
        <v>0</v>
      </c>
      <c r="FS77" s="32">
        <f>SUMPRODUCT(--(MOD(COLUMN(DU77:ER77),4)=MOD(COLUMN(DU77),4)),DU77:ER77)*$I77+SUMPRODUCT(--(MOD(COLUMN(ES77:FP77),4)=MOD(COLUMN(ES77),4)),ES77:FP77)*$I77</f>
        <v>0</v>
      </c>
      <c r="FT77" s="573"/>
    </row>
    <row r="78" spans="1:176" s="574" customFormat="1" outlineLevel="2">
      <c r="A78" s="399" t="s">
        <v>480</v>
      </c>
      <c r="B78" s="575" t="s">
        <v>44</v>
      </c>
      <c r="C78" s="432" t="s">
        <v>72</v>
      </c>
      <c r="D78" s="575" t="s">
        <v>32</v>
      </c>
      <c r="E78" s="576">
        <f>IF(ISBLANK(G78),"",IF($A$6:$A$330=$A78,COUNTIF($A$6:A78,$A78),""))</f>
        <v>11</v>
      </c>
      <c r="F78" s="567" t="s">
        <v>89</v>
      </c>
      <c r="G78" s="319">
        <v>4441000530</v>
      </c>
      <c r="H78" s="603" t="s">
        <v>444</v>
      </c>
      <c r="I78" s="619">
        <f>J78/ЮАНЬ_2025_08_29</f>
        <v>11803.278688524591</v>
      </c>
      <c r="J78" s="619">
        <f>162000/НДС</f>
        <v>132786.88524590165</v>
      </c>
      <c r="K78" s="585" t="s">
        <v>95</v>
      </c>
      <c r="L78" s="642">
        <f t="shared" si="21"/>
        <v>11803.278688524591</v>
      </c>
      <c r="M78" s="353"/>
      <c r="N78" s="353">
        <f t="shared" si="22"/>
        <v>1</v>
      </c>
      <c r="O78" s="578"/>
      <c r="P78" s="498"/>
      <c r="Q78" s="579"/>
      <c r="R78" s="498"/>
      <c r="S78" s="578"/>
      <c r="T78" s="498">
        <f>1</f>
        <v>1</v>
      </c>
      <c r="U78" s="579">
        <v>1</v>
      </c>
      <c r="V78" s="498"/>
      <c r="W78" s="578"/>
      <c r="X78" s="498"/>
      <c r="Y78" s="579"/>
      <c r="Z78" s="498"/>
      <c r="AA78" s="578"/>
      <c r="AB78" s="498"/>
      <c r="AC78" s="579"/>
      <c r="AD78" s="498"/>
      <c r="AE78" s="578"/>
      <c r="AF78" s="498"/>
      <c r="AG78" s="579"/>
      <c r="AH78" s="498"/>
      <c r="AI78" s="578"/>
      <c r="AJ78" s="498"/>
      <c r="AK78" s="579"/>
      <c r="AL78" s="498"/>
      <c r="AM78" s="578"/>
      <c r="AN78" s="498"/>
      <c r="AO78" s="579"/>
      <c r="AP78" s="498"/>
      <c r="AQ78" s="578"/>
      <c r="AR78" s="498"/>
      <c r="AS78" s="579"/>
      <c r="AT78" s="498"/>
      <c r="AU78" s="578"/>
      <c r="AV78" s="498"/>
      <c r="AW78" s="579"/>
      <c r="AX78" s="498"/>
      <c r="AY78" s="578"/>
      <c r="AZ78" s="498"/>
      <c r="BA78" s="579"/>
      <c r="BB78" s="498"/>
      <c r="BC78" s="578"/>
      <c r="BD78" s="498"/>
      <c r="BE78" s="579"/>
      <c r="BF78" s="498"/>
      <c r="BG78" s="578"/>
      <c r="BH78" s="498"/>
      <c r="BI78" s="579"/>
      <c r="BJ78" s="498"/>
      <c r="BK78" s="572"/>
      <c r="BL78" s="328">
        <f t="shared" si="23"/>
        <v>0</v>
      </c>
      <c r="BM78" s="328">
        <f t="shared" si="24"/>
        <v>0</v>
      </c>
      <c r="BN78" s="324">
        <f t="shared" si="25"/>
        <v>1</v>
      </c>
      <c r="BO78" s="325">
        <f t="shared" si="26"/>
        <v>11803.278688524591</v>
      </c>
      <c r="BP78" s="326">
        <f t="shared" si="27"/>
        <v>1</v>
      </c>
      <c r="BQ78" s="327">
        <f t="shared" si="28"/>
        <v>11803.278688524591</v>
      </c>
      <c r="BR78" s="329"/>
      <c r="BS78" s="329"/>
      <c r="BT78" s="578"/>
      <c r="BU78" s="498"/>
      <c r="BV78" s="579"/>
      <c r="BW78" s="498"/>
      <c r="BX78" s="578"/>
      <c r="BY78" s="498"/>
      <c r="BZ78" s="579"/>
      <c r="CA78" s="498"/>
      <c r="CB78" s="578"/>
      <c r="CC78" s="498"/>
      <c r="CD78" s="579"/>
      <c r="CE78" s="498"/>
      <c r="CF78" s="578"/>
      <c r="CG78" s="498"/>
      <c r="CH78" s="579"/>
      <c r="CI78" s="498"/>
      <c r="CJ78" s="578"/>
      <c r="CK78" s="498"/>
      <c r="CL78" s="579"/>
      <c r="CM78" s="498"/>
      <c r="CN78" s="578"/>
      <c r="CO78" s="498"/>
      <c r="CP78" s="579"/>
      <c r="CQ78" s="498"/>
      <c r="CR78" s="578"/>
      <c r="CS78" s="498"/>
      <c r="CT78" s="579"/>
      <c r="CU78" s="498"/>
      <c r="CV78" s="578"/>
      <c r="CW78" s="498"/>
      <c r="CX78" s="579"/>
      <c r="CY78" s="498"/>
      <c r="CZ78" s="578"/>
      <c r="DA78" s="498"/>
      <c r="DB78" s="579"/>
      <c r="DC78" s="498"/>
      <c r="DD78" s="578"/>
      <c r="DE78" s="498"/>
      <c r="DF78" s="579"/>
      <c r="DG78" s="498"/>
      <c r="DH78" s="578"/>
      <c r="DI78" s="498"/>
      <c r="DJ78" s="579"/>
      <c r="DK78" s="498"/>
      <c r="DL78" s="578"/>
      <c r="DM78" s="498"/>
      <c r="DN78" s="579"/>
      <c r="DO78" s="498"/>
      <c r="DP78" s="572"/>
      <c r="DQ78" s="328"/>
      <c r="DR78" s="328">
        <f>SUMPRODUCT(--(MOD(COLUMN(BT78:CQ78),4)=MOD(COLUMN(BT78),4)),BT78:CQ78)*$I78+SUMPRODUCT(--(MOD(COLUMN(CR78:DO78),4)=MOD(COLUMN(CR78),4)),CR78:DO78)*$I78</f>
        <v>0</v>
      </c>
      <c r="DS78" s="329"/>
      <c r="DT78" s="329"/>
      <c r="DU78" s="578"/>
      <c r="DV78" s="498"/>
      <c r="DW78" s="579"/>
      <c r="DX78" s="498"/>
      <c r="DY78" s="578"/>
      <c r="DZ78" s="498"/>
      <c r="EA78" s="579"/>
      <c r="EB78" s="498"/>
      <c r="EC78" s="578"/>
      <c r="ED78" s="498"/>
      <c r="EE78" s="579"/>
      <c r="EF78" s="498"/>
      <c r="EG78" s="578"/>
      <c r="EH78" s="498"/>
      <c r="EI78" s="579"/>
      <c r="EJ78" s="498"/>
      <c r="EK78" s="578"/>
      <c r="EL78" s="498"/>
      <c r="EM78" s="579"/>
      <c r="EN78" s="498"/>
      <c r="EO78" s="578"/>
      <c r="EP78" s="498"/>
      <c r="EQ78" s="579"/>
      <c r="ER78" s="498"/>
      <c r="ES78" s="578"/>
      <c r="ET78" s="498"/>
      <c r="EU78" s="579"/>
      <c r="EV78" s="498"/>
      <c r="EW78" s="578"/>
      <c r="EX78" s="498"/>
      <c r="EY78" s="579"/>
      <c r="EZ78" s="498"/>
      <c r="FA78" s="578"/>
      <c r="FB78" s="498"/>
      <c r="FC78" s="579"/>
      <c r="FD78" s="498"/>
      <c r="FE78" s="578"/>
      <c r="FF78" s="498"/>
      <c r="FG78" s="579"/>
      <c r="FH78" s="498"/>
      <c r="FI78" s="578"/>
      <c r="FJ78" s="498"/>
      <c r="FK78" s="579"/>
      <c r="FL78" s="498"/>
      <c r="FM78" s="578"/>
      <c r="FN78" s="498"/>
      <c r="FO78" s="579"/>
      <c r="FP78" s="498"/>
      <c r="FQ78" s="572"/>
      <c r="FR78" s="328"/>
      <c r="FS78" s="328">
        <f>SUMPRODUCT(--(MOD(COLUMN(DU78:ER78),4)=MOD(COLUMN(DU78),4)),DU78:ER78)*$I78+SUMPRODUCT(--(MOD(COLUMN(ES78:FP78),4)=MOD(COLUMN(ES78),4)),ES78:FP78)*$I78</f>
        <v>0</v>
      </c>
      <c r="FT78" s="573"/>
    </row>
    <row r="79" spans="1:176" s="574" customFormat="1" outlineLevel="2">
      <c r="A79" s="399" t="s">
        <v>480</v>
      </c>
      <c r="B79" s="575" t="s">
        <v>44</v>
      </c>
      <c r="C79" s="432" t="s">
        <v>72</v>
      </c>
      <c r="D79" s="575" t="s">
        <v>32</v>
      </c>
      <c r="E79" s="576">
        <f>IF(ISBLANK(G79),"",IF($A$6:$A$330=$A79,COUNTIF($A$6:A79,$A79),""))</f>
        <v>12</v>
      </c>
      <c r="F79" s="567" t="s">
        <v>89</v>
      </c>
      <c r="G79" s="319">
        <v>4441000180</v>
      </c>
      <c r="H79" s="603" t="s">
        <v>483</v>
      </c>
      <c r="I79" s="619">
        <f>J79/ЮАНЬ_2025_08_29</f>
        <v>12167.577413479052</v>
      </c>
      <c r="J79" s="619">
        <f>167000/НДС</f>
        <v>136885.24590163934</v>
      </c>
      <c r="K79" s="585" t="s">
        <v>95</v>
      </c>
      <c r="L79" s="642">
        <f t="shared" si="21"/>
        <v>12167.577413479052</v>
      </c>
      <c r="M79" s="353"/>
      <c r="N79" s="353">
        <f t="shared" si="22"/>
        <v>1</v>
      </c>
      <c r="O79" s="578"/>
      <c r="P79" s="498"/>
      <c r="Q79" s="579"/>
      <c r="R79" s="498"/>
      <c r="S79" s="578"/>
      <c r="T79" s="498"/>
      <c r="U79" s="579"/>
      <c r="V79" s="498"/>
      <c r="W79" s="578"/>
      <c r="X79" s="498"/>
      <c r="Y79" s="579"/>
      <c r="Z79" s="498"/>
      <c r="AA79" s="578"/>
      <c r="AB79" s="498"/>
      <c r="AC79" s="579"/>
      <c r="AD79" s="498"/>
      <c r="AE79" s="578"/>
      <c r="AF79" s="498">
        <f>1</f>
        <v>1</v>
      </c>
      <c r="AG79" s="579">
        <v>1</v>
      </c>
      <c r="AH79" s="498"/>
      <c r="AI79" s="578"/>
      <c r="AJ79" s="498"/>
      <c r="AK79" s="579"/>
      <c r="AL79" s="498"/>
      <c r="AM79" s="578"/>
      <c r="AN79" s="498"/>
      <c r="AO79" s="579"/>
      <c r="AP79" s="498"/>
      <c r="AQ79" s="578"/>
      <c r="AR79" s="498"/>
      <c r="AS79" s="579"/>
      <c r="AT79" s="498"/>
      <c r="AU79" s="578"/>
      <c r="AV79" s="498"/>
      <c r="AW79" s="579"/>
      <c r="AX79" s="498"/>
      <c r="AY79" s="578"/>
      <c r="AZ79" s="498"/>
      <c r="BA79" s="579"/>
      <c r="BB79" s="498"/>
      <c r="BC79" s="578"/>
      <c r="BD79" s="498"/>
      <c r="BE79" s="579"/>
      <c r="BF79" s="498"/>
      <c r="BG79" s="578"/>
      <c r="BH79" s="498"/>
      <c r="BI79" s="579"/>
      <c r="BJ79" s="498"/>
      <c r="BK79" s="572"/>
      <c r="BL79" s="328">
        <f t="shared" si="23"/>
        <v>0</v>
      </c>
      <c r="BM79" s="328">
        <f t="shared" si="24"/>
        <v>0</v>
      </c>
      <c r="BN79" s="324">
        <f t="shared" si="25"/>
        <v>1</v>
      </c>
      <c r="BO79" s="325">
        <f t="shared" si="26"/>
        <v>12167.577413479052</v>
      </c>
      <c r="BP79" s="326">
        <f t="shared" si="27"/>
        <v>1</v>
      </c>
      <c r="BQ79" s="327">
        <f t="shared" si="28"/>
        <v>12167.577413479052</v>
      </c>
      <c r="BR79" s="329"/>
      <c r="BS79" s="329"/>
      <c r="BT79" s="578"/>
      <c r="BU79" s="498"/>
      <c r="BV79" s="579"/>
      <c r="BW79" s="498"/>
      <c r="BX79" s="578"/>
      <c r="BY79" s="498"/>
      <c r="BZ79" s="579"/>
      <c r="CA79" s="498"/>
      <c r="CB79" s="578"/>
      <c r="CC79" s="498"/>
      <c r="CD79" s="579"/>
      <c r="CE79" s="498"/>
      <c r="CF79" s="578"/>
      <c r="CG79" s="498"/>
      <c r="CH79" s="579"/>
      <c r="CI79" s="498"/>
      <c r="CJ79" s="578"/>
      <c r="CK79" s="498"/>
      <c r="CL79" s="579"/>
      <c r="CM79" s="498"/>
      <c r="CN79" s="578"/>
      <c r="CO79" s="498"/>
      <c r="CP79" s="579"/>
      <c r="CQ79" s="498"/>
      <c r="CR79" s="578"/>
      <c r="CS79" s="498"/>
      <c r="CT79" s="579"/>
      <c r="CU79" s="498"/>
      <c r="CV79" s="578"/>
      <c r="CW79" s="498"/>
      <c r="CX79" s="579"/>
      <c r="CY79" s="498"/>
      <c r="CZ79" s="578"/>
      <c r="DA79" s="498"/>
      <c r="DB79" s="579"/>
      <c r="DC79" s="498"/>
      <c r="DD79" s="578"/>
      <c r="DE79" s="498"/>
      <c r="DF79" s="579"/>
      <c r="DG79" s="498"/>
      <c r="DH79" s="578"/>
      <c r="DI79" s="498"/>
      <c r="DJ79" s="579"/>
      <c r="DK79" s="498"/>
      <c r="DL79" s="578"/>
      <c r="DM79" s="498"/>
      <c r="DN79" s="579"/>
      <c r="DO79" s="498"/>
      <c r="DP79" s="572"/>
      <c r="DQ79" s="328"/>
      <c r="DR79" s="328"/>
      <c r="DS79" s="329"/>
      <c r="DT79" s="329"/>
      <c r="DU79" s="578"/>
      <c r="DV79" s="498"/>
      <c r="DW79" s="579"/>
      <c r="DX79" s="498"/>
      <c r="DY79" s="578"/>
      <c r="DZ79" s="498"/>
      <c r="EA79" s="579"/>
      <c r="EB79" s="498"/>
      <c r="EC79" s="578"/>
      <c r="ED79" s="498"/>
      <c r="EE79" s="579"/>
      <c r="EF79" s="498"/>
      <c r="EG79" s="578"/>
      <c r="EH79" s="498"/>
      <c r="EI79" s="579"/>
      <c r="EJ79" s="498"/>
      <c r="EK79" s="578"/>
      <c r="EL79" s="498"/>
      <c r="EM79" s="579"/>
      <c r="EN79" s="498"/>
      <c r="EO79" s="578"/>
      <c r="EP79" s="498"/>
      <c r="EQ79" s="579"/>
      <c r="ER79" s="498"/>
      <c r="ES79" s="578"/>
      <c r="ET79" s="498"/>
      <c r="EU79" s="579"/>
      <c r="EV79" s="498"/>
      <c r="EW79" s="578"/>
      <c r="EX79" s="498"/>
      <c r="EY79" s="579"/>
      <c r="EZ79" s="498"/>
      <c r="FA79" s="578"/>
      <c r="FB79" s="498"/>
      <c r="FC79" s="579"/>
      <c r="FD79" s="498"/>
      <c r="FE79" s="578"/>
      <c r="FF79" s="498"/>
      <c r="FG79" s="579"/>
      <c r="FH79" s="498"/>
      <c r="FI79" s="578"/>
      <c r="FJ79" s="498"/>
      <c r="FK79" s="579"/>
      <c r="FL79" s="498"/>
      <c r="FM79" s="578"/>
      <c r="FN79" s="498"/>
      <c r="FO79" s="579"/>
      <c r="FP79" s="498"/>
      <c r="FQ79" s="572"/>
      <c r="FR79" s="328"/>
      <c r="FS79" s="328"/>
      <c r="FT79" s="573"/>
    </row>
    <row r="80" spans="1:176" s="574" customFormat="1" outlineLevel="2">
      <c r="A80" s="586" t="s">
        <v>480</v>
      </c>
      <c r="B80" s="580" t="s">
        <v>44</v>
      </c>
      <c r="C80" s="587" t="s">
        <v>72</v>
      </c>
      <c r="D80" s="580" t="s">
        <v>32</v>
      </c>
      <c r="E80" s="588">
        <f>IF(ISBLANK(G80),"",IF($A$6:$A$330=$A80,COUNTIF($A$6:A80,$A80),""))</f>
        <v>13</v>
      </c>
      <c r="F80" s="577" t="s">
        <v>89</v>
      </c>
      <c r="G80" s="319">
        <v>4441000200</v>
      </c>
      <c r="H80" s="603" t="s">
        <v>446</v>
      </c>
      <c r="I80" s="619">
        <f>IF(K80="RUB",J80/ЮАНЬ_2025_08_29,IF(K80="EUR",J80*ЕВРО_2025_08_29/ЮАНЬ_2025_08_29,""))</f>
        <v>10907.166666666666</v>
      </c>
      <c r="J80" s="619">
        <f>1601.25/НДС</f>
        <v>1312.5</v>
      </c>
      <c r="K80" s="585" t="s">
        <v>115</v>
      </c>
      <c r="L80" s="642">
        <f t="shared" si="21"/>
        <v>10907.166666666666</v>
      </c>
      <c r="M80" s="353"/>
      <c r="N80" s="353">
        <f t="shared" si="22"/>
        <v>1</v>
      </c>
      <c r="O80" s="578"/>
      <c r="P80" s="498"/>
      <c r="Q80" s="579"/>
      <c r="R80" s="498"/>
      <c r="S80" s="578"/>
      <c r="T80" s="498">
        <f>1</f>
        <v>1</v>
      </c>
      <c r="U80" s="579">
        <v>1</v>
      </c>
      <c r="V80" s="498"/>
      <c r="W80" s="578"/>
      <c r="X80" s="498"/>
      <c r="Y80" s="579"/>
      <c r="Z80" s="498"/>
      <c r="AA80" s="578"/>
      <c r="AB80" s="498"/>
      <c r="AC80" s="579"/>
      <c r="AD80" s="498"/>
      <c r="AE80" s="578"/>
      <c r="AF80" s="498"/>
      <c r="AG80" s="579"/>
      <c r="AH80" s="498"/>
      <c r="AI80" s="578"/>
      <c r="AJ80" s="498"/>
      <c r="AK80" s="579"/>
      <c r="AL80" s="498"/>
      <c r="AM80" s="578"/>
      <c r="AN80" s="498"/>
      <c r="AO80" s="579"/>
      <c r="AP80" s="498"/>
      <c r="AQ80" s="578"/>
      <c r="AR80" s="498"/>
      <c r="AS80" s="579"/>
      <c r="AT80" s="498"/>
      <c r="AU80" s="578"/>
      <c r="AV80" s="498"/>
      <c r="AW80" s="579"/>
      <c r="AX80" s="498"/>
      <c r="AY80" s="578"/>
      <c r="AZ80" s="498"/>
      <c r="BA80" s="579"/>
      <c r="BB80" s="498"/>
      <c r="BC80" s="578"/>
      <c r="BD80" s="498"/>
      <c r="BE80" s="579"/>
      <c r="BF80" s="498"/>
      <c r="BG80" s="578"/>
      <c r="BH80" s="498"/>
      <c r="BI80" s="579"/>
      <c r="BJ80" s="498"/>
      <c r="BK80" s="572"/>
      <c r="BL80" s="328">
        <f t="shared" si="23"/>
        <v>0</v>
      </c>
      <c r="BM80" s="328">
        <f t="shared" si="24"/>
        <v>0</v>
      </c>
      <c r="BN80" s="324">
        <f t="shared" si="25"/>
        <v>1</v>
      </c>
      <c r="BO80" s="325">
        <f t="shared" si="26"/>
        <v>10907.166666666666</v>
      </c>
      <c r="BP80" s="326">
        <f t="shared" si="27"/>
        <v>1</v>
      </c>
      <c r="BQ80" s="327">
        <f t="shared" si="28"/>
        <v>10907.166666666666</v>
      </c>
      <c r="BR80" s="329"/>
      <c r="BS80" s="329"/>
      <c r="BT80" s="578"/>
      <c r="BU80" s="498"/>
      <c r="BV80" s="579"/>
      <c r="BW80" s="498"/>
      <c r="BX80" s="578"/>
      <c r="BY80" s="498"/>
      <c r="BZ80" s="579"/>
      <c r="CA80" s="498"/>
      <c r="CB80" s="578"/>
      <c r="CC80" s="498"/>
      <c r="CD80" s="579"/>
      <c r="CE80" s="498"/>
      <c r="CF80" s="578"/>
      <c r="CG80" s="498"/>
      <c r="CH80" s="579"/>
      <c r="CI80" s="498"/>
      <c r="CJ80" s="578"/>
      <c r="CK80" s="498"/>
      <c r="CL80" s="579"/>
      <c r="CM80" s="498"/>
      <c r="CN80" s="578"/>
      <c r="CO80" s="498"/>
      <c r="CP80" s="579"/>
      <c r="CQ80" s="498"/>
      <c r="CR80" s="578"/>
      <c r="CS80" s="498"/>
      <c r="CT80" s="579"/>
      <c r="CU80" s="498"/>
      <c r="CV80" s="578"/>
      <c r="CW80" s="498"/>
      <c r="CX80" s="579"/>
      <c r="CY80" s="498"/>
      <c r="CZ80" s="578"/>
      <c r="DA80" s="498"/>
      <c r="DB80" s="579"/>
      <c r="DC80" s="498"/>
      <c r="DD80" s="578"/>
      <c r="DE80" s="498"/>
      <c r="DF80" s="579"/>
      <c r="DG80" s="498"/>
      <c r="DH80" s="578"/>
      <c r="DI80" s="498"/>
      <c r="DJ80" s="579"/>
      <c r="DK80" s="498"/>
      <c r="DL80" s="578"/>
      <c r="DM80" s="498"/>
      <c r="DN80" s="579"/>
      <c r="DO80" s="498"/>
      <c r="DP80" s="572"/>
      <c r="DQ80" s="328">
        <f>SUMPRODUCT(--(MOD(COLUMN(BT80:CQ80),4)=MOD(COLUMN(BT80),4)),BT80:CQ80)+SUMPRODUCT(--(MOD(COLUMN(CR80:DO80),4)=MOD(COLUMN(CR80),4)),CR80:DO80)</f>
        <v>0</v>
      </c>
      <c r="DR80" s="328">
        <f>SUMPRODUCT(--(MOD(COLUMN(BT80:CQ80),4)=MOD(COLUMN(BT80),4)),BT80:CQ80)*$I80+SUMPRODUCT(--(MOD(COLUMN(CR80:DO80),4)=MOD(COLUMN(CR80),4)),CR80:DO80)*$I80</f>
        <v>0</v>
      </c>
      <c r="DS80" s="329"/>
      <c r="DT80" s="329"/>
      <c r="DU80" s="578"/>
      <c r="DV80" s="498"/>
      <c r="DW80" s="579"/>
      <c r="DX80" s="498"/>
      <c r="DY80" s="578"/>
      <c r="DZ80" s="498"/>
      <c r="EA80" s="579"/>
      <c r="EB80" s="498"/>
      <c r="EC80" s="578"/>
      <c r="ED80" s="498"/>
      <c r="EE80" s="579"/>
      <c r="EF80" s="498"/>
      <c r="EG80" s="578"/>
      <c r="EH80" s="498"/>
      <c r="EI80" s="579"/>
      <c r="EJ80" s="498"/>
      <c r="EK80" s="578"/>
      <c r="EL80" s="498"/>
      <c r="EM80" s="579"/>
      <c r="EN80" s="498"/>
      <c r="EO80" s="578"/>
      <c r="EP80" s="498"/>
      <c r="EQ80" s="579"/>
      <c r="ER80" s="498"/>
      <c r="ES80" s="578"/>
      <c r="ET80" s="498"/>
      <c r="EU80" s="579"/>
      <c r="EV80" s="498"/>
      <c r="EW80" s="578"/>
      <c r="EX80" s="498"/>
      <c r="EY80" s="579"/>
      <c r="EZ80" s="498"/>
      <c r="FA80" s="578"/>
      <c r="FB80" s="498"/>
      <c r="FC80" s="579"/>
      <c r="FD80" s="498"/>
      <c r="FE80" s="578"/>
      <c r="FF80" s="498"/>
      <c r="FG80" s="579"/>
      <c r="FH80" s="498"/>
      <c r="FI80" s="578"/>
      <c r="FJ80" s="498"/>
      <c r="FK80" s="579"/>
      <c r="FL80" s="498"/>
      <c r="FM80" s="578"/>
      <c r="FN80" s="498"/>
      <c r="FO80" s="579"/>
      <c r="FP80" s="498"/>
      <c r="FQ80" s="572"/>
      <c r="FR80" s="328">
        <f>SUMPRODUCT(--(MOD(COLUMN(DU80:ER80),4)=MOD(COLUMN(DU80),4)),DU80:ER80)+SUMPRODUCT(--(MOD(COLUMN(ES80:FP80),4)=MOD(COLUMN(ES80),4)),ES80:FP80)</f>
        <v>0</v>
      </c>
      <c r="FS80" s="328">
        <f>SUMPRODUCT(--(MOD(COLUMN(DU80:ER80),4)=MOD(COLUMN(DU80),4)),DU80:ER80)*$I80+SUMPRODUCT(--(MOD(COLUMN(ES80:FP80),4)=MOD(COLUMN(ES80),4)),ES80:FP80)*$I80</f>
        <v>0</v>
      </c>
      <c r="FT80" s="573"/>
    </row>
    <row r="81" spans="1:176" s="574" customFormat="1" outlineLevel="2">
      <c r="A81" s="399" t="s">
        <v>480</v>
      </c>
      <c r="B81" s="575" t="s">
        <v>44</v>
      </c>
      <c r="C81" s="432" t="s">
        <v>72</v>
      </c>
      <c r="D81" s="575" t="s">
        <v>32</v>
      </c>
      <c r="E81" s="576">
        <f>IF(ISBLANK(G81),"",IF($A$6:$A$330=$A81,COUNTIF($A$6:A81,$A81),""))</f>
        <v>14</v>
      </c>
      <c r="F81" s="577" t="s">
        <v>89</v>
      </c>
      <c r="G81" s="319">
        <v>4441000550</v>
      </c>
      <c r="H81" s="603" t="s">
        <v>458</v>
      </c>
      <c r="I81" s="619">
        <f>J81/ЮАНЬ_2025_08_29</f>
        <v>1821.4936247723131</v>
      </c>
      <c r="J81" s="619">
        <f>25000/НДС</f>
        <v>20491.803278688523</v>
      </c>
      <c r="K81" s="585" t="s">
        <v>95</v>
      </c>
      <c r="L81" s="642">
        <f t="shared" si="21"/>
        <v>1821.4936247723131</v>
      </c>
      <c r="M81" s="353"/>
      <c r="N81" s="353">
        <f t="shared" si="22"/>
        <v>0</v>
      </c>
      <c r="O81" s="578"/>
      <c r="P81" s="498"/>
      <c r="Q81" s="579"/>
      <c r="R81" s="498"/>
      <c r="S81" s="578"/>
      <c r="T81" s="498"/>
      <c r="U81" s="579"/>
      <c r="V81" s="498"/>
      <c r="W81" s="578"/>
      <c r="X81" s="498"/>
      <c r="Y81" s="579"/>
      <c r="Z81" s="498"/>
      <c r="AA81" s="578"/>
      <c r="AB81" s="498"/>
      <c r="AC81" s="579"/>
      <c r="AD81" s="498"/>
      <c r="AE81" s="578"/>
      <c r="AF81" s="498"/>
      <c r="AG81" s="579"/>
      <c r="AH81" s="498"/>
      <c r="AI81" s="578"/>
      <c r="AJ81" s="498"/>
      <c r="AK81" s="579"/>
      <c r="AL81" s="498"/>
      <c r="AM81" s="578"/>
      <c r="AN81" s="498"/>
      <c r="AO81" s="579"/>
      <c r="AP81" s="498"/>
      <c r="AQ81" s="578"/>
      <c r="AR81" s="498"/>
      <c r="AS81" s="579"/>
      <c r="AT81" s="498"/>
      <c r="AU81" s="578"/>
      <c r="AV81" s="498"/>
      <c r="AW81" s="579"/>
      <c r="AX81" s="498"/>
      <c r="AY81" s="578"/>
      <c r="AZ81" s="498"/>
      <c r="BA81" s="579"/>
      <c r="BB81" s="498"/>
      <c r="BC81" s="578"/>
      <c r="BD81" s="498"/>
      <c r="BE81" s="579"/>
      <c r="BF81" s="498"/>
      <c r="BG81" s="578"/>
      <c r="BH81" s="498"/>
      <c r="BI81" s="579"/>
      <c r="BJ81" s="498"/>
      <c r="BK81" s="572"/>
      <c r="BL81" s="328">
        <f t="shared" si="23"/>
        <v>0</v>
      </c>
      <c r="BM81" s="328">
        <f t="shared" si="24"/>
        <v>0</v>
      </c>
      <c r="BN81" s="324">
        <f t="shared" si="25"/>
        <v>0</v>
      </c>
      <c r="BO81" s="325">
        <f t="shared" si="26"/>
        <v>0</v>
      </c>
      <c r="BP81" s="326">
        <f t="shared" si="27"/>
        <v>0</v>
      </c>
      <c r="BQ81" s="327">
        <f t="shared" si="28"/>
        <v>0</v>
      </c>
      <c r="BR81" s="329"/>
      <c r="BS81" s="329"/>
      <c r="BT81" s="578"/>
      <c r="BU81" s="498"/>
      <c r="BV81" s="579"/>
      <c r="BW81" s="498"/>
      <c r="BX81" s="578"/>
      <c r="BY81" s="498"/>
      <c r="BZ81" s="579"/>
      <c r="CA81" s="498"/>
      <c r="CB81" s="578"/>
      <c r="CC81" s="498"/>
      <c r="CD81" s="579"/>
      <c r="CE81" s="498"/>
      <c r="CF81" s="578"/>
      <c r="CG81" s="498"/>
      <c r="CH81" s="579"/>
      <c r="CI81" s="498"/>
      <c r="CJ81" s="578"/>
      <c r="CK81" s="498"/>
      <c r="CL81" s="579"/>
      <c r="CM81" s="498"/>
      <c r="CN81" s="578"/>
      <c r="CO81" s="498"/>
      <c r="CP81" s="579"/>
      <c r="CQ81" s="498"/>
      <c r="CR81" s="578"/>
      <c r="CS81" s="498"/>
      <c r="CT81" s="579"/>
      <c r="CU81" s="498"/>
      <c r="CV81" s="578"/>
      <c r="CW81" s="498"/>
      <c r="CX81" s="579"/>
      <c r="CY81" s="498"/>
      <c r="CZ81" s="578"/>
      <c r="DA81" s="498"/>
      <c r="DB81" s="579"/>
      <c r="DC81" s="498"/>
      <c r="DD81" s="578"/>
      <c r="DE81" s="498"/>
      <c r="DF81" s="579"/>
      <c r="DG81" s="498"/>
      <c r="DH81" s="578"/>
      <c r="DI81" s="498"/>
      <c r="DJ81" s="579"/>
      <c r="DK81" s="498"/>
      <c r="DL81" s="578"/>
      <c r="DM81" s="498"/>
      <c r="DN81" s="579"/>
      <c r="DO81" s="498"/>
      <c r="DP81" s="572"/>
      <c r="DQ81" s="328"/>
      <c r="DR81" s="328"/>
      <c r="DS81" s="329"/>
      <c r="DT81" s="329"/>
      <c r="DU81" s="578"/>
      <c r="DV81" s="498"/>
      <c r="DW81" s="579"/>
      <c r="DX81" s="498"/>
      <c r="DY81" s="578"/>
      <c r="DZ81" s="498"/>
      <c r="EA81" s="579"/>
      <c r="EB81" s="498"/>
      <c r="EC81" s="578"/>
      <c r="ED81" s="498"/>
      <c r="EE81" s="579"/>
      <c r="EF81" s="498"/>
      <c r="EG81" s="578"/>
      <c r="EH81" s="498"/>
      <c r="EI81" s="579"/>
      <c r="EJ81" s="498"/>
      <c r="EK81" s="578"/>
      <c r="EL81" s="498"/>
      <c r="EM81" s="579"/>
      <c r="EN81" s="498"/>
      <c r="EO81" s="578"/>
      <c r="EP81" s="498"/>
      <c r="EQ81" s="579"/>
      <c r="ER81" s="498"/>
      <c r="ES81" s="578"/>
      <c r="ET81" s="498"/>
      <c r="EU81" s="579"/>
      <c r="EV81" s="498"/>
      <c r="EW81" s="578"/>
      <c r="EX81" s="498"/>
      <c r="EY81" s="579"/>
      <c r="EZ81" s="498"/>
      <c r="FA81" s="578"/>
      <c r="FB81" s="498"/>
      <c r="FC81" s="579"/>
      <c r="FD81" s="498"/>
      <c r="FE81" s="578"/>
      <c r="FF81" s="498"/>
      <c r="FG81" s="579"/>
      <c r="FH81" s="498"/>
      <c r="FI81" s="578"/>
      <c r="FJ81" s="498"/>
      <c r="FK81" s="579"/>
      <c r="FL81" s="498"/>
      <c r="FM81" s="578"/>
      <c r="FN81" s="498"/>
      <c r="FO81" s="579"/>
      <c r="FP81" s="498"/>
      <c r="FQ81" s="572"/>
      <c r="FR81" s="328"/>
      <c r="FS81" s="328"/>
      <c r="FT81" s="573"/>
    </row>
    <row r="82" spans="1:176" s="14" customFormat="1" outlineLevel="2">
      <c r="A82" s="418" t="s">
        <v>480</v>
      </c>
      <c r="B82" s="387" t="s">
        <v>44</v>
      </c>
      <c r="C82" s="541" t="s">
        <v>72</v>
      </c>
      <c r="D82" s="565" t="s">
        <v>32</v>
      </c>
      <c r="E82" s="412">
        <f>IF(ISBLANK(G82),"",IF($A$6:$A$330=$A82,COUNTIF($A$6:A82,$A82),""))</f>
        <v>15</v>
      </c>
      <c r="F82" s="669">
        <v>2</v>
      </c>
      <c r="G82" s="124">
        <v>9522010010</v>
      </c>
      <c r="H82" s="604" t="s">
        <v>106</v>
      </c>
      <c r="I82" s="618">
        <v>0</v>
      </c>
      <c r="J82" s="618"/>
      <c r="K82" s="126"/>
      <c r="L82" s="618" t="str">
        <f t="shared" si="21"/>
        <v/>
      </c>
      <c r="M82" s="102"/>
      <c r="N82" s="305">
        <f t="shared" si="22"/>
        <v>1</v>
      </c>
      <c r="O82" s="23"/>
      <c r="P82" s="24"/>
      <c r="Q82" s="25"/>
      <c r="R82" s="24"/>
      <c r="S82" s="23"/>
      <c r="T82" s="24">
        <f>SUMPRODUCT((Комплекты[Пр]=$F82)*(Комплекты[Обозначение]=$G82)*Комплекты[Кол-во]*(
((Комплекты[Комплект]=$G$81)*T$81)+
((Комплекты[Комплект]=$G$80)*T$80)+
((Комплекты[Комплект]=$G$78)*T$78)+
((Комплекты[Комплект]=$G$77)*T$77)))</f>
        <v>1</v>
      </c>
      <c r="U82" s="25">
        <f>SUMPRODUCT((Комплекты[Пр]=$F82)*(Комплекты[Обозначение]=$G82)*Комплекты[Кол-во]*(
((Комплекты[Комплект]=$G$81)*U$81)+
((Комплекты[Комплект]=$G$80)*U$80)+
((Комплекты[Комплект]=$G$78)*U$78)+
((Комплекты[Комплект]=$G$77)*U$77)))</f>
        <v>1</v>
      </c>
      <c r="V82" s="24"/>
      <c r="W82" s="23"/>
      <c r="X82" s="24"/>
      <c r="Y82" s="25"/>
      <c r="Z82" s="24"/>
      <c r="AA82" s="23"/>
      <c r="AB82" s="24"/>
      <c r="AC82" s="25"/>
      <c r="AD82" s="24"/>
      <c r="AE82" s="23"/>
      <c r="AF82" s="24">
        <f>SUMPRODUCT((Комплекты[Пр]=$F82)*(Комплекты[Обозначение]=$G82)*Комплекты[Кол-во]*(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1</v>
      </c>
      <c r="AG82" s="25">
        <f>SUMPRODUCT((Комплекты[Пр]=$F82)*(Комплекты[Обозначение]=$G82)*Комплекты[Кол-во]*(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1</v>
      </c>
      <c r="AH82" s="24"/>
      <c r="AI82" s="23"/>
      <c r="AJ82" s="24"/>
      <c r="AK82" s="25"/>
      <c r="AL82" s="24"/>
      <c r="AM82" s="23"/>
      <c r="AN82" s="24"/>
      <c r="AO82" s="25"/>
      <c r="AP82" s="24"/>
      <c r="AQ82" s="23"/>
      <c r="AR82" s="24"/>
      <c r="AS82" s="25"/>
      <c r="AT82" s="24"/>
      <c r="AU82" s="23"/>
      <c r="AV82" s="24"/>
      <c r="AW82" s="25"/>
      <c r="AX82" s="24"/>
      <c r="AY82" s="23"/>
      <c r="AZ82" s="24"/>
      <c r="BA82" s="25"/>
      <c r="BB82" s="24"/>
      <c r="BC82" s="23"/>
      <c r="BD82" s="24"/>
      <c r="BE82" s="25"/>
      <c r="BF82" s="24"/>
      <c r="BG82" s="23"/>
      <c r="BH82" s="24"/>
      <c r="BI82" s="25"/>
      <c r="BJ82" s="24"/>
      <c r="BK82" s="340"/>
      <c r="BL82" s="32">
        <f t="shared" si="23"/>
        <v>0</v>
      </c>
      <c r="BM82" s="32">
        <f t="shared" si="24"/>
        <v>0</v>
      </c>
      <c r="BN82" s="28">
        <f t="shared" si="25"/>
        <v>2</v>
      </c>
      <c r="BO82" s="29">
        <f t="shared" si="26"/>
        <v>0</v>
      </c>
      <c r="BP82" s="30">
        <f t="shared" si="27"/>
        <v>2</v>
      </c>
      <c r="BQ82" s="31">
        <f t="shared" si="28"/>
        <v>0</v>
      </c>
      <c r="BR82" s="11"/>
      <c r="BS82" s="329"/>
      <c r="BT82" s="23"/>
      <c r="BU82" s="24"/>
      <c r="BV82" s="25"/>
      <c r="BW82" s="24"/>
      <c r="BX82" s="23"/>
      <c r="BY82" s="24"/>
      <c r="BZ82" s="25"/>
      <c r="CA82" s="24"/>
      <c r="CB82" s="23"/>
      <c r="CC82" s="24"/>
      <c r="CD82" s="25"/>
      <c r="CE82" s="24"/>
      <c r="CF82" s="23"/>
      <c r="CG82" s="24"/>
      <c r="CH82" s="25"/>
      <c r="CI82" s="24"/>
      <c r="CJ82" s="23"/>
      <c r="CK82" s="24"/>
      <c r="CL82" s="25"/>
      <c r="CM82" s="24"/>
      <c r="CN82" s="23"/>
      <c r="CO82" s="24"/>
      <c r="CP82" s="25"/>
      <c r="CQ82" s="24"/>
      <c r="CR82" s="23"/>
      <c r="CS82" s="24"/>
      <c r="CT82" s="25"/>
      <c r="CU82" s="24"/>
      <c r="CV82" s="23"/>
      <c r="CW82" s="24"/>
      <c r="CX82" s="25"/>
      <c r="CY82" s="24"/>
      <c r="CZ82" s="23"/>
      <c r="DA82" s="24"/>
      <c r="DB82" s="25"/>
      <c r="DC82" s="24"/>
      <c r="DD82" s="23"/>
      <c r="DE82" s="24"/>
      <c r="DF82" s="25"/>
      <c r="DG82" s="24"/>
      <c r="DH82" s="23"/>
      <c r="DI82" s="24"/>
      <c r="DJ82" s="25"/>
      <c r="DK82" s="24"/>
      <c r="DL82" s="23"/>
      <c r="DM82" s="24"/>
      <c r="DN82" s="25"/>
      <c r="DO82" s="24"/>
      <c r="DP82" s="340"/>
      <c r="DQ82" s="32">
        <f t="shared" ref="DQ82:DQ87" si="29">SUMPRODUCT(--(MOD(COLUMN(BT82:CQ82),4)=MOD(COLUMN(BT82),4)),BT82:CQ82)+SUMPRODUCT(--(MOD(COLUMN(CR82:DO82),4)=MOD(COLUMN(CR82),4)),CR82:DO82)</f>
        <v>0</v>
      </c>
      <c r="DR82" s="32">
        <f t="shared" ref="DR82:DR95" si="30">SUMPRODUCT(--(MOD(COLUMN(BT82:CQ82),4)=MOD(COLUMN(BT82),4)),BT82:CQ82)*$I82+SUMPRODUCT(--(MOD(COLUMN(CR82:DO82),4)=MOD(COLUMN(CR82),4)),CR82:DO82)*$I82</f>
        <v>0</v>
      </c>
      <c r="DS82" s="11"/>
      <c r="DT82" s="329"/>
      <c r="DU82" s="23"/>
      <c r="DV82" s="24"/>
      <c r="DW82" s="25"/>
      <c r="DX82" s="24"/>
      <c r="DY82" s="23"/>
      <c r="DZ82" s="24"/>
      <c r="EA82" s="25"/>
      <c r="EB82" s="24"/>
      <c r="EC82" s="23"/>
      <c r="ED82" s="24"/>
      <c r="EE82" s="25"/>
      <c r="EF82" s="24"/>
      <c r="EG82" s="23"/>
      <c r="EH82" s="24"/>
      <c r="EI82" s="25"/>
      <c r="EJ82" s="24"/>
      <c r="EK82" s="23"/>
      <c r="EL82" s="24"/>
      <c r="EM82" s="25"/>
      <c r="EN82" s="24"/>
      <c r="EO82" s="23"/>
      <c r="EP82" s="24"/>
      <c r="EQ82" s="25"/>
      <c r="ER82" s="24"/>
      <c r="ES82" s="23"/>
      <c r="ET82" s="24"/>
      <c r="EU82" s="25"/>
      <c r="EV82" s="24"/>
      <c r="EW82" s="23"/>
      <c r="EX82" s="24"/>
      <c r="EY82" s="25"/>
      <c r="EZ82" s="24"/>
      <c r="FA82" s="23"/>
      <c r="FB82" s="24"/>
      <c r="FC82" s="25"/>
      <c r="FD82" s="24"/>
      <c r="FE82" s="23"/>
      <c r="FF82" s="24"/>
      <c r="FG82" s="25"/>
      <c r="FH82" s="24"/>
      <c r="FI82" s="23"/>
      <c r="FJ82" s="24"/>
      <c r="FK82" s="25"/>
      <c r="FL82" s="24"/>
      <c r="FM82" s="23"/>
      <c r="FN82" s="24"/>
      <c r="FO82" s="25"/>
      <c r="FP82" s="24"/>
      <c r="FQ82" s="340"/>
      <c r="FR82" s="32">
        <f t="shared" ref="FR82:FR87" si="31">SUMPRODUCT(--(MOD(COLUMN(DU82:ER82),4)=MOD(COLUMN(DU82),4)),DU82:ER82)+SUMPRODUCT(--(MOD(COLUMN(ES82:FP82),4)=MOD(COLUMN(ES82),4)),ES82:FP82)</f>
        <v>0</v>
      </c>
      <c r="FS82" s="32">
        <f t="shared" ref="FS82:FS95" si="32">SUMPRODUCT(--(MOD(COLUMN(DU82:ER82),4)=MOD(COLUMN(DU82),4)),DU82:ER82)*$I82+SUMPRODUCT(--(MOD(COLUMN(ES82:FP82),4)=MOD(COLUMN(ES82),4)),ES82:FP82)*$I82</f>
        <v>0</v>
      </c>
      <c r="FT82" s="360"/>
    </row>
    <row r="83" spans="1:176" s="14" customFormat="1" outlineLevel="2">
      <c r="A83" s="418" t="s">
        <v>480</v>
      </c>
      <c r="B83" s="387" t="s">
        <v>44</v>
      </c>
      <c r="C83" s="541" t="s">
        <v>72</v>
      </c>
      <c r="D83" s="565" t="s">
        <v>32</v>
      </c>
      <c r="E83" s="412">
        <f>IF(ISBLANK(G83),"",IF($A$6:$A$330=$A83,COUNTIF($A$6:A83,$A83),""))</f>
        <v>16</v>
      </c>
      <c r="F83" s="669">
        <v>2</v>
      </c>
      <c r="G83" s="124">
        <v>9522010020</v>
      </c>
      <c r="H83" s="604" t="s">
        <v>106</v>
      </c>
      <c r="I83" s="618">
        <v>0</v>
      </c>
      <c r="J83" s="618"/>
      <c r="K83" s="126"/>
      <c r="L83" s="618" t="str">
        <f t="shared" si="21"/>
        <v/>
      </c>
      <c r="M83" s="102"/>
      <c r="N83" s="305">
        <f t="shared" si="22"/>
        <v>1</v>
      </c>
      <c r="O83" s="23"/>
      <c r="P83" s="24"/>
      <c r="Q83" s="25"/>
      <c r="R83" s="24"/>
      <c r="S83" s="23"/>
      <c r="T83" s="24">
        <f>SUMPRODUCT((Комплекты[Пр]=$F83)*(Комплекты[Обозначение]=$G83)*Комплекты[Кол-во]*(
((Комплекты[Комплект]=$G$81)*T$81)+
((Комплекты[Комплект]=$G$80)*T$80)+
((Комплекты[Комплект]=$G$78)*T$78)+
((Комплекты[Комплект]=$G$77)*T$77)))</f>
        <v>1</v>
      </c>
      <c r="U83" s="25">
        <f>SUMPRODUCT((Комплекты[Пр]=$F83)*(Комплекты[Обозначение]=$G83)*Комплекты[Кол-во]*(
((Комплекты[Комплект]=$G$81)*U$81)+
((Комплекты[Комплект]=$G$80)*U$80)+
((Комплекты[Комплект]=$G$78)*U$78)+
((Комплекты[Комплект]=$G$77)*U$77)))</f>
        <v>1</v>
      </c>
      <c r="V83" s="24"/>
      <c r="W83" s="23"/>
      <c r="X83" s="24"/>
      <c r="Y83" s="25"/>
      <c r="Z83" s="24"/>
      <c r="AA83" s="23"/>
      <c r="AB83" s="24"/>
      <c r="AC83" s="25"/>
      <c r="AD83" s="24"/>
      <c r="AE83" s="23"/>
      <c r="AF83" s="24">
        <f>SUMPRODUCT((Комплекты[Пр]=$F83)*(Комплекты[Обозначение]=$G83)*Комплекты[Кол-во]*(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1</v>
      </c>
      <c r="AG83" s="25">
        <f>SUMPRODUCT((Комплекты[Пр]=$F83)*(Комплекты[Обозначение]=$G83)*Комплекты[Кол-во]*(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1</v>
      </c>
      <c r="AH83" s="24"/>
      <c r="AI83" s="23"/>
      <c r="AJ83" s="24"/>
      <c r="AK83" s="25"/>
      <c r="AL83" s="24"/>
      <c r="AM83" s="23"/>
      <c r="AN83" s="24"/>
      <c r="AO83" s="25"/>
      <c r="AP83" s="24"/>
      <c r="AQ83" s="23"/>
      <c r="AR83" s="24"/>
      <c r="AS83" s="25"/>
      <c r="AT83" s="24"/>
      <c r="AU83" s="23"/>
      <c r="AV83" s="24"/>
      <c r="AW83" s="25"/>
      <c r="AX83" s="24"/>
      <c r="AY83" s="23"/>
      <c r="AZ83" s="24"/>
      <c r="BA83" s="25"/>
      <c r="BB83" s="24"/>
      <c r="BC83" s="23"/>
      <c r="BD83" s="24"/>
      <c r="BE83" s="25"/>
      <c r="BF83" s="24"/>
      <c r="BG83" s="23"/>
      <c r="BH83" s="24"/>
      <c r="BI83" s="25"/>
      <c r="BJ83" s="24"/>
      <c r="BK83" s="340"/>
      <c r="BL83" s="32">
        <f t="shared" si="23"/>
        <v>0</v>
      </c>
      <c r="BM83" s="32">
        <f t="shared" si="24"/>
        <v>0</v>
      </c>
      <c r="BN83" s="28">
        <f t="shared" si="25"/>
        <v>2</v>
      </c>
      <c r="BO83" s="29">
        <f t="shared" si="26"/>
        <v>0</v>
      </c>
      <c r="BP83" s="30">
        <f t="shared" si="27"/>
        <v>2</v>
      </c>
      <c r="BQ83" s="31">
        <f t="shared" si="28"/>
        <v>0</v>
      </c>
      <c r="BR83" s="11"/>
      <c r="BS83" s="329"/>
      <c r="BT83" s="23"/>
      <c r="BU83" s="24"/>
      <c r="BV83" s="25"/>
      <c r="BW83" s="24"/>
      <c r="BX83" s="23"/>
      <c r="BY83" s="24"/>
      <c r="BZ83" s="25"/>
      <c r="CA83" s="24"/>
      <c r="CB83" s="23"/>
      <c r="CC83" s="24"/>
      <c r="CD83" s="25"/>
      <c r="CE83" s="24"/>
      <c r="CF83" s="23"/>
      <c r="CG83" s="24"/>
      <c r="CH83" s="25"/>
      <c r="CI83" s="24"/>
      <c r="CJ83" s="23"/>
      <c r="CK83" s="24"/>
      <c r="CL83" s="25"/>
      <c r="CM83" s="24"/>
      <c r="CN83" s="23"/>
      <c r="CO83" s="24"/>
      <c r="CP83" s="25"/>
      <c r="CQ83" s="24"/>
      <c r="CR83" s="23"/>
      <c r="CS83" s="24"/>
      <c r="CT83" s="25"/>
      <c r="CU83" s="24"/>
      <c r="CV83" s="23"/>
      <c r="CW83" s="24"/>
      <c r="CX83" s="25"/>
      <c r="CY83" s="24"/>
      <c r="CZ83" s="23"/>
      <c r="DA83" s="24"/>
      <c r="DB83" s="25"/>
      <c r="DC83" s="24"/>
      <c r="DD83" s="23"/>
      <c r="DE83" s="24"/>
      <c r="DF83" s="25"/>
      <c r="DG83" s="24"/>
      <c r="DH83" s="23"/>
      <c r="DI83" s="24"/>
      <c r="DJ83" s="25"/>
      <c r="DK83" s="24"/>
      <c r="DL83" s="23"/>
      <c r="DM83" s="24"/>
      <c r="DN83" s="25"/>
      <c r="DO83" s="24"/>
      <c r="DP83" s="340"/>
      <c r="DQ83" s="32">
        <f t="shared" si="29"/>
        <v>0</v>
      </c>
      <c r="DR83" s="32">
        <f t="shared" si="30"/>
        <v>0</v>
      </c>
      <c r="DS83" s="11"/>
      <c r="DT83" s="329"/>
      <c r="DU83" s="23"/>
      <c r="DV83" s="24"/>
      <c r="DW83" s="25"/>
      <c r="DX83" s="24"/>
      <c r="DY83" s="23"/>
      <c r="DZ83" s="24"/>
      <c r="EA83" s="25"/>
      <c r="EB83" s="24"/>
      <c r="EC83" s="23"/>
      <c r="ED83" s="24"/>
      <c r="EE83" s="25"/>
      <c r="EF83" s="24"/>
      <c r="EG83" s="23"/>
      <c r="EH83" s="24"/>
      <c r="EI83" s="25"/>
      <c r="EJ83" s="24"/>
      <c r="EK83" s="23"/>
      <c r="EL83" s="24"/>
      <c r="EM83" s="25"/>
      <c r="EN83" s="24"/>
      <c r="EO83" s="23"/>
      <c r="EP83" s="24"/>
      <c r="EQ83" s="25"/>
      <c r="ER83" s="24"/>
      <c r="ES83" s="23"/>
      <c r="ET83" s="24"/>
      <c r="EU83" s="25"/>
      <c r="EV83" s="24"/>
      <c r="EW83" s="23"/>
      <c r="EX83" s="24"/>
      <c r="EY83" s="25"/>
      <c r="EZ83" s="24"/>
      <c r="FA83" s="23"/>
      <c r="FB83" s="24"/>
      <c r="FC83" s="25"/>
      <c r="FD83" s="24"/>
      <c r="FE83" s="23"/>
      <c r="FF83" s="24"/>
      <c r="FG83" s="25"/>
      <c r="FH83" s="24"/>
      <c r="FI83" s="23"/>
      <c r="FJ83" s="24"/>
      <c r="FK83" s="25"/>
      <c r="FL83" s="24"/>
      <c r="FM83" s="23"/>
      <c r="FN83" s="24"/>
      <c r="FO83" s="25"/>
      <c r="FP83" s="24"/>
      <c r="FQ83" s="340"/>
      <c r="FR83" s="32">
        <f t="shared" si="31"/>
        <v>0</v>
      </c>
      <c r="FS83" s="32">
        <f t="shared" si="32"/>
        <v>0</v>
      </c>
      <c r="FT83" s="360"/>
    </row>
    <row r="84" spans="1:176" s="14" customFormat="1" outlineLevel="2">
      <c r="A84" s="418" t="s">
        <v>480</v>
      </c>
      <c r="B84" s="387" t="s">
        <v>44</v>
      </c>
      <c r="C84" s="541" t="s">
        <v>72</v>
      </c>
      <c r="D84" s="565" t="s">
        <v>32</v>
      </c>
      <c r="E84" s="412">
        <f>IF(ISBLANK(G84),"",IF($A$6:$A$330=$A84,COUNTIF($A$6:A84,$A84),""))</f>
        <v>17</v>
      </c>
      <c r="F84" s="669">
        <v>2</v>
      </c>
      <c r="G84" s="124">
        <v>4801020640</v>
      </c>
      <c r="H84" s="604" t="s">
        <v>107</v>
      </c>
      <c r="I84" s="618">
        <v>0</v>
      </c>
      <c r="J84" s="618"/>
      <c r="K84" s="126"/>
      <c r="L84" s="618" t="str">
        <f t="shared" si="21"/>
        <v/>
      </c>
      <c r="M84" s="102"/>
      <c r="N84" s="305">
        <f t="shared" si="22"/>
        <v>1</v>
      </c>
      <c r="O84" s="23"/>
      <c r="P84" s="24"/>
      <c r="Q84" s="25"/>
      <c r="R84" s="24"/>
      <c r="S84" s="23"/>
      <c r="T84" s="24">
        <f>SUMPRODUCT((Комплекты[Пр]=$F84)*(Комплекты[Обозначение]=$G84)*Комплекты[Кол-во]*(
((Комплекты[Комплект]=$G$81)*T$81)+
((Комплекты[Комплект]=$G$80)*T$80)+
((Комплекты[Комплект]=$G$78)*T$78)+
((Комплекты[Комплект]=$G$77)*T$77)))</f>
        <v>1</v>
      </c>
      <c r="U84" s="25">
        <f>SUMPRODUCT((Комплекты[Пр]=$F84)*(Комплекты[Обозначение]=$G84)*Комплекты[Кол-во]*(
((Комплекты[Комплект]=$G$81)*U$81)+
((Комплекты[Комплект]=$G$80)*U$80)+
((Комплекты[Комплект]=$G$78)*U$78)+
((Комплекты[Комплект]=$G$77)*U$77)))</f>
        <v>1</v>
      </c>
      <c r="V84" s="24"/>
      <c r="W84" s="23"/>
      <c r="X84" s="24"/>
      <c r="Y84" s="25"/>
      <c r="Z84" s="24"/>
      <c r="AA84" s="23"/>
      <c r="AB84" s="24"/>
      <c r="AC84" s="25"/>
      <c r="AD84" s="24"/>
      <c r="AE84" s="23"/>
      <c r="AF84" s="24">
        <f>SUMPRODUCT((Комплекты[Пр]=$F84)*(Комплекты[Обозначение]=$G84)*Комплекты[Кол-во]*(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1</v>
      </c>
      <c r="AG84" s="25">
        <f>SUMPRODUCT((Комплекты[Пр]=$F84)*(Комплекты[Обозначение]=$G84)*Комплекты[Кол-во]*(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1</v>
      </c>
      <c r="AH84" s="24"/>
      <c r="AI84" s="23"/>
      <c r="AJ84" s="24"/>
      <c r="AK84" s="25"/>
      <c r="AL84" s="24"/>
      <c r="AM84" s="23"/>
      <c r="AN84" s="24"/>
      <c r="AO84" s="25"/>
      <c r="AP84" s="24"/>
      <c r="AQ84" s="23"/>
      <c r="AR84" s="24"/>
      <c r="AS84" s="25"/>
      <c r="AT84" s="24"/>
      <c r="AU84" s="23"/>
      <c r="AV84" s="24"/>
      <c r="AW84" s="25"/>
      <c r="AX84" s="24"/>
      <c r="AY84" s="23"/>
      <c r="AZ84" s="24"/>
      <c r="BA84" s="25"/>
      <c r="BB84" s="24"/>
      <c r="BC84" s="23"/>
      <c r="BD84" s="24"/>
      <c r="BE84" s="25"/>
      <c r="BF84" s="24"/>
      <c r="BG84" s="23"/>
      <c r="BH84" s="24"/>
      <c r="BI84" s="25"/>
      <c r="BJ84" s="24"/>
      <c r="BK84" s="340"/>
      <c r="BL84" s="32">
        <f t="shared" si="23"/>
        <v>0</v>
      </c>
      <c r="BM84" s="32">
        <f t="shared" si="24"/>
        <v>0</v>
      </c>
      <c r="BN84" s="28">
        <f t="shared" si="25"/>
        <v>2</v>
      </c>
      <c r="BO84" s="29">
        <f t="shared" si="26"/>
        <v>0</v>
      </c>
      <c r="BP84" s="30">
        <f t="shared" si="27"/>
        <v>2</v>
      </c>
      <c r="BQ84" s="31">
        <f t="shared" si="28"/>
        <v>0</v>
      </c>
      <c r="BR84" s="11"/>
      <c r="BS84" s="329"/>
      <c r="BT84" s="23"/>
      <c r="BU84" s="24"/>
      <c r="BV84" s="25"/>
      <c r="BW84" s="24"/>
      <c r="BX84" s="23"/>
      <c r="BY84" s="24"/>
      <c r="BZ84" s="25"/>
      <c r="CA84" s="24"/>
      <c r="CB84" s="23"/>
      <c r="CC84" s="24"/>
      <c r="CD84" s="25"/>
      <c r="CE84" s="24"/>
      <c r="CF84" s="23"/>
      <c r="CG84" s="24"/>
      <c r="CH84" s="25"/>
      <c r="CI84" s="24"/>
      <c r="CJ84" s="23"/>
      <c r="CK84" s="24"/>
      <c r="CL84" s="25"/>
      <c r="CM84" s="24"/>
      <c r="CN84" s="23"/>
      <c r="CO84" s="24"/>
      <c r="CP84" s="25"/>
      <c r="CQ84" s="24"/>
      <c r="CR84" s="23"/>
      <c r="CS84" s="24"/>
      <c r="CT84" s="25"/>
      <c r="CU84" s="24"/>
      <c r="CV84" s="23"/>
      <c r="CW84" s="24"/>
      <c r="CX84" s="25"/>
      <c r="CY84" s="24"/>
      <c r="CZ84" s="23"/>
      <c r="DA84" s="24"/>
      <c r="DB84" s="25"/>
      <c r="DC84" s="24"/>
      <c r="DD84" s="23"/>
      <c r="DE84" s="24"/>
      <c r="DF84" s="25"/>
      <c r="DG84" s="24"/>
      <c r="DH84" s="23"/>
      <c r="DI84" s="24"/>
      <c r="DJ84" s="25"/>
      <c r="DK84" s="24"/>
      <c r="DL84" s="23"/>
      <c r="DM84" s="24"/>
      <c r="DN84" s="25"/>
      <c r="DO84" s="24"/>
      <c r="DP84" s="340"/>
      <c r="DQ84" s="32">
        <f t="shared" si="29"/>
        <v>0</v>
      </c>
      <c r="DR84" s="32">
        <f t="shared" si="30"/>
        <v>0</v>
      </c>
      <c r="DS84" s="11"/>
      <c r="DT84" s="329"/>
      <c r="DU84" s="23"/>
      <c r="DV84" s="24"/>
      <c r="DW84" s="25"/>
      <c r="DX84" s="24"/>
      <c r="DY84" s="23"/>
      <c r="DZ84" s="24"/>
      <c r="EA84" s="25"/>
      <c r="EB84" s="24"/>
      <c r="EC84" s="23"/>
      <c r="ED84" s="24"/>
      <c r="EE84" s="25"/>
      <c r="EF84" s="24"/>
      <c r="EG84" s="23"/>
      <c r="EH84" s="24"/>
      <c r="EI84" s="25"/>
      <c r="EJ84" s="24"/>
      <c r="EK84" s="23"/>
      <c r="EL84" s="24"/>
      <c r="EM84" s="25"/>
      <c r="EN84" s="24"/>
      <c r="EO84" s="23"/>
      <c r="EP84" s="24"/>
      <c r="EQ84" s="25"/>
      <c r="ER84" s="24"/>
      <c r="ES84" s="23"/>
      <c r="ET84" s="24"/>
      <c r="EU84" s="25"/>
      <c r="EV84" s="24"/>
      <c r="EW84" s="23"/>
      <c r="EX84" s="24"/>
      <c r="EY84" s="25"/>
      <c r="EZ84" s="24"/>
      <c r="FA84" s="23"/>
      <c r="FB84" s="24"/>
      <c r="FC84" s="25"/>
      <c r="FD84" s="24"/>
      <c r="FE84" s="23"/>
      <c r="FF84" s="24"/>
      <c r="FG84" s="25"/>
      <c r="FH84" s="24"/>
      <c r="FI84" s="23"/>
      <c r="FJ84" s="24"/>
      <c r="FK84" s="25"/>
      <c r="FL84" s="24"/>
      <c r="FM84" s="23"/>
      <c r="FN84" s="24"/>
      <c r="FO84" s="25"/>
      <c r="FP84" s="24"/>
      <c r="FQ84" s="340"/>
      <c r="FR84" s="32">
        <f t="shared" si="31"/>
        <v>0</v>
      </c>
      <c r="FS84" s="32">
        <f t="shared" si="32"/>
        <v>0</v>
      </c>
      <c r="FT84" s="360"/>
    </row>
    <row r="85" spans="1:176" s="14" customFormat="1" outlineLevel="2">
      <c r="A85" s="418" t="s">
        <v>480</v>
      </c>
      <c r="B85" s="387" t="s">
        <v>44</v>
      </c>
      <c r="C85" s="541" t="s">
        <v>72</v>
      </c>
      <c r="D85" s="565" t="s">
        <v>32</v>
      </c>
      <c r="E85" s="412">
        <f>IF(ISBLANK(G85),"",IF($A$6:$A$330=$A85,COUNTIF($A$6:A85,$A85),""))</f>
        <v>18</v>
      </c>
      <c r="F85" s="669">
        <v>2</v>
      </c>
      <c r="G85" s="124">
        <v>4491731200</v>
      </c>
      <c r="H85" s="604" t="s">
        <v>83</v>
      </c>
      <c r="I85" s="618">
        <v>0</v>
      </c>
      <c r="J85" s="618"/>
      <c r="K85" s="126"/>
      <c r="L85" s="618" t="str">
        <f t="shared" si="21"/>
        <v/>
      </c>
      <c r="M85" s="102"/>
      <c r="N85" s="305">
        <f t="shared" si="22"/>
        <v>1</v>
      </c>
      <c r="O85" s="23"/>
      <c r="P85" s="24"/>
      <c r="Q85" s="25"/>
      <c r="R85" s="24"/>
      <c r="S85" s="23"/>
      <c r="T85" s="24">
        <f>SUMPRODUCT((Комплекты[Пр]=$F85)*(Комплекты[Обозначение]=$G85)*Комплекты[Кол-во]*(
((Комплекты[Комплект]=$G$81)*T$81)+
((Комплекты[Комплект]=$G$80)*T$80)+
((Комплекты[Комплект]=$G$78)*T$78)+
((Комплекты[Комплект]=$G$77)*T$77)))</f>
        <v>1</v>
      </c>
      <c r="U85" s="25">
        <f>SUMPRODUCT((Комплекты[Пр]=$F85)*(Комплекты[Обозначение]=$G85)*Комплекты[Кол-во]*(
((Комплекты[Комплект]=$G$81)*U$81)+
((Комплекты[Комплект]=$G$80)*U$80)+
((Комплекты[Комплект]=$G$78)*U$78)+
((Комплекты[Комплект]=$G$77)*U$77)))</f>
        <v>1</v>
      </c>
      <c r="V85" s="24"/>
      <c r="W85" s="23"/>
      <c r="X85" s="24"/>
      <c r="Y85" s="25"/>
      <c r="Z85" s="24"/>
      <c r="AA85" s="23"/>
      <c r="AB85" s="24"/>
      <c r="AC85" s="25"/>
      <c r="AD85" s="24"/>
      <c r="AE85" s="23"/>
      <c r="AF85" s="24">
        <f>SUMPRODUCT((Комплекты[Пр]=$F85)*(Комплекты[Обозначение]=$G85)*Комплекты[Кол-во]*(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1</v>
      </c>
      <c r="AG85" s="25">
        <f>SUMPRODUCT((Комплекты[Пр]=$F85)*(Комплекты[Обозначение]=$G85)*Комплекты[Кол-во]*(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1</v>
      </c>
      <c r="AH85" s="24"/>
      <c r="AI85" s="23"/>
      <c r="AJ85" s="24"/>
      <c r="AK85" s="25"/>
      <c r="AL85" s="24"/>
      <c r="AM85" s="23"/>
      <c r="AN85" s="24"/>
      <c r="AO85" s="25"/>
      <c r="AP85" s="24"/>
      <c r="AQ85" s="23"/>
      <c r="AR85" s="24"/>
      <c r="AS85" s="25"/>
      <c r="AT85" s="24"/>
      <c r="AU85" s="23"/>
      <c r="AV85" s="24"/>
      <c r="AW85" s="25"/>
      <c r="AX85" s="24"/>
      <c r="AY85" s="23"/>
      <c r="AZ85" s="24"/>
      <c r="BA85" s="25"/>
      <c r="BB85" s="24"/>
      <c r="BC85" s="23"/>
      <c r="BD85" s="24"/>
      <c r="BE85" s="25"/>
      <c r="BF85" s="24"/>
      <c r="BG85" s="23"/>
      <c r="BH85" s="24"/>
      <c r="BI85" s="25"/>
      <c r="BJ85" s="24"/>
      <c r="BK85" s="340"/>
      <c r="BL85" s="32">
        <f t="shared" si="23"/>
        <v>0</v>
      </c>
      <c r="BM85" s="32">
        <f t="shared" si="24"/>
        <v>0</v>
      </c>
      <c r="BN85" s="28">
        <f t="shared" si="25"/>
        <v>2</v>
      </c>
      <c r="BO85" s="29">
        <f t="shared" si="26"/>
        <v>0</v>
      </c>
      <c r="BP85" s="30">
        <f t="shared" si="27"/>
        <v>2</v>
      </c>
      <c r="BQ85" s="31">
        <f t="shared" si="28"/>
        <v>0</v>
      </c>
      <c r="BR85" s="11"/>
      <c r="BS85" s="329"/>
      <c r="BT85" s="23"/>
      <c r="BU85" s="24"/>
      <c r="BV85" s="25"/>
      <c r="BW85" s="24"/>
      <c r="BX85" s="23"/>
      <c r="BY85" s="24"/>
      <c r="BZ85" s="25"/>
      <c r="CA85" s="24"/>
      <c r="CB85" s="23"/>
      <c r="CC85" s="24"/>
      <c r="CD85" s="25"/>
      <c r="CE85" s="24"/>
      <c r="CF85" s="23"/>
      <c r="CG85" s="24"/>
      <c r="CH85" s="25"/>
      <c r="CI85" s="24"/>
      <c r="CJ85" s="23"/>
      <c r="CK85" s="24"/>
      <c r="CL85" s="25"/>
      <c r="CM85" s="24"/>
      <c r="CN85" s="23"/>
      <c r="CO85" s="24"/>
      <c r="CP85" s="25"/>
      <c r="CQ85" s="24"/>
      <c r="CR85" s="23"/>
      <c r="CS85" s="24"/>
      <c r="CT85" s="25"/>
      <c r="CU85" s="24"/>
      <c r="CV85" s="23"/>
      <c r="CW85" s="24"/>
      <c r="CX85" s="25"/>
      <c r="CY85" s="24"/>
      <c r="CZ85" s="23"/>
      <c r="DA85" s="24"/>
      <c r="DB85" s="25"/>
      <c r="DC85" s="24"/>
      <c r="DD85" s="23"/>
      <c r="DE85" s="24"/>
      <c r="DF85" s="25"/>
      <c r="DG85" s="24"/>
      <c r="DH85" s="23"/>
      <c r="DI85" s="24"/>
      <c r="DJ85" s="25"/>
      <c r="DK85" s="24"/>
      <c r="DL85" s="23"/>
      <c r="DM85" s="24"/>
      <c r="DN85" s="25"/>
      <c r="DO85" s="24"/>
      <c r="DP85" s="340"/>
      <c r="DQ85" s="32">
        <f t="shared" si="29"/>
        <v>0</v>
      </c>
      <c r="DR85" s="32">
        <f t="shared" si="30"/>
        <v>0</v>
      </c>
      <c r="DS85" s="11"/>
      <c r="DT85" s="329"/>
      <c r="DU85" s="23"/>
      <c r="DV85" s="24"/>
      <c r="DW85" s="25"/>
      <c r="DX85" s="24"/>
      <c r="DY85" s="23"/>
      <c r="DZ85" s="24"/>
      <c r="EA85" s="25"/>
      <c r="EB85" s="24"/>
      <c r="EC85" s="23"/>
      <c r="ED85" s="24"/>
      <c r="EE85" s="25"/>
      <c r="EF85" s="24"/>
      <c r="EG85" s="23"/>
      <c r="EH85" s="24"/>
      <c r="EI85" s="25"/>
      <c r="EJ85" s="24"/>
      <c r="EK85" s="23"/>
      <c r="EL85" s="24"/>
      <c r="EM85" s="25"/>
      <c r="EN85" s="24"/>
      <c r="EO85" s="23"/>
      <c r="EP85" s="24"/>
      <c r="EQ85" s="25"/>
      <c r="ER85" s="24"/>
      <c r="ES85" s="23"/>
      <c r="ET85" s="24"/>
      <c r="EU85" s="25"/>
      <c r="EV85" s="24"/>
      <c r="EW85" s="23"/>
      <c r="EX85" s="24"/>
      <c r="EY85" s="25"/>
      <c r="EZ85" s="24"/>
      <c r="FA85" s="23"/>
      <c r="FB85" s="24"/>
      <c r="FC85" s="25"/>
      <c r="FD85" s="24"/>
      <c r="FE85" s="23"/>
      <c r="FF85" s="24"/>
      <c r="FG85" s="25"/>
      <c r="FH85" s="24"/>
      <c r="FI85" s="23"/>
      <c r="FJ85" s="24"/>
      <c r="FK85" s="25"/>
      <c r="FL85" s="24"/>
      <c r="FM85" s="23"/>
      <c r="FN85" s="24"/>
      <c r="FO85" s="25"/>
      <c r="FP85" s="24"/>
      <c r="FQ85" s="340"/>
      <c r="FR85" s="32">
        <f t="shared" si="31"/>
        <v>0</v>
      </c>
      <c r="FS85" s="32">
        <f t="shared" si="32"/>
        <v>0</v>
      </c>
      <c r="FT85" s="360"/>
    </row>
    <row r="86" spans="1:176" s="14" customFormat="1" outlineLevel="2">
      <c r="A86" s="418" t="s">
        <v>480</v>
      </c>
      <c r="B86" s="387" t="s">
        <v>44</v>
      </c>
      <c r="C86" s="541" t="s">
        <v>72</v>
      </c>
      <c r="D86" s="565" t="s">
        <v>32</v>
      </c>
      <c r="E86" s="412">
        <f>IF(ISBLANK(G86),"",IF($A$6:$A$330=$A86,COUNTIF($A$6:A86,$A86),""))</f>
        <v>19</v>
      </c>
      <c r="F86" s="669">
        <v>2</v>
      </c>
      <c r="G86" s="124">
        <v>9630010510</v>
      </c>
      <c r="H86" s="604" t="s">
        <v>91</v>
      </c>
      <c r="I86" s="618">
        <v>0</v>
      </c>
      <c r="J86" s="618"/>
      <c r="K86" s="126"/>
      <c r="L86" s="618" t="str">
        <f t="shared" si="21"/>
        <v/>
      </c>
      <c r="M86" s="102"/>
      <c r="N86" s="305">
        <f t="shared" si="22"/>
        <v>1</v>
      </c>
      <c r="O86" s="23"/>
      <c r="P86" s="24"/>
      <c r="Q86" s="25"/>
      <c r="R86" s="24"/>
      <c r="S86" s="23"/>
      <c r="T86" s="24">
        <f>SUMPRODUCT((Комплекты[Пр]=$F86)*(Комплекты[Обозначение]=$G86)*Комплекты[Кол-во]*(
((Комплекты[Комплект]=$G$81)*T$81)+
((Комплекты[Комплект]=$G$80)*T$80)+
((Комплекты[Комплект]=$G$78)*T$78)+
((Комплекты[Комплект]=$G$77)*T$77)))</f>
        <v>0</v>
      </c>
      <c r="U86" s="25">
        <f>SUMPRODUCT((Комплекты[Пр]=$F86)*(Комплекты[Обозначение]=$G86)*Комплекты[Кол-во]*(
((Комплекты[Комплект]=$G$81)*U$81)+
((Комплекты[Комплект]=$G$80)*U$80)+
((Комплекты[Комплект]=$G$78)*U$78)+
((Комплекты[Комплект]=$G$77)*U$77)))</f>
        <v>0</v>
      </c>
      <c r="V86" s="24"/>
      <c r="W86" s="23"/>
      <c r="X86" s="24"/>
      <c r="Y86" s="25"/>
      <c r="Z86" s="24"/>
      <c r="AA86" s="23"/>
      <c r="AB86" s="24"/>
      <c r="AC86" s="25"/>
      <c r="AD86" s="24"/>
      <c r="AE86" s="23"/>
      <c r="AF86" s="24">
        <f>SUMPRODUCT((Комплекты[Пр]=$F86)*(Комплекты[Обозначение]=$G86)*Комплекты[Кол-во]*(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1</v>
      </c>
      <c r="AG86" s="25">
        <f>SUMPRODUCT((Комплекты[Пр]=$F86)*(Комплекты[Обозначение]=$G86)*Комплекты[Кол-во]*(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1</v>
      </c>
      <c r="AH86" s="24"/>
      <c r="AI86" s="23"/>
      <c r="AJ86" s="24"/>
      <c r="AK86" s="25"/>
      <c r="AL86" s="24"/>
      <c r="AM86" s="23"/>
      <c r="AN86" s="24"/>
      <c r="AO86" s="25"/>
      <c r="AP86" s="24"/>
      <c r="AQ86" s="23"/>
      <c r="AR86" s="24"/>
      <c r="AS86" s="25"/>
      <c r="AT86" s="24"/>
      <c r="AU86" s="23"/>
      <c r="AV86" s="24"/>
      <c r="AW86" s="25"/>
      <c r="AX86" s="24"/>
      <c r="AY86" s="23"/>
      <c r="AZ86" s="24"/>
      <c r="BA86" s="25"/>
      <c r="BB86" s="24"/>
      <c r="BC86" s="23"/>
      <c r="BD86" s="24"/>
      <c r="BE86" s="25"/>
      <c r="BF86" s="24"/>
      <c r="BG86" s="23"/>
      <c r="BH86" s="24"/>
      <c r="BI86" s="25"/>
      <c r="BJ86" s="24"/>
      <c r="BK86" s="340"/>
      <c r="BL86" s="32">
        <f t="shared" si="23"/>
        <v>0</v>
      </c>
      <c r="BM86" s="32">
        <f t="shared" si="24"/>
        <v>0</v>
      </c>
      <c r="BN86" s="28">
        <f t="shared" si="25"/>
        <v>1</v>
      </c>
      <c r="BO86" s="29">
        <f t="shared" si="26"/>
        <v>0</v>
      </c>
      <c r="BP86" s="30">
        <f t="shared" si="27"/>
        <v>1</v>
      </c>
      <c r="BQ86" s="31">
        <f t="shared" si="28"/>
        <v>0</v>
      </c>
      <c r="BR86" s="11"/>
      <c r="BS86" s="329"/>
      <c r="BT86" s="23"/>
      <c r="BU86" s="24"/>
      <c r="BV86" s="25"/>
      <c r="BW86" s="24"/>
      <c r="BX86" s="23"/>
      <c r="BY86" s="24"/>
      <c r="BZ86" s="25"/>
      <c r="CA86" s="24"/>
      <c r="CB86" s="23"/>
      <c r="CC86" s="24"/>
      <c r="CD86" s="25"/>
      <c r="CE86" s="24"/>
      <c r="CF86" s="23"/>
      <c r="CG86" s="24"/>
      <c r="CH86" s="25"/>
      <c r="CI86" s="24"/>
      <c r="CJ86" s="23"/>
      <c r="CK86" s="24"/>
      <c r="CL86" s="25"/>
      <c r="CM86" s="24"/>
      <c r="CN86" s="23"/>
      <c r="CO86" s="24"/>
      <c r="CP86" s="25"/>
      <c r="CQ86" s="24"/>
      <c r="CR86" s="23"/>
      <c r="CS86" s="24"/>
      <c r="CT86" s="25"/>
      <c r="CU86" s="24"/>
      <c r="CV86" s="23"/>
      <c r="CW86" s="24"/>
      <c r="CX86" s="25"/>
      <c r="CY86" s="24"/>
      <c r="CZ86" s="23"/>
      <c r="DA86" s="24"/>
      <c r="DB86" s="25"/>
      <c r="DC86" s="24"/>
      <c r="DD86" s="23"/>
      <c r="DE86" s="24"/>
      <c r="DF86" s="25"/>
      <c r="DG86" s="24"/>
      <c r="DH86" s="23"/>
      <c r="DI86" s="24"/>
      <c r="DJ86" s="25"/>
      <c r="DK86" s="24"/>
      <c r="DL86" s="23"/>
      <c r="DM86" s="24"/>
      <c r="DN86" s="25"/>
      <c r="DO86" s="24"/>
      <c r="DP86" s="340"/>
      <c r="DQ86" s="32">
        <f t="shared" si="29"/>
        <v>0</v>
      </c>
      <c r="DR86" s="32">
        <f t="shared" si="30"/>
        <v>0</v>
      </c>
      <c r="DS86" s="11"/>
      <c r="DT86" s="329"/>
      <c r="DU86" s="23"/>
      <c r="DV86" s="24"/>
      <c r="DW86" s="25"/>
      <c r="DX86" s="24"/>
      <c r="DY86" s="23"/>
      <c r="DZ86" s="24"/>
      <c r="EA86" s="25"/>
      <c r="EB86" s="24"/>
      <c r="EC86" s="23"/>
      <c r="ED86" s="24"/>
      <c r="EE86" s="25"/>
      <c r="EF86" s="24"/>
      <c r="EG86" s="23"/>
      <c r="EH86" s="24"/>
      <c r="EI86" s="25"/>
      <c r="EJ86" s="24"/>
      <c r="EK86" s="23"/>
      <c r="EL86" s="24"/>
      <c r="EM86" s="25"/>
      <c r="EN86" s="24"/>
      <c r="EO86" s="23"/>
      <c r="EP86" s="24"/>
      <c r="EQ86" s="25"/>
      <c r="ER86" s="24"/>
      <c r="ES86" s="23"/>
      <c r="ET86" s="24"/>
      <c r="EU86" s="25"/>
      <c r="EV86" s="24"/>
      <c r="EW86" s="23"/>
      <c r="EX86" s="24"/>
      <c r="EY86" s="25"/>
      <c r="EZ86" s="24"/>
      <c r="FA86" s="23"/>
      <c r="FB86" s="24"/>
      <c r="FC86" s="25"/>
      <c r="FD86" s="24"/>
      <c r="FE86" s="23"/>
      <c r="FF86" s="24"/>
      <c r="FG86" s="25"/>
      <c r="FH86" s="24"/>
      <c r="FI86" s="23"/>
      <c r="FJ86" s="24"/>
      <c r="FK86" s="25"/>
      <c r="FL86" s="24"/>
      <c r="FM86" s="23"/>
      <c r="FN86" s="24"/>
      <c r="FO86" s="25"/>
      <c r="FP86" s="24"/>
      <c r="FQ86" s="340"/>
      <c r="FR86" s="32">
        <f t="shared" si="31"/>
        <v>0</v>
      </c>
      <c r="FS86" s="32">
        <f t="shared" si="32"/>
        <v>0</v>
      </c>
      <c r="FT86" s="360"/>
    </row>
    <row r="87" spans="1:176" s="14" customFormat="1" outlineLevel="2">
      <c r="A87" s="418" t="s">
        <v>480</v>
      </c>
      <c r="B87" s="387" t="s">
        <v>44</v>
      </c>
      <c r="C87" s="541" t="s">
        <v>72</v>
      </c>
      <c r="D87" s="565" t="s">
        <v>32</v>
      </c>
      <c r="E87" s="412">
        <f>IF(ISBLANK(G87),"",IF($A$6:$A$330=$A87,COUNTIF($A$6:A87,$A87),""))</f>
        <v>20</v>
      </c>
      <c r="F87" s="669">
        <v>2</v>
      </c>
      <c r="G87" s="124">
        <v>9710020400</v>
      </c>
      <c r="H87" s="604" t="s">
        <v>101</v>
      </c>
      <c r="I87" s="618">
        <v>0</v>
      </c>
      <c r="J87" s="618"/>
      <c r="K87" s="126"/>
      <c r="L87" s="618" t="str">
        <f t="shared" si="21"/>
        <v/>
      </c>
      <c r="M87" s="102"/>
      <c r="N87" s="305">
        <f t="shared" si="22"/>
        <v>1</v>
      </c>
      <c r="O87" s="23"/>
      <c r="P87" s="24"/>
      <c r="Q87" s="25"/>
      <c r="R87" s="24"/>
      <c r="S87" s="23"/>
      <c r="T87" s="24">
        <f>SUMPRODUCT((Комплекты[Пр]=$F87)*(Комплекты[Обозначение]=$G87)*Комплекты[Кол-во]*(
((Комплекты[Комплект]=$G$81)*T$81)+
((Комплекты[Комплект]=$G$80)*T$80)+
((Комплекты[Комплект]=$G$78)*T$78)+
((Комплекты[Комплект]=$G$77)*T$77)))</f>
        <v>0</v>
      </c>
      <c r="U87" s="25">
        <f>SUMPRODUCT((Комплекты[Пр]=$F87)*(Комплекты[Обозначение]=$G87)*Комплекты[Кол-во]*(
((Комплекты[Комплект]=$G$81)*U$81)+
((Комплекты[Комплект]=$G$80)*U$80)+
((Комплекты[Комплект]=$G$78)*U$78)+
((Комплекты[Комплект]=$G$77)*U$77)))</f>
        <v>0</v>
      </c>
      <c r="V87" s="24"/>
      <c r="W87" s="23"/>
      <c r="X87" s="24"/>
      <c r="Y87" s="25"/>
      <c r="Z87" s="24"/>
      <c r="AA87" s="23"/>
      <c r="AB87" s="24"/>
      <c r="AC87" s="25"/>
      <c r="AD87" s="24"/>
      <c r="AE87" s="23"/>
      <c r="AF87" s="24">
        <f>SUMPRODUCT((Комплекты[Пр]=$F87)*(Комплекты[Обозначение]=$G87)*Комплекты[Кол-во]*(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1</v>
      </c>
      <c r="AG87" s="25">
        <f>SUMPRODUCT((Комплекты[Пр]=$F87)*(Комплекты[Обозначение]=$G87)*Комплекты[Кол-во]*(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1</v>
      </c>
      <c r="AH87" s="24"/>
      <c r="AI87" s="23"/>
      <c r="AJ87" s="24"/>
      <c r="AK87" s="25"/>
      <c r="AL87" s="24"/>
      <c r="AM87" s="23"/>
      <c r="AN87" s="24"/>
      <c r="AO87" s="25"/>
      <c r="AP87" s="24"/>
      <c r="AQ87" s="23"/>
      <c r="AR87" s="24"/>
      <c r="AS87" s="25"/>
      <c r="AT87" s="24"/>
      <c r="AU87" s="23"/>
      <c r="AV87" s="24"/>
      <c r="AW87" s="25"/>
      <c r="AX87" s="24"/>
      <c r="AY87" s="23"/>
      <c r="AZ87" s="24"/>
      <c r="BA87" s="25"/>
      <c r="BB87" s="24"/>
      <c r="BC87" s="23"/>
      <c r="BD87" s="24"/>
      <c r="BE87" s="25"/>
      <c r="BF87" s="24"/>
      <c r="BG87" s="23"/>
      <c r="BH87" s="24"/>
      <c r="BI87" s="25"/>
      <c r="BJ87" s="24"/>
      <c r="BK87" s="340"/>
      <c r="BL87" s="32">
        <f t="shared" si="23"/>
        <v>0</v>
      </c>
      <c r="BM87" s="32">
        <f t="shared" si="24"/>
        <v>0</v>
      </c>
      <c r="BN87" s="28">
        <f t="shared" si="25"/>
        <v>1</v>
      </c>
      <c r="BO87" s="29">
        <f t="shared" si="26"/>
        <v>0</v>
      </c>
      <c r="BP87" s="30">
        <f t="shared" si="27"/>
        <v>1</v>
      </c>
      <c r="BQ87" s="31">
        <f t="shared" si="28"/>
        <v>0</v>
      </c>
      <c r="BR87" s="11"/>
      <c r="BS87" s="329"/>
      <c r="BT87" s="23"/>
      <c r="BU87" s="24"/>
      <c r="BV87" s="25"/>
      <c r="BW87" s="24"/>
      <c r="BX87" s="23"/>
      <c r="BY87" s="24"/>
      <c r="BZ87" s="25"/>
      <c r="CA87" s="24"/>
      <c r="CB87" s="23"/>
      <c r="CC87" s="24"/>
      <c r="CD87" s="25"/>
      <c r="CE87" s="24"/>
      <c r="CF87" s="23"/>
      <c r="CG87" s="24"/>
      <c r="CH87" s="25"/>
      <c r="CI87" s="24"/>
      <c r="CJ87" s="23"/>
      <c r="CK87" s="24"/>
      <c r="CL87" s="25"/>
      <c r="CM87" s="24"/>
      <c r="CN87" s="23"/>
      <c r="CO87" s="24"/>
      <c r="CP87" s="25"/>
      <c r="CQ87" s="24"/>
      <c r="CR87" s="23"/>
      <c r="CS87" s="24"/>
      <c r="CT87" s="25"/>
      <c r="CU87" s="24"/>
      <c r="CV87" s="23"/>
      <c r="CW87" s="24"/>
      <c r="CX87" s="25"/>
      <c r="CY87" s="24"/>
      <c r="CZ87" s="23"/>
      <c r="DA87" s="24"/>
      <c r="DB87" s="25"/>
      <c r="DC87" s="24"/>
      <c r="DD87" s="23"/>
      <c r="DE87" s="24"/>
      <c r="DF87" s="25"/>
      <c r="DG87" s="24"/>
      <c r="DH87" s="23"/>
      <c r="DI87" s="24"/>
      <c r="DJ87" s="25"/>
      <c r="DK87" s="24"/>
      <c r="DL87" s="23"/>
      <c r="DM87" s="24"/>
      <c r="DN87" s="25"/>
      <c r="DO87" s="24"/>
      <c r="DP87" s="340"/>
      <c r="DQ87" s="32">
        <f t="shared" si="29"/>
        <v>0</v>
      </c>
      <c r="DR87" s="32">
        <f t="shared" si="30"/>
        <v>0</v>
      </c>
      <c r="DS87" s="11"/>
      <c r="DT87" s="329"/>
      <c r="DU87" s="23"/>
      <c r="DV87" s="24"/>
      <c r="DW87" s="25"/>
      <c r="DX87" s="24"/>
      <c r="DY87" s="23"/>
      <c r="DZ87" s="24"/>
      <c r="EA87" s="25"/>
      <c r="EB87" s="24"/>
      <c r="EC87" s="23"/>
      <c r="ED87" s="24"/>
      <c r="EE87" s="25"/>
      <c r="EF87" s="24"/>
      <c r="EG87" s="23"/>
      <c r="EH87" s="24"/>
      <c r="EI87" s="25"/>
      <c r="EJ87" s="24"/>
      <c r="EK87" s="23"/>
      <c r="EL87" s="24"/>
      <c r="EM87" s="25"/>
      <c r="EN87" s="24"/>
      <c r="EO87" s="23"/>
      <c r="EP87" s="24"/>
      <c r="EQ87" s="25"/>
      <c r="ER87" s="24"/>
      <c r="ES87" s="23"/>
      <c r="ET87" s="24"/>
      <c r="EU87" s="25"/>
      <c r="EV87" s="24"/>
      <c r="EW87" s="23"/>
      <c r="EX87" s="24"/>
      <c r="EY87" s="25"/>
      <c r="EZ87" s="24"/>
      <c r="FA87" s="23"/>
      <c r="FB87" s="24"/>
      <c r="FC87" s="25"/>
      <c r="FD87" s="24"/>
      <c r="FE87" s="23"/>
      <c r="FF87" s="24"/>
      <c r="FG87" s="25"/>
      <c r="FH87" s="24"/>
      <c r="FI87" s="23"/>
      <c r="FJ87" s="24"/>
      <c r="FK87" s="25"/>
      <c r="FL87" s="24"/>
      <c r="FM87" s="23"/>
      <c r="FN87" s="24"/>
      <c r="FO87" s="25"/>
      <c r="FP87" s="24"/>
      <c r="FQ87" s="340"/>
      <c r="FR87" s="32">
        <f t="shared" si="31"/>
        <v>0</v>
      </c>
      <c r="FS87" s="32">
        <f t="shared" si="32"/>
        <v>0</v>
      </c>
      <c r="FT87" s="360"/>
    </row>
    <row r="88" spans="1:176" s="14" customFormat="1" outlineLevel="2">
      <c r="A88" s="421" t="s">
        <v>480</v>
      </c>
      <c r="B88" s="389" t="s">
        <v>44</v>
      </c>
      <c r="C88" s="432" t="s">
        <v>72</v>
      </c>
      <c r="D88" s="575" t="s">
        <v>32</v>
      </c>
      <c r="E88" s="284">
        <f>IF(ISBLANK(G88),"",IF($A$6:$A$330=$A88,COUNTIF($A$6:A88,$A88),""))</f>
        <v>21</v>
      </c>
      <c r="F88" s="670">
        <v>2</v>
      </c>
      <c r="G88" s="319">
        <v>9710029000</v>
      </c>
      <c r="H88" s="603" t="s">
        <v>75</v>
      </c>
      <c r="I88" s="619">
        <v>0</v>
      </c>
      <c r="J88" s="619"/>
      <c r="K88" s="321"/>
      <c r="L88" s="619"/>
      <c r="M88" s="305"/>
      <c r="N88" s="305">
        <f t="shared" si="22"/>
        <v>1</v>
      </c>
      <c r="O88" s="322"/>
      <c r="P88" s="408"/>
      <c r="Q88" s="307"/>
      <c r="R88" s="408"/>
      <c r="S88" s="322"/>
      <c r="T88" s="408">
        <f>SUMPRODUCT((Комплекты[Пр]=$F88)*(Комплекты[Обозначение]=$G88)*Комплекты[Кол-во]*(
((Комплекты[Комплект]=$G$81)*T$81)+
((Комплекты[Комплект]=$G$80)*T$80)+
((Комплекты[Комплект]=$G$78)*T$78)+
((Комплекты[Комплект]=$G$77)*T$77)))</f>
        <v>1</v>
      </c>
      <c r="U88" s="307">
        <f>SUMPRODUCT((Комплекты[Пр]=$F88)*(Комплекты[Обозначение]=$G88)*Комплекты[Кол-во]*(
((Комплекты[Комплект]=$G$81)*U$81)+
((Комплекты[Комплект]=$G$80)*U$80)+
((Комплекты[Комплект]=$G$78)*U$78)+
((Комплекты[Комплект]=$G$77)*U$77)))</f>
        <v>1</v>
      </c>
      <c r="V88" s="408"/>
      <c r="W88" s="322"/>
      <c r="X88" s="408"/>
      <c r="Y88" s="307"/>
      <c r="Z88" s="408"/>
      <c r="AA88" s="322"/>
      <c r="AB88" s="408"/>
      <c r="AC88" s="307"/>
      <c r="AD88" s="408"/>
      <c r="AE88" s="322"/>
      <c r="AF88" s="408">
        <f>SUMPRODUCT((Комплекты[Пр]=$F88)*(Комплекты[Обозначение]=$G88)*Комплекты[Кол-во]*(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0</v>
      </c>
      <c r="AG88" s="307">
        <f>SUMPRODUCT((Комплекты[Пр]=$F88)*(Комплекты[Обозначение]=$G88)*Комплекты[Кол-во]*(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0</v>
      </c>
      <c r="AH88" s="408"/>
      <c r="AI88" s="322"/>
      <c r="AJ88" s="408"/>
      <c r="AK88" s="307"/>
      <c r="AL88" s="408"/>
      <c r="AM88" s="322"/>
      <c r="AN88" s="408"/>
      <c r="AO88" s="307"/>
      <c r="AP88" s="408"/>
      <c r="AQ88" s="322"/>
      <c r="AR88" s="408"/>
      <c r="AS88" s="307"/>
      <c r="AT88" s="408"/>
      <c r="AU88" s="322"/>
      <c r="AV88" s="408"/>
      <c r="AW88" s="307"/>
      <c r="AX88" s="408"/>
      <c r="AY88" s="322"/>
      <c r="AZ88" s="408"/>
      <c r="BA88" s="307"/>
      <c r="BB88" s="408"/>
      <c r="BC88" s="322"/>
      <c r="BD88" s="408"/>
      <c r="BE88" s="307"/>
      <c r="BF88" s="408"/>
      <c r="BG88" s="322"/>
      <c r="BH88" s="408"/>
      <c r="BI88" s="307"/>
      <c r="BJ88" s="408"/>
      <c r="BK88" s="340"/>
      <c r="BL88" s="328">
        <f t="shared" si="23"/>
        <v>0</v>
      </c>
      <c r="BM88" s="328">
        <f t="shared" si="24"/>
        <v>0</v>
      </c>
      <c r="BN88" s="324">
        <f t="shared" si="25"/>
        <v>1</v>
      </c>
      <c r="BO88" s="325">
        <f t="shared" si="26"/>
        <v>0</v>
      </c>
      <c r="BP88" s="326">
        <f t="shared" si="27"/>
        <v>1</v>
      </c>
      <c r="BQ88" s="327">
        <f t="shared" si="28"/>
        <v>0</v>
      </c>
      <c r="BR88" s="329"/>
      <c r="BS88" s="329"/>
      <c r="BT88" s="322"/>
      <c r="BU88" s="408"/>
      <c r="BV88" s="307"/>
      <c r="BW88" s="408"/>
      <c r="BX88" s="322"/>
      <c r="BY88" s="408"/>
      <c r="BZ88" s="307"/>
      <c r="CA88" s="408"/>
      <c r="CB88" s="322"/>
      <c r="CC88" s="408"/>
      <c r="CD88" s="307"/>
      <c r="CE88" s="408"/>
      <c r="CF88" s="322"/>
      <c r="CG88" s="408"/>
      <c r="CH88" s="307"/>
      <c r="CI88" s="408"/>
      <c r="CJ88" s="322"/>
      <c r="CK88" s="408"/>
      <c r="CL88" s="307"/>
      <c r="CM88" s="408"/>
      <c r="CN88" s="322"/>
      <c r="CO88" s="408"/>
      <c r="CP88" s="307"/>
      <c r="CQ88" s="408"/>
      <c r="CR88" s="322"/>
      <c r="CS88" s="408"/>
      <c r="CT88" s="307"/>
      <c r="CU88" s="408"/>
      <c r="CV88" s="322"/>
      <c r="CW88" s="408"/>
      <c r="CX88" s="307"/>
      <c r="CY88" s="408"/>
      <c r="CZ88" s="322"/>
      <c r="DA88" s="408"/>
      <c r="DB88" s="307"/>
      <c r="DC88" s="408"/>
      <c r="DD88" s="322"/>
      <c r="DE88" s="408"/>
      <c r="DF88" s="307"/>
      <c r="DG88" s="408"/>
      <c r="DH88" s="322"/>
      <c r="DI88" s="408"/>
      <c r="DJ88" s="307"/>
      <c r="DK88" s="408"/>
      <c r="DL88" s="322"/>
      <c r="DM88" s="408"/>
      <c r="DN88" s="307"/>
      <c r="DO88" s="408"/>
      <c r="DP88" s="340"/>
      <c r="DQ88" s="328"/>
      <c r="DR88" s="328">
        <f t="shared" si="30"/>
        <v>0</v>
      </c>
      <c r="DS88" s="329"/>
      <c r="DT88" s="329"/>
      <c r="DU88" s="322"/>
      <c r="DV88" s="408"/>
      <c r="DW88" s="307"/>
      <c r="DX88" s="408"/>
      <c r="DY88" s="322"/>
      <c r="DZ88" s="408"/>
      <c r="EA88" s="307"/>
      <c r="EB88" s="408"/>
      <c r="EC88" s="322"/>
      <c r="ED88" s="408"/>
      <c r="EE88" s="307"/>
      <c r="EF88" s="408"/>
      <c r="EG88" s="322"/>
      <c r="EH88" s="408"/>
      <c r="EI88" s="307"/>
      <c r="EJ88" s="408"/>
      <c r="EK88" s="322"/>
      <c r="EL88" s="408"/>
      <c r="EM88" s="307"/>
      <c r="EN88" s="408"/>
      <c r="EO88" s="322"/>
      <c r="EP88" s="408"/>
      <c r="EQ88" s="307"/>
      <c r="ER88" s="408"/>
      <c r="ES88" s="322"/>
      <c r="ET88" s="408"/>
      <c r="EU88" s="307"/>
      <c r="EV88" s="408"/>
      <c r="EW88" s="322"/>
      <c r="EX88" s="408"/>
      <c r="EY88" s="307"/>
      <c r="EZ88" s="408"/>
      <c r="FA88" s="322"/>
      <c r="FB88" s="408"/>
      <c r="FC88" s="307"/>
      <c r="FD88" s="408"/>
      <c r="FE88" s="322"/>
      <c r="FF88" s="408"/>
      <c r="FG88" s="307"/>
      <c r="FH88" s="408"/>
      <c r="FI88" s="322"/>
      <c r="FJ88" s="408"/>
      <c r="FK88" s="307"/>
      <c r="FL88" s="408"/>
      <c r="FM88" s="322"/>
      <c r="FN88" s="408"/>
      <c r="FO88" s="307"/>
      <c r="FP88" s="408"/>
      <c r="FQ88" s="340"/>
      <c r="FR88" s="328"/>
      <c r="FS88" s="328">
        <f t="shared" si="32"/>
        <v>0</v>
      </c>
      <c r="FT88" s="360"/>
    </row>
    <row r="89" spans="1:176" s="14" customFormat="1" outlineLevel="2">
      <c r="A89" s="418" t="s">
        <v>480</v>
      </c>
      <c r="B89" s="387" t="s">
        <v>44</v>
      </c>
      <c r="C89" s="541" t="s">
        <v>72</v>
      </c>
      <c r="D89" s="565" t="s">
        <v>32</v>
      </c>
      <c r="E89" s="412">
        <f>IF(ISBLANK(G89),"",IF($A$6:$A$330=$A89,COUNTIF($A$6:A89,$A89),""))</f>
        <v>22</v>
      </c>
      <c r="F89" s="669">
        <v>2</v>
      </c>
      <c r="G89" s="124">
        <v>4497230300</v>
      </c>
      <c r="H89" s="604" t="s">
        <v>108</v>
      </c>
      <c r="I89" s="618">
        <v>0</v>
      </c>
      <c r="J89" s="618"/>
      <c r="K89" s="126"/>
      <c r="L89" s="618" t="str">
        <f>IF(K89="RUB",J89/ЮАНЬ,IF(K89="EUR",J89*ЕВРО/ЮАНЬ,""))</f>
        <v/>
      </c>
      <c r="M89" s="102"/>
      <c r="N89" s="305">
        <f t="shared" si="22"/>
        <v>1</v>
      </c>
      <c r="O89" s="23"/>
      <c r="P89" s="24"/>
      <c r="Q89" s="25"/>
      <c r="R89" s="24"/>
      <c r="S89" s="23"/>
      <c r="T89" s="24">
        <f>SUMPRODUCT((Комплекты[Пр]=$F89)*(Комплекты[Обозначение]=$G89)*Комплекты[Кол-во]*(
((Комплекты[Комплект]=$G$81)*T$81)+
((Комплекты[Комплект]=$G$80)*T$80)+
((Комплекты[Комплект]=$G$78)*T$78)+
((Комплекты[Комплект]=$G$77)*T$77)))</f>
        <v>2</v>
      </c>
      <c r="U89" s="25">
        <f>SUMPRODUCT((Комплекты[Пр]=$F89)*(Комплекты[Обозначение]=$G89)*Комплекты[Кол-во]*(
((Комплекты[Комплект]=$G$81)*U$81)+
((Комплекты[Комплект]=$G$80)*U$80)+
((Комплекты[Комплект]=$G$78)*U$78)+
((Комплекты[Комплект]=$G$77)*U$77)))</f>
        <v>2</v>
      </c>
      <c r="V89" s="24"/>
      <c r="W89" s="23"/>
      <c r="X89" s="24"/>
      <c r="Y89" s="25"/>
      <c r="Z89" s="24"/>
      <c r="AA89" s="23"/>
      <c r="AB89" s="24"/>
      <c r="AC89" s="25"/>
      <c r="AD89" s="24"/>
      <c r="AE89" s="23"/>
      <c r="AF89" s="24">
        <f>SUMPRODUCT((Комплекты[Пр]=$F89)*(Комплекты[Обозначение]=$G89)*Комплекты[Кол-во]*(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4</v>
      </c>
      <c r="AG89" s="25">
        <f>SUMPRODUCT((Комплекты[Пр]=$F89)*(Комплекты[Обозначение]=$G89)*Комплекты[Кол-во]*(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4</v>
      </c>
      <c r="AH89" s="24"/>
      <c r="AI89" s="23"/>
      <c r="AJ89" s="24"/>
      <c r="AK89" s="25"/>
      <c r="AL89" s="24"/>
      <c r="AM89" s="23"/>
      <c r="AN89" s="24"/>
      <c r="AO89" s="25"/>
      <c r="AP89" s="24"/>
      <c r="AQ89" s="23"/>
      <c r="AR89" s="24"/>
      <c r="AS89" s="25"/>
      <c r="AT89" s="24"/>
      <c r="AU89" s="23"/>
      <c r="AV89" s="24"/>
      <c r="AW89" s="25"/>
      <c r="AX89" s="24"/>
      <c r="AY89" s="23"/>
      <c r="AZ89" s="24"/>
      <c r="BA89" s="25"/>
      <c r="BB89" s="24"/>
      <c r="BC89" s="23"/>
      <c r="BD89" s="24"/>
      <c r="BE89" s="25"/>
      <c r="BF89" s="24"/>
      <c r="BG89" s="23"/>
      <c r="BH89" s="24"/>
      <c r="BI89" s="25"/>
      <c r="BJ89" s="24"/>
      <c r="BK89" s="340"/>
      <c r="BL89" s="32">
        <f t="shared" si="23"/>
        <v>0</v>
      </c>
      <c r="BM89" s="32">
        <f t="shared" si="24"/>
        <v>0</v>
      </c>
      <c r="BN89" s="28">
        <f t="shared" si="25"/>
        <v>6</v>
      </c>
      <c r="BO89" s="29">
        <f t="shared" si="26"/>
        <v>0</v>
      </c>
      <c r="BP89" s="30">
        <f t="shared" si="27"/>
        <v>6</v>
      </c>
      <c r="BQ89" s="31">
        <f t="shared" si="28"/>
        <v>0</v>
      </c>
      <c r="BR89" s="11"/>
      <c r="BS89" s="329"/>
      <c r="BT89" s="23"/>
      <c r="BU89" s="24"/>
      <c r="BV89" s="25"/>
      <c r="BW89" s="24"/>
      <c r="BX89" s="23"/>
      <c r="BY89" s="24"/>
      <c r="BZ89" s="25"/>
      <c r="CA89" s="24"/>
      <c r="CB89" s="23"/>
      <c r="CC89" s="24"/>
      <c r="CD89" s="25"/>
      <c r="CE89" s="24"/>
      <c r="CF89" s="23"/>
      <c r="CG89" s="24"/>
      <c r="CH89" s="25"/>
      <c r="CI89" s="24"/>
      <c r="CJ89" s="23"/>
      <c r="CK89" s="24"/>
      <c r="CL89" s="25"/>
      <c r="CM89" s="24"/>
      <c r="CN89" s="23"/>
      <c r="CO89" s="24"/>
      <c r="CP89" s="25"/>
      <c r="CQ89" s="24"/>
      <c r="CR89" s="23"/>
      <c r="CS89" s="24"/>
      <c r="CT89" s="25"/>
      <c r="CU89" s="24"/>
      <c r="CV89" s="23"/>
      <c r="CW89" s="24"/>
      <c r="CX89" s="25"/>
      <c r="CY89" s="24"/>
      <c r="CZ89" s="23"/>
      <c r="DA89" s="24"/>
      <c r="DB89" s="25"/>
      <c r="DC89" s="24"/>
      <c r="DD89" s="23"/>
      <c r="DE89" s="24"/>
      <c r="DF89" s="25"/>
      <c r="DG89" s="24"/>
      <c r="DH89" s="23"/>
      <c r="DI89" s="24"/>
      <c r="DJ89" s="25"/>
      <c r="DK89" s="24"/>
      <c r="DL89" s="23"/>
      <c r="DM89" s="24"/>
      <c r="DN89" s="25"/>
      <c r="DO89" s="24"/>
      <c r="DP89" s="340"/>
      <c r="DQ89" s="32">
        <f t="shared" ref="DQ89:DQ95" si="33">SUMPRODUCT(--(MOD(COLUMN(BT89:CQ89),4)=MOD(COLUMN(BT89),4)),BT89:CQ89)+SUMPRODUCT(--(MOD(COLUMN(CR89:DO89),4)=MOD(COLUMN(CR89),4)),CR89:DO89)</f>
        <v>0</v>
      </c>
      <c r="DR89" s="32">
        <f t="shared" si="30"/>
        <v>0</v>
      </c>
      <c r="DS89" s="11"/>
      <c r="DT89" s="329"/>
      <c r="DU89" s="23"/>
      <c r="DV89" s="24"/>
      <c r="DW89" s="25"/>
      <c r="DX89" s="24"/>
      <c r="DY89" s="23"/>
      <c r="DZ89" s="24"/>
      <c r="EA89" s="25"/>
      <c r="EB89" s="24"/>
      <c r="EC89" s="23"/>
      <c r="ED89" s="24"/>
      <c r="EE89" s="25"/>
      <c r="EF89" s="24"/>
      <c r="EG89" s="23"/>
      <c r="EH89" s="24"/>
      <c r="EI89" s="25"/>
      <c r="EJ89" s="24"/>
      <c r="EK89" s="23"/>
      <c r="EL89" s="24"/>
      <c r="EM89" s="25"/>
      <c r="EN89" s="24"/>
      <c r="EO89" s="23"/>
      <c r="EP89" s="24"/>
      <c r="EQ89" s="25"/>
      <c r="ER89" s="24"/>
      <c r="ES89" s="23"/>
      <c r="ET89" s="24"/>
      <c r="EU89" s="25"/>
      <c r="EV89" s="24"/>
      <c r="EW89" s="23"/>
      <c r="EX89" s="24"/>
      <c r="EY89" s="25"/>
      <c r="EZ89" s="24"/>
      <c r="FA89" s="23"/>
      <c r="FB89" s="24"/>
      <c r="FC89" s="25"/>
      <c r="FD89" s="24"/>
      <c r="FE89" s="23"/>
      <c r="FF89" s="24"/>
      <c r="FG89" s="25"/>
      <c r="FH89" s="24"/>
      <c r="FI89" s="23"/>
      <c r="FJ89" s="24"/>
      <c r="FK89" s="25"/>
      <c r="FL89" s="24"/>
      <c r="FM89" s="23"/>
      <c r="FN89" s="24"/>
      <c r="FO89" s="25"/>
      <c r="FP89" s="24"/>
      <c r="FQ89" s="340"/>
      <c r="FR89" s="32">
        <f t="shared" ref="FR89:FR95" si="34">SUMPRODUCT(--(MOD(COLUMN(DU89:ER89),4)=MOD(COLUMN(DU89),4)),DU89:ER89)+SUMPRODUCT(--(MOD(COLUMN(ES89:FP89),4)=MOD(COLUMN(ES89),4)),ES89:FP89)</f>
        <v>0</v>
      </c>
      <c r="FS89" s="32">
        <f t="shared" si="32"/>
        <v>0</v>
      </c>
      <c r="FT89" s="360"/>
    </row>
    <row r="90" spans="1:176" s="14" customFormat="1" outlineLevel="2">
      <c r="A90" s="420" t="s">
        <v>480</v>
      </c>
      <c r="B90" s="444" t="s">
        <v>44</v>
      </c>
      <c r="C90" s="587" t="s">
        <v>72</v>
      </c>
      <c r="D90" s="580" t="s">
        <v>32</v>
      </c>
      <c r="E90" s="414">
        <f>IF(ISBLANK(G90),"",IF($A$6:$A$330=$A90,COUNTIF($A$6:A90,$A90),""))</f>
        <v>23</v>
      </c>
      <c r="F90" s="670">
        <v>2</v>
      </c>
      <c r="G90" s="319">
        <v>4410441020</v>
      </c>
      <c r="H90" s="603" t="s">
        <v>121</v>
      </c>
      <c r="I90" s="619">
        <v>0</v>
      </c>
      <c r="J90" s="619"/>
      <c r="K90" s="321"/>
      <c r="L90" s="619"/>
      <c r="M90" s="305"/>
      <c r="N90" s="305">
        <f t="shared" si="22"/>
        <v>1</v>
      </c>
      <c r="O90" s="322"/>
      <c r="P90" s="408"/>
      <c r="Q90" s="307"/>
      <c r="R90" s="408"/>
      <c r="S90" s="322"/>
      <c r="T90" s="408">
        <f>SUMPRODUCT((Комплекты[Пр]=$F90)*(Комплекты[Обозначение]=$G90)*Комплекты[Кол-во]*(
((Комплекты[Комплект]=$G$81)*T$81)+
((Комплекты[Комплект]=$G$80)*T$80)+
((Комплекты[Комплект]=$G$78)*T$78)+
((Комплекты[Комплект]=$G$77)*T$77)))</f>
        <v>1</v>
      </c>
      <c r="U90" s="307">
        <f>SUMPRODUCT((Комплекты[Пр]=$F90)*(Комплекты[Обозначение]=$G90)*Комплекты[Кол-во]*(
((Комплекты[Комплект]=$G$81)*U$81)+
((Комплекты[Комплект]=$G$80)*U$80)+
((Комплекты[Комплект]=$G$78)*U$78)+
((Комплекты[Комплект]=$G$77)*U$77)))</f>
        <v>1</v>
      </c>
      <c r="V90" s="408"/>
      <c r="W90" s="322"/>
      <c r="X90" s="408"/>
      <c r="Y90" s="307"/>
      <c r="Z90" s="408"/>
      <c r="AA90" s="322"/>
      <c r="AB90" s="408"/>
      <c r="AC90" s="307"/>
      <c r="AD90" s="408"/>
      <c r="AE90" s="322"/>
      <c r="AF90" s="408">
        <f>SUMPRODUCT((Комплекты[Пр]=$F90)*(Комплекты[Обозначение]=$G90)*Комплекты[Кол-во]*(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0</v>
      </c>
      <c r="AG90" s="307">
        <f>SUMPRODUCT((Комплекты[Пр]=$F90)*(Комплекты[Обозначение]=$G90)*Комплекты[Кол-во]*(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0</v>
      </c>
      <c r="AH90" s="408"/>
      <c r="AI90" s="322"/>
      <c r="AJ90" s="408"/>
      <c r="AK90" s="307"/>
      <c r="AL90" s="408"/>
      <c r="AM90" s="322"/>
      <c r="AN90" s="408"/>
      <c r="AO90" s="307"/>
      <c r="AP90" s="408"/>
      <c r="AQ90" s="322"/>
      <c r="AR90" s="408"/>
      <c r="AS90" s="307"/>
      <c r="AT90" s="408"/>
      <c r="AU90" s="322"/>
      <c r="AV90" s="408"/>
      <c r="AW90" s="307"/>
      <c r="AX90" s="408"/>
      <c r="AY90" s="322"/>
      <c r="AZ90" s="408"/>
      <c r="BA90" s="307"/>
      <c r="BB90" s="408"/>
      <c r="BC90" s="322"/>
      <c r="BD90" s="408"/>
      <c r="BE90" s="307"/>
      <c r="BF90" s="408"/>
      <c r="BG90" s="322"/>
      <c r="BH90" s="408"/>
      <c r="BI90" s="307"/>
      <c r="BJ90" s="408"/>
      <c r="BK90" s="340"/>
      <c r="BL90" s="328">
        <f t="shared" si="23"/>
        <v>0</v>
      </c>
      <c r="BM90" s="328">
        <f t="shared" si="24"/>
        <v>0</v>
      </c>
      <c r="BN90" s="324">
        <f t="shared" si="25"/>
        <v>1</v>
      </c>
      <c r="BO90" s="325">
        <f t="shared" si="26"/>
        <v>0</v>
      </c>
      <c r="BP90" s="326">
        <f t="shared" si="27"/>
        <v>1</v>
      </c>
      <c r="BQ90" s="327">
        <f t="shared" si="28"/>
        <v>0</v>
      </c>
      <c r="BR90" s="329"/>
      <c r="BS90" s="329"/>
      <c r="BT90" s="322"/>
      <c r="BU90" s="408"/>
      <c r="BV90" s="307"/>
      <c r="BW90" s="408"/>
      <c r="BX90" s="322"/>
      <c r="BY90" s="408"/>
      <c r="BZ90" s="307"/>
      <c r="CA90" s="408"/>
      <c r="CB90" s="322"/>
      <c r="CC90" s="408"/>
      <c r="CD90" s="307"/>
      <c r="CE90" s="408"/>
      <c r="CF90" s="322"/>
      <c r="CG90" s="408"/>
      <c r="CH90" s="307"/>
      <c r="CI90" s="408"/>
      <c r="CJ90" s="322"/>
      <c r="CK90" s="408"/>
      <c r="CL90" s="307"/>
      <c r="CM90" s="408"/>
      <c r="CN90" s="322"/>
      <c r="CO90" s="408"/>
      <c r="CP90" s="307"/>
      <c r="CQ90" s="408"/>
      <c r="CR90" s="322"/>
      <c r="CS90" s="408"/>
      <c r="CT90" s="307"/>
      <c r="CU90" s="408"/>
      <c r="CV90" s="322"/>
      <c r="CW90" s="408"/>
      <c r="CX90" s="307"/>
      <c r="CY90" s="408"/>
      <c r="CZ90" s="322"/>
      <c r="DA90" s="408"/>
      <c r="DB90" s="307"/>
      <c r="DC90" s="408"/>
      <c r="DD90" s="322"/>
      <c r="DE90" s="408"/>
      <c r="DF90" s="307"/>
      <c r="DG90" s="408"/>
      <c r="DH90" s="322"/>
      <c r="DI90" s="408"/>
      <c r="DJ90" s="307"/>
      <c r="DK90" s="408"/>
      <c r="DL90" s="322"/>
      <c r="DM90" s="408"/>
      <c r="DN90" s="307"/>
      <c r="DO90" s="408"/>
      <c r="DP90" s="340"/>
      <c r="DQ90" s="328">
        <f t="shared" si="33"/>
        <v>0</v>
      </c>
      <c r="DR90" s="328">
        <f t="shared" si="30"/>
        <v>0</v>
      </c>
      <c r="DS90" s="329"/>
      <c r="DT90" s="329"/>
      <c r="DU90" s="322"/>
      <c r="DV90" s="408"/>
      <c r="DW90" s="307"/>
      <c r="DX90" s="408"/>
      <c r="DY90" s="322"/>
      <c r="DZ90" s="408"/>
      <c r="EA90" s="307"/>
      <c r="EB90" s="408"/>
      <c r="EC90" s="322"/>
      <c r="ED90" s="408"/>
      <c r="EE90" s="307"/>
      <c r="EF90" s="408"/>
      <c r="EG90" s="322"/>
      <c r="EH90" s="408"/>
      <c r="EI90" s="307"/>
      <c r="EJ90" s="408"/>
      <c r="EK90" s="322"/>
      <c r="EL90" s="408"/>
      <c r="EM90" s="307"/>
      <c r="EN90" s="408"/>
      <c r="EO90" s="322"/>
      <c r="EP90" s="408"/>
      <c r="EQ90" s="307"/>
      <c r="ER90" s="408"/>
      <c r="ES90" s="322"/>
      <c r="ET90" s="408"/>
      <c r="EU90" s="307"/>
      <c r="EV90" s="408"/>
      <c r="EW90" s="322"/>
      <c r="EX90" s="408"/>
      <c r="EY90" s="307"/>
      <c r="EZ90" s="408"/>
      <c r="FA90" s="322"/>
      <c r="FB90" s="408"/>
      <c r="FC90" s="307"/>
      <c r="FD90" s="408"/>
      <c r="FE90" s="322"/>
      <c r="FF90" s="408"/>
      <c r="FG90" s="307"/>
      <c r="FH90" s="408"/>
      <c r="FI90" s="322"/>
      <c r="FJ90" s="408"/>
      <c r="FK90" s="307"/>
      <c r="FL90" s="408"/>
      <c r="FM90" s="322"/>
      <c r="FN90" s="408"/>
      <c r="FO90" s="307"/>
      <c r="FP90" s="408"/>
      <c r="FQ90" s="340"/>
      <c r="FR90" s="328">
        <f t="shared" si="34"/>
        <v>0</v>
      </c>
      <c r="FS90" s="328">
        <f t="shared" si="32"/>
        <v>0</v>
      </c>
      <c r="FT90" s="360"/>
    </row>
    <row r="91" spans="1:176" s="14" customFormat="1" outlineLevel="2">
      <c r="A91" s="420" t="s">
        <v>480</v>
      </c>
      <c r="B91" s="444" t="s">
        <v>44</v>
      </c>
      <c r="C91" s="587" t="s">
        <v>72</v>
      </c>
      <c r="D91" s="580" t="s">
        <v>32</v>
      </c>
      <c r="E91" s="414">
        <f>IF(ISBLANK(G91),"",IF($A$6:$A$330=$A91,COUNTIF($A$6:A91,$A91),""))</f>
        <v>24</v>
      </c>
      <c r="F91" s="670">
        <v>2</v>
      </c>
      <c r="G91" s="319">
        <v>4461220530</v>
      </c>
      <c r="H91" s="603" t="s">
        <v>114</v>
      </c>
      <c r="I91" s="619">
        <v>0</v>
      </c>
      <c r="J91" s="619"/>
      <c r="K91" s="321"/>
      <c r="L91" s="619"/>
      <c r="M91" s="305"/>
      <c r="N91" s="305">
        <f t="shared" si="22"/>
        <v>1</v>
      </c>
      <c r="O91" s="322"/>
      <c r="P91" s="408"/>
      <c r="Q91" s="307"/>
      <c r="R91" s="408"/>
      <c r="S91" s="322"/>
      <c r="T91" s="408">
        <f>SUMPRODUCT((Комплекты[Пр]=$F91)*(Комплекты[Обозначение]=$G91)*Комплекты[Кол-во]*(
((Комплекты[Комплект]=$G$81)*T$81)+
((Комплекты[Комплект]=$G$80)*T$80)+
((Комплекты[Комплект]=$G$78)*T$78)+
((Комплекты[Комплект]=$G$77)*T$77)))</f>
        <v>1</v>
      </c>
      <c r="U91" s="307">
        <f>SUMPRODUCT((Комплекты[Пр]=$F91)*(Комплекты[Обозначение]=$G91)*Комплекты[Кол-во]*(
((Комплекты[Комплект]=$G$81)*U$81)+
((Комплекты[Комплект]=$G$80)*U$80)+
((Комплекты[Комплект]=$G$78)*U$78)+
((Комплекты[Комплект]=$G$77)*U$77)))</f>
        <v>1</v>
      </c>
      <c r="V91" s="408"/>
      <c r="W91" s="322"/>
      <c r="X91" s="408"/>
      <c r="Y91" s="307"/>
      <c r="Z91" s="408"/>
      <c r="AA91" s="322"/>
      <c r="AB91" s="408"/>
      <c r="AC91" s="307"/>
      <c r="AD91" s="408"/>
      <c r="AE91" s="322"/>
      <c r="AF91" s="408">
        <f>SUMPRODUCT((Комплекты[Пр]=$F91)*(Комплекты[Обозначение]=$G91)*Комплекты[Кол-во]*(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0</v>
      </c>
      <c r="AG91" s="307">
        <f>SUMPRODUCT((Комплекты[Пр]=$F91)*(Комплекты[Обозначение]=$G91)*Комплекты[Кол-во]*(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0</v>
      </c>
      <c r="AH91" s="408"/>
      <c r="AI91" s="322"/>
      <c r="AJ91" s="408"/>
      <c r="AK91" s="307"/>
      <c r="AL91" s="408"/>
      <c r="AM91" s="322"/>
      <c r="AN91" s="408"/>
      <c r="AO91" s="307"/>
      <c r="AP91" s="408"/>
      <c r="AQ91" s="322"/>
      <c r="AR91" s="408"/>
      <c r="AS91" s="307"/>
      <c r="AT91" s="408"/>
      <c r="AU91" s="322"/>
      <c r="AV91" s="408"/>
      <c r="AW91" s="307"/>
      <c r="AX91" s="408"/>
      <c r="AY91" s="322"/>
      <c r="AZ91" s="408"/>
      <c r="BA91" s="307"/>
      <c r="BB91" s="408"/>
      <c r="BC91" s="322"/>
      <c r="BD91" s="408"/>
      <c r="BE91" s="307"/>
      <c r="BF91" s="408"/>
      <c r="BG91" s="322"/>
      <c r="BH91" s="408"/>
      <c r="BI91" s="307"/>
      <c r="BJ91" s="408"/>
      <c r="BK91" s="340"/>
      <c r="BL91" s="328">
        <f t="shared" si="23"/>
        <v>0</v>
      </c>
      <c r="BM91" s="328">
        <f t="shared" si="24"/>
        <v>0</v>
      </c>
      <c r="BN91" s="324">
        <f t="shared" si="25"/>
        <v>1</v>
      </c>
      <c r="BO91" s="325">
        <f t="shared" si="26"/>
        <v>0</v>
      </c>
      <c r="BP91" s="326">
        <f t="shared" si="27"/>
        <v>1</v>
      </c>
      <c r="BQ91" s="327">
        <f t="shared" si="28"/>
        <v>0</v>
      </c>
      <c r="BR91" s="329"/>
      <c r="BS91" s="329"/>
      <c r="BT91" s="322"/>
      <c r="BU91" s="408"/>
      <c r="BV91" s="307"/>
      <c r="BW91" s="408"/>
      <c r="BX91" s="322"/>
      <c r="BY91" s="408"/>
      <c r="BZ91" s="307"/>
      <c r="CA91" s="408"/>
      <c r="CB91" s="322"/>
      <c r="CC91" s="408"/>
      <c r="CD91" s="307"/>
      <c r="CE91" s="408"/>
      <c r="CF91" s="322"/>
      <c r="CG91" s="408"/>
      <c r="CH91" s="307"/>
      <c r="CI91" s="408"/>
      <c r="CJ91" s="322"/>
      <c r="CK91" s="408"/>
      <c r="CL91" s="307"/>
      <c r="CM91" s="408"/>
      <c r="CN91" s="322"/>
      <c r="CO91" s="408"/>
      <c r="CP91" s="307"/>
      <c r="CQ91" s="408"/>
      <c r="CR91" s="322"/>
      <c r="CS91" s="408"/>
      <c r="CT91" s="307"/>
      <c r="CU91" s="408"/>
      <c r="CV91" s="322"/>
      <c r="CW91" s="408"/>
      <c r="CX91" s="307"/>
      <c r="CY91" s="408"/>
      <c r="CZ91" s="322"/>
      <c r="DA91" s="408"/>
      <c r="DB91" s="307"/>
      <c r="DC91" s="408"/>
      <c r="DD91" s="322"/>
      <c r="DE91" s="408"/>
      <c r="DF91" s="307"/>
      <c r="DG91" s="408"/>
      <c r="DH91" s="322"/>
      <c r="DI91" s="408"/>
      <c r="DJ91" s="307"/>
      <c r="DK91" s="408"/>
      <c r="DL91" s="322"/>
      <c r="DM91" s="408"/>
      <c r="DN91" s="307"/>
      <c r="DO91" s="408"/>
      <c r="DP91" s="340"/>
      <c r="DQ91" s="328">
        <f t="shared" si="33"/>
        <v>0</v>
      </c>
      <c r="DR91" s="328">
        <f t="shared" si="30"/>
        <v>0</v>
      </c>
      <c r="DS91" s="329"/>
      <c r="DT91" s="329"/>
      <c r="DU91" s="322"/>
      <c r="DV91" s="408"/>
      <c r="DW91" s="307"/>
      <c r="DX91" s="408"/>
      <c r="DY91" s="322"/>
      <c r="DZ91" s="408"/>
      <c r="EA91" s="307"/>
      <c r="EB91" s="408"/>
      <c r="EC91" s="322"/>
      <c r="ED91" s="408"/>
      <c r="EE91" s="307"/>
      <c r="EF91" s="408"/>
      <c r="EG91" s="322"/>
      <c r="EH91" s="408"/>
      <c r="EI91" s="307"/>
      <c r="EJ91" s="408"/>
      <c r="EK91" s="322"/>
      <c r="EL91" s="408"/>
      <c r="EM91" s="307"/>
      <c r="EN91" s="408"/>
      <c r="EO91" s="322"/>
      <c r="EP91" s="408"/>
      <c r="EQ91" s="307"/>
      <c r="ER91" s="408"/>
      <c r="ES91" s="322"/>
      <c r="ET91" s="408"/>
      <c r="EU91" s="307"/>
      <c r="EV91" s="408"/>
      <c r="EW91" s="322"/>
      <c r="EX91" s="408"/>
      <c r="EY91" s="307"/>
      <c r="EZ91" s="408"/>
      <c r="FA91" s="322"/>
      <c r="FB91" s="408"/>
      <c r="FC91" s="307"/>
      <c r="FD91" s="408"/>
      <c r="FE91" s="322"/>
      <c r="FF91" s="408"/>
      <c r="FG91" s="307"/>
      <c r="FH91" s="408"/>
      <c r="FI91" s="322"/>
      <c r="FJ91" s="408"/>
      <c r="FK91" s="307"/>
      <c r="FL91" s="408"/>
      <c r="FM91" s="322"/>
      <c r="FN91" s="408"/>
      <c r="FO91" s="307"/>
      <c r="FP91" s="408"/>
      <c r="FQ91" s="340"/>
      <c r="FR91" s="328">
        <f t="shared" si="34"/>
        <v>0</v>
      </c>
      <c r="FS91" s="328">
        <f t="shared" si="32"/>
        <v>0</v>
      </c>
      <c r="FT91" s="360"/>
    </row>
    <row r="92" spans="1:176" s="14" customFormat="1" outlineLevel="2">
      <c r="A92" s="420" t="s">
        <v>480</v>
      </c>
      <c r="B92" s="444" t="s">
        <v>44</v>
      </c>
      <c r="C92" s="587" t="s">
        <v>72</v>
      </c>
      <c r="D92" s="580" t="s">
        <v>32</v>
      </c>
      <c r="E92" s="414">
        <f>IF(ISBLANK(G92),"",IF($A$6:$A$330=$A92,COUNTIF($A$6:A92,$A92),""))</f>
        <v>25</v>
      </c>
      <c r="F92" s="670">
        <v>2</v>
      </c>
      <c r="G92" s="319">
        <v>4491350600</v>
      </c>
      <c r="H92" s="603" t="s">
        <v>125</v>
      </c>
      <c r="I92" s="619">
        <v>0</v>
      </c>
      <c r="J92" s="619"/>
      <c r="K92" s="321"/>
      <c r="L92" s="619"/>
      <c r="M92" s="305"/>
      <c r="N92" s="305">
        <f t="shared" si="22"/>
        <v>1</v>
      </c>
      <c r="O92" s="322"/>
      <c r="P92" s="408"/>
      <c r="Q92" s="307"/>
      <c r="R92" s="408"/>
      <c r="S92" s="322"/>
      <c r="T92" s="408">
        <f>SUMPRODUCT((Комплекты[Пр]=$F92)*(Комплекты[Обозначение]=$G92)*Комплекты[Кол-во]*(
((Комплекты[Комплект]=$G$81)*T$81)+
((Комплекты[Комплект]=$G$80)*T$80)+
((Комплекты[Комплект]=$G$78)*T$78)+
((Комплекты[Комплект]=$G$77)*T$77)))</f>
        <v>1</v>
      </c>
      <c r="U92" s="307">
        <f>SUMPRODUCT((Комплекты[Пр]=$F92)*(Комплекты[Обозначение]=$G92)*Комплекты[Кол-во]*(
((Комплекты[Комплект]=$G$81)*U$81)+
((Комплекты[Комплект]=$G$80)*U$80)+
((Комплекты[Комплект]=$G$78)*U$78)+
((Комплекты[Комплект]=$G$77)*U$77)))</f>
        <v>1</v>
      </c>
      <c r="V92" s="408"/>
      <c r="W92" s="322"/>
      <c r="X92" s="408"/>
      <c r="Y92" s="307"/>
      <c r="Z92" s="408"/>
      <c r="AA92" s="322"/>
      <c r="AB92" s="408"/>
      <c r="AC92" s="307"/>
      <c r="AD92" s="408"/>
      <c r="AE92" s="322"/>
      <c r="AF92" s="408">
        <f>SUMPRODUCT((Комплекты[Пр]=$F92)*(Комплекты[Обозначение]=$G92)*Комплекты[Кол-во]*(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0</v>
      </c>
      <c r="AG92" s="307">
        <f>SUMPRODUCT((Комплекты[Пр]=$F92)*(Комплекты[Обозначение]=$G92)*Комплекты[Кол-во]*(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0</v>
      </c>
      <c r="AH92" s="408"/>
      <c r="AI92" s="322"/>
      <c r="AJ92" s="408"/>
      <c r="AK92" s="307"/>
      <c r="AL92" s="408"/>
      <c r="AM92" s="322"/>
      <c r="AN92" s="408"/>
      <c r="AO92" s="307"/>
      <c r="AP92" s="408"/>
      <c r="AQ92" s="322"/>
      <c r="AR92" s="408"/>
      <c r="AS92" s="307"/>
      <c r="AT92" s="408"/>
      <c r="AU92" s="322"/>
      <c r="AV92" s="408"/>
      <c r="AW92" s="307"/>
      <c r="AX92" s="408"/>
      <c r="AY92" s="322"/>
      <c r="AZ92" s="408"/>
      <c r="BA92" s="307"/>
      <c r="BB92" s="408"/>
      <c r="BC92" s="322"/>
      <c r="BD92" s="408"/>
      <c r="BE92" s="307"/>
      <c r="BF92" s="408"/>
      <c r="BG92" s="322"/>
      <c r="BH92" s="408"/>
      <c r="BI92" s="307"/>
      <c r="BJ92" s="408"/>
      <c r="BK92" s="340"/>
      <c r="BL92" s="328">
        <f t="shared" si="23"/>
        <v>0</v>
      </c>
      <c r="BM92" s="328">
        <f t="shared" si="24"/>
        <v>0</v>
      </c>
      <c r="BN92" s="324">
        <f t="shared" si="25"/>
        <v>1</v>
      </c>
      <c r="BO92" s="325">
        <f t="shared" si="26"/>
        <v>0</v>
      </c>
      <c r="BP92" s="326">
        <f t="shared" si="27"/>
        <v>1</v>
      </c>
      <c r="BQ92" s="327">
        <f t="shared" si="28"/>
        <v>0</v>
      </c>
      <c r="BR92" s="329"/>
      <c r="BS92" s="329"/>
      <c r="BT92" s="322"/>
      <c r="BU92" s="408"/>
      <c r="BV92" s="307"/>
      <c r="BW92" s="408"/>
      <c r="BX92" s="322"/>
      <c r="BY92" s="408"/>
      <c r="BZ92" s="307"/>
      <c r="CA92" s="408"/>
      <c r="CB92" s="322"/>
      <c r="CC92" s="408"/>
      <c r="CD92" s="307"/>
      <c r="CE92" s="408"/>
      <c r="CF92" s="322"/>
      <c r="CG92" s="408"/>
      <c r="CH92" s="307"/>
      <c r="CI92" s="408"/>
      <c r="CJ92" s="322"/>
      <c r="CK92" s="408"/>
      <c r="CL92" s="307"/>
      <c r="CM92" s="408"/>
      <c r="CN92" s="322"/>
      <c r="CO92" s="408"/>
      <c r="CP92" s="307"/>
      <c r="CQ92" s="408"/>
      <c r="CR92" s="322"/>
      <c r="CS92" s="408"/>
      <c r="CT92" s="307"/>
      <c r="CU92" s="408"/>
      <c r="CV92" s="322"/>
      <c r="CW92" s="408"/>
      <c r="CX92" s="307"/>
      <c r="CY92" s="408"/>
      <c r="CZ92" s="322"/>
      <c r="DA92" s="408"/>
      <c r="DB92" s="307"/>
      <c r="DC92" s="408"/>
      <c r="DD92" s="322"/>
      <c r="DE92" s="408"/>
      <c r="DF92" s="307"/>
      <c r="DG92" s="408"/>
      <c r="DH92" s="322"/>
      <c r="DI92" s="408"/>
      <c r="DJ92" s="307"/>
      <c r="DK92" s="408"/>
      <c r="DL92" s="322"/>
      <c r="DM92" s="408"/>
      <c r="DN92" s="307"/>
      <c r="DO92" s="408"/>
      <c r="DP92" s="340"/>
      <c r="DQ92" s="328">
        <f t="shared" si="33"/>
        <v>0</v>
      </c>
      <c r="DR92" s="328">
        <f t="shared" si="30"/>
        <v>0</v>
      </c>
      <c r="DS92" s="329"/>
      <c r="DT92" s="329"/>
      <c r="DU92" s="322"/>
      <c r="DV92" s="408"/>
      <c r="DW92" s="307"/>
      <c r="DX92" s="408"/>
      <c r="DY92" s="322"/>
      <c r="DZ92" s="408"/>
      <c r="EA92" s="307"/>
      <c r="EB92" s="408"/>
      <c r="EC92" s="322"/>
      <c r="ED92" s="408"/>
      <c r="EE92" s="307"/>
      <c r="EF92" s="408"/>
      <c r="EG92" s="322"/>
      <c r="EH92" s="408"/>
      <c r="EI92" s="307"/>
      <c r="EJ92" s="408"/>
      <c r="EK92" s="322"/>
      <c r="EL92" s="408"/>
      <c r="EM92" s="307"/>
      <c r="EN92" s="408"/>
      <c r="EO92" s="322"/>
      <c r="EP92" s="408"/>
      <c r="EQ92" s="307"/>
      <c r="ER92" s="408"/>
      <c r="ES92" s="322"/>
      <c r="ET92" s="408"/>
      <c r="EU92" s="307"/>
      <c r="EV92" s="408"/>
      <c r="EW92" s="322"/>
      <c r="EX92" s="408"/>
      <c r="EY92" s="307"/>
      <c r="EZ92" s="408"/>
      <c r="FA92" s="322"/>
      <c r="FB92" s="408"/>
      <c r="FC92" s="307"/>
      <c r="FD92" s="408"/>
      <c r="FE92" s="322"/>
      <c r="FF92" s="408"/>
      <c r="FG92" s="307"/>
      <c r="FH92" s="408"/>
      <c r="FI92" s="322"/>
      <c r="FJ92" s="408"/>
      <c r="FK92" s="307"/>
      <c r="FL92" s="408"/>
      <c r="FM92" s="322"/>
      <c r="FN92" s="408"/>
      <c r="FO92" s="307"/>
      <c r="FP92" s="408"/>
      <c r="FQ92" s="340"/>
      <c r="FR92" s="328">
        <f t="shared" si="34"/>
        <v>0</v>
      </c>
      <c r="FS92" s="328">
        <f t="shared" si="32"/>
        <v>0</v>
      </c>
      <c r="FT92" s="360"/>
    </row>
    <row r="93" spans="1:176" s="14" customFormat="1" outlineLevel="2">
      <c r="A93" s="420" t="s">
        <v>480</v>
      </c>
      <c r="B93" s="444" t="s">
        <v>44</v>
      </c>
      <c r="C93" s="587" t="s">
        <v>72</v>
      </c>
      <c r="D93" s="580" t="s">
        <v>32</v>
      </c>
      <c r="E93" s="414">
        <f>IF(ISBLANK(G93),"",IF($A$6:$A$330=$A93,COUNTIF($A$6:A93,$A93),""))</f>
        <v>26</v>
      </c>
      <c r="F93" s="670">
        <v>2</v>
      </c>
      <c r="G93" s="319">
        <v>4493470800</v>
      </c>
      <c r="H93" s="603" t="s">
        <v>119</v>
      </c>
      <c r="I93" s="619">
        <v>0</v>
      </c>
      <c r="J93" s="619"/>
      <c r="K93" s="321"/>
      <c r="L93" s="619"/>
      <c r="M93" s="305"/>
      <c r="N93" s="305">
        <f t="shared" si="22"/>
        <v>1</v>
      </c>
      <c r="O93" s="322"/>
      <c r="P93" s="408"/>
      <c r="Q93" s="307"/>
      <c r="R93" s="408"/>
      <c r="S93" s="322"/>
      <c r="T93" s="408">
        <f>SUMPRODUCT((Комплекты[Пр]=$F93)*(Комплекты[Обозначение]=$G93)*Комплекты[Кол-во]*(
((Комплекты[Комплект]=$G$81)*T$81)+
((Комплекты[Комплект]=$G$80)*T$80)+
((Комплекты[Комплект]=$G$78)*T$78)+
((Комплекты[Комплект]=$G$77)*T$77)))</f>
        <v>1</v>
      </c>
      <c r="U93" s="307">
        <f>SUMPRODUCT((Комплекты[Пр]=$F93)*(Комплекты[Обозначение]=$G93)*Комплекты[Кол-во]*(
((Комплекты[Комплект]=$G$81)*U$81)+
((Комплекты[Комплект]=$G$80)*U$80)+
((Комплекты[Комплект]=$G$78)*U$78)+
((Комплекты[Комплект]=$G$77)*U$77)))</f>
        <v>1</v>
      </c>
      <c r="V93" s="408"/>
      <c r="W93" s="322"/>
      <c r="X93" s="408"/>
      <c r="Y93" s="307"/>
      <c r="Z93" s="408"/>
      <c r="AA93" s="322"/>
      <c r="AB93" s="408"/>
      <c r="AC93" s="307"/>
      <c r="AD93" s="408"/>
      <c r="AE93" s="322"/>
      <c r="AF93" s="408">
        <f>SUMPRODUCT((Комплекты[Пр]=$F93)*(Комплекты[Обозначение]=$G93)*Комплекты[Кол-во]*(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0</v>
      </c>
      <c r="AG93" s="307">
        <f>SUMPRODUCT((Комплекты[Пр]=$F93)*(Комплекты[Обозначение]=$G93)*Комплекты[Кол-во]*(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0</v>
      </c>
      <c r="AH93" s="408"/>
      <c r="AI93" s="322"/>
      <c r="AJ93" s="408"/>
      <c r="AK93" s="307"/>
      <c r="AL93" s="408"/>
      <c r="AM93" s="322"/>
      <c r="AN93" s="408"/>
      <c r="AO93" s="307"/>
      <c r="AP93" s="408"/>
      <c r="AQ93" s="322"/>
      <c r="AR93" s="408"/>
      <c r="AS93" s="307"/>
      <c r="AT93" s="408"/>
      <c r="AU93" s="322"/>
      <c r="AV93" s="408"/>
      <c r="AW93" s="307"/>
      <c r="AX93" s="408"/>
      <c r="AY93" s="322"/>
      <c r="AZ93" s="408"/>
      <c r="BA93" s="307"/>
      <c r="BB93" s="408"/>
      <c r="BC93" s="322"/>
      <c r="BD93" s="408"/>
      <c r="BE93" s="307"/>
      <c r="BF93" s="408"/>
      <c r="BG93" s="322"/>
      <c r="BH93" s="408"/>
      <c r="BI93" s="307"/>
      <c r="BJ93" s="408"/>
      <c r="BK93" s="340"/>
      <c r="BL93" s="328">
        <f t="shared" si="23"/>
        <v>0</v>
      </c>
      <c r="BM93" s="328">
        <f t="shared" si="24"/>
        <v>0</v>
      </c>
      <c r="BN93" s="324">
        <f t="shared" si="25"/>
        <v>1</v>
      </c>
      <c r="BO93" s="325">
        <f t="shared" si="26"/>
        <v>0</v>
      </c>
      <c r="BP93" s="326">
        <f t="shared" si="27"/>
        <v>1</v>
      </c>
      <c r="BQ93" s="327">
        <f t="shared" si="28"/>
        <v>0</v>
      </c>
      <c r="BR93" s="329"/>
      <c r="BS93" s="329"/>
      <c r="BT93" s="322"/>
      <c r="BU93" s="408"/>
      <c r="BV93" s="307"/>
      <c r="BW93" s="408"/>
      <c r="BX93" s="322"/>
      <c r="BY93" s="408"/>
      <c r="BZ93" s="307"/>
      <c r="CA93" s="408"/>
      <c r="CB93" s="322"/>
      <c r="CC93" s="408"/>
      <c r="CD93" s="307"/>
      <c r="CE93" s="408"/>
      <c r="CF93" s="322"/>
      <c r="CG93" s="408"/>
      <c r="CH93" s="307"/>
      <c r="CI93" s="408"/>
      <c r="CJ93" s="322"/>
      <c r="CK93" s="408"/>
      <c r="CL93" s="307"/>
      <c r="CM93" s="408"/>
      <c r="CN93" s="322"/>
      <c r="CO93" s="408"/>
      <c r="CP93" s="307"/>
      <c r="CQ93" s="408"/>
      <c r="CR93" s="322"/>
      <c r="CS93" s="408"/>
      <c r="CT93" s="307"/>
      <c r="CU93" s="408"/>
      <c r="CV93" s="322"/>
      <c r="CW93" s="408"/>
      <c r="CX93" s="307"/>
      <c r="CY93" s="408"/>
      <c r="CZ93" s="322"/>
      <c r="DA93" s="408"/>
      <c r="DB93" s="307"/>
      <c r="DC93" s="408"/>
      <c r="DD93" s="322"/>
      <c r="DE93" s="408"/>
      <c r="DF93" s="307"/>
      <c r="DG93" s="408"/>
      <c r="DH93" s="322"/>
      <c r="DI93" s="408"/>
      <c r="DJ93" s="307"/>
      <c r="DK93" s="408"/>
      <c r="DL93" s="322"/>
      <c r="DM93" s="408"/>
      <c r="DN93" s="307"/>
      <c r="DO93" s="408"/>
      <c r="DP93" s="340"/>
      <c r="DQ93" s="328">
        <f t="shared" si="33"/>
        <v>0</v>
      </c>
      <c r="DR93" s="328">
        <f t="shared" si="30"/>
        <v>0</v>
      </c>
      <c r="DS93" s="329"/>
      <c r="DT93" s="329"/>
      <c r="DU93" s="322"/>
      <c r="DV93" s="408"/>
      <c r="DW93" s="307"/>
      <c r="DX93" s="408"/>
      <c r="DY93" s="322"/>
      <c r="DZ93" s="408"/>
      <c r="EA93" s="307"/>
      <c r="EB93" s="408"/>
      <c r="EC93" s="322"/>
      <c r="ED93" s="408"/>
      <c r="EE93" s="307"/>
      <c r="EF93" s="408"/>
      <c r="EG93" s="322"/>
      <c r="EH93" s="408"/>
      <c r="EI93" s="307"/>
      <c r="EJ93" s="408"/>
      <c r="EK93" s="322"/>
      <c r="EL93" s="408"/>
      <c r="EM93" s="307"/>
      <c r="EN93" s="408"/>
      <c r="EO93" s="322"/>
      <c r="EP93" s="408"/>
      <c r="EQ93" s="307"/>
      <c r="ER93" s="408"/>
      <c r="ES93" s="322"/>
      <c r="ET93" s="408"/>
      <c r="EU93" s="307"/>
      <c r="EV93" s="408"/>
      <c r="EW93" s="322"/>
      <c r="EX93" s="408"/>
      <c r="EY93" s="307"/>
      <c r="EZ93" s="408"/>
      <c r="FA93" s="322"/>
      <c r="FB93" s="408"/>
      <c r="FC93" s="307"/>
      <c r="FD93" s="408"/>
      <c r="FE93" s="322"/>
      <c r="FF93" s="408"/>
      <c r="FG93" s="307"/>
      <c r="FH93" s="408"/>
      <c r="FI93" s="322"/>
      <c r="FJ93" s="408"/>
      <c r="FK93" s="307"/>
      <c r="FL93" s="408"/>
      <c r="FM93" s="322"/>
      <c r="FN93" s="408"/>
      <c r="FO93" s="307"/>
      <c r="FP93" s="408"/>
      <c r="FQ93" s="340"/>
      <c r="FR93" s="328">
        <f t="shared" si="34"/>
        <v>0</v>
      </c>
      <c r="FS93" s="328">
        <f t="shared" si="32"/>
        <v>0</v>
      </c>
      <c r="FT93" s="360"/>
    </row>
    <row r="94" spans="1:176" s="14" customFormat="1" outlineLevel="2">
      <c r="A94" s="420" t="s">
        <v>480</v>
      </c>
      <c r="B94" s="444" t="s">
        <v>44</v>
      </c>
      <c r="C94" s="587" t="s">
        <v>72</v>
      </c>
      <c r="D94" s="580" t="s">
        <v>32</v>
      </c>
      <c r="E94" s="414">
        <f>IF(ISBLANK(G94),"",IF($A$6:$A$330=$A94,COUNTIF($A$6:A94,$A94),""))</f>
        <v>27</v>
      </c>
      <c r="F94" s="670">
        <v>2</v>
      </c>
      <c r="G94" s="319">
        <v>4494250600</v>
      </c>
      <c r="H94" s="603" t="s">
        <v>127</v>
      </c>
      <c r="I94" s="619">
        <v>0</v>
      </c>
      <c r="J94" s="619"/>
      <c r="K94" s="321"/>
      <c r="L94" s="619"/>
      <c r="M94" s="305"/>
      <c r="N94" s="305">
        <f t="shared" si="22"/>
        <v>1</v>
      </c>
      <c r="O94" s="322"/>
      <c r="P94" s="408"/>
      <c r="Q94" s="307"/>
      <c r="R94" s="408"/>
      <c r="S94" s="322"/>
      <c r="T94" s="408">
        <f>SUMPRODUCT((Комплекты[Пр]=$F94)*(Комплекты[Обозначение]=$G94)*Комплекты[Кол-во]*(
((Комплекты[Комплект]=$G$81)*T$81)+
((Комплекты[Комплект]=$G$80)*T$80)+
((Комплекты[Комплект]=$G$78)*T$78)+
((Комплекты[Комплект]=$G$77)*T$77)))</f>
        <v>1</v>
      </c>
      <c r="U94" s="307">
        <f>SUMPRODUCT((Комплекты[Пр]=$F94)*(Комплекты[Обозначение]=$G94)*Комплекты[Кол-во]*(
((Комплекты[Комплект]=$G$81)*U$81)+
((Комплекты[Комплект]=$G$80)*U$80)+
((Комплекты[Комплект]=$G$78)*U$78)+
((Комплекты[Комплект]=$G$77)*U$77)))</f>
        <v>1</v>
      </c>
      <c r="V94" s="408"/>
      <c r="W94" s="322"/>
      <c r="X94" s="408"/>
      <c r="Y94" s="307"/>
      <c r="Z94" s="408"/>
      <c r="AA94" s="322"/>
      <c r="AB94" s="408"/>
      <c r="AC94" s="307"/>
      <c r="AD94" s="408"/>
      <c r="AE94" s="322"/>
      <c r="AF94" s="408">
        <f>SUMPRODUCT((Комплекты[Пр]=$F94)*(Комплекты[Обозначение]=$G94)*Комплекты[Кол-во]*(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0</v>
      </c>
      <c r="AG94" s="307">
        <f>SUMPRODUCT((Комплекты[Пр]=$F94)*(Комплекты[Обозначение]=$G94)*Комплекты[Кол-во]*(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0</v>
      </c>
      <c r="AH94" s="408"/>
      <c r="AI94" s="322"/>
      <c r="AJ94" s="408"/>
      <c r="AK94" s="307"/>
      <c r="AL94" s="408"/>
      <c r="AM94" s="322"/>
      <c r="AN94" s="408"/>
      <c r="AO94" s="307"/>
      <c r="AP94" s="408"/>
      <c r="AQ94" s="322"/>
      <c r="AR94" s="408"/>
      <c r="AS94" s="307"/>
      <c r="AT94" s="408"/>
      <c r="AU94" s="322"/>
      <c r="AV94" s="408"/>
      <c r="AW94" s="307"/>
      <c r="AX94" s="408"/>
      <c r="AY94" s="322"/>
      <c r="AZ94" s="408"/>
      <c r="BA94" s="307"/>
      <c r="BB94" s="408"/>
      <c r="BC94" s="322"/>
      <c r="BD94" s="408"/>
      <c r="BE94" s="307"/>
      <c r="BF94" s="408"/>
      <c r="BG94" s="322"/>
      <c r="BH94" s="408"/>
      <c r="BI94" s="307"/>
      <c r="BJ94" s="408"/>
      <c r="BK94" s="340"/>
      <c r="BL94" s="328">
        <f t="shared" si="23"/>
        <v>0</v>
      </c>
      <c r="BM94" s="328">
        <f t="shared" si="24"/>
        <v>0</v>
      </c>
      <c r="BN94" s="324">
        <f t="shared" si="25"/>
        <v>1</v>
      </c>
      <c r="BO94" s="325">
        <f t="shared" si="26"/>
        <v>0</v>
      </c>
      <c r="BP94" s="326">
        <f t="shared" si="27"/>
        <v>1</v>
      </c>
      <c r="BQ94" s="327">
        <f t="shared" si="28"/>
        <v>0</v>
      </c>
      <c r="BR94" s="329"/>
      <c r="BS94" s="329"/>
      <c r="BT94" s="322"/>
      <c r="BU94" s="408"/>
      <c r="BV94" s="307"/>
      <c r="BW94" s="408"/>
      <c r="BX94" s="322"/>
      <c r="BY94" s="408"/>
      <c r="BZ94" s="307"/>
      <c r="CA94" s="408"/>
      <c r="CB94" s="322"/>
      <c r="CC94" s="408"/>
      <c r="CD94" s="307"/>
      <c r="CE94" s="408"/>
      <c r="CF94" s="322"/>
      <c r="CG94" s="408"/>
      <c r="CH94" s="307"/>
      <c r="CI94" s="408"/>
      <c r="CJ94" s="322"/>
      <c r="CK94" s="408"/>
      <c r="CL94" s="307"/>
      <c r="CM94" s="408"/>
      <c r="CN94" s="322"/>
      <c r="CO94" s="408"/>
      <c r="CP94" s="307"/>
      <c r="CQ94" s="408"/>
      <c r="CR94" s="322"/>
      <c r="CS94" s="408"/>
      <c r="CT94" s="307"/>
      <c r="CU94" s="408"/>
      <c r="CV94" s="322"/>
      <c r="CW94" s="408"/>
      <c r="CX94" s="307"/>
      <c r="CY94" s="408"/>
      <c r="CZ94" s="322"/>
      <c r="DA94" s="408"/>
      <c r="DB94" s="307"/>
      <c r="DC94" s="408"/>
      <c r="DD94" s="322"/>
      <c r="DE94" s="408"/>
      <c r="DF94" s="307"/>
      <c r="DG94" s="408"/>
      <c r="DH94" s="322"/>
      <c r="DI94" s="408"/>
      <c r="DJ94" s="307"/>
      <c r="DK94" s="408"/>
      <c r="DL94" s="322"/>
      <c r="DM94" s="408"/>
      <c r="DN94" s="307"/>
      <c r="DO94" s="408"/>
      <c r="DP94" s="340"/>
      <c r="DQ94" s="328">
        <f t="shared" si="33"/>
        <v>0</v>
      </c>
      <c r="DR94" s="328">
        <f t="shared" si="30"/>
        <v>0</v>
      </c>
      <c r="DS94" s="329"/>
      <c r="DT94" s="329"/>
      <c r="DU94" s="322"/>
      <c r="DV94" s="408"/>
      <c r="DW94" s="307"/>
      <c r="DX94" s="408"/>
      <c r="DY94" s="322"/>
      <c r="DZ94" s="408"/>
      <c r="EA94" s="307"/>
      <c r="EB94" s="408"/>
      <c r="EC94" s="322"/>
      <c r="ED94" s="408"/>
      <c r="EE94" s="307"/>
      <c r="EF94" s="408"/>
      <c r="EG94" s="322"/>
      <c r="EH94" s="408"/>
      <c r="EI94" s="307"/>
      <c r="EJ94" s="408"/>
      <c r="EK94" s="322"/>
      <c r="EL94" s="408"/>
      <c r="EM94" s="307"/>
      <c r="EN94" s="408"/>
      <c r="EO94" s="322"/>
      <c r="EP94" s="408"/>
      <c r="EQ94" s="307"/>
      <c r="ER94" s="408"/>
      <c r="ES94" s="322"/>
      <c r="ET94" s="408"/>
      <c r="EU94" s="307"/>
      <c r="EV94" s="408"/>
      <c r="EW94" s="322"/>
      <c r="EX94" s="408"/>
      <c r="EY94" s="307"/>
      <c r="EZ94" s="408"/>
      <c r="FA94" s="322"/>
      <c r="FB94" s="408"/>
      <c r="FC94" s="307"/>
      <c r="FD94" s="408"/>
      <c r="FE94" s="322"/>
      <c r="FF94" s="408"/>
      <c r="FG94" s="307"/>
      <c r="FH94" s="408"/>
      <c r="FI94" s="322"/>
      <c r="FJ94" s="408"/>
      <c r="FK94" s="307"/>
      <c r="FL94" s="408"/>
      <c r="FM94" s="322"/>
      <c r="FN94" s="408"/>
      <c r="FO94" s="307"/>
      <c r="FP94" s="408"/>
      <c r="FQ94" s="340"/>
      <c r="FR94" s="328">
        <f t="shared" si="34"/>
        <v>0</v>
      </c>
      <c r="FS94" s="328">
        <f t="shared" si="32"/>
        <v>0</v>
      </c>
      <c r="FT94" s="360"/>
    </row>
    <row r="95" spans="1:176" s="14" customFormat="1" outlineLevel="2">
      <c r="A95" s="420" t="s">
        <v>480</v>
      </c>
      <c r="B95" s="444" t="s">
        <v>44</v>
      </c>
      <c r="C95" s="587" t="s">
        <v>72</v>
      </c>
      <c r="D95" s="580" t="s">
        <v>32</v>
      </c>
      <c r="E95" s="414">
        <f>IF(ISBLANK(G95),"",IF($A$6:$A$330=$A95,COUNTIF($A$6:A95,$A95),""))</f>
        <v>28</v>
      </c>
      <c r="F95" s="670">
        <v>2</v>
      </c>
      <c r="G95" s="319">
        <v>8946000320</v>
      </c>
      <c r="H95" s="603" t="s">
        <v>126</v>
      </c>
      <c r="I95" s="619">
        <v>0</v>
      </c>
      <c r="J95" s="619"/>
      <c r="K95" s="321"/>
      <c r="L95" s="619"/>
      <c r="M95" s="305"/>
      <c r="N95" s="305">
        <f t="shared" si="22"/>
        <v>1</v>
      </c>
      <c r="O95" s="322"/>
      <c r="P95" s="408"/>
      <c r="Q95" s="307"/>
      <c r="R95" s="408"/>
      <c r="S95" s="322"/>
      <c r="T95" s="408">
        <f>SUMPRODUCT((Комплекты[Пр]=$F95)*(Комплекты[Обозначение]=$G95)*Комплекты[Кол-во]*(
((Комплекты[Комплект]=$G$81)*T$81)+
((Комплекты[Комплект]=$G$80)*T$80)+
((Комплекты[Комплект]=$G$78)*T$78)+
((Комплекты[Комплект]=$G$77)*T$77)))</f>
        <v>1</v>
      </c>
      <c r="U95" s="307">
        <f>SUMPRODUCT((Комплекты[Пр]=$F95)*(Комплекты[Обозначение]=$G95)*Комплекты[Кол-во]*(
((Комплекты[Комплект]=$G$81)*U$81)+
((Комплекты[Комплект]=$G$80)*U$80)+
((Комплекты[Комплект]=$G$78)*U$78)+
((Комплекты[Комплект]=$G$77)*U$77)))</f>
        <v>1</v>
      </c>
      <c r="V95" s="408"/>
      <c r="W95" s="322"/>
      <c r="X95" s="408"/>
      <c r="Y95" s="307"/>
      <c r="Z95" s="408"/>
      <c r="AA95" s="322"/>
      <c r="AB95" s="408"/>
      <c r="AC95" s="307"/>
      <c r="AD95" s="408"/>
      <c r="AE95" s="322"/>
      <c r="AF95" s="408">
        <f>SUMPRODUCT((Комплекты[Пр]=$F95)*(Комплекты[Обозначение]=$G95)*Комплекты[Кол-во]*(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0</v>
      </c>
      <c r="AG95" s="307">
        <f>SUMPRODUCT((Комплекты[Пр]=$F95)*(Комплекты[Обозначение]=$G95)*Комплекты[Кол-во]*(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0</v>
      </c>
      <c r="AH95" s="408"/>
      <c r="AI95" s="322"/>
      <c r="AJ95" s="408"/>
      <c r="AK95" s="307"/>
      <c r="AL95" s="408"/>
      <c r="AM95" s="322"/>
      <c r="AN95" s="408"/>
      <c r="AO95" s="307"/>
      <c r="AP95" s="408"/>
      <c r="AQ95" s="322"/>
      <c r="AR95" s="408"/>
      <c r="AS95" s="307"/>
      <c r="AT95" s="408"/>
      <c r="AU95" s="322"/>
      <c r="AV95" s="408"/>
      <c r="AW95" s="307"/>
      <c r="AX95" s="408"/>
      <c r="AY95" s="322"/>
      <c r="AZ95" s="408"/>
      <c r="BA95" s="307"/>
      <c r="BB95" s="408"/>
      <c r="BC95" s="322"/>
      <c r="BD95" s="408"/>
      <c r="BE95" s="307"/>
      <c r="BF95" s="408"/>
      <c r="BG95" s="322"/>
      <c r="BH95" s="408"/>
      <c r="BI95" s="307"/>
      <c r="BJ95" s="408"/>
      <c r="BK95" s="340"/>
      <c r="BL95" s="328">
        <f t="shared" si="23"/>
        <v>0</v>
      </c>
      <c r="BM95" s="328">
        <f t="shared" si="24"/>
        <v>0</v>
      </c>
      <c r="BN95" s="324">
        <f t="shared" si="25"/>
        <v>1</v>
      </c>
      <c r="BO95" s="325">
        <f t="shared" si="26"/>
        <v>0</v>
      </c>
      <c r="BP95" s="326">
        <f t="shared" si="27"/>
        <v>1</v>
      </c>
      <c r="BQ95" s="327">
        <f t="shared" si="28"/>
        <v>0</v>
      </c>
      <c r="BR95" s="329"/>
      <c r="BS95" s="329"/>
      <c r="BT95" s="322"/>
      <c r="BU95" s="408"/>
      <c r="BV95" s="307"/>
      <c r="BW95" s="408"/>
      <c r="BX95" s="322"/>
      <c r="BY95" s="408"/>
      <c r="BZ95" s="307"/>
      <c r="CA95" s="408"/>
      <c r="CB95" s="322"/>
      <c r="CC95" s="408"/>
      <c r="CD95" s="307"/>
      <c r="CE95" s="408"/>
      <c r="CF95" s="322"/>
      <c r="CG95" s="408"/>
      <c r="CH95" s="307"/>
      <c r="CI95" s="408"/>
      <c r="CJ95" s="322"/>
      <c r="CK95" s="408"/>
      <c r="CL95" s="307"/>
      <c r="CM95" s="408"/>
      <c r="CN95" s="322"/>
      <c r="CO95" s="408"/>
      <c r="CP95" s="307"/>
      <c r="CQ95" s="408"/>
      <c r="CR95" s="322"/>
      <c r="CS95" s="408"/>
      <c r="CT95" s="307"/>
      <c r="CU95" s="408"/>
      <c r="CV95" s="322"/>
      <c r="CW95" s="408"/>
      <c r="CX95" s="307"/>
      <c r="CY95" s="408"/>
      <c r="CZ95" s="322"/>
      <c r="DA95" s="408"/>
      <c r="DB95" s="307"/>
      <c r="DC95" s="408"/>
      <c r="DD95" s="322"/>
      <c r="DE95" s="408"/>
      <c r="DF95" s="307"/>
      <c r="DG95" s="408"/>
      <c r="DH95" s="322"/>
      <c r="DI95" s="408"/>
      <c r="DJ95" s="307"/>
      <c r="DK95" s="408"/>
      <c r="DL95" s="322"/>
      <c r="DM95" s="408"/>
      <c r="DN95" s="307"/>
      <c r="DO95" s="408"/>
      <c r="DP95" s="340"/>
      <c r="DQ95" s="328">
        <f t="shared" si="33"/>
        <v>0</v>
      </c>
      <c r="DR95" s="328">
        <f t="shared" si="30"/>
        <v>0</v>
      </c>
      <c r="DS95" s="329"/>
      <c r="DT95" s="329"/>
      <c r="DU95" s="322"/>
      <c r="DV95" s="408"/>
      <c r="DW95" s="307"/>
      <c r="DX95" s="408"/>
      <c r="DY95" s="322"/>
      <c r="DZ95" s="408"/>
      <c r="EA95" s="307"/>
      <c r="EB95" s="408"/>
      <c r="EC95" s="322"/>
      <c r="ED95" s="408"/>
      <c r="EE95" s="307"/>
      <c r="EF95" s="408"/>
      <c r="EG95" s="322"/>
      <c r="EH95" s="408"/>
      <c r="EI95" s="307"/>
      <c r="EJ95" s="408"/>
      <c r="EK95" s="322"/>
      <c r="EL95" s="408"/>
      <c r="EM95" s="307"/>
      <c r="EN95" s="408"/>
      <c r="EO95" s="322"/>
      <c r="EP95" s="408"/>
      <c r="EQ95" s="307"/>
      <c r="ER95" s="408"/>
      <c r="ES95" s="322"/>
      <c r="ET95" s="408"/>
      <c r="EU95" s="307"/>
      <c r="EV95" s="408"/>
      <c r="EW95" s="322"/>
      <c r="EX95" s="408"/>
      <c r="EY95" s="307"/>
      <c r="EZ95" s="408"/>
      <c r="FA95" s="322"/>
      <c r="FB95" s="408"/>
      <c r="FC95" s="307"/>
      <c r="FD95" s="408"/>
      <c r="FE95" s="322"/>
      <c r="FF95" s="408"/>
      <c r="FG95" s="307"/>
      <c r="FH95" s="408"/>
      <c r="FI95" s="322"/>
      <c r="FJ95" s="408"/>
      <c r="FK95" s="307"/>
      <c r="FL95" s="408"/>
      <c r="FM95" s="322"/>
      <c r="FN95" s="408"/>
      <c r="FO95" s="307"/>
      <c r="FP95" s="408"/>
      <c r="FQ95" s="340"/>
      <c r="FR95" s="328">
        <f t="shared" si="34"/>
        <v>0</v>
      </c>
      <c r="FS95" s="328">
        <f t="shared" si="32"/>
        <v>0</v>
      </c>
      <c r="FT95" s="360"/>
    </row>
    <row r="96" spans="1:176" s="14" customFormat="1" outlineLevel="2">
      <c r="A96" s="421" t="s">
        <v>480</v>
      </c>
      <c r="B96" s="389" t="s">
        <v>44</v>
      </c>
      <c r="C96" s="432" t="s">
        <v>72</v>
      </c>
      <c r="D96" s="575" t="s">
        <v>32</v>
      </c>
      <c r="E96" s="284">
        <f>IF(ISBLANK(G96),"",IF($A$6:$A$330=$A96,COUNTIF($A$6:A96,$A96),""))</f>
        <v>29</v>
      </c>
      <c r="F96" s="670">
        <v>2</v>
      </c>
      <c r="G96" s="319">
        <v>4462907000</v>
      </c>
      <c r="H96" s="603" t="s">
        <v>459</v>
      </c>
      <c r="I96" s="619">
        <v>0</v>
      </c>
      <c r="J96" s="619"/>
      <c r="K96" s="321"/>
      <c r="L96" s="619"/>
      <c r="M96" s="305"/>
      <c r="N96" s="305">
        <f t="shared" si="22"/>
        <v>0</v>
      </c>
      <c r="O96" s="322"/>
      <c r="P96" s="408"/>
      <c r="Q96" s="307"/>
      <c r="R96" s="408"/>
      <c r="S96" s="322"/>
      <c r="T96" s="408">
        <f>SUMPRODUCT((Комплекты[Пр]=$F96)*(Комплекты[Обозначение]=$G96)*Комплекты[Кол-во]*(
((Комплекты[Комплект]=$G$81)*T$81)+
((Комплекты[Комплект]=$G$80)*T$80)+
((Комплекты[Комплект]=$G$78)*T$78)+
((Комплекты[Комплект]=$G$77)*T$77)))</f>
        <v>0</v>
      </c>
      <c r="U96" s="307">
        <f>SUMPRODUCT((Комплекты[Пр]=$F96)*(Комплекты[Обозначение]=$G96)*Комплекты[Кол-во]*(
((Комплекты[Комплект]=$G$81)*U$81)+
((Комплекты[Комплект]=$G$80)*U$80)+
((Комплекты[Комплект]=$G$78)*U$78)+
((Комплекты[Комплект]=$G$77)*U$77)))</f>
        <v>0</v>
      </c>
      <c r="V96" s="408"/>
      <c r="W96" s="322"/>
      <c r="X96" s="408"/>
      <c r="Y96" s="307"/>
      <c r="Z96" s="408"/>
      <c r="AA96" s="322"/>
      <c r="AB96" s="408"/>
      <c r="AC96" s="307"/>
      <c r="AD96" s="408"/>
      <c r="AE96" s="322"/>
      <c r="AF96" s="408">
        <f>SUMPRODUCT((Комплекты[Пр]=$F96)*(Комплекты[Обозначение]=$G96)*Комплекты[Кол-во]*(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0</v>
      </c>
      <c r="AG96" s="307">
        <f>SUMPRODUCT((Комплекты[Пр]=$F96)*(Комплекты[Обозначение]=$G96)*Комплекты[Кол-во]*(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0</v>
      </c>
      <c r="AH96" s="408"/>
      <c r="AI96" s="322"/>
      <c r="AJ96" s="408"/>
      <c r="AK96" s="307"/>
      <c r="AL96" s="408"/>
      <c r="AM96" s="322"/>
      <c r="AN96" s="408"/>
      <c r="AO96" s="307"/>
      <c r="AP96" s="408"/>
      <c r="AQ96" s="322"/>
      <c r="AR96" s="408"/>
      <c r="AS96" s="307"/>
      <c r="AT96" s="408"/>
      <c r="AU96" s="322"/>
      <c r="AV96" s="408"/>
      <c r="AW96" s="307"/>
      <c r="AX96" s="408"/>
      <c r="AY96" s="322"/>
      <c r="AZ96" s="408"/>
      <c r="BA96" s="307"/>
      <c r="BB96" s="408"/>
      <c r="BC96" s="322"/>
      <c r="BD96" s="408"/>
      <c r="BE96" s="307"/>
      <c r="BF96" s="408"/>
      <c r="BG96" s="322"/>
      <c r="BH96" s="408"/>
      <c r="BI96" s="307"/>
      <c r="BJ96" s="408"/>
      <c r="BK96" s="340"/>
      <c r="BL96" s="328">
        <f t="shared" si="23"/>
        <v>0</v>
      </c>
      <c r="BM96" s="328">
        <f t="shared" si="24"/>
        <v>0</v>
      </c>
      <c r="BN96" s="324">
        <f t="shared" si="25"/>
        <v>0</v>
      </c>
      <c r="BO96" s="325">
        <f t="shared" si="26"/>
        <v>0</v>
      </c>
      <c r="BP96" s="326">
        <f t="shared" si="27"/>
        <v>0</v>
      </c>
      <c r="BQ96" s="327">
        <f t="shared" si="28"/>
        <v>0</v>
      </c>
      <c r="BR96" s="329"/>
      <c r="BS96" s="329"/>
      <c r="BT96" s="322"/>
      <c r="BU96" s="408"/>
      <c r="BV96" s="307"/>
      <c r="BW96" s="408"/>
      <c r="BX96" s="322"/>
      <c r="BY96" s="408"/>
      <c r="BZ96" s="307"/>
      <c r="CA96" s="408"/>
      <c r="CB96" s="322"/>
      <c r="CC96" s="408"/>
      <c r="CD96" s="307"/>
      <c r="CE96" s="408"/>
      <c r="CF96" s="322"/>
      <c r="CG96" s="408"/>
      <c r="CH96" s="307"/>
      <c r="CI96" s="408"/>
      <c r="CJ96" s="322"/>
      <c r="CK96" s="408"/>
      <c r="CL96" s="307"/>
      <c r="CM96" s="408"/>
      <c r="CN96" s="322"/>
      <c r="CO96" s="408"/>
      <c r="CP96" s="307"/>
      <c r="CQ96" s="408"/>
      <c r="CR96" s="322"/>
      <c r="CS96" s="408"/>
      <c r="CT96" s="307"/>
      <c r="CU96" s="408"/>
      <c r="CV96" s="322"/>
      <c r="CW96" s="408"/>
      <c r="CX96" s="307"/>
      <c r="CY96" s="408"/>
      <c r="CZ96" s="322"/>
      <c r="DA96" s="408"/>
      <c r="DB96" s="307"/>
      <c r="DC96" s="408"/>
      <c r="DD96" s="322"/>
      <c r="DE96" s="408"/>
      <c r="DF96" s="307"/>
      <c r="DG96" s="408"/>
      <c r="DH96" s="322"/>
      <c r="DI96" s="408"/>
      <c r="DJ96" s="307"/>
      <c r="DK96" s="408"/>
      <c r="DL96" s="322"/>
      <c r="DM96" s="408"/>
      <c r="DN96" s="307"/>
      <c r="DO96" s="408"/>
      <c r="DP96" s="340"/>
      <c r="DQ96" s="328"/>
      <c r="DR96" s="328"/>
      <c r="DS96" s="329"/>
      <c r="DT96" s="329"/>
      <c r="DU96" s="322"/>
      <c r="DV96" s="408"/>
      <c r="DW96" s="307"/>
      <c r="DX96" s="408"/>
      <c r="DY96" s="322"/>
      <c r="DZ96" s="408"/>
      <c r="EA96" s="307"/>
      <c r="EB96" s="408"/>
      <c r="EC96" s="322"/>
      <c r="ED96" s="408"/>
      <c r="EE96" s="307"/>
      <c r="EF96" s="408"/>
      <c r="EG96" s="322"/>
      <c r="EH96" s="408"/>
      <c r="EI96" s="307"/>
      <c r="EJ96" s="408"/>
      <c r="EK96" s="322"/>
      <c r="EL96" s="408"/>
      <c r="EM96" s="307"/>
      <c r="EN96" s="408"/>
      <c r="EO96" s="322"/>
      <c r="EP96" s="408"/>
      <c r="EQ96" s="307"/>
      <c r="ER96" s="408"/>
      <c r="ES96" s="322"/>
      <c r="ET96" s="408"/>
      <c r="EU96" s="307"/>
      <c r="EV96" s="408"/>
      <c r="EW96" s="322"/>
      <c r="EX96" s="408"/>
      <c r="EY96" s="307"/>
      <c r="EZ96" s="408"/>
      <c r="FA96" s="322"/>
      <c r="FB96" s="408"/>
      <c r="FC96" s="307"/>
      <c r="FD96" s="408"/>
      <c r="FE96" s="322"/>
      <c r="FF96" s="408"/>
      <c r="FG96" s="307"/>
      <c r="FH96" s="408"/>
      <c r="FI96" s="322"/>
      <c r="FJ96" s="408"/>
      <c r="FK96" s="307"/>
      <c r="FL96" s="408"/>
      <c r="FM96" s="322"/>
      <c r="FN96" s="408"/>
      <c r="FO96" s="307"/>
      <c r="FP96" s="408"/>
      <c r="FQ96" s="340"/>
      <c r="FR96" s="328"/>
      <c r="FS96" s="328"/>
      <c r="FT96" s="360"/>
    </row>
    <row r="97" spans="1:176" s="14" customFormat="1" outlineLevel="2">
      <c r="A97" s="421" t="s">
        <v>480</v>
      </c>
      <c r="B97" s="389" t="s">
        <v>44</v>
      </c>
      <c r="C97" s="432" t="s">
        <v>72</v>
      </c>
      <c r="D97" s="575" t="s">
        <v>32</v>
      </c>
      <c r="E97" s="284">
        <f>IF(ISBLANK(G97),"",IF($A$6:$A$330=$A97,COUNTIF($A$6:A97,$A97),""))</f>
        <v>30</v>
      </c>
      <c r="F97" s="670">
        <v>2</v>
      </c>
      <c r="G97" s="319">
        <v>4499271200</v>
      </c>
      <c r="H97" s="603" t="s">
        <v>460</v>
      </c>
      <c r="I97" s="619">
        <v>0</v>
      </c>
      <c r="J97" s="619"/>
      <c r="K97" s="321"/>
      <c r="L97" s="619"/>
      <c r="M97" s="305"/>
      <c r="N97" s="305">
        <f t="shared" si="22"/>
        <v>0</v>
      </c>
      <c r="O97" s="322"/>
      <c r="P97" s="408"/>
      <c r="Q97" s="307"/>
      <c r="R97" s="408"/>
      <c r="S97" s="322"/>
      <c r="T97" s="408">
        <f>SUMPRODUCT((Комплекты[Пр]=$F97)*(Комплекты[Обозначение]=$G97)*Комплекты[Кол-во]*(
((Комплекты[Комплект]=$G$81)*T$81)+
((Комплекты[Комплект]=$G$80)*T$80)+
((Комплекты[Комплект]=$G$78)*T$78)+
((Комплекты[Комплект]=$G$77)*T$77)))</f>
        <v>0</v>
      </c>
      <c r="U97" s="307">
        <f>SUMPRODUCT((Комплекты[Пр]=$F97)*(Комплекты[Обозначение]=$G97)*Комплекты[Кол-во]*(
((Комплекты[Комплект]=$G$81)*U$81)+
((Комплекты[Комплект]=$G$80)*U$80)+
((Комплекты[Комплект]=$G$78)*U$78)+
((Комплекты[Комплект]=$G$77)*U$77)))</f>
        <v>0</v>
      </c>
      <c r="V97" s="408"/>
      <c r="W97" s="322"/>
      <c r="X97" s="408"/>
      <c r="Y97" s="307"/>
      <c r="Z97" s="408"/>
      <c r="AA97" s="322"/>
      <c r="AB97" s="408"/>
      <c r="AC97" s="307"/>
      <c r="AD97" s="408"/>
      <c r="AE97" s="322"/>
      <c r="AF97" s="408">
        <f>SUMPRODUCT((Комплекты[Пр]=$F97)*(Комплекты[Обозначение]=$G97)*Комплекты[Кол-во]*(
((Комплекты[Комплект]=$G$81)*AF$81)+
((Комплекты[Комплект]=$G$80)*AF$80)+
((Комплекты[Комплект]=$G$79)*AF$79)+
((Комплекты[Комплект]=$G$78)*AF$78)+
((Комплекты[Комплект]=$G$77)*AF$77)))</f>
        <v>0</v>
      </c>
      <c r="AG97" s="307">
        <f>SUMPRODUCT((Комплекты[Пр]=$F97)*(Комплекты[Обозначение]=$G97)*Комплекты[Кол-во]*(
((Комплекты[Комплект]=$G$81)*AG$81)+
((Комплекты[Комплект]=$G$80)*AG$80)+
((Комплекты[Комплект]=$G$79)*AG$79)+
((Комплекты[Комплект]=$G$78)*AG$78)+
((Комплекты[Комплект]=$G$77)*AG$77)))</f>
        <v>0</v>
      </c>
      <c r="AH97" s="408"/>
      <c r="AI97" s="322"/>
      <c r="AJ97" s="408"/>
      <c r="AK97" s="307"/>
      <c r="AL97" s="408"/>
      <c r="AM97" s="322"/>
      <c r="AN97" s="408"/>
      <c r="AO97" s="307"/>
      <c r="AP97" s="408"/>
      <c r="AQ97" s="322"/>
      <c r="AR97" s="408"/>
      <c r="AS97" s="307"/>
      <c r="AT97" s="408"/>
      <c r="AU97" s="322"/>
      <c r="AV97" s="408"/>
      <c r="AW97" s="307"/>
      <c r="AX97" s="408"/>
      <c r="AY97" s="322"/>
      <c r="AZ97" s="408"/>
      <c r="BA97" s="307"/>
      <c r="BB97" s="408"/>
      <c r="BC97" s="322"/>
      <c r="BD97" s="408"/>
      <c r="BE97" s="307"/>
      <c r="BF97" s="408"/>
      <c r="BG97" s="322"/>
      <c r="BH97" s="408"/>
      <c r="BI97" s="307"/>
      <c r="BJ97" s="408"/>
      <c r="BK97" s="340"/>
      <c r="BL97" s="328">
        <f t="shared" si="23"/>
        <v>0</v>
      </c>
      <c r="BM97" s="328">
        <f t="shared" si="24"/>
        <v>0</v>
      </c>
      <c r="BN97" s="324">
        <f t="shared" si="25"/>
        <v>0</v>
      </c>
      <c r="BO97" s="325">
        <f t="shared" si="26"/>
        <v>0</v>
      </c>
      <c r="BP97" s="326">
        <f t="shared" si="27"/>
        <v>0</v>
      </c>
      <c r="BQ97" s="327">
        <f t="shared" si="28"/>
        <v>0</v>
      </c>
      <c r="BR97" s="329"/>
      <c r="BS97" s="329"/>
      <c r="BT97" s="322"/>
      <c r="BU97" s="408"/>
      <c r="BV97" s="307"/>
      <c r="BW97" s="408"/>
      <c r="BX97" s="322"/>
      <c r="BY97" s="408"/>
      <c r="BZ97" s="307"/>
      <c r="CA97" s="408"/>
      <c r="CB97" s="322"/>
      <c r="CC97" s="408"/>
      <c r="CD97" s="307"/>
      <c r="CE97" s="408"/>
      <c r="CF97" s="322"/>
      <c r="CG97" s="408"/>
      <c r="CH97" s="307"/>
      <c r="CI97" s="408"/>
      <c r="CJ97" s="322"/>
      <c r="CK97" s="408"/>
      <c r="CL97" s="307"/>
      <c r="CM97" s="408"/>
      <c r="CN97" s="322"/>
      <c r="CO97" s="408"/>
      <c r="CP97" s="307"/>
      <c r="CQ97" s="408"/>
      <c r="CR97" s="322"/>
      <c r="CS97" s="408"/>
      <c r="CT97" s="307"/>
      <c r="CU97" s="408"/>
      <c r="CV97" s="322"/>
      <c r="CW97" s="408"/>
      <c r="CX97" s="307"/>
      <c r="CY97" s="408"/>
      <c r="CZ97" s="322"/>
      <c r="DA97" s="408"/>
      <c r="DB97" s="307"/>
      <c r="DC97" s="408"/>
      <c r="DD97" s="322"/>
      <c r="DE97" s="408"/>
      <c r="DF97" s="307"/>
      <c r="DG97" s="408"/>
      <c r="DH97" s="322"/>
      <c r="DI97" s="408"/>
      <c r="DJ97" s="307"/>
      <c r="DK97" s="408"/>
      <c r="DL97" s="322"/>
      <c r="DM97" s="408"/>
      <c r="DN97" s="307"/>
      <c r="DO97" s="408"/>
      <c r="DP97" s="340"/>
      <c r="DQ97" s="328"/>
      <c r="DR97" s="328"/>
      <c r="DS97" s="329"/>
      <c r="DT97" s="329"/>
      <c r="DU97" s="322"/>
      <c r="DV97" s="408"/>
      <c r="DW97" s="307"/>
      <c r="DX97" s="408"/>
      <c r="DY97" s="322"/>
      <c r="DZ97" s="408"/>
      <c r="EA97" s="307"/>
      <c r="EB97" s="408"/>
      <c r="EC97" s="322"/>
      <c r="ED97" s="408"/>
      <c r="EE97" s="307"/>
      <c r="EF97" s="408"/>
      <c r="EG97" s="322"/>
      <c r="EH97" s="408"/>
      <c r="EI97" s="307"/>
      <c r="EJ97" s="408"/>
      <c r="EK97" s="322"/>
      <c r="EL97" s="408"/>
      <c r="EM97" s="307"/>
      <c r="EN97" s="408"/>
      <c r="EO97" s="322"/>
      <c r="EP97" s="408"/>
      <c r="EQ97" s="307"/>
      <c r="ER97" s="408"/>
      <c r="ES97" s="322"/>
      <c r="ET97" s="408"/>
      <c r="EU97" s="307"/>
      <c r="EV97" s="408"/>
      <c r="EW97" s="322"/>
      <c r="EX97" s="408"/>
      <c r="EY97" s="307"/>
      <c r="EZ97" s="408"/>
      <c r="FA97" s="322"/>
      <c r="FB97" s="408"/>
      <c r="FC97" s="307"/>
      <c r="FD97" s="408"/>
      <c r="FE97" s="322"/>
      <c r="FF97" s="408"/>
      <c r="FG97" s="307"/>
      <c r="FH97" s="408"/>
      <c r="FI97" s="322"/>
      <c r="FJ97" s="408"/>
      <c r="FK97" s="307"/>
      <c r="FL97" s="408"/>
      <c r="FM97" s="322"/>
      <c r="FN97" s="408"/>
      <c r="FO97" s="307"/>
      <c r="FP97" s="408"/>
      <c r="FQ97" s="340"/>
      <c r="FR97" s="328"/>
      <c r="FS97" s="328"/>
      <c r="FT97" s="360"/>
    </row>
    <row r="98" spans="1:176" s="14" customFormat="1" outlineLevel="2">
      <c r="A98" s="418" t="s">
        <v>480</v>
      </c>
      <c r="B98" s="387"/>
      <c r="C98" s="541"/>
      <c r="D98" s="565"/>
      <c r="E98" s="13" t="str">
        <f>IF(ISBLANK(G98),"",IF($A$6:$A$330=$A98,COUNTIF($A$6:A98,$A98),""))</f>
        <v/>
      </c>
      <c r="F98" s="13"/>
      <c r="G98" s="111"/>
      <c r="H98" s="607" t="s">
        <v>43</v>
      </c>
      <c r="I98" s="617"/>
      <c r="J98" s="617"/>
      <c r="K98" s="113"/>
      <c r="L98" s="617" t="str">
        <f t="shared" ref="L98:L109" si="35">IF(K98="RUB",J98/ЮАНЬ,IF(K98="EUR",J98*ЕВРО/ЮАНЬ,""))</f>
        <v/>
      </c>
      <c r="M98" s="102"/>
      <c r="N98" s="305">
        <f t="shared" si="22"/>
        <v>0</v>
      </c>
      <c r="O98" s="40"/>
      <c r="P98" s="41"/>
      <c r="Q98" s="42"/>
      <c r="R98" s="41"/>
      <c r="S98" s="40"/>
      <c r="T98" s="41"/>
      <c r="U98" s="42"/>
      <c r="V98" s="41"/>
      <c r="W98" s="40"/>
      <c r="X98" s="41"/>
      <c r="Y98" s="42"/>
      <c r="Z98" s="41"/>
      <c r="AA98" s="40"/>
      <c r="AB98" s="41"/>
      <c r="AC98" s="42"/>
      <c r="AD98" s="41"/>
      <c r="AE98" s="40"/>
      <c r="AF98" s="41"/>
      <c r="AG98" s="42"/>
      <c r="AH98" s="41"/>
      <c r="AI98" s="40"/>
      <c r="AJ98" s="41"/>
      <c r="AK98" s="42"/>
      <c r="AL98" s="41"/>
      <c r="AM98" s="40"/>
      <c r="AN98" s="41"/>
      <c r="AO98" s="42"/>
      <c r="AP98" s="41"/>
      <c r="AQ98" s="40"/>
      <c r="AR98" s="41"/>
      <c r="AS98" s="42"/>
      <c r="AT98" s="41"/>
      <c r="AU98" s="40"/>
      <c r="AV98" s="41"/>
      <c r="AW98" s="42"/>
      <c r="AX98" s="41"/>
      <c r="AY98" s="40"/>
      <c r="AZ98" s="41"/>
      <c r="BA98" s="42"/>
      <c r="BB98" s="41"/>
      <c r="BC98" s="40"/>
      <c r="BD98" s="41"/>
      <c r="BE98" s="42"/>
      <c r="BF98" s="41"/>
      <c r="BG98" s="40"/>
      <c r="BH98" s="41"/>
      <c r="BI98" s="42"/>
      <c r="BJ98" s="24"/>
      <c r="BK98" s="340"/>
      <c r="BL98" s="27">
        <f t="shared" si="23"/>
        <v>0</v>
      </c>
      <c r="BM98" s="27">
        <f t="shared" si="24"/>
        <v>0</v>
      </c>
      <c r="BN98" s="28">
        <f t="shared" si="25"/>
        <v>0</v>
      </c>
      <c r="BO98" s="29">
        <f t="shared" si="26"/>
        <v>0</v>
      </c>
      <c r="BP98" s="30">
        <f t="shared" si="27"/>
        <v>0</v>
      </c>
      <c r="BQ98" s="31">
        <f t="shared" si="28"/>
        <v>0</v>
      </c>
      <c r="BR98" s="11"/>
      <c r="BS98" s="329"/>
      <c r="BT98" s="40"/>
      <c r="BU98" s="41"/>
      <c r="BV98" s="42"/>
      <c r="BW98" s="41"/>
      <c r="BX98" s="40"/>
      <c r="BY98" s="41"/>
      <c r="BZ98" s="42"/>
      <c r="CA98" s="41"/>
      <c r="CB98" s="40"/>
      <c r="CC98" s="41"/>
      <c r="CD98" s="42"/>
      <c r="CE98" s="41"/>
      <c r="CF98" s="40"/>
      <c r="CG98" s="41"/>
      <c r="CH98" s="42"/>
      <c r="CI98" s="41"/>
      <c r="CJ98" s="40"/>
      <c r="CK98" s="41"/>
      <c r="CL98" s="42"/>
      <c r="CM98" s="41"/>
      <c r="CN98" s="40"/>
      <c r="CO98" s="41"/>
      <c r="CP98" s="42"/>
      <c r="CQ98" s="41"/>
      <c r="CR98" s="40"/>
      <c r="CS98" s="41"/>
      <c r="CT98" s="42"/>
      <c r="CU98" s="41"/>
      <c r="CV98" s="40"/>
      <c r="CW98" s="41"/>
      <c r="CX98" s="42"/>
      <c r="CY98" s="41"/>
      <c r="CZ98" s="40"/>
      <c r="DA98" s="41"/>
      <c r="DB98" s="42"/>
      <c r="DC98" s="41"/>
      <c r="DD98" s="40"/>
      <c r="DE98" s="41"/>
      <c r="DF98" s="42"/>
      <c r="DG98" s="41"/>
      <c r="DH98" s="40"/>
      <c r="DI98" s="41"/>
      <c r="DJ98" s="42"/>
      <c r="DK98" s="41"/>
      <c r="DL98" s="40"/>
      <c r="DM98" s="41"/>
      <c r="DN98" s="42"/>
      <c r="DO98" s="24"/>
      <c r="DP98" s="340"/>
      <c r="DQ98" s="27">
        <f t="shared" ref="DQ98:DQ120" si="36">SUMPRODUCT(--(MOD(COLUMN(BT98:CQ98),4)=MOD(COLUMN(BT98),4)),BT98:CQ98)+SUMPRODUCT(--(MOD(COLUMN(CR98:DO98),4)=MOD(COLUMN(CR98),4)),CR98:DO98)</f>
        <v>0</v>
      </c>
      <c r="DR98" s="27">
        <f t="shared" ref="DR98:DR120" si="37">SUMPRODUCT(--(MOD(COLUMN(BT98:CQ98),4)=MOD(COLUMN(BT98),4)),BT98:CQ98)*$I98+SUMPRODUCT(--(MOD(COLUMN(CR98:DO98),4)=MOD(COLUMN(CR98),4)),CR98:DO98)*$I98</f>
        <v>0</v>
      </c>
      <c r="DS98" s="11"/>
      <c r="DT98" s="329"/>
      <c r="DU98" s="40"/>
      <c r="DV98" s="41"/>
      <c r="DW98" s="42"/>
      <c r="DX98" s="41"/>
      <c r="DY98" s="40"/>
      <c r="DZ98" s="41"/>
      <c r="EA98" s="42"/>
      <c r="EB98" s="41"/>
      <c r="EC98" s="40"/>
      <c r="ED98" s="41"/>
      <c r="EE98" s="42"/>
      <c r="EF98" s="41"/>
      <c r="EG98" s="40"/>
      <c r="EH98" s="41"/>
      <c r="EI98" s="42"/>
      <c r="EJ98" s="41"/>
      <c r="EK98" s="40"/>
      <c r="EL98" s="41"/>
      <c r="EM98" s="42"/>
      <c r="EN98" s="41"/>
      <c r="EO98" s="40"/>
      <c r="EP98" s="41"/>
      <c r="EQ98" s="42"/>
      <c r="ER98" s="41"/>
      <c r="ES98" s="40"/>
      <c r="ET98" s="41"/>
      <c r="EU98" s="42"/>
      <c r="EV98" s="41"/>
      <c r="EW98" s="40"/>
      <c r="EX98" s="41"/>
      <c r="EY98" s="42"/>
      <c r="EZ98" s="41"/>
      <c r="FA98" s="40"/>
      <c r="FB98" s="41"/>
      <c r="FC98" s="42"/>
      <c r="FD98" s="41"/>
      <c r="FE98" s="40"/>
      <c r="FF98" s="41"/>
      <c r="FG98" s="42"/>
      <c r="FH98" s="41"/>
      <c r="FI98" s="40"/>
      <c r="FJ98" s="41"/>
      <c r="FK98" s="42"/>
      <c r="FL98" s="41"/>
      <c r="FM98" s="40"/>
      <c r="FN98" s="41"/>
      <c r="FO98" s="42"/>
      <c r="FP98" s="24"/>
      <c r="FQ98" s="340"/>
      <c r="FR98" s="27">
        <f t="shared" ref="FR98:FR120" si="38">SUMPRODUCT(--(MOD(COLUMN(DU98:ER98),4)=MOD(COLUMN(DU98),4)),DU98:ER98)+SUMPRODUCT(--(MOD(COLUMN(ES98:FP98),4)=MOD(COLUMN(ES98),4)),ES98:FP98)</f>
        <v>0</v>
      </c>
      <c r="FS98" s="27">
        <f t="shared" ref="FS98:FS120" si="39">SUMPRODUCT(--(MOD(COLUMN(DU98:ER98),4)=MOD(COLUMN(DU98),4)),DU98:ER98)*$I98+SUMPRODUCT(--(MOD(COLUMN(ES98:FP98),4)=MOD(COLUMN(ES98),4)),ES98:FP98)*$I98</f>
        <v>0</v>
      </c>
      <c r="FT98" s="360"/>
    </row>
    <row r="99" spans="1:176" s="116" customFormat="1" outlineLevel="1">
      <c r="A99" s="46" t="s">
        <v>480</v>
      </c>
      <c r="B99" s="388"/>
      <c r="C99" s="650"/>
      <c r="D99" s="651"/>
      <c r="E99" s="118" t="str">
        <f>IF(ISBLANK(G99),"",IF($A$6:$A$330=$A99,COUNTIF($A$6:A99,$A99),""))</f>
        <v/>
      </c>
      <c r="F99" s="117"/>
      <c r="G99" s="119"/>
      <c r="H99" s="608"/>
      <c r="I99" s="620"/>
      <c r="J99" s="620"/>
      <c r="K99" s="120"/>
      <c r="L99" s="620" t="str">
        <f t="shared" si="35"/>
        <v/>
      </c>
      <c r="M99" s="102"/>
      <c r="N99" s="305">
        <f t="shared" si="22"/>
        <v>0</v>
      </c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  <c r="AO99" s="121"/>
      <c r="AP99" s="121"/>
      <c r="AQ99" s="121"/>
      <c r="AR99" s="121"/>
      <c r="AS99" s="121"/>
      <c r="AT99" s="121"/>
      <c r="AU99" s="121"/>
      <c r="AV99" s="121"/>
      <c r="AW99" s="121"/>
      <c r="AX99" s="121"/>
      <c r="AY99" s="121"/>
      <c r="AZ99" s="121"/>
      <c r="BA99" s="121"/>
      <c r="BB99" s="121"/>
      <c r="BC99" s="121"/>
      <c r="BD99" s="121"/>
      <c r="BE99" s="121"/>
      <c r="BF99" s="121"/>
      <c r="BG99" s="121"/>
      <c r="BH99" s="121"/>
      <c r="BI99" s="121"/>
      <c r="BJ99" s="121"/>
      <c r="BK99" s="356"/>
      <c r="BL99" s="52">
        <f t="shared" si="23"/>
        <v>0</v>
      </c>
      <c r="BM99" s="52">
        <f t="shared" si="24"/>
        <v>0</v>
      </c>
      <c r="BN99" s="52">
        <f t="shared" si="25"/>
        <v>0</v>
      </c>
      <c r="BO99" s="52">
        <f t="shared" si="26"/>
        <v>0</v>
      </c>
      <c r="BP99" s="52">
        <f t="shared" si="27"/>
        <v>0</v>
      </c>
      <c r="BQ99" s="52">
        <f t="shared" si="28"/>
        <v>0</v>
      </c>
      <c r="BR99" s="51"/>
      <c r="BS99" s="335"/>
      <c r="BT99" s="121"/>
      <c r="BU99" s="121"/>
      <c r="BV99" s="121"/>
      <c r="BW99" s="121"/>
      <c r="BX99" s="121"/>
      <c r="BY99" s="121"/>
      <c r="BZ99" s="121"/>
      <c r="CA99" s="121"/>
      <c r="CB99" s="121"/>
      <c r="CC99" s="121"/>
      <c r="CD99" s="121"/>
      <c r="CE99" s="121"/>
      <c r="CF99" s="121"/>
      <c r="CG99" s="121"/>
      <c r="CH99" s="121"/>
      <c r="CI99" s="121"/>
      <c r="CJ99" s="121"/>
      <c r="CK99" s="121"/>
      <c r="CL99" s="121"/>
      <c r="CM99" s="121"/>
      <c r="CN99" s="121"/>
      <c r="CO99" s="121"/>
      <c r="CP99" s="121"/>
      <c r="CQ99" s="121"/>
      <c r="CR99" s="121"/>
      <c r="CS99" s="121"/>
      <c r="CT99" s="121"/>
      <c r="CU99" s="121"/>
      <c r="CV99" s="121"/>
      <c r="CW99" s="121"/>
      <c r="CX99" s="121"/>
      <c r="CY99" s="121"/>
      <c r="CZ99" s="121"/>
      <c r="DA99" s="121"/>
      <c r="DB99" s="121"/>
      <c r="DC99" s="121"/>
      <c r="DD99" s="121"/>
      <c r="DE99" s="121"/>
      <c r="DF99" s="121"/>
      <c r="DG99" s="121"/>
      <c r="DH99" s="121"/>
      <c r="DI99" s="121"/>
      <c r="DJ99" s="121"/>
      <c r="DK99" s="121"/>
      <c r="DL99" s="121"/>
      <c r="DM99" s="121"/>
      <c r="DN99" s="121"/>
      <c r="DO99" s="121"/>
      <c r="DP99" s="356"/>
      <c r="DQ99" s="52">
        <f t="shared" si="36"/>
        <v>0</v>
      </c>
      <c r="DR99" s="52">
        <f t="shared" si="37"/>
        <v>0</v>
      </c>
      <c r="DS99" s="51"/>
      <c r="DT99" s="335"/>
      <c r="DU99" s="121"/>
      <c r="DV99" s="121"/>
      <c r="DW99" s="121"/>
      <c r="DX99" s="121"/>
      <c r="DY99" s="121"/>
      <c r="DZ99" s="121"/>
      <c r="EA99" s="121"/>
      <c r="EB99" s="121"/>
      <c r="EC99" s="121"/>
      <c r="ED99" s="121"/>
      <c r="EE99" s="121"/>
      <c r="EF99" s="121"/>
      <c r="EG99" s="121"/>
      <c r="EH99" s="121"/>
      <c r="EI99" s="121"/>
      <c r="EJ99" s="121"/>
      <c r="EK99" s="121"/>
      <c r="EL99" s="121"/>
      <c r="EM99" s="121"/>
      <c r="EN99" s="121"/>
      <c r="EO99" s="121"/>
      <c r="EP99" s="121"/>
      <c r="EQ99" s="121"/>
      <c r="ER99" s="121"/>
      <c r="ES99" s="121"/>
      <c r="ET99" s="121"/>
      <c r="EU99" s="121"/>
      <c r="EV99" s="121"/>
      <c r="EW99" s="121"/>
      <c r="EX99" s="121"/>
      <c r="EY99" s="121"/>
      <c r="EZ99" s="121"/>
      <c r="FA99" s="121"/>
      <c r="FB99" s="121"/>
      <c r="FC99" s="121"/>
      <c r="FD99" s="121"/>
      <c r="FE99" s="121"/>
      <c r="FF99" s="121"/>
      <c r="FG99" s="121"/>
      <c r="FH99" s="121"/>
      <c r="FI99" s="121"/>
      <c r="FJ99" s="121"/>
      <c r="FK99" s="121"/>
      <c r="FL99" s="121"/>
      <c r="FM99" s="121"/>
      <c r="FN99" s="121"/>
      <c r="FO99" s="121"/>
      <c r="FP99" s="121"/>
      <c r="FQ99" s="356"/>
      <c r="FR99" s="52">
        <f t="shared" si="38"/>
        <v>0</v>
      </c>
      <c r="FS99" s="52">
        <f t="shared" si="39"/>
        <v>0</v>
      </c>
      <c r="FT99" s="343"/>
    </row>
    <row r="100" spans="1:176" outlineLevel="2">
      <c r="A100" s="56" t="s">
        <v>479</v>
      </c>
      <c r="B100" s="387" t="s">
        <v>110</v>
      </c>
      <c r="C100" s="541" t="s">
        <v>31</v>
      </c>
      <c r="D100" s="565" t="s">
        <v>32</v>
      </c>
      <c r="E100" s="10">
        <f>IF(ISBLANK(G100),"",IF($A$6:$A$330=$A100,COUNTIF($A$6:A100,$A100),""))</f>
        <v>1</v>
      </c>
      <c r="F100" s="10">
        <v>1</v>
      </c>
      <c r="G100" s="55">
        <v>4231069000</v>
      </c>
      <c r="H100" s="54" t="s">
        <v>52</v>
      </c>
      <c r="I100" s="617">
        <f>145/НДС_20</f>
        <v>120.83333333333334</v>
      </c>
      <c r="J100" s="617"/>
      <c r="K100" s="113"/>
      <c r="L100" s="617" t="str">
        <f t="shared" si="35"/>
        <v/>
      </c>
      <c r="M100" s="102"/>
      <c r="N100" s="305">
        <f t="shared" si="22"/>
        <v>0</v>
      </c>
      <c r="O100" s="23"/>
      <c r="P100" s="24"/>
      <c r="Q100" s="25"/>
      <c r="R100" s="24"/>
      <c r="S100" s="23"/>
      <c r="T100" s="24"/>
      <c r="U100" s="25"/>
      <c r="V100" s="24"/>
      <c r="W100" s="23"/>
      <c r="X100" s="24"/>
      <c r="Y100" s="25"/>
      <c r="Z100" s="24"/>
      <c r="AA100" s="23"/>
      <c r="AB100" s="24"/>
      <c r="AC100" s="25"/>
      <c r="AD100" s="24"/>
      <c r="AE100" s="23"/>
      <c r="AF100" s="24"/>
      <c r="AG100" s="25"/>
      <c r="AH100" s="24"/>
      <c r="AI100" s="23"/>
      <c r="AJ100" s="24"/>
      <c r="AK100" s="25"/>
      <c r="AL100" s="24"/>
      <c r="AM100" s="23"/>
      <c r="AN100" s="24"/>
      <c r="AO100" s="25"/>
      <c r="AP100" s="24"/>
      <c r="AQ100" s="23"/>
      <c r="AR100" s="24"/>
      <c r="AS100" s="25"/>
      <c r="AT100" s="24"/>
      <c r="AU100" s="23"/>
      <c r="AV100" s="24"/>
      <c r="AW100" s="25"/>
      <c r="AX100" s="24"/>
      <c r="AY100" s="23"/>
      <c r="AZ100" s="24"/>
      <c r="BA100" s="25"/>
      <c r="BB100" s="24"/>
      <c r="BC100" s="23"/>
      <c r="BD100" s="24"/>
      <c r="BE100" s="25"/>
      <c r="BF100" s="24"/>
      <c r="BG100" s="23"/>
      <c r="BH100" s="24"/>
      <c r="BI100" s="25"/>
      <c r="BJ100" s="24"/>
      <c r="BK100" s="340"/>
      <c r="BL100" s="32">
        <f t="shared" si="23"/>
        <v>0</v>
      </c>
      <c r="BM100" s="32">
        <f t="shared" si="24"/>
        <v>0</v>
      </c>
      <c r="BN100" s="28">
        <f t="shared" si="25"/>
        <v>0</v>
      </c>
      <c r="BO100" s="29">
        <f t="shared" si="26"/>
        <v>0</v>
      </c>
      <c r="BP100" s="30">
        <f t="shared" si="27"/>
        <v>0</v>
      </c>
      <c r="BQ100" s="31">
        <f t="shared" si="28"/>
        <v>0</v>
      </c>
      <c r="BR100" s="11"/>
      <c r="BS100" s="329"/>
      <c r="BT100" s="23"/>
      <c r="BU100" s="24"/>
      <c r="BV100" s="25"/>
      <c r="BW100" s="24"/>
      <c r="BX100" s="23"/>
      <c r="BY100" s="24"/>
      <c r="BZ100" s="25"/>
      <c r="CA100" s="24"/>
      <c r="CB100" s="23"/>
      <c r="CC100" s="24"/>
      <c r="CD100" s="25"/>
      <c r="CE100" s="24"/>
      <c r="CF100" s="23"/>
      <c r="CG100" s="24"/>
      <c r="CH100" s="25"/>
      <c r="CI100" s="24"/>
      <c r="CJ100" s="23"/>
      <c r="CK100" s="24"/>
      <c r="CL100" s="25"/>
      <c r="CM100" s="24"/>
      <c r="CN100" s="23"/>
      <c r="CO100" s="24"/>
      <c r="CP100" s="25"/>
      <c r="CQ100" s="24"/>
      <c r="CR100" s="23"/>
      <c r="CS100" s="24"/>
      <c r="CT100" s="25"/>
      <c r="CU100" s="24"/>
      <c r="CV100" s="23"/>
      <c r="CW100" s="24"/>
      <c r="CX100" s="25"/>
      <c r="CY100" s="24"/>
      <c r="CZ100" s="23"/>
      <c r="DA100" s="24"/>
      <c r="DB100" s="25"/>
      <c r="DC100" s="24"/>
      <c r="DD100" s="23"/>
      <c r="DE100" s="24"/>
      <c r="DF100" s="25"/>
      <c r="DG100" s="24"/>
      <c r="DH100" s="23"/>
      <c r="DI100" s="24"/>
      <c r="DJ100" s="25"/>
      <c r="DK100" s="24"/>
      <c r="DL100" s="23"/>
      <c r="DM100" s="24"/>
      <c r="DN100" s="25"/>
      <c r="DO100" s="24"/>
      <c r="DP100" s="340"/>
      <c r="DQ100" s="32">
        <f t="shared" si="36"/>
        <v>0</v>
      </c>
      <c r="DR100" s="32">
        <f t="shared" si="37"/>
        <v>0</v>
      </c>
      <c r="DS100" s="11"/>
      <c r="DT100" s="329"/>
      <c r="DU100" s="23"/>
      <c r="DV100" s="24"/>
      <c r="DW100" s="25"/>
      <c r="DX100" s="24"/>
      <c r="DY100" s="23"/>
      <c r="DZ100" s="24"/>
      <c r="EA100" s="25"/>
      <c r="EB100" s="24"/>
      <c r="EC100" s="23"/>
      <c r="ED100" s="24"/>
      <c r="EE100" s="25"/>
      <c r="EF100" s="24"/>
      <c r="EG100" s="23"/>
      <c r="EH100" s="24"/>
      <c r="EI100" s="25"/>
      <c r="EJ100" s="24"/>
      <c r="EK100" s="23"/>
      <c r="EL100" s="24"/>
      <c r="EM100" s="25"/>
      <c r="EN100" s="24"/>
      <c r="EO100" s="23"/>
      <c r="EP100" s="24"/>
      <c r="EQ100" s="25"/>
      <c r="ER100" s="24"/>
      <c r="ES100" s="23"/>
      <c r="ET100" s="24"/>
      <c r="EU100" s="25"/>
      <c r="EV100" s="24"/>
      <c r="EW100" s="23"/>
      <c r="EX100" s="24"/>
      <c r="EY100" s="25"/>
      <c r="EZ100" s="24"/>
      <c r="FA100" s="23"/>
      <c r="FB100" s="24"/>
      <c r="FC100" s="25"/>
      <c r="FD100" s="24"/>
      <c r="FE100" s="23"/>
      <c r="FF100" s="24"/>
      <c r="FG100" s="25"/>
      <c r="FH100" s="24"/>
      <c r="FI100" s="23"/>
      <c r="FJ100" s="24"/>
      <c r="FK100" s="25"/>
      <c r="FL100" s="24"/>
      <c r="FM100" s="23"/>
      <c r="FN100" s="24"/>
      <c r="FO100" s="25"/>
      <c r="FP100" s="24"/>
      <c r="FQ100" s="340"/>
      <c r="FR100" s="32">
        <f t="shared" si="38"/>
        <v>0</v>
      </c>
      <c r="FS100" s="32">
        <f t="shared" si="39"/>
        <v>0</v>
      </c>
      <c r="FT100" s="361"/>
    </row>
    <row r="101" spans="1:176" outlineLevel="2">
      <c r="A101" s="56" t="s">
        <v>479</v>
      </c>
      <c r="B101" s="387" t="s">
        <v>110</v>
      </c>
      <c r="C101" s="541" t="s">
        <v>31</v>
      </c>
      <c r="D101" s="565" t="s">
        <v>32</v>
      </c>
      <c r="E101" s="10">
        <f>IF(ISBLANK(G101),"",IF($A$6:$A$330=$A101,COUNTIF($A$6:A101,$A101),""))</f>
        <v>2</v>
      </c>
      <c r="F101" s="10">
        <v>1</v>
      </c>
      <c r="G101" s="55">
        <v>4231079000</v>
      </c>
      <c r="H101" s="54" t="s">
        <v>53</v>
      </c>
      <c r="I101" s="617">
        <f>153/НДС_20</f>
        <v>127.5</v>
      </c>
      <c r="J101" s="617"/>
      <c r="K101" s="113"/>
      <c r="L101" s="617" t="str">
        <f t="shared" si="35"/>
        <v/>
      </c>
      <c r="M101" s="102"/>
      <c r="N101" s="305">
        <f t="shared" si="22"/>
        <v>0</v>
      </c>
      <c r="O101" s="23"/>
      <c r="P101" s="24"/>
      <c r="Q101" s="25"/>
      <c r="R101" s="24"/>
      <c r="S101" s="23"/>
      <c r="T101" s="24"/>
      <c r="U101" s="25"/>
      <c r="V101" s="24"/>
      <c r="W101" s="23"/>
      <c r="X101" s="24"/>
      <c r="Y101" s="25"/>
      <c r="Z101" s="24"/>
      <c r="AA101" s="23"/>
      <c r="AB101" s="24"/>
      <c r="AC101" s="25">
        <v>0</v>
      </c>
      <c r="AD101" s="24"/>
      <c r="AE101" s="23"/>
      <c r="AF101" s="24"/>
      <c r="AG101" s="25"/>
      <c r="AH101" s="24"/>
      <c r="AI101" s="23"/>
      <c r="AJ101" s="24"/>
      <c r="AK101" s="25"/>
      <c r="AL101" s="24"/>
      <c r="AM101" s="23"/>
      <c r="AN101" s="24"/>
      <c r="AO101" s="25"/>
      <c r="AP101" s="24"/>
      <c r="AQ101" s="23"/>
      <c r="AR101" s="24"/>
      <c r="AS101" s="25"/>
      <c r="AT101" s="24"/>
      <c r="AU101" s="23"/>
      <c r="AV101" s="24"/>
      <c r="AW101" s="25"/>
      <c r="AX101" s="24"/>
      <c r="AY101" s="23"/>
      <c r="AZ101" s="24"/>
      <c r="BA101" s="25"/>
      <c r="BB101" s="24"/>
      <c r="BC101" s="23"/>
      <c r="BD101" s="24"/>
      <c r="BE101" s="25"/>
      <c r="BF101" s="24"/>
      <c r="BG101" s="23"/>
      <c r="BH101" s="24"/>
      <c r="BI101" s="25"/>
      <c r="BJ101" s="24"/>
      <c r="BK101" s="340"/>
      <c r="BL101" s="32">
        <f t="shared" si="23"/>
        <v>0</v>
      </c>
      <c r="BM101" s="32">
        <f t="shared" si="24"/>
        <v>0</v>
      </c>
      <c r="BN101" s="28">
        <f t="shared" si="25"/>
        <v>0</v>
      </c>
      <c r="BO101" s="29">
        <f t="shared" si="26"/>
        <v>0</v>
      </c>
      <c r="BP101" s="30">
        <f t="shared" si="27"/>
        <v>0</v>
      </c>
      <c r="BQ101" s="31">
        <f t="shared" si="28"/>
        <v>0</v>
      </c>
      <c r="BR101" s="11"/>
      <c r="BS101" s="329"/>
      <c r="BT101" s="23"/>
      <c r="BU101" s="24"/>
      <c r="BV101" s="25"/>
      <c r="BW101" s="24"/>
      <c r="BX101" s="23"/>
      <c r="BY101" s="24"/>
      <c r="BZ101" s="25"/>
      <c r="CA101" s="24"/>
      <c r="CB101" s="23"/>
      <c r="CC101" s="24"/>
      <c r="CD101" s="25"/>
      <c r="CE101" s="24"/>
      <c r="CF101" s="23"/>
      <c r="CG101" s="24"/>
      <c r="CH101" s="25"/>
      <c r="CI101" s="24"/>
      <c r="CJ101" s="23"/>
      <c r="CK101" s="24"/>
      <c r="CL101" s="25"/>
      <c r="CM101" s="24"/>
      <c r="CN101" s="23"/>
      <c r="CO101" s="24"/>
      <c r="CP101" s="25"/>
      <c r="CQ101" s="24"/>
      <c r="CR101" s="23"/>
      <c r="CS101" s="24"/>
      <c r="CT101" s="25"/>
      <c r="CU101" s="24"/>
      <c r="CV101" s="23"/>
      <c r="CW101" s="24"/>
      <c r="CX101" s="25"/>
      <c r="CY101" s="24"/>
      <c r="CZ101" s="23"/>
      <c r="DA101" s="24"/>
      <c r="DB101" s="25"/>
      <c r="DC101" s="24"/>
      <c r="DD101" s="23"/>
      <c r="DE101" s="24"/>
      <c r="DF101" s="25"/>
      <c r="DG101" s="24"/>
      <c r="DH101" s="23"/>
      <c r="DI101" s="24"/>
      <c r="DJ101" s="25"/>
      <c r="DK101" s="24"/>
      <c r="DL101" s="23"/>
      <c r="DM101" s="24"/>
      <c r="DN101" s="25"/>
      <c r="DO101" s="24"/>
      <c r="DP101" s="340"/>
      <c r="DQ101" s="32">
        <f t="shared" si="36"/>
        <v>0</v>
      </c>
      <c r="DR101" s="32">
        <f t="shared" si="37"/>
        <v>0</v>
      </c>
      <c r="DS101" s="11"/>
      <c r="DT101" s="329"/>
      <c r="DU101" s="23"/>
      <c r="DV101" s="24"/>
      <c r="DW101" s="25"/>
      <c r="DX101" s="24"/>
      <c r="DY101" s="23"/>
      <c r="DZ101" s="24"/>
      <c r="EA101" s="25"/>
      <c r="EB101" s="24"/>
      <c r="EC101" s="23"/>
      <c r="ED101" s="24"/>
      <c r="EE101" s="25"/>
      <c r="EF101" s="24"/>
      <c r="EG101" s="23"/>
      <c r="EH101" s="24"/>
      <c r="EI101" s="25"/>
      <c r="EJ101" s="24"/>
      <c r="EK101" s="23"/>
      <c r="EL101" s="24"/>
      <c r="EM101" s="25"/>
      <c r="EN101" s="24"/>
      <c r="EO101" s="23"/>
      <c r="EP101" s="24"/>
      <c r="EQ101" s="25"/>
      <c r="ER101" s="24"/>
      <c r="ES101" s="23"/>
      <c r="ET101" s="24"/>
      <c r="EU101" s="25"/>
      <c r="EV101" s="24"/>
      <c r="EW101" s="23"/>
      <c r="EX101" s="24"/>
      <c r="EY101" s="25"/>
      <c r="EZ101" s="24"/>
      <c r="FA101" s="23"/>
      <c r="FB101" s="24"/>
      <c r="FC101" s="25"/>
      <c r="FD101" s="24"/>
      <c r="FE101" s="23"/>
      <c r="FF101" s="24"/>
      <c r="FG101" s="25"/>
      <c r="FH101" s="24"/>
      <c r="FI101" s="23"/>
      <c r="FJ101" s="24"/>
      <c r="FK101" s="25"/>
      <c r="FL101" s="24"/>
      <c r="FM101" s="23"/>
      <c r="FN101" s="24"/>
      <c r="FO101" s="25"/>
      <c r="FP101" s="24"/>
      <c r="FQ101" s="340"/>
      <c r="FR101" s="32">
        <f t="shared" si="38"/>
        <v>0</v>
      </c>
      <c r="FS101" s="32">
        <f t="shared" si="39"/>
        <v>0</v>
      </c>
      <c r="FT101" s="361"/>
    </row>
    <row r="102" spans="1:176" outlineLevel="2">
      <c r="A102" s="56" t="s">
        <v>479</v>
      </c>
      <c r="B102" s="387" t="s">
        <v>110</v>
      </c>
      <c r="C102" s="541" t="s">
        <v>31</v>
      </c>
      <c r="D102" s="565" t="s">
        <v>32</v>
      </c>
      <c r="E102" s="10">
        <f>IF(ISBLANK(G102),"",IF($A$6:$A$330=$A102,COUNTIF($A$6:A102,$A102),""))</f>
        <v>3</v>
      </c>
      <c r="F102" s="10">
        <v>1</v>
      </c>
      <c r="G102" s="55">
        <v>9253761210</v>
      </c>
      <c r="H102" s="54" t="s">
        <v>54</v>
      </c>
      <c r="I102" s="617">
        <f>301/НДС_20</f>
        <v>250.83333333333334</v>
      </c>
      <c r="J102" s="617"/>
      <c r="K102" s="113"/>
      <c r="L102" s="617" t="str">
        <f t="shared" si="35"/>
        <v/>
      </c>
      <c r="M102" s="102"/>
      <c r="N102" s="305">
        <f t="shared" si="22"/>
        <v>0</v>
      </c>
      <c r="O102" s="23"/>
      <c r="P102" s="24"/>
      <c r="Q102" s="25"/>
      <c r="R102" s="24"/>
      <c r="S102" s="23"/>
      <c r="T102" s="24"/>
      <c r="U102" s="25"/>
      <c r="V102" s="24"/>
      <c r="W102" s="23"/>
      <c r="X102" s="24"/>
      <c r="Y102" s="25"/>
      <c r="Z102" s="24"/>
      <c r="AA102" s="23"/>
      <c r="AB102" s="24"/>
      <c r="AC102" s="25"/>
      <c r="AD102" s="24"/>
      <c r="AE102" s="23"/>
      <c r="AF102" s="24"/>
      <c r="AG102" s="25"/>
      <c r="AH102" s="24"/>
      <c r="AI102" s="23"/>
      <c r="AJ102" s="24"/>
      <c r="AK102" s="25"/>
      <c r="AL102" s="24"/>
      <c r="AM102" s="23"/>
      <c r="AN102" s="24"/>
      <c r="AO102" s="25"/>
      <c r="AP102" s="24"/>
      <c r="AQ102" s="23"/>
      <c r="AR102" s="24"/>
      <c r="AS102" s="25"/>
      <c r="AT102" s="24"/>
      <c r="AU102" s="23"/>
      <c r="AV102" s="24"/>
      <c r="AW102" s="25"/>
      <c r="AX102" s="24"/>
      <c r="AY102" s="23"/>
      <c r="AZ102" s="24"/>
      <c r="BA102" s="25"/>
      <c r="BB102" s="24"/>
      <c r="BC102" s="23"/>
      <c r="BD102" s="24"/>
      <c r="BE102" s="25"/>
      <c r="BF102" s="24"/>
      <c r="BG102" s="23"/>
      <c r="BH102" s="24"/>
      <c r="BI102" s="25"/>
      <c r="BJ102" s="24"/>
      <c r="BK102" s="340"/>
      <c r="BL102" s="32">
        <f t="shared" si="23"/>
        <v>0</v>
      </c>
      <c r="BM102" s="32">
        <f t="shared" si="24"/>
        <v>0</v>
      </c>
      <c r="BN102" s="28">
        <f t="shared" si="25"/>
        <v>0</v>
      </c>
      <c r="BO102" s="29">
        <f t="shared" si="26"/>
        <v>0</v>
      </c>
      <c r="BP102" s="30">
        <f t="shared" si="27"/>
        <v>0</v>
      </c>
      <c r="BQ102" s="31">
        <f t="shared" si="28"/>
        <v>0</v>
      </c>
      <c r="BR102" s="11"/>
      <c r="BS102" s="329"/>
      <c r="BT102" s="23"/>
      <c r="BU102" s="24"/>
      <c r="BV102" s="25"/>
      <c r="BW102" s="24"/>
      <c r="BX102" s="23"/>
      <c r="BY102" s="24"/>
      <c r="BZ102" s="25"/>
      <c r="CA102" s="24"/>
      <c r="CB102" s="23"/>
      <c r="CC102" s="24"/>
      <c r="CD102" s="25"/>
      <c r="CE102" s="24"/>
      <c r="CF102" s="23"/>
      <c r="CG102" s="24"/>
      <c r="CH102" s="25"/>
      <c r="CI102" s="24"/>
      <c r="CJ102" s="23"/>
      <c r="CK102" s="24"/>
      <c r="CL102" s="25"/>
      <c r="CM102" s="24"/>
      <c r="CN102" s="23"/>
      <c r="CO102" s="24"/>
      <c r="CP102" s="25"/>
      <c r="CQ102" s="24"/>
      <c r="CR102" s="23"/>
      <c r="CS102" s="24"/>
      <c r="CT102" s="25"/>
      <c r="CU102" s="24"/>
      <c r="CV102" s="23"/>
      <c r="CW102" s="24"/>
      <c r="CX102" s="25"/>
      <c r="CY102" s="24"/>
      <c r="CZ102" s="23"/>
      <c r="DA102" s="24"/>
      <c r="DB102" s="25"/>
      <c r="DC102" s="24"/>
      <c r="DD102" s="23"/>
      <c r="DE102" s="24"/>
      <c r="DF102" s="25"/>
      <c r="DG102" s="24"/>
      <c r="DH102" s="23"/>
      <c r="DI102" s="24"/>
      <c r="DJ102" s="25"/>
      <c r="DK102" s="24"/>
      <c r="DL102" s="23"/>
      <c r="DM102" s="24"/>
      <c r="DN102" s="25"/>
      <c r="DO102" s="24"/>
      <c r="DP102" s="340"/>
      <c r="DQ102" s="32">
        <f t="shared" si="36"/>
        <v>0</v>
      </c>
      <c r="DR102" s="32">
        <f t="shared" si="37"/>
        <v>0</v>
      </c>
      <c r="DS102" s="11"/>
      <c r="DT102" s="329"/>
      <c r="DU102" s="23"/>
      <c r="DV102" s="24"/>
      <c r="DW102" s="25"/>
      <c r="DX102" s="24"/>
      <c r="DY102" s="23"/>
      <c r="DZ102" s="24"/>
      <c r="EA102" s="25"/>
      <c r="EB102" s="24"/>
      <c r="EC102" s="23"/>
      <c r="ED102" s="24"/>
      <c r="EE102" s="25"/>
      <c r="EF102" s="24"/>
      <c r="EG102" s="23"/>
      <c r="EH102" s="24"/>
      <c r="EI102" s="25"/>
      <c r="EJ102" s="24"/>
      <c r="EK102" s="23"/>
      <c r="EL102" s="24"/>
      <c r="EM102" s="25"/>
      <c r="EN102" s="24"/>
      <c r="EO102" s="23"/>
      <c r="EP102" s="24"/>
      <c r="EQ102" s="25"/>
      <c r="ER102" s="24"/>
      <c r="ES102" s="23"/>
      <c r="ET102" s="24"/>
      <c r="EU102" s="25"/>
      <c r="EV102" s="24"/>
      <c r="EW102" s="23"/>
      <c r="EX102" s="24"/>
      <c r="EY102" s="25"/>
      <c r="EZ102" s="24"/>
      <c r="FA102" s="23"/>
      <c r="FB102" s="24"/>
      <c r="FC102" s="25"/>
      <c r="FD102" s="24"/>
      <c r="FE102" s="23"/>
      <c r="FF102" s="24"/>
      <c r="FG102" s="25"/>
      <c r="FH102" s="24"/>
      <c r="FI102" s="23"/>
      <c r="FJ102" s="24"/>
      <c r="FK102" s="25"/>
      <c r="FL102" s="24"/>
      <c r="FM102" s="23"/>
      <c r="FN102" s="24"/>
      <c r="FO102" s="25"/>
      <c r="FP102" s="24"/>
      <c r="FQ102" s="340"/>
      <c r="FR102" s="32">
        <f t="shared" si="38"/>
        <v>0</v>
      </c>
      <c r="FS102" s="32">
        <f t="shared" si="39"/>
        <v>0</v>
      </c>
      <c r="FT102" s="361"/>
    </row>
    <row r="103" spans="1:176" outlineLevel="2">
      <c r="A103" s="56" t="s">
        <v>479</v>
      </c>
      <c r="B103" s="387" t="s">
        <v>110</v>
      </c>
      <c r="C103" s="541" t="s">
        <v>31</v>
      </c>
      <c r="D103" s="565" t="s">
        <v>32</v>
      </c>
      <c r="E103" s="10">
        <f>IF(ISBLANK(G103),"",IF($A$6:$A$330=$A103,COUNTIF($A$6:A103,$A103),""))</f>
        <v>4</v>
      </c>
      <c r="F103" s="10">
        <v>1</v>
      </c>
      <c r="G103" s="55">
        <v>9253771100</v>
      </c>
      <c r="H103" s="54" t="s">
        <v>55</v>
      </c>
      <c r="I103" s="617">
        <f>305/НДС_20</f>
        <v>254.16666666666669</v>
      </c>
      <c r="J103" s="617"/>
      <c r="K103" s="113"/>
      <c r="L103" s="617" t="str">
        <f t="shared" si="35"/>
        <v/>
      </c>
      <c r="M103" s="102"/>
      <c r="N103" s="305">
        <f t="shared" si="22"/>
        <v>0</v>
      </c>
      <c r="O103" s="23"/>
      <c r="P103" s="24"/>
      <c r="Q103" s="25"/>
      <c r="R103" s="24"/>
      <c r="S103" s="23"/>
      <c r="T103" s="24"/>
      <c r="U103" s="25"/>
      <c r="V103" s="24"/>
      <c r="W103" s="23"/>
      <c r="X103" s="24"/>
      <c r="Y103" s="25"/>
      <c r="Z103" s="24"/>
      <c r="AA103" s="23"/>
      <c r="AB103" s="24"/>
      <c r="AC103" s="25"/>
      <c r="AD103" s="24"/>
      <c r="AE103" s="23"/>
      <c r="AF103" s="24"/>
      <c r="AG103" s="25"/>
      <c r="AH103" s="24"/>
      <c r="AI103" s="23"/>
      <c r="AJ103" s="24"/>
      <c r="AK103" s="25"/>
      <c r="AL103" s="24"/>
      <c r="AM103" s="23"/>
      <c r="AN103" s="24"/>
      <c r="AO103" s="25"/>
      <c r="AP103" s="24"/>
      <c r="AQ103" s="23"/>
      <c r="AR103" s="24"/>
      <c r="AS103" s="25"/>
      <c r="AT103" s="24"/>
      <c r="AU103" s="23"/>
      <c r="AV103" s="24"/>
      <c r="AW103" s="25"/>
      <c r="AX103" s="24"/>
      <c r="AY103" s="23"/>
      <c r="AZ103" s="24"/>
      <c r="BA103" s="25"/>
      <c r="BB103" s="24"/>
      <c r="BC103" s="23"/>
      <c r="BD103" s="24"/>
      <c r="BE103" s="25"/>
      <c r="BF103" s="24"/>
      <c r="BG103" s="23"/>
      <c r="BH103" s="24"/>
      <c r="BI103" s="25"/>
      <c r="BJ103" s="24"/>
      <c r="BK103" s="340"/>
      <c r="BL103" s="32">
        <f t="shared" si="23"/>
        <v>0</v>
      </c>
      <c r="BM103" s="32">
        <f t="shared" si="24"/>
        <v>0</v>
      </c>
      <c r="BN103" s="28">
        <f t="shared" si="25"/>
        <v>0</v>
      </c>
      <c r="BO103" s="29">
        <f t="shared" si="26"/>
        <v>0</v>
      </c>
      <c r="BP103" s="30">
        <f t="shared" si="27"/>
        <v>0</v>
      </c>
      <c r="BQ103" s="31">
        <f t="shared" si="28"/>
        <v>0</v>
      </c>
      <c r="BR103" s="11"/>
      <c r="BS103" s="329"/>
      <c r="BT103" s="23"/>
      <c r="BU103" s="24"/>
      <c r="BV103" s="25"/>
      <c r="BW103" s="24"/>
      <c r="BX103" s="23"/>
      <c r="BY103" s="24"/>
      <c r="BZ103" s="25"/>
      <c r="CA103" s="24"/>
      <c r="CB103" s="23"/>
      <c r="CC103" s="24"/>
      <c r="CD103" s="25"/>
      <c r="CE103" s="24"/>
      <c r="CF103" s="23"/>
      <c r="CG103" s="24"/>
      <c r="CH103" s="25"/>
      <c r="CI103" s="24"/>
      <c r="CJ103" s="23"/>
      <c r="CK103" s="24"/>
      <c r="CL103" s="25"/>
      <c r="CM103" s="24"/>
      <c r="CN103" s="23"/>
      <c r="CO103" s="24"/>
      <c r="CP103" s="25"/>
      <c r="CQ103" s="24"/>
      <c r="CR103" s="23"/>
      <c r="CS103" s="24"/>
      <c r="CT103" s="25"/>
      <c r="CU103" s="24"/>
      <c r="CV103" s="23"/>
      <c r="CW103" s="24"/>
      <c r="CX103" s="25"/>
      <c r="CY103" s="24"/>
      <c r="CZ103" s="23"/>
      <c r="DA103" s="24"/>
      <c r="DB103" s="25"/>
      <c r="DC103" s="24"/>
      <c r="DD103" s="23"/>
      <c r="DE103" s="24"/>
      <c r="DF103" s="25"/>
      <c r="DG103" s="24"/>
      <c r="DH103" s="23"/>
      <c r="DI103" s="24"/>
      <c r="DJ103" s="25"/>
      <c r="DK103" s="24"/>
      <c r="DL103" s="23"/>
      <c r="DM103" s="24"/>
      <c r="DN103" s="25"/>
      <c r="DO103" s="24"/>
      <c r="DP103" s="340"/>
      <c r="DQ103" s="32">
        <f t="shared" si="36"/>
        <v>0</v>
      </c>
      <c r="DR103" s="32">
        <f t="shared" si="37"/>
        <v>0</v>
      </c>
      <c r="DS103" s="11"/>
      <c r="DT103" s="329"/>
      <c r="DU103" s="23"/>
      <c r="DV103" s="24"/>
      <c r="DW103" s="25"/>
      <c r="DX103" s="24"/>
      <c r="DY103" s="23"/>
      <c r="DZ103" s="24"/>
      <c r="EA103" s="25"/>
      <c r="EB103" s="24"/>
      <c r="EC103" s="23"/>
      <c r="ED103" s="24"/>
      <c r="EE103" s="25"/>
      <c r="EF103" s="24"/>
      <c r="EG103" s="23"/>
      <c r="EH103" s="24"/>
      <c r="EI103" s="25"/>
      <c r="EJ103" s="24"/>
      <c r="EK103" s="23"/>
      <c r="EL103" s="24"/>
      <c r="EM103" s="25"/>
      <c r="EN103" s="24"/>
      <c r="EO103" s="23"/>
      <c r="EP103" s="24"/>
      <c r="EQ103" s="25"/>
      <c r="ER103" s="24"/>
      <c r="ES103" s="23"/>
      <c r="ET103" s="24"/>
      <c r="EU103" s="25"/>
      <c r="EV103" s="24"/>
      <c r="EW103" s="23"/>
      <c r="EX103" s="24"/>
      <c r="EY103" s="25"/>
      <c r="EZ103" s="24"/>
      <c r="FA103" s="23"/>
      <c r="FB103" s="24"/>
      <c r="FC103" s="25"/>
      <c r="FD103" s="24"/>
      <c r="FE103" s="23"/>
      <c r="FF103" s="24"/>
      <c r="FG103" s="25"/>
      <c r="FH103" s="24"/>
      <c r="FI103" s="23"/>
      <c r="FJ103" s="24"/>
      <c r="FK103" s="25"/>
      <c r="FL103" s="24"/>
      <c r="FM103" s="23"/>
      <c r="FN103" s="24"/>
      <c r="FO103" s="25"/>
      <c r="FP103" s="24"/>
      <c r="FQ103" s="340"/>
      <c r="FR103" s="32">
        <f t="shared" si="38"/>
        <v>0</v>
      </c>
      <c r="FS103" s="32">
        <f t="shared" si="39"/>
        <v>0</v>
      </c>
      <c r="FT103" s="361"/>
    </row>
    <row r="104" spans="1:176" outlineLevel="2">
      <c r="A104" s="56" t="s">
        <v>479</v>
      </c>
      <c r="B104" s="387"/>
      <c r="C104" s="541"/>
      <c r="D104" s="565"/>
      <c r="E104" s="13" t="str">
        <f>IF(ISBLANK(G104),"",IF($A$6:$A$330=$A104,COUNTIF($A$6:A104,$A104),""))</f>
        <v/>
      </c>
      <c r="F104" s="13"/>
      <c r="G104" s="111"/>
      <c r="H104" s="607" t="s">
        <v>43</v>
      </c>
      <c r="I104" s="617"/>
      <c r="J104" s="617"/>
      <c r="K104" s="113"/>
      <c r="L104" s="617" t="str">
        <f t="shared" si="35"/>
        <v/>
      </c>
      <c r="M104" s="102"/>
      <c r="N104" s="305">
        <f t="shared" si="22"/>
        <v>0</v>
      </c>
      <c r="O104" s="40"/>
      <c r="P104" s="41"/>
      <c r="Q104" s="42"/>
      <c r="R104" s="41"/>
      <c r="S104" s="40"/>
      <c r="T104" s="41"/>
      <c r="U104" s="42"/>
      <c r="V104" s="41"/>
      <c r="W104" s="40"/>
      <c r="X104" s="41"/>
      <c r="Y104" s="42"/>
      <c r="Z104" s="41"/>
      <c r="AA104" s="40"/>
      <c r="AB104" s="41"/>
      <c r="AC104" s="42"/>
      <c r="AD104" s="41"/>
      <c r="AE104" s="40"/>
      <c r="AF104" s="41"/>
      <c r="AG104" s="42"/>
      <c r="AH104" s="41"/>
      <c r="AI104" s="40"/>
      <c r="AJ104" s="41"/>
      <c r="AK104" s="42"/>
      <c r="AL104" s="41"/>
      <c r="AM104" s="40"/>
      <c r="AN104" s="41"/>
      <c r="AO104" s="42"/>
      <c r="AP104" s="41"/>
      <c r="AQ104" s="40"/>
      <c r="AR104" s="41"/>
      <c r="AS104" s="42"/>
      <c r="AT104" s="41"/>
      <c r="AU104" s="40"/>
      <c r="AV104" s="41"/>
      <c r="AW104" s="42"/>
      <c r="AX104" s="41"/>
      <c r="AY104" s="40"/>
      <c r="AZ104" s="41"/>
      <c r="BA104" s="42"/>
      <c r="BB104" s="41"/>
      <c r="BC104" s="40"/>
      <c r="BD104" s="41"/>
      <c r="BE104" s="42"/>
      <c r="BF104" s="41"/>
      <c r="BG104" s="40"/>
      <c r="BH104" s="41"/>
      <c r="BI104" s="42"/>
      <c r="BJ104" s="43"/>
      <c r="BK104" s="341"/>
      <c r="BL104" s="27">
        <f t="shared" si="23"/>
        <v>0</v>
      </c>
      <c r="BM104" s="27">
        <f t="shared" si="24"/>
        <v>0</v>
      </c>
      <c r="BN104" s="28">
        <f t="shared" si="25"/>
        <v>0</v>
      </c>
      <c r="BO104" s="29">
        <f t="shared" si="26"/>
        <v>0</v>
      </c>
      <c r="BP104" s="30">
        <f t="shared" si="27"/>
        <v>0</v>
      </c>
      <c r="BQ104" s="31">
        <f t="shared" si="28"/>
        <v>0</v>
      </c>
      <c r="BR104" s="11"/>
      <c r="BS104" s="329"/>
      <c r="BT104" s="40"/>
      <c r="BU104" s="41"/>
      <c r="BV104" s="42"/>
      <c r="BW104" s="41"/>
      <c r="BX104" s="40"/>
      <c r="BY104" s="41"/>
      <c r="BZ104" s="42"/>
      <c r="CA104" s="41"/>
      <c r="CB104" s="40"/>
      <c r="CC104" s="41"/>
      <c r="CD104" s="42"/>
      <c r="CE104" s="41"/>
      <c r="CF104" s="40"/>
      <c r="CG104" s="41"/>
      <c r="CH104" s="42"/>
      <c r="CI104" s="41"/>
      <c r="CJ104" s="40"/>
      <c r="CK104" s="41"/>
      <c r="CL104" s="42"/>
      <c r="CM104" s="41"/>
      <c r="CN104" s="40"/>
      <c r="CO104" s="41"/>
      <c r="CP104" s="42"/>
      <c r="CQ104" s="41"/>
      <c r="CR104" s="40"/>
      <c r="CS104" s="41"/>
      <c r="CT104" s="42"/>
      <c r="CU104" s="41"/>
      <c r="CV104" s="40"/>
      <c r="CW104" s="41"/>
      <c r="CX104" s="42"/>
      <c r="CY104" s="41"/>
      <c r="CZ104" s="40"/>
      <c r="DA104" s="41"/>
      <c r="DB104" s="42"/>
      <c r="DC104" s="41"/>
      <c r="DD104" s="40"/>
      <c r="DE104" s="41"/>
      <c r="DF104" s="42"/>
      <c r="DG104" s="41"/>
      <c r="DH104" s="40"/>
      <c r="DI104" s="41"/>
      <c r="DJ104" s="42"/>
      <c r="DK104" s="41"/>
      <c r="DL104" s="40"/>
      <c r="DM104" s="41"/>
      <c r="DN104" s="42"/>
      <c r="DO104" s="43"/>
      <c r="DP104" s="341"/>
      <c r="DQ104" s="27">
        <f t="shared" si="36"/>
        <v>0</v>
      </c>
      <c r="DR104" s="27">
        <f t="shared" si="37"/>
        <v>0</v>
      </c>
      <c r="DS104" s="11"/>
      <c r="DT104" s="329"/>
      <c r="DU104" s="40"/>
      <c r="DV104" s="41"/>
      <c r="DW104" s="42"/>
      <c r="DX104" s="41"/>
      <c r="DY104" s="40"/>
      <c r="DZ104" s="41"/>
      <c r="EA104" s="42"/>
      <c r="EB104" s="41"/>
      <c r="EC104" s="40"/>
      <c r="ED104" s="41"/>
      <c r="EE104" s="42"/>
      <c r="EF104" s="41"/>
      <c r="EG104" s="40"/>
      <c r="EH104" s="41"/>
      <c r="EI104" s="42"/>
      <c r="EJ104" s="41"/>
      <c r="EK104" s="40"/>
      <c r="EL104" s="41"/>
      <c r="EM104" s="42"/>
      <c r="EN104" s="41"/>
      <c r="EO104" s="40"/>
      <c r="EP104" s="41"/>
      <c r="EQ104" s="42"/>
      <c r="ER104" s="41"/>
      <c r="ES104" s="40"/>
      <c r="ET104" s="41"/>
      <c r="EU104" s="42"/>
      <c r="EV104" s="41"/>
      <c r="EW104" s="40"/>
      <c r="EX104" s="41"/>
      <c r="EY104" s="42"/>
      <c r="EZ104" s="41"/>
      <c r="FA104" s="40"/>
      <c r="FB104" s="41"/>
      <c r="FC104" s="42"/>
      <c r="FD104" s="41"/>
      <c r="FE104" s="40"/>
      <c r="FF104" s="41"/>
      <c r="FG104" s="42"/>
      <c r="FH104" s="41"/>
      <c r="FI104" s="40"/>
      <c r="FJ104" s="41"/>
      <c r="FK104" s="42"/>
      <c r="FL104" s="41"/>
      <c r="FM104" s="40"/>
      <c r="FN104" s="41"/>
      <c r="FO104" s="42"/>
      <c r="FP104" s="43"/>
      <c r="FQ104" s="341"/>
      <c r="FR104" s="27">
        <f t="shared" si="38"/>
        <v>0</v>
      </c>
      <c r="FS104" s="27">
        <f t="shared" si="39"/>
        <v>0</v>
      </c>
      <c r="FT104" s="361"/>
    </row>
    <row r="105" spans="1:176" s="116" customFormat="1" outlineLevel="1">
      <c r="A105" s="46" t="s">
        <v>479</v>
      </c>
      <c r="B105" s="388"/>
      <c r="C105" s="650"/>
      <c r="D105" s="651"/>
      <c r="E105" s="118" t="str">
        <f>IF(ISBLANK(G105),"",IF($A$6:$A$330=$A105,COUNTIF($A$6:A105,$A105),""))</f>
        <v/>
      </c>
      <c r="F105" s="117"/>
      <c r="G105" s="119"/>
      <c r="H105" s="608"/>
      <c r="I105" s="620"/>
      <c r="J105" s="620"/>
      <c r="K105" s="120"/>
      <c r="L105" s="620" t="str">
        <f t="shared" si="35"/>
        <v/>
      </c>
      <c r="M105" s="102"/>
      <c r="N105" s="305">
        <f t="shared" si="22"/>
        <v>0</v>
      </c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  <c r="AO105" s="121"/>
      <c r="AP105" s="121"/>
      <c r="AQ105" s="121"/>
      <c r="AR105" s="121"/>
      <c r="AS105" s="121"/>
      <c r="AT105" s="121"/>
      <c r="AU105" s="121"/>
      <c r="AV105" s="121"/>
      <c r="AW105" s="121"/>
      <c r="AX105" s="121"/>
      <c r="AY105" s="121"/>
      <c r="AZ105" s="121"/>
      <c r="BA105" s="121"/>
      <c r="BB105" s="121"/>
      <c r="BC105" s="121"/>
      <c r="BD105" s="121"/>
      <c r="BE105" s="121"/>
      <c r="BF105" s="121"/>
      <c r="BG105" s="121"/>
      <c r="BH105" s="121"/>
      <c r="BI105" s="121"/>
      <c r="BJ105" s="121"/>
      <c r="BK105" s="356"/>
      <c r="BL105" s="52">
        <f t="shared" si="23"/>
        <v>0</v>
      </c>
      <c r="BM105" s="52">
        <f t="shared" si="24"/>
        <v>0</v>
      </c>
      <c r="BN105" s="52">
        <f t="shared" si="25"/>
        <v>0</v>
      </c>
      <c r="BO105" s="52">
        <f t="shared" si="26"/>
        <v>0</v>
      </c>
      <c r="BP105" s="52">
        <f t="shared" si="27"/>
        <v>0</v>
      </c>
      <c r="BQ105" s="52">
        <f t="shared" si="28"/>
        <v>0</v>
      </c>
      <c r="BR105" s="51"/>
      <c r="BS105" s="335"/>
      <c r="BT105" s="121"/>
      <c r="BU105" s="121"/>
      <c r="BV105" s="121"/>
      <c r="BW105" s="121"/>
      <c r="BX105" s="121"/>
      <c r="BY105" s="121"/>
      <c r="BZ105" s="121"/>
      <c r="CA105" s="121"/>
      <c r="CB105" s="121"/>
      <c r="CC105" s="121"/>
      <c r="CD105" s="121"/>
      <c r="CE105" s="121"/>
      <c r="CF105" s="121"/>
      <c r="CG105" s="121"/>
      <c r="CH105" s="121"/>
      <c r="CI105" s="121"/>
      <c r="CJ105" s="121"/>
      <c r="CK105" s="121"/>
      <c r="CL105" s="121"/>
      <c r="CM105" s="121"/>
      <c r="CN105" s="121"/>
      <c r="CO105" s="121"/>
      <c r="CP105" s="121"/>
      <c r="CQ105" s="121"/>
      <c r="CR105" s="121"/>
      <c r="CS105" s="121"/>
      <c r="CT105" s="121"/>
      <c r="CU105" s="121"/>
      <c r="CV105" s="121"/>
      <c r="CW105" s="121"/>
      <c r="CX105" s="121"/>
      <c r="CY105" s="121"/>
      <c r="CZ105" s="121"/>
      <c r="DA105" s="121"/>
      <c r="DB105" s="121"/>
      <c r="DC105" s="121"/>
      <c r="DD105" s="121"/>
      <c r="DE105" s="121"/>
      <c r="DF105" s="121"/>
      <c r="DG105" s="121"/>
      <c r="DH105" s="121"/>
      <c r="DI105" s="121"/>
      <c r="DJ105" s="121"/>
      <c r="DK105" s="121"/>
      <c r="DL105" s="121"/>
      <c r="DM105" s="121"/>
      <c r="DN105" s="121"/>
      <c r="DO105" s="121"/>
      <c r="DP105" s="356"/>
      <c r="DQ105" s="52">
        <f t="shared" si="36"/>
        <v>0</v>
      </c>
      <c r="DR105" s="52">
        <f t="shared" si="37"/>
        <v>0</v>
      </c>
      <c r="DS105" s="51"/>
      <c r="DT105" s="335"/>
      <c r="DU105" s="121"/>
      <c r="DV105" s="121"/>
      <c r="DW105" s="121"/>
      <c r="DX105" s="121"/>
      <c r="DY105" s="121"/>
      <c r="DZ105" s="121"/>
      <c r="EA105" s="121"/>
      <c r="EB105" s="121"/>
      <c r="EC105" s="121"/>
      <c r="ED105" s="121"/>
      <c r="EE105" s="121"/>
      <c r="EF105" s="121"/>
      <c r="EG105" s="121"/>
      <c r="EH105" s="121"/>
      <c r="EI105" s="121"/>
      <c r="EJ105" s="121"/>
      <c r="EK105" s="121"/>
      <c r="EL105" s="121"/>
      <c r="EM105" s="121"/>
      <c r="EN105" s="121"/>
      <c r="EO105" s="121"/>
      <c r="EP105" s="121"/>
      <c r="EQ105" s="121"/>
      <c r="ER105" s="121"/>
      <c r="ES105" s="121"/>
      <c r="ET105" s="121"/>
      <c r="EU105" s="121"/>
      <c r="EV105" s="121"/>
      <c r="EW105" s="121"/>
      <c r="EX105" s="121"/>
      <c r="EY105" s="121"/>
      <c r="EZ105" s="121"/>
      <c r="FA105" s="121"/>
      <c r="FB105" s="121"/>
      <c r="FC105" s="121"/>
      <c r="FD105" s="121"/>
      <c r="FE105" s="121"/>
      <c r="FF105" s="121"/>
      <c r="FG105" s="121"/>
      <c r="FH105" s="121"/>
      <c r="FI105" s="121"/>
      <c r="FJ105" s="121"/>
      <c r="FK105" s="121"/>
      <c r="FL105" s="121"/>
      <c r="FM105" s="121"/>
      <c r="FN105" s="121"/>
      <c r="FO105" s="121"/>
      <c r="FP105" s="121"/>
      <c r="FQ105" s="356"/>
      <c r="FR105" s="52">
        <f t="shared" si="38"/>
        <v>0</v>
      </c>
      <c r="FS105" s="52">
        <f t="shared" si="39"/>
        <v>0</v>
      </c>
      <c r="FT105" s="343"/>
    </row>
    <row r="106" spans="1:176" outlineLevel="2">
      <c r="A106" s="56" t="s">
        <v>469</v>
      </c>
      <c r="B106" s="387" t="s">
        <v>51</v>
      </c>
      <c r="C106" s="541" t="s">
        <v>31</v>
      </c>
      <c r="D106" s="565" t="s">
        <v>32</v>
      </c>
      <c r="E106" s="10">
        <f>IF(ISBLANK(G106),"",IF($A$6:$A$330=$A106,COUNTIF($A$6:A106,$A106),""))</f>
        <v>1</v>
      </c>
      <c r="F106" s="10">
        <v>1</v>
      </c>
      <c r="G106" s="55">
        <v>4231069000</v>
      </c>
      <c r="H106" s="54" t="s">
        <v>52</v>
      </c>
      <c r="I106" s="617">
        <f>145/НДС_20</f>
        <v>120.83333333333334</v>
      </c>
      <c r="J106" s="617"/>
      <c r="K106" s="113"/>
      <c r="L106" s="617" t="str">
        <f t="shared" si="35"/>
        <v/>
      </c>
      <c r="M106" s="102"/>
      <c r="N106" s="305">
        <f t="shared" si="22"/>
        <v>0</v>
      </c>
      <c r="O106" s="23"/>
      <c r="P106" s="24"/>
      <c r="Q106" s="25"/>
      <c r="R106" s="24"/>
      <c r="S106" s="23"/>
      <c r="T106" s="24"/>
      <c r="U106" s="25"/>
      <c r="V106" s="24"/>
      <c r="W106" s="23"/>
      <c r="X106" s="24"/>
      <c r="Y106" s="25"/>
      <c r="Z106" s="24"/>
      <c r="AA106" s="23"/>
      <c r="AB106" s="24"/>
      <c r="AC106" s="25"/>
      <c r="AD106" s="24"/>
      <c r="AE106" s="23"/>
      <c r="AF106" s="24"/>
      <c r="AG106" s="25"/>
      <c r="AH106" s="24"/>
      <c r="AI106" s="23"/>
      <c r="AJ106" s="24"/>
      <c r="AK106" s="25"/>
      <c r="AL106" s="24"/>
      <c r="AM106" s="23"/>
      <c r="AN106" s="24"/>
      <c r="AO106" s="25"/>
      <c r="AP106" s="24"/>
      <c r="AQ106" s="23"/>
      <c r="AR106" s="24"/>
      <c r="AS106" s="25"/>
      <c r="AT106" s="24"/>
      <c r="AU106" s="23"/>
      <c r="AV106" s="24"/>
      <c r="AW106" s="25"/>
      <c r="AX106" s="24"/>
      <c r="AY106" s="23"/>
      <c r="AZ106" s="24"/>
      <c r="BA106" s="25"/>
      <c r="BB106" s="24"/>
      <c r="BC106" s="23"/>
      <c r="BD106" s="24"/>
      <c r="BE106" s="25"/>
      <c r="BF106" s="24"/>
      <c r="BG106" s="23"/>
      <c r="BH106" s="24"/>
      <c r="BI106" s="25"/>
      <c r="BJ106" s="24"/>
      <c r="BK106" s="340"/>
      <c r="BL106" s="32">
        <f t="shared" si="23"/>
        <v>0</v>
      </c>
      <c r="BM106" s="32">
        <f t="shared" si="24"/>
        <v>0</v>
      </c>
      <c r="BN106" s="28">
        <f t="shared" si="25"/>
        <v>0</v>
      </c>
      <c r="BO106" s="29">
        <f t="shared" si="26"/>
        <v>0</v>
      </c>
      <c r="BP106" s="30">
        <f t="shared" si="27"/>
        <v>0</v>
      </c>
      <c r="BQ106" s="31">
        <f t="shared" si="28"/>
        <v>0</v>
      </c>
      <c r="BR106" s="11"/>
      <c r="BS106" s="329"/>
      <c r="BT106" s="23"/>
      <c r="BU106" s="24"/>
      <c r="BV106" s="25"/>
      <c r="BW106" s="24"/>
      <c r="BX106" s="23"/>
      <c r="BY106" s="24"/>
      <c r="BZ106" s="25"/>
      <c r="CA106" s="24"/>
      <c r="CB106" s="23"/>
      <c r="CC106" s="24"/>
      <c r="CD106" s="25"/>
      <c r="CE106" s="24"/>
      <c r="CF106" s="23"/>
      <c r="CG106" s="24"/>
      <c r="CH106" s="25"/>
      <c r="CI106" s="24"/>
      <c r="CJ106" s="23"/>
      <c r="CK106" s="24"/>
      <c r="CL106" s="25"/>
      <c r="CM106" s="24"/>
      <c r="CN106" s="23"/>
      <c r="CO106" s="24"/>
      <c r="CP106" s="25"/>
      <c r="CQ106" s="24"/>
      <c r="CR106" s="23"/>
      <c r="CS106" s="24"/>
      <c r="CT106" s="25"/>
      <c r="CU106" s="24"/>
      <c r="CV106" s="23"/>
      <c r="CW106" s="24"/>
      <c r="CX106" s="25"/>
      <c r="CY106" s="24"/>
      <c r="CZ106" s="23"/>
      <c r="DA106" s="24"/>
      <c r="DB106" s="25"/>
      <c r="DC106" s="24"/>
      <c r="DD106" s="23"/>
      <c r="DE106" s="24"/>
      <c r="DF106" s="25"/>
      <c r="DG106" s="24"/>
      <c r="DH106" s="23"/>
      <c r="DI106" s="24"/>
      <c r="DJ106" s="25"/>
      <c r="DK106" s="24"/>
      <c r="DL106" s="23"/>
      <c r="DM106" s="24"/>
      <c r="DN106" s="25"/>
      <c r="DO106" s="24"/>
      <c r="DP106" s="340"/>
      <c r="DQ106" s="32">
        <f t="shared" si="36"/>
        <v>0</v>
      </c>
      <c r="DR106" s="32">
        <f t="shared" si="37"/>
        <v>0</v>
      </c>
      <c r="DS106" s="11"/>
      <c r="DT106" s="329"/>
      <c r="DU106" s="23"/>
      <c r="DV106" s="24"/>
      <c r="DW106" s="25"/>
      <c r="DX106" s="24"/>
      <c r="DY106" s="23"/>
      <c r="DZ106" s="24"/>
      <c r="EA106" s="25"/>
      <c r="EB106" s="24"/>
      <c r="EC106" s="23"/>
      <c r="ED106" s="24"/>
      <c r="EE106" s="25"/>
      <c r="EF106" s="24"/>
      <c r="EG106" s="23"/>
      <c r="EH106" s="24"/>
      <c r="EI106" s="25"/>
      <c r="EJ106" s="24"/>
      <c r="EK106" s="23"/>
      <c r="EL106" s="24"/>
      <c r="EM106" s="25"/>
      <c r="EN106" s="24"/>
      <c r="EO106" s="23"/>
      <c r="EP106" s="24"/>
      <c r="EQ106" s="25"/>
      <c r="ER106" s="24"/>
      <c r="ES106" s="23"/>
      <c r="ET106" s="24"/>
      <c r="EU106" s="25"/>
      <c r="EV106" s="24"/>
      <c r="EW106" s="23"/>
      <c r="EX106" s="24"/>
      <c r="EY106" s="25"/>
      <c r="EZ106" s="24"/>
      <c r="FA106" s="23"/>
      <c r="FB106" s="24"/>
      <c r="FC106" s="25"/>
      <c r="FD106" s="24"/>
      <c r="FE106" s="23"/>
      <c r="FF106" s="24"/>
      <c r="FG106" s="25"/>
      <c r="FH106" s="24"/>
      <c r="FI106" s="23"/>
      <c r="FJ106" s="24"/>
      <c r="FK106" s="25"/>
      <c r="FL106" s="24"/>
      <c r="FM106" s="23"/>
      <c r="FN106" s="24"/>
      <c r="FO106" s="25"/>
      <c r="FP106" s="24"/>
      <c r="FQ106" s="340"/>
      <c r="FR106" s="32">
        <f t="shared" si="38"/>
        <v>0</v>
      </c>
      <c r="FS106" s="32">
        <f t="shared" si="39"/>
        <v>0</v>
      </c>
      <c r="FT106" s="361"/>
    </row>
    <row r="107" spans="1:176" outlineLevel="2">
      <c r="A107" s="56" t="s">
        <v>469</v>
      </c>
      <c r="B107" s="387" t="s">
        <v>51</v>
      </c>
      <c r="C107" s="541" t="s">
        <v>31</v>
      </c>
      <c r="D107" s="565" t="s">
        <v>32</v>
      </c>
      <c r="E107" s="10">
        <f>IF(ISBLANK(G107),"",IF($A$6:$A$330=$A107,COUNTIF($A$6:A107,$A107),""))</f>
        <v>2</v>
      </c>
      <c r="F107" s="10">
        <v>1</v>
      </c>
      <c r="G107" s="55">
        <v>4231079000</v>
      </c>
      <c r="H107" s="54" t="s">
        <v>53</v>
      </c>
      <c r="I107" s="617">
        <f>153/НДС_20</f>
        <v>127.5</v>
      </c>
      <c r="J107" s="617"/>
      <c r="K107" s="113"/>
      <c r="L107" s="617" t="str">
        <f t="shared" si="35"/>
        <v/>
      </c>
      <c r="M107" s="102"/>
      <c r="N107" s="305">
        <f t="shared" si="22"/>
        <v>0</v>
      </c>
      <c r="O107" s="23"/>
      <c r="P107" s="24"/>
      <c r="Q107" s="25"/>
      <c r="R107" s="24"/>
      <c r="S107" s="23"/>
      <c r="T107" s="24"/>
      <c r="U107" s="25"/>
      <c r="V107" s="24"/>
      <c r="W107" s="23"/>
      <c r="X107" s="24"/>
      <c r="Y107" s="25"/>
      <c r="Z107" s="24"/>
      <c r="AA107" s="23"/>
      <c r="AB107" s="24"/>
      <c r="AC107" s="25"/>
      <c r="AD107" s="24"/>
      <c r="AE107" s="23"/>
      <c r="AF107" s="24"/>
      <c r="AG107" s="25"/>
      <c r="AH107" s="24"/>
      <c r="AI107" s="23"/>
      <c r="AJ107" s="24"/>
      <c r="AK107" s="25"/>
      <c r="AL107" s="24"/>
      <c r="AM107" s="23"/>
      <c r="AN107" s="24"/>
      <c r="AO107" s="25"/>
      <c r="AP107" s="24"/>
      <c r="AQ107" s="23"/>
      <c r="AR107" s="24"/>
      <c r="AS107" s="25"/>
      <c r="AT107" s="24"/>
      <c r="AU107" s="23"/>
      <c r="AV107" s="24"/>
      <c r="AW107" s="25"/>
      <c r="AX107" s="24"/>
      <c r="AY107" s="23"/>
      <c r="AZ107" s="24"/>
      <c r="BA107" s="25"/>
      <c r="BB107" s="24"/>
      <c r="BC107" s="23"/>
      <c r="BD107" s="24"/>
      <c r="BE107" s="25"/>
      <c r="BF107" s="24"/>
      <c r="BG107" s="23"/>
      <c r="BH107" s="24"/>
      <c r="BI107" s="25"/>
      <c r="BJ107" s="24"/>
      <c r="BK107" s="340"/>
      <c r="BL107" s="32">
        <f t="shared" si="23"/>
        <v>0</v>
      </c>
      <c r="BM107" s="32">
        <f t="shared" si="24"/>
        <v>0</v>
      </c>
      <c r="BN107" s="28">
        <f t="shared" si="25"/>
        <v>0</v>
      </c>
      <c r="BO107" s="29">
        <f t="shared" si="26"/>
        <v>0</v>
      </c>
      <c r="BP107" s="30">
        <f t="shared" si="27"/>
        <v>0</v>
      </c>
      <c r="BQ107" s="31">
        <f t="shared" si="28"/>
        <v>0</v>
      </c>
      <c r="BR107" s="11"/>
      <c r="BS107" s="329"/>
      <c r="BT107" s="23"/>
      <c r="BU107" s="24"/>
      <c r="BV107" s="25"/>
      <c r="BW107" s="24"/>
      <c r="BX107" s="23"/>
      <c r="BY107" s="24"/>
      <c r="BZ107" s="25"/>
      <c r="CA107" s="24"/>
      <c r="CB107" s="23"/>
      <c r="CC107" s="24"/>
      <c r="CD107" s="25"/>
      <c r="CE107" s="24"/>
      <c r="CF107" s="23"/>
      <c r="CG107" s="24"/>
      <c r="CH107" s="25"/>
      <c r="CI107" s="24"/>
      <c r="CJ107" s="23"/>
      <c r="CK107" s="24"/>
      <c r="CL107" s="25"/>
      <c r="CM107" s="24"/>
      <c r="CN107" s="23"/>
      <c r="CO107" s="24"/>
      <c r="CP107" s="25"/>
      <c r="CQ107" s="24"/>
      <c r="CR107" s="23"/>
      <c r="CS107" s="24"/>
      <c r="CT107" s="25"/>
      <c r="CU107" s="24"/>
      <c r="CV107" s="23"/>
      <c r="CW107" s="24"/>
      <c r="CX107" s="25"/>
      <c r="CY107" s="24"/>
      <c r="CZ107" s="23"/>
      <c r="DA107" s="24"/>
      <c r="DB107" s="25"/>
      <c r="DC107" s="24"/>
      <c r="DD107" s="23"/>
      <c r="DE107" s="24"/>
      <c r="DF107" s="25"/>
      <c r="DG107" s="24"/>
      <c r="DH107" s="23"/>
      <c r="DI107" s="24"/>
      <c r="DJ107" s="25"/>
      <c r="DK107" s="24"/>
      <c r="DL107" s="23"/>
      <c r="DM107" s="24"/>
      <c r="DN107" s="25"/>
      <c r="DO107" s="24"/>
      <c r="DP107" s="340"/>
      <c r="DQ107" s="32">
        <f t="shared" si="36"/>
        <v>0</v>
      </c>
      <c r="DR107" s="32">
        <f t="shared" si="37"/>
        <v>0</v>
      </c>
      <c r="DS107" s="11"/>
      <c r="DT107" s="329"/>
      <c r="DU107" s="23"/>
      <c r="DV107" s="24"/>
      <c r="DW107" s="25"/>
      <c r="DX107" s="24"/>
      <c r="DY107" s="23"/>
      <c r="DZ107" s="24"/>
      <c r="EA107" s="25"/>
      <c r="EB107" s="24"/>
      <c r="EC107" s="23"/>
      <c r="ED107" s="24"/>
      <c r="EE107" s="25"/>
      <c r="EF107" s="24"/>
      <c r="EG107" s="23"/>
      <c r="EH107" s="24"/>
      <c r="EI107" s="25"/>
      <c r="EJ107" s="24"/>
      <c r="EK107" s="23"/>
      <c r="EL107" s="24"/>
      <c r="EM107" s="25"/>
      <c r="EN107" s="24"/>
      <c r="EO107" s="23"/>
      <c r="EP107" s="24"/>
      <c r="EQ107" s="25"/>
      <c r="ER107" s="24"/>
      <c r="ES107" s="23"/>
      <c r="ET107" s="24"/>
      <c r="EU107" s="25"/>
      <c r="EV107" s="24"/>
      <c r="EW107" s="23"/>
      <c r="EX107" s="24"/>
      <c r="EY107" s="25"/>
      <c r="EZ107" s="24"/>
      <c r="FA107" s="23"/>
      <c r="FB107" s="24"/>
      <c r="FC107" s="25"/>
      <c r="FD107" s="24"/>
      <c r="FE107" s="23"/>
      <c r="FF107" s="24"/>
      <c r="FG107" s="25"/>
      <c r="FH107" s="24"/>
      <c r="FI107" s="23"/>
      <c r="FJ107" s="24"/>
      <c r="FK107" s="25"/>
      <c r="FL107" s="24"/>
      <c r="FM107" s="23"/>
      <c r="FN107" s="24"/>
      <c r="FO107" s="25"/>
      <c r="FP107" s="24"/>
      <c r="FQ107" s="340"/>
      <c r="FR107" s="32">
        <f t="shared" si="38"/>
        <v>0</v>
      </c>
      <c r="FS107" s="32">
        <f t="shared" si="39"/>
        <v>0</v>
      </c>
      <c r="FT107" s="361"/>
    </row>
    <row r="108" spans="1:176" outlineLevel="2">
      <c r="A108" s="56" t="s">
        <v>469</v>
      </c>
      <c r="B108" s="387" t="s">
        <v>51</v>
      </c>
      <c r="C108" s="541" t="s">
        <v>31</v>
      </c>
      <c r="D108" s="565" t="s">
        <v>32</v>
      </c>
      <c r="E108" s="10">
        <f>IF(ISBLANK(G108),"",IF($A$6:$A$330=$A108,COUNTIF($A$6:A108,$A108),""))</f>
        <v>3</v>
      </c>
      <c r="F108" s="10">
        <v>1</v>
      </c>
      <c r="G108" s="55">
        <v>9253761210</v>
      </c>
      <c r="H108" s="54" t="s">
        <v>54</v>
      </c>
      <c r="I108" s="617">
        <f>301/НДС_20</f>
        <v>250.83333333333334</v>
      </c>
      <c r="J108" s="617"/>
      <c r="K108" s="113"/>
      <c r="L108" s="617" t="str">
        <f t="shared" si="35"/>
        <v/>
      </c>
      <c r="M108" s="102"/>
      <c r="N108" s="305">
        <f t="shared" si="22"/>
        <v>0</v>
      </c>
      <c r="O108" s="23"/>
      <c r="P108" s="24"/>
      <c r="Q108" s="25"/>
      <c r="R108" s="24"/>
      <c r="S108" s="23"/>
      <c r="T108" s="24"/>
      <c r="U108" s="25"/>
      <c r="V108" s="24"/>
      <c r="W108" s="23"/>
      <c r="X108" s="24"/>
      <c r="Y108" s="25"/>
      <c r="Z108" s="24"/>
      <c r="AA108" s="23"/>
      <c r="AB108" s="24"/>
      <c r="AC108" s="25"/>
      <c r="AD108" s="24"/>
      <c r="AE108" s="23"/>
      <c r="AF108" s="24"/>
      <c r="AG108" s="25"/>
      <c r="AH108" s="24"/>
      <c r="AI108" s="23"/>
      <c r="AJ108" s="24"/>
      <c r="AK108" s="25"/>
      <c r="AL108" s="24"/>
      <c r="AM108" s="23"/>
      <c r="AN108" s="24"/>
      <c r="AO108" s="25"/>
      <c r="AP108" s="24"/>
      <c r="AQ108" s="23"/>
      <c r="AR108" s="24"/>
      <c r="AS108" s="25"/>
      <c r="AT108" s="24"/>
      <c r="AU108" s="23"/>
      <c r="AV108" s="24"/>
      <c r="AW108" s="25"/>
      <c r="AX108" s="24"/>
      <c r="AY108" s="23"/>
      <c r="AZ108" s="24"/>
      <c r="BA108" s="25"/>
      <c r="BB108" s="24"/>
      <c r="BC108" s="23"/>
      <c r="BD108" s="24"/>
      <c r="BE108" s="25"/>
      <c r="BF108" s="24"/>
      <c r="BG108" s="23"/>
      <c r="BH108" s="24"/>
      <c r="BI108" s="25"/>
      <c r="BJ108" s="24"/>
      <c r="BK108" s="340"/>
      <c r="BL108" s="32">
        <f t="shared" si="23"/>
        <v>0</v>
      </c>
      <c r="BM108" s="32">
        <f t="shared" si="24"/>
        <v>0</v>
      </c>
      <c r="BN108" s="28">
        <f t="shared" si="25"/>
        <v>0</v>
      </c>
      <c r="BO108" s="29">
        <f t="shared" si="26"/>
        <v>0</v>
      </c>
      <c r="BP108" s="30">
        <f t="shared" si="27"/>
        <v>0</v>
      </c>
      <c r="BQ108" s="31">
        <f t="shared" si="28"/>
        <v>0</v>
      </c>
      <c r="BR108" s="11"/>
      <c r="BS108" s="329"/>
      <c r="BT108" s="23"/>
      <c r="BU108" s="24"/>
      <c r="BV108" s="25"/>
      <c r="BW108" s="24"/>
      <c r="BX108" s="23"/>
      <c r="BY108" s="24"/>
      <c r="BZ108" s="25"/>
      <c r="CA108" s="24"/>
      <c r="CB108" s="23"/>
      <c r="CC108" s="24"/>
      <c r="CD108" s="25"/>
      <c r="CE108" s="24"/>
      <c r="CF108" s="23"/>
      <c r="CG108" s="24"/>
      <c r="CH108" s="25"/>
      <c r="CI108" s="24"/>
      <c r="CJ108" s="23"/>
      <c r="CK108" s="24"/>
      <c r="CL108" s="25"/>
      <c r="CM108" s="24"/>
      <c r="CN108" s="23"/>
      <c r="CO108" s="24"/>
      <c r="CP108" s="25"/>
      <c r="CQ108" s="24"/>
      <c r="CR108" s="23"/>
      <c r="CS108" s="24"/>
      <c r="CT108" s="25"/>
      <c r="CU108" s="24"/>
      <c r="CV108" s="23"/>
      <c r="CW108" s="24"/>
      <c r="CX108" s="25"/>
      <c r="CY108" s="24"/>
      <c r="CZ108" s="23"/>
      <c r="DA108" s="24"/>
      <c r="DB108" s="25"/>
      <c r="DC108" s="24"/>
      <c r="DD108" s="23"/>
      <c r="DE108" s="24"/>
      <c r="DF108" s="25"/>
      <c r="DG108" s="24"/>
      <c r="DH108" s="23"/>
      <c r="DI108" s="24"/>
      <c r="DJ108" s="25"/>
      <c r="DK108" s="24"/>
      <c r="DL108" s="23"/>
      <c r="DM108" s="24"/>
      <c r="DN108" s="25"/>
      <c r="DO108" s="24"/>
      <c r="DP108" s="340"/>
      <c r="DQ108" s="32">
        <f t="shared" si="36"/>
        <v>0</v>
      </c>
      <c r="DR108" s="32">
        <f t="shared" si="37"/>
        <v>0</v>
      </c>
      <c r="DS108" s="11"/>
      <c r="DT108" s="329"/>
      <c r="DU108" s="23"/>
      <c r="DV108" s="24"/>
      <c r="DW108" s="25"/>
      <c r="DX108" s="24"/>
      <c r="DY108" s="23"/>
      <c r="DZ108" s="24"/>
      <c r="EA108" s="25"/>
      <c r="EB108" s="24"/>
      <c r="EC108" s="23"/>
      <c r="ED108" s="24"/>
      <c r="EE108" s="25"/>
      <c r="EF108" s="24"/>
      <c r="EG108" s="23"/>
      <c r="EH108" s="24"/>
      <c r="EI108" s="25"/>
      <c r="EJ108" s="24"/>
      <c r="EK108" s="23"/>
      <c r="EL108" s="24"/>
      <c r="EM108" s="25"/>
      <c r="EN108" s="24"/>
      <c r="EO108" s="23"/>
      <c r="EP108" s="24"/>
      <c r="EQ108" s="25"/>
      <c r="ER108" s="24"/>
      <c r="ES108" s="23"/>
      <c r="ET108" s="24"/>
      <c r="EU108" s="25"/>
      <c r="EV108" s="24"/>
      <c r="EW108" s="23"/>
      <c r="EX108" s="24"/>
      <c r="EY108" s="25"/>
      <c r="EZ108" s="24"/>
      <c r="FA108" s="23"/>
      <c r="FB108" s="24"/>
      <c r="FC108" s="25"/>
      <c r="FD108" s="24"/>
      <c r="FE108" s="23"/>
      <c r="FF108" s="24"/>
      <c r="FG108" s="25"/>
      <c r="FH108" s="24"/>
      <c r="FI108" s="23"/>
      <c r="FJ108" s="24"/>
      <c r="FK108" s="25"/>
      <c r="FL108" s="24"/>
      <c r="FM108" s="23"/>
      <c r="FN108" s="24"/>
      <c r="FO108" s="25"/>
      <c r="FP108" s="24"/>
      <c r="FQ108" s="340"/>
      <c r="FR108" s="32">
        <f t="shared" si="38"/>
        <v>0</v>
      </c>
      <c r="FS108" s="32">
        <f t="shared" si="39"/>
        <v>0</v>
      </c>
      <c r="FT108" s="361"/>
    </row>
    <row r="109" spans="1:176" outlineLevel="2">
      <c r="A109" s="56" t="s">
        <v>469</v>
      </c>
      <c r="B109" s="387" t="s">
        <v>51</v>
      </c>
      <c r="C109" s="541" t="s">
        <v>31</v>
      </c>
      <c r="D109" s="565" t="s">
        <v>32</v>
      </c>
      <c r="E109" s="10">
        <f>IF(ISBLANK(G109),"",IF($A$6:$A$330=$A109,COUNTIF($A$6:A109,$A109),""))</f>
        <v>4</v>
      </c>
      <c r="F109" s="10">
        <v>1</v>
      </c>
      <c r="G109" s="55">
        <v>9253771100</v>
      </c>
      <c r="H109" s="54" t="s">
        <v>55</v>
      </c>
      <c r="I109" s="617">
        <f>305/НДС_20</f>
        <v>254.16666666666669</v>
      </c>
      <c r="J109" s="617"/>
      <c r="K109" s="113"/>
      <c r="L109" s="617" t="str">
        <f t="shared" si="35"/>
        <v/>
      </c>
      <c r="M109" s="102"/>
      <c r="N109" s="305">
        <f t="shared" si="22"/>
        <v>0</v>
      </c>
      <c r="O109" s="23"/>
      <c r="P109" s="24"/>
      <c r="Q109" s="25"/>
      <c r="R109" s="24"/>
      <c r="S109" s="23"/>
      <c r="T109" s="24"/>
      <c r="U109" s="25"/>
      <c r="V109" s="24"/>
      <c r="W109" s="23"/>
      <c r="X109" s="24"/>
      <c r="Y109" s="25"/>
      <c r="Z109" s="24"/>
      <c r="AA109" s="23"/>
      <c r="AB109" s="24"/>
      <c r="AC109" s="25"/>
      <c r="AD109" s="24"/>
      <c r="AE109" s="23"/>
      <c r="AF109" s="24"/>
      <c r="AG109" s="25"/>
      <c r="AH109" s="24"/>
      <c r="AI109" s="23"/>
      <c r="AJ109" s="24"/>
      <c r="AK109" s="25"/>
      <c r="AL109" s="24"/>
      <c r="AM109" s="23"/>
      <c r="AN109" s="24"/>
      <c r="AO109" s="25"/>
      <c r="AP109" s="24"/>
      <c r="AQ109" s="23"/>
      <c r="AR109" s="24"/>
      <c r="AS109" s="25"/>
      <c r="AT109" s="24"/>
      <c r="AU109" s="23"/>
      <c r="AV109" s="24"/>
      <c r="AW109" s="25"/>
      <c r="AX109" s="24"/>
      <c r="AY109" s="23"/>
      <c r="AZ109" s="24"/>
      <c r="BA109" s="25"/>
      <c r="BB109" s="24"/>
      <c r="BC109" s="23"/>
      <c r="BD109" s="24"/>
      <c r="BE109" s="25"/>
      <c r="BF109" s="24"/>
      <c r="BG109" s="23"/>
      <c r="BH109" s="24"/>
      <c r="BI109" s="25"/>
      <c r="BJ109" s="24"/>
      <c r="BK109" s="340"/>
      <c r="BL109" s="32">
        <f t="shared" si="23"/>
        <v>0</v>
      </c>
      <c r="BM109" s="32">
        <f t="shared" si="24"/>
        <v>0</v>
      </c>
      <c r="BN109" s="28">
        <f t="shared" si="25"/>
        <v>0</v>
      </c>
      <c r="BO109" s="29">
        <f t="shared" si="26"/>
        <v>0</v>
      </c>
      <c r="BP109" s="30">
        <f t="shared" si="27"/>
        <v>0</v>
      </c>
      <c r="BQ109" s="31">
        <f t="shared" si="28"/>
        <v>0</v>
      </c>
      <c r="BR109" s="11"/>
      <c r="BS109" s="329"/>
      <c r="BT109" s="23"/>
      <c r="BU109" s="24"/>
      <c r="BV109" s="25"/>
      <c r="BW109" s="24"/>
      <c r="BX109" s="23"/>
      <c r="BY109" s="24"/>
      <c r="BZ109" s="25"/>
      <c r="CA109" s="24"/>
      <c r="CB109" s="23"/>
      <c r="CC109" s="24"/>
      <c r="CD109" s="25"/>
      <c r="CE109" s="24"/>
      <c r="CF109" s="23"/>
      <c r="CG109" s="24"/>
      <c r="CH109" s="25"/>
      <c r="CI109" s="24"/>
      <c r="CJ109" s="23"/>
      <c r="CK109" s="24"/>
      <c r="CL109" s="25"/>
      <c r="CM109" s="24"/>
      <c r="CN109" s="23"/>
      <c r="CO109" s="24"/>
      <c r="CP109" s="25"/>
      <c r="CQ109" s="24"/>
      <c r="CR109" s="23"/>
      <c r="CS109" s="24"/>
      <c r="CT109" s="25"/>
      <c r="CU109" s="24"/>
      <c r="CV109" s="23"/>
      <c r="CW109" s="24"/>
      <c r="CX109" s="25"/>
      <c r="CY109" s="24"/>
      <c r="CZ109" s="23"/>
      <c r="DA109" s="24"/>
      <c r="DB109" s="25"/>
      <c r="DC109" s="24"/>
      <c r="DD109" s="23"/>
      <c r="DE109" s="24"/>
      <c r="DF109" s="25"/>
      <c r="DG109" s="24"/>
      <c r="DH109" s="23"/>
      <c r="DI109" s="24"/>
      <c r="DJ109" s="25"/>
      <c r="DK109" s="24"/>
      <c r="DL109" s="23"/>
      <c r="DM109" s="24"/>
      <c r="DN109" s="25"/>
      <c r="DO109" s="24"/>
      <c r="DP109" s="340"/>
      <c r="DQ109" s="32">
        <f t="shared" si="36"/>
        <v>0</v>
      </c>
      <c r="DR109" s="32">
        <f t="shared" si="37"/>
        <v>0</v>
      </c>
      <c r="DS109" s="11"/>
      <c r="DT109" s="329"/>
      <c r="DU109" s="23"/>
      <c r="DV109" s="24"/>
      <c r="DW109" s="25"/>
      <c r="DX109" s="24"/>
      <c r="DY109" s="23"/>
      <c r="DZ109" s="24"/>
      <c r="EA109" s="25"/>
      <c r="EB109" s="24"/>
      <c r="EC109" s="23"/>
      <c r="ED109" s="24"/>
      <c r="EE109" s="25"/>
      <c r="EF109" s="24"/>
      <c r="EG109" s="23"/>
      <c r="EH109" s="24"/>
      <c r="EI109" s="25"/>
      <c r="EJ109" s="24"/>
      <c r="EK109" s="23"/>
      <c r="EL109" s="24"/>
      <c r="EM109" s="25"/>
      <c r="EN109" s="24"/>
      <c r="EO109" s="23"/>
      <c r="EP109" s="24"/>
      <c r="EQ109" s="25"/>
      <c r="ER109" s="24"/>
      <c r="ES109" s="23"/>
      <c r="ET109" s="24"/>
      <c r="EU109" s="25"/>
      <c r="EV109" s="24"/>
      <c r="EW109" s="23"/>
      <c r="EX109" s="24"/>
      <c r="EY109" s="25"/>
      <c r="EZ109" s="24"/>
      <c r="FA109" s="23"/>
      <c r="FB109" s="24"/>
      <c r="FC109" s="25"/>
      <c r="FD109" s="24"/>
      <c r="FE109" s="23"/>
      <c r="FF109" s="24"/>
      <c r="FG109" s="25"/>
      <c r="FH109" s="24"/>
      <c r="FI109" s="23"/>
      <c r="FJ109" s="24"/>
      <c r="FK109" s="25"/>
      <c r="FL109" s="24"/>
      <c r="FM109" s="23"/>
      <c r="FN109" s="24"/>
      <c r="FO109" s="25"/>
      <c r="FP109" s="24"/>
      <c r="FQ109" s="340"/>
      <c r="FR109" s="32">
        <f t="shared" si="38"/>
        <v>0</v>
      </c>
      <c r="FS109" s="32">
        <f t="shared" si="39"/>
        <v>0</v>
      </c>
      <c r="FT109" s="361"/>
    </row>
    <row r="110" spans="1:176" outlineLevel="2">
      <c r="A110" s="445" t="s">
        <v>469</v>
      </c>
      <c r="B110" s="446" t="s">
        <v>51</v>
      </c>
      <c r="C110" s="652" t="s">
        <v>31</v>
      </c>
      <c r="D110" s="653" t="s">
        <v>32</v>
      </c>
      <c r="E110" s="447">
        <f>IF(ISBLANK(G110),"",IF($A$6:$A$330=$A110,COUNTIF($A$6:A110,$A110),""))</f>
        <v>5</v>
      </c>
      <c r="F110" s="284">
        <v>1</v>
      </c>
      <c r="G110" s="304">
        <v>6402250560</v>
      </c>
      <c r="H110" s="602" t="s">
        <v>408</v>
      </c>
      <c r="I110" s="616">
        <v>2068</v>
      </c>
      <c r="J110" s="616"/>
      <c r="K110" s="333"/>
      <c r="L110" s="616"/>
      <c r="M110" s="305"/>
      <c r="N110" s="305">
        <f t="shared" si="22"/>
        <v>2</v>
      </c>
      <c r="O110" s="322"/>
      <c r="P110" s="408"/>
      <c r="Q110" s="307"/>
      <c r="R110" s="408"/>
      <c r="S110" s="322"/>
      <c r="T110" s="408"/>
      <c r="U110" s="307"/>
      <c r="V110" s="408"/>
      <c r="W110" s="322"/>
      <c r="X110" s="408"/>
      <c r="Y110" s="307"/>
      <c r="Z110" s="408"/>
      <c r="AA110" s="322"/>
      <c r="AB110" s="408"/>
      <c r="AC110" s="307"/>
      <c r="AD110" s="408"/>
      <c r="AE110" s="322">
        <v>9</v>
      </c>
      <c r="AF110" s="408"/>
      <c r="AG110" s="307"/>
      <c r="AH110" s="408"/>
      <c r="AI110" s="322">
        <v>9</v>
      </c>
      <c r="AJ110" s="408">
        <v>3</v>
      </c>
      <c r="AK110" s="307"/>
      <c r="AL110" s="408"/>
      <c r="AM110" s="322">
        <v>9</v>
      </c>
      <c r="AN110" s="408"/>
      <c r="AO110" s="307"/>
      <c r="AP110" s="408"/>
      <c r="AQ110" s="322">
        <v>9</v>
      </c>
      <c r="AR110" s="408">
        <v>9</v>
      </c>
      <c r="AS110" s="307"/>
      <c r="AT110" s="408"/>
      <c r="AU110" s="322">
        <v>9</v>
      </c>
      <c r="AV110" s="408">
        <v>9</v>
      </c>
      <c r="AW110" s="307"/>
      <c r="AX110" s="408"/>
      <c r="AY110" s="322">
        <v>9</v>
      </c>
      <c r="AZ110" s="408">
        <v>9</v>
      </c>
      <c r="BA110" s="307"/>
      <c r="BB110" s="408"/>
      <c r="BC110" s="322">
        <v>9</v>
      </c>
      <c r="BD110" s="408">
        <v>9</v>
      </c>
      <c r="BE110" s="307"/>
      <c r="BF110" s="408"/>
      <c r="BG110" s="322">
        <v>9</v>
      </c>
      <c r="BH110" s="408">
        <v>9</v>
      </c>
      <c r="BI110" s="307"/>
      <c r="BJ110" s="408"/>
      <c r="BK110" s="340"/>
      <c r="BL110" s="328">
        <f t="shared" si="23"/>
        <v>72</v>
      </c>
      <c r="BM110" s="328">
        <f t="shared" si="24"/>
        <v>148896</v>
      </c>
      <c r="BN110" s="324">
        <f t="shared" si="25"/>
        <v>48</v>
      </c>
      <c r="BO110" s="325">
        <f t="shared" si="26"/>
        <v>99264</v>
      </c>
      <c r="BP110" s="326">
        <f t="shared" si="27"/>
        <v>0</v>
      </c>
      <c r="BQ110" s="327">
        <f t="shared" si="28"/>
        <v>0</v>
      </c>
      <c r="BR110" s="329"/>
      <c r="BS110" s="329"/>
      <c r="BT110" s="322">
        <v>18</v>
      </c>
      <c r="BU110" s="408"/>
      <c r="BV110" s="307"/>
      <c r="BW110" s="408"/>
      <c r="BX110" s="322">
        <v>18</v>
      </c>
      <c r="BY110" s="408"/>
      <c r="BZ110" s="307"/>
      <c r="CA110" s="408"/>
      <c r="CB110" s="322">
        <v>18</v>
      </c>
      <c r="CC110" s="408"/>
      <c r="CD110" s="307"/>
      <c r="CE110" s="408"/>
      <c r="CF110" s="322">
        <v>18</v>
      </c>
      <c r="CG110" s="408"/>
      <c r="CH110" s="307"/>
      <c r="CI110" s="408"/>
      <c r="CJ110" s="322">
        <v>18</v>
      </c>
      <c r="CK110" s="408"/>
      <c r="CL110" s="307"/>
      <c r="CM110" s="408"/>
      <c r="CN110" s="322">
        <v>18</v>
      </c>
      <c r="CO110" s="408"/>
      <c r="CP110" s="307"/>
      <c r="CQ110" s="408"/>
      <c r="CR110" s="322">
        <v>18</v>
      </c>
      <c r="CS110" s="408"/>
      <c r="CT110" s="307"/>
      <c r="CU110" s="408"/>
      <c r="CV110" s="322">
        <v>18</v>
      </c>
      <c r="CW110" s="408"/>
      <c r="CX110" s="307"/>
      <c r="CY110" s="408"/>
      <c r="CZ110" s="322">
        <v>18</v>
      </c>
      <c r="DA110" s="408"/>
      <c r="DB110" s="307"/>
      <c r="DC110" s="408"/>
      <c r="DD110" s="322">
        <v>18</v>
      </c>
      <c r="DE110" s="408"/>
      <c r="DF110" s="307"/>
      <c r="DG110" s="408"/>
      <c r="DH110" s="322">
        <v>18</v>
      </c>
      <c r="DI110" s="408"/>
      <c r="DJ110" s="307"/>
      <c r="DK110" s="408"/>
      <c r="DL110" s="322">
        <v>18</v>
      </c>
      <c r="DM110" s="408"/>
      <c r="DN110" s="307"/>
      <c r="DO110" s="408"/>
      <c r="DP110" s="340"/>
      <c r="DQ110" s="328">
        <f t="shared" si="36"/>
        <v>216</v>
      </c>
      <c r="DR110" s="328">
        <f t="shared" si="37"/>
        <v>446688</v>
      </c>
      <c r="DS110" s="329"/>
      <c r="DT110" s="329"/>
      <c r="DU110" s="322">
        <v>42</v>
      </c>
      <c r="DV110" s="408"/>
      <c r="DW110" s="307"/>
      <c r="DX110" s="408"/>
      <c r="DY110" s="322">
        <v>42</v>
      </c>
      <c r="DZ110" s="408"/>
      <c r="EA110" s="307"/>
      <c r="EB110" s="408"/>
      <c r="EC110" s="322">
        <v>42</v>
      </c>
      <c r="ED110" s="408"/>
      <c r="EE110" s="307"/>
      <c r="EF110" s="408"/>
      <c r="EG110" s="322">
        <v>42</v>
      </c>
      <c r="EH110" s="408"/>
      <c r="EI110" s="307"/>
      <c r="EJ110" s="408"/>
      <c r="EK110" s="322">
        <v>42</v>
      </c>
      <c r="EL110" s="408"/>
      <c r="EM110" s="307"/>
      <c r="EN110" s="408"/>
      <c r="EO110" s="322">
        <v>42</v>
      </c>
      <c r="EP110" s="408"/>
      <c r="EQ110" s="307"/>
      <c r="ER110" s="408"/>
      <c r="ES110" s="322">
        <v>42</v>
      </c>
      <c r="ET110" s="408"/>
      <c r="EU110" s="307"/>
      <c r="EV110" s="408"/>
      <c r="EW110" s="322">
        <v>42</v>
      </c>
      <c r="EX110" s="408"/>
      <c r="EY110" s="307"/>
      <c r="EZ110" s="408"/>
      <c r="FA110" s="322">
        <v>42</v>
      </c>
      <c r="FB110" s="408"/>
      <c r="FC110" s="307"/>
      <c r="FD110" s="408"/>
      <c r="FE110" s="322">
        <v>42</v>
      </c>
      <c r="FF110" s="408"/>
      <c r="FG110" s="307"/>
      <c r="FH110" s="408"/>
      <c r="FI110" s="322">
        <v>42</v>
      </c>
      <c r="FJ110" s="408"/>
      <c r="FK110" s="307"/>
      <c r="FL110" s="408"/>
      <c r="FM110" s="322">
        <v>42</v>
      </c>
      <c r="FN110" s="408"/>
      <c r="FO110" s="307"/>
      <c r="FP110" s="408"/>
      <c r="FQ110" s="340"/>
      <c r="FR110" s="328">
        <f t="shared" si="38"/>
        <v>504</v>
      </c>
      <c r="FS110" s="328">
        <f t="shared" si="39"/>
        <v>1042272</v>
      </c>
      <c r="FT110" s="361"/>
    </row>
    <row r="111" spans="1:176" outlineLevel="2">
      <c r="A111" s="445" t="s">
        <v>469</v>
      </c>
      <c r="B111" s="446" t="s">
        <v>51</v>
      </c>
      <c r="C111" s="652" t="s">
        <v>31</v>
      </c>
      <c r="D111" s="653" t="s">
        <v>32</v>
      </c>
      <c r="E111" s="447">
        <f>IF(ISBLANK(G111),"",IF($A$6:$A$330=$A111,COUNTIF($A$6:A111,$A111),""))</f>
        <v>6</v>
      </c>
      <c r="F111" s="284">
        <v>1</v>
      </c>
      <c r="G111" s="304">
        <v>6402250570</v>
      </c>
      <c r="H111" s="602" t="s">
        <v>409</v>
      </c>
      <c r="I111" s="616">
        <f>I110</f>
        <v>2068</v>
      </c>
      <c r="J111" s="616"/>
      <c r="K111" s="333"/>
      <c r="L111" s="616"/>
      <c r="M111" s="305"/>
      <c r="N111" s="305">
        <f t="shared" si="22"/>
        <v>2</v>
      </c>
      <c r="O111" s="322"/>
      <c r="P111" s="408"/>
      <c r="Q111" s="307"/>
      <c r="R111" s="408"/>
      <c r="S111" s="322"/>
      <c r="T111" s="408"/>
      <c r="U111" s="307"/>
      <c r="V111" s="408"/>
      <c r="W111" s="322"/>
      <c r="X111" s="408"/>
      <c r="Y111" s="307"/>
      <c r="Z111" s="408"/>
      <c r="AA111" s="322"/>
      <c r="AB111" s="408"/>
      <c r="AC111" s="307"/>
      <c r="AD111" s="408"/>
      <c r="AE111" s="322">
        <v>9</v>
      </c>
      <c r="AF111" s="408"/>
      <c r="AG111" s="307"/>
      <c r="AH111" s="408"/>
      <c r="AI111" s="322">
        <v>9</v>
      </c>
      <c r="AJ111" s="408">
        <f>AJ110</f>
        <v>3</v>
      </c>
      <c r="AK111" s="307"/>
      <c r="AL111" s="408"/>
      <c r="AM111" s="322">
        <v>9</v>
      </c>
      <c r="AN111" s="408"/>
      <c r="AO111" s="307"/>
      <c r="AP111" s="408"/>
      <c r="AQ111" s="322">
        <v>9</v>
      </c>
      <c r="AR111" s="408">
        <f>AR$110</f>
        <v>9</v>
      </c>
      <c r="AS111" s="307"/>
      <c r="AT111" s="408"/>
      <c r="AU111" s="322">
        <v>9</v>
      </c>
      <c r="AV111" s="408">
        <f>AV$110</f>
        <v>9</v>
      </c>
      <c r="AW111" s="307"/>
      <c r="AX111" s="408"/>
      <c r="AY111" s="322">
        <v>9</v>
      </c>
      <c r="AZ111" s="408">
        <f>AZ$110</f>
        <v>9</v>
      </c>
      <c r="BA111" s="307"/>
      <c r="BB111" s="408"/>
      <c r="BC111" s="322">
        <v>9</v>
      </c>
      <c r="BD111" s="408">
        <f>BD$110</f>
        <v>9</v>
      </c>
      <c r="BE111" s="307"/>
      <c r="BF111" s="408"/>
      <c r="BG111" s="322">
        <v>9</v>
      </c>
      <c r="BH111" s="408">
        <f>BH$110</f>
        <v>9</v>
      </c>
      <c r="BI111" s="307"/>
      <c r="BJ111" s="408"/>
      <c r="BK111" s="340"/>
      <c r="BL111" s="328">
        <f t="shared" si="23"/>
        <v>72</v>
      </c>
      <c r="BM111" s="328">
        <f t="shared" si="24"/>
        <v>148896</v>
      </c>
      <c r="BN111" s="324">
        <f t="shared" si="25"/>
        <v>48</v>
      </c>
      <c r="BO111" s="325">
        <f t="shared" si="26"/>
        <v>99264</v>
      </c>
      <c r="BP111" s="326">
        <f t="shared" si="27"/>
        <v>0</v>
      </c>
      <c r="BQ111" s="327">
        <f t="shared" si="28"/>
        <v>0</v>
      </c>
      <c r="BR111" s="329"/>
      <c r="BS111" s="329"/>
      <c r="BT111" s="322">
        <v>18</v>
      </c>
      <c r="BU111" s="408"/>
      <c r="BV111" s="307"/>
      <c r="BW111" s="408"/>
      <c r="BX111" s="322">
        <v>18</v>
      </c>
      <c r="BY111" s="408"/>
      <c r="BZ111" s="307"/>
      <c r="CA111" s="408"/>
      <c r="CB111" s="322">
        <v>18</v>
      </c>
      <c r="CC111" s="408"/>
      <c r="CD111" s="307"/>
      <c r="CE111" s="408"/>
      <c r="CF111" s="322">
        <v>18</v>
      </c>
      <c r="CG111" s="408"/>
      <c r="CH111" s="307"/>
      <c r="CI111" s="408"/>
      <c r="CJ111" s="322">
        <v>18</v>
      </c>
      <c r="CK111" s="408"/>
      <c r="CL111" s="307"/>
      <c r="CM111" s="408"/>
      <c r="CN111" s="322">
        <v>18</v>
      </c>
      <c r="CO111" s="408"/>
      <c r="CP111" s="307"/>
      <c r="CQ111" s="408"/>
      <c r="CR111" s="322">
        <v>18</v>
      </c>
      <c r="CS111" s="408"/>
      <c r="CT111" s="307"/>
      <c r="CU111" s="408"/>
      <c r="CV111" s="322">
        <v>18</v>
      </c>
      <c r="CW111" s="408"/>
      <c r="CX111" s="307"/>
      <c r="CY111" s="408"/>
      <c r="CZ111" s="322">
        <v>18</v>
      </c>
      <c r="DA111" s="408"/>
      <c r="DB111" s="307"/>
      <c r="DC111" s="408"/>
      <c r="DD111" s="322">
        <v>18</v>
      </c>
      <c r="DE111" s="408"/>
      <c r="DF111" s="307"/>
      <c r="DG111" s="408"/>
      <c r="DH111" s="322">
        <v>18</v>
      </c>
      <c r="DI111" s="408"/>
      <c r="DJ111" s="307"/>
      <c r="DK111" s="408"/>
      <c r="DL111" s="322">
        <v>18</v>
      </c>
      <c r="DM111" s="408"/>
      <c r="DN111" s="307"/>
      <c r="DO111" s="408"/>
      <c r="DP111" s="340"/>
      <c r="DQ111" s="328">
        <f t="shared" si="36"/>
        <v>216</v>
      </c>
      <c r="DR111" s="328">
        <f t="shared" si="37"/>
        <v>446688</v>
      </c>
      <c r="DS111" s="329"/>
      <c r="DT111" s="329"/>
      <c r="DU111" s="322">
        <v>42</v>
      </c>
      <c r="DV111" s="408"/>
      <c r="DW111" s="307"/>
      <c r="DX111" s="408"/>
      <c r="DY111" s="322">
        <v>42</v>
      </c>
      <c r="DZ111" s="408"/>
      <c r="EA111" s="307"/>
      <c r="EB111" s="408"/>
      <c r="EC111" s="322">
        <v>42</v>
      </c>
      <c r="ED111" s="408"/>
      <c r="EE111" s="307"/>
      <c r="EF111" s="408"/>
      <c r="EG111" s="322">
        <v>42</v>
      </c>
      <c r="EH111" s="408"/>
      <c r="EI111" s="307"/>
      <c r="EJ111" s="408"/>
      <c r="EK111" s="322">
        <v>42</v>
      </c>
      <c r="EL111" s="408"/>
      <c r="EM111" s="307"/>
      <c r="EN111" s="408"/>
      <c r="EO111" s="322">
        <v>42</v>
      </c>
      <c r="EP111" s="408"/>
      <c r="EQ111" s="307"/>
      <c r="ER111" s="408"/>
      <c r="ES111" s="322">
        <v>42</v>
      </c>
      <c r="ET111" s="408"/>
      <c r="EU111" s="307"/>
      <c r="EV111" s="408"/>
      <c r="EW111" s="322">
        <v>42</v>
      </c>
      <c r="EX111" s="408"/>
      <c r="EY111" s="307"/>
      <c r="EZ111" s="408"/>
      <c r="FA111" s="322">
        <v>42</v>
      </c>
      <c r="FB111" s="408"/>
      <c r="FC111" s="307"/>
      <c r="FD111" s="408"/>
      <c r="FE111" s="322">
        <v>42</v>
      </c>
      <c r="FF111" s="408"/>
      <c r="FG111" s="307"/>
      <c r="FH111" s="408"/>
      <c r="FI111" s="322">
        <v>42</v>
      </c>
      <c r="FJ111" s="408"/>
      <c r="FK111" s="307"/>
      <c r="FL111" s="408"/>
      <c r="FM111" s="322">
        <v>42</v>
      </c>
      <c r="FN111" s="408"/>
      <c r="FO111" s="307"/>
      <c r="FP111" s="408"/>
      <c r="FQ111" s="340"/>
      <c r="FR111" s="328">
        <f t="shared" si="38"/>
        <v>504</v>
      </c>
      <c r="FS111" s="328">
        <f t="shared" si="39"/>
        <v>1042272</v>
      </c>
      <c r="FT111" s="361"/>
    </row>
    <row r="112" spans="1:176" outlineLevel="2">
      <c r="A112" s="445" t="s">
        <v>469</v>
      </c>
      <c r="B112" s="446" t="s">
        <v>51</v>
      </c>
      <c r="C112" s="652" t="s">
        <v>31</v>
      </c>
      <c r="D112" s="653" t="s">
        <v>32</v>
      </c>
      <c r="E112" s="447">
        <f>IF(ISBLANK(G112),"",IF($A$6:$A$330=$A112,COUNTIF($A$6:A112,$A112),""))</f>
        <v>7</v>
      </c>
      <c r="F112" s="284">
        <v>1</v>
      </c>
      <c r="G112" s="304">
        <v>4410328080</v>
      </c>
      <c r="H112" s="602" t="s">
        <v>45</v>
      </c>
      <c r="I112" s="661">
        <f>84/НДС_20</f>
        <v>70</v>
      </c>
      <c r="J112" s="616"/>
      <c r="K112" s="333"/>
      <c r="L112" s="616"/>
      <c r="M112" s="305"/>
      <c r="N112" s="305">
        <f t="shared" si="22"/>
        <v>2</v>
      </c>
      <c r="O112" s="322"/>
      <c r="P112" s="408"/>
      <c r="Q112" s="307"/>
      <c r="R112" s="408"/>
      <c r="S112" s="322"/>
      <c r="T112" s="408"/>
      <c r="U112" s="307"/>
      <c r="V112" s="408"/>
      <c r="W112" s="322"/>
      <c r="X112" s="408"/>
      <c r="Y112" s="307"/>
      <c r="Z112" s="408"/>
      <c r="AA112" s="322"/>
      <c r="AB112" s="408"/>
      <c r="AC112" s="307"/>
      <c r="AD112" s="408"/>
      <c r="AE112" s="322">
        <v>6</v>
      </c>
      <c r="AF112" s="408"/>
      <c r="AG112" s="307"/>
      <c r="AH112" s="408"/>
      <c r="AI112" s="322">
        <v>6</v>
      </c>
      <c r="AJ112" s="408"/>
      <c r="AK112" s="307"/>
      <c r="AL112" s="408"/>
      <c r="AM112" s="322">
        <v>6</v>
      </c>
      <c r="AN112" s="408"/>
      <c r="AO112" s="307"/>
      <c r="AP112" s="408"/>
      <c r="AQ112" s="322">
        <v>6</v>
      </c>
      <c r="AR112" s="408">
        <f>SUM(AR$110:AR$111)/3</f>
        <v>6</v>
      </c>
      <c r="AS112" s="307"/>
      <c r="AT112" s="408"/>
      <c r="AU112" s="322">
        <v>6</v>
      </c>
      <c r="AV112" s="408">
        <f>SUM(AV$110:AV$111)/3</f>
        <v>6</v>
      </c>
      <c r="AW112" s="307"/>
      <c r="AX112" s="408"/>
      <c r="AY112" s="322">
        <v>6</v>
      </c>
      <c r="AZ112" s="408">
        <f>SUM(AZ$110:AZ$111)/3</f>
        <v>6</v>
      </c>
      <c r="BA112" s="307"/>
      <c r="BB112" s="408"/>
      <c r="BC112" s="322">
        <v>6</v>
      </c>
      <c r="BD112" s="408">
        <f>SUM(BD$110:BD$111)/3</f>
        <v>6</v>
      </c>
      <c r="BE112" s="307"/>
      <c r="BF112" s="408"/>
      <c r="BG112" s="322">
        <v>6</v>
      </c>
      <c r="BH112" s="408">
        <f>SUM(BH$110:BH$111)/3</f>
        <v>6</v>
      </c>
      <c r="BI112" s="307"/>
      <c r="BJ112" s="408"/>
      <c r="BK112" s="340"/>
      <c r="BL112" s="328">
        <f t="shared" si="23"/>
        <v>48</v>
      </c>
      <c r="BM112" s="328">
        <f t="shared" si="24"/>
        <v>3360</v>
      </c>
      <c r="BN112" s="324">
        <f t="shared" si="25"/>
        <v>30</v>
      </c>
      <c r="BO112" s="325">
        <f t="shared" si="26"/>
        <v>2100</v>
      </c>
      <c r="BP112" s="326">
        <f t="shared" si="27"/>
        <v>0</v>
      </c>
      <c r="BQ112" s="327">
        <f t="shared" si="28"/>
        <v>0</v>
      </c>
      <c r="BR112" s="329"/>
      <c r="BS112" s="329"/>
      <c r="BT112" s="322">
        <v>12</v>
      </c>
      <c r="BU112" s="408"/>
      <c r="BV112" s="307"/>
      <c r="BW112" s="408"/>
      <c r="BX112" s="322">
        <v>12</v>
      </c>
      <c r="BY112" s="408"/>
      <c r="BZ112" s="307"/>
      <c r="CA112" s="408"/>
      <c r="CB112" s="322">
        <v>12</v>
      </c>
      <c r="CC112" s="408"/>
      <c r="CD112" s="307"/>
      <c r="CE112" s="408"/>
      <c r="CF112" s="322">
        <v>12</v>
      </c>
      <c r="CG112" s="408"/>
      <c r="CH112" s="307"/>
      <c r="CI112" s="408"/>
      <c r="CJ112" s="322">
        <v>12</v>
      </c>
      <c r="CK112" s="408"/>
      <c r="CL112" s="307"/>
      <c r="CM112" s="408"/>
      <c r="CN112" s="322">
        <v>12</v>
      </c>
      <c r="CO112" s="408"/>
      <c r="CP112" s="307"/>
      <c r="CQ112" s="408"/>
      <c r="CR112" s="322">
        <v>12</v>
      </c>
      <c r="CS112" s="408"/>
      <c r="CT112" s="307"/>
      <c r="CU112" s="408"/>
      <c r="CV112" s="322">
        <v>12</v>
      </c>
      <c r="CW112" s="408"/>
      <c r="CX112" s="307"/>
      <c r="CY112" s="408"/>
      <c r="CZ112" s="322">
        <v>12</v>
      </c>
      <c r="DA112" s="408"/>
      <c r="DB112" s="307"/>
      <c r="DC112" s="408"/>
      <c r="DD112" s="322">
        <v>12</v>
      </c>
      <c r="DE112" s="408"/>
      <c r="DF112" s="307"/>
      <c r="DG112" s="408"/>
      <c r="DH112" s="322">
        <v>12</v>
      </c>
      <c r="DI112" s="408"/>
      <c r="DJ112" s="307"/>
      <c r="DK112" s="408"/>
      <c r="DL112" s="322">
        <v>12</v>
      </c>
      <c r="DM112" s="408"/>
      <c r="DN112" s="307"/>
      <c r="DO112" s="408"/>
      <c r="DP112" s="340"/>
      <c r="DQ112" s="328">
        <f t="shared" si="36"/>
        <v>144</v>
      </c>
      <c r="DR112" s="328">
        <f t="shared" si="37"/>
        <v>10080</v>
      </c>
      <c r="DS112" s="329"/>
      <c r="DT112" s="329"/>
      <c r="DU112" s="322">
        <v>28</v>
      </c>
      <c r="DV112" s="408"/>
      <c r="DW112" s="307"/>
      <c r="DX112" s="408"/>
      <c r="DY112" s="322">
        <v>28</v>
      </c>
      <c r="DZ112" s="408"/>
      <c r="EA112" s="307"/>
      <c r="EB112" s="408"/>
      <c r="EC112" s="322">
        <v>28</v>
      </c>
      <c r="ED112" s="408"/>
      <c r="EE112" s="307"/>
      <c r="EF112" s="408"/>
      <c r="EG112" s="322">
        <v>28</v>
      </c>
      <c r="EH112" s="408"/>
      <c r="EI112" s="307"/>
      <c r="EJ112" s="408"/>
      <c r="EK112" s="322">
        <v>28</v>
      </c>
      <c r="EL112" s="408"/>
      <c r="EM112" s="307"/>
      <c r="EN112" s="408"/>
      <c r="EO112" s="322">
        <v>28</v>
      </c>
      <c r="EP112" s="408"/>
      <c r="EQ112" s="307"/>
      <c r="ER112" s="408"/>
      <c r="ES112" s="322">
        <v>28</v>
      </c>
      <c r="ET112" s="408"/>
      <c r="EU112" s="307"/>
      <c r="EV112" s="408"/>
      <c r="EW112" s="322">
        <v>28</v>
      </c>
      <c r="EX112" s="408"/>
      <c r="EY112" s="307"/>
      <c r="EZ112" s="408"/>
      <c r="FA112" s="322">
        <v>28</v>
      </c>
      <c r="FB112" s="408"/>
      <c r="FC112" s="307"/>
      <c r="FD112" s="408"/>
      <c r="FE112" s="322">
        <v>28</v>
      </c>
      <c r="FF112" s="408"/>
      <c r="FG112" s="307"/>
      <c r="FH112" s="408"/>
      <c r="FI112" s="322">
        <v>28</v>
      </c>
      <c r="FJ112" s="408"/>
      <c r="FK112" s="307"/>
      <c r="FL112" s="408"/>
      <c r="FM112" s="322">
        <v>28</v>
      </c>
      <c r="FN112" s="408"/>
      <c r="FO112" s="307"/>
      <c r="FP112" s="408"/>
      <c r="FQ112" s="340"/>
      <c r="FR112" s="328">
        <f t="shared" si="38"/>
        <v>336</v>
      </c>
      <c r="FS112" s="328">
        <f t="shared" si="39"/>
        <v>23520</v>
      </c>
      <c r="FT112" s="361"/>
    </row>
    <row r="113" spans="1:176" outlineLevel="2">
      <c r="A113" s="445" t="s">
        <v>469</v>
      </c>
      <c r="B113" s="446" t="s">
        <v>51</v>
      </c>
      <c r="C113" s="652" t="s">
        <v>31</v>
      </c>
      <c r="D113" s="653" t="s">
        <v>32</v>
      </c>
      <c r="E113" s="447">
        <f>IF(ISBLANK(G113),"",IF($A$6:$A$330=$A113,COUNTIF($A$6:A113,$A113),""))</f>
        <v>8</v>
      </c>
      <c r="F113" s="284">
        <v>1</v>
      </c>
      <c r="G113" s="304">
        <v>8997598154</v>
      </c>
      <c r="H113" s="602" t="s">
        <v>46</v>
      </c>
      <c r="I113" s="616">
        <f>8.4/НДС_20</f>
        <v>7.0000000000000009</v>
      </c>
      <c r="J113" s="616"/>
      <c r="K113" s="333"/>
      <c r="L113" s="616"/>
      <c r="M113" s="305"/>
      <c r="N113" s="305">
        <f t="shared" si="22"/>
        <v>2</v>
      </c>
      <c r="O113" s="322"/>
      <c r="P113" s="498"/>
      <c r="Q113" s="307"/>
      <c r="R113" s="408"/>
      <c r="S113" s="322"/>
      <c r="T113" s="408"/>
      <c r="U113" s="307"/>
      <c r="V113" s="408"/>
      <c r="W113" s="322"/>
      <c r="X113" s="408"/>
      <c r="Y113" s="307"/>
      <c r="Z113" s="408"/>
      <c r="AA113" s="322"/>
      <c r="AB113" s="408"/>
      <c r="AC113" s="307"/>
      <c r="AD113" s="408"/>
      <c r="AE113" s="322">
        <v>6</v>
      </c>
      <c r="AF113" s="408"/>
      <c r="AG113" s="307"/>
      <c r="AH113" s="408"/>
      <c r="AI113" s="322">
        <v>6</v>
      </c>
      <c r="AJ113" s="408"/>
      <c r="AK113" s="307"/>
      <c r="AL113" s="408"/>
      <c r="AM113" s="322">
        <v>6</v>
      </c>
      <c r="AN113" s="408"/>
      <c r="AO113" s="307"/>
      <c r="AP113" s="408"/>
      <c r="AQ113" s="322">
        <v>6</v>
      </c>
      <c r="AR113" s="408">
        <f>SUM(AR$110:AR$111)/3</f>
        <v>6</v>
      </c>
      <c r="AS113" s="307"/>
      <c r="AT113" s="408"/>
      <c r="AU113" s="322">
        <v>6</v>
      </c>
      <c r="AV113" s="408">
        <f>SUM(AV$110:AV$111)/3</f>
        <v>6</v>
      </c>
      <c r="AW113" s="307"/>
      <c r="AX113" s="408"/>
      <c r="AY113" s="322">
        <v>6</v>
      </c>
      <c r="AZ113" s="408">
        <f>SUM(AZ$110:AZ$111)/3</f>
        <v>6</v>
      </c>
      <c r="BA113" s="307"/>
      <c r="BB113" s="408"/>
      <c r="BC113" s="322">
        <v>6</v>
      </c>
      <c r="BD113" s="408">
        <f>SUM(BD$110:BD$111)/3</f>
        <v>6</v>
      </c>
      <c r="BE113" s="307"/>
      <c r="BF113" s="408"/>
      <c r="BG113" s="322">
        <v>6</v>
      </c>
      <c r="BH113" s="408">
        <f>SUM(BH$110:BH$111)/3</f>
        <v>6</v>
      </c>
      <c r="BI113" s="307"/>
      <c r="BJ113" s="408"/>
      <c r="BK113" s="340"/>
      <c r="BL113" s="328">
        <f t="shared" si="23"/>
        <v>48</v>
      </c>
      <c r="BM113" s="328">
        <f t="shared" si="24"/>
        <v>336.00000000000006</v>
      </c>
      <c r="BN113" s="324">
        <f t="shared" si="25"/>
        <v>30</v>
      </c>
      <c r="BO113" s="325">
        <f t="shared" si="26"/>
        <v>210.00000000000003</v>
      </c>
      <c r="BP113" s="326">
        <f t="shared" si="27"/>
        <v>0</v>
      </c>
      <c r="BQ113" s="327">
        <f t="shared" si="28"/>
        <v>0</v>
      </c>
      <c r="BR113" s="329"/>
      <c r="BS113" s="329"/>
      <c r="BT113" s="322">
        <v>12</v>
      </c>
      <c r="BU113" s="408"/>
      <c r="BV113" s="307"/>
      <c r="BW113" s="408"/>
      <c r="BX113" s="322">
        <v>12</v>
      </c>
      <c r="BY113" s="408"/>
      <c r="BZ113" s="307"/>
      <c r="CA113" s="408"/>
      <c r="CB113" s="322">
        <v>12</v>
      </c>
      <c r="CC113" s="408"/>
      <c r="CD113" s="307"/>
      <c r="CE113" s="408"/>
      <c r="CF113" s="322">
        <v>12</v>
      </c>
      <c r="CG113" s="408"/>
      <c r="CH113" s="307"/>
      <c r="CI113" s="408"/>
      <c r="CJ113" s="322">
        <v>12</v>
      </c>
      <c r="CK113" s="408"/>
      <c r="CL113" s="307"/>
      <c r="CM113" s="408"/>
      <c r="CN113" s="322">
        <v>12</v>
      </c>
      <c r="CO113" s="408"/>
      <c r="CP113" s="307"/>
      <c r="CQ113" s="408"/>
      <c r="CR113" s="322">
        <v>12</v>
      </c>
      <c r="CS113" s="408"/>
      <c r="CT113" s="307"/>
      <c r="CU113" s="408"/>
      <c r="CV113" s="322">
        <v>12</v>
      </c>
      <c r="CW113" s="408"/>
      <c r="CX113" s="307"/>
      <c r="CY113" s="408"/>
      <c r="CZ113" s="322">
        <v>12</v>
      </c>
      <c r="DA113" s="408"/>
      <c r="DB113" s="307"/>
      <c r="DC113" s="408"/>
      <c r="DD113" s="322">
        <v>12</v>
      </c>
      <c r="DE113" s="408"/>
      <c r="DF113" s="307"/>
      <c r="DG113" s="408"/>
      <c r="DH113" s="322">
        <v>12</v>
      </c>
      <c r="DI113" s="408"/>
      <c r="DJ113" s="307"/>
      <c r="DK113" s="408"/>
      <c r="DL113" s="322">
        <v>12</v>
      </c>
      <c r="DM113" s="408"/>
      <c r="DN113" s="307"/>
      <c r="DO113" s="408"/>
      <c r="DP113" s="340"/>
      <c r="DQ113" s="328">
        <f t="shared" si="36"/>
        <v>144</v>
      </c>
      <c r="DR113" s="328">
        <f t="shared" si="37"/>
        <v>1008.0000000000001</v>
      </c>
      <c r="DS113" s="329"/>
      <c r="DT113" s="329"/>
      <c r="DU113" s="322">
        <v>28</v>
      </c>
      <c r="DV113" s="408"/>
      <c r="DW113" s="307"/>
      <c r="DX113" s="408"/>
      <c r="DY113" s="322">
        <v>28</v>
      </c>
      <c r="DZ113" s="408"/>
      <c r="EA113" s="307"/>
      <c r="EB113" s="408"/>
      <c r="EC113" s="322">
        <v>28</v>
      </c>
      <c r="ED113" s="408"/>
      <c r="EE113" s="307"/>
      <c r="EF113" s="408"/>
      <c r="EG113" s="322">
        <v>28</v>
      </c>
      <c r="EH113" s="408"/>
      <c r="EI113" s="307"/>
      <c r="EJ113" s="408"/>
      <c r="EK113" s="322">
        <v>28</v>
      </c>
      <c r="EL113" s="408"/>
      <c r="EM113" s="307"/>
      <c r="EN113" s="408"/>
      <c r="EO113" s="322">
        <v>28</v>
      </c>
      <c r="EP113" s="408"/>
      <c r="EQ113" s="307"/>
      <c r="ER113" s="408"/>
      <c r="ES113" s="322">
        <v>28</v>
      </c>
      <c r="ET113" s="408"/>
      <c r="EU113" s="307"/>
      <c r="EV113" s="408"/>
      <c r="EW113" s="322">
        <v>28</v>
      </c>
      <c r="EX113" s="408"/>
      <c r="EY113" s="307"/>
      <c r="EZ113" s="408"/>
      <c r="FA113" s="322">
        <v>28</v>
      </c>
      <c r="FB113" s="408"/>
      <c r="FC113" s="307"/>
      <c r="FD113" s="408"/>
      <c r="FE113" s="322">
        <v>28</v>
      </c>
      <c r="FF113" s="408"/>
      <c r="FG113" s="307"/>
      <c r="FH113" s="408"/>
      <c r="FI113" s="322">
        <v>28</v>
      </c>
      <c r="FJ113" s="408"/>
      <c r="FK113" s="307"/>
      <c r="FL113" s="408"/>
      <c r="FM113" s="322">
        <v>28</v>
      </c>
      <c r="FN113" s="408"/>
      <c r="FO113" s="307"/>
      <c r="FP113" s="408"/>
      <c r="FQ113" s="340"/>
      <c r="FR113" s="328">
        <f t="shared" si="38"/>
        <v>336</v>
      </c>
      <c r="FS113" s="328">
        <f t="shared" si="39"/>
        <v>2352.0000000000005</v>
      </c>
      <c r="FT113" s="361"/>
    </row>
    <row r="114" spans="1:176" outlineLevel="2">
      <c r="A114" s="445" t="s">
        <v>469</v>
      </c>
      <c r="B114" s="446" t="s">
        <v>51</v>
      </c>
      <c r="C114" s="652" t="s">
        <v>31</v>
      </c>
      <c r="D114" s="653" t="s">
        <v>32</v>
      </c>
      <c r="E114" s="447">
        <f>IF(ISBLANK(G114),"",IF($A$6:$A$330=$A114,COUNTIF($A$6:A114,$A114),""))</f>
        <v>9</v>
      </c>
      <c r="F114" s="284">
        <v>1</v>
      </c>
      <c r="G114" s="304">
        <v>4235041001</v>
      </c>
      <c r="H114" s="602" t="s">
        <v>37</v>
      </c>
      <c r="I114" s="616">
        <f>163.08/НДС_20</f>
        <v>135.9</v>
      </c>
      <c r="J114" s="616"/>
      <c r="K114" s="333"/>
      <c r="L114" s="616"/>
      <c r="M114" s="305"/>
      <c r="N114" s="305">
        <f t="shared" si="22"/>
        <v>2</v>
      </c>
      <c r="O114" s="322"/>
      <c r="P114" s="408"/>
      <c r="Q114" s="307"/>
      <c r="R114" s="408"/>
      <c r="S114" s="322"/>
      <c r="T114" s="408"/>
      <c r="U114" s="307"/>
      <c r="V114" s="408"/>
      <c r="W114" s="322"/>
      <c r="X114" s="408"/>
      <c r="Y114" s="307"/>
      <c r="Z114" s="408"/>
      <c r="AA114" s="322"/>
      <c r="AB114" s="408"/>
      <c r="AC114" s="307"/>
      <c r="AD114" s="408"/>
      <c r="AE114" s="322">
        <v>6</v>
      </c>
      <c r="AF114" s="408"/>
      <c r="AG114" s="307"/>
      <c r="AH114" s="408"/>
      <c r="AI114" s="322">
        <v>6</v>
      </c>
      <c r="AJ114" s="408"/>
      <c r="AK114" s="307"/>
      <c r="AL114" s="408"/>
      <c r="AM114" s="322">
        <v>6</v>
      </c>
      <c r="AN114" s="408"/>
      <c r="AO114" s="307"/>
      <c r="AP114" s="408"/>
      <c r="AQ114" s="322">
        <v>6</v>
      </c>
      <c r="AR114" s="408">
        <f>SUM(AR$110:AR$111)/3</f>
        <v>6</v>
      </c>
      <c r="AS114" s="307"/>
      <c r="AT114" s="408"/>
      <c r="AU114" s="322">
        <v>6</v>
      </c>
      <c r="AV114" s="408">
        <f>SUM(AV$110:AV$111)/3</f>
        <v>6</v>
      </c>
      <c r="AW114" s="307"/>
      <c r="AX114" s="408"/>
      <c r="AY114" s="322">
        <v>6</v>
      </c>
      <c r="AZ114" s="408">
        <f>SUM(AZ$110:AZ$111)/3</f>
        <v>6</v>
      </c>
      <c r="BA114" s="307"/>
      <c r="BB114" s="408"/>
      <c r="BC114" s="322">
        <v>6</v>
      </c>
      <c r="BD114" s="408">
        <f>SUM(BD$110:BD$111)/3</f>
        <v>6</v>
      </c>
      <c r="BE114" s="307"/>
      <c r="BF114" s="408"/>
      <c r="BG114" s="322">
        <v>6</v>
      </c>
      <c r="BH114" s="408">
        <f>SUM(BH$110:BH$111)/3</f>
        <v>6</v>
      </c>
      <c r="BI114" s="307"/>
      <c r="BJ114" s="408"/>
      <c r="BK114" s="340"/>
      <c r="BL114" s="328">
        <f t="shared" si="23"/>
        <v>48</v>
      </c>
      <c r="BM114" s="328">
        <f t="shared" si="24"/>
        <v>6523.2000000000007</v>
      </c>
      <c r="BN114" s="324">
        <f t="shared" si="25"/>
        <v>30</v>
      </c>
      <c r="BO114" s="325">
        <f t="shared" si="26"/>
        <v>4077</v>
      </c>
      <c r="BP114" s="326">
        <f t="shared" si="27"/>
        <v>0</v>
      </c>
      <c r="BQ114" s="327">
        <f t="shared" si="28"/>
        <v>0</v>
      </c>
      <c r="BR114" s="329"/>
      <c r="BS114" s="329"/>
      <c r="BT114" s="322">
        <v>12</v>
      </c>
      <c r="BU114" s="408"/>
      <c r="BV114" s="307"/>
      <c r="BW114" s="408"/>
      <c r="BX114" s="322">
        <v>12</v>
      </c>
      <c r="BY114" s="408"/>
      <c r="BZ114" s="307"/>
      <c r="CA114" s="408"/>
      <c r="CB114" s="322">
        <v>12</v>
      </c>
      <c r="CC114" s="408"/>
      <c r="CD114" s="307"/>
      <c r="CE114" s="408"/>
      <c r="CF114" s="322">
        <v>12</v>
      </c>
      <c r="CG114" s="408"/>
      <c r="CH114" s="307"/>
      <c r="CI114" s="408"/>
      <c r="CJ114" s="322">
        <v>12</v>
      </c>
      <c r="CK114" s="408"/>
      <c r="CL114" s="307"/>
      <c r="CM114" s="408"/>
      <c r="CN114" s="322">
        <v>12</v>
      </c>
      <c r="CO114" s="408"/>
      <c r="CP114" s="307"/>
      <c r="CQ114" s="408"/>
      <c r="CR114" s="322">
        <v>12</v>
      </c>
      <c r="CS114" s="408"/>
      <c r="CT114" s="307"/>
      <c r="CU114" s="408"/>
      <c r="CV114" s="322">
        <v>12</v>
      </c>
      <c r="CW114" s="408"/>
      <c r="CX114" s="307"/>
      <c r="CY114" s="408"/>
      <c r="CZ114" s="322">
        <v>12</v>
      </c>
      <c r="DA114" s="408"/>
      <c r="DB114" s="307"/>
      <c r="DC114" s="408"/>
      <c r="DD114" s="322">
        <v>12</v>
      </c>
      <c r="DE114" s="408"/>
      <c r="DF114" s="307"/>
      <c r="DG114" s="408"/>
      <c r="DH114" s="322">
        <v>12</v>
      </c>
      <c r="DI114" s="408"/>
      <c r="DJ114" s="307"/>
      <c r="DK114" s="408"/>
      <c r="DL114" s="322">
        <v>12</v>
      </c>
      <c r="DM114" s="408"/>
      <c r="DN114" s="307"/>
      <c r="DO114" s="408"/>
      <c r="DP114" s="340"/>
      <c r="DQ114" s="328">
        <f t="shared" si="36"/>
        <v>144</v>
      </c>
      <c r="DR114" s="328">
        <f t="shared" si="37"/>
        <v>19569.600000000002</v>
      </c>
      <c r="DS114" s="329"/>
      <c r="DT114" s="329"/>
      <c r="DU114" s="322">
        <v>28</v>
      </c>
      <c r="DV114" s="408"/>
      <c r="DW114" s="307"/>
      <c r="DX114" s="408"/>
      <c r="DY114" s="322">
        <v>28</v>
      </c>
      <c r="DZ114" s="408"/>
      <c r="EA114" s="307"/>
      <c r="EB114" s="408"/>
      <c r="EC114" s="322">
        <v>28</v>
      </c>
      <c r="ED114" s="408"/>
      <c r="EE114" s="307"/>
      <c r="EF114" s="408"/>
      <c r="EG114" s="322">
        <v>28</v>
      </c>
      <c r="EH114" s="408"/>
      <c r="EI114" s="307"/>
      <c r="EJ114" s="408"/>
      <c r="EK114" s="322">
        <v>28</v>
      </c>
      <c r="EL114" s="408"/>
      <c r="EM114" s="307"/>
      <c r="EN114" s="408"/>
      <c r="EO114" s="322">
        <v>28</v>
      </c>
      <c r="EP114" s="408"/>
      <c r="EQ114" s="307"/>
      <c r="ER114" s="408"/>
      <c r="ES114" s="322">
        <v>28</v>
      </c>
      <c r="ET114" s="408"/>
      <c r="EU114" s="307"/>
      <c r="EV114" s="408"/>
      <c r="EW114" s="322">
        <v>28</v>
      </c>
      <c r="EX114" s="408"/>
      <c r="EY114" s="307"/>
      <c r="EZ114" s="408"/>
      <c r="FA114" s="322">
        <v>28</v>
      </c>
      <c r="FB114" s="408"/>
      <c r="FC114" s="307"/>
      <c r="FD114" s="408"/>
      <c r="FE114" s="322">
        <v>28</v>
      </c>
      <c r="FF114" s="408"/>
      <c r="FG114" s="307"/>
      <c r="FH114" s="408"/>
      <c r="FI114" s="322">
        <v>28</v>
      </c>
      <c r="FJ114" s="408"/>
      <c r="FK114" s="307"/>
      <c r="FL114" s="408"/>
      <c r="FM114" s="322">
        <v>28</v>
      </c>
      <c r="FN114" s="408"/>
      <c r="FO114" s="307"/>
      <c r="FP114" s="408"/>
      <c r="FQ114" s="340"/>
      <c r="FR114" s="328">
        <f t="shared" si="38"/>
        <v>336</v>
      </c>
      <c r="FS114" s="328">
        <f t="shared" si="39"/>
        <v>45662.400000000001</v>
      </c>
      <c r="FT114" s="361"/>
    </row>
    <row r="115" spans="1:176" outlineLevel="2">
      <c r="A115" s="445" t="s">
        <v>469</v>
      </c>
      <c r="B115" s="446" t="s">
        <v>51</v>
      </c>
      <c r="C115" s="652" t="s">
        <v>31</v>
      </c>
      <c r="D115" s="653" t="s">
        <v>32</v>
      </c>
      <c r="E115" s="447">
        <f>IF(ISBLANK(G115),"",IF($A$6:$A$330=$A115,COUNTIF($A$6:A115,$A115),""))</f>
        <v>10</v>
      </c>
      <c r="F115" s="284">
        <v>1</v>
      </c>
      <c r="G115" s="304">
        <v>9254800504</v>
      </c>
      <c r="H115" s="602" t="s">
        <v>38</v>
      </c>
      <c r="I115" s="616">
        <f>373.98/НДС_20</f>
        <v>311.65000000000003</v>
      </c>
      <c r="J115" s="616"/>
      <c r="K115" s="333"/>
      <c r="L115" s="616"/>
      <c r="M115" s="305"/>
      <c r="N115" s="305">
        <f t="shared" si="22"/>
        <v>2</v>
      </c>
      <c r="O115" s="322"/>
      <c r="P115" s="408"/>
      <c r="Q115" s="307"/>
      <c r="R115" s="408"/>
      <c r="S115" s="322"/>
      <c r="T115" s="408"/>
      <c r="U115" s="307"/>
      <c r="V115" s="408"/>
      <c r="W115" s="322"/>
      <c r="X115" s="408"/>
      <c r="Y115" s="307"/>
      <c r="Z115" s="408"/>
      <c r="AA115" s="322"/>
      <c r="AB115" s="408"/>
      <c r="AC115" s="307"/>
      <c r="AD115" s="408"/>
      <c r="AE115" s="322">
        <v>12</v>
      </c>
      <c r="AF115" s="408"/>
      <c r="AG115" s="307"/>
      <c r="AH115" s="408"/>
      <c r="AI115" s="322">
        <v>12</v>
      </c>
      <c r="AJ115" s="408"/>
      <c r="AK115" s="307"/>
      <c r="AL115" s="408"/>
      <c r="AM115" s="322">
        <v>12</v>
      </c>
      <c r="AN115" s="408"/>
      <c r="AO115" s="307"/>
      <c r="AP115" s="408"/>
      <c r="AQ115" s="322">
        <v>12</v>
      </c>
      <c r="AR115" s="408">
        <f>SUM(AR$110:AR$111)/3*2</f>
        <v>12</v>
      </c>
      <c r="AS115" s="307"/>
      <c r="AT115" s="408"/>
      <c r="AU115" s="322">
        <v>12</v>
      </c>
      <c r="AV115" s="408">
        <f>SUM(AV$110:AV$111)/3*2</f>
        <v>12</v>
      </c>
      <c r="AW115" s="307"/>
      <c r="AX115" s="408"/>
      <c r="AY115" s="322">
        <v>12</v>
      </c>
      <c r="AZ115" s="408">
        <f>SUM(AZ$110:AZ$111)/3*2</f>
        <v>12</v>
      </c>
      <c r="BA115" s="307"/>
      <c r="BB115" s="408"/>
      <c r="BC115" s="322">
        <v>12</v>
      </c>
      <c r="BD115" s="408">
        <f>SUM(BD$110:BD$111)/3*2</f>
        <v>12</v>
      </c>
      <c r="BE115" s="307"/>
      <c r="BF115" s="408"/>
      <c r="BG115" s="322">
        <v>12</v>
      </c>
      <c r="BH115" s="408">
        <f>SUM(BH$110:BH$111)/3*2</f>
        <v>12</v>
      </c>
      <c r="BI115" s="307"/>
      <c r="BJ115" s="408"/>
      <c r="BK115" s="340"/>
      <c r="BL115" s="328">
        <f t="shared" si="23"/>
        <v>96</v>
      </c>
      <c r="BM115" s="328">
        <f t="shared" si="24"/>
        <v>29918.400000000001</v>
      </c>
      <c r="BN115" s="324">
        <f t="shared" si="25"/>
        <v>60</v>
      </c>
      <c r="BO115" s="325">
        <f t="shared" si="26"/>
        <v>18699.000000000004</v>
      </c>
      <c r="BP115" s="326">
        <f t="shared" si="27"/>
        <v>0</v>
      </c>
      <c r="BQ115" s="327">
        <f t="shared" si="28"/>
        <v>0</v>
      </c>
      <c r="BR115" s="329"/>
      <c r="BS115" s="329"/>
      <c r="BT115" s="322">
        <v>24</v>
      </c>
      <c r="BU115" s="408"/>
      <c r="BV115" s="307"/>
      <c r="BW115" s="408"/>
      <c r="BX115" s="322">
        <v>24</v>
      </c>
      <c r="BY115" s="408"/>
      <c r="BZ115" s="307"/>
      <c r="CA115" s="408"/>
      <c r="CB115" s="322">
        <v>24</v>
      </c>
      <c r="CC115" s="408"/>
      <c r="CD115" s="307"/>
      <c r="CE115" s="408"/>
      <c r="CF115" s="322">
        <v>24</v>
      </c>
      <c r="CG115" s="408"/>
      <c r="CH115" s="307"/>
      <c r="CI115" s="408"/>
      <c r="CJ115" s="322">
        <v>24</v>
      </c>
      <c r="CK115" s="408"/>
      <c r="CL115" s="307"/>
      <c r="CM115" s="408"/>
      <c r="CN115" s="322">
        <v>24</v>
      </c>
      <c r="CO115" s="408"/>
      <c r="CP115" s="307"/>
      <c r="CQ115" s="408"/>
      <c r="CR115" s="322">
        <v>24</v>
      </c>
      <c r="CS115" s="408"/>
      <c r="CT115" s="307"/>
      <c r="CU115" s="408"/>
      <c r="CV115" s="322">
        <v>24</v>
      </c>
      <c r="CW115" s="408"/>
      <c r="CX115" s="307"/>
      <c r="CY115" s="408"/>
      <c r="CZ115" s="322">
        <v>24</v>
      </c>
      <c r="DA115" s="408"/>
      <c r="DB115" s="307"/>
      <c r="DC115" s="408"/>
      <c r="DD115" s="322">
        <v>24</v>
      </c>
      <c r="DE115" s="408"/>
      <c r="DF115" s="307"/>
      <c r="DG115" s="408"/>
      <c r="DH115" s="322">
        <v>24</v>
      </c>
      <c r="DI115" s="408"/>
      <c r="DJ115" s="307"/>
      <c r="DK115" s="408"/>
      <c r="DL115" s="322">
        <v>24</v>
      </c>
      <c r="DM115" s="408"/>
      <c r="DN115" s="307"/>
      <c r="DO115" s="408"/>
      <c r="DP115" s="340"/>
      <c r="DQ115" s="328">
        <f t="shared" si="36"/>
        <v>288</v>
      </c>
      <c r="DR115" s="328">
        <f t="shared" si="37"/>
        <v>89755.200000000012</v>
      </c>
      <c r="DS115" s="329"/>
      <c r="DT115" s="329"/>
      <c r="DU115" s="322">
        <v>56</v>
      </c>
      <c r="DV115" s="408"/>
      <c r="DW115" s="307"/>
      <c r="DX115" s="408"/>
      <c r="DY115" s="322">
        <v>56</v>
      </c>
      <c r="DZ115" s="408"/>
      <c r="EA115" s="307"/>
      <c r="EB115" s="408"/>
      <c r="EC115" s="322">
        <v>56</v>
      </c>
      <c r="ED115" s="408"/>
      <c r="EE115" s="307"/>
      <c r="EF115" s="408"/>
      <c r="EG115" s="322">
        <v>56</v>
      </c>
      <c r="EH115" s="408"/>
      <c r="EI115" s="307"/>
      <c r="EJ115" s="408"/>
      <c r="EK115" s="322">
        <v>56</v>
      </c>
      <c r="EL115" s="408"/>
      <c r="EM115" s="307"/>
      <c r="EN115" s="408"/>
      <c r="EO115" s="322">
        <v>56</v>
      </c>
      <c r="EP115" s="408"/>
      <c r="EQ115" s="307"/>
      <c r="ER115" s="408"/>
      <c r="ES115" s="322">
        <v>56</v>
      </c>
      <c r="ET115" s="408"/>
      <c r="EU115" s="307"/>
      <c r="EV115" s="408"/>
      <c r="EW115" s="322">
        <v>56</v>
      </c>
      <c r="EX115" s="408"/>
      <c r="EY115" s="307"/>
      <c r="EZ115" s="408"/>
      <c r="FA115" s="322">
        <v>56</v>
      </c>
      <c r="FB115" s="408"/>
      <c r="FC115" s="307"/>
      <c r="FD115" s="408"/>
      <c r="FE115" s="322">
        <v>56</v>
      </c>
      <c r="FF115" s="408"/>
      <c r="FG115" s="307"/>
      <c r="FH115" s="408"/>
      <c r="FI115" s="322">
        <v>56</v>
      </c>
      <c r="FJ115" s="408"/>
      <c r="FK115" s="307"/>
      <c r="FL115" s="408"/>
      <c r="FM115" s="322">
        <v>56</v>
      </c>
      <c r="FN115" s="408"/>
      <c r="FO115" s="307"/>
      <c r="FP115" s="408"/>
      <c r="FQ115" s="340"/>
      <c r="FR115" s="328">
        <f t="shared" si="38"/>
        <v>672</v>
      </c>
      <c r="FS115" s="328">
        <f t="shared" si="39"/>
        <v>209428.80000000002</v>
      </c>
      <c r="FT115" s="361"/>
    </row>
    <row r="116" spans="1:176" outlineLevel="2">
      <c r="A116" s="445" t="s">
        <v>469</v>
      </c>
      <c r="B116" s="446" t="s">
        <v>51</v>
      </c>
      <c r="C116" s="652" t="s">
        <v>72</v>
      </c>
      <c r="D116" s="653" t="s">
        <v>32</v>
      </c>
      <c r="E116" s="447">
        <f>IF(ISBLANK(G116),"",IF($A$6:$A$330=$A116,COUNTIF($A$6:A116,$A116),""))</f>
        <v>11</v>
      </c>
      <c r="F116" s="284">
        <v>1</v>
      </c>
      <c r="G116" s="304">
        <v>4494300600</v>
      </c>
      <c r="H116" s="602" t="s">
        <v>418</v>
      </c>
      <c r="I116" s="616">
        <f>486/НДС</f>
        <v>398.36065573770492</v>
      </c>
      <c r="J116" s="616"/>
      <c r="K116" s="333"/>
      <c r="L116" s="616"/>
      <c r="M116" s="305"/>
      <c r="N116" s="305">
        <f t="shared" si="22"/>
        <v>2</v>
      </c>
      <c r="O116" s="322"/>
      <c r="P116" s="408"/>
      <c r="Q116" s="307"/>
      <c r="R116" s="408"/>
      <c r="S116" s="322"/>
      <c r="T116" s="408"/>
      <c r="U116" s="307"/>
      <c r="V116" s="408"/>
      <c r="W116" s="322"/>
      <c r="X116" s="408"/>
      <c r="Y116" s="307"/>
      <c r="Z116" s="408"/>
      <c r="AA116" s="322"/>
      <c r="AB116" s="408"/>
      <c r="AC116" s="307"/>
      <c r="AD116" s="408"/>
      <c r="AE116" s="322"/>
      <c r="AF116" s="408"/>
      <c r="AG116" s="307"/>
      <c r="AH116" s="408"/>
      <c r="AI116" s="322"/>
      <c r="AJ116" s="408">
        <f>2+1</f>
        <v>3</v>
      </c>
      <c r="AK116" s="307"/>
      <c r="AL116" s="408"/>
      <c r="AM116" s="322"/>
      <c r="AN116" s="408"/>
      <c r="AO116" s="307"/>
      <c r="AP116" s="408"/>
      <c r="AQ116" s="322"/>
      <c r="AR116" s="408"/>
      <c r="AS116" s="307"/>
      <c r="AT116" s="408"/>
      <c r="AU116" s="322"/>
      <c r="AV116" s="408"/>
      <c r="AW116" s="307"/>
      <c r="AX116" s="408"/>
      <c r="AY116" s="322"/>
      <c r="AZ116" s="408"/>
      <c r="BA116" s="307"/>
      <c r="BB116" s="408"/>
      <c r="BC116" s="322"/>
      <c r="BD116" s="408"/>
      <c r="BE116" s="307"/>
      <c r="BF116" s="408"/>
      <c r="BG116" s="322"/>
      <c r="BH116" s="408"/>
      <c r="BI116" s="307"/>
      <c r="BJ116" s="408"/>
      <c r="BK116" s="340"/>
      <c r="BL116" s="328">
        <f t="shared" si="23"/>
        <v>0</v>
      </c>
      <c r="BM116" s="328">
        <f t="shared" si="24"/>
        <v>0</v>
      </c>
      <c r="BN116" s="324">
        <f t="shared" si="25"/>
        <v>3</v>
      </c>
      <c r="BO116" s="325">
        <f t="shared" si="26"/>
        <v>1195.0819672131147</v>
      </c>
      <c r="BP116" s="326">
        <f t="shared" si="27"/>
        <v>0</v>
      </c>
      <c r="BQ116" s="327">
        <f t="shared" si="28"/>
        <v>0</v>
      </c>
      <c r="BR116" s="329"/>
      <c r="BS116" s="329"/>
      <c r="BT116" s="322"/>
      <c r="BU116" s="408"/>
      <c r="BV116" s="307"/>
      <c r="BW116" s="408"/>
      <c r="BX116" s="322"/>
      <c r="BY116" s="408"/>
      <c r="BZ116" s="307"/>
      <c r="CA116" s="408"/>
      <c r="CB116" s="322"/>
      <c r="CC116" s="408"/>
      <c r="CD116" s="307"/>
      <c r="CE116" s="408"/>
      <c r="CF116" s="322"/>
      <c r="CG116" s="408"/>
      <c r="CH116" s="307"/>
      <c r="CI116" s="408"/>
      <c r="CJ116" s="322"/>
      <c r="CK116" s="408"/>
      <c r="CL116" s="307"/>
      <c r="CM116" s="408"/>
      <c r="CN116" s="322"/>
      <c r="CO116" s="408"/>
      <c r="CP116" s="307"/>
      <c r="CQ116" s="408"/>
      <c r="CR116" s="322"/>
      <c r="CS116" s="408"/>
      <c r="CT116" s="307"/>
      <c r="CU116" s="408"/>
      <c r="CV116" s="322"/>
      <c r="CW116" s="408"/>
      <c r="CX116" s="307"/>
      <c r="CY116" s="408"/>
      <c r="CZ116" s="322"/>
      <c r="DA116" s="408"/>
      <c r="DB116" s="307"/>
      <c r="DC116" s="408"/>
      <c r="DD116" s="322"/>
      <c r="DE116" s="408"/>
      <c r="DF116" s="307"/>
      <c r="DG116" s="408"/>
      <c r="DH116" s="322"/>
      <c r="DI116" s="408"/>
      <c r="DJ116" s="307"/>
      <c r="DK116" s="408"/>
      <c r="DL116" s="322"/>
      <c r="DM116" s="408"/>
      <c r="DN116" s="307"/>
      <c r="DO116" s="408"/>
      <c r="DP116" s="340"/>
      <c r="DQ116" s="328"/>
      <c r="DR116" s="328"/>
      <c r="DS116" s="329"/>
      <c r="DT116" s="329"/>
      <c r="DU116" s="322"/>
      <c r="DV116" s="408"/>
      <c r="DW116" s="307"/>
      <c r="DX116" s="408"/>
      <c r="DY116" s="322"/>
      <c r="DZ116" s="408"/>
      <c r="EA116" s="307"/>
      <c r="EB116" s="408"/>
      <c r="EC116" s="322"/>
      <c r="ED116" s="408"/>
      <c r="EE116" s="307"/>
      <c r="EF116" s="408"/>
      <c r="EG116" s="322"/>
      <c r="EH116" s="408"/>
      <c r="EI116" s="307"/>
      <c r="EJ116" s="408"/>
      <c r="EK116" s="322"/>
      <c r="EL116" s="408"/>
      <c r="EM116" s="307"/>
      <c r="EN116" s="408"/>
      <c r="EO116" s="322"/>
      <c r="EP116" s="408"/>
      <c r="EQ116" s="307"/>
      <c r="ER116" s="408"/>
      <c r="ES116" s="322"/>
      <c r="ET116" s="408"/>
      <c r="EU116" s="307"/>
      <c r="EV116" s="408"/>
      <c r="EW116" s="322"/>
      <c r="EX116" s="408"/>
      <c r="EY116" s="307"/>
      <c r="EZ116" s="408"/>
      <c r="FA116" s="322"/>
      <c r="FB116" s="408"/>
      <c r="FC116" s="307"/>
      <c r="FD116" s="408"/>
      <c r="FE116" s="322"/>
      <c r="FF116" s="408"/>
      <c r="FG116" s="307"/>
      <c r="FH116" s="408"/>
      <c r="FI116" s="322"/>
      <c r="FJ116" s="408"/>
      <c r="FK116" s="307"/>
      <c r="FL116" s="408"/>
      <c r="FM116" s="322"/>
      <c r="FN116" s="408"/>
      <c r="FO116" s="307"/>
      <c r="FP116" s="408"/>
      <c r="FQ116" s="340"/>
      <c r="FR116" s="328"/>
      <c r="FS116" s="328"/>
      <c r="FT116" s="361"/>
    </row>
    <row r="117" spans="1:176" outlineLevel="2">
      <c r="A117" s="445" t="s">
        <v>469</v>
      </c>
      <c r="B117" s="446" t="s">
        <v>51</v>
      </c>
      <c r="C117" s="652" t="s">
        <v>72</v>
      </c>
      <c r="D117" s="653" t="s">
        <v>32</v>
      </c>
      <c r="E117" s="447">
        <f>IF(ISBLANK(G117),"",IF($A$6:$A$330=$A117,COUNTIF($A$6:A117,$A117),""))</f>
        <v>12</v>
      </c>
      <c r="F117" s="284">
        <v>1</v>
      </c>
      <c r="G117" s="304">
        <v>4497230800</v>
      </c>
      <c r="H117" s="602" t="s">
        <v>141</v>
      </c>
      <c r="I117" s="616">
        <f>255.5/НДС</f>
        <v>209.42622950819671</v>
      </c>
      <c r="J117" s="616"/>
      <c r="K117" s="333"/>
      <c r="L117" s="616"/>
      <c r="M117" s="305"/>
      <c r="N117" s="305">
        <f t="shared" si="22"/>
        <v>2</v>
      </c>
      <c r="O117" s="322"/>
      <c r="P117" s="408"/>
      <c r="Q117" s="307"/>
      <c r="R117" s="408"/>
      <c r="S117" s="322"/>
      <c r="T117" s="408"/>
      <c r="U117" s="307"/>
      <c r="V117" s="408"/>
      <c r="W117" s="322"/>
      <c r="X117" s="408"/>
      <c r="Y117" s="307"/>
      <c r="Z117" s="408"/>
      <c r="AA117" s="322"/>
      <c r="AB117" s="408"/>
      <c r="AC117" s="307"/>
      <c r="AD117" s="408"/>
      <c r="AE117" s="322"/>
      <c r="AF117" s="408"/>
      <c r="AG117" s="307"/>
      <c r="AH117" s="408"/>
      <c r="AI117" s="322"/>
      <c r="AJ117" s="408">
        <f>4+2</f>
        <v>6</v>
      </c>
      <c r="AK117" s="307"/>
      <c r="AL117" s="408"/>
      <c r="AM117" s="322"/>
      <c r="AN117" s="408"/>
      <c r="AO117" s="307"/>
      <c r="AP117" s="408"/>
      <c r="AQ117" s="322"/>
      <c r="AR117" s="408"/>
      <c r="AS117" s="307"/>
      <c r="AT117" s="408"/>
      <c r="AU117" s="322"/>
      <c r="AV117" s="408"/>
      <c r="AW117" s="307"/>
      <c r="AX117" s="408"/>
      <c r="AY117" s="322"/>
      <c r="AZ117" s="408"/>
      <c r="BA117" s="307"/>
      <c r="BB117" s="408"/>
      <c r="BC117" s="322"/>
      <c r="BD117" s="408"/>
      <c r="BE117" s="307"/>
      <c r="BF117" s="408"/>
      <c r="BG117" s="322"/>
      <c r="BH117" s="408"/>
      <c r="BI117" s="307"/>
      <c r="BJ117" s="408"/>
      <c r="BK117" s="340"/>
      <c r="BL117" s="328">
        <f t="shared" si="23"/>
        <v>0</v>
      </c>
      <c r="BM117" s="328">
        <f t="shared" si="24"/>
        <v>0</v>
      </c>
      <c r="BN117" s="324">
        <f t="shared" si="25"/>
        <v>6</v>
      </c>
      <c r="BO117" s="325">
        <f t="shared" si="26"/>
        <v>1256.5573770491803</v>
      </c>
      <c r="BP117" s="326">
        <f t="shared" si="27"/>
        <v>0</v>
      </c>
      <c r="BQ117" s="327">
        <f t="shared" si="28"/>
        <v>0</v>
      </c>
      <c r="BR117" s="329"/>
      <c r="BS117" s="329"/>
      <c r="BT117" s="322"/>
      <c r="BU117" s="408"/>
      <c r="BV117" s="307"/>
      <c r="BW117" s="408"/>
      <c r="BX117" s="322"/>
      <c r="BY117" s="408"/>
      <c r="BZ117" s="307"/>
      <c r="CA117" s="408"/>
      <c r="CB117" s="322"/>
      <c r="CC117" s="408"/>
      <c r="CD117" s="307"/>
      <c r="CE117" s="408"/>
      <c r="CF117" s="322"/>
      <c r="CG117" s="408"/>
      <c r="CH117" s="307"/>
      <c r="CI117" s="408"/>
      <c r="CJ117" s="322"/>
      <c r="CK117" s="408"/>
      <c r="CL117" s="307"/>
      <c r="CM117" s="408"/>
      <c r="CN117" s="322"/>
      <c r="CO117" s="408"/>
      <c r="CP117" s="307"/>
      <c r="CQ117" s="408"/>
      <c r="CR117" s="322"/>
      <c r="CS117" s="408"/>
      <c r="CT117" s="307"/>
      <c r="CU117" s="408"/>
      <c r="CV117" s="322"/>
      <c r="CW117" s="408"/>
      <c r="CX117" s="307"/>
      <c r="CY117" s="408"/>
      <c r="CZ117" s="322"/>
      <c r="DA117" s="408"/>
      <c r="DB117" s="307"/>
      <c r="DC117" s="408"/>
      <c r="DD117" s="322"/>
      <c r="DE117" s="408"/>
      <c r="DF117" s="307"/>
      <c r="DG117" s="408"/>
      <c r="DH117" s="322"/>
      <c r="DI117" s="408"/>
      <c r="DJ117" s="307"/>
      <c r="DK117" s="408"/>
      <c r="DL117" s="322"/>
      <c r="DM117" s="408"/>
      <c r="DN117" s="307"/>
      <c r="DO117" s="408"/>
      <c r="DP117" s="340"/>
      <c r="DQ117" s="328"/>
      <c r="DR117" s="328"/>
      <c r="DS117" s="329"/>
      <c r="DT117" s="329"/>
      <c r="DU117" s="322"/>
      <c r="DV117" s="408"/>
      <c r="DW117" s="307"/>
      <c r="DX117" s="408"/>
      <c r="DY117" s="322"/>
      <c r="DZ117" s="408"/>
      <c r="EA117" s="307"/>
      <c r="EB117" s="408"/>
      <c r="EC117" s="322"/>
      <c r="ED117" s="408"/>
      <c r="EE117" s="307"/>
      <c r="EF117" s="408"/>
      <c r="EG117" s="322"/>
      <c r="EH117" s="408"/>
      <c r="EI117" s="307"/>
      <c r="EJ117" s="408"/>
      <c r="EK117" s="322"/>
      <c r="EL117" s="408"/>
      <c r="EM117" s="307"/>
      <c r="EN117" s="408"/>
      <c r="EO117" s="322"/>
      <c r="EP117" s="408"/>
      <c r="EQ117" s="307"/>
      <c r="ER117" s="408"/>
      <c r="ES117" s="322"/>
      <c r="ET117" s="408"/>
      <c r="EU117" s="307"/>
      <c r="EV117" s="408"/>
      <c r="EW117" s="322"/>
      <c r="EX117" s="408"/>
      <c r="EY117" s="307"/>
      <c r="EZ117" s="408"/>
      <c r="FA117" s="322"/>
      <c r="FB117" s="408"/>
      <c r="FC117" s="307"/>
      <c r="FD117" s="408"/>
      <c r="FE117" s="322"/>
      <c r="FF117" s="408"/>
      <c r="FG117" s="307"/>
      <c r="FH117" s="408"/>
      <c r="FI117" s="322"/>
      <c r="FJ117" s="408"/>
      <c r="FK117" s="307"/>
      <c r="FL117" s="408"/>
      <c r="FM117" s="322"/>
      <c r="FN117" s="408"/>
      <c r="FO117" s="307"/>
      <c r="FP117" s="408"/>
      <c r="FQ117" s="340"/>
      <c r="FR117" s="328"/>
      <c r="FS117" s="328"/>
      <c r="FT117" s="361"/>
    </row>
    <row r="118" spans="1:176" outlineLevel="2">
      <c r="A118" s="445" t="s">
        <v>469</v>
      </c>
      <c r="B118" s="446" t="s">
        <v>51</v>
      </c>
      <c r="C118" s="652" t="s">
        <v>72</v>
      </c>
      <c r="D118" s="653" t="s">
        <v>32</v>
      </c>
      <c r="E118" s="447">
        <f>IF(ISBLANK(G118),"",IF($A$6:$A$330=$A118,COUNTIF($A$6:A118,$A118),""))</f>
        <v>13</v>
      </c>
      <c r="F118" s="284">
        <v>1</v>
      </c>
      <c r="G118" s="304">
        <v>4802070600</v>
      </c>
      <c r="H118" s="602" t="s">
        <v>420</v>
      </c>
      <c r="I118" s="616">
        <f>1224/НДС</f>
        <v>1003.2786885245902</v>
      </c>
      <c r="J118" s="616"/>
      <c r="K118" s="333"/>
      <c r="L118" s="616"/>
      <c r="M118" s="305"/>
      <c r="N118" s="305">
        <f t="shared" si="22"/>
        <v>2</v>
      </c>
      <c r="O118" s="322"/>
      <c r="P118" s="408"/>
      <c r="Q118" s="307"/>
      <c r="R118" s="408"/>
      <c r="S118" s="322"/>
      <c r="T118" s="408"/>
      <c r="U118" s="307"/>
      <c r="V118" s="408"/>
      <c r="W118" s="322"/>
      <c r="X118" s="408"/>
      <c r="Y118" s="307"/>
      <c r="Z118" s="408"/>
      <c r="AA118" s="322"/>
      <c r="AB118" s="408"/>
      <c r="AC118" s="307"/>
      <c r="AD118" s="408"/>
      <c r="AE118" s="322"/>
      <c r="AF118" s="408"/>
      <c r="AG118" s="307"/>
      <c r="AH118" s="408"/>
      <c r="AI118" s="322"/>
      <c r="AJ118" s="408">
        <f>2+1</f>
        <v>3</v>
      </c>
      <c r="AK118" s="307"/>
      <c r="AL118" s="408"/>
      <c r="AM118" s="322"/>
      <c r="AN118" s="408"/>
      <c r="AO118" s="307"/>
      <c r="AP118" s="408"/>
      <c r="AQ118" s="322"/>
      <c r="AR118" s="408"/>
      <c r="AS118" s="307"/>
      <c r="AT118" s="408"/>
      <c r="AU118" s="322"/>
      <c r="AV118" s="408"/>
      <c r="AW118" s="307"/>
      <c r="AX118" s="408"/>
      <c r="AY118" s="322"/>
      <c r="AZ118" s="408"/>
      <c r="BA118" s="307"/>
      <c r="BB118" s="408"/>
      <c r="BC118" s="322"/>
      <c r="BD118" s="408"/>
      <c r="BE118" s="307"/>
      <c r="BF118" s="408"/>
      <c r="BG118" s="322"/>
      <c r="BH118" s="408"/>
      <c r="BI118" s="307"/>
      <c r="BJ118" s="408"/>
      <c r="BK118" s="340"/>
      <c r="BL118" s="328">
        <f t="shared" si="23"/>
        <v>0</v>
      </c>
      <c r="BM118" s="328">
        <f t="shared" si="24"/>
        <v>0</v>
      </c>
      <c r="BN118" s="324">
        <f t="shared" si="25"/>
        <v>3</v>
      </c>
      <c r="BO118" s="325">
        <f t="shared" si="26"/>
        <v>3009.8360655737706</v>
      </c>
      <c r="BP118" s="326">
        <f t="shared" si="27"/>
        <v>0</v>
      </c>
      <c r="BQ118" s="327">
        <f t="shared" si="28"/>
        <v>0</v>
      </c>
      <c r="BR118" s="329"/>
      <c r="BS118" s="329"/>
      <c r="BT118" s="322"/>
      <c r="BU118" s="408"/>
      <c r="BV118" s="307"/>
      <c r="BW118" s="408"/>
      <c r="BX118" s="322"/>
      <c r="BY118" s="408"/>
      <c r="BZ118" s="307"/>
      <c r="CA118" s="408"/>
      <c r="CB118" s="322"/>
      <c r="CC118" s="408"/>
      <c r="CD118" s="307"/>
      <c r="CE118" s="408"/>
      <c r="CF118" s="322"/>
      <c r="CG118" s="408"/>
      <c r="CH118" s="307"/>
      <c r="CI118" s="408"/>
      <c r="CJ118" s="322"/>
      <c r="CK118" s="408"/>
      <c r="CL118" s="307"/>
      <c r="CM118" s="408"/>
      <c r="CN118" s="322"/>
      <c r="CO118" s="408"/>
      <c r="CP118" s="307"/>
      <c r="CQ118" s="408"/>
      <c r="CR118" s="322"/>
      <c r="CS118" s="408"/>
      <c r="CT118" s="307"/>
      <c r="CU118" s="408"/>
      <c r="CV118" s="322"/>
      <c r="CW118" s="408"/>
      <c r="CX118" s="307"/>
      <c r="CY118" s="408"/>
      <c r="CZ118" s="322"/>
      <c r="DA118" s="408"/>
      <c r="DB118" s="307"/>
      <c r="DC118" s="408"/>
      <c r="DD118" s="322"/>
      <c r="DE118" s="408"/>
      <c r="DF118" s="307"/>
      <c r="DG118" s="408"/>
      <c r="DH118" s="322"/>
      <c r="DI118" s="408"/>
      <c r="DJ118" s="307"/>
      <c r="DK118" s="408"/>
      <c r="DL118" s="322"/>
      <c r="DM118" s="408"/>
      <c r="DN118" s="307"/>
      <c r="DO118" s="408"/>
      <c r="DP118" s="340"/>
      <c r="DQ118" s="328"/>
      <c r="DR118" s="328"/>
      <c r="DS118" s="329"/>
      <c r="DT118" s="329"/>
      <c r="DU118" s="322"/>
      <c r="DV118" s="408"/>
      <c r="DW118" s="307"/>
      <c r="DX118" s="408"/>
      <c r="DY118" s="322"/>
      <c r="DZ118" s="408"/>
      <c r="EA118" s="307"/>
      <c r="EB118" s="408"/>
      <c r="EC118" s="322"/>
      <c r="ED118" s="408"/>
      <c r="EE118" s="307"/>
      <c r="EF118" s="408"/>
      <c r="EG118" s="322"/>
      <c r="EH118" s="408"/>
      <c r="EI118" s="307"/>
      <c r="EJ118" s="408"/>
      <c r="EK118" s="322"/>
      <c r="EL118" s="408"/>
      <c r="EM118" s="307"/>
      <c r="EN118" s="408"/>
      <c r="EO118" s="322"/>
      <c r="EP118" s="408"/>
      <c r="EQ118" s="307"/>
      <c r="ER118" s="408"/>
      <c r="ES118" s="322"/>
      <c r="ET118" s="408"/>
      <c r="EU118" s="307"/>
      <c r="EV118" s="408"/>
      <c r="EW118" s="322"/>
      <c r="EX118" s="408"/>
      <c r="EY118" s="307"/>
      <c r="EZ118" s="408"/>
      <c r="FA118" s="322"/>
      <c r="FB118" s="408"/>
      <c r="FC118" s="307"/>
      <c r="FD118" s="408"/>
      <c r="FE118" s="322"/>
      <c r="FF118" s="408"/>
      <c r="FG118" s="307"/>
      <c r="FH118" s="408"/>
      <c r="FI118" s="322"/>
      <c r="FJ118" s="408"/>
      <c r="FK118" s="307"/>
      <c r="FL118" s="408"/>
      <c r="FM118" s="322"/>
      <c r="FN118" s="408"/>
      <c r="FO118" s="307"/>
      <c r="FP118" s="408"/>
      <c r="FQ118" s="340"/>
      <c r="FR118" s="328"/>
      <c r="FS118" s="328"/>
      <c r="FT118" s="361"/>
    </row>
    <row r="119" spans="1:176" outlineLevel="2">
      <c r="A119" s="411" t="s">
        <v>469</v>
      </c>
      <c r="B119" s="448" t="s">
        <v>51</v>
      </c>
      <c r="C119" s="590" t="s">
        <v>72</v>
      </c>
      <c r="D119" s="589" t="s">
        <v>32</v>
      </c>
      <c r="E119" s="412">
        <f>IF(ISBLANK(G119),"",IF($A$6:$A$330=$A119,COUNTIF($A$6:A119,$A119),""))</f>
        <v>14</v>
      </c>
      <c r="F119" s="10">
        <v>1</v>
      </c>
      <c r="G119" s="55">
        <v>828877016</v>
      </c>
      <c r="H119" s="54" t="s">
        <v>123</v>
      </c>
      <c r="I119" s="617">
        <f>J119/ЮАНЬ_2025_08_29</f>
        <v>23.333333333333332</v>
      </c>
      <c r="J119" s="617">
        <f>315/НДС_20</f>
        <v>262.5</v>
      </c>
      <c r="K119" s="22" t="s">
        <v>95</v>
      </c>
      <c r="L119" s="643">
        <f>IF(K119="RUB",J119/ЮАНЬ,IF(K119="EUR",J119*ЕВРО/ЮАНЬ,""))</f>
        <v>23.333333333333332</v>
      </c>
      <c r="M119" s="102"/>
      <c r="N119" s="305">
        <f t="shared" si="22"/>
        <v>0</v>
      </c>
      <c r="O119" s="23"/>
      <c r="P119" s="24"/>
      <c r="Q119" s="25"/>
      <c r="R119" s="24"/>
      <c r="S119" s="23"/>
      <c r="T119" s="24"/>
      <c r="U119" s="25"/>
      <c r="V119" s="24"/>
      <c r="W119" s="23"/>
      <c r="X119" s="24"/>
      <c r="Y119" s="25"/>
      <c r="Z119" s="24"/>
      <c r="AA119" s="23"/>
      <c r="AB119" s="24"/>
      <c r="AC119" s="25"/>
      <c r="AD119" s="24"/>
      <c r="AE119" s="23"/>
      <c r="AF119" s="24"/>
      <c r="AG119" s="25"/>
      <c r="AH119" s="24"/>
      <c r="AI119" s="23"/>
      <c r="AJ119" s="24"/>
      <c r="AK119" s="25"/>
      <c r="AL119" s="24"/>
      <c r="AM119" s="23"/>
      <c r="AN119" s="24"/>
      <c r="AO119" s="25"/>
      <c r="AP119" s="24"/>
      <c r="AQ119" s="23"/>
      <c r="AR119" s="24"/>
      <c r="AS119" s="25"/>
      <c r="AT119" s="24"/>
      <c r="AU119" s="23"/>
      <c r="AV119" s="24"/>
      <c r="AW119" s="25"/>
      <c r="AX119" s="24"/>
      <c r="AY119" s="23"/>
      <c r="AZ119" s="24"/>
      <c r="BA119" s="25"/>
      <c r="BB119" s="24"/>
      <c r="BC119" s="23"/>
      <c r="BD119" s="24"/>
      <c r="BE119" s="25"/>
      <c r="BF119" s="24"/>
      <c r="BG119" s="23"/>
      <c r="BH119" s="24"/>
      <c r="BI119" s="25"/>
      <c r="BJ119" s="24"/>
      <c r="BK119" s="340"/>
      <c r="BL119" s="32">
        <f t="shared" si="23"/>
        <v>0</v>
      </c>
      <c r="BM119" s="32">
        <f t="shared" si="24"/>
        <v>0</v>
      </c>
      <c r="BN119" s="28">
        <f t="shared" si="25"/>
        <v>0</v>
      </c>
      <c r="BO119" s="29">
        <f t="shared" si="26"/>
        <v>0</v>
      </c>
      <c r="BP119" s="30">
        <f t="shared" si="27"/>
        <v>0</v>
      </c>
      <c r="BQ119" s="31">
        <f t="shared" si="28"/>
        <v>0</v>
      </c>
      <c r="BR119" s="11"/>
      <c r="BS119" s="329"/>
      <c r="BT119" s="23"/>
      <c r="BU119" s="24"/>
      <c r="BV119" s="25"/>
      <c r="BW119" s="24"/>
      <c r="BX119" s="23"/>
      <c r="BY119" s="24"/>
      <c r="BZ119" s="25"/>
      <c r="CA119" s="24"/>
      <c r="CB119" s="23"/>
      <c r="CC119" s="24"/>
      <c r="CD119" s="25"/>
      <c r="CE119" s="24"/>
      <c r="CF119" s="23"/>
      <c r="CG119" s="24"/>
      <c r="CH119" s="25"/>
      <c r="CI119" s="24"/>
      <c r="CJ119" s="23"/>
      <c r="CK119" s="24"/>
      <c r="CL119" s="25"/>
      <c r="CM119" s="24"/>
      <c r="CN119" s="23"/>
      <c r="CO119" s="24"/>
      <c r="CP119" s="25"/>
      <c r="CQ119" s="24"/>
      <c r="CR119" s="23"/>
      <c r="CS119" s="24"/>
      <c r="CT119" s="25"/>
      <c r="CU119" s="24"/>
      <c r="CV119" s="23"/>
      <c r="CW119" s="24"/>
      <c r="CX119" s="25"/>
      <c r="CY119" s="24"/>
      <c r="CZ119" s="23"/>
      <c r="DA119" s="24"/>
      <c r="DB119" s="25"/>
      <c r="DC119" s="24"/>
      <c r="DD119" s="23"/>
      <c r="DE119" s="24"/>
      <c r="DF119" s="25"/>
      <c r="DG119" s="24"/>
      <c r="DH119" s="23"/>
      <c r="DI119" s="24"/>
      <c r="DJ119" s="25"/>
      <c r="DK119" s="24"/>
      <c r="DL119" s="23"/>
      <c r="DM119" s="24"/>
      <c r="DN119" s="25"/>
      <c r="DO119" s="24"/>
      <c r="DP119" s="340"/>
      <c r="DQ119" s="32">
        <f t="shared" si="36"/>
        <v>0</v>
      </c>
      <c r="DR119" s="32">
        <f t="shared" si="37"/>
        <v>0</v>
      </c>
      <c r="DS119" s="11"/>
      <c r="DT119" s="329"/>
      <c r="DU119" s="23"/>
      <c r="DV119" s="24"/>
      <c r="DW119" s="25"/>
      <c r="DX119" s="24"/>
      <c r="DY119" s="23"/>
      <c r="DZ119" s="24"/>
      <c r="EA119" s="25"/>
      <c r="EB119" s="24"/>
      <c r="EC119" s="23"/>
      <c r="ED119" s="24"/>
      <c r="EE119" s="25"/>
      <c r="EF119" s="24"/>
      <c r="EG119" s="23"/>
      <c r="EH119" s="24"/>
      <c r="EI119" s="25"/>
      <c r="EJ119" s="24"/>
      <c r="EK119" s="23"/>
      <c r="EL119" s="24"/>
      <c r="EM119" s="25"/>
      <c r="EN119" s="24"/>
      <c r="EO119" s="23"/>
      <c r="EP119" s="24"/>
      <c r="EQ119" s="25"/>
      <c r="ER119" s="24"/>
      <c r="ES119" s="23"/>
      <c r="ET119" s="24"/>
      <c r="EU119" s="25"/>
      <c r="EV119" s="24"/>
      <c r="EW119" s="23"/>
      <c r="EX119" s="24"/>
      <c r="EY119" s="25"/>
      <c r="EZ119" s="24"/>
      <c r="FA119" s="23"/>
      <c r="FB119" s="24"/>
      <c r="FC119" s="25"/>
      <c r="FD119" s="24"/>
      <c r="FE119" s="23"/>
      <c r="FF119" s="24"/>
      <c r="FG119" s="25"/>
      <c r="FH119" s="24"/>
      <c r="FI119" s="23"/>
      <c r="FJ119" s="24"/>
      <c r="FK119" s="25"/>
      <c r="FL119" s="24"/>
      <c r="FM119" s="23"/>
      <c r="FN119" s="24"/>
      <c r="FO119" s="25"/>
      <c r="FP119" s="24"/>
      <c r="FQ119" s="340"/>
      <c r="FR119" s="32">
        <f t="shared" si="38"/>
        <v>0</v>
      </c>
      <c r="FS119" s="32">
        <f t="shared" si="39"/>
        <v>0</v>
      </c>
      <c r="FT119" s="361"/>
    </row>
    <row r="120" spans="1:176" outlineLevel="2">
      <c r="A120" s="56" t="s">
        <v>469</v>
      </c>
      <c r="B120" s="387" t="s">
        <v>51</v>
      </c>
      <c r="C120" s="541" t="s">
        <v>72</v>
      </c>
      <c r="D120" s="565" t="s">
        <v>32</v>
      </c>
      <c r="E120" s="10">
        <f>IF(ISBLANK(G120),"",IF($A$6:$A$330=$A120,COUNTIF($A$6:A120,$A120),""))</f>
        <v>15</v>
      </c>
      <c r="F120" s="10">
        <v>1</v>
      </c>
      <c r="G120" s="55">
        <v>9730010100</v>
      </c>
      <c r="H120" s="54" t="s">
        <v>129</v>
      </c>
      <c r="I120" s="617">
        <f>J120/ЮАНЬ_2025_08_29</f>
        <v>103.70370370370371</v>
      </c>
      <c r="J120" s="617">
        <f>1400/НДС_20</f>
        <v>1166.6666666666667</v>
      </c>
      <c r="K120" s="113" t="s">
        <v>95</v>
      </c>
      <c r="L120" s="617">
        <f>IF(K120="RUB",J120/ЮАНЬ,IF(K120="EUR",J120*ЕВРО/ЮАНЬ,""))</f>
        <v>103.70370370370371</v>
      </c>
      <c r="M120" s="102"/>
      <c r="N120" s="305">
        <f t="shared" si="22"/>
        <v>0</v>
      </c>
      <c r="O120" s="23"/>
      <c r="P120" s="24"/>
      <c r="Q120" s="25"/>
      <c r="R120" s="24"/>
      <c r="S120" s="23"/>
      <c r="T120" s="24"/>
      <c r="U120" s="25"/>
      <c r="V120" s="24"/>
      <c r="W120" s="23"/>
      <c r="X120" s="24"/>
      <c r="Y120" s="25"/>
      <c r="Z120" s="24"/>
      <c r="AA120" s="23"/>
      <c r="AB120" s="24"/>
      <c r="AC120" s="25"/>
      <c r="AD120" s="24"/>
      <c r="AE120" s="23"/>
      <c r="AF120" s="24"/>
      <c r="AG120" s="25"/>
      <c r="AH120" s="24"/>
      <c r="AI120" s="23"/>
      <c r="AJ120" s="24"/>
      <c r="AK120" s="25"/>
      <c r="AL120" s="24"/>
      <c r="AM120" s="23"/>
      <c r="AN120" s="24"/>
      <c r="AO120" s="25"/>
      <c r="AP120" s="24"/>
      <c r="AQ120" s="23"/>
      <c r="AR120" s="24"/>
      <c r="AS120" s="25"/>
      <c r="AT120" s="24"/>
      <c r="AU120" s="23"/>
      <c r="AV120" s="24"/>
      <c r="AW120" s="25"/>
      <c r="AX120" s="24"/>
      <c r="AY120" s="23"/>
      <c r="AZ120" s="24"/>
      <c r="BA120" s="25"/>
      <c r="BB120" s="24"/>
      <c r="BC120" s="23"/>
      <c r="BD120" s="24"/>
      <c r="BE120" s="25"/>
      <c r="BF120" s="24"/>
      <c r="BG120" s="23"/>
      <c r="BH120" s="24"/>
      <c r="BI120" s="25"/>
      <c r="BJ120" s="24"/>
      <c r="BK120" s="340"/>
      <c r="BL120" s="32">
        <f t="shared" si="23"/>
        <v>0</v>
      </c>
      <c r="BM120" s="32">
        <f t="shared" si="24"/>
        <v>0</v>
      </c>
      <c r="BN120" s="28">
        <f t="shared" si="25"/>
        <v>0</v>
      </c>
      <c r="BO120" s="29">
        <f t="shared" si="26"/>
        <v>0</v>
      </c>
      <c r="BP120" s="30">
        <f t="shared" si="27"/>
        <v>0</v>
      </c>
      <c r="BQ120" s="31">
        <f t="shared" si="28"/>
        <v>0</v>
      </c>
      <c r="BR120" s="11"/>
      <c r="BS120" s="329"/>
      <c r="BT120" s="23"/>
      <c r="BU120" s="24"/>
      <c r="BV120" s="25"/>
      <c r="BW120" s="24"/>
      <c r="BX120" s="23"/>
      <c r="BY120" s="24"/>
      <c r="BZ120" s="25"/>
      <c r="CA120" s="24"/>
      <c r="CB120" s="23"/>
      <c r="CC120" s="24"/>
      <c r="CD120" s="25"/>
      <c r="CE120" s="24"/>
      <c r="CF120" s="23"/>
      <c r="CG120" s="24"/>
      <c r="CH120" s="25"/>
      <c r="CI120" s="24"/>
      <c r="CJ120" s="23"/>
      <c r="CK120" s="24"/>
      <c r="CL120" s="25"/>
      <c r="CM120" s="24"/>
      <c r="CN120" s="23"/>
      <c r="CO120" s="24"/>
      <c r="CP120" s="25"/>
      <c r="CQ120" s="24"/>
      <c r="CR120" s="23"/>
      <c r="CS120" s="24"/>
      <c r="CT120" s="25"/>
      <c r="CU120" s="24"/>
      <c r="CV120" s="23"/>
      <c r="CW120" s="24"/>
      <c r="CX120" s="25"/>
      <c r="CY120" s="24"/>
      <c r="CZ120" s="23"/>
      <c r="DA120" s="24"/>
      <c r="DB120" s="25"/>
      <c r="DC120" s="24"/>
      <c r="DD120" s="23"/>
      <c r="DE120" s="24"/>
      <c r="DF120" s="25"/>
      <c r="DG120" s="24"/>
      <c r="DH120" s="23"/>
      <c r="DI120" s="24"/>
      <c r="DJ120" s="25"/>
      <c r="DK120" s="24"/>
      <c r="DL120" s="23"/>
      <c r="DM120" s="24"/>
      <c r="DN120" s="25"/>
      <c r="DO120" s="24"/>
      <c r="DP120" s="340"/>
      <c r="DQ120" s="32">
        <f t="shared" si="36"/>
        <v>0</v>
      </c>
      <c r="DR120" s="32">
        <f t="shared" si="37"/>
        <v>0</v>
      </c>
      <c r="DS120" s="11"/>
      <c r="DT120" s="329"/>
      <c r="DU120" s="23"/>
      <c r="DV120" s="24"/>
      <c r="DW120" s="25"/>
      <c r="DX120" s="24"/>
      <c r="DY120" s="23"/>
      <c r="DZ120" s="24"/>
      <c r="EA120" s="25"/>
      <c r="EB120" s="24"/>
      <c r="EC120" s="23"/>
      <c r="ED120" s="24"/>
      <c r="EE120" s="25"/>
      <c r="EF120" s="24"/>
      <c r="EG120" s="23"/>
      <c r="EH120" s="24"/>
      <c r="EI120" s="25"/>
      <c r="EJ120" s="24"/>
      <c r="EK120" s="23"/>
      <c r="EL120" s="24"/>
      <c r="EM120" s="25"/>
      <c r="EN120" s="24"/>
      <c r="EO120" s="23"/>
      <c r="EP120" s="24"/>
      <c r="EQ120" s="25"/>
      <c r="ER120" s="24"/>
      <c r="ES120" s="23"/>
      <c r="ET120" s="24"/>
      <c r="EU120" s="25"/>
      <c r="EV120" s="24"/>
      <c r="EW120" s="23"/>
      <c r="EX120" s="24"/>
      <c r="EY120" s="25"/>
      <c r="EZ120" s="24"/>
      <c r="FA120" s="23"/>
      <c r="FB120" s="24"/>
      <c r="FC120" s="25"/>
      <c r="FD120" s="24"/>
      <c r="FE120" s="23"/>
      <c r="FF120" s="24"/>
      <c r="FG120" s="25"/>
      <c r="FH120" s="24"/>
      <c r="FI120" s="23"/>
      <c r="FJ120" s="24"/>
      <c r="FK120" s="25"/>
      <c r="FL120" s="24"/>
      <c r="FM120" s="23"/>
      <c r="FN120" s="24"/>
      <c r="FO120" s="25"/>
      <c r="FP120" s="24"/>
      <c r="FQ120" s="340"/>
      <c r="FR120" s="32">
        <f t="shared" si="38"/>
        <v>0</v>
      </c>
      <c r="FS120" s="32">
        <f t="shared" si="39"/>
        <v>0</v>
      </c>
      <c r="FT120" s="361"/>
    </row>
    <row r="121" spans="1:176" outlineLevel="2">
      <c r="A121" s="413" t="s">
        <v>469</v>
      </c>
      <c r="B121" s="444" t="s">
        <v>51</v>
      </c>
      <c r="C121" s="587" t="s">
        <v>72</v>
      </c>
      <c r="D121" s="580" t="s">
        <v>32</v>
      </c>
      <c r="E121" s="414">
        <f>IF(ISBLANK(G121),"",IF($A$6:$A$330=$A121,COUNTIF($A$6:A121,$A121),""))</f>
        <v>16</v>
      </c>
      <c r="F121" s="284">
        <v>1</v>
      </c>
      <c r="G121" s="304">
        <v>9730110000</v>
      </c>
      <c r="H121" s="602" t="s">
        <v>129</v>
      </c>
      <c r="I121" s="623">
        <f>160/НДС</f>
        <v>131.14754098360655</v>
      </c>
      <c r="J121" s="623"/>
      <c r="K121" s="722"/>
      <c r="L121" s="623"/>
      <c r="M121" s="305"/>
      <c r="N121" s="305">
        <f t="shared" si="22"/>
        <v>1</v>
      </c>
      <c r="O121" s="322"/>
      <c r="P121" s="408"/>
      <c r="Q121" s="307"/>
      <c r="R121" s="408"/>
      <c r="S121" s="322"/>
      <c r="T121" s="408">
        <f>3+1</f>
        <v>4</v>
      </c>
      <c r="U121" s="307">
        <v>4</v>
      </c>
      <c r="V121" s="408"/>
      <c r="W121" s="322"/>
      <c r="X121" s="408"/>
      <c r="Y121" s="307"/>
      <c r="Z121" s="408"/>
      <c r="AA121" s="322"/>
      <c r="AB121" s="408"/>
      <c r="AC121" s="307"/>
      <c r="AD121" s="408"/>
      <c r="AE121" s="322"/>
      <c r="AF121" s="408">
        <f>5+9</f>
        <v>14</v>
      </c>
      <c r="AG121" s="307">
        <v>14</v>
      </c>
      <c r="AH121" s="408"/>
      <c r="AI121" s="322"/>
      <c r="AJ121" s="408"/>
      <c r="AK121" s="307"/>
      <c r="AL121" s="408"/>
      <c r="AM121" s="322"/>
      <c r="AN121" s="408"/>
      <c r="AO121" s="307"/>
      <c r="AP121" s="408"/>
      <c r="AQ121" s="322"/>
      <c r="AR121" s="408"/>
      <c r="AS121" s="307"/>
      <c r="AT121" s="408"/>
      <c r="AU121" s="322"/>
      <c r="AV121" s="408"/>
      <c r="AW121" s="307"/>
      <c r="AX121" s="408"/>
      <c r="AY121" s="322"/>
      <c r="AZ121" s="408"/>
      <c r="BA121" s="307"/>
      <c r="BB121" s="408"/>
      <c r="BC121" s="322"/>
      <c r="BD121" s="408"/>
      <c r="BE121" s="307"/>
      <c r="BF121" s="408"/>
      <c r="BG121" s="322"/>
      <c r="BH121" s="408"/>
      <c r="BI121" s="307"/>
      <c r="BJ121" s="408"/>
      <c r="BK121" s="340"/>
      <c r="BL121" s="328">
        <f t="shared" si="23"/>
        <v>0</v>
      </c>
      <c r="BM121" s="328">
        <f t="shared" si="24"/>
        <v>0</v>
      </c>
      <c r="BN121" s="324">
        <f t="shared" si="25"/>
        <v>18</v>
      </c>
      <c r="BO121" s="325">
        <f t="shared" si="26"/>
        <v>2360.655737704918</v>
      </c>
      <c r="BP121" s="326">
        <f t="shared" si="27"/>
        <v>18</v>
      </c>
      <c r="BQ121" s="327">
        <f t="shared" si="28"/>
        <v>2360.655737704918</v>
      </c>
      <c r="BR121" s="329"/>
      <c r="BS121" s="329"/>
      <c r="BT121" s="322"/>
      <c r="BU121" s="408"/>
      <c r="BV121" s="307"/>
      <c r="BW121" s="408"/>
      <c r="BX121" s="322"/>
      <c r="BY121" s="408"/>
      <c r="BZ121" s="307"/>
      <c r="CA121" s="408"/>
      <c r="CB121" s="322"/>
      <c r="CC121" s="408"/>
      <c r="CD121" s="307"/>
      <c r="CE121" s="408"/>
      <c r="CF121" s="322"/>
      <c r="CG121" s="408"/>
      <c r="CH121" s="307"/>
      <c r="CI121" s="408"/>
      <c r="CJ121" s="322"/>
      <c r="CK121" s="408"/>
      <c r="CL121" s="307"/>
      <c r="CM121" s="408"/>
      <c r="CN121" s="322"/>
      <c r="CO121" s="408"/>
      <c r="CP121" s="307"/>
      <c r="CQ121" s="408"/>
      <c r="CR121" s="322"/>
      <c r="CS121" s="408"/>
      <c r="CT121" s="307"/>
      <c r="CU121" s="408"/>
      <c r="CV121" s="322"/>
      <c r="CW121" s="408"/>
      <c r="CX121" s="307"/>
      <c r="CY121" s="408"/>
      <c r="CZ121" s="322"/>
      <c r="DA121" s="408"/>
      <c r="DB121" s="307"/>
      <c r="DC121" s="408"/>
      <c r="DD121" s="322"/>
      <c r="DE121" s="408"/>
      <c r="DF121" s="307"/>
      <c r="DG121" s="408"/>
      <c r="DH121" s="322"/>
      <c r="DI121" s="408"/>
      <c r="DJ121" s="307"/>
      <c r="DK121" s="408"/>
      <c r="DL121" s="322"/>
      <c r="DM121" s="408"/>
      <c r="DN121" s="307"/>
      <c r="DO121" s="408"/>
      <c r="DP121" s="340"/>
      <c r="DQ121" s="328"/>
      <c r="DR121" s="328"/>
      <c r="DS121" s="329"/>
      <c r="DT121" s="329"/>
      <c r="DU121" s="322"/>
      <c r="DV121" s="408"/>
      <c r="DW121" s="307"/>
      <c r="DX121" s="408"/>
      <c r="DY121" s="322"/>
      <c r="DZ121" s="408"/>
      <c r="EA121" s="307"/>
      <c r="EB121" s="408"/>
      <c r="EC121" s="322"/>
      <c r="ED121" s="408"/>
      <c r="EE121" s="307"/>
      <c r="EF121" s="408"/>
      <c r="EG121" s="322"/>
      <c r="EH121" s="408"/>
      <c r="EI121" s="307"/>
      <c r="EJ121" s="408"/>
      <c r="EK121" s="322"/>
      <c r="EL121" s="408"/>
      <c r="EM121" s="307"/>
      <c r="EN121" s="408"/>
      <c r="EO121" s="322"/>
      <c r="EP121" s="408"/>
      <c r="EQ121" s="307"/>
      <c r="ER121" s="408"/>
      <c r="ES121" s="322"/>
      <c r="ET121" s="408"/>
      <c r="EU121" s="307"/>
      <c r="EV121" s="408"/>
      <c r="EW121" s="322"/>
      <c r="EX121" s="408"/>
      <c r="EY121" s="307"/>
      <c r="EZ121" s="408"/>
      <c r="FA121" s="322"/>
      <c r="FB121" s="408"/>
      <c r="FC121" s="307"/>
      <c r="FD121" s="408"/>
      <c r="FE121" s="322"/>
      <c r="FF121" s="408"/>
      <c r="FG121" s="307"/>
      <c r="FH121" s="408"/>
      <c r="FI121" s="322"/>
      <c r="FJ121" s="408"/>
      <c r="FK121" s="307"/>
      <c r="FL121" s="408"/>
      <c r="FM121" s="322"/>
      <c r="FN121" s="408"/>
      <c r="FO121" s="307"/>
      <c r="FP121" s="408"/>
      <c r="FQ121" s="340"/>
      <c r="FR121" s="328"/>
      <c r="FS121" s="328"/>
      <c r="FT121" s="361"/>
    </row>
    <row r="122" spans="1:176" outlineLevel="2">
      <c r="A122" s="56" t="s">
        <v>469</v>
      </c>
      <c r="B122" s="387" t="s">
        <v>51</v>
      </c>
      <c r="C122" s="541" t="s">
        <v>72</v>
      </c>
      <c r="D122" s="565" t="s">
        <v>32</v>
      </c>
      <c r="E122" s="10">
        <f>IF(ISBLANK(G122),"",IF($A$6:$A$330=$A122,COUNTIF($A$6:A122,$A122),""))</f>
        <v>17</v>
      </c>
      <c r="F122" s="10">
        <v>1</v>
      </c>
      <c r="G122" s="55">
        <v>4750103050</v>
      </c>
      <c r="H122" s="54" t="s">
        <v>88</v>
      </c>
      <c r="I122" s="617">
        <f t="shared" ref="I122:I127" si="40">J122/ЮАНЬ_2025_08_29</f>
        <v>103.55555555555556</v>
      </c>
      <c r="J122" s="617">
        <f>1398/НДС_20</f>
        <v>1165</v>
      </c>
      <c r="K122" s="113" t="s">
        <v>95</v>
      </c>
      <c r="L122" s="617">
        <f t="shared" ref="L122:L127" si="41">IF(K122="RUB",J122/ЮАНЬ,IF(K122="EUR",J122*ЕВРО/ЮАНЬ,""))</f>
        <v>103.55555555555556</v>
      </c>
      <c r="M122" s="102"/>
      <c r="N122" s="305">
        <f t="shared" si="22"/>
        <v>0</v>
      </c>
      <c r="O122" s="23"/>
      <c r="P122" s="24"/>
      <c r="Q122" s="25"/>
      <c r="R122" s="24"/>
      <c r="S122" s="23"/>
      <c r="T122" s="24"/>
      <c r="U122" s="25"/>
      <c r="V122" s="24"/>
      <c r="W122" s="23"/>
      <c r="X122" s="24"/>
      <c r="Y122" s="25"/>
      <c r="Z122" s="24"/>
      <c r="AA122" s="23"/>
      <c r="AB122" s="24"/>
      <c r="AC122" s="25"/>
      <c r="AD122" s="24"/>
      <c r="AE122" s="23"/>
      <c r="AF122" s="24"/>
      <c r="AG122" s="25"/>
      <c r="AH122" s="24"/>
      <c r="AI122" s="23"/>
      <c r="AJ122" s="24"/>
      <c r="AK122" s="25"/>
      <c r="AL122" s="24"/>
      <c r="AM122" s="23"/>
      <c r="AN122" s="24"/>
      <c r="AO122" s="25"/>
      <c r="AP122" s="24"/>
      <c r="AQ122" s="23"/>
      <c r="AR122" s="24"/>
      <c r="AS122" s="25"/>
      <c r="AT122" s="24"/>
      <c r="AU122" s="23"/>
      <c r="AV122" s="24"/>
      <c r="AW122" s="25"/>
      <c r="AX122" s="24"/>
      <c r="AY122" s="23"/>
      <c r="AZ122" s="24"/>
      <c r="BA122" s="25"/>
      <c r="BB122" s="24"/>
      <c r="BC122" s="23"/>
      <c r="BD122" s="24"/>
      <c r="BE122" s="25"/>
      <c r="BF122" s="24"/>
      <c r="BG122" s="23"/>
      <c r="BH122" s="24"/>
      <c r="BI122" s="25"/>
      <c r="BJ122" s="24"/>
      <c r="BK122" s="340"/>
      <c r="BL122" s="32">
        <f t="shared" si="23"/>
        <v>0</v>
      </c>
      <c r="BM122" s="32">
        <f t="shared" si="24"/>
        <v>0</v>
      </c>
      <c r="BN122" s="28">
        <f t="shared" si="25"/>
        <v>0</v>
      </c>
      <c r="BO122" s="29">
        <f t="shared" si="26"/>
        <v>0</v>
      </c>
      <c r="BP122" s="30">
        <f t="shared" si="27"/>
        <v>0</v>
      </c>
      <c r="BQ122" s="31">
        <f t="shared" si="28"/>
        <v>0</v>
      </c>
      <c r="BR122" s="11"/>
      <c r="BS122" s="329"/>
      <c r="BT122" s="23"/>
      <c r="BU122" s="24"/>
      <c r="BV122" s="25"/>
      <c r="BW122" s="24"/>
      <c r="BX122" s="23"/>
      <c r="BY122" s="24"/>
      <c r="BZ122" s="25"/>
      <c r="CA122" s="24"/>
      <c r="CB122" s="23"/>
      <c r="CC122" s="24"/>
      <c r="CD122" s="25"/>
      <c r="CE122" s="24"/>
      <c r="CF122" s="23"/>
      <c r="CG122" s="24"/>
      <c r="CH122" s="25"/>
      <c r="CI122" s="24"/>
      <c r="CJ122" s="23"/>
      <c r="CK122" s="24"/>
      <c r="CL122" s="25"/>
      <c r="CM122" s="24"/>
      <c r="CN122" s="23"/>
      <c r="CO122" s="24"/>
      <c r="CP122" s="25"/>
      <c r="CQ122" s="24"/>
      <c r="CR122" s="23"/>
      <c r="CS122" s="24"/>
      <c r="CT122" s="25"/>
      <c r="CU122" s="24"/>
      <c r="CV122" s="23"/>
      <c r="CW122" s="24"/>
      <c r="CX122" s="25"/>
      <c r="CY122" s="24"/>
      <c r="CZ122" s="23"/>
      <c r="DA122" s="24"/>
      <c r="DB122" s="25"/>
      <c r="DC122" s="24"/>
      <c r="DD122" s="23"/>
      <c r="DE122" s="24"/>
      <c r="DF122" s="25"/>
      <c r="DG122" s="24"/>
      <c r="DH122" s="23"/>
      <c r="DI122" s="24"/>
      <c r="DJ122" s="25"/>
      <c r="DK122" s="24"/>
      <c r="DL122" s="23"/>
      <c r="DM122" s="24"/>
      <c r="DN122" s="25"/>
      <c r="DO122" s="24"/>
      <c r="DP122" s="340"/>
      <c r="DQ122" s="32">
        <f>SUMPRODUCT(--(MOD(COLUMN(BT122:CQ122),4)=MOD(COLUMN(BT122),4)),BT122:CQ122)+SUMPRODUCT(--(MOD(COLUMN(CR122:DO122),4)=MOD(COLUMN(CR122),4)),CR122:DO122)</f>
        <v>0</v>
      </c>
      <c r="DR122" s="32">
        <f>SUMPRODUCT(--(MOD(COLUMN(BT122:CQ122),4)=MOD(COLUMN(BT122),4)),BT122:CQ122)*$I122+SUMPRODUCT(--(MOD(COLUMN(CR122:DO122),4)=MOD(COLUMN(CR122),4)),CR122:DO122)*$I122</f>
        <v>0</v>
      </c>
      <c r="DS122" s="11"/>
      <c r="DT122" s="329"/>
      <c r="DU122" s="23"/>
      <c r="DV122" s="24"/>
      <c r="DW122" s="25"/>
      <c r="DX122" s="24"/>
      <c r="DY122" s="23"/>
      <c r="DZ122" s="24"/>
      <c r="EA122" s="25"/>
      <c r="EB122" s="24"/>
      <c r="EC122" s="23"/>
      <c r="ED122" s="24"/>
      <c r="EE122" s="25"/>
      <c r="EF122" s="24"/>
      <c r="EG122" s="23"/>
      <c r="EH122" s="24"/>
      <c r="EI122" s="25"/>
      <c r="EJ122" s="24"/>
      <c r="EK122" s="23"/>
      <c r="EL122" s="24"/>
      <c r="EM122" s="25"/>
      <c r="EN122" s="24"/>
      <c r="EO122" s="23"/>
      <c r="EP122" s="24"/>
      <c r="EQ122" s="25"/>
      <c r="ER122" s="24"/>
      <c r="ES122" s="23"/>
      <c r="ET122" s="24"/>
      <c r="EU122" s="25"/>
      <c r="EV122" s="24"/>
      <c r="EW122" s="23"/>
      <c r="EX122" s="24"/>
      <c r="EY122" s="25"/>
      <c r="EZ122" s="24"/>
      <c r="FA122" s="23"/>
      <c r="FB122" s="24"/>
      <c r="FC122" s="25"/>
      <c r="FD122" s="24"/>
      <c r="FE122" s="23"/>
      <c r="FF122" s="24"/>
      <c r="FG122" s="25"/>
      <c r="FH122" s="24"/>
      <c r="FI122" s="23"/>
      <c r="FJ122" s="24"/>
      <c r="FK122" s="25"/>
      <c r="FL122" s="24"/>
      <c r="FM122" s="23"/>
      <c r="FN122" s="24"/>
      <c r="FO122" s="25"/>
      <c r="FP122" s="24"/>
      <c r="FQ122" s="340"/>
      <c r="FR122" s="32">
        <f>SUMPRODUCT(--(MOD(COLUMN(DU122:ER122),4)=MOD(COLUMN(DU122),4)),DU122:ER122)+SUMPRODUCT(--(MOD(COLUMN(ES122:FP122),4)=MOD(COLUMN(ES122),4)),ES122:FP122)</f>
        <v>0</v>
      </c>
      <c r="FS122" s="32">
        <f>SUMPRODUCT(--(MOD(COLUMN(DU122:ER122),4)=MOD(COLUMN(DU122),4)),DU122:ER122)*$I122+SUMPRODUCT(--(MOD(COLUMN(ES122:FP122),4)=MOD(COLUMN(ES122),4)),ES122:FP122)*$I122</f>
        <v>0</v>
      </c>
      <c r="FT122" s="361"/>
    </row>
    <row r="123" spans="1:176" outlineLevel="2">
      <c r="A123" s="56" t="s">
        <v>469</v>
      </c>
      <c r="B123" s="387" t="s">
        <v>51</v>
      </c>
      <c r="C123" s="541" t="s">
        <v>72</v>
      </c>
      <c r="D123" s="565" t="s">
        <v>32</v>
      </c>
      <c r="E123" s="10">
        <f>IF(ISBLANK(G123),"",IF($A$6:$A$330=$A123,COUNTIF($A$6:A123,$A123),""))</f>
        <v>18</v>
      </c>
      <c r="F123" s="10">
        <v>2</v>
      </c>
      <c r="G123" s="55">
        <v>4640061000</v>
      </c>
      <c r="H123" s="54" t="s">
        <v>93</v>
      </c>
      <c r="I123" s="617">
        <f t="shared" si="40"/>
        <v>809.25901639344261</v>
      </c>
      <c r="J123" s="617">
        <f>11107.08/НДС</f>
        <v>9104.1639344262294</v>
      </c>
      <c r="K123" s="113" t="s">
        <v>95</v>
      </c>
      <c r="L123" s="617">
        <f t="shared" si="41"/>
        <v>809.25901639344261</v>
      </c>
      <c r="M123" s="102"/>
      <c r="N123" s="305">
        <f t="shared" si="22"/>
        <v>1</v>
      </c>
      <c r="O123" s="23"/>
      <c r="P123" s="24">
        <f>2</f>
        <v>2</v>
      </c>
      <c r="Q123" s="25">
        <v>2</v>
      </c>
      <c r="R123" s="24"/>
      <c r="S123" s="23"/>
      <c r="T123" s="24">
        <f>1+3+1</f>
        <v>5</v>
      </c>
      <c r="U123" s="25">
        <v>5</v>
      </c>
      <c r="V123" s="24"/>
      <c r="W123" s="23"/>
      <c r="X123" s="24"/>
      <c r="Y123" s="25"/>
      <c r="Z123" s="24"/>
      <c r="AA123" s="23"/>
      <c r="AB123" s="24">
        <f>1</f>
        <v>1</v>
      </c>
      <c r="AC123" s="25">
        <v>1</v>
      </c>
      <c r="AD123" s="24"/>
      <c r="AE123" s="23"/>
      <c r="AF123" s="24"/>
      <c r="AG123" s="25"/>
      <c r="AH123" s="24"/>
      <c r="AI123" s="23"/>
      <c r="AJ123" s="24"/>
      <c r="AK123" s="25"/>
      <c r="AL123" s="24"/>
      <c r="AM123" s="23"/>
      <c r="AN123" s="24"/>
      <c r="AO123" s="25"/>
      <c r="AP123" s="24"/>
      <c r="AQ123" s="23"/>
      <c r="AR123" s="24"/>
      <c r="AS123" s="25"/>
      <c r="AT123" s="24"/>
      <c r="AU123" s="23"/>
      <c r="AV123" s="24"/>
      <c r="AW123" s="25"/>
      <c r="AX123" s="24"/>
      <c r="AY123" s="23"/>
      <c r="AZ123" s="24"/>
      <c r="BA123" s="25"/>
      <c r="BB123" s="24"/>
      <c r="BC123" s="23"/>
      <c r="BD123" s="24"/>
      <c r="BE123" s="25"/>
      <c r="BF123" s="24"/>
      <c r="BG123" s="23"/>
      <c r="BH123" s="24"/>
      <c r="BI123" s="25"/>
      <c r="BJ123" s="24"/>
      <c r="BK123" s="340"/>
      <c r="BL123" s="32">
        <f t="shared" si="23"/>
        <v>0</v>
      </c>
      <c r="BM123" s="32">
        <f t="shared" si="24"/>
        <v>0</v>
      </c>
      <c r="BN123" s="28">
        <f t="shared" si="25"/>
        <v>8</v>
      </c>
      <c r="BO123" s="29">
        <f t="shared" si="26"/>
        <v>6474.0721311475409</v>
      </c>
      <c r="BP123" s="30">
        <f t="shared" si="27"/>
        <v>8</v>
      </c>
      <c r="BQ123" s="31">
        <f t="shared" si="28"/>
        <v>6474.0721311475409</v>
      </c>
      <c r="BR123" s="11"/>
      <c r="BS123" s="329"/>
      <c r="BT123" s="23"/>
      <c r="BU123" s="24"/>
      <c r="BV123" s="25"/>
      <c r="BW123" s="24"/>
      <c r="BX123" s="23"/>
      <c r="BY123" s="24"/>
      <c r="BZ123" s="25"/>
      <c r="CA123" s="24"/>
      <c r="CB123" s="23"/>
      <c r="CC123" s="24"/>
      <c r="CD123" s="25"/>
      <c r="CE123" s="24"/>
      <c r="CF123" s="23"/>
      <c r="CG123" s="24"/>
      <c r="CH123" s="25"/>
      <c r="CI123" s="24"/>
      <c r="CJ123" s="23"/>
      <c r="CK123" s="24"/>
      <c r="CL123" s="25"/>
      <c r="CM123" s="24"/>
      <c r="CN123" s="23"/>
      <c r="CO123" s="24"/>
      <c r="CP123" s="25"/>
      <c r="CQ123" s="24"/>
      <c r="CR123" s="23"/>
      <c r="CS123" s="24"/>
      <c r="CT123" s="25"/>
      <c r="CU123" s="24"/>
      <c r="CV123" s="23"/>
      <c r="CW123" s="24"/>
      <c r="CX123" s="25"/>
      <c r="CY123" s="24"/>
      <c r="CZ123" s="23"/>
      <c r="DA123" s="24"/>
      <c r="DB123" s="25"/>
      <c r="DC123" s="24"/>
      <c r="DD123" s="23"/>
      <c r="DE123" s="24"/>
      <c r="DF123" s="25"/>
      <c r="DG123" s="24"/>
      <c r="DH123" s="23"/>
      <c r="DI123" s="24"/>
      <c r="DJ123" s="25"/>
      <c r="DK123" s="24"/>
      <c r="DL123" s="23"/>
      <c r="DM123" s="24"/>
      <c r="DN123" s="25"/>
      <c r="DO123" s="24"/>
      <c r="DP123" s="340"/>
      <c r="DQ123" s="32">
        <f>SUMPRODUCT(--(MOD(COLUMN(BT123:CQ123),4)=MOD(COLUMN(BT123),4)),BT123:CQ123)+SUMPRODUCT(--(MOD(COLUMN(CR123:DO123),4)=MOD(COLUMN(CR123),4)),CR123:DO123)</f>
        <v>0</v>
      </c>
      <c r="DR123" s="32">
        <f>SUMPRODUCT(--(MOD(COLUMN(BT123:CQ123),4)=MOD(COLUMN(BT123),4)),BT123:CQ123)*$I123+SUMPRODUCT(--(MOD(COLUMN(CR123:DO123),4)=MOD(COLUMN(CR123),4)),CR123:DO123)*$I123</f>
        <v>0</v>
      </c>
      <c r="DS123" s="11"/>
      <c r="DT123" s="329"/>
      <c r="DU123" s="23"/>
      <c r="DV123" s="24"/>
      <c r="DW123" s="25"/>
      <c r="DX123" s="24"/>
      <c r="DY123" s="23"/>
      <c r="DZ123" s="24"/>
      <c r="EA123" s="25"/>
      <c r="EB123" s="24"/>
      <c r="EC123" s="23"/>
      <c r="ED123" s="24"/>
      <c r="EE123" s="25"/>
      <c r="EF123" s="24"/>
      <c r="EG123" s="23"/>
      <c r="EH123" s="24"/>
      <c r="EI123" s="25"/>
      <c r="EJ123" s="24"/>
      <c r="EK123" s="23"/>
      <c r="EL123" s="24"/>
      <c r="EM123" s="25"/>
      <c r="EN123" s="24"/>
      <c r="EO123" s="23"/>
      <c r="EP123" s="24"/>
      <c r="EQ123" s="25"/>
      <c r="ER123" s="24"/>
      <c r="ES123" s="23"/>
      <c r="ET123" s="24"/>
      <c r="EU123" s="25"/>
      <c r="EV123" s="24"/>
      <c r="EW123" s="23"/>
      <c r="EX123" s="24"/>
      <c r="EY123" s="25"/>
      <c r="EZ123" s="24"/>
      <c r="FA123" s="23"/>
      <c r="FB123" s="24"/>
      <c r="FC123" s="25"/>
      <c r="FD123" s="24"/>
      <c r="FE123" s="23"/>
      <c r="FF123" s="24"/>
      <c r="FG123" s="25"/>
      <c r="FH123" s="24"/>
      <c r="FI123" s="23"/>
      <c r="FJ123" s="24"/>
      <c r="FK123" s="25"/>
      <c r="FL123" s="24"/>
      <c r="FM123" s="23"/>
      <c r="FN123" s="24"/>
      <c r="FO123" s="25"/>
      <c r="FP123" s="24"/>
      <c r="FQ123" s="340"/>
      <c r="FR123" s="32">
        <f>SUMPRODUCT(--(MOD(COLUMN(DU123:ER123),4)=MOD(COLUMN(DU123),4)),DU123:ER123)+SUMPRODUCT(--(MOD(COLUMN(ES123:FP123),4)=MOD(COLUMN(ES123),4)),ES123:FP123)</f>
        <v>0</v>
      </c>
      <c r="FS123" s="32">
        <f>SUMPRODUCT(--(MOD(COLUMN(DU123:ER123),4)=MOD(COLUMN(DU123),4)),DU123:ER123)*$I123+SUMPRODUCT(--(MOD(COLUMN(ES123:FP123),4)=MOD(COLUMN(ES123),4)),ES123:FP123)*$I123</f>
        <v>0</v>
      </c>
      <c r="FT123" s="361"/>
    </row>
    <row r="124" spans="1:176" outlineLevel="2">
      <c r="A124" s="56" t="s">
        <v>469</v>
      </c>
      <c r="B124" s="387" t="s">
        <v>51</v>
      </c>
      <c r="C124" s="541" t="s">
        <v>72</v>
      </c>
      <c r="D124" s="565" t="s">
        <v>32</v>
      </c>
      <c r="E124" s="10">
        <f>IF(ISBLANK(G124),"",IF($A$6:$A$330=$A124,COUNTIF($A$6:A124,$A124),""))</f>
        <v>19</v>
      </c>
      <c r="F124" s="10">
        <v>2</v>
      </c>
      <c r="G124" s="55">
        <v>4630320200</v>
      </c>
      <c r="H124" s="54" t="s">
        <v>80</v>
      </c>
      <c r="I124" s="617">
        <f t="shared" si="40"/>
        <v>852.96320582877956</v>
      </c>
      <c r="J124" s="617">
        <f>11706.92/НДС</f>
        <v>9595.8360655737706</v>
      </c>
      <c r="K124" s="113" t="s">
        <v>95</v>
      </c>
      <c r="L124" s="617">
        <f t="shared" si="41"/>
        <v>852.96320582877956</v>
      </c>
      <c r="M124" s="102"/>
      <c r="N124" s="305">
        <f t="shared" si="22"/>
        <v>1</v>
      </c>
      <c r="O124" s="23"/>
      <c r="P124" s="24">
        <f>2</f>
        <v>2</v>
      </c>
      <c r="Q124" s="25">
        <v>2</v>
      </c>
      <c r="R124" s="24"/>
      <c r="S124" s="23"/>
      <c r="T124" s="24">
        <f>1+3+1</f>
        <v>5</v>
      </c>
      <c r="U124" s="25">
        <v>5</v>
      </c>
      <c r="V124" s="24"/>
      <c r="W124" s="23"/>
      <c r="X124" s="24"/>
      <c r="Y124" s="25"/>
      <c r="Z124" s="24"/>
      <c r="AA124" s="23"/>
      <c r="AB124" s="24">
        <f>1</f>
        <v>1</v>
      </c>
      <c r="AC124" s="25">
        <v>1</v>
      </c>
      <c r="AD124" s="24"/>
      <c r="AE124" s="23"/>
      <c r="AF124" s="24"/>
      <c r="AG124" s="25"/>
      <c r="AH124" s="24"/>
      <c r="AI124" s="23"/>
      <c r="AJ124" s="24"/>
      <c r="AK124" s="25"/>
      <c r="AL124" s="24"/>
      <c r="AM124" s="23"/>
      <c r="AN124" s="24"/>
      <c r="AO124" s="25"/>
      <c r="AP124" s="24"/>
      <c r="AQ124" s="23"/>
      <c r="AR124" s="24"/>
      <c r="AS124" s="25"/>
      <c r="AT124" s="24"/>
      <c r="AU124" s="23"/>
      <c r="AV124" s="24"/>
      <c r="AW124" s="25"/>
      <c r="AX124" s="24"/>
      <c r="AY124" s="23"/>
      <c r="AZ124" s="24"/>
      <c r="BA124" s="25"/>
      <c r="BB124" s="24"/>
      <c r="BC124" s="23"/>
      <c r="BD124" s="24"/>
      <c r="BE124" s="25"/>
      <c r="BF124" s="24"/>
      <c r="BG124" s="23"/>
      <c r="BH124" s="24"/>
      <c r="BI124" s="25"/>
      <c r="BJ124" s="24"/>
      <c r="BK124" s="340"/>
      <c r="BL124" s="32">
        <f t="shared" si="23"/>
        <v>0</v>
      </c>
      <c r="BM124" s="32">
        <f t="shared" si="24"/>
        <v>0</v>
      </c>
      <c r="BN124" s="28">
        <f t="shared" si="25"/>
        <v>8</v>
      </c>
      <c r="BO124" s="29">
        <f t="shared" si="26"/>
        <v>6823.7056466302365</v>
      </c>
      <c r="BP124" s="30">
        <f t="shared" si="27"/>
        <v>8</v>
      </c>
      <c r="BQ124" s="31">
        <f t="shared" si="28"/>
        <v>6823.7056466302365</v>
      </c>
      <c r="BR124" s="11"/>
      <c r="BS124" s="329"/>
      <c r="BT124" s="23"/>
      <c r="BU124" s="24"/>
      <c r="BV124" s="25"/>
      <c r="BW124" s="24"/>
      <c r="BX124" s="23"/>
      <c r="BY124" s="24"/>
      <c r="BZ124" s="25"/>
      <c r="CA124" s="24"/>
      <c r="CB124" s="23"/>
      <c r="CC124" s="24"/>
      <c r="CD124" s="25"/>
      <c r="CE124" s="24"/>
      <c r="CF124" s="23"/>
      <c r="CG124" s="24"/>
      <c r="CH124" s="25"/>
      <c r="CI124" s="24"/>
      <c r="CJ124" s="23"/>
      <c r="CK124" s="24"/>
      <c r="CL124" s="25"/>
      <c r="CM124" s="24"/>
      <c r="CN124" s="23"/>
      <c r="CO124" s="24"/>
      <c r="CP124" s="25"/>
      <c r="CQ124" s="24"/>
      <c r="CR124" s="23"/>
      <c r="CS124" s="24"/>
      <c r="CT124" s="25"/>
      <c r="CU124" s="24"/>
      <c r="CV124" s="23"/>
      <c r="CW124" s="24"/>
      <c r="CX124" s="25"/>
      <c r="CY124" s="24"/>
      <c r="CZ124" s="23"/>
      <c r="DA124" s="24"/>
      <c r="DB124" s="25"/>
      <c r="DC124" s="24"/>
      <c r="DD124" s="23"/>
      <c r="DE124" s="24"/>
      <c r="DF124" s="25"/>
      <c r="DG124" s="24"/>
      <c r="DH124" s="23"/>
      <c r="DI124" s="24"/>
      <c r="DJ124" s="25"/>
      <c r="DK124" s="24"/>
      <c r="DL124" s="23"/>
      <c r="DM124" s="24"/>
      <c r="DN124" s="25"/>
      <c r="DO124" s="24"/>
      <c r="DP124" s="340"/>
      <c r="DQ124" s="32">
        <f>SUMPRODUCT(--(MOD(COLUMN(BT124:CQ124),4)=MOD(COLUMN(BT124),4)),BT124:CQ124)+SUMPRODUCT(--(MOD(COLUMN(CR124:DO124),4)=MOD(COLUMN(CR124),4)),CR124:DO124)</f>
        <v>0</v>
      </c>
      <c r="DR124" s="32">
        <f>SUMPRODUCT(--(MOD(COLUMN(BT124:CQ124),4)=MOD(COLUMN(BT124),4)),BT124:CQ124)*$I124+SUMPRODUCT(--(MOD(COLUMN(CR124:DO124),4)=MOD(COLUMN(CR124),4)),CR124:DO124)*$I124</f>
        <v>0</v>
      </c>
      <c r="DS124" s="11"/>
      <c r="DT124" s="329"/>
      <c r="DU124" s="23"/>
      <c r="DV124" s="24"/>
      <c r="DW124" s="25"/>
      <c r="DX124" s="24"/>
      <c r="DY124" s="23"/>
      <c r="DZ124" s="24"/>
      <c r="EA124" s="25"/>
      <c r="EB124" s="24"/>
      <c r="EC124" s="23"/>
      <c r="ED124" s="24"/>
      <c r="EE124" s="25"/>
      <c r="EF124" s="24"/>
      <c r="EG124" s="23"/>
      <c r="EH124" s="24"/>
      <c r="EI124" s="25"/>
      <c r="EJ124" s="24"/>
      <c r="EK124" s="23"/>
      <c r="EL124" s="24"/>
      <c r="EM124" s="25"/>
      <c r="EN124" s="24"/>
      <c r="EO124" s="23"/>
      <c r="EP124" s="24"/>
      <c r="EQ124" s="25"/>
      <c r="ER124" s="24"/>
      <c r="ES124" s="23"/>
      <c r="ET124" s="24"/>
      <c r="EU124" s="25"/>
      <c r="EV124" s="24"/>
      <c r="EW124" s="23"/>
      <c r="EX124" s="24"/>
      <c r="EY124" s="25"/>
      <c r="EZ124" s="24"/>
      <c r="FA124" s="23"/>
      <c r="FB124" s="24"/>
      <c r="FC124" s="25"/>
      <c r="FD124" s="24"/>
      <c r="FE124" s="23"/>
      <c r="FF124" s="24"/>
      <c r="FG124" s="25"/>
      <c r="FH124" s="24"/>
      <c r="FI124" s="23"/>
      <c r="FJ124" s="24"/>
      <c r="FK124" s="25"/>
      <c r="FL124" s="24"/>
      <c r="FM124" s="23"/>
      <c r="FN124" s="24"/>
      <c r="FO124" s="25"/>
      <c r="FP124" s="24"/>
      <c r="FQ124" s="340"/>
      <c r="FR124" s="32">
        <f>SUMPRODUCT(--(MOD(COLUMN(DU124:ER124),4)=MOD(COLUMN(DU124),4)),DU124:ER124)+SUMPRODUCT(--(MOD(COLUMN(ES124:FP124),4)=MOD(COLUMN(ES124),4)),ES124:FP124)</f>
        <v>0</v>
      </c>
      <c r="FS124" s="32">
        <f>SUMPRODUCT(--(MOD(COLUMN(DU124:ER124),4)=MOD(COLUMN(DU124),4)),DU124:ER124)*$I124+SUMPRODUCT(--(MOD(COLUMN(ES124:FP124),4)=MOD(COLUMN(ES124),4)),ES124:FP124)*$I124</f>
        <v>0</v>
      </c>
      <c r="FT124" s="361"/>
    </row>
    <row r="125" spans="1:176" outlineLevel="2">
      <c r="A125" s="56" t="s">
        <v>469</v>
      </c>
      <c r="B125" s="387" t="s">
        <v>51</v>
      </c>
      <c r="C125" s="541" t="s">
        <v>72</v>
      </c>
      <c r="D125" s="565" t="s">
        <v>32</v>
      </c>
      <c r="E125" s="10">
        <f>IF(ISBLANK(G125),"",IF($A$6:$A$330=$A125,COUNTIF($A$6:A125,$A125),""))</f>
        <v>20</v>
      </c>
      <c r="F125" s="10">
        <v>2</v>
      </c>
      <c r="G125" s="55">
        <v>4334010030</v>
      </c>
      <c r="H125" s="54" t="s">
        <v>81</v>
      </c>
      <c r="I125" s="617">
        <f t="shared" si="40"/>
        <v>68.147905282331507</v>
      </c>
      <c r="J125" s="617">
        <f>935.33/НДС</f>
        <v>766.6639344262295</v>
      </c>
      <c r="K125" s="113" t="s">
        <v>95</v>
      </c>
      <c r="L125" s="617">
        <f t="shared" si="41"/>
        <v>68.147905282331507</v>
      </c>
      <c r="M125" s="102"/>
      <c r="N125" s="305">
        <f t="shared" si="22"/>
        <v>1</v>
      </c>
      <c r="O125" s="23"/>
      <c r="P125" s="24">
        <f>2</f>
        <v>2</v>
      </c>
      <c r="Q125" s="25">
        <v>2</v>
      </c>
      <c r="R125" s="24"/>
      <c r="S125" s="23"/>
      <c r="T125" s="24">
        <f>1+3+1</f>
        <v>5</v>
      </c>
      <c r="U125" s="25">
        <v>5</v>
      </c>
      <c r="V125" s="24"/>
      <c r="W125" s="23"/>
      <c r="X125" s="24"/>
      <c r="Y125" s="25"/>
      <c r="Z125" s="24"/>
      <c r="AA125" s="23"/>
      <c r="AB125" s="24">
        <f>1</f>
        <v>1</v>
      </c>
      <c r="AC125" s="25">
        <v>1</v>
      </c>
      <c r="AD125" s="24"/>
      <c r="AE125" s="23"/>
      <c r="AF125" s="24"/>
      <c r="AG125" s="25"/>
      <c r="AH125" s="24"/>
      <c r="AI125" s="23"/>
      <c r="AJ125" s="24"/>
      <c r="AK125" s="25"/>
      <c r="AL125" s="24"/>
      <c r="AM125" s="23"/>
      <c r="AN125" s="24"/>
      <c r="AO125" s="25"/>
      <c r="AP125" s="24"/>
      <c r="AQ125" s="23"/>
      <c r="AR125" s="24"/>
      <c r="AS125" s="25"/>
      <c r="AT125" s="24"/>
      <c r="AU125" s="23"/>
      <c r="AV125" s="24"/>
      <c r="AW125" s="25"/>
      <c r="AX125" s="24"/>
      <c r="AY125" s="23"/>
      <c r="AZ125" s="24"/>
      <c r="BA125" s="25"/>
      <c r="BB125" s="24"/>
      <c r="BC125" s="23"/>
      <c r="BD125" s="24"/>
      <c r="BE125" s="25"/>
      <c r="BF125" s="24"/>
      <c r="BG125" s="23"/>
      <c r="BH125" s="24"/>
      <c r="BI125" s="25"/>
      <c r="BJ125" s="24"/>
      <c r="BK125" s="340"/>
      <c r="BL125" s="32">
        <f t="shared" si="23"/>
        <v>0</v>
      </c>
      <c r="BM125" s="32">
        <f t="shared" si="24"/>
        <v>0</v>
      </c>
      <c r="BN125" s="28">
        <f t="shared" si="25"/>
        <v>8</v>
      </c>
      <c r="BO125" s="29">
        <f t="shared" si="26"/>
        <v>545.18324225865206</v>
      </c>
      <c r="BP125" s="30">
        <f t="shared" si="27"/>
        <v>8</v>
      </c>
      <c r="BQ125" s="31">
        <f t="shared" si="28"/>
        <v>545.18324225865206</v>
      </c>
      <c r="BR125" s="11"/>
      <c r="BS125" s="329"/>
      <c r="BT125" s="23"/>
      <c r="BU125" s="24"/>
      <c r="BV125" s="25"/>
      <c r="BW125" s="24"/>
      <c r="BX125" s="23"/>
      <c r="BY125" s="24"/>
      <c r="BZ125" s="25"/>
      <c r="CA125" s="24"/>
      <c r="CB125" s="23"/>
      <c r="CC125" s="24"/>
      <c r="CD125" s="25"/>
      <c r="CE125" s="24"/>
      <c r="CF125" s="23"/>
      <c r="CG125" s="24"/>
      <c r="CH125" s="25"/>
      <c r="CI125" s="24"/>
      <c r="CJ125" s="23"/>
      <c r="CK125" s="24"/>
      <c r="CL125" s="25"/>
      <c r="CM125" s="24"/>
      <c r="CN125" s="23"/>
      <c r="CO125" s="24"/>
      <c r="CP125" s="25"/>
      <c r="CQ125" s="24"/>
      <c r="CR125" s="23"/>
      <c r="CS125" s="24"/>
      <c r="CT125" s="25"/>
      <c r="CU125" s="24"/>
      <c r="CV125" s="23"/>
      <c r="CW125" s="24"/>
      <c r="CX125" s="25"/>
      <c r="CY125" s="24"/>
      <c r="CZ125" s="23"/>
      <c r="DA125" s="24"/>
      <c r="DB125" s="25"/>
      <c r="DC125" s="24"/>
      <c r="DD125" s="23"/>
      <c r="DE125" s="24"/>
      <c r="DF125" s="25"/>
      <c r="DG125" s="24"/>
      <c r="DH125" s="23"/>
      <c r="DI125" s="24"/>
      <c r="DJ125" s="25"/>
      <c r="DK125" s="24"/>
      <c r="DL125" s="23"/>
      <c r="DM125" s="24"/>
      <c r="DN125" s="25"/>
      <c r="DO125" s="24"/>
      <c r="DP125" s="340"/>
      <c r="DQ125" s="32">
        <f>SUMPRODUCT(--(MOD(COLUMN(BT125:CQ125),4)=MOD(COLUMN(BT125),4)),BT125:CQ125)+SUMPRODUCT(--(MOD(COLUMN(CR125:DO125),4)=MOD(COLUMN(CR125),4)),CR125:DO125)</f>
        <v>0</v>
      </c>
      <c r="DR125" s="32">
        <f>SUMPRODUCT(--(MOD(COLUMN(BT125:CQ125),4)=MOD(COLUMN(BT125),4)),BT125:CQ125)*$I125+SUMPRODUCT(--(MOD(COLUMN(CR125:DO125),4)=MOD(COLUMN(CR125),4)),CR125:DO125)*$I125</f>
        <v>0</v>
      </c>
      <c r="DS125" s="11"/>
      <c r="DT125" s="329"/>
      <c r="DU125" s="23"/>
      <c r="DV125" s="24"/>
      <c r="DW125" s="25"/>
      <c r="DX125" s="24"/>
      <c r="DY125" s="23"/>
      <c r="DZ125" s="24"/>
      <c r="EA125" s="25"/>
      <c r="EB125" s="24"/>
      <c r="EC125" s="23"/>
      <c r="ED125" s="24"/>
      <c r="EE125" s="25"/>
      <c r="EF125" s="24"/>
      <c r="EG125" s="23"/>
      <c r="EH125" s="24"/>
      <c r="EI125" s="25"/>
      <c r="EJ125" s="24"/>
      <c r="EK125" s="23"/>
      <c r="EL125" s="24"/>
      <c r="EM125" s="25"/>
      <c r="EN125" s="24"/>
      <c r="EO125" s="23"/>
      <c r="EP125" s="24"/>
      <c r="EQ125" s="25"/>
      <c r="ER125" s="24"/>
      <c r="ES125" s="23"/>
      <c r="ET125" s="24"/>
      <c r="EU125" s="25"/>
      <c r="EV125" s="24"/>
      <c r="EW125" s="23"/>
      <c r="EX125" s="24"/>
      <c r="EY125" s="25"/>
      <c r="EZ125" s="24"/>
      <c r="FA125" s="23"/>
      <c r="FB125" s="24"/>
      <c r="FC125" s="25"/>
      <c r="FD125" s="24"/>
      <c r="FE125" s="23"/>
      <c r="FF125" s="24"/>
      <c r="FG125" s="25"/>
      <c r="FH125" s="24"/>
      <c r="FI125" s="23"/>
      <c r="FJ125" s="24"/>
      <c r="FK125" s="25"/>
      <c r="FL125" s="24"/>
      <c r="FM125" s="23"/>
      <c r="FN125" s="24"/>
      <c r="FO125" s="25"/>
      <c r="FP125" s="24"/>
      <c r="FQ125" s="340"/>
      <c r="FR125" s="32">
        <f>SUMPRODUCT(--(MOD(COLUMN(DU125:ER125),4)=MOD(COLUMN(DU125),4)),DU125:ER125)+SUMPRODUCT(--(MOD(COLUMN(ES125:FP125),4)=MOD(COLUMN(ES125),4)),ES125:FP125)</f>
        <v>0</v>
      </c>
      <c r="FS125" s="32">
        <f>SUMPRODUCT(--(MOD(COLUMN(DU125:ER125),4)=MOD(COLUMN(DU125),4)),DU125:ER125)*$I125+SUMPRODUCT(--(MOD(COLUMN(ES125:FP125),4)=MOD(COLUMN(ES125),4)),ES125:FP125)*$I125</f>
        <v>0</v>
      </c>
      <c r="FT125" s="361"/>
    </row>
    <row r="126" spans="1:176" outlineLevel="2">
      <c r="A126" s="411" t="s">
        <v>469</v>
      </c>
      <c r="B126" s="448" t="s">
        <v>51</v>
      </c>
      <c r="C126" s="590" t="s">
        <v>72</v>
      </c>
      <c r="D126" s="589" t="s">
        <v>32</v>
      </c>
      <c r="E126" s="412">
        <f>IF(ISBLANK(G126),"",IF($A$6:$A$330=$A126,COUNTIF($A$6:A126,$A126),""))</f>
        <v>21</v>
      </c>
      <c r="F126" s="10">
        <v>2</v>
      </c>
      <c r="G126" s="55">
        <v>4497490300</v>
      </c>
      <c r="H126" s="54" t="s">
        <v>100</v>
      </c>
      <c r="I126" s="617">
        <f t="shared" si="40"/>
        <v>66.666666666666671</v>
      </c>
      <c r="J126" s="617">
        <f>915/НДС</f>
        <v>750</v>
      </c>
      <c r="K126" s="113" t="s">
        <v>95</v>
      </c>
      <c r="L126" s="617">
        <f t="shared" si="41"/>
        <v>66.666666666666671</v>
      </c>
      <c r="M126" s="102"/>
      <c r="N126" s="305">
        <f t="shared" si="22"/>
        <v>1</v>
      </c>
      <c r="O126" s="23"/>
      <c r="P126" s="24">
        <f>4</f>
        <v>4</v>
      </c>
      <c r="Q126" s="25">
        <v>4</v>
      </c>
      <c r="R126" s="24"/>
      <c r="S126" s="23"/>
      <c r="T126" s="24">
        <f>2</f>
        <v>2</v>
      </c>
      <c r="U126" s="25">
        <v>2</v>
      </c>
      <c r="V126" s="24"/>
      <c r="W126" s="23"/>
      <c r="X126" s="24"/>
      <c r="Y126" s="25"/>
      <c r="Z126" s="24"/>
      <c r="AA126" s="23"/>
      <c r="AB126" s="24">
        <f>2</f>
        <v>2</v>
      </c>
      <c r="AC126" s="25">
        <v>2</v>
      </c>
      <c r="AD126" s="24"/>
      <c r="AE126" s="23"/>
      <c r="AF126" s="24"/>
      <c r="AG126" s="25"/>
      <c r="AH126" s="24"/>
      <c r="AI126" s="23"/>
      <c r="AJ126" s="24"/>
      <c r="AK126" s="25"/>
      <c r="AL126" s="24"/>
      <c r="AM126" s="23"/>
      <c r="AN126" s="24"/>
      <c r="AO126" s="25"/>
      <c r="AP126" s="24"/>
      <c r="AQ126" s="23"/>
      <c r="AR126" s="24"/>
      <c r="AS126" s="25"/>
      <c r="AT126" s="24"/>
      <c r="AU126" s="23"/>
      <c r="AV126" s="24"/>
      <c r="AW126" s="25"/>
      <c r="AX126" s="24"/>
      <c r="AY126" s="23"/>
      <c r="AZ126" s="24"/>
      <c r="BA126" s="25"/>
      <c r="BB126" s="24"/>
      <c r="BC126" s="23"/>
      <c r="BD126" s="24"/>
      <c r="BE126" s="25"/>
      <c r="BF126" s="24"/>
      <c r="BG126" s="23"/>
      <c r="BH126" s="24"/>
      <c r="BI126" s="25"/>
      <c r="BJ126" s="24"/>
      <c r="BK126" s="340"/>
      <c r="BL126" s="32">
        <f t="shared" si="23"/>
        <v>0</v>
      </c>
      <c r="BM126" s="32">
        <f t="shared" si="24"/>
        <v>0</v>
      </c>
      <c r="BN126" s="28">
        <f t="shared" si="25"/>
        <v>8</v>
      </c>
      <c r="BO126" s="29">
        <f t="shared" si="26"/>
        <v>533.33333333333337</v>
      </c>
      <c r="BP126" s="30">
        <f t="shared" si="27"/>
        <v>8</v>
      </c>
      <c r="BQ126" s="31">
        <f t="shared" si="28"/>
        <v>533.33333333333337</v>
      </c>
      <c r="BR126" s="11"/>
      <c r="BS126" s="329"/>
      <c r="BT126" s="23"/>
      <c r="BU126" s="24"/>
      <c r="BV126" s="25"/>
      <c r="BW126" s="24"/>
      <c r="BX126" s="23"/>
      <c r="BY126" s="24"/>
      <c r="BZ126" s="25"/>
      <c r="CA126" s="24"/>
      <c r="CB126" s="23"/>
      <c r="CC126" s="24"/>
      <c r="CD126" s="25"/>
      <c r="CE126" s="24"/>
      <c r="CF126" s="23"/>
      <c r="CG126" s="24"/>
      <c r="CH126" s="25"/>
      <c r="CI126" s="24"/>
      <c r="CJ126" s="23"/>
      <c r="CK126" s="24"/>
      <c r="CL126" s="25"/>
      <c r="CM126" s="24"/>
      <c r="CN126" s="23"/>
      <c r="CO126" s="24"/>
      <c r="CP126" s="25"/>
      <c r="CQ126" s="24"/>
      <c r="CR126" s="23"/>
      <c r="CS126" s="24"/>
      <c r="CT126" s="25"/>
      <c r="CU126" s="24"/>
      <c r="CV126" s="23"/>
      <c r="CW126" s="24"/>
      <c r="CX126" s="25"/>
      <c r="CY126" s="24"/>
      <c r="CZ126" s="23"/>
      <c r="DA126" s="24"/>
      <c r="DB126" s="25"/>
      <c r="DC126" s="24"/>
      <c r="DD126" s="23"/>
      <c r="DE126" s="24"/>
      <c r="DF126" s="25"/>
      <c r="DG126" s="24"/>
      <c r="DH126" s="23"/>
      <c r="DI126" s="24"/>
      <c r="DJ126" s="25"/>
      <c r="DK126" s="24"/>
      <c r="DL126" s="23"/>
      <c r="DM126" s="24"/>
      <c r="DN126" s="25"/>
      <c r="DO126" s="24"/>
      <c r="DP126" s="340"/>
      <c r="DQ126" s="32">
        <f>SUMPRODUCT(--(MOD(COLUMN(BT126:CQ126),4)=MOD(COLUMN(BT126),4)),BT126:CQ126)+SUMPRODUCT(--(MOD(COLUMN(CR126:DO126),4)=MOD(COLUMN(CR126),4)),CR126:DO126)</f>
        <v>0</v>
      </c>
      <c r="DR126" s="32">
        <f>SUMPRODUCT(--(MOD(COLUMN(BT126:CQ126),4)=MOD(COLUMN(BT126),4)),BT126:CQ126)*$I126+SUMPRODUCT(--(MOD(COLUMN(CR126:DO126),4)=MOD(COLUMN(CR126),4)),CR126:DO126)*$I126</f>
        <v>0</v>
      </c>
      <c r="DS126" s="11"/>
      <c r="DT126" s="329"/>
      <c r="DU126" s="23"/>
      <c r="DV126" s="24"/>
      <c r="DW126" s="25"/>
      <c r="DX126" s="24"/>
      <c r="DY126" s="23"/>
      <c r="DZ126" s="24"/>
      <c r="EA126" s="25"/>
      <c r="EB126" s="24"/>
      <c r="EC126" s="23"/>
      <c r="ED126" s="24"/>
      <c r="EE126" s="25"/>
      <c r="EF126" s="24"/>
      <c r="EG126" s="23"/>
      <c r="EH126" s="24"/>
      <c r="EI126" s="25"/>
      <c r="EJ126" s="24"/>
      <c r="EK126" s="23"/>
      <c r="EL126" s="24"/>
      <c r="EM126" s="25"/>
      <c r="EN126" s="24"/>
      <c r="EO126" s="23"/>
      <c r="EP126" s="24"/>
      <c r="EQ126" s="25"/>
      <c r="ER126" s="24"/>
      <c r="ES126" s="23"/>
      <c r="ET126" s="24"/>
      <c r="EU126" s="25"/>
      <c r="EV126" s="24"/>
      <c r="EW126" s="23"/>
      <c r="EX126" s="24"/>
      <c r="EY126" s="25"/>
      <c r="EZ126" s="24"/>
      <c r="FA126" s="23"/>
      <c r="FB126" s="24"/>
      <c r="FC126" s="25"/>
      <c r="FD126" s="24"/>
      <c r="FE126" s="23"/>
      <c r="FF126" s="24"/>
      <c r="FG126" s="25"/>
      <c r="FH126" s="24"/>
      <c r="FI126" s="23"/>
      <c r="FJ126" s="24"/>
      <c r="FK126" s="25"/>
      <c r="FL126" s="24"/>
      <c r="FM126" s="23"/>
      <c r="FN126" s="24"/>
      <c r="FO126" s="25"/>
      <c r="FP126" s="24"/>
      <c r="FQ126" s="340"/>
      <c r="FR126" s="32">
        <f>SUMPRODUCT(--(MOD(COLUMN(DU126:ER126),4)=MOD(COLUMN(DU126),4)),DU126:ER126)+SUMPRODUCT(--(MOD(COLUMN(ES126:FP126),4)=MOD(COLUMN(ES126),4)),ES126:FP126)</f>
        <v>0</v>
      </c>
      <c r="FS126" s="32">
        <f>SUMPRODUCT(--(MOD(COLUMN(DU126:ER126),4)=MOD(COLUMN(DU126),4)),DU126:ER126)*$I126+SUMPRODUCT(--(MOD(COLUMN(ES126:FP126),4)=MOD(COLUMN(ES126),4)),ES126:FP126)*$I126</f>
        <v>0</v>
      </c>
      <c r="FT126" s="361"/>
    </row>
    <row r="127" spans="1:176" outlineLevel="2">
      <c r="A127" s="413" t="s">
        <v>469</v>
      </c>
      <c r="B127" s="444" t="s">
        <v>51</v>
      </c>
      <c r="C127" s="587" t="s">
        <v>72</v>
      </c>
      <c r="D127" s="580" t="s">
        <v>32</v>
      </c>
      <c r="E127" s="414">
        <f>IF(ISBLANK(G127),"",IF($A$6:$A$330=$A127,COUNTIF($A$6:A127,$A127),""))</f>
        <v>22</v>
      </c>
      <c r="F127" s="284">
        <v>1</v>
      </c>
      <c r="G127" s="304">
        <v>4497120000</v>
      </c>
      <c r="H127" s="602" t="s">
        <v>100</v>
      </c>
      <c r="I127" s="616">
        <f t="shared" si="40"/>
        <v>66.666666666666671</v>
      </c>
      <c r="J127" s="616">
        <f>915/НДС</f>
        <v>750</v>
      </c>
      <c r="K127" s="333" t="s">
        <v>95</v>
      </c>
      <c r="L127" s="616">
        <f t="shared" si="41"/>
        <v>66.666666666666671</v>
      </c>
      <c r="M127" s="305"/>
      <c r="N127" s="305">
        <f t="shared" si="22"/>
        <v>1</v>
      </c>
      <c r="O127" s="322"/>
      <c r="P127" s="408"/>
      <c r="Q127" s="307"/>
      <c r="R127" s="408"/>
      <c r="S127" s="322"/>
      <c r="T127" s="408">
        <f>6+2</f>
        <v>8</v>
      </c>
      <c r="U127" s="307">
        <v>8</v>
      </c>
      <c r="V127" s="408"/>
      <c r="W127" s="322"/>
      <c r="X127" s="408"/>
      <c r="Y127" s="307"/>
      <c r="Z127" s="408"/>
      <c r="AA127" s="322"/>
      <c r="AB127" s="408"/>
      <c r="AC127" s="307"/>
      <c r="AD127" s="408"/>
      <c r="AE127" s="322"/>
      <c r="AF127" s="408"/>
      <c r="AG127" s="307"/>
      <c r="AH127" s="408"/>
      <c r="AI127" s="322"/>
      <c r="AJ127" s="408"/>
      <c r="AK127" s="307"/>
      <c r="AL127" s="408"/>
      <c r="AM127" s="322"/>
      <c r="AN127" s="408"/>
      <c r="AO127" s="307"/>
      <c r="AP127" s="408"/>
      <c r="AQ127" s="322"/>
      <c r="AR127" s="408"/>
      <c r="AS127" s="307"/>
      <c r="AT127" s="408"/>
      <c r="AU127" s="322"/>
      <c r="AV127" s="408"/>
      <c r="AW127" s="307"/>
      <c r="AX127" s="408"/>
      <c r="AY127" s="322"/>
      <c r="AZ127" s="408"/>
      <c r="BA127" s="307"/>
      <c r="BB127" s="408"/>
      <c r="BC127" s="322"/>
      <c r="BD127" s="408"/>
      <c r="BE127" s="307"/>
      <c r="BF127" s="408"/>
      <c r="BG127" s="322"/>
      <c r="BH127" s="408"/>
      <c r="BI127" s="307"/>
      <c r="BJ127" s="408"/>
      <c r="BK127" s="340"/>
      <c r="BL127" s="328">
        <f t="shared" si="23"/>
        <v>0</v>
      </c>
      <c r="BM127" s="328">
        <f t="shared" si="24"/>
        <v>0</v>
      </c>
      <c r="BN127" s="324">
        <f t="shared" si="25"/>
        <v>8</v>
      </c>
      <c r="BO127" s="325">
        <f t="shared" si="26"/>
        <v>533.33333333333337</v>
      </c>
      <c r="BP127" s="326">
        <f t="shared" si="27"/>
        <v>8</v>
      </c>
      <c r="BQ127" s="327">
        <f t="shared" si="28"/>
        <v>533.33333333333337</v>
      </c>
      <c r="BR127" s="329"/>
      <c r="BS127" s="329"/>
      <c r="BT127" s="322"/>
      <c r="BU127" s="408"/>
      <c r="BV127" s="307"/>
      <c r="BW127" s="408"/>
      <c r="BX127" s="322"/>
      <c r="BY127" s="408"/>
      <c r="BZ127" s="307"/>
      <c r="CA127" s="408"/>
      <c r="CB127" s="322"/>
      <c r="CC127" s="408"/>
      <c r="CD127" s="307"/>
      <c r="CE127" s="408"/>
      <c r="CF127" s="322"/>
      <c r="CG127" s="408"/>
      <c r="CH127" s="307"/>
      <c r="CI127" s="408"/>
      <c r="CJ127" s="322"/>
      <c r="CK127" s="408"/>
      <c r="CL127" s="307"/>
      <c r="CM127" s="408"/>
      <c r="CN127" s="322"/>
      <c r="CO127" s="408"/>
      <c r="CP127" s="307"/>
      <c r="CQ127" s="408"/>
      <c r="CR127" s="322"/>
      <c r="CS127" s="408"/>
      <c r="CT127" s="307"/>
      <c r="CU127" s="408"/>
      <c r="CV127" s="322"/>
      <c r="CW127" s="408"/>
      <c r="CX127" s="307"/>
      <c r="CY127" s="408"/>
      <c r="CZ127" s="322"/>
      <c r="DA127" s="408"/>
      <c r="DB127" s="307"/>
      <c r="DC127" s="408"/>
      <c r="DD127" s="322"/>
      <c r="DE127" s="408"/>
      <c r="DF127" s="307"/>
      <c r="DG127" s="408"/>
      <c r="DH127" s="322"/>
      <c r="DI127" s="408"/>
      <c r="DJ127" s="307"/>
      <c r="DK127" s="408"/>
      <c r="DL127" s="322"/>
      <c r="DM127" s="408"/>
      <c r="DN127" s="307"/>
      <c r="DO127" s="408"/>
      <c r="DP127" s="340"/>
      <c r="DQ127" s="328"/>
      <c r="DR127" s="328"/>
      <c r="DS127" s="329"/>
      <c r="DT127" s="329"/>
      <c r="DU127" s="322"/>
      <c r="DV127" s="408"/>
      <c r="DW127" s="307"/>
      <c r="DX127" s="408"/>
      <c r="DY127" s="322"/>
      <c r="DZ127" s="408"/>
      <c r="EA127" s="307"/>
      <c r="EB127" s="408"/>
      <c r="EC127" s="322"/>
      <c r="ED127" s="408"/>
      <c r="EE127" s="307"/>
      <c r="EF127" s="408"/>
      <c r="EG127" s="322"/>
      <c r="EH127" s="408"/>
      <c r="EI127" s="307"/>
      <c r="EJ127" s="408"/>
      <c r="EK127" s="322"/>
      <c r="EL127" s="408"/>
      <c r="EM127" s="307"/>
      <c r="EN127" s="408"/>
      <c r="EO127" s="322"/>
      <c r="EP127" s="408"/>
      <c r="EQ127" s="307"/>
      <c r="ER127" s="408"/>
      <c r="ES127" s="322"/>
      <c r="ET127" s="408"/>
      <c r="EU127" s="307"/>
      <c r="EV127" s="408"/>
      <c r="EW127" s="322"/>
      <c r="EX127" s="408"/>
      <c r="EY127" s="307"/>
      <c r="EZ127" s="408"/>
      <c r="FA127" s="322"/>
      <c r="FB127" s="408"/>
      <c r="FC127" s="307"/>
      <c r="FD127" s="408"/>
      <c r="FE127" s="322"/>
      <c r="FF127" s="408"/>
      <c r="FG127" s="307"/>
      <c r="FH127" s="408"/>
      <c r="FI127" s="322"/>
      <c r="FJ127" s="408"/>
      <c r="FK127" s="307"/>
      <c r="FL127" s="408"/>
      <c r="FM127" s="322"/>
      <c r="FN127" s="408"/>
      <c r="FO127" s="307"/>
      <c r="FP127" s="408"/>
      <c r="FQ127" s="340"/>
      <c r="FR127" s="328"/>
      <c r="FS127" s="328"/>
      <c r="FT127" s="361"/>
    </row>
    <row r="128" spans="1:176" outlineLevel="2">
      <c r="A128" s="375" t="s">
        <v>469</v>
      </c>
      <c r="B128" s="389" t="s">
        <v>51</v>
      </c>
      <c r="C128" s="432" t="s">
        <v>72</v>
      </c>
      <c r="D128" s="575" t="s">
        <v>32</v>
      </c>
      <c r="E128" s="284">
        <f>IF(ISBLANK(G128),"",IF($A$6:$A$330=$A128,COUNTIF($A$6:A128,$A128),""))</f>
        <v>23</v>
      </c>
      <c r="F128" s="284">
        <v>1</v>
      </c>
      <c r="G128" s="304">
        <v>4494430600</v>
      </c>
      <c r="H128" s="602" t="s">
        <v>136</v>
      </c>
      <c r="I128" s="616">
        <f>204.2/НДС</f>
        <v>167.37704918032787</v>
      </c>
      <c r="J128" s="616"/>
      <c r="K128" s="333"/>
      <c r="L128" s="616"/>
      <c r="M128" s="305"/>
      <c r="N128" s="305">
        <f t="shared" si="22"/>
        <v>1</v>
      </c>
      <c r="O128" s="322"/>
      <c r="P128" s="408"/>
      <c r="Q128" s="307"/>
      <c r="R128" s="408"/>
      <c r="S128" s="322"/>
      <c r="T128" s="408"/>
      <c r="U128" s="307"/>
      <c r="V128" s="408"/>
      <c r="W128" s="322"/>
      <c r="X128" s="408"/>
      <c r="Y128" s="307"/>
      <c r="Z128" s="408"/>
      <c r="AA128" s="322"/>
      <c r="AB128" s="408">
        <f>1</f>
        <v>1</v>
      </c>
      <c r="AC128" s="307">
        <v>1</v>
      </c>
      <c r="AD128" s="408"/>
      <c r="AE128" s="322"/>
      <c r="AF128" s="408"/>
      <c r="AG128" s="307"/>
      <c r="AH128" s="408"/>
      <c r="AI128" s="322"/>
      <c r="AJ128" s="408"/>
      <c r="AK128" s="307"/>
      <c r="AL128" s="408"/>
      <c r="AM128" s="322"/>
      <c r="AN128" s="408"/>
      <c r="AO128" s="307"/>
      <c r="AP128" s="408"/>
      <c r="AQ128" s="322"/>
      <c r="AR128" s="408"/>
      <c r="AS128" s="307"/>
      <c r="AT128" s="408"/>
      <c r="AU128" s="322"/>
      <c r="AV128" s="408"/>
      <c r="AW128" s="307"/>
      <c r="AX128" s="408"/>
      <c r="AY128" s="322"/>
      <c r="AZ128" s="408"/>
      <c r="BA128" s="307"/>
      <c r="BB128" s="408"/>
      <c r="BC128" s="322"/>
      <c r="BD128" s="408"/>
      <c r="BE128" s="307"/>
      <c r="BF128" s="408"/>
      <c r="BG128" s="322"/>
      <c r="BH128" s="408"/>
      <c r="BI128" s="307"/>
      <c r="BJ128" s="408"/>
      <c r="BK128" s="340"/>
      <c r="BL128" s="328">
        <f t="shared" si="23"/>
        <v>0</v>
      </c>
      <c r="BM128" s="328">
        <f t="shared" si="24"/>
        <v>0</v>
      </c>
      <c r="BN128" s="324">
        <f t="shared" si="25"/>
        <v>1</v>
      </c>
      <c r="BO128" s="325">
        <f t="shared" si="26"/>
        <v>167.37704918032787</v>
      </c>
      <c r="BP128" s="326">
        <f t="shared" si="27"/>
        <v>1</v>
      </c>
      <c r="BQ128" s="327">
        <f t="shared" si="28"/>
        <v>167.37704918032787</v>
      </c>
      <c r="BR128" s="329"/>
      <c r="BS128" s="329"/>
      <c r="BT128" s="322"/>
      <c r="BU128" s="408"/>
      <c r="BV128" s="307"/>
      <c r="BW128" s="408"/>
      <c r="BX128" s="322"/>
      <c r="BY128" s="408"/>
      <c r="BZ128" s="307"/>
      <c r="CA128" s="408"/>
      <c r="CB128" s="322"/>
      <c r="CC128" s="408"/>
      <c r="CD128" s="307"/>
      <c r="CE128" s="408"/>
      <c r="CF128" s="322"/>
      <c r="CG128" s="408"/>
      <c r="CH128" s="307"/>
      <c r="CI128" s="408"/>
      <c r="CJ128" s="322"/>
      <c r="CK128" s="408"/>
      <c r="CL128" s="307"/>
      <c r="CM128" s="408"/>
      <c r="CN128" s="322"/>
      <c r="CO128" s="408"/>
      <c r="CP128" s="307"/>
      <c r="CQ128" s="408"/>
      <c r="CR128" s="322"/>
      <c r="CS128" s="408"/>
      <c r="CT128" s="307"/>
      <c r="CU128" s="408"/>
      <c r="CV128" s="322"/>
      <c r="CW128" s="408"/>
      <c r="CX128" s="307"/>
      <c r="CY128" s="408"/>
      <c r="CZ128" s="322"/>
      <c r="DA128" s="408"/>
      <c r="DB128" s="307"/>
      <c r="DC128" s="408"/>
      <c r="DD128" s="322"/>
      <c r="DE128" s="408"/>
      <c r="DF128" s="307"/>
      <c r="DG128" s="408"/>
      <c r="DH128" s="322"/>
      <c r="DI128" s="408"/>
      <c r="DJ128" s="307"/>
      <c r="DK128" s="408"/>
      <c r="DL128" s="322"/>
      <c r="DM128" s="408"/>
      <c r="DN128" s="307"/>
      <c r="DO128" s="408"/>
      <c r="DP128" s="340"/>
      <c r="DQ128" s="328"/>
      <c r="DR128" s="328"/>
      <c r="DS128" s="329"/>
      <c r="DT128" s="329"/>
      <c r="DU128" s="322"/>
      <c r="DV128" s="408"/>
      <c r="DW128" s="307"/>
      <c r="DX128" s="408"/>
      <c r="DY128" s="322"/>
      <c r="DZ128" s="408"/>
      <c r="EA128" s="307"/>
      <c r="EB128" s="408"/>
      <c r="EC128" s="322"/>
      <c r="ED128" s="408"/>
      <c r="EE128" s="307"/>
      <c r="EF128" s="408"/>
      <c r="EG128" s="322"/>
      <c r="EH128" s="408"/>
      <c r="EI128" s="307"/>
      <c r="EJ128" s="408"/>
      <c r="EK128" s="322"/>
      <c r="EL128" s="408"/>
      <c r="EM128" s="307"/>
      <c r="EN128" s="408"/>
      <c r="EO128" s="322"/>
      <c r="EP128" s="408"/>
      <c r="EQ128" s="307"/>
      <c r="ER128" s="408"/>
      <c r="ES128" s="322"/>
      <c r="ET128" s="408"/>
      <c r="EU128" s="307"/>
      <c r="EV128" s="408"/>
      <c r="EW128" s="322"/>
      <c r="EX128" s="408"/>
      <c r="EY128" s="307"/>
      <c r="EZ128" s="408"/>
      <c r="FA128" s="322"/>
      <c r="FB128" s="408"/>
      <c r="FC128" s="307"/>
      <c r="FD128" s="408"/>
      <c r="FE128" s="322"/>
      <c r="FF128" s="408"/>
      <c r="FG128" s="307"/>
      <c r="FH128" s="408"/>
      <c r="FI128" s="322"/>
      <c r="FJ128" s="408"/>
      <c r="FK128" s="307"/>
      <c r="FL128" s="408"/>
      <c r="FM128" s="322"/>
      <c r="FN128" s="408"/>
      <c r="FO128" s="307"/>
      <c r="FP128" s="408"/>
      <c r="FQ128" s="340"/>
      <c r="FR128" s="328"/>
      <c r="FS128" s="328"/>
      <c r="FT128" s="361"/>
    </row>
    <row r="129" spans="1:176" s="574" customFormat="1" outlineLevel="2">
      <c r="A129" s="589" t="s">
        <v>469</v>
      </c>
      <c r="B129" s="589" t="s">
        <v>51</v>
      </c>
      <c r="C129" s="590" t="s">
        <v>72</v>
      </c>
      <c r="D129" s="589" t="s">
        <v>32</v>
      </c>
      <c r="E129" s="584">
        <f>IF(ISBLANK(G129),"",IF($A$6:$A$330=$A129,COUNTIF($A$6:A129,$A129),""))</f>
        <v>24</v>
      </c>
      <c r="F129" s="566" t="s">
        <v>89</v>
      </c>
      <c r="G129" s="591" t="s">
        <v>130</v>
      </c>
      <c r="H129" s="609" t="s">
        <v>131</v>
      </c>
      <c r="I129" s="621">
        <f t="shared" ref="I129:I134" si="42">5032.5/НДС</f>
        <v>4125</v>
      </c>
      <c r="J129" s="618"/>
      <c r="K129" s="126"/>
      <c r="L129" s="618" t="str">
        <f>IF(K129="RUB",J129/ЮАНЬ,IF(K129="EUR",J129*ЕВРО/ЮАНЬ,""))</f>
        <v/>
      </c>
      <c r="M129" s="568"/>
      <c r="N129" s="353">
        <f t="shared" si="22"/>
        <v>0</v>
      </c>
      <c r="O129" s="569">
        <v>30</v>
      </c>
      <c r="P129" s="570"/>
      <c r="Q129" s="571"/>
      <c r="R129" s="570"/>
      <c r="S129" s="569">
        <v>30</v>
      </c>
      <c r="T129" s="570"/>
      <c r="U129" s="571"/>
      <c r="V129" s="570"/>
      <c r="W129" s="569">
        <v>30</v>
      </c>
      <c r="X129" s="570"/>
      <c r="Y129" s="571"/>
      <c r="Z129" s="570"/>
      <c r="AA129" s="569">
        <v>15</v>
      </c>
      <c r="AB129" s="570"/>
      <c r="AC129" s="571"/>
      <c r="AD129" s="570"/>
      <c r="AE129" s="569">
        <v>15</v>
      </c>
      <c r="AF129" s="570"/>
      <c r="AG129" s="571"/>
      <c r="AH129" s="570"/>
      <c r="AI129" s="569">
        <v>15</v>
      </c>
      <c r="AJ129" s="570"/>
      <c r="AK129" s="571"/>
      <c r="AL129" s="570"/>
      <c r="AM129" s="569">
        <v>15</v>
      </c>
      <c r="AN129" s="570"/>
      <c r="AO129" s="571"/>
      <c r="AP129" s="570"/>
      <c r="AQ129" s="569">
        <v>15</v>
      </c>
      <c r="AR129" s="570"/>
      <c r="AS129" s="571"/>
      <c r="AT129" s="570"/>
      <c r="AU129" s="569">
        <v>15</v>
      </c>
      <c r="AV129" s="570"/>
      <c r="AW129" s="571"/>
      <c r="AX129" s="570"/>
      <c r="AY129" s="569">
        <v>15</v>
      </c>
      <c r="AZ129" s="570"/>
      <c r="BA129" s="571"/>
      <c r="BB129" s="570"/>
      <c r="BC129" s="569">
        <v>15</v>
      </c>
      <c r="BD129" s="570"/>
      <c r="BE129" s="571"/>
      <c r="BF129" s="570"/>
      <c r="BG129" s="569">
        <v>15</v>
      </c>
      <c r="BH129" s="570"/>
      <c r="BI129" s="571"/>
      <c r="BJ129" s="570"/>
      <c r="BK129" s="572"/>
      <c r="BL129" s="32">
        <f t="shared" si="23"/>
        <v>225</v>
      </c>
      <c r="BM129" s="32">
        <f t="shared" si="24"/>
        <v>928125</v>
      </c>
      <c r="BN129" s="28">
        <f t="shared" si="25"/>
        <v>0</v>
      </c>
      <c r="BO129" s="29">
        <f t="shared" si="26"/>
        <v>0</v>
      </c>
      <c r="BP129" s="30">
        <f t="shared" si="27"/>
        <v>0</v>
      </c>
      <c r="BQ129" s="31">
        <f t="shared" si="28"/>
        <v>0</v>
      </c>
      <c r="BR129" s="11"/>
      <c r="BS129" s="329"/>
      <c r="BT129" s="569">
        <v>30</v>
      </c>
      <c r="BU129" s="570"/>
      <c r="BV129" s="571"/>
      <c r="BW129" s="570"/>
      <c r="BX129" s="569">
        <v>30</v>
      </c>
      <c r="BY129" s="570"/>
      <c r="BZ129" s="571"/>
      <c r="CA129" s="570"/>
      <c r="CB129" s="569">
        <v>30</v>
      </c>
      <c r="CC129" s="570"/>
      <c r="CD129" s="571"/>
      <c r="CE129" s="570"/>
      <c r="CF129" s="569">
        <v>30</v>
      </c>
      <c r="CG129" s="570"/>
      <c r="CH129" s="571"/>
      <c r="CI129" s="570"/>
      <c r="CJ129" s="569">
        <v>30</v>
      </c>
      <c r="CK129" s="570"/>
      <c r="CL129" s="571"/>
      <c r="CM129" s="570"/>
      <c r="CN129" s="569">
        <v>30</v>
      </c>
      <c r="CO129" s="570"/>
      <c r="CP129" s="571"/>
      <c r="CQ129" s="570"/>
      <c r="CR129" s="569">
        <v>30</v>
      </c>
      <c r="CS129" s="570"/>
      <c r="CT129" s="571"/>
      <c r="CU129" s="570"/>
      <c r="CV129" s="569">
        <v>30</v>
      </c>
      <c r="CW129" s="570"/>
      <c r="CX129" s="571"/>
      <c r="CY129" s="570"/>
      <c r="CZ129" s="569">
        <v>30</v>
      </c>
      <c r="DA129" s="570"/>
      <c r="DB129" s="571"/>
      <c r="DC129" s="570"/>
      <c r="DD129" s="569">
        <v>30</v>
      </c>
      <c r="DE129" s="570"/>
      <c r="DF129" s="571"/>
      <c r="DG129" s="570"/>
      <c r="DH129" s="569">
        <v>30</v>
      </c>
      <c r="DI129" s="570"/>
      <c r="DJ129" s="571"/>
      <c r="DK129" s="570"/>
      <c r="DL129" s="569">
        <v>30</v>
      </c>
      <c r="DM129" s="570"/>
      <c r="DN129" s="571"/>
      <c r="DO129" s="570"/>
      <c r="DP129" s="572"/>
      <c r="DQ129" s="32">
        <f>SUMPRODUCT(--(MOD(COLUMN(BT129:CQ129),4)=MOD(COLUMN(BT129),4)),BT129:CQ129)+SUMPRODUCT(--(MOD(COLUMN(CR129:DO129),4)=MOD(COLUMN(CR129),4)),CR129:DO129)</f>
        <v>360</v>
      </c>
      <c r="DR129" s="32">
        <f t="shared" ref="DR129:DR142" si="43">SUMPRODUCT(--(MOD(COLUMN(BT129:CQ129),4)=MOD(COLUMN(BT129),4)),BT129:CQ129)*$I129+SUMPRODUCT(--(MOD(COLUMN(CR129:DO129),4)=MOD(COLUMN(CR129),4)),CR129:DO129)*$I129</f>
        <v>1485000</v>
      </c>
      <c r="DS129" s="11"/>
      <c r="DT129" s="329"/>
      <c r="DU129" s="569">
        <v>40</v>
      </c>
      <c r="DV129" s="570"/>
      <c r="DW129" s="571"/>
      <c r="DX129" s="570"/>
      <c r="DY129" s="569">
        <v>40</v>
      </c>
      <c r="DZ129" s="570"/>
      <c r="EA129" s="571"/>
      <c r="EB129" s="570"/>
      <c r="EC129" s="569">
        <v>40</v>
      </c>
      <c r="ED129" s="570"/>
      <c r="EE129" s="571"/>
      <c r="EF129" s="570"/>
      <c r="EG129" s="569">
        <v>40</v>
      </c>
      <c r="EH129" s="570"/>
      <c r="EI129" s="571"/>
      <c r="EJ129" s="570"/>
      <c r="EK129" s="569">
        <v>40</v>
      </c>
      <c r="EL129" s="570"/>
      <c r="EM129" s="571"/>
      <c r="EN129" s="570"/>
      <c r="EO129" s="569">
        <v>40</v>
      </c>
      <c r="EP129" s="570"/>
      <c r="EQ129" s="571"/>
      <c r="ER129" s="570"/>
      <c r="ES129" s="569">
        <v>40</v>
      </c>
      <c r="ET129" s="570"/>
      <c r="EU129" s="571"/>
      <c r="EV129" s="570"/>
      <c r="EW129" s="569">
        <v>40</v>
      </c>
      <c r="EX129" s="570"/>
      <c r="EY129" s="571"/>
      <c r="EZ129" s="570"/>
      <c r="FA129" s="569">
        <v>40</v>
      </c>
      <c r="FB129" s="570"/>
      <c r="FC129" s="571"/>
      <c r="FD129" s="570"/>
      <c r="FE129" s="569">
        <v>40</v>
      </c>
      <c r="FF129" s="570"/>
      <c r="FG129" s="571"/>
      <c r="FH129" s="570"/>
      <c r="FI129" s="569">
        <v>40</v>
      </c>
      <c r="FJ129" s="570"/>
      <c r="FK129" s="571"/>
      <c r="FL129" s="570"/>
      <c r="FM129" s="569">
        <v>40</v>
      </c>
      <c r="FN129" s="570"/>
      <c r="FO129" s="571"/>
      <c r="FP129" s="570"/>
      <c r="FQ129" s="572"/>
      <c r="FR129" s="32">
        <f>SUMPRODUCT(--(MOD(COLUMN(DU129:ER129),4)=MOD(COLUMN(DU129),4)),DU129:ER129)+SUMPRODUCT(--(MOD(COLUMN(ES129:FP129),4)=MOD(COLUMN(ES129),4)),ES129:FP129)</f>
        <v>480</v>
      </c>
      <c r="FS129" s="32">
        <f t="shared" ref="FS129:FS142" si="44">SUMPRODUCT(--(MOD(COLUMN(DU129:ER129),4)=MOD(COLUMN(DU129),4)),DU129:ER129)*$I129+SUMPRODUCT(--(MOD(COLUMN(ES129:FP129),4)=MOD(COLUMN(ES129),4)),ES129:FP129)*$I129</f>
        <v>1980000</v>
      </c>
      <c r="FT129" s="573"/>
    </row>
    <row r="130" spans="1:176" s="574" customFormat="1" outlineLevel="2">
      <c r="A130" s="580" t="s">
        <v>469</v>
      </c>
      <c r="B130" s="580" t="s">
        <v>51</v>
      </c>
      <c r="C130" s="587" t="s">
        <v>72</v>
      </c>
      <c r="D130" s="580" t="s">
        <v>32</v>
      </c>
      <c r="E130" s="588">
        <f>IF(ISBLANK(G130),"",IF($A$6:$A$330=$A130,COUNTIF($A$6:A130,$A130),""))</f>
        <v>25</v>
      </c>
      <c r="F130" s="671" t="s">
        <v>89</v>
      </c>
      <c r="G130" s="331">
        <v>4441000120</v>
      </c>
      <c r="H130" s="606" t="s">
        <v>435</v>
      </c>
      <c r="I130" s="621">
        <f t="shared" si="42"/>
        <v>4125</v>
      </c>
      <c r="J130" s="619"/>
      <c r="K130" s="321"/>
      <c r="L130" s="619"/>
      <c r="M130" s="353"/>
      <c r="N130" s="353">
        <f t="shared" si="22"/>
        <v>0</v>
      </c>
      <c r="O130" s="578"/>
      <c r="P130" s="498"/>
      <c r="Q130" s="579"/>
      <c r="R130" s="498"/>
      <c r="S130" s="578"/>
      <c r="T130" s="498"/>
      <c r="U130" s="579"/>
      <c r="V130" s="498"/>
      <c r="W130" s="578"/>
      <c r="X130" s="498"/>
      <c r="Y130" s="579"/>
      <c r="Z130" s="498"/>
      <c r="AA130" s="578"/>
      <c r="AB130" s="498"/>
      <c r="AC130" s="579"/>
      <c r="AD130" s="498"/>
      <c r="AE130" s="578"/>
      <c r="AF130" s="498"/>
      <c r="AG130" s="579"/>
      <c r="AH130" s="498"/>
      <c r="AI130" s="578"/>
      <c r="AJ130" s="498"/>
      <c r="AK130" s="579"/>
      <c r="AL130" s="498"/>
      <c r="AM130" s="578"/>
      <c r="AN130" s="498"/>
      <c r="AO130" s="579"/>
      <c r="AP130" s="498"/>
      <c r="AQ130" s="578"/>
      <c r="AR130" s="498"/>
      <c r="AS130" s="579"/>
      <c r="AT130" s="498"/>
      <c r="AU130" s="578"/>
      <c r="AV130" s="498"/>
      <c r="AW130" s="579"/>
      <c r="AX130" s="498"/>
      <c r="AY130" s="578"/>
      <c r="AZ130" s="498"/>
      <c r="BA130" s="579"/>
      <c r="BB130" s="498"/>
      <c r="BC130" s="578"/>
      <c r="BD130" s="498"/>
      <c r="BE130" s="579"/>
      <c r="BF130" s="498"/>
      <c r="BG130" s="578"/>
      <c r="BH130" s="498"/>
      <c r="BI130" s="579"/>
      <c r="BJ130" s="498"/>
      <c r="BK130" s="572"/>
      <c r="BL130" s="328">
        <f t="shared" si="23"/>
        <v>0</v>
      </c>
      <c r="BM130" s="328">
        <f t="shared" si="24"/>
        <v>0</v>
      </c>
      <c r="BN130" s="324">
        <f t="shared" si="25"/>
        <v>0</v>
      </c>
      <c r="BO130" s="325">
        <f t="shared" si="26"/>
        <v>0</v>
      </c>
      <c r="BP130" s="326">
        <f t="shared" si="27"/>
        <v>0</v>
      </c>
      <c r="BQ130" s="327">
        <f t="shared" si="28"/>
        <v>0</v>
      </c>
      <c r="BR130" s="329"/>
      <c r="BS130" s="329"/>
      <c r="BT130" s="578"/>
      <c r="BU130" s="498"/>
      <c r="BV130" s="579"/>
      <c r="BW130" s="498"/>
      <c r="BX130" s="578"/>
      <c r="BY130" s="498"/>
      <c r="BZ130" s="579"/>
      <c r="CA130" s="498"/>
      <c r="CB130" s="578"/>
      <c r="CC130" s="498"/>
      <c r="CD130" s="579"/>
      <c r="CE130" s="498"/>
      <c r="CF130" s="578"/>
      <c r="CG130" s="498"/>
      <c r="CH130" s="579"/>
      <c r="CI130" s="498"/>
      <c r="CJ130" s="578"/>
      <c r="CK130" s="498"/>
      <c r="CL130" s="579"/>
      <c r="CM130" s="498"/>
      <c r="CN130" s="578"/>
      <c r="CO130" s="498"/>
      <c r="CP130" s="579"/>
      <c r="CQ130" s="498"/>
      <c r="CR130" s="578"/>
      <c r="CS130" s="498"/>
      <c r="CT130" s="579"/>
      <c r="CU130" s="498"/>
      <c r="CV130" s="578"/>
      <c r="CW130" s="498"/>
      <c r="CX130" s="579"/>
      <c r="CY130" s="498"/>
      <c r="CZ130" s="578"/>
      <c r="DA130" s="498"/>
      <c r="DB130" s="579"/>
      <c r="DC130" s="498"/>
      <c r="DD130" s="578"/>
      <c r="DE130" s="498"/>
      <c r="DF130" s="579"/>
      <c r="DG130" s="498"/>
      <c r="DH130" s="578"/>
      <c r="DI130" s="498"/>
      <c r="DJ130" s="579"/>
      <c r="DK130" s="498"/>
      <c r="DL130" s="578"/>
      <c r="DM130" s="498"/>
      <c r="DN130" s="579"/>
      <c r="DO130" s="498"/>
      <c r="DP130" s="572"/>
      <c r="DQ130" s="328"/>
      <c r="DR130" s="328">
        <f t="shared" si="43"/>
        <v>0</v>
      </c>
      <c r="DS130" s="329"/>
      <c r="DT130" s="329"/>
      <c r="DU130" s="578"/>
      <c r="DV130" s="498"/>
      <c r="DW130" s="579"/>
      <c r="DX130" s="498"/>
      <c r="DY130" s="578"/>
      <c r="DZ130" s="498"/>
      <c r="EA130" s="579"/>
      <c r="EB130" s="498"/>
      <c r="EC130" s="578"/>
      <c r="ED130" s="498"/>
      <c r="EE130" s="579"/>
      <c r="EF130" s="498"/>
      <c r="EG130" s="578"/>
      <c r="EH130" s="498"/>
      <c r="EI130" s="579"/>
      <c r="EJ130" s="498"/>
      <c r="EK130" s="578"/>
      <c r="EL130" s="498"/>
      <c r="EM130" s="579"/>
      <c r="EN130" s="498"/>
      <c r="EO130" s="578"/>
      <c r="EP130" s="498"/>
      <c r="EQ130" s="579"/>
      <c r="ER130" s="498"/>
      <c r="ES130" s="578"/>
      <c r="ET130" s="498"/>
      <c r="EU130" s="579"/>
      <c r="EV130" s="498"/>
      <c r="EW130" s="578"/>
      <c r="EX130" s="498"/>
      <c r="EY130" s="579"/>
      <c r="EZ130" s="498"/>
      <c r="FA130" s="578"/>
      <c r="FB130" s="498"/>
      <c r="FC130" s="579"/>
      <c r="FD130" s="498"/>
      <c r="FE130" s="578"/>
      <c r="FF130" s="498"/>
      <c r="FG130" s="579"/>
      <c r="FH130" s="498"/>
      <c r="FI130" s="578"/>
      <c r="FJ130" s="498"/>
      <c r="FK130" s="579"/>
      <c r="FL130" s="498"/>
      <c r="FM130" s="578"/>
      <c r="FN130" s="498"/>
      <c r="FO130" s="579"/>
      <c r="FP130" s="498"/>
      <c r="FQ130" s="572"/>
      <c r="FR130" s="328"/>
      <c r="FS130" s="328">
        <f t="shared" si="44"/>
        <v>0</v>
      </c>
      <c r="FT130" s="573"/>
    </row>
    <row r="131" spans="1:176" s="574" customFormat="1" outlineLevel="2">
      <c r="A131" s="580" t="s">
        <v>469</v>
      </c>
      <c r="B131" s="580" t="s">
        <v>51</v>
      </c>
      <c r="C131" s="587" t="s">
        <v>72</v>
      </c>
      <c r="D131" s="580" t="s">
        <v>32</v>
      </c>
      <c r="E131" s="588">
        <f>IF(ISBLANK(G131),"",IF($A$6:$A$330=$A131,COUNTIF($A$6:A131,$A131),""))</f>
        <v>26</v>
      </c>
      <c r="F131" s="671" t="s">
        <v>89</v>
      </c>
      <c r="G131" s="331">
        <v>4441000480</v>
      </c>
      <c r="H131" s="606" t="s">
        <v>435</v>
      </c>
      <c r="I131" s="621">
        <f t="shared" si="42"/>
        <v>4125</v>
      </c>
      <c r="J131" s="619"/>
      <c r="K131" s="321"/>
      <c r="L131" s="619"/>
      <c r="M131" s="353"/>
      <c r="N131" s="353">
        <f t="shared" si="22"/>
        <v>0</v>
      </c>
      <c r="O131" s="578"/>
      <c r="P131" s="498"/>
      <c r="Q131" s="579"/>
      <c r="R131" s="498"/>
      <c r="S131" s="578"/>
      <c r="T131" s="498"/>
      <c r="U131" s="579"/>
      <c r="V131" s="498"/>
      <c r="W131" s="578"/>
      <c r="X131" s="498"/>
      <c r="Y131" s="579"/>
      <c r="Z131" s="498"/>
      <c r="AA131" s="578"/>
      <c r="AB131" s="498"/>
      <c r="AC131" s="579"/>
      <c r="AD131" s="498"/>
      <c r="AE131" s="578"/>
      <c r="AF131" s="498"/>
      <c r="AG131" s="579"/>
      <c r="AH131" s="498"/>
      <c r="AI131" s="578"/>
      <c r="AJ131" s="498"/>
      <c r="AK131" s="579"/>
      <c r="AL131" s="498"/>
      <c r="AM131" s="578"/>
      <c r="AN131" s="498"/>
      <c r="AO131" s="579"/>
      <c r="AP131" s="498"/>
      <c r="AQ131" s="578"/>
      <c r="AR131" s="498"/>
      <c r="AS131" s="579"/>
      <c r="AT131" s="498"/>
      <c r="AU131" s="578"/>
      <c r="AV131" s="498"/>
      <c r="AW131" s="579"/>
      <c r="AX131" s="498"/>
      <c r="AY131" s="578"/>
      <c r="AZ131" s="498"/>
      <c r="BA131" s="579"/>
      <c r="BB131" s="498"/>
      <c r="BC131" s="578"/>
      <c r="BD131" s="498"/>
      <c r="BE131" s="579"/>
      <c r="BF131" s="498"/>
      <c r="BG131" s="578"/>
      <c r="BH131" s="498"/>
      <c r="BI131" s="579"/>
      <c r="BJ131" s="498"/>
      <c r="BK131" s="572"/>
      <c r="BL131" s="328">
        <f t="shared" si="23"/>
        <v>0</v>
      </c>
      <c r="BM131" s="328">
        <f t="shared" si="24"/>
        <v>0</v>
      </c>
      <c r="BN131" s="324">
        <f t="shared" si="25"/>
        <v>0</v>
      </c>
      <c r="BO131" s="325">
        <f t="shared" si="26"/>
        <v>0</v>
      </c>
      <c r="BP131" s="326">
        <f t="shared" si="27"/>
        <v>0</v>
      </c>
      <c r="BQ131" s="327">
        <f t="shared" si="28"/>
        <v>0</v>
      </c>
      <c r="BR131" s="329"/>
      <c r="BS131" s="329"/>
      <c r="BT131" s="578"/>
      <c r="BU131" s="498"/>
      <c r="BV131" s="579"/>
      <c r="BW131" s="498"/>
      <c r="BX131" s="578"/>
      <c r="BY131" s="498"/>
      <c r="BZ131" s="579"/>
      <c r="CA131" s="498"/>
      <c r="CB131" s="578"/>
      <c r="CC131" s="498"/>
      <c r="CD131" s="579"/>
      <c r="CE131" s="498"/>
      <c r="CF131" s="578"/>
      <c r="CG131" s="498"/>
      <c r="CH131" s="579"/>
      <c r="CI131" s="498"/>
      <c r="CJ131" s="578"/>
      <c r="CK131" s="498"/>
      <c r="CL131" s="579"/>
      <c r="CM131" s="498"/>
      <c r="CN131" s="578"/>
      <c r="CO131" s="498"/>
      <c r="CP131" s="579"/>
      <c r="CQ131" s="498"/>
      <c r="CR131" s="578"/>
      <c r="CS131" s="498"/>
      <c r="CT131" s="579"/>
      <c r="CU131" s="498"/>
      <c r="CV131" s="578"/>
      <c r="CW131" s="498"/>
      <c r="CX131" s="579"/>
      <c r="CY131" s="498"/>
      <c r="CZ131" s="578"/>
      <c r="DA131" s="498"/>
      <c r="DB131" s="579"/>
      <c r="DC131" s="498"/>
      <c r="DD131" s="578"/>
      <c r="DE131" s="498"/>
      <c r="DF131" s="579"/>
      <c r="DG131" s="498"/>
      <c r="DH131" s="578"/>
      <c r="DI131" s="498"/>
      <c r="DJ131" s="579"/>
      <c r="DK131" s="498"/>
      <c r="DL131" s="578"/>
      <c r="DM131" s="498"/>
      <c r="DN131" s="579"/>
      <c r="DO131" s="498"/>
      <c r="DP131" s="572"/>
      <c r="DQ131" s="328"/>
      <c r="DR131" s="328">
        <f t="shared" si="43"/>
        <v>0</v>
      </c>
      <c r="DS131" s="329"/>
      <c r="DT131" s="329"/>
      <c r="DU131" s="578"/>
      <c r="DV131" s="498"/>
      <c r="DW131" s="579"/>
      <c r="DX131" s="498"/>
      <c r="DY131" s="578"/>
      <c r="DZ131" s="498"/>
      <c r="EA131" s="579"/>
      <c r="EB131" s="498"/>
      <c r="EC131" s="578"/>
      <c r="ED131" s="498"/>
      <c r="EE131" s="579"/>
      <c r="EF131" s="498"/>
      <c r="EG131" s="578"/>
      <c r="EH131" s="498"/>
      <c r="EI131" s="579"/>
      <c r="EJ131" s="498"/>
      <c r="EK131" s="578"/>
      <c r="EL131" s="498"/>
      <c r="EM131" s="579"/>
      <c r="EN131" s="498"/>
      <c r="EO131" s="578"/>
      <c r="EP131" s="498"/>
      <c r="EQ131" s="579"/>
      <c r="ER131" s="498"/>
      <c r="ES131" s="578"/>
      <c r="ET131" s="498"/>
      <c r="EU131" s="579"/>
      <c r="EV131" s="498"/>
      <c r="EW131" s="578"/>
      <c r="EX131" s="498"/>
      <c r="EY131" s="579"/>
      <c r="EZ131" s="498"/>
      <c r="FA131" s="578"/>
      <c r="FB131" s="498"/>
      <c r="FC131" s="579"/>
      <c r="FD131" s="498"/>
      <c r="FE131" s="578"/>
      <c r="FF131" s="498"/>
      <c r="FG131" s="579"/>
      <c r="FH131" s="498"/>
      <c r="FI131" s="578"/>
      <c r="FJ131" s="498"/>
      <c r="FK131" s="579"/>
      <c r="FL131" s="498"/>
      <c r="FM131" s="578"/>
      <c r="FN131" s="498"/>
      <c r="FO131" s="579"/>
      <c r="FP131" s="498"/>
      <c r="FQ131" s="572"/>
      <c r="FR131" s="328"/>
      <c r="FS131" s="328">
        <f t="shared" si="44"/>
        <v>0</v>
      </c>
      <c r="FT131" s="573"/>
    </row>
    <row r="132" spans="1:176" s="574" customFormat="1" outlineLevel="2">
      <c r="A132" s="580" t="s">
        <v>469</v>
      </c>
      <c r="B132" s="580" t="s">
        <v>51</v>
      </c>
      <c r="C132" s="587" t="s">
        <v>72</v>
      </c>
      <c r="D132" s="580" t="s">
        <v>32</v>
      </c>
      <c r="E132" s="588">
        <f>IF(ISBLANK(G132),"",IF($A$6:$A$330=$A132,COUNTIF($A$6:A132,$A132),""))</f>
        <v>27</v>
      </c>
      <c r="F132" s="671" t="s">
        <v>89</v>
      </c>
      <c r="G132" s="331">
        <v>4441000050</v>
      </c>
      <c r="H132" s="606" t="s">
        <v>432</v>
      </c>
      <c r="I132" s="621">
        <f t="shared" si="42"/>
        <v>4125</v>
      </c>
      <c r="J132" s="619"/>
      <c r="K132" s="321"/>
      <c r="L132" s="619"/>
      <c r="M132" s="353"/>
      <c r="N132" s="353">
        <f t="shared" si="22"/>
        <v>2</v>
      </c>
      <c r="O132" s="578"/>
      <c r="P132" s="498"/>
      <c r="Q132" s="579"/>
      <c r="R132" s="498"/>
      <c r="S132" s="578"/>
      <c r="T132" s="498"/>
      <c r="U132" s="579"/>
      <c r="V132" s="498"/>
      <c r="W132" s="578"/>
      <c r="X132" s="498"/>
      <c r="Y132" s="579"/>
      <c r="Z132" s="498"/>
      <c r="AA132" s="578"/>
      <c r="AB132" s="498"/>
      <c r="AC132" s="579"/>
      <c r="AD132" s="498"/>
      <c r="AE132" s="578"/>
      <c r="AF132" s="498"/>
      <c r="AG132" s="579"/>
      <c r="AH132" s="498"/>
      <c r="AI132" s="578"/>
      <c r="AJ132" s="498"/>
      <c r="AK132" s="579"/>
      <c r="AL132" s="498"/>
      <c r="AM132" s="578"/>
      <c r="AN132" s="498"/>
      <c r="AO132" s="579"/>
      <c r="AP132" s="498"/>
      <c r="AQ132" s="578"/>
      <c r="AR132" s="498"/>
      <c r="AS132" s="579"/>
      <c r="AT132" s="498"/>
      <c r="AU132" s="578"/>
      <c r="AV132" s="498">
        <v>5</v>
      </c>
      <c r="AW132" s="579"/>
      <c r="AX132" s="498"/>
      <c r="AY132" s="578"/>
      <c r="AZ132" s="498">
        <v>15</v>
      </c>
      <c r="BA132" s="579"/>
      <c r="BB132" s="498"/>
      <c r="BC132" s="578"/>
      <c r="BD132" s="498">
        <v>15</v>
      </c>
      <c r="BE132" s="579"/>
      <c r="BF132" s="498"/>
      <c r="BG132" s="578"/>
      <c r="BH132" s="498">
        <v>15</v>
      </c>
      <c r="BI132" s="579"/>
      <c r="BJ132" s="498"/>
      <c r="BK132" s="572"/>
      <c r="BL132" s="328">
        <f t="shared" si="23"/>
        <v>0</v>
      </c>
      <c r="BM132" s="328">
        <f t="shared" si="24"/>
        <v>0</v>
      </c>
      <c r="BN132" s="324">
        <f t="shared" si="25"/>
        <v>50</v>
      </c>
      <c r="BO132" s="325">
        <f t="shared" si="26"/>
        <v>206250</v>
      </c>
      <c r="BP132" s="326">
        <f t="shared" si="27"/>
        <v>0</v>
      </c>
      <c r="BQ132" s="327">
        <f t="shared" si="28"/>
        <v>0</v>
      </c>
      <c r="BR132" s="329"/>
      <c r="BS132" s="329"/>
      <c r="BT132" s="578"/>
      <c r="BU132" s="498"/>
      <c r="BV132" s="579"/>
      <c r="BW132" s="498"/>
      <c r="BX132" s="578"/>
      <c r="BY132" s="498"/>
      <c r="BZ132" s="579"/>
      <c r="CA132" s="498"/>
      <c r="CB132" s="578"/>
      <c r="CC132" s="498"/>
      <c r="CD132" s="579"/>
      <c r="CE132" s="498"/>
      <c r="CF132" s="578"/>
      <c r="CG132" s="498"/>
      <c r="CH132" s="579"/>
      <c r="CI132" s="498"/>
      <c r="CJ132" s="578"/>
      <c r="CK132" s="498"/>
      <c r="CL132" s="579"/>
      <c r="CM132" s="498"/>
      <c r="CN132" s="578"/>
      <c r="CO132" s="498"/>
      <c r="CP132" s="579"/>
      <c r="CQ132" s="498"/>
      <c r="CR132" s="578"/>
      <c r="CS132" s="498"/>
      <c r="CT132" s="579"/>
      <c r="CU132" s="498"/>
      <c r="CV132" s="578"/>
      <c r="CW132" s="498"/>
      <c r="CX132" s="579"/>
      <c r="CY132" s="498"/>
      <c r="CZ132" s="578"/>
      <c r="DA132" s="498"/>
      <c r="DB132" s="579"/>
      <c r="DC132" s="498"/>
      <c r="DD132" s="578"/>
      <c r="DE132" s="498"/>
      <c r="DF132" s="579"/>
      <c r="DG132" s="498"/>
      <c r="DH132" s="578"/>
      <c r="DI132" s="498"/>
      <c r="DJ132" s="579"/>
      <c r="DK132" s="498"/>
      <c r="DL132" s="578"/>
      <c r="DM132" s="498"/>
      <c r="DN132" s="579"/>
      <c r="DO132" s="498"/>
      <c r="DP132" s="572"/>
      <c r="DQ132" s="328"/>
      <c r="DR132" s="328">
        <f t="shared" si="43"/>
        <v>0</v>
      </c>
      <c r="DS132" s="329"/>
      <c r="DT132" s="329"/>
      <c r="DU132" s="578"/>
      <c r="DV132" s="498"/>
      <c r="DW132" s="579"/>
      <c r="DX132" s="498"/>
      <c r="DY132" s="578"/>
      <c r="DZ132" s="498"/>
      <c r="EA132" s="579"/>
      <c r="EB132" s="498"/>
      <c r="EC132" s="578"/>
      <c r="ED132" s="498"/>
      <c r="EE132" s="579"/>
      <c r="EF132" s="498"/>
      <c r="EG132" s="578"/>
      <c r="EH132" s="498"/>
      <c r="EI132" s="579"/>
      <c r="EJ132" s="498"/>
      <c r="EK132" s="578"/>
      <c r="EL132" s="498"/>
      <c r="EM132" s="579"/>
      <c r="EN132" s="498"/>
      <c r="EO132" s="578"/>
      <c r="EP132" s="498"/>
      <c r="EQ132" s="579"/>
      <c r="ER132" s="498"/>
      <c r="ES132" s="578"/>
      <c r="ET132" s="498"/>
      <c r="EU132" s="579"/>
      <c r="EV132" s="498"/>
      <c r="EW132" s="578"/>
      <c r="EX132" s="498"/>
      <c r="EY132" s="579"/>
      <c r="EZ132" s="498"/>
      <c r="FA132" s="578"/>
      <c r="FB132" s="498"/>
      <c r="FC132" s="579"/>
      <c r="FD132" s="498"/>
      <c r="FE132" s="578"/>
      <c r="FF132" s="498"/>
      <c r="FG132" s="579"/>
      <c r="FH132" s="498"/>
      <c r="FI132" s="578"/>
      <c r="FJ132" s="498"/>
      <c r="FK132" s="579"/>
      <c r="FL132" s="498"/>
      <c r="FM132" s="578"/>
      <c r="FN132" s="498"/>
      <c r="FO132" s="579"/>
      <c r="FP132" s="498"/>
      <c r="FQ132" s="572"/>
      <c r="FR132" s="328"/>
      <c r="FS132" s="328">
        <f t="shared" si="44"/>
        <v>0</v>
      </c>
      <c r="FT132" s="573"/>
    </row>
    <row r="133" spans="1:176" s="574" customFormat="1" outlineLevel="2">
      <c r="A133" s="580" t="s">
        <v>469</v>
      </c>
      <c r="B133" s="580" t="s">
        <v>51</v>
      </c>
      <c r="C133" s="587" t="s">
        <v>72</v>
      </c>
      <c r="D133" s="580" t="s">
        <v>32</v>
      </c>
      <c r="E133" s="588">
        <f>IF(ISBLANK(G133),"",IF($A$6:$A$330=$A133,COUNTIF($A$6:A133,$A133),""))</f>
        <v>28</v>
      </c>
      <c r="F133" s="671" t="s">
        <v>89</v>
      </c>
      <c r="G133" s="331">
        <v>4441000060</v>
      </c>
      <c r="H133" s="606" t="s">
        <v>432</v>
      </c>
      <c r="I133" s="621">
        <f t="shared" si="42"/>
        <v>4125</v>
      </c>
      <c r="J133" s="619"/>
      <c r="K133" s="321"/>
      <c r="L133" s="619"/>
      <c r="M133" s="353"/>
      <c r="N133" s="353">
        <f t="shared" si="22"/>
        <v>2</v>
      </c>
      <c r="O133" s="578"/>
      <c r="P133" s="498"/>
      <c r="Q133" s="579"/>
      <c r="R133" s="498"/>
      <c r="S133" s="578"/>
      <c r="T133" s="498"/>
      <c r="U133" s="579"/>
      <c r="V133" s="498"/>
      <c r="W133" s="578"/>
      <c r="X133" s="498"/>
      <c r="Y133" s="579"/>
      <c r="Z133" s="498"/>
      <c r="AA133" s="578"/>
      <c r="AB133" s="498"/>
      <c r="AC133" s="579"/>
      <c r="AD133" s="498"/>
      <c r="AE133" s="578"/>
      <c r="AF133" s="498"/>
      <c r="AG133" s="579"/>
      <c r="AH133" s="498"/>
      <c r="AI133" s="578"/>
      <c r="AJ133" s="498">
        <v>5</v>
      </c>
      <c r="AK133" s="579"/>
      <c r="AL133" s="498"/>
      <c r="AM133" s="578"/>
      <c r="AN133" s="498">
        <v>5</v>
      </c>
      <c r="AO133" s="579"/>
      <c r="AP133" s="498"/>
      <c r="AQ133" s="578"/>
      <c r="AR133" s="498">
        <v>5</v>
      </c>
      <c r="AS133" s="579"/>
      <c r="AT133" s="498"/>
      <c r="AU133" s="578"/>
      <c r="AV133" s="498"/>
      <c r="AW133" s="579"/>
      <c r="AX133" s="498"/>
      <c r="AY133" s="578"/>
      <c r="AZ133" s="498"/>
      <c r="BA133" s="579"/>
      <c r="BB133" s="498"/>
      <c r="BC133" s="578"/>
      <c r="BD133" s="498"/>
      <c r="BE133" s="579"/>
      <c r="BF133" s="498"/>
      <c r="BG133" s="578"/>
      <c r="BH133" s="498"/>
      <c r="BI133" s="579"/>
      <c r="BJ133" s="498"/>
      <c r="BK133" s="572"/>
      <c r="BL133" s="328">
        <f t="shared" si="23"/>
        <v>0</v>
      </c>
      <c r="BM133" s="328">
        <f t="shared" si="24"/>
        <v>0</v>
      </c>
      <c r="BN133" s="324">
        <f t="shared" si="25"/>
        <v>15</v>
      </c>
      <c r="BO133" s="325">
        <f t="shared" si="26"/>
        <v>61875</v>
      </c>
      <c r="BP133" s="326">
        <f t="shared" si="27"/>
        <v>0</v>
      </c>
      <c r="BQ133" s="327">
        <f t="shared" si="28"/>
        <v>0</v>
      </c>
      <c r="BR133" s="329"/>
      <c r="BS133" s="329"/>
      <c r="BT133" s="578"/>
      <c r="BU133" s="498"/>
      <c r="BV133" s="579"/>
      <c r="BW133" s="498"/>
      <c r="BX133" s="578"/>
      <c r="BY133" s="498"/>
      <c r="BZ133" s="579"/>
      <c r="CA133" s="498"/>
      <c r="CB133" s="578"/>
      <c r="CC133" s="498"/>
      <c r="CD133" s="579"/>
      <c r="CE133" s="498"/>
      <c r="CF133" s="578"/>
      <c r="CG133" s="498"/>
      <c r="CH133" s="579"/>
      <c r="CI133" s="498"/>
      <c r="CJ133" s="578"/>
      <c r="CK133" s="498"/>
      <c r="CL133" s="579"/>
      <c r="CM133" s="498"/>
      <c r="CN133" s="578"/>
      <c r="CO133" s="498"/>
      <c r="CP133" s="579"/>
      <c r="CQ133" s="498"/>
      <c r="CR133" s="578"/>
      <c r="CS133" s="498"/>
      <c r="CT133" s="579"/>
      <c r="CU133" s="498"/>
      <c r="CV133" s="578"/>
      <c r="CW133" s="498"/>
      <c r="CX133" s="579"/>
      <c r="CY133" s="498"/>
      <c r="CZ133" s="578"/>
      <c r="DA133" s="498"/>
      <c r="DB133" s="579"/>
      <c r="DC133" s="498"/>
      <c r="DD133" s="578"/>
      <c r="DE133" s="498"/>
      <c r="DF133" s="579"/>
      <c r="DG133" s="498"/>
      <c r="DH133" s="578"/>
      <c r="DI133" s="498"/>
      <c r="DJ133" s="579"/>
      <c r="DK133" s="498"/>
      <c r="DL133" s="578"/>
      <c r="DM133" s="498"/>
      <c r="DN133" s="579"/>
      <c r="DO133" s="498"/>
      <c r="DP133" s="572"/>
      <c r="DQ133" s="328"/>
      <c r="DR133" s="328">
        <f t="shared" si="43"/>
        <v>0</v>
      </c>
      <c r="DS133" s="329"/>
      <c r="DT133" s="329"/>
      <c r="DU133" s="578"/>
      <c r="DV133" s="498"/>
      <c r="DW133" s="579"/>
      <c r="DX133" s="498"/>
      <c r="DY133" s="578"/>
      <c r="DZ133" s="498"/>
      <c r="EA133" s="579"/>
      <c r="EB133" s="498"/>
      <c r="EC133" s="578"/>
      <c r="ED133" s="498"/>
      <c r="EE133" s="579"/>
      <c r="EF133" s="498"/>
      <c r="EG133" s="578"/>
      <c r="EH133" s="498"/>
      <c r="EI133" s="579"/>
      <c r="EJ133" s="498"/>
      <c r="EK133" s="578"/>
      <c r="EL133" s="498"/>
      <c r="EM133" s="579"/>
      <c r="EN133" s="498"/>
      <c r="EO133" s="578"/>
      <c r="EP133" s="498"/>
      <c r="EQ133" s="579"/>
      <c r="ER133" s="498"/>
      <c r="ES133" s="578"/>
      <c r="ET133" s="498"/>
      <c r="EU133" s="579"/>
      <c r="EV133" s="498"/>
      <c r="EW133" s="578"/>
      <c r="EX133" s="498"/>
      <c r="EY133" s="579"/>
      <c r="EZ133" s="498"/>
      <c r="FA133" s="578"/>
      <c r="FB133" s="498"/>
      <c r="FC133" s="579"/>
      <c r="FD133" s="498"/>
      <c r="FE133" s="578"/>
      <c r="FF133" s="498"/>
      <c r="FG133" s="579"/>
      <c r="FH133" s="498"/>
      <c r="FI133" s="578"/>
      <c r="FJ133" s="498"/>
      <c r="FK133" s="579"/>
      <c r="FL133" s="498"/>
      <c r="FM133" s="578"/>
      <c r="FN133" s="498"/>
      <c r="FO133" s="579"/>
      <c r="FP133" s="498"/>
      <c r="FQ133" s="572"/>
      <c r="FR133" s="328"/>
      <c r="FS133" s="328">
        <f t="shared" si="44"/>
        <v>0</v>
      </c>
      <c r="FT133" s="573"/>
    </row>
    <row r="134" spans="1:176" s="574" customFormat="1" outlineLevel="2">
      <c r="A134" s="580" t="s">
        <v>469</v>
      </c>
      <c r="B134" s="580" t="s">
        <v>51</v>
      </c>
      <c r="C134" s="587" t="s">
        <v>72</v>
      </c>
      <c r="D134" s="580" t="s">
        <v>32</v>
      </c>
      <c r="E134" s="588">
        <f>IF(ISBLANK(G134),"",IF($A$6:$A$330=$A134,COUNTIF($A$6:A134,$A134),""))</f>
        <v>29</v>
      </c>
      <c r="F134" s="671" t="s">
        <v>89</v>
      </c>
      <c r="G134" s="331">
        <v>4441000450</v>
      </c>
      <c r="H134" s="606" t="s">
        <v>432</v>
      </c>
      <c r="I134" s="621">
        <f t="shared" si="42"/>
        <v>4125</v>
      </c>
      <c r="J134" s="619"/>
      <c r="K134" s="321"/>
      <c r="L134" s="619"/>
      <c r="M134" s="353"/>
      <c r="N134" s="353">
        <f t="shared" si="22"/>
        <v>1</v>
      </c>
      <c r="O134" s="578"/>
      <c r="P134" s="498">
        <f>20</f>
        <v>20</v>
      </c>
      <c r="Q134" s="579">
        <v>20</v>
      </c>
      <c r="R134" s="498"/>
      <c r="S134" s="578"/>
      <c r="T134" s="498">
        <f>15+15</f>
        <v>30</v>
      </c>
      <c r="U134" s="579">
        <v>30</v>
      </c>
      <c r="V134" s="498"/>
      <c r="W134" s="578"/>
      <c r="X134" s="498">
        <f>15</f>
        <v>15</v>
      </c>
      <c r="Y134" s="579">
        <v>15</v>
      </c>
      <c r="Z134" s="498"/>
      <c r="AA134" s="578"/>
      <c r="AB134" s="498"/>
      <c r="AC134" s="579"/>
      <c r="AD134" s="498"/>
      <c r="AE134" s="578"/>
      <c r="AF134" s="498"/>
      <c r="AG134" s="579"/>
      <c r="AH134" s="498"/>
      <c r="AI134" s="578"/>
      <c r="AJ134" s="498"/>
      <c r="AK134" s="579"/>
      <c r="AL134" s="498"/>
      <c r="AM134" s="578"/>
      <c r="AN134" s="498"/>
      <c r="AO134" s="579"/>
      <c r="AP134" s="498"/>
      <c r="AQ134" s="578"/>
      <c r="AR134" s="498"/>
      <c r="AS134" s="579"/>
      <c r="AT134" s="498"/>
      <c r="AU134" s="578"/>
      <c r="AV134" s="498"/>
      <c r="AW134" s="579"/>
      <c r="AX134" s="498"/>
      <c r="AY134" s="578"/>
      <c r="AZ134" s="498"/>
      <c r="BA134" s="579"/>
      <c r="BB134" s="498"/>
      <c r="BC134" s="578"/>
      <c r="BD134" s="498"/>
      <c r="BE134" s="579"/>
      <c r="BF134" s="498"/>
      <c r="BG134" s="578"/>
      <c r="BH134" s="498"/>
      <c r="BI134" s="579"/>
      <c r="BJ134" s="498"/>
      <c r="BK134" s="572"/>
      <c r="BL134" s="328">
        <f t="shared" si="23"/>
        <v>0</v>
      </c>
      <c r="BM134" s="328">
        <f t="shared" si="24"/>
        <v>0</v>
      </c>
      <c r="BN134" s="324">
        <f t="shared" si="25"/>
        <v>65</v>
      </c>
      <c r="BO134" s="325">
        <f t="shared" si="26"/>
        <v>268125</v>
      </c>
      <c r="BP134" s="326">
        <f t="shared" si="27"/>
        <v>65</v>
      </c>
      <c r="BQ134" s="327">
        <f t="shared" si="28"/>
        <v>268125</v>
      </c>
      <c r="BR134" s="329"/>
      <c r="BS134" s="329"/>
      <c r="BT134" s="578"/>
      <c r="BU134" s="498"/>
      <c r="BV134" s="579"/>
      <c r="BW134" s="498"/>
      <c r="BX134" s="578"/>
      <c r="BY134" s="498"/>
      <c r="BZ134" s="579"/>
      <c r="CA134" s="498"/>
      <c r="CB134" s="578"/>
      <c r="CC134" s="498"/>
      <c r="CD134" s="579"/>
      <c r="CE134" s="498"/>
      <c r="CF134" s="578"/>
      <c r="CG134" s="498"/>
      <c r="CH134" s="579"/>
      <c r="CI134" s="498"/>
      <c r="CJ134" s="578"/>
      <c r="CK134" s="498"/>
      <c r="CL134" s="579"/>
      <c r="CM134" s="498"/>
      <c r="CN134" s="578"/>
      <c r="CO134" s="498"/>
      <c r="CP134" s="579"/>
      <c r="CQ134" s="498"/>
      <c r="CR134" s="578"/>
      <c r="CS134" s="498"/>
      <c r="CT134" s="579"/>
      <c r="CU134" s="498"/>
      <c r="CV134" s="578"/>
      <c r="CW134" s="498"/>
      <c r="CX134" s="579"/>
      <c r="CY134" s="498"/>
      <c r="CZ134" s="578"/>
      <c r="DA134" s="498"/>
      <c r="DB134" s="579"/>
      <c r="DC134" s="498"/>
      <c r="DD134" s="578"/>
      <c r="DE134" s="498"/>
      <c r="DF134" s="579"/>
      <c r="DG134" s="498"/>
      <c r="DH134" s="578"/>
      <c r="DI134" s="498"/>
      <c r="DJ134" s="579"/>
      <c r="DK134" s="498"/>
      <c r="DL134" s="578"/>
      <c r="DM134" s="498"/>
      <c r="DN134" s="579"/>
      <c r="DO134" s="498"/>
      <c r="DP134" s="572"/>
      <c r="DQ134" s="328"/>
      <c r="DR134" s="328">
        <f t="shared" si="43"/>
        <v>0</v>
      </c>
      <c r="DS134" s="329"/>
      <c r="DT134" s="329"/>
      <c r="DU134" s="578"/>
      <c r="DV134" s="498"/>
      <c r="DW134" s="579"/>
      <c r="DX134" s="498"/>
      <c r="DY134" s="578"/>
      <c r="DZ134" s="498"/>
      <c r="EA134" s="579"/>
      <c r="EB134" s="498"/>
      <c r="EC134" s="578"/>
      <c r="ED134" s="498"/>
      <c r="EE134" s="579"/>
      <c r="EF134" s="498"/>
      <c r="EG134" s="578"/>
      <c r="EH134" s="498"/>
      <c r="EI134" s="579"/>
      <c r="EJ134" s="498"/>
      <c r="EK134" s="578"/>
      <c r="EL134" s="498"/>
      <c r="EM134" s="579"/>
      <c r="EN134" s="498"/>
      <c r="EO134" s="578"/>
      <c r="EP134" s="498"/>
      <c r="EQ134" s="579"/>
      <c r="ER134" s="498"/>
      <c r="ES134" s="578"/>
      <c r="ET134" s="498"/>
      <c r="EU134" s="579"/>
      <c r="EV134" s="498"/>
      <c r="EW134" s="578"/>
      <c r="EX134" s="498"/>
      <c r="EY134" s="579"/>
      <c r="EZ134" s="498"/>
      <c r="FA134" s="578"/>
      <c r="FB134" s="498"/>
      <c r="FC134" s="579"/>
      <c r="FD134" s="498"/>
      <c r="FE134" s="578"/>
      <c r="FF134" s="498"/>
      <c r="FG134" s="579"/>
      <c r="FH134" s="498"/>
      <c r="FI134" s="578"/>
      <c r="FJ134" s="498"/>
      <c r="FK134" s="579"/>
      <c r="FL134" s="498"/>
      <c r="FM134" s="578"/>
      <c r="FN134" s="498"/>
      <c r="FO134" s="579"/>
      <c r="FP134" s="498"/>
      <c r="FQ134" s="572"/>
      <c r="FR134" s="328"/>
      <c r="FS134" s="328">
        <f t="shared" si="44"/>
        <v>0</v>
      </c>
      <c r="FT134" s="573"/>
    </row>
    <row r="135" spans="1:176" s="574" customFormat="1" outlineLevel="2">
      <c r="A135" s="589" t="s">
        <v>469</v>
      </c>
      <c r="B135" s="589" t="s">
        <v>51</v>
      </c>
      <c r="C135" s="590" t="s">
        <v>72</v>
      </c>
      <c r="D135" s="589" t="s">
        <v>32</v>
      </c>
      <c r="E135" s="584">
        <f>IF(ISBLANK(G135),"",IF($A$6:$A$330=$A135,COUNTIF($A$6:A135,$A135),""))</f>
        <v>30</v>
      </c>
      <c r="F135" s="566" t="s">
        <v>89</v>
      </c>
      <c r="G135" s="591" t="s">
        <v>407</v>
      </c>
      <c r="H135" s="609" t="s">
        <v>132</v>
      </c>
      <c r="I135" s="621">
        <f t="shared" ref="I135:I140" si="45">5586.58/НДС</f>
        <v>4579.1639344262294</v>
      </c>
      <c r="J135" s="618"/>
      <c r="K135" s="126"/>
      <c r="L135" s="618" t="str">
        <f>IF(K135="RUB",J135/ЮАНЬ,IF(K135="EUR",J135*ЕВРО/ЮАНЬ,""))</f>
        <v/>
      </c>
      <c r="M135" s="568"/>
      <c r="N135" s="353">
        <f t="shared" si="22"/>
        <v>2</v>
      </c>
      <c r="O135" s="569">
        <v>10</v>
      </c>
      <c r="P135" s="570"/>
      <c r="Q135" s="571"/>
      <c r="R135" s="570"/>
      <c r="S135" s="569">
        <v>10</v>
      </c>
      <c r="T135" s="570"/>
      <c r="U135" s="571"/>
      <c r="V135" s="570"/>
      <c r="W135" s="569">
        <v>10</v>
      </c>
      <c r="X135" s="570"/>
      <c r="Y135" s="571"/>
      <c r="Z135" s="570"/>
      <c r="AA135" s="569">
        <v>5</v>
      </c>
      <c r="AB135" s="570"/>
      <c r="AC135" s="571"/>
      <c r="AD135" s="570"/>
      <c r="AE135" s="569">
        <v>5</v>
      </c>
      <c r="AF135" s="570"/>
      <c r="AG135" s="571"/>
      <c r="AH135" s="570"/>
      <c r="AI135" s="569">
        <v>5</v>
      </c>
      <c r="AJ135" s="570"/>
      <c r="AK135" s="571"/>
      <c r="AL135" s="570"/>
      <c r="AM135" s="569">
        <v>5</v>
      </c>
      <c r="AN135" s="570"/>
      <c r="AO135" s="571"/>
      <c r="AP135" s="570"/>
      <c r="AQ135" s="569">
        <v>5</v>
      </c>
      <c r="AR135" s="570"/>
      <c r="AS135" s="571"/>
      <c r="AT135" s="570"/>
      <c r="AU135" s="569">
        <v>5</v>
      </c>
      <c r="AV135" s="570">
        <v>5</v>
      </c>
      <c r="AW135" s="571"/>
      <c r="AX135" s="570"/>
      <c r="AY135" s="569">
        <v>5</v>
      </c>
      <c r="AZ135" s="570">
        <v>5</v>
      </c>
      <c r="BA135" s="571"/>
      <c r="BB135" s="570"/>
      <c r="BC135" s="569">
        <v>5</v>
      </c>
      <c r="BD135" s="570">
        <v>5</v>
      </c>
      <c r="BE135" s="571"/>
      <c r="BF135" s="570"/>
      <c r="BG135" s="569">
        <v>5</v>
      </c>
      <c r="BH135" s="570">
        <v>5</v>
      </c>
      <c r="BI135" s="571"/>
      <c r="BJ135" s="570"/>
      <c r="BK135" s="572"/>
      <c r="BL135" s="32">
        <f t="shared" si="23"/>
        <v>75</v>
      </c>
      <c r="BM135" s="32">
        <f t="shared" si="24"/>
        <v>343437.2950819672</v>
      </c>
      <c r="BN135" s="28">
        <f t="shared" si="25"/>
        <v>20</v>
      </c>
      <c r="BO135" s="29">
        <f t="shared" si="26"/>
        <v>91583.278688524588</v>
      </c>
      <c r="BP135" s="30">
        <f t="shared" si="27"/>
        <v>0</v>
      </c>
      <c r="BQ135" s="31">
        <f t="shared" si="28"/>
        <v>0</v>
      </c>
      <c r="BR135" s="11"/>
      <c r="BS135" s="329"/>
      <c r="BT135" s="569">
        <v>10</v>
      </c>
      <c r="BU135" s="570"/>
      <c r="BV135" s="571"/>
      <c r="BW135" s="570"/>
      <c r="BX135" s="569">
        <v>10</v>
      </c>
      <c r="BY135" s="570"/>
      <c r="BZ135" s="571"/>
      <c r="CA135" s="570"/>
      <c r="CB135" s="569">
        <v>10</v>
      </c>
      <c r="CC135" s="570"/>
      <c r="CD135" s="571"/>
      <c r="CE135" s="570"/>
      <c r="CF135" s="569">
        <v>10</v>
      </c>
      <c r="CG135" s="570"/>
      <c r="CH135" s="571"/>
      <c r="CI135" s="570"/>
      <c r="CJ135" s="569">
        <v>10</v>
      </c>
      <c r="CK135" s="570"/>
      <c r="CL135" s="571"/>
      <c r="CM135" s="570"/>
      <c r="CN135" s="569">
        <v>10</v>
      </c>
      <c r="CO135" s="570"/>
      <c r="CP135" s="571"/>
      <c r="CQ135" s="570"/>
      <c r="CR135" s="569">
        <v>10</v>
      </c>
      <c r="CS135" s="570"/>
      <c r="CT135" s="571"/>
      <c r="CU135" s="570"/>
      <c r="CV135" s="569">
        <v>10</v>
      </c>
      <c r="CW135" s="570"/>
      <c r="CX135" s="571"/>
      <c r="CY135" s="570"/>
      <c r="CZ135" s="569">
        <v>10</v>
      </c>
      <c r="DA135" s="570"/>
      <c r="DB135" s="571"/>
      <c r="DC135" s="570"/>
      <c r="DD135" s="569">
        <v>10</v>
      </c>
      <c r="DE135" s="570"/>
      <c r="DF135" s="571"/>
      <c r="DG135" s="570"/>
      <c r="DH135" s="569">
        <v>10</v>
      </c>
      <c r="DI135" s="570"/>
      <c r="DJ135" s="571"/>
      <c r="DK135" s="570"/>
      <c r="DL135" s="569">
        <v>10</v>
      </c>
      <c r="DM135" s="570"/>
      <c r="DN135" s="571"/>
      <c r="DO135" s="570"/>
      <c r="DP135" s="572"/>
      <c r="DQ135" s="32">
        <f>SUMPRODUCT(--(MOD(COLUMN(BT135:CQ135),4)=MOD(COLUMN(BT135),4)),BT135:CQ135)+SUMPRODUCT(--(MOD(COLUMN(CR135:DO135),4)=MOD(COLUMN(CR135),4)),CR135:DO135)</f>
        <v>120</v>
      </c>
      <c r="DR135" s="32">
        <f t="shared" si="43"/>
        <v>549499.67213114747</v>
      </c>
      <c r="DS135" s="11"/>
      <c r="DT135" s="329"/>
      <c r="DU135" s="569">
        <v>10</v>
      </c>
      <c r="DV135" s="570"/>
      <c r="DW135" s="571"/>
      <c r="DX135" s="570"/>
      <c r="DY135" s="569">
        <v>10</v>
      </c>
      <c r="DZ135" s="570"/>
      <c r="EA135" s="571"/>
      <c r="EB135" s="570"/>
      <c r="EC135" s="569">
        <v>10</v>
      </c>
      <c r="ED135" s="570"/>
      <c r="EE135" s="571"/>
      <c r="EF135" s="570"/>
      <c r="EG135" s="569">
        <v>10</v>
      </c>
      <c r="EH135" s="570"/>
      <c r="EI135" s="571"/>
      <c r="EJ135" s="570"/>
      <c r="EK135" s="569">
        <v>10</v>
      </c>
      <c r="EL135" s="570"/>
      <c r="EM135" s="571"/>
      <c r="EN135" s="570"/>
      <c r="EO135" s="569">
        <v>10</v>
      </c>
      <c r="EP135" s="570"/>
      <c r="EQ135" s="571"/>
      <c r="ER135" s="570"/>
      <c r="ES135" s="569">
        <v>10</v>
      </c>
      <c r="ET135" s="570"/>
      <c r="EU135" s="571"/>
      <c r="EV135" s="570"/>
      <c r="EW135" s="569">
        <v>10</v>
      </c>
      <c r="EX135" s="570"/>
      <c r="EY135" s="571"/>
      <c r="EZ135" s="570"/>
      <c r="FA135" s="569">
        <v>10</v>
      </c>
      <c r="FB135" s="570"/>
      <c r="FC135" s="571"/>
      <c r="FD135" s="570"/>
      <c r="FE135" s="569">
        <v>10</v>
      </c>
      <c r="FF135" s="570"/>
      <c r="FG135" s="571"/>
      <c r="FH135" s="570"/>
      <c r="FI135" s="569">
        <v>10</v>
      </c>
      <c r="FJ135" s="570"/>
      <c r="FK135" s="571"/>
      <c r="FL135" s="570"/>
      <c r="FM135" s="569">
        <v>10</v>
      </c>
      <c r="FN135" s="570"/>
      <c r="FO135" s="571"/>
      <c r="FP135" s="570"/>
      <c r="FQ135" s="572"/>
      <c r="FR135" s="32">
        <f>SUMPRODUCT(--(MOD(COLUMN(DU135:ER135),4)=MOD(COLUMN(DU135),4)),DU135:ER135)+SUMPRODUCT(--(MOD(COLUMN(ES135:FP135),4)=MOD(COLUMN(ES135),4)),ES135:FP135)</f>
        <v>120</v>
      </c>
      <c r="FS135" s="32">
        <f t="shared" si="44"/>
        <v>549499.67213114747</v>
      </c>
      <c r="FT135" s="573"/>
    </row>
    <row r="136" spans="1:176" s="574" customFormat="1" outlineLevel="2">
      <c r="A136" s="580" t="s">
        <v>469</v>
      </c>
      <c r="B136" s="580" t="s">
        <v>51</v>
      </c>
      <c r="C136" s="587" t="s">
        <v>72</v>
      </c>
      <c r="D136" s="580" t="s">
        <v>32</v>
      </c>
      <c r="E136" s="588">
        <f>IF(ISBLANK(G136),"",IF($A$6:$A$330=$A136,COUNTIF($A$6:A136,$A136),""))</f>
        <v>31</v>
      </c>
      <c r="F136" s="671" t="s">
        <v>89</v>
      </c>
      <c r="G136" s="331">
        <v>4441000160</v>
      </c>
      <c r="H136" s="606" t="s">
        <v>437</v>
      </c>
      <c r="I136" s="621">
        <f t="shared" si="45"/>
        <v>4579.1639344262294</v>
      </c>
      <c r="J136" s="619"/>
      <c r="K136" s="321"/>
      <c r="L136" s="619"/>
      <c r="M136" s="353"/>
      <c r="N136" s="353">
        <f t="shared" si="22"/>
        <v>2</v>
      </c>
      <c r="O136" s="578"/>
      <c r="P136" s="498"/>
      <c r="Q136" s="579"/>
      <c r="R136" s="498"/>
      <c r="S136" s="578"/>
      <c r="T136" s="498"/>
      <c r="U136" s="579"/>
      <c r="V136" s="498"/>
      <c r="W136" s="578"/>
      <c r="X136" s="498"/>
      <c r="Y136" s="579"/>
      <c r="Z136" s="498"/>
      <c r="AA136" s="578"/>
      <c r="AB136" s="498"/>
      <c r="AC136" s="579"/>
      <c r="AD136" s="498"/>
      <c r="AE136" s="578"/>
      <c r="AF136" s="498"/>
      <c r="AG136" s="579"/>
      <c r="AH136" s="498"/>
      <c r="AI136" s="578"/>
      <c r="AJ136" s="498">
        <v>5</v>
      </c>
      <c r="AK136" s="579"/>
      <c r="AL136" s="498"/>
      <c r="AM136" s="578"/>
      <c r="AN136" s="498">
        <v>5</v>
      </c>
      <c r="AO136" s="579"/>
      <c r="AP136" s="498"/>
      <c r="AQ136" s="578"/>
      <c r="AR136" s="498">
        <v>5</v>
      </c>
      <c r="AS136" s="579"/>
      <c r="AT136" s="498"/>
      <c r="AU136" s="578"/>
      <c r="AV136" s="498"/>
      <c r="AW136" s="579"/>
      <c r="AX136" s="498"/>
      <c r="AY136" s="578"/>
      <c r="AZ136" s="498"/>
      <c r="BA136" s="579"/>
      <c r="BB136" s="498"/>
      <c r="BC136" s="578"/>
      <c r="BD136" s="498"/>
      <c r="BE136" s="579"/>
      <c r="BF136" s="498"/>
      <c r="BG136" s="578"/>
      <c r="BH136" s="498"/>
      <c r="BI136" s="579"/>
      <c r="BJ136" s="498"/>
      <c r="BK136" s="572"/>
      <c r="BL136" s="328">
        <f t="shared" si="23"/>
        <v>0</v>
      </c>
      <c r="BM136" s="328">
        <f t="shared" si="24"/>
        <v>0</v>
      </c>
      <c r="BN136" s="324">
        <f t="shared" si="25"/>
        <v>15</v>
      </c>
      <c r="BO136" s="325">
        <f t="shared" si="26"/>
        <v>68687.459016393434</v>
      </c>
      <c r="BP136" s="326">
        <f t="shared" si="27"/>
        <v>0</v>
      </c>
      <c r="BQ136" s="327">
        <f t="shared" si="28"/>
        <v>0</v>
      </c>
      <c r="BR136" s="329"/>
      <c r="BS136" s="329"/>
      <c r="BT136" s="578"/>
      <c r="BU136" s="498"/>
      <c r="BV136" s="579"/>
      <c r="BW136" s="498"/>
      <c r="BX136" s="578"/>
      <c r="BY136" s="498"/>
      <c r="BZ136" s="579"/>
      <c r="CA136" s="498"/>
      <c r="CB136" s="578"/>
      <c r="CC136" s="498"/>
      <c r="CD136" s="579"/>
      <c r="CE136" s="498"/>
      <c r="CF136" s="578"/>
      <c r="CG136" s="498"/>
      <c r="CH136" s="579"/>
      <c r="CI136" s="498"/>
      <c r="CJ136" s="578"/>
      <c r="CK136" s="498"/>
      <c r="CL136" s="579"/>
      <c r="CM136" s="498"/>
      <c r="CN136" s="578"/>
      <c r="CO136" s="498"/>
      <c r="CP136" s="579"/>
      <c r="CQ136" s="498"/>
      <c r="CR136" s="578"/>
      <c r="CS136" s="498"/>
      <c r="CT136" s="579"/>
      <c r="CU136" s="498"/>
      <c r="CV136" s="578"/>
      <c r="CW136" s="498"/>
      <c r="CX136" s="579"/>
      <c r="CY136" s="498"/>
      <c r="CZ136" s="578"/>
      <c r="DA136" s="498"/>
      <c r="DB136" s="579"/>
      <c r="DC136" s="498"/>
      <c r="DD136" s="578"/>
      <c r="DE136" s="498"/>
      <c r="DF136" s="579"/>
      <c r="DG136" s="498"/>
      <c r="DH136" s="578"/>
      <c r="DI136" s="498"/>
      <c r="DJ136" s="579"/>
      <c r="DK136" s="498"/>
      <c r="DL136" s="578"/>
      <c r="DM136" s="498"/>
      <c r="DN136" s="579"/>
      <c r="DO136" s="498"/>
      <c r="DP136" s="572"/>
      <c r="DQ136" s="328"/>
      <c r="DR136" s="328">
        <f t="shared" si="43"/>
        <v>0</v>
      </c>
      <c r="DS136" s="329"/>
      <c r="DT136" s="329"/>
      <c r="DU136" s="578"/>
      <c r="DV136" s="498"/>
      <c r="DW136" s="579"/>
      <c r="DX136" s="498"/>
      <c r="DY136" s="578"/>
      <c r="DZ136" s="498"/>
      <c r="EA136" s="579"/>
      <c r="EB136" s="498"/>
      <c r="EC136" s="578"/>
      <c r="ED136" s="498"/>
      <c r="EE136" s="579"/>
      <c r="EF136" s="498"/>
      <c r="EG136" s="578"/>
      <c r="EH136" s="498"/>
      <c r="EI136" s="579"/>
      <c r="EJ136" s="498"/>
      <c r="EK136" s="578"/>
      <c r="EL136" s="498"/>
      <c r="EM136" s="579"/>
      <c r="EN136" s="498"/>
      <c r="EO136" s="578"/>
      <c r="EP136" s="498"/>
      <c r="EQ136" s="579"/>
      <c r="ER136" s="498"/>
      <c r="ES136" s="578"/>
      <c r="ET136" s="498"/>
      <c r="EU136" s="579"/>
      <c r="EV136" s="498"/>
      <c r="EW136" s="578"/>
      <c r="EX136" s="498"/>
      <c r="EY136" s="579"/>
      <c r="EZ136" s="498"/>
      <c r="FA136" s="578"/>
      <c r="FB136" s="498"/>
      <c r="FC136" s="579"/>
      <c r="FD136" s="498"/>
      <c r="FE136" s="578"/>
      <c r="FF136" s="498"/>
      <c r="FG136" s="579"/>
      <c r="FH136" s="498"/>
      <c r="FI136" s="578"/>
      <c r="FJ136" s="498"/>
      <c r="FK136" s="579"/>
      <c r="FL136" s="498"/>
      <c r="FM136" s="578"/>
      <c r="FN136" s="498"/>
      <c r="FO136" s="579"/>
      <c r="FP136" s="498"/>
      <c r="FQ136" s="572"/>
      <c r="FR136" s="328"/>
      <c r="FS136" s="328">
        <f t="shared" si="44"/>
        <v>0</v>
      </c>
      <c r="FT136" s="573"/>
    </row>
    <row r="137" spans="1:176" s="574" customFormat="1" outlineLevel="2">
      <c r="A137" s="580" t="s">
        <v>469</v>
      </c>
      <c r="B137" s="580" t="s">
        <v>51</v>
      </c>
      <c r="C137" s="587" t="s">
        <v>72</v>
      </c>
      <c r="D137" s="580" t="s">
        <v>32</v>
      </c>
      <c r="E137" s="588">
        <f>IF(ISBLANK(G137),"",IF($A$6:$A$330=$A137,COUNTIF($A$6:A137,$A137),""))</f>
        <v>32</v>
      </c>
      <c r="F137" s="671" t="s">
        <v>89</v>
      </c>
      <c r="G137" s="331">
        <v>4441000500</v>
      </c>
      <c r="H137" s="606" t="s">
        <v>437</v>
      </c>
      <c r="I137" s="621">
        <f t="shared" si="45"/>
        <v>4579.1639344262294</v>
      </c>
      <c r="J137" s="619"/>
      <c r="K137" s="321"/>
      <c r="L137" s="619"/>
      <c r="M137" s="353"/>
      <c r="N137" s="353">
        <f t="shared" si="22"/>
        <v>1</v>
      </c>
      <c r="O137" s="578"/>
      <c r="P137" s="498">
        <f>8</f>
        <v>8</v>
      </c>
      <c r="Q137" s="579">
        <v>8</v>
      </c>
      <c r="R137" s="498"/>
      <c r="S137" s="578"/>
      <c r="T137" s="498">
        <f>5+5</f>
        <v>10</v>
      </c>
      <c r="U137" s="579">
        <v>10</v>
      </c>
      <c r="V137" s="498"/>
      <c r="W137" s="578"/>
      <c r="X137" s="498">
        <f>5</f>
        <v>5</v>
      </c>
      <c r="Y137" s="579">
        <v>5</v>
      </c>
      <c r="Z137" s="498"/>
      <c r="AA137" s="578"/>
      <c r="AB137" s="498"/>
      <c r="AC137" s="579"/>
      <c r="AD137" s="498"/>
      <c r="AE137" s="578"/>
      <c r="AF137" s="498"/>
      <c r="AG137" s="579"/>
      <c r="AH137" s="498"/>
      <c r="AI137" s="578"/>
      <c r="AJ137" s="498"/>
      <c r="AK137" s="579"/>
      <c r="AL137" s="498"/>
      <c r="AM137" s="578"/>
      <c r="AN137" s="498"/>
      <c r="AO137" s="579"/>
      <c r="AP137" s="498"/>
      <c r="AQ137" s="578"/>
      <c r="AR137" s="498"/>
      <c r="AS137" s="579"/>
      <c r="AT137" s="498"/>
      <c r="AU137" s="578"/>
      <c r="AV137" s="498"/>
      <c r="AW137" s="579"/>
      <c r="AX137" s="498"/>
      <c r="AY137" s="578"/>
      <c r="AZ137" s="498"/>
      <c r="BA137" s="579"/>
      <c r="BB137" s="498"/>
      <c r="BC137" s="578"/>
      <c r="BD137" s="498"/>
      <c r="BE137" s="579"/>
      <c r="BF137" s="498"/>
      <c r="BG137" s="578"/>
      <c r="BH137" s="498"/>
      <c r="BI137" s="579"/>
      <c r="BJ137" s="498"/>
      <c r="BK137" s="572"/>
      <c r="BL137" s="328">
        <f t="shared" si="23"/>
        <v>0</v>
      </c>
      <c r="BM137" s="328">
        <f t="shared" si="24"/>
        <v>0</v>
      </c>
      <c r="BN137" s="324">
        <f t="shared" si="25"/>
        <v>23</v>
      </c>
      <c r="BO137" s="325">
        <f t="shared" si="26"/>
        <v>105320.77049180327</v>
      </c>
      <c r="BP137" s="326">
        <f t="shared" si="27"/>
        <v>23</v>
      </c>
      <c r="BQ137" s="327">
        <f t="shared" si="28"/>
        <v>105320.77049180327</v>
      </c>
      <c r="BR137" s="329"/>
      <c r="BS137" s="329"/>
      <c r="BT137" s="578"/>
      <c r="BU137" s="498"/>
      <c r="BV137" s="579"/>
      <c r="BW137" s="498"/>
      <c r="BX137" s="578"/>
      <c r="BY137" s="498"/>
      <c r="BZ137" s="579"/>
      <c r="CA137" s="498"/>
      <c r="CB137" s="578"/>
      <c r="CC137" s="498"/>
      <c r="CD137" s="579"/>
      <c r="CE137" s="498"/>
      <c r="CF137" s="578"/>
      <c r="CG137" s="498"/>
      <c r="CH137" s="579"/>
      <c r="CI137" s="498"/>
      <c r="CJ137" s="578"/>
      <c r="CK137" s="498"/>
      <c r="CL137" s="579"/>
      <c r="CM137" s="498"/>
      <c r="CN137" s="578"/>
      <c r="CO137" s="498"/>
      <c r="CP137" s="579"/>
      <c r="CQ137" s="498"/>
      <c r="CR137" s="578"/>
      <c r="CS137" s="498"/>
      <c r="CT137" s="579"/>
      <c r="CU137" s="498"/>
      <c r="CV137" s="578"/>
      <c r="CW137" s="498"/>
      <c r="CX137" s="579"/>
      <c r="CY137" s="498"/>
      <c r="CZ137" s="578"/>
      <c r="DA137" s="498"/>
      <c r="DB137" s="579"/>
      <c r="DC137" s="498"/>
      <c r="DD137" s="578"/>
      <c r="DE137" s="498"/>
      <c r="DF137" s="579"/>
      <c r="DG137" s="498"/>
      <c r="DH137" s="578"/>
      <c r="DI137" s="498"/>
      <c r="DJ137" s="579"/>
      <c r="DK137" s="498"/>
      <c r="DL137" s="578"/>
      <c r="DM137" s="498"/>
      <c r="DN137" s="579"/>
      <c r="DO137" s="498"/>
      <c r="DP137" s="572"/>
      <c r="DQ137" s="328"/>
      <c r="DR137" s="328">
        <f t="shared" si="43"/>
        <v>0</v>
      </c>
      <c r="DS137" s="329"/>
      <c r="DT137" s="329"/>
      <c r="DU137" s="578"/>
      <c r="DV137" s="498"/>
      <c r="DW137" s="579"/>
      <c r="DX137" s="498"/>
      <c r="DY137" s="578"/>
      <c r="DZ137" s="498"/>
      <c r="EA137" s="579"/>
      <c r="EB137" s="498"/>
      <c r="EC137" s="578"/>
      <c r="ED137" s="498"/>
      <c r="EE137" s="579"/>
      <c r="EF137" s="498"/>
      <c r="EG137" s="578"/>
      <c r="EH137" s="498"/>
      <c r="EI137" s="579"/>
      <c r="EJ137" s="498"/>
      <c r="EK137" s="578"/>
      <c r="EL137" s="498"/>
      <c r="EM137" s="579"/>
      <c r="EN137" s="498"/>
      <c r="EO137" s="578"/>
      <c r="EP137" s="498"/>
      <c r="EQ137" s="579"/>
      <c r="ER137" s="498"/>
      <c r="ES137" s="578"/>
      <c r="ET137" s="498"/>
      <c r="EU137" s="579"/>
      <c r="EV137" s="498"/>
      <c r="EW137" s="578"/>
      <c r="EX137" s="498"/>
      <c r="EY137" s="579"/>
      <c r="EZ137" s="498"/>
      <c r="FA137" s="578"/>
      <c r="FB137" s="498"/>
      <c r="FC137" s="579"/>
      <c r="FD137" s="498"/>
      <c r="FE137" s="578"/>
      <c r="FF137" s="498"/>
      <c r="FG137" s="579"/>
      <c r="FH137" s="498"/>
      <c r="FI137" s="578"/>
      <c r="FJ137" s="498"/>
      <c r="FK137" s="579"/>
      <c r="FL137" s="498"/>
      <c r="FM137" s="578"/>
      <c r="FN137" s="498"/>
      <c r="FO137" s="579"/>
      <c r="FP137" s="498"/>
      <c r="FQ137" s="572"/>
      <c r="FR137" s="328"/>
      <c r="FS137" s="328">
        <f t="shared" si="44"/>
        <v>0</v>
      </c>
      <c r="FT137" s="573"/>
    </row>
    <row r="138" spans="1:176" s="574" customFormat="1" outlineLevel="2">
      <c r="A138" s="580" t="s">
        <v>469</v>
      </c>
      <c r="B138" s="580" t="s">
        <v>51</v>
      </c>
      <c r="C138" s="587" t="s">
        <v>72</v>
      </c>
      <c r="D138" s="580" t="s">
        <v>32</v>
      </c>
      <c r="E138" s="588">
        <f>IF(ISBLANK(G138),"",IF($A$6:$A$330=$A138,COUNTIF($A$6:A138,$A138),""))</f>
        <v>33</v>
      </c>
      <c r="F138" s="671" t="s">
        <v>89</v>
      </c>
      <c r="G138" s="331">
        <v>4441000090</v>
      </c>
      <c r="H138" s="606" t="s">
        <v>434</v>
      </c>
      <c r="I138" s="621">
        <f t="shared" si="45"/>
        <v>4579.1639344262294</v>
      </c>
      <c r="J138" s="619"/>
      <c r="K138" s="321"/>
      <c r="L138" s="619"/>
      <c r="M138" s="353"/>
      <c r="N138" s="353">
        <f t="shared" si="22"/>
        <v>0</v>
      </c>
      <c r="O138" s="578"/>
      <c r="P138" s="498"/>
      <c r="Q138" s="579"/>
      <c r="R138" s="498"/>
      <c r="S138" s="578"/>
      <c r="T138" s="498"/>
      <c r="U138" s="579"/>
      <c r="V138" s="498"/>
      <c r="W138" s="578"/>
      <c r="X138" s="498"/>
      <c r="Y138" s="579"/>
      <c r="Z138" s="498"/>
      <c r="AA138" s="578"/>
      <c r="AB138" s="498"/>
      <c r="AC138" s="579"/>
      <c r="AD138" s="498"/>
      <c r="AE138" s="578"/>
      <c r="AF138" s="498"/>
      <c r="AG138" s="579"/>
      <c r="AH138" s="498"/>
      <c r="AI138" s="578"/>
      <c r="AJ138" s="498"/>
      <c r="AK138" s="579"/>
      <c r="AL138" s="498"/>
      <c r="AM138" s="578"/>
      <c r="AN138" s="498"/>
      <c r="AO138" s="579"/>
      <c r="AP138" s="498"/>
      <c r="AQ138" s="578"/>
      <c r="AR138" s="498"/>
      <c r="AS138" s="579"/>
      <c r="AT138" s="498"/>
      <c r="AU138" s="578"/>
      <c r="AV138" s="498"/>
      <c r="AW138" s="579"/>
      <c r="AX138" s="498"/>
      <c r="AY138" s="578"/>
      <c r="AZ138" s="498"/>
      <c r="BA138" s="579"/>
      <c r="BB138" s="498"/>
      <c r="BC138" s="578"/>
      <c r="BD138" s="498"/>
      <c r="BE138" s="579"/>
      <c r="BF138" s="498"/>
      <c r="BG138" s="578"/>
      <c r="BH138" s="498"/>
      <c r="BI138" s="579"/>
      <c r="BJ138" s="498"/>
      <c r="BK138" s="572"/>
      <c r="BL138" s="328">
        <f t="shared" si="23"/>
        <v>0</v>
      </c>
      <c r="BM138" s="328">
        <f t="shared" si="24"/>
        <v>0</v>
      </c>
      <c r="BN138" s="324">
        <f t="shared" si="25"/>
        <v>0</v>
      </c>
      <c r="BO138" s="325">
        <f t="shared" si="26"/>
        <v>0</v>
      </c>
      <c r="BP138" s="326">
        <f t="shared" si="27"/>
        <v>0</v>
      </c>
      <c r="BQ138" s="327">
        <f t="shared" si="28"/>
        <v>0</v>
      </c>
      <c r="BR138" s="329"/>
      <c r="BS138" s="329"/>
      <c r="BT138" s="578"/>
      <c r="BU138" s="498"/>
      <c r="BV138" s="579"/>
      <c r="BW138" s="498"/>
      <c r="BX138" s="578"/>
      <c r="BY138" s="498"/>
      <c r="BZ138" s="579"/>
      <c r="CA138" s="498"/>
      <c r="CB138" s="578"/>
      <c r="CC138" s="498"/>
      <c r="CD138" s="579"/>
      <c r="CE138" s="498"/>
      <c r="CF138" s="578"/>
      <c r="CG138" s="498"/>
      <c r="CH138" s="579"/>
      <c r="CI138" s="498"/>
      <c r="CJ138" s="578"/>
      <c r="CK138" s="498"/>
      <c r="CL138" s="579"/>
      <c r="CM138" s="498"/>
      <c r="CN138" s="578"/>
      <c r="CO138" s="498"/>
      <c r="CP138" s="579"/>
      <c r="CQ138" s="498"/>
      <c r="CR138" s="578"/>
      <c r="CS138" s="498"/>
      <c r="CT138" s="579"/>
      <c r="CU138" s="498"/>
      <c r="CV138" s="578"/>
      <c r="CW138" s="498"/>
      <c r="CX138" s="579"/>
      <c r="CY138" s="498"/>
      <c r="CZ138" s="578"/>
      <c r="DA138" s="498"/>
      <c r="DB138" s="579"/>
      <c r="DC138" s="498"/>
      <c r="DD138" s="578"/>
      <c r="DE138" s="498"/>
      <c r="DF138" s="579"/>
      <c r="DG138" s="498"/>
      <c r="DH138" s="578"/>
      <c r="DI138" s="498"/>
      <c r="DJ138" s="579"/>
      <c r="DK138" s="498"/>
      <c r="DL138" s="578"/>
      <c r="DM138" s="498"/>
      <c r="DN138" s="579"/>
      <c r="DO138" s="498"/>
      <c r="DP138" s="572"/>
      <c r="DQ138" s="328"/>
      <c r="DR138" s="328">
        <f t="shared" si="43"/>
        <v>0</v>
      </c>
      <c r="DS138" s="329"/>
      <c r="DT138" s="329"/>
      <c r="DU138" s="578"/>
      <c r="DV138" s="498"/>
      <c r="DW138" s="579"/>
      <c r="DX138" s="498"/>
      <c r="DY138" s="578"/>
      <c r="DZ138" s="498"/>
      <c r="EA138" s="579"/>
      <c r="EB138" s="498"/>
      <c r="EC138" s="578"/>
      <c r="ED138" s="498"/>
      <c r="EE138" s="579"/>
      <c r="EF138" s="498"/>
      <c r="EG138" s="578"/>
      <c r="EH138" s="498"/>
      <c r="EI138" s="579"/>
      <c r="EJ138" s="498"/>
      <c r="EK138" s="578"/>
      <c r="EL138" s="498"/>
      <c r="EM138" s="579"/>
      <c r="EN138" s="498"/>
      <c r="EO138" s="578"/>
      <c r="EP138" s="498"/>
      <c r="EQ138" s="579"/>
      <c r="ER138" s="498"/>
      <c r="ES138" s="578"/>
      <c r="ET138" s="498"/>
      <c r="EU138" s="579"/>
      <c r="EV138" s="498"/>
      <c r="EW138" s="578"/>
      <c r="EX138" s="498"/>
      <c r="EY138" s="579"/>
      <c r="EZ138" s="498"/>
      <c r="FA138" s="578"/>
      <c r="FB138" s="498"/>
      <c r="FC138" s="579"/>
      <c r="FD138" s="498"/>
      <c r="FE138" s="578"/>
      <c r="FF138" s="498"/>
      <c r="FG138" s="579"/>
      <c r="FH138" s="498"/>
      <c r="FI138" s="578"/>
      <c r="FJ138" s="498"/>
      <c r="FK138" s="579"/>
      <c r="FL138" s="498"/>
      <c r="FM138" s="578"/>
      <c r="FN138" s="498"/>
      <c r="FO138" s="579"/>
      <c r="FP138" s="498"/>
      <c r="FQ138" s="572"/>
      <c r="FR138" s="328"/>
      <c r="FS138" s="328">
        <f t="shared" si="44"/>
        <v>0</v>
      </c>
      <c r="FT138" s="573"/>
    </row>
    <row r="139" spans="1:176" s="574" customFormat="1" outlineLevel="2">
      <c r="A139" s="580" t="s">
        <v>469</v>
      </c>
      <c r="B139" s="580" t="s">
        <v>51</v>
      </c>
      <c r="C139" s="587" t="s">
        <v>72</v>
      </c>
      <c r="D139" s="580" t="s">
        <v>32</v>
      </c>
      <c r="E139" s="588">
        <f>IF(ISBLANK(G139),"",IF($A$6:$A$330=$A139,COUNTIF($A$6:A139,$A139),""))</f>
        <v>34</v>
      </c>
      <c r="F139" s="671" t="s">
        <v>89</v>
      </c>
      <c r="G139" s="331">
        <v>4441000100</v>
      </c>
      <c r="H139" s="606" t="s">
        <v>434</v>
      </c>
      <c r="I139" s="621">
        <f t="shared" si="45"/>
        <v>4579.1639344262294</v>
      </c>
      <c r="J139" s="619"/>
      <c r="K139" s="321"/>
      <c r="L139" s="619"/>
      <c r="M139" s="353"/>
      <c r="N139" s="353">
        <f t="shared" si="22"/>
        <v>0</v>
      </c>
      <c r="O139" s="578"/>
      <c r="P139" s="498"/>
      <c r="Q139" s="579"/>
      <c r="R139" s="498"/>
      <c r="S139" s="578"/>
      <c r="T139" s="498"/>
      <c r="U139" s="579"/>
      <c r="V139" s="498"/>
      <c r="W139" s="578"/>
      <c r="X139" s="498"/>
      <c r="Y139" s="579"/>
      <c r="Z139" s="498"/>
      <c r="AA139" s="578"/>
      <c r="AB139" s="498"/>
      <c r="AC139" s="579"/>
      <c r="AD139" s="498"/>
      <c r="AE139" s="578"/>
      <c r="AF139" s="498"/>
      <c r="AG139" s="579"/>
      <c r="AH139" s="498"/>
      <c r="AI139" s="578"/>
      <c r="AJ139" s="498"/>
      <c r="AK139" s="579"/>
      <c r="AL139" s="498"/>
      <c r="AM139" s="578"/>
      <c r="AN139" s="498"/>
      <c r="AO139" s="579"/>
      <c r="AP139" s="498"/>
      <c r="AQ139" s="578"/>
      <c r="AR139" s="498"/>
      <c r="AS139" s="579"/>
      <c r="AT139" s="498"/>
      <c r="AU139" s="578"/>
      <c r="AV139" s="498"/>
      <c r="AW139" s="579"/>
      <c r="AX139" s="498"/>
      <c r="AY139" s="578"/>
      <c r="AZ139" s="498"/>
      <c r="BA139" s="579"/>
      <c r="BB139" s="498"/>
      <c r="BC139" s="578"/>
      <c r="BD139" s="498"/>
      <c r="BE139" s="579"/>
      <c r="BF139" s="498"/>
      <c r="BG139" s="578"/>
      <c r="BH139" s="498"/>
      <c r="BI139" s="579"/>
      <c r="BJ139" s="498"/>
      <c r="BK139" s="572"/>
      <c r="BL139" s="328">
        <f t="shared" si="23"/>
        <v>0</v>
      </c>
      <c r="BM139" s="328">
        <f t="shared" si="24"/>
        <v>0</v>
      </c>
      <c r="BN139" s="324">
        <f t="shared" si="25"/>
        <v>0</v>
      </c>
      <c r="BO139" s="325">
        <f t="shared" si="26"/>
        <v>0</v>
      </c>
      <c r="BP139" s="326">
        <f t="shared" si="27"/>
        <v>0</v>
      </c>
      <c r="BQ139" s="327">
        <f t="shared" si="28"/>
        <v>0</v>
      </c>
      <c r="BR139" s="329"/>
      <c r="BS139" s="329"/>
      <c r="BT139" s="578"/>
      <c r="BU139" s="498"/>
      <c r="BV139" s="579"/>
      <c r="BW139" s="498"/>
      <c r="BX139" s="578"/>
      <c r="BY139" s="498"/>
      <c r="BZ139" s="579"/>
      <c r="CA139" s="498"/>
      <c r="CB139" s="578"/>
      <c r="CC139" s="498"/>
      <c r="CD139" s="579"/>
      <c r="CE139" s="498"/>
      <c r="CF139" s="578"/>
      <c r="CG139" s="498"/>
      <c r="CH139" s="579"/>
      <c r="CI139" s="498"/>
      <c r="CJ139" s="578"/>
      <c r="CK139" s="498"/>
      <c r="CL139" s="579"/>
      <c r="CM139" s="498"/>
      <c r="CN139" s="578"/>
      <c r="CO139" s="498"/>
      <c r="CP139" s="579"/>
      <c r="CQ139" s="498"/>
      <c r="CR139" s="578"/>
      <c r="CS139" s="498"/>
      <c r="CT139" s="579"/>
      <c r="CU139" s="498"/>
      <c r="CV139" s="578"/>
      <c r="CW139" s="498"/>
      <c r="CX139" s="579"/>
      <c r="CY139" s="498"/>
      <c r="CZ139" s="578"/>
      <c r="DA139" s="498"/>
      <c r="DB139" s="579"/>
      <c r="DC139" s="498"/>
      <c r="DD139" s="578"/>
      <c r="DE139" s="498"/>
      <c r="DF139" s="579"/>
      <c r="DG139" s="498"/>
      <c r="DH139" s="578"/>
      <c r="DI139" s="498"/>
      <c r="DJ139" s="579"/>
      <c r="DK139" s="498"/>
      <c r="DL139" s="578"/>
      <c r="DM139" s="498"/>
      <c r="DN139" s="579"/>
      <c r="DO139" s="498"/>
      <c r="DP139" s="572"/>
      <c r="DQ139" s="328"/>
      <c r="DR139" s="328">
        <f t="shared" si="43"/>
        <v>0</v>
      </c>
      <c r="DS139" s="329"/>
      <c r="DT139" s="329"/>
      <c r="DU139" s="578"/>
      <c r="DV139" s="498"/>
      <c r="DW139" s="579"/>
      <c r="DX139" s="498"/>
      <c r="DY139" s="578"/>
      <c r="DZ139" s="498"/>
      <c r="EA139" s="579"/>
      <c r="EB139" s="498"/>
      <c r="EC139" s="578"/>
      <c r="ED139" s="498"/>
      <c r="EE139" s="579"/>
      <c r="EF139" s="498"/>
      <c r="EG139" s="578"/>
      <c r="EH139" s="498"/>
      <c r="EI139" s="579"/>
      <c r="EJ139" s="498"/>
      <c r="EK139" s="578"/>
      <c r="EL139" s="498"/>
      <c r="EM139" s="579"/>
      <c r="EN139" s="498"/>
      <c r="EO139" s="578"/>
      <c r="EP139" s="498"/>
      <c r="EQ139" s="579"/>
      <c r="ER139" s="498"/>
      <c r="ES139" s="578"/>
      <c r="ET139" s="498"/>
      <c r="EU139" s="579"/>
      <c r="EV139" s="498"/>
      <c r="EW139" s="578"/>
      <c r="EX139" s="498"/>
      <c r="EY139" s="579"/>
      <c r="EZ139" s="498"/>
      <c r="FA139" s="578"/>
      <c r="FB139" s="498"/>
      <c r="FC139" s="579"/>
      <c r="FD139" s="498"/>
      <c r="FE139" s="578"/>
      <c r="FF139" s="498"/>
      <c r="FG139" s="579"/>
      <c r="FH139" s="498"/>
      <c r="FI139" s="578"/>
      <c r="FJ139" s="498"/>
      <c r="FK139" s="579"/>
      <c r="FL139" s="498"/>
      <c r="FM139" s="578"/>
      <c r="FN139" s="498"/>
      <c r="FO139" s="579"/>
      <c r="FP139" s="498"/>
      <c r="FQ139" s="572"/>
      <c r="FR139" s="328"/>
      <c r="FS139" s="328">
        <f t="shared" si="44"/>
        <v>0</v>
      </c>
      <c r="FT139" s="573"/>
    </row>
    <row r="140" spans="1:176" s="574" customFormat="1" outlineLevel="2">
      <c r="A140" s="580" t="s">
        <v>469</v>
      </c>
      <c r="B140" s="580" t="s">
        <v>51</v>
      </c>
      <c r="C140" s="587" t="s">
        <v>72</v>
      </c>
      <c r="D140" s="580" t="s">
        <v>32</v>
      </c>
      <c r="E140" s="588">
        <f>IF(ISBLANK(G140),"",IF($A$6:$A$330=$A140,COUNTIF($A$6:A140,$A140),""))</f>
        <v>35</v>
      </c>
      <c r="F140" s="672" t="s">
        <v>89</v>
      </c>
      <c r="G140" s="331">
        <v>4441000470</v>
      </c>
      <c r="H140" s="606" t="s">
        <v>434</v>
      </c>
      <c r="I140" s="621">
        <f t="shared" si="45"/>
        <v>4579.1639344262294</v>
      </c>
      <c r="J140" s="619"/>
      <c r="K140" s="321"/>
      <c r="L140" s="619"/>
      <c r="M140" s="353"/>
      <c r="N140" s="353">
        <f t="shared" si="22"/>
        <v>0</v>
      </c>
      <c r="O140" s="578"/>
      <c r="P140" s="498"/>
      <c r="Q140" s="579"/>
      <c r="R140" s="498"/>
      <c r="S140" s="578"/>
      <c r="T140" s="498"/>
      <c r="U140" s="579"/>
      <c r="V140" s="498"/>
      <c r="W140" s="578"/>
      <c r="X140" s="498"/>
      <c r="Y140" s="579"/>
      <c r="Z140" s="498"/>
      <c r="AA140" s="578"/>
      <c r="AB140" s="498"/>
      <c r="AC140" s="579"/>
      <c r="AD140" s="498"/>
      <c r="AE140" s="578"/>
      <c r="AF140" s="498"/>
      <c r="AG140" s="579"/>
      <c r="AH140" s="498"/>
      <c r="AI140" s="578"/>
      <c r="AJ140" s="498"/>
      <c r="AK140" s="579"/>
      <c r="AL140" s="498"/>
      <c r="AM140" s="578"/>
      <c r="AN140" s="498"/>
      <c r="AO140" s="579"/>
      <c r="AP140" s="498"/>
      <c r="AQ140" s="578"/>
      <c r="AR140" s="498"/>
      <c r="AS140" s="579"/>
      <c r="AT140" s="498"/>
      <c r="AU140" s="578"/>
      <c r="AV140" s="498"/>
      <c r="AW140" s="579"/>
      <c r="AX140" s="498"/>
      <c r="AY140" s="578"/>
      <c r="AZ140" s="498"/>
      <c r="BA140" s="579"/>
      <c r="BB140" s="498"/>
      <c r="BC140" s="578"/>
      <c r="BD140" s="498"/>
      <c r="BE140" s="579"/>
      <c r="BF140" s="498"/>
      <c r="BG140" s="578"/>
      <c r="BH140" s="498"/>
      <c r="BI140" s="579"/>
      <c r="BJ140" s="498"/>
      <c r="BK140" s="572"/>
      <c r="BL140" s="328">
        <f t="shared" si="23"/>
        <v>0</v>
      </c>
      <c r="BM140" s="328">
        <f t="shared" si="24"/>
        <v>0</v>
      </c>
      <c r="BN140" s="324">
        <f t="shared" si="25"/>
        <v>0</v>
      </c>
      <c r="BO140" s="325">
        <f t="shared" si="26"/>
        <v>0</v>
      </c>
      <c r="BP140" s="326">
        <f t="shared" si="27"/>
        <v>0</v>
      </c>
      <c r="BQ140" s="327">
        <f t="shared" si="28"/>
        <v>0</v>
      </c>
      <c r="BR140" s="329"/>
      <c r="BS140" s="329"/>
      <c r="BT140" s="578"/>
      <c r="BU140" s="498"/>
      <c r="BV140" s="579"/>
      <c r="BW140" s="498"/>
      <c r="BX140" s="578"/>
      <c r="BY140" s="498"/>
      <c r="BZ140" s="579"/>
      <c r="CA140" s="498"/>
      <c r="CB140" s="578"/>
      <c r="CC140" s="498"/>
      <c r="CD140" s="579"/>
      <c r="CE140" s="498"/>
      <c r="CF140" s="578"/>
      <c r="CG140" s="498"/>
      <c r="CH140" s="579"/>
      <c r="CI140" s="498"/>
      <c r="CJ140" s="578"/>
      <c r="CK140" s="498"/>
      <c r="CL140" s="579"/>
      <c r="CM140" s="498"/>
      <c r="CN140" s="578"/>
      <c r="CO140" s="498"/>
      <c r="CP140" s="579"/>
      <c r="CQ140" s="498"/>
      <c r="CR140" s="578"/>
      <c r="CS140" s="498"/>
      <c r="CT140" s="579"/>
      <c r="CU140" s="498"/>
      <c r="CV140" s="578"/>
      <c r="CW140" s="498"/>
      <c r="CX140" s="579"/>
      <c r="CY140" s="498"/>
      <c r="CZ140" s="578"/>
      <c r="DA140" s="498"/>
      <c r="DB140" s="579"/>
      <c r="DC140" s="498"/>
      <c r="DD140" s="578"/>
      <c r="DE140" s="498"/>
      <c r="DF140" s="579"/>
      <c r="DG140" s="498"/>
      <c r="DH140" s="578"/>
      <c r="DI140" s="498"/>
      <c r="DJ140" s="579"/>
      <c r="DK140" s="498"/>
      <c r="DL140" s="578"/>
      <c r="DM140" s="498"/>
      <c r="DN140" s="579"/>
      <c r="DO140" s="498"/>
      <c r="DP140" s="572"/>
      <c r="DQ140" s="328"/>
      <c r="DR140" s="328">
        <f t="shared" si="43"/>
        <v>0</v>
      </c>
      <c r="DS140" s="329"/>
      <c r="DT140" s="329"/>
      <c r="DU140" s="578"/>
      <c r="DV140" s="498"/>
      <c r="DW140" s="579"/>
      <c r="DX140" s="498"/>
      <c r="DY140" s="578"/>
      <c r="DZ140" s="498"/>
      <c r="EA140" s="579"/>
      <c r="EB140" s="498"/>
      <c r="EC140" s="578"/>
      <c r="ED140" s="498"/>
      <c r="EE140" s="579"/>
      <c r="EF140" s="498"/>
      <c r="EG140" s="578"/>
      <c r="EH140" s="498"/>
      <c r="EI140" s="579"/>
      <c r="EJ140" s="498"/>
      <c r="EK140" s="578"/>
      <c r="EL140" s="498"/>
      <c r="EM140" s="579"/>
      <c r="EN140" s="498"/>
      <c r="EO140" s="578"/>
      <c r="EP140" s="498"/>
      <c r="EQ140" s="579"/>
      <c r="ER140" s="498"/>
      <c r="ES140" s="578"/>
      <c r="ET140" s="498"/>
      <c r="EU140" s="579"/>
      <c r="EV140" s="498"/>
      <c r="EW140" s="578"/>
      <c r="EX140" s="498"/>
      <c r="EY140" s="579"/>
      <c r="EZ140" s="498"/>
      <c r="FA140" s="578"/>
      <c r="FB140" s="498"/>
      <c r="FC140" s="579"/>
      <c r="FD140" s="498"/>
      <c r="FE140" s="578"/>
      <c r="FF140" s="498"/>
      <c r="FG140" s="579"/>
      <c r="FH140" s="498"/>
      <c r="FI140" s="578"/>
      <c r="FJ140" s="498"/>
      <c r="FK140" s="579"/>
      <c r="FL140" s="498"/>
      <c r="FM140" s="578"/>
      <c r="FN140" s="498"/>
      <c r="FO140" s="579"/>
      <c r="FP140" s="498"/>
      <c r="FQ140" s="572"/>
      <c r="FR140" s="328"/>
      <c r="FS140" s="328">
        <f t="shared" si="44"/>
        <v>0</v>
      </c>
      <c r="FT140" s="573"/>
    </row>
    <row r="141" spans="1:176" s="574" customFormat="1" outlineLevel="2">
      <c r="A141" s="589" t="s">
        <v>469</v>
      </c>
      <c r="B141" s="589" t="s">
        <v>51</v>
      </c>
      <c r="C141" s="590" t="s">
        <v>72</v>
      </c>
      <c r="D141" s="589" t="s">
        <v>32</v>
      </c>
      <c r="E141" s="584">
        <f>IF(ISBLANK(G141),"",IF($A$6:$A$330=$A141,COUNTIF($A$6:A141,$A141),""))</f>
        <v>36</v>
      </c>
      <c r="F141" s="671" t="s">
        <v>89</v>
      </c>
      <c r="G141" s="129">
        <v>4441000020</v>
      </c>
      <c r="H141" s="610" t="s">
        <v>445</v>
      </c>
      <c r="I141" s="621">
        <f>1964.2/НДС</f>
        <v>1610</v>
      </c>
      <c r="J141" s="618"/>
      <c r="K141" s="126"/>
      <c r="L141" s="618" t="str">
        <f>IF(K141="RUB",J141/ЮАНЬ,IF(K141="EUR",J141*ЕВРО/ЮАНЬ,""))</f>
        <v/>
      </c>
      <c r="M141" s="568"/>
      <c r="N141" s="353">
        <f t="shared" si="22"/>
        <v>1</v>
      </c>
      <c r="O141" s="569">
        <v>20</v>
      </c>
      <c r="P141" s="570"/>
      <c r="Q141" s="571"/>
      <c r="R141" s="570"/>
      <c r="S141" s="569">
        <v>20</v>
      </c>
      <c r="T141" s="570">
        <f>33+20</f>
        <v>53</v>
      </c>
      <c r="U141" s="571">
        <v>53</v>
      </c>
      <c r="V141" s="570"/>
      <c r="W141" s="569">
        <v>20</v>
      </c>
      <c r="X141" s="570">
        <f>20</f>
        <v>20</v>
      </c>
      <c r="Y141" s="571">
        <v>20</v>
      </c>
      <c r="Z141" s="570"/>
      <c r="AA141" s="569">
        <v>10</v>
      </c>
      <c r="AB141" s="570"/>
      <c r="AC141" s="571"/>
      <c r="AD141" s="570"/>
      <c r="AE141" s="569">
        <v>10</v>
      </c>
      <c r="AF141" s="570"/>
      <c r="AG141" s="571"/>
      <c r="AH141" s="570"/>
      <c r="AI141" s="569">
        <v>10</v>
      </c>
      <c r="AJ141" s="570">
        <v>5</v>
      </c>
      <c r="AK141" s="571"/>
      <c r="AL141" s="570"/>
      <c r="AM141" s="569">
        <v>10</v>
      </c>
      <c r="AN141" s="570">
        <v>10</v>
      </c>
      <c r="AO141" s="571"/>
      <c r="AP141" s="570"/>
      <c r="AQ141" s="569">
        <v>10</v>
      </c>
      <c r="AR141" s="570">
        <v>10</v>
      </c>
      <c r="AS141" s="571"/>
      <c r="AT141" s="570"/>
      <c r="AU141" s="569">
        <v>10</v>
      </c>
      <c r="AV141" s="570"/>
      <c r="AW141" s="571"/>
      <c r="AX141" s="570"/>
      <c r="AY141" s="569">
        <v>10</v>
      </c>
      <c r="AZ141" s="570">
        <v>10</v>
      </c>
      <c r="BA141" s="571"/>
      <c r="BB141" s="570"/>
      <c r="BC141" s="569">
        <v>10</v>
      </c>
      <c r="BD141" s="570">
        <v>10</v>
      </c>
      <c r="BE141" s="571"/>
      <c r="BF141" s="570"/>
      <c r="BG141" s="569">
        <v>10</v>
      </c>
      <c r="BH141" s="570">
        <v>10</v>
      </c>
      <c r="BI141" s="571"/>
      <c r="BJ141" s="570"/>
      <c r="BK141" s="572"/>
      <c r="BL141" s="32">
        <f t="shared" si="23"/>
        <v>150</v>
      </c>
      <c r="BM141" s="32">
        <f t="shared" si="24"/>
        <v>241500</v>
      </c>
      <c r="BN141" s="28">
        <f t="shared" si="25"/>
        <v>128</v>
      </c>
      <c r="BO141" s="29">
        <f t="shared" si="26"/>
        <v>206080</v>
      </c>
      <c r="BP141" s="30">
        <f t="shared" si="27"/>
        <v>73</v>
      </c>
      <c r="BQ141" s="31">
        <f t="shared" si="28"/>
        <v>117530</v>
      </c>
      <c r="BR141" s="11"/>
      <c r="BS141" s="329"/>
      <c r="BT141" s="569">
        <v>15</v>
      </c>
      <c r="BU141" s="570"/>
      <c r="BV141" s="571"/>
      <c r="BW141" s="570"/>
      <c r="BX141" s="569">
        <v>15</v>
      </c>
      <c r="BY141" s="570"/>
      <c r="BZ141" s="571"/>
      <c r="CA141" s="570"/>
      <c r="CB141" s="569">
        <v>15</v>
      </c>
      <c r="CC141" s="570"/>
      <c r="CD141" s="571"/>
      <c r="CE141" s="570"/>
      <c r="CF141" s="569">
        <v>15</v>
      </c>
      <c r="CG141" s="570"/>
      <c r="CH141" s="571"/>
      <c r="CI141" s="570"/>
      <c r="CJ141" s="569">
        <v>15</v>
      </c>
      <c r="CK141" s="570"/>
      <c r="CL141" s="571"/>
      <c r="CM141" s="570"/>
      <c r="CN141" s="569">
        <v>15</v>
      </c>
      <c r="CO141" s="570"/>
      <c r="CP141" s="571"/>
      <c r="CQ141" s="570"/>
      <c r="CR141" s="569">
        <v>15</v>
      </c>
      <c r="CS141" s="570"/>
      <c r="CT141" s="571"/>
      <c r="CU141" s="570"/>
      <c r="CV141" s="569">
        <v>15</v>
      </c>
      <c r="CW141" s="570"/>
      <c r="CX141" s="571"/>
      <c r="CY141" s="570"/>
      <c r="CZ141" s="569">
        <v>15</v>
      </c>
      <c r="DA141" s="570"/>
      <c r="DB141" s="571"/>
      <c r="DC141" s="570"/>
      <c r="DD141" s="569">
        <v>15</v>
      </c>
      <c r="DE141" s="570"/>
      <c r="DF141" s="571"/>
      <c r="DG141" s="570"/>
      <c r="DH141" s="569">
        <v>15</v>
      </c>
      <c r="DI141" s="570"/>
      <c r="DJ141" s="571"/>
      <c r="DK141" s="570"/>
      <c r="DL141" s="569">
        <v>15</v>
      </c>
      <c r="DM141" s="570"/>
      <c r="DN141" s="571"/>
      <c r="DO141" s="570"/>
      <c r="DP141" s="572"/>
      <c r="DQ141" s="32">
        <f>SUMPRODUCT(--(MOD(COLUMN(BT141:CQ141),4)=MOD(COLUMN(BT141),4)),BT141:CQ141)+SUMPRODUCT(--(MOD(COLUMN(CR141:DO141),4)=MOD(COLUMN(CR141),4)),CR141:DO141)</f>
        <v>180</v>
      </c>
      <c r="DR141" s="32">
        <f t="shared" si="43"/>
        <v>289800</v>
      </c>
      <c r="DS141" s="11"/>
      <c r="DT141" s="329"/>
      <c r="DU141" s="569">
        <v>15</v>
      </c>
      <c r="DV141" s="570"/>
      <c r="DW141" s="571"/>
      <c r="DX141" s="570"/>
      <c r="DY141" s="569">
        <v>15</v>
      </c>
      <c r="DZ141" s="570"/>
      <c r="EA141" s="571"/>
      <c r="EB141" s="570"/>
      <c r="EC141" s="569">
        <v>15</v>
      </c>
      <c r="ED141" s="570"/>
      <c r="EE141" s="571"/>
      <c r="EF141" s="570"/>
      <c r="EG141" s="569">
        <v>15</v>
      </c>
      <c r="EH141" s="570"/>
      <c r="EI141" s="571"/>
      <c r="EJ141" s="570"/>
      <c r="EK141" s="569">
        <v>15</v>
      </c>
      <c r="EL141" s="570"/>
      <c r="EM141" s="571"/>
      <c r="EN141" s="570"/>
      <c r="EO141" s="569">
        <v>15</v>
      </c>
      <c r="EP141" s="570"/>
      <c r="EQ141" s="571"/>
      <c r="ER141" s="570"/>
      <c r="ES141" s="569">
        <v>15</v>
      </c>
      <c r="ET141" s="570"/>
      <c r="EU141" s="571"/>
      <c r="EV141" s="570"/>
      <c r="EW141" s="569">
        <v>15</v>
      </c>
      <c r="EX141" s="570"/>
      <c r="EY141" s="571"/>
      <c r="EZ141" s="570"/>
      <c r="FA141" s="569">
        <v>15</v>
      </c>
      <c r="FB141" s="570"/>
      <c r="FC141" s="571"/>
      <c r="FD141" s="570"/>
      <c r="FE141" s="569">
        <v>15</v>
      </c>
      <c r="FF141" s="570"/>
      <c r="FG141" s="571"/>
      <c r="FH141" s="570"/>
      <c r="FI141" s="569">
        <v>15</v>
      </c>
      <c r="FJ141" s="570"/>
      <c r="FK141" s="571"/>
      <c r="FL141" s="570"/>
      <c r="FM141" s="569">
        <v>15</v>
      </c>
      <c r="FN141" s="570"/>
      <c r="FO141" s="571"/>
      <c r="FP141" s="570"/>
      <c r="FQ141" s="572"/>
      <c r="FR141" s="32">
        <f>SUMPRODUCT(--(MOD(COLUMN(DU141:ER141),4)=MOD(COLUMN(DU141),4)),DU141:ER141)+SUMPRODUCT(--(MOD(COLUMN(ES141:FP141),4)=MOD(COLUMN(ES141),4)),ES141:FP141)</f>
        <v>180</v>
      </c>
      <c r="FS141" s="32">
        <f t="shared" si="44"/>
        <v>289800</v>
      </c>
      <c r="FT141" s="573"/>
    </row>
    <row r="142" spans="1:176" s="574" customFormat="1" outlineLevel="2">
      <c r="A142" s="580" t="s">
        <v>469</v>
      </c>
      <c r="B142" s="580" t="s">
        <v>51</v>
      </c>
      <c r="C142" s="587" t="s">
        <v>72</v>
      </c>
      <c r="D142" s="580" t="s">
        <v>32</v>
      </c>
      <c r="E142" s="588">
        <f>IF(ISBLANK(G142),"",IF($A$6:$A$330=$A142,COUNTIF($A$6:A142,$A142),""))</f>
        <v>37</v>
      </c>
      <c r="F142" s="672" t="s">
        <v>89</v>
      </c>
      <c r="G142" s="501">
        <v>4441000380</v>
      </c>
      <c r="H142" s="611" t="s">
        <v>450</v>
      </c>
      <c r="I142" s="622">
        <f>8402/НДС</f>
        <v>6886.8852459016398</v>
      </c>
      <c r="J142" s="619"/>
      <c r="K142" s="321"/>
      <c r="L142" s="619"/>
      <c r="M142" s="353"/>
      <c r="N142" s="353">
        <f t="shared" si="22"/>
        <v>1</v>
      </c>
      <c r="O142" s="578"/>
      <c r="P142" s="498">
        <f>11</f>
        <v>11</v>
      </c>
      <c r="Q142" s="579">
        <v>11</v>
      </c>
      <c r="R142" s="498"/>
      <c r="S142" s="578"/>
      <c r="T142" s="498">
        <f>11+2</f>
        <v>13</v>
      </c>
      <c r="U142" s="579">
        <v>13</v>
      </c>
      <c r="V142" s="498"/>
      <c r="W142" s="578"/>
      <c r="X142" s="498"/>
      <c r="Y142" s="579"/>
      <c r="Z142" s="498"/>
      <c r="AA142" s="578"/>
      <c r="AB142" s="498">
        <f>5+11</f>
        <v>16</v>
      </c>
      <c r="AC142" s="579">
        <v>16</v>
      </c>
      <c r="AD142" s="498"/>
      <c r="AE142" s="578"/>
      <c r="AF142" s="498">
        <f>6+9+12</f>
        <v>27</v>
      </c>
      <c r="AG142" s="579">
        <v>27</v>
      </c>
      <c r="AH142" s="498"/>
      <c r="AI142" s="578"/>
      <c r="AJ142" s="498">
        <f>4+2+N(15)</f>
        <v>21</v>
      </c>
      <c r="AK142" s="579"/>
      <c r="AL142" s="498"/>
      <c r="AM142" s="578"/>
      <c r="AN142" s="498">
        <v>20</v>
      </c>
      <c r="AO142" s="579"/>
      <c r="AP142" s="498"/>
      <c r="AQ142" s="578"/>
      <c r="AR142" s="498">
        <v>20</v>
      </c>
      <c r="AS142" s="579"/>
      <c r="AT142" s="498"/>
      <c r="AU142" s="578"/>
      <c r="AV142" s="498"/>
      <c r="AW142" s="579"/>
      <c r="AX142" s="498"/>
      <c r="AY142" s="578"/>
      <c r="AZ142" s="498"/>
      <c r="BA142" s="579"/>
      <c r="BB142" s="498"/>
      <c r="BC142" s="578"/>
      <c r="BD142" s="498"/>
      <c r="BE142" s="579"/>
      <c r="BF142" s="498"/>
      <c r="BG142" s="578"/>
      <c r="BH142" s="498"/>
      <c r="BI142" s="579"/>
      <c r="BJ142" s="498"/>
      <c r="BK142" s="572"/>
      <c r="BL142" s="328">
        <f t="shared" si="23"/>
        <v>0</v>
      </c>
      <c r="BM142" s="328">
        <f t="shared" si="24"/>
        <v>0</v>
      </c>
      <c r="BN142" s="324">
        <f t="shared" si="25"/>
        <v>128</v>
      </c>
      <c r="BO142" s="325">
        <f t="shared" si="26"/>
        <v>881521.31147540989</v>
      </c>
      <c r="BP142" s="326">
        <f t="shared" si="27"/>
        <v>67</v>
      </c>
      <c r="BQ142" s="327">
        <f t="shared" si="28"/>
        <v>461421.31147540989</v>
      </c>
      <c r="BR142" s="329"/>
      <c r="BS142" s="329"/>
      <c r="BT142" s="578"/>
      <c r="BU142" s="498"/>
      <c r="BV142" s="579"/>
      <c r="BW142" s="498"/>
      <c r="BX142" s="578"/>
      <c r="BY142" s="498"/>
      <c r="BZ142" s="579"/>
      <c r="CA142" s="498"/>
      <c r="CB142" s="578"/>
      <c r="CC142" s="498"/>
      <c r="CD142" s="579"/>
      <c r="CE142" s="498"/>
      <c r="CF142" s="578"/>
      <c r="CG142" s="498"/>
      <c r="CH142" s="579"/>
      <c r="CI142" s="498"/>
      <c r="CJ142" s="578"/>
      <c r="CK142" s="498"/>
      <c r="CL142" s="579"/>
      <c r="CM142" s="498"/>
      <c r="CN142" s="578"/>
      <c r="CO142" s="498"/>
      <c r="CP142" s="579"/>
      <c r="CQ142" s="498"/>
      <c r="CR142" s="578"/>
      <c r="CS142" s="498"/>
      <c r="CT142" s="579"/>
      <c r="CU142" s="498"/>
      <c r="CV142" s="578"/>
      <c r="CW142" s="498"/>
      <c r="CX142" s="579"/>
      <c r="CY142" s="498"/>
      <c r="CZ142" s="578"/>
      <c r="DA142" s="498"/>
      <c r="DB142" s="579"/>
      <c r="DC142" s="498"/>
      <c r="DD142" s="578"/>
      <c r="DE142" s="498"/>
      <c r="DF142" s="579"/>
      <c r="DG142" s="498"/>
      <c r="DH142" s="578"/>
      <c r="DI142" s="498"/>
      <c r="DJ142" s="579"/>
      <c r="DK142" s="498"/>
      <c r="DL142" s="578"/>
      <c r="DM142" s="498"/>
      <c r="DN142" s="579"/>
      <c r="DO142" s="498"/>
      <c r="DP142" s="572"/>
      <c r="DQ142" s="328"/>
      <c r="DR142" s="328">
        <f t="shared" si="43"/>
        <v>0</v>
      </c>
      <c r="DS142" s="329"/>
      <c r="DT142" s="329"/>
      <c r="DU142" s="578"/>
      <c r="DV142" s="498"/>
      <c r="DW142" s="579"/>
      <c r="DX142" s="498"/>
      <c r="DY142" s="578"/>
      <c r="DZ142" s="498"/>
      <c r="EA142" s="579"/>
      <c r="EB142" s="498"/>
      <c r="EC142" s="578"/>
      <c r="ED142" s="498"/>
      <c r="EE142" s="579"/>
      <c r="EF142" s="498"/>
      <c r="EG142" s="578"/>
      <c r="EH142" s="498"/>
      <c r="EI142" s="579"/>
      <c r="EJ142" s="498"/>
      <c r="EK142" s="578"/>
      <c r="EL142" s="498"/>
      <c r="EM142" s="579"/>
      <c r="EN142" s="498"/>
      <c r="EO142" s="578"/>
      <c r="EP142" s="498"/>
      <c r="EQ142" s="579"/>
      <c r="ER142" s="498"/>
      <c r="ES142" s="578"/>
      <c r="ET142" s="498"/>
      <c r="EU142" s="579"/>
      <c r="EV142" s="498"/>
      <c r="EW142" s="578"/>
      <c r="EX142" s="498"/>
      <c r="EY142" s="579"/>
      <c r="EZ142" s="498"/>
      <c r="FA142" s="578"/>
      <c r="FB142" s="498"/>
      <c r="FC142" s="579"/>
      <c r="FD142" s="498"/>
      <c r="FE142" s="578"/>
      <c r="FF142" s="498"/>
      <c r="FG142" s="579"/>
      <c r="FH142" s="498"/>
      <c r="FI142" s="578"/>
      <c r="FJ142" s="498"/>
      <c r="FK142" s="579"/>
      <c r="FL142" s="498"/>
      <c r="FM142" s="578"/>
      <c r="FN142" s="498"/>
      <c r="FO142" s="579"/>
      <c r="FP142" s="498"/>
      <c r="FQ142" s="572"/>
      <c r="FR142" s="328"/>
      <c r="FS142" s="328">
        <f t="shared" si="44"/>
        <v>0</v>
      </c>
      <c r="FT142" s="573"/>
    </row>
    <row r="143" spans="1:176" s="574" customFormat="1" outlineLevel="2">
      <c r="A143" s="580" t="s">
        <v>469</v>
      </c>
      <c r="B143" s="580" t="s">
        <v>51</v>
      </c>
      <c r="C143" s="587" t="s">
        <v>72</v>
      </c>
      <c r="D143" s="580" t="s">
        <v>32</v>
      </c>
      <c r="E143" s="588">
        <f>IF(ISBLANK(G143),"",IF($A$6:$A$330=$A143,COUNTIF($A$6:A143,$A143),""))</f>
        <v>38</v>
      </c>
      <c r="F143" s="672" t="s">
        <v>89</v>
      </c>
      <c r="G143" s="501">
        <v>4441000400</v>
      </c>
      <c r="H143" s="611" t="s">
        <v>465</v>
      </c>
      <c r="I143" s="622">
        <f>7678/НДС</f>
        <v>6293.4426229508199</v>
      </c>
      <c r="J143" s="619"/>
      <c r="K143" s="321"/>
      <c r="L143" s="619"/>
      <c r="M143" s="353"/>
      <c r="N143" s="353">
        <f t="shared" ref="N143:N207" si="46">IF(BP143&gt;0,1,IF(BN143&gt;0,2,))</f>
        <v>1</v>
      </c>
      <c r="O143" s="578"/>
      <c r="P143" s="498"/>
      <c r="Q143" s="579"/>
      <c r="R143" s="498"/>
      <c r="S143" s="578"/>
      <c r="T143" s="498"/>
      <c r="U143" s="579"/>
      <c r="V143" s="498"/>
      <c r="W143" s="578"/>
      <c r="X143" s="498"/>
      <c r="Y143" s="579"/>
      <c r="Z143" s="498"/>
      <c r="AA143" s="578"/>
      <c r="AB143" s="498">
        <f>5+3</f>
        <v>8</v>
      </c>
      <c r="AC143" s="579">
        <v>8</v>
      </c>
      <c r="AD143" s="498"/>
      <c r="AE143" s="578"/>
      <c r="AF143" s="498">
        <f>1</f>
        <v>1</v>
      </c>
      <c r="AG143" s="579">
        <v>1</v>
      </c>
      <c r="AH143" s="498"/>
      <c r="AI143" s="578"/>
      <c r="AJ143" s="498">
        <f>2+5+N(5)</f>
        <v>12</v>
      </c>
      <c r="AK143" s="579"/>
      <c r="AL143" s="498"/>
      <c r="AM143" s="578"/>
      <c r="AN143" s="498">
        <v>10</v>
      </c>
      <c r="AO143" s="579"/>
      <c r="AP143" s="498"/>
      <c r="AQ143" s="578"/>
      <c r="AR143" s="498">
        <v>15</v>
      </c>
      <c r="AS143" s="579"/>
      <c r="AT143" s="498"/>
      <c r="AU143" s="578"/>
      <c r="AV143" s="498">
        <v>20</v>
      </c>
      <c r="AW143" s="579"/>
      <c r="AX143" s="498"/>
      <c r="AY143" s="578"/>
      <c r="AZ143" s="498">
        <v>20</v>
      </c>
      <c r="BA143" s="579"/>
      <c r="BB143" s="498"/>
      <c r="BC143" s="578"/>
      <c r="BD143" s="498">
        <v>20</v>
      </c>
      <c r="BE143" s="579"/>
      <c r="BF143" s="498"/>
      <c r="BG143" s="578"/>
      <c r="BH143" s="498">
        <v>20</v>
      </c>
      <c r="BI143" s="579"/>
      <c r="BJ143" s="498"/>
      <c r="BK143" s="572"/>
      <c r="BL143" s="328">
        <f t="shared" ref="BL143:BL207" si="47">SUMPRODUCT(--(MOD(COLUMN($O143:$AL143),4)=MOD(COLUMN($O143)+0,4)),$O143:$AL143)
+SUMPRODUCT(--(MOD(COLUMN($AM143:$BJ143),4)=MOD(COLUMN($AM143)+0,4)),$AM143:$BJ143)</f>
        <v>0</v>
      </c>
      <c r="BM143" s="328">
        <f t="shared" ref="BM143:BM207" si="48">SUMPRODUCT(--(MOD(COLUMN($O143:$AL143),4)=MOD(COLUMN($O143)+0,4)),$O143:$AL143)*$I143
+SUMPRODUCT(--(MOD(COLUMN($AM143:$BJ143),4)=MOD(COLUMN($AM143)+0,4)),$AM143:$BJ143)*$I143</f>
        <v>0</v>
      </c>
      <c r="BN143" s="324">
        <f t="shared" ref="BN143:BN207" si="49">SUMPRODUCT(--(MOD(COLUMN($O143:$AL143),4)=MOD(COLUMN($O143)+1,4)),$O143:$AL143)
+SUMPRODUCT(--(MOD(COLUMN($AM143:$BJ143),4)=MOD(COLUMN($AM143)+1,4)),$AM143:$BJ143)</f>
        <v>126</v>
      </c>
      <c r="BO143" s="325">
        <f t="shared" ref="BO143:BO207" si="50">SUMPRODUCT(--(MOD(COLUMN($O143:$AL143),4)=MOD(COLUMN($O143)+1,4)),$O143:$AL143)*$I143
+SUMPRODUCT(--(MOD(COLUMN($AM143:$BJ143),4)=MOD(COLUMN($AM143)+1,4)),$AM143:$BJ143)*$I143</f>
        <v>792973.7704918033</v>
      </c>
      <c r="BP143" s="326">
        <f t="shared" ref="BP143:BP207" si="51">SUMPRODUCT(--(MOD(COLUMN($O143:$AL143),4)=MOD(COLUMN($O143)+2,4)),$O143:$AL143)
+SUMPRODUCT(--(MOD(COLUMN($AM143:$BJ143),4)=MOD(COLUMN($AM143)+2,4)),$AM143:$BJ143)</f>
        <v>9</v>
      </c>
      <c r="BQ143" s="327">
        <f t="shared" ref="BQ143:BQ207" si="52">SUMPRODUCT(--(MOD(COLUMN($O143:$AL143),4)=MOD(COLUMN($O143)+2,4)),$O143:$AL143)*$I143
+SUMPRODUCT(--(MOD(COLUMN($AM143:$BJ143),4)=MOD(COLUMN($AM143)+2,4)),$AM143:$BJ143)*$I143</f>
        <v>56640.983606557376</v>
      </c>
      <c r="BR143" s="329"/>
      <c r="BS143" s="329"/>
      <c r="BT143" s="578"/>
      <c r="BU143" s="498"/>
      <c r="BV143" s="579"/>
      <c r="BW143" s="498"/>
      <c r="BX143" s="578"/>
      <c r="BY143" s="498"/>
      <c r="BZ143" s="579"/>
      <c r="CA143" s="498"/>
      <c r="CB143" s="578"/>
      <c r="CC143" s="498"/>
      <c r="CD143" s="579"/>
      <c r="CE143" s="498"/>
      <c r="CF143" s="578"/>
      <c r="CG143" s="498"/>
      <c r="CH143" s="579"/>
      <c r="CI143" s="498"/>
      <c r="CJ143" s="578"/>
      <c r="CK143" s="498"/>
      <c r="CL143" s="579"/>
      <c r="CM143" s="498"/>
      <c r="CN143" s="578"/>
      <c r="CO143" s="498"/>
      <c r="CP143" s="579"/>
      <c r="CQ143" s="498"/>
      <c r="CR143" s="578"/>
      <c r="CS143" s="498"/>
      <c r="CT143" s="579"/>
      <c r="CU143" s="498"/>
      <c r="CV143" s="578"/>
      <c r="CW143" s="498"/>
      <c r="CX143" s="579"/>
      <c r="CY143" s="498"/>
      <c r="CZ143" s="578"/>
      <c r="DA143" s="498"/>
      <c r="DB143" s="579"/>
      <c r="DC143" s="498"/>
      <c r="DD143" s="578"/>
      <c r="DE143" s="498"/>
      <c r="DF143" s="579"/>
      <c r="DG143" s="498"/>
      <c r="DH143" s="578"/>
      <c r="DI143" s="498"/>
      <c r="DJ143" s="579"/>
      <c r="DK143" s="498"/>
      <c r="DL143" s="578"/>
      <c r="DM143" s="498"/>
      <c r="DN143" s="579"/>
      <c r="DO143" s="498"/>
      <c r="DP143" s="572"/>
      <c r="DQ143" s="328"/>
      <c r="DR143" s="328"/>
      <c r="DS143" s="329"/>
      <c r="DT143" s="329"/>
      <c r="DU143" s="578"/>
      <c r="DV143" s="498"/>
      <c r="DW143" s="579"/>
      <c r="DX143" s="498"/>
      <c r="DY143" s="578"/>
      <c r="DZ143" s="498"/>
      <c r="EA143" s="579"/>
      <c r="EB143" s="498"/>
      <c r="EC143" s="578"/>
      <c r="ED143" s="498"/>
      <c r="EE143" s="579"/>
      <c r="EF143" s="498"/>
      <c r="EG143" s="578"/>
      <c r="EH143" s="498"/>
      <c r="EI143" s="579"/>
      <c r="EJ143" s="498"/>
      <c r="EK143" s="578"/>
      <c r="EL143" s="498"/>
      <c r="EM143" s="579"/>
      <c r="EN143" s="498"/>
      <c r="EO143" s="578"/>
      <c r="EP143" s="498"/>
      <c r="EQ143" s="579"/>
      <c r="ER143" s="498"/>
      <c r="ES143" s="578"/>
      <c r="ET143" s="498"/>
      <c r="EU143" s="579"/>
      <c r="EV143" s="498"/>
      <c r="EW143" s="578"/>
      <c r="EX143" s="498"/>
      <c r="EY143" s="579"/>
      <c r="EZ143" s="498"/>
      <c r="FA143" s="578"/>
      <c r="FB143" s="498"/>
      <c r="FC143" s="579"/>
      <c r="FD143" s="498"/>
      <c r="FE143" s="578"/>
      <c r="FF143" s="498"/>
      <c r="FG143" s="579"/>
      <c r="FH143" s="498"/>
      <c r="FI143" s="578"/>
      <c r="FJ143" s="498"/>
      <c r="FK143" s="579"/>
      <c r="FL143" s="498"/>
      <c r="FM143" s="578"/>
      <c r="FN143" s="498"/>
      <c r="FO143" s="579"/>
      <c r="FP143" s="498"/>
      <c r="FQ143" s="572"/>
      <c r="FR143" s="328"/>
      <c r="FS143" s="328"/>
      <c r="FT143" s="573"/>
    </row>
    <row r="144" spans="1:176" s="574" customFormat="1" outlineLevel="2">
      <c r="A144" s="580" t="s">
        <v>469</v>
      </c>
      <c r="B144" s="580" t="s">
        <v>51</v>
      </c>
      <c r="C144" s="587" t="s">
        <v>72</v>
      </c>
      <c r="D144" s="580" t="s">
        <v>32</v>
      </c>
      <c r="E144" s="588">
        <f>IF(ISBLANK(G144),"",IF($A$6:$A$330=$A144,COUNTIF($A$6:A144,$A144),""))</f>
        <v>39</v>
      </c>
      <c r="F144" s="672" t="s">
        <v>89</v>
      </c>
      <c r="G144" s="501">
        <v>4441000220</v>
      </c>
      <c r="H144" s="611" t="s">
        <v>415</v>
      </c>
      <c r="I144" s="622">
        <f>2221/НДС</f>
        <v>1820.4918032786886</v>
      </c>
      <c r="J144" s="619"/>
      <c r="K144" s="321"/>
      <c r="L144" s="619"/>
      <c r="M144" s="353"/>
      <c r="N144" s="353">
        <f t="shared" si="46"/>
        <v>1</v>
      </c>
      <c r="O144" s="578"/>
      <c r="P144" s="498"/>
      <c r="Q144" s="579"/>
      <c r="R144" s="498"/>
      <c r="S144" s="578"/>
      <c r="T144" s="498"/>
      <c r="U144" s="579"/>
      <c r="V144" s="498"/>
      <c r="W144" s="578"/>
      <c r="X144" s="498"/>
      <c r="Y144" s="579"/>
      <c r="Z144" s="498"/>
      <c r="AA144" s="578"/>
      <c r="AB144" s="498">
        <f>5+4</f>
        <v>9</v>
      </c>
      <c r="AC144" s="579">
        <v>9</v>
      </c>
      <c r="AD144" s="498"/>
      <c r="AE144" s="578"/>
      <c r="AF144" s="498">
        <f>6+9+4</f>
        <v>19</v>
      </c>
      <c r="AG144" s="579">
        <v>19</v>
      </c>
      <c r="AH144" s="498"/>
      <c r="AI144" s="578"/>
      <c r="AJ144" s="498">
        <v>5</v>
      </c>
      <c r="AK144" s="579"/>
      <c r="AL144" s="498"/>
      <c r="AM144" s="578"/>
      <c r="AN144" s="498">
        <v>20</v>
      </c>
      <c r="AO144" s="579"/>
      <c r="AP144" s="498"/>
      <c r="AQ144" s="578"/>
      <c r="AR144" s="498">
        <v>20</v>
      </c>
      <c r="AS144" s="579"/>
      <c r="AT144" s="498"/>
      <c r="AU144" s="578"/>
      <c r="AV144" s="498">
        <v>20</v>
      </c>
      <c r="AW144" s="579"/>
      <c r="AX144" s="498"/>
      <c r="AY144" s="578"/>
      <c r="AZ144" s="498">
        <v>20</v>
      </c>
      <c r="BA144" s="579"/>
      <c r="BB144" s="498"/>
      <c r="BC144" s="578"/>
      <c r="BD144" s="498">
        <v>20</v>
      </c>
      <c r="BE144" s="579"/>
      <c r="BF144" s="498"/>
      <c r="BG144" s="578"/>
      <c r="BH144" s="498">
        <v>20</v>
      </c>
      <c r="BI144" s="579"/>
      <c r="BJ144" s="498"/>
      <c r="BK144" s="572"/>
      <c r="BL144" s="328">
        <f t="shared" si="47"/>
        <v>0</v>
      </c>
      <c r="BM144" s="328">
        <f t="shared" si="48"/>
        <v>0</v>
      </c>
      <c r="BN144" s="324">
        <f t="shared" si="49"/>
        <v>153</v>
      </c>
      <c r="BO144" s="325">
        <f t="shared" si="50"/>
        <v>278535.24590163934</v>
      </c>
      <c r="BP144" s="326">
        <f t="shared" si="51"/>
        <v>28</v>
      </c>
      <c r="BQ144" s="327">
        <f t="shared" si="52"/>
        <v>50973.770491803283</v>
      </c>
      <c r="BR144" s="329"/>
      <c r="BS144" s="329"/>
      <c r="BT144" s="578"/>
      <c r="BU144" s="498"/>
      <c r="BV144" s="579"/>
      <c r="BW144" s="498"/>
      <c r="BX144" s="578"/>
      <c r="BY144" s="498"/>
      <c r="BZ144" s="579"/>
      <c r="CA144" s="498"/>
      <c r="CB144" s="578"/>
      <c r="CC144" s="498"/>
      <c r="CD144" s="579"/>
      <c r="CE144" s="498"/>
      <c r="CF144" s="578"/>
      <c r="CG144" s="498"/>
      <c r="CH144" s="579"/>
      <c r="CI144" s="498"/>
      <c r="CJ144" s="578"/>
      <c r="CK144" s="498"/>
      <c r="CL144" s="579"/>
      <c r="CM144" s="498"/>
      <c r="CN144" s="578"/>
      <c r="CO144" s="498"/>
      <c r="CP144" s="579"/>
      <c r="CQ144" s="498"/>
      <c r="CR144" s="578"/>
      <c r="CS144" s="498"/>
      <c r="CT144" s="579"/>
      <c r="CU144" s="498"/>
      <c r="CV144" s="578"/>
      <c r="CW144" s="498"/>
      <c r="CX144" s="579"/>
      <c r="CY144" s="498"/>
      <c r="CZ144" s="578"/>
      <c r="DA144" s="498"/>
      <c r="DB144" s="579"/>
      <c r="DC144" s="498"/>
      <c r="DD144" s="578"/>
      <c r="DE144" s="498"/>
      <c r="DF144" s="579"/>
      <c r="DG144" s="498"/>
      <c r="DH144" s="578"/>
      <c r="DI144" s="498"/>
      <c r="DJ144" s="579"/>
      <c r="DK144" s="498"/>
      <c r="DL144" s="578"/>
      <c r="DM144" s="498"/>
      <c r="DN144" s="579"/>
      <c r="DO144" s="498"/>
      <c r="DP144" s="572"/>
      <c r="DQ144" s="328"/>
      <c r="DR144" s="328"/>
      <c r="DS144" s="329"/>
      <c r="DT144" s="329"/>
      <c r="DU144" s="578"/>
      <c r="DV144" s="498"/>
      <c r="DW144" s="579"/>
      <c r="DX144" s="498"/>
      <c r="DY144" s="578"/>
      <c r="DZ144" s="498"/>
      <c r="EA144" s="579"/>
      <c r="EB144" s="498"/>
      <c r="EC144" s="578"/>
      <c r="ED144" s="498"/>
      <c r="EE144" s="579"/>
      <c r="EF144" s="498"/>
      <c r="EG144" s="578"/>
      <c r="EH144" s="498"/>
      <c r="EI144" s="579"/>
      <c r="EJ144" s="498"/>
      <c r="EK144" s="578"/>
      <c r="EL144" s="498"/>
      <c r="EM144" s="579"/>
      <c r="EN144" s="498"/>
      <c r="EO144" s="578"/>
      <c r="EP144" s="498"/>
      <c r="EQ144" s="579"/>
      <c r="ER144" s="498"/>
      <c r="ES144" s="578"/>
      <c r="ET144" s="498"/>
      <c r="EU144" s="579"/>
      <c r="EV144" s="498"/>
      <c r="EW144" s="578"/>
      <c r="EX144" s="498"/>
      <c r="EY144" s="579"/>
      <c r="EZ144" s="498"/>
      <c r="FA144" s="578"/>
      <c r="FB144" s="498"/>
      <c r="FC144" s="579"/>
      <c r="FD144" s="498"/>
      <c r="FE144" s="578"/>
      <c r="FF144" s="498"/>
      <c r="FG144" s="579"/>
      <c r="FH144" s="498"/>
      <c r="FI144" s="578"/>
      <c r="FJ144" s="498"/>
      <c r="FK144" s="579"/>
      <c r="FL144" s="498"/>
      <c r="FM144" s="578"/>
      <c r="FN144" s="498"/>
      <c r="FO144" s="579"/>
      <c r="FP144" s="498"/>
      <c r="FQ144" s="572"/>
      <c r="FR144" s="328"/>
      <c r="FS144" s="328"/>
      <c r="FT144" s="573"/>
    </row>
    <row r="145" spans="1:176" s="574" customFormat="1" outlineLevel="2">
      <c r="A145" s="580" t="s">
        <v>469</v>
      </c>
      <c r="B145" s="580" t="s">
        <v>51</v>
      </c>
      <c r="C145" s="587" t="s">
        <v>72</v>
      </c>
      <c r="D145" s="580" t="s">
        <v>32</v>
      </c>
      <c r="E145" s="588">
        <f>IF(ISBLANK(G145),"",IF($A$6:$A$330=$A145,COUNTIF($A$6:A145,$A145),""))</f>
        <v>40</v>
      </c>
      <c r="F145" s="672" t="s">
        <v>89</v>
      </c>
      <c r="G145" s="501">
        <v>4441000210</v>
      </c>
      <c r="H145" s="611" t="s">
        <v>443</v>
      </c>
      <c r="I145" s="622">
        <f>847.9/НДС</f>
        <v>695</v>
      </c>
      <c r="J145" s="619"/>
      <c r="K145" s="321"/>
      <c r="L145" s="619"/>
      <c r="M145" s="353"/>
      <c r="N145" s="353">
        <f t="shared" si="46"/>
        <v>1</v>
      </c>
      <c r="O145" s="578"/>
      <c r="P145" s="498"/>
      <c r="Q145" s="579"/>
      <c r="R145" s="498"/>
      <c r="S145" s="578"/>
      <c r="T145" s="498">
        <f>1+3+1</f>
        <v>5</v>
      </c>
      <c r="U145" s="579">
        <v>5</v>
      </c>
      <c r="V145" s="498"/>
      <c r="W145" s="578"/>
      <c r="X145" s="498"/>
      <c r="Y145" s="579"/>
      <c r="Z145" s="498"/>
      <c r="AA145" s="578"/>
      <c r="AB145" s="498">
        <f>1</f>
        <v>1</v>
      </c>
      <c r="AC145" s="579">
        <v>1</v>
      </c>
      <c r="AD145" s="498"/>
      <c r="AE145" s="578"/>
      <c r="AF145" s="498"/>
      <c r="AG145" s="579"/>
      <c r="AH145" s="498"/>
      <c r="AI145" s="578"/>
      <c r="AJ145" s="498"/>
      <c r="AK145" s="579"/>
      <c r="AL145" s="498"/>
      <c r="AM145" s="578"/>
      <c r="AN145" s="498"/>
      <c r="AO145" s="579"/>
      <c r="AP145" s="498"/>
      <c r="AQ145" s="578"/>
      <c r="AR145" s="498"/>
      <c r="AS145" s="579"/>
      <c r="AT145" s="498"/>
      <c r="AU145" s="578"/>
      <c r="AV145" s="498"/>
      <c r="AW145" s="579"/>
      <c r="AX145" s="498"/>
      <c r="AY145" s="578"/>
      <c r="AZ145" s="498"/>
      <c r="BA145" s="579"/>
      <c r="BB145" s="498"/>
      <c r="BC145" s="578"/>
      <c r="BD145" s="498"/>
      <c r="BE145" s="579"/>
      <c r="BF145" s="498"/>
      <c r="BG145" s="578"/>
      <c r="BH145" s="498"/>
      <c r="BI145" s="579"/>
      <c r="BJ145" s="498"/>
      <c r="BK145" s="572"/>
      <c r="BL145" s="328">
        <f t="shared" si="47"/>
        <v>0</v>
      </c>
      <c r="BM145" s="328">
        <f t="shared" si="48"/>
        <v>0</v>
      </c>
      <c r="BN145" s="324">
        <f t="shared" si="49"/>
        <v>6</v>
      </c>
      <c r="BO145" s="325">
        <f t="shared" si="50"/>
        <v>4170</v>
      </c>
      <c r="BP145" s="326">
        <f t="shared" si="51"/>
        <v>6</v>
      </c>
      <c r="BQ145" s="327">
        <f t="shared" si="52"/>
        <v>4170</v>
      </c>
      <c r="BR145" s="329"/>
      <c r="BS145" s="329"/>
      <c r="BT145" s="578"/>
      <c r="BU145" s="498"/>
      <c r="BV145" s="579"/>
      <c r="BW145" s="498"/>
      <c r="BX145" s="578"/>
      <c r="BY145" s="498"/>
      <c r="BZ145" s="579"/>
      <c r="CA145" s="498"/>
      <c r="CB145" s="578"/>
      <c r="CC145" s="498"/>
      <c r="CD145" s="579"/>
      <c r="CE145" s="498"/>
      <c r="CF145" s="578"/>
      <c r="CG145" s="498"/>
      <c r="CH145" s="579"/>
      <c r="CI145" s="498"/>
      <c r="CJ145" s="578"/>
      <c r="CK145" s="498"/>
      <c r="CL145" s="579"/>
      <c r="CM145" s="498"/>
      <c r="CN145" s="578"/>
      <c r="CO145" s="498"/>
      <c r="CP145" s="579"/>
      <c r="CQ145" s="498"/>
      <c r="CR145" s="578"/>
      <c r="CS145" s="498"/>
      <c r="CT145" s="579"/>
      <c r="CU145" s="498"/>
      <c r="CV145" s="578"/>
      <c r="CW145" s="498"/>
      <c r="CX145" s="579"/>
      <c r="CY145" s="498"/>
      <c r="CZ145" s="578"/>
      <c r="DA145" s="498"/>
      <c r="DB145" s="579"/>
      <c r="DC145" s="498"/>
      <c r="DD145" s="578"/>
      <c r="DE145" s="498"/>
      <c r="DF145" s="579"/>
      <c r="DG145" s="498"/>
      <c r="DH145" s="578"/>
      <c r="DI145" s="498"/>
      <c r="DJ145" s="579"/>
      <c r="DK145" s="498"/>
      <c r="DL145" s="578"/>
      <c r="DM145" s="498"/>
      <c r="DN145" s="579"/>
      <c r="DO145" s="498"/>
      <c r="DP145" s="572"/>
      <c r="DQ145" s="328"/>
      <c r="DR145" s="328"/>
      <c r="DS145" s="329"/>
      <c r="DT145" s="329"/>
      <c r="DU145" s="578"/>
      <c r="DV145" s="498"/>
      <c r="DW145" s="579"/>
      <c r="DX145" s="498"/>
      <c r="DY145" s="578"/>
      <c r="DZ145" s="498"/>
      <c r="EA145" s="579"/>
      <c r="EB145" s="498"/>
      <c r="EC145" s="578"/>
      <c r="ED145" s="498"/>
      <c r="EE145" s="579"/>
      <c r="EF145" s="498"/>
      <c r="EG145" s="578"/>
      <c r="EH145" s="498"/>
      <c r="EI145" s="579"/>
      <c r="EJ145" s="498"/>
      <c r="EK145" s="578"/>
      <c r="EL145" s="498"/>
      <c r="EM145" s="579"/>
      <c r="EN145" s="498"/>
      <c r="EO145" s="578"/>
      <c r="EP145" s="498"/>
      <c r="EQ145" s="579"/>
      <c r="ER145" s="498"/>
      <c r="ES145" s="578"/>
      <c r="ET145" s="498"/>
      <c r="EU145" s="579"/>
      <c r="EV145" s="498"/>
      <c r="EW145" s="578"/>
      <c r="EX145" s="498"/>
      <c r="EY145" s="579"/>
      <c r="EZ145" s="498"/>
      <c r="FA145" s="578"/>
      <c r="FB145" s="498"/>
      <c r="FC145" s="579"/>
      <c r="FD145" s="498"/>
      <c r="FE145" s="578"/>
      <c r="FF145" s="498"/>
      <c r="FG145" s="579"/>
      <c r="FH145" s="498"/>
      <c r="FI145" s="578"/>
      <c r="FJ145" s="498"/>
      <c r="FK145" s="579"/>
      <c r="FL145" s="498"/>
      <c r="FM145" s="578"/>
      <c r="FN145" s="498"/>
      <c r="FO145" s="579"/>
      <c r="FP145" s="498"/>
      <c r="FQ145" s="572"/>
      <c r="FR145" s="328"/>
      <c r="FS145" s="328"/>
      <c r="FT145" s="573"/>
    </row>
    <row r="146" spans="1:176" s="574" customFormat="1" outlineLevel="2">
      <c r="A146" s="565" t="s">
        <v>469</v>
      </c>
      <c r="B146" s="565" t="s">
        <v>51</v>
      </c>
      <c r="C146" s="541" t="s">
        <v>72</v>
      </c>
      <c r="D146" s="565" t="s">
        <v>32</v>
      </c>
      <c r="E146" s="566">
        <f>IF(ISBLANK(G146),"",IF($A$6:$A$330=$A146,COUNTIF($A$6:A146,$A146),""))</f>
        <v>41</v>
      </c>
      <c r="F146" s="671" t="s">
        <v>89</v>
      </c>
      <c r="G146" s="720">
        <v>4441000180</v>
      </c>
      <c r="H146" s="721" t="s">
        <v>483</v>
      </c>
      <c r="I146" s="621">
        <f>J146/ЮАНЬ_2025_08_29</f>
        <v>11259.259016393442</v>
      </c>
      <c r="J146" s="621">
        <f>154533.33/НДС</f>
        <v>126666.66393442622</v>
      </c>
      <c r="K146" s="719" t="s">
        <v>95</v>
      </c>
      <c r="L146" s="621">
        <f>IF(K146="RUB",J146/ЮАНЬ,IF(K146="EUR",J146*ЕВРО/ЮАНЬ,""))</f>
        <v>11259.259016393442</v>
      </c>
      <c r="M146" s="568"/>
      <c r="N146" s="353">
        <f t="shared" si="46"/>
        <v>1</v>
      </c>
      <c r="O146" s="569"/>
      <c r="P146" s="570">
        <f>2</f>
        <v>2</v>
      </c>
      <c r="Q146" s="571">
        <v>2</v>
      </c>
      <c r="R146" s="570"/>
      <c r="S146" s="569"/>
      <c r="T146" s="570"/>
      <c r="U146" s="571"/>
      <c r="V146" s="570"/>
      <c r="W146" s="569"/>
      <c r="X146" s="570"/>
      <c r="Y146" s="571"/>
      <c r="Z146" s="570"/>
      <c r="AA146" s="569"/>
      <c r="AB146" s="570">
        <f>1</f>
        <v>1</v>
      </c>
      <c r="AC146" s="571">
        <v>1</v>
      </c>
      <c r="AD146" s="570"/>
      <c r="AE146" s="569"/>
      <c r="AF146" s="570"/>
      <c r="AG146" s="571"/>
      <c r="AH146" s="570"/>
      <c r="AI146" s="569"/>
      <c r="AJ146" s="570"/>
      <c r="AK146" s="571"/>
      <c r="AL146" s="570"/>
      <c r="AM146" s="569"/>
      <c r="AN146" s="570"/>
      <c r="AO146" s="571"/>
      <c r="AP146" s="570"/>
      <c r="AQ146" s="569"/>
      <c r="AR146" s="570"/>
      <c r="AS146" s="571"/>
      <c r="AT146" s="570"/>
      <c r="AU146" s="569"/>
      <c r="AV146" s="570"/>
      <c r="AW146" s="571"/>
      <c r="AX146" s="570"/>
      <c r="AY146" s="569"/>
      <c r="AZ146" s="570"/>
      <c r="BA146" s="571"/>
      <c r="BB146" s="570"/>
      <c r="BC146" s="569"/>
      <c r="BD146" s="570"/>
      <c r="BE146" s="571"/>
      <c r="BF146" s="570"/>
      <c r="BG146" s="569"/>
      <c r="BH146" s="570"/>
      <c r="BI146" s="571"/>
      <c r="BJ146" s="570"/>
      <c r="BK146" s="572"/>
      <c r="BL146" s="32">
        <f t="shared" si="47"/>
        <v>0</v>
      </c>
      <c r="BM146" s="32">
        <f t="shared" si="48"/>
        <v>0</v>
      </c>
      <c r="BN146" s="28">
        <f t="shared" si="49"/>
        <v>3</v>
      </c>
      <c r="BO146" s="29">
        <f t="shared" si="50"/>
        <v>33777.777049180324</v>
      </c>
      <c r="BP146" s="30">
        <f t="shared" si="51"/>
        <v>3</v>
      </c>
      <c r="BQ146" s="31">
        <f t="shared" si="52"/>
        <v>33777.777049180324</v>
      </c>
      <c r="BR146" s="11"/>
      <c r="BS146" s="329"/>
      <c r="BT146" s="569"/>
      <c r="BU146" s="570"/>
      <c r="BV146" s="571"/>
      <c r="BW146" s="570"/>
      <c r="BX146" s="569"/>
      <c r="BY146" s="570"/>
      <c r="BZ146" s="571"/>
      <c r="CA146" s="570"/>
      <c r="CB146" s="569"/>
      <c r="CC146" s="570"/>
      <c r="CD146" s="571"/>
      <c r="CE146" s="570"/>
      <c r="CF146" s="569"/>
      <c r="CG146" s="570"/>
      <c r="CH146" s="571"/>
      <c r="CI146" s="570"/>
      <c r="CJ146" s="569"/>
      <c r="CK146" s="570"/>
      <c r="CL146" s="571"/>
      <c r="CM146" s="570"/>
      <c r="CN146" s="569"/>
      <c r="CO146" s="570"/>
      <c r="CP146" s="571"/>
      <c r="CQ146" s="570"/>
      <c r="CR146" s="569"/>
      <c r="CS146" s="570"/>
      <c r="CT146" s="571"/>
      <c r="CU146" s="570"/>
      <c r="CV146" s="569"/>
      <c r="CW146" s="570"/>
      <c r="CX146" s="571"/>
      <c r="CY146" s="570"/>
      <c r="CZ146" s="569"/>
      <c r="DA146" s="570"/>
      <c r="DB146" s="571"/>
      <c r="DC146" s="570"/>
      <c r="DD146" s="569"/>
      <c r="DE146" s="570"/>
      <c r="DF146" s="571"/>
      <c r="DG146" s="570"/>
      <c r="DH146" s="569"/>
      <c r="DI146" s="570"/>
      <c r="DJ146" s="571"/>
      <c r="DK146" s="570"/>
      <c r="DL146" s="569"/>
      <c r="DM146" s="570"/>
      <c r="DN146" s="571"/>
      <c r="DO146" s="570"/>
      <c r="DP146" s="572"/>
      <c r="DQ146" s="32">
        <f>SUMPRODUCT(--(MOD(COLUMN(BT146:CQ146),4)=MOD(COLUMN(BT146),4)),BT146:CQ146)+SUMPRODUCT(--(MOD(COLUMN(CR146:DO146),4)=MOD(COLUMN(CR146),4)),CR146:DO146)</f>
        <v>0</v>
      </c>
      <c r="DR146" s="32">
        <f>SUMPRODUCT(--(MOD(COLUMN(BT146:CQ146),4)=MOD(COLUMN(BT146),4)),BT146:CQ146)*$I146+SUMPRODUCT(--(MOD(COLUMN(CR146:DO146),4)=MOD(COLUMN(CR146),4)),CR146:DO146)*$I146</f>
        <v>0</v>
      </c>
      <c r="DS146" s="11"/>
      <c r="DT146" s="329"/>
      <c r="DU146" s="569"/>
      <c r="DV146" s="570"/>
      <c r="DW146" s="571"/>
      <c r="DX146" s="570"/>
      <c r="DY146" s="569"/>
      <c r="DZ146" s="570"/>
      <c r="EA146" s="571"/>
      <c r="EB146" s="570"/>
      <c r="EC146" s="569"/>
      <c r="ED146" s="570"/>
      <c r="EE146" s="571"/>
      <c r="EF146" s="570"/>
      <c r="EG146" s="569"/>
      <c r="EH146" s="570"/>
      <c r="EI146" s="571"/>
      <c r="EJ146" s="570"/>
      <c r="EK146" s="569"/>
      <c r="EL146" s="570"/>
      <c r="EM146" s="571"/>
      <c r="EN146" s="570"/>
      <c r="EO146" s="569"/>
      <c r="EP146" s="570"/>
      <c r="EQ146" s="571"/>
      <c r="ER146" s="570"/>
      <c r="ES146" s="569"/>
      <c r="ET146" s="570"/>
      <c r="EU146" s="571"/>
      <c r="EV146" s="570"/>
      <c r="EW146" s="569"/>
      <c r="EX146" s="570"/>
      <c r="EY146" s="571"/>
      <c r="EZ146" s="570"/>
      <c r="FA146" s="569"/>
      <c r="FB146" s="570"/>
      <c r="FC146" s="571"/>
      <c r="FD146" s="570"/>
      <c r="FE146" s="569"/>
      <c r="FF146" s="570"/>
      <c r="FG146" s="571"/>
      <c r="FH146" s="570"/>
      <c r="FI146" s="569"/>
      <c r="FJ146" s="570"/>
      <c r="FK146" s="571"/>
      <c r="FL146" s="570"/>
      <c r="FM146" s="569"/>
      <c r="FN146" s="570"/>
      <c r="FO146" s="571"/>
      <c r="FP146" s="570"/>
      <c r="FQ146" s="572"/>
      <c r="FR146" s="32">
        <f>SUMPRODUCT(--(MOD(COLUMN(DU146:ER146),4)=MOD(COLUMN(DU146),4)),DU146:ER146)+SUMPRODUCT(--(MOD(COLUMN(ES146:FP146),4)=MOD(COLUMN(ES146),4)),ES146:FP146)</f>
        <v>0</v>
      </c>
      <c r="FS146" s="32">
        <f>SUMPRODUCT(--(MOD(COLUMN(DU146:ER146),4)=MOD(COLUMN(DU146),4)),DU146:ER146)*$I146+SUMPRODUCT(--(MOD(COLUMN(ES146:FP146),4)=MOD(COLUMN(ES146),4)),ES146:FP146)*$I146</f>
        <v>0</v>
      </c>
      <c r="FT146" s="573"/>
    </row>
    <row r="147" spans="1:176" s="574" customFormat="1" outlineLevel="2">
      <c r="A147" s="580" t="s">
        <v>469</v>
      </c>
      <c r="B147" s="580" t="s">
        <v>51</v>
      </c>
      <c r="C147" s="587" t="s">
        <v>72</v>
      </c>
      <c r="D147" s="580" t="s">
        <v>32</v>
      </c>
      <c r="E147" s="588">
        <f>IF(ISBLANK(G147),"",IF($A$6:$A$330=$A147,COUNTIF($A$6:A147,$A147),""))</f>
        <v>42</v>
      </c>
      <c r="F147" s="672" t="s">
        <v>89</v>
      </c>
      <c r="G147" s="501">
        <v>4441000590</v>
      </c>
      <c r="H147" s="611" t="s">
        <v>454</v>
      </c>
      <c r="I147" s="622">
        <f>J147/ЮАНЬ_2025_08_29</f>
        <v>11259.259016393442</v>
      </c>
      <c r="J147" s="622">
        <f>154533.33/НДС</f>
        <v>126666.66393442622</v>
      </c>
      <c r="K147" s="585" t="s">
        <v>95</v>
      </c>
      <c r="L147" s="642">
        <f>IF(K147="RUB",J147/ЮАНЬ,IF(K147="EUR",J147*ЕВРО/ЮАНЬ,""))</f>
        <v>11259.259016393442</v>
      </c>
      <c r="M147" s="353"/>
      <c r="N147" s="353">
        <f t="shared" si="46"/>
        <v>1</v>
      </c>
      <c r="O147" s="578"/>
      <c r="P147" s="498"/>
      <c r="Q147" s="579"/>
      <c r="R147" s="498"/>
      <c r="S147" s="578"/>
      <c r="T147" s="498">
        <f>1+3+1</f>
        <v>5</v>
      </c>
      <c r="U147" s="579">
        <v>5</v>
      </c>
      <c r="V147" s="498"/>
      <c r="W147" s="578"/>
      <c r="X147" s="498"/>
      <c r="Y147" s="579"/>
      <c r="Z147" s="498"/>
      <c r="AA147" s="578"/>
      <c r="AB147" s="498"/>
      <c r="AC147" s="579"/>
      <c r="AD147" s="498"/>
      <c r="AE147" s="578"/>
      <c r="AF147" s="498"/>
      <c r="AG147" s="579"/>
      <c r="AH147" s="498"/>
      <c r="AI147" s="578"/>
      <c r="AJ147" s="498"/>
      <c r="AK147" s="579"/>
      <c r="AL147" s="498"/>
      <c r="AM147" s="578"/>
      <c r="AN147" s="498"/>
      <c r="AO147" s="579"/>
      <c r="AP147" s="498"/>
      <c r="AQ147" s="578"/>
      <c r="AR147" s="498"/>
      <c r="AS147" s="579"/>
      <c r="AT147" s="498"/>
      <c r="AU147" s="578"/>
      <c r="AV147" s="498"/>
      <c r="AW147" s="579"/>
      <c r="AX147" s="498"/>
      <c r="AY147" s="578"/>
      <c r="AZ147" s="498"/>
      <c r="BA147" s="579"/>
      <c r="BB147" s="498"/>
      <c r="BC147" s="578"/>
      <c r="BD147" s="498"/>
      <c r="BE147" s="579"/>
      <c r="BF147" s="498"/>
      <c r="BG147" s="578"/>
      <c r="BH147" s="498"/>
      <c r="BI147" s="579"/>
      <c r="BJ147" s="498"/>
      <c r="BK147" s="572"/>
      <c r="BL147" s="328">
        <f t="shared" si="47"/>
        <v>0</v>
      </c>
      <c r="BM147" s="328">
        <f t="shared" si="48"/>
        <v>0</v>
      </c>
      <c r="BN147" s="324">
        <f t="shared" si="49"/>
        <v>5</v>
      </c>
      <c r="BO147" s="325">
        <f t="shared" si="50"/>
        <v>56296.295081967211</v>
      </c>
      <c r="BP147" s="326">
        <f t="shared" si="51"/>
        <v>5</v>
      </c>
      <c r="BQ147" s="327">
        <f t="shared" si="52"/>
        <v>56296.295081967211</v>
      </c>
      <c r="BR147" s="329"/>
      <c r="BS147" s="329"/>
      <c r="BT147" s="578"/>
      <c r="BU147" s="498"/>
      <c r="BV147" s="579"/>
      <c r="BW147" s="498"/>
      <c r="BX147" s="578"/>
      <c r="BY147" s="498"/>
      <c r="BZ147" s="579"/>
      <c r="CA147" s="498"/>
      <c r="CB147" s="578"/>
      <c r="CC147" s="498"/>
      <c r="CD147" s="579"/>
      <c r="CE147" s="498"/>
      <c r="CF147" s="578"/>
      <c r="CG147" s="498"/>
      <c r="CH147" s="579"/>
      <c r="CI147" s="498"/>
      <c r="CJ147" s="578"/>
      <c r="CK147" s="498"/>
      <c r="CL147" s="579"/>
      <c r="CM147" s="498"/>
      <c r="CN147" s="578"/>
      <c r="CO147" s="498"/>
      <c r="CP147" s="579"/>
      <c r="CQ147" s="498"/>
      <c r="CR147" s="578"/>
      <c r="CS147" s="498"/>
      <c r="CT147" s="579"/>
      <c r="CU147" s="498"/>
      <c r="CV147" s="578"/>
      <c r="CW147" s="498"/>
      <c r="CX147" s="579"/>
      <c r="CY147" s="498"/>
      <c r="CZ147" s="578"/>
      <c r="DA147" s="498"/>
      <c r="DB147" s="579"/>
      <c r="DC147" s="498"/>
      <c r="DD147" s="578"/>
      <c r="DE147" s="498"/>
      <c r="DF147" s="579"/>
      <c r="DG147" s="498"/>
      <c r="DH147" s="578"/>
      <c r="DI147" s="498"/>
      <c r="DJ147" s="579"/>
      <c r="DK147" s="498"/>
      <c r="DL147" s="578"/>
      <c r="DM147" s="498"/>
      <c r="DN147" s="579"/>
      <c r="DO147" s="498"/>
      <c r="DP147" s="572"/>
      <c r="DQ147" s="328"/>
      <c r="DR147" s="328"/>
      <c r="DS147" s="329"/>
      <c r="DT147" s="329"/>
      <c r="DU147" s="578"/>
      <c r="DV147" s="498"/>
      <c r="DW147" s="579"/>
      <c r="DX147" s="498"/>
      <c r="DY147" s="578"/>
      <c r="DZ147" s="498"/>
      <c r="EA147" s="579"/>
      <c r="EB147" s="498"/>
      <c r="EC147" s="578"/>
      <c r="ED147" s="498"/>
      <c r="EE147" s="579"/>
      <c r="EF147" s="498"/>
      <c r="EG147" s="578"/>
      <c r="EH147" s="498"/>
      <c r="EI147" s="579"/>
      <c r="EJ147" s="498"/>
      <c r="EK147" s="578"/>
      <c r="EL147" s="498"/>
      <c r="EM147" s="579"/>
      <c r="EN147" s="498"/>
      <c r="EO147" s="578"/>
      <c r="EP147" s="498"/>
      <c r="EQ147" s="579"/>
      <c r="ER147" s="498"/>
      <c r="ES147" s="578"/>
      <c r="ET147" s="498"/>
      <c r="EU147" s="579"/>
      <c r="EV147" s="498"/>
      <c r="EW147" s="578"/>
      <c r="EX147" s="498"/>
      <c r="EY147" s="579"/>
      <c r="EZ147" s="498"/>
      <c r="FA147" s="578"/>
      <c r="FB147" s="498"/>
      <c r="FC147" s="579"/>
      <c r="FD147" s="498"/>
      <c r="FE147" s="578"/>
      <c r="FF147" s="498"/>
      <c r="FG147" s="579"/>
      <c r="FH147" s="498"/>
      <c r="FI147" s="578"/>
      <c r="FJ147" s="498"/>
      <c r="FK147" s="579"/>
      <c r="FL147" s="498"/>
      <c r="FM147" s="578"/>
      <c r="FN147" s="498"/>
      <c r="FO147" s="579"/>
      <c r="FP147" s="498"/>
      <c r="FQ147" s="572"/>
      <c r="FR147" s="328"/>
      <c r="FS147" s="328"/>
      <c r="FT147" s="573"/>
    </row>
    <row r="148" spans="1:176" s="574" customFormat="1" outlineLevel="2">
      <c r="A148" s="580" t="s">
        <v>469</v>
      </c>
      <c r="B148" s="580" t="s">
        <v>51</v>
      </c>
      <c r="C148" s="587" t="s">
        <v>72</v>
      </c>
      <c r="D148" s="580" t="s">
        <v>32</v>
      </c>
      <c r="E148" s="588">
        <f>IF(ISBLANK(G148),"",IF($A$6:$A$330=$A148,COUNTIF($A$6:A148,$A148),""))</f>
        <v>43</v>
      </c>
      <c r="F148" s="672" t="s">
        <v>89</v>
      </c>
      <c r="G148" s="319">
        <v>4441000200</v>
      </c>
      <c r="H148" s="603" t="s">
        <v>446</v>
      </c>
      <c r="I148" s="619">
        <f>IF(K148="RUB",J148/ЮАНЬ_2025_08_29,IF(K148="EUR",J148*ЕВРО_2025_08_29/ЮАНЬ_2025_08_29,""))</f>
        <v>9833.7856684881608</v>
      </c>
      <c r="J148" s="619">
        <f>1443.67/НДС</f>
        <v>1183.3360655737706</v>
      </c>
      <c r="K148" s="585" t="s">
        <v>115</v>
      </c>
      <c r="L148" s="642">
        <f>IF(K148="RUB",J148/ЮАНЬ,IF(K148="EUR",J148*ЕВРО/ЮАНЬ,""))</f>
        <v>9833.7856684881608</v>
      </c>
      <c r="M148" s="353"/>
      <c r="N148" s="353">
        <f t="shared" si="46"/>
        <v>1</v>
      </c>
      <c r="O148" s="578"/>
      <c r="P148" s="498">
        <f>2</f>
        <v>2</v>
      </c>
      <c r="Q148" s="579">
        <v>2</v>
      </c>
      <c r="R148" s="498"/>
      <c r="S148" s="578"/>
      <c r="T148" s="498"/>
      <c r="U148" s="579"/>
      <c r="V148" s="498"/>
      <c r="W148" s="578"/>
      <c r="X148" s="498"/>
      <c r="Y148" s="579"/>
      <c r="Z148" s="498"/>
      <c r="AA148" s="578"/>
      <c r="AB148" s="498">
        <f>1</f>
        <v>1</v>
      </c>
      <c r="AC148" s="579">
        <v>1</v>
      </c>
      <c r="AD148" s="498"/>
      <c r="AE148" s="578"/>
      <c r="AF148" s="498"/>
      <c r="AG148" s="579"/>
      <c r="AH148" s="498"/>
      <c r="AI148" s="578"/>
      <c r="AJ148" s="498"/>
      <c r="AK148" s="579"/>
      <c r="AL148" s="498"/>
      <c r="AM148" s="578"/>
      <c r="AN148" s="498"/>
      <c r="AO148" s="579"/>
      <c r="AP148" s="498"/>
      <c r="AQ148" s="578"/>
      <c r="AR148" s="498"/>
      <c r="AS148" s="579"/>
      <c r="AT148" s="498"/>
      <c r="AU148" s="578"/>
      <c r="AV148" s="498"/>
      <c r="AW148" s="579"/>
      <c r="AX148" s="498"/>
      <c r="AY148" s="578"/>
      <c r="AZ148" s="498"/>
      <c r="BA148" s="579"/>
      <c r="BB148" s="498"/>
      <c r="BC148" s="578"/>
      <c r="BD148" s="498"/>
      <c r="BE148" s="579"/>
      <c r="BF148" s="498"/>
      <c r="BG148" s="578"/>
      <c r="BH148" s="498"/>
      <c r="BI148" s="579"/>
      <c r="BJ148" s="498"/>
      <c r="BK148" s="572"/>
      <c r="BL148" s="328">
        <f t="shared" si="47"/>
        <v>0</v>
      </c>
      <c r="BM148" s="328">
        <f t="shared" si="48"/>
        <v>0</v>
      </c>
      <c r="BN148" s="324">
        <f t="shared" si="49"/>
        <v>3</v>
      </c>
      <c r="BO148" s="325">
        <f t="shared" si="50"/>
        <v>29501.357005464481</v>
      </c>
      <c r="BP148" s="326">
        <f t="shared" si="51"/>
        <v>3</v>
      </c>
      <c r="BQ148" s="327">
        <f t="shared" si="52"/>
        <v>29501.357005464481</v>
      </c>
      <c r="BR148" s="329"/>
      <c r="BS148" s="329"/>
      <c r="BT148" s="578"/>
      <c r="BU148" s="498"/>
      <c r="BV148" s="579"/>
      <c r="BW148" s="498"/>
      <c r="BX148" s="578"/>
      <c r="BY148" s="498"/>
      <c r="BZ148" s="579"/>
      <c r="CA148" s="498"/>
      <c r="CB148" s="578"/>
      <c r="CC148" s="498"/>
      <c r="CD148" s="579"/>
      <c r="CE148" s="498"/>
      <c r="CF148" s="578"/>
      <c r="CG148" s="498"/>
      <c r="CH148" s="579"/>
      <c r="CI148" s="498"/>
      <c r="CJ148" s="578"/>
      <c r="CK148" s="498"/>
      <c r="CL148" s="579"/>
      <c r="CM148" s="498"/>
      <c r="CN148" s="578"/>
      <c r="CO148" s="498"/>
      <c r="CP148" s="579"/>
      <c r="CQ148" s="498"/>
      <c r="CR148" s="578"/>
      <c r="CS148" s="498"/>
      <c r="CT148" s="579"/>
      <c r="CU148" s="498"/>
      <c r="CV148" s="578"/>
      <c r="CW148" s="498"/>
      <c r="CX148" s="579"/>
      <c r="CY148" s="498"/>
      <c r="CZ148" s="578"/>
      <c r="DA148" s="498"/>
      <c r="DB148" s="579"/>
      <c r="DC148" s="498"/>
      <c r="DD148" s="578"/>
      <c r="DE148" s="498"/>
      <c r="DF148" s="579"/>
      <c r="DG148" s="498"/>
      <c r="DH148" s="578"/>
      <c r="DI148" s="498"/>
      <c r="DJ148" s="579"/>
      <c r="DK148" s="498"/>
      <c r="DL148" s="578"/>
      <c r="DM148" s="498"/>
      <c r="DN148" s="579"/>
      <c r="DO148" s="498"/>
      <c r="DP148" s="572"/>
      <c r="DQ148" s="328"/>
      <c r="DR148" s="328">
        <f t="shared" ref="DR148:DR158" si="53">SUMPRODUCT(--(MOD(COLUMN(BT148:CQ148),4)=MOD(COLUMN(BT148),4)),BT148:CQ148)*$I148+SUMPRODUCT(--(MOD(COLUMN(CR148:DO148),4)=MOD(COLUMN(CR148),4)),CR148:DO148)*$I148</f>
        <v>0</v>
      </c>
      <c r="DS148" s="329"/>
      <c r="DT148" s="329"/>
      <c r="DU148" s="578"/>
      <c r="DV148" s="498"/>
      <c r="DW148" s="579"/>
      <c r="DX148" s="498"/>
      <c r="DY148" s="578"/>
      <c r="DZ148" s="498"/>
      <c r="EA148" s="579"/>
      <c r="EB148" s="498"/>
      <c r="EC148" s="578"/>
      <c r="ED148" s="498"/>
      <c r="EE148" s="579"/>
      <c r="EF148" s="498"/>
      <c r="EG148" s="578"/>
      <c r="EH148" s="498"/>
      <c r="EI148" s="579"/>
      <c r="EJ148" s="498"/>
      <c r="EK148" s="578"/>
      <c r="EL148" s="498"/>
      <c r="EM148" s="579"/>
      <c r="EN148" s="498"/>
      <c r="EO148" s="578"/>
      <c r="EP148" s="498"/>
      <c r="EQ148" s="579"/>
      <c r="ER148" s="498"/>
      <c r="ES148" s="578"/>
      <c r="ET148" s="498"/>
      <c r="EU148" s="579"/>
      <c r="EV148" s="498"/>
      <c r="EW148" s="578"/>
      <c r="EX148" s="498"/>
      <c r="EY148" s="579"/>
      <c r="EZ148" s="498"/>
      <c r="FA148" s="578"/>
      <c r="FB148" s="498"/>
      <c r="FC148" s="579"/>
      <c r="FD148" s="498"/>
      <c r="FE148" s="578"/>
      <c r="FF148" s="498"/>
      <c r="FG148" s="579"/>
      <c r="FH148" s="498"/>
      <c r="FI148" s="578"/>
      <c r="FJ148" s="498"/>
      <c r="FK148" s="579"/>
      <c r="FL148" s="498"/>
      <c r="FM148" s="578"/>
      <c r="FN148" s="498"/>
      <c r="FO148" s="579"/>
      <c r="FP148" s="498"/>
      <c r="FQ148" s="572"/>
      <c r="FR148" s="328"/>
      <c r="FS148" s="328">
        <f t="shared" ref="FS148:FS158" si="54">SUMPRODUCT(--(MOD(COLUMN(DU148:ER148),4)=MOD(COLUMN(DU148),4)),DU148:ER148)*$I148+SUMPRODUCT(--(MOD(COLUMN(ES148:FP148),4)=MOD(COLUMN(ES148),4)),ES148:FP148)*$I148</f>
        <v>0</v>
      </c>
      <c r="FT148" s="573"/>
    </row>
    <row r="149" spans="1:176" outlineLevel="2">
      <c r="A149" s="411" t="s">
        <v>469</v>
      </c>
      <c r="B149" s="448" t="s">
        <v>51</v>
      </c>
      <c r="C149" s="590" t="s">
        <v>72</v>
      </c>
      <c r="D149" s="589" t="s">
        <v>32</v>
      </c>
      <c r="E149" s="412">
        <f>IF(ISBLANK(G149),"",IF($A$6:$A$330=$A149,COUNTIF($A$6:A149,$A149),""))</f>
        <v>44</v>
      </c>
      <c r="F149" s="669">
        <v>2</v>
      </c>
      <c r="G149" s="128">
        <v>4005000880</v>
      </c>
      <c r="H149" s="612" t="s">
        <v>96</v>
      </c>
      <c r="I149" s="618">
        <v>0</v>
      </c>
      <c r="J149" s="618"/>
      <c r="K149" s="126"/>
      <c r="L149" s="618" t="str">
        <f>IF(K149="RUB",J149/ЮАНЬ,IF(K149="EUR",J149*ЕВРО/ЮАНЬ,""))</f>
        <v/>
      </c>
      <c r="M149" s="102"/>
      <c r="N149" s="305">
        <f t="shared" si="46"/>
        <v>1</v>
      </c>
      <c r="O149" s="23">
        <v>40</v>
      </c>
      <c r="P149" s="24">
        <f>SUMPRODUCT((Комплекты[Пр]=$F149)*(Комплекты[Обозначение]=$G149)*Комплекты[Кол-во]*(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28</v>
      </c>
      <c r="Q149" s="25">
        <f>SUMPRODUCT((Комплекты[Пр]=$F149)*(Комплекты[Обозначение]=$G149)*Комплекты[Кол-во]*(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28</v>
      </c>
      <c r="R149" s="24"/>
      <c r="S149" s="23">
        <v>40</v>
      </c>
      <c r="T149" s="24">
        <f>SUMPRODUCT((Комплекты[Пр]=$F149)*(Комплекты[Обозначение]=$G149)*Комплекты[Кол-во]*(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40</v>
      </c>
      <c r="U149" s="25">
        <f>SUMPRODUCT((Комплекты[Пр]=$F149)*(Комплекты[Обозначение]=$G149)*Комплекты[Кол-во]*(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40</v>
      </c>
      <c r="V149" s="24"/>
      <c r="W149" s="23">
        <v>40</v>
      </c>
      <c r="X149" s="24">
        <f>SUMPRODUCT((Комплекты[Пр]=$F149)*(Комплекты[Обозначение]=$G149)*Комплекты[Кол-во]*(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49" s="25">
        <f>SUMPRODUCT((Комплекты[Пр]=$F149)*(Комплекты[Обозначение]=$G149)*Комплекты[Кол-во]*(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49" s="24"/>
      <c r="AA149" s="23">
        <v>20</v>
      </c>
      <c r="AB149" s="24">
        <f>SUMPRODUCT((Комплекты[Пр]=$F149)*(Комплекты[Обозначение]=$G149)*Комплекты[Кол-во]*(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49" s="25"/>
      <c r="AD149" s="24"/>
      <c r="AE149" s="23">
        <v>20</v>
      </c>
      <c r="AF149" s="24">
        <f>SUMPRODUCT((Комплекты[Пр]=$F149)*(Комплекты[Обозначение]=$G149)*Комплекты[Кол-во]*(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49" s="25">
        <f>SUMPRODUCT((Комплекты[Пр]=$F149)*(Комплекты[Обозначение]=$G149)*Комплекты[Кол-во]*(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49" s="24"/>
      <c r="AI149" s="23">
        <v>20</v>
      </c>
      <c r="AJ149" s="24">
        <f>SUMPRODUCT((Комплекты[Пр]=$F149)*(Комплекты[Обозначение]=$G149)*Комплекты[Кол-во]*(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49" s="25"/>
      <c r="AL149" s="24"/>
      <c r="AM149" s="23">
        <v>20</v>
      </c>
      <c r="AN149" s="24">
        <f>SUMPRODUCT((Комплекты[Пр]=$F149)*(Комплекты[Обозначение]=$G149)*Комплекты[Кол-во]*(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49" s="25"/>
      <c r="AP149" s="24"/>
      <c r="AQ149" s="23">
        <v>20</v>
      </c>
      <c r="AR149" s="24">
        <f>SUMPRODUCT((Комплекты[Пр]=$F149)*(Комплекты[Обозначение]=$G149)*Комплекты[Кол-во]*(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49" s="25"/>
      <c r="AT149" s="24"/>
      <c r="AU149" s="23">
        <v>20</v>
      </c>
      <c r="AV149" s="24">
        <f>SUMPRODUCT((Комплекты[Пр]=$F149)*(Комплекты[Обозначение]=$G149)*Комплекты[Кол-во]*(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10</v>
      </c>
      <c r="AW149" s="25"/>
      <c r="AX149" s="24"/>
      <c r="AY149" s="23">
        <v>20</v>
      </c>
      <c r="AZ149" s="24">
        <f>SUMPRODUCT((Комплекты[Пр]=$F149)*(Комплекты[Обозначение]=$G149)*Комплекты[Кол-во]*(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49" s="25"/>
      <c r="BB149" s="24"/>
      <c r="BC149" s="23">
        <v>20</v>
      </c>
      <c r="BD149" s="24">
        <f>SUMPRODUCT((Комплекты[Пр]=$F149)*(Комплекты[Обозначение]=$G149)*Комплекты[Кол-во]*(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49" s="25"/>
      <c r="BF149" s="24"/>
      <c r="BG149" s="23">
        <v>20</v>
      </c>
      <c r="BH149" s="24">
        <f>SUMPRODUCT((Комплекты[Пр]=$F149)*(Комплекты[Обозначение]=$G149)*Комплекты[Кол-во]*(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49" s="25"/>
      <c r="BJ149" s="24"/>
      <c r="BK149" s="340"/>
      <c r="BL149" s="32">
        <f t="shared" si="47"/>
        <v>300</v>
      </c>
      <c r="BM149" s="32">
        <f t="shared" si="48"/>
        <v>0</v>
      </c>
      <c r="BN149" s="28">
        <f t="shared" si="49"/>
        <v>158</v>
      </c>
      <c r="BO149" s="29">
        <f t="shared" si="50"/>
        <v>0</v>
      </c>
      <c r="BP149" s="30">
        <f t="shared" si="51"/>
        <v>88</v>
      </c>
      <c r="BQ149" s="31">
        <f t="shared" si="52"/>
        <v>0</v>
      </c>
      <c r="BR149" s="11"/>
      <c r="BS149" s="329"/>
      <c r="BT149" s="23">
        <v>40</v>
      </c>
      <c r="BU149" s="24"/>
      <c r="BV149" s="25"/>
      <c r="BW149" s="24"/>
      <c r="BX149" s="23">
        <v>40</v>
      </c>
      <c r="BY149" s="24"/>
      <c r="BZ149" s="25"/>
      <c r="CA149" s="24"/>
      <c r="CB149" s="23">
        <v>40</v>
      </c>
      <c r="CC149" s="24"/>
      <c r="CD149" s="25"/>
      <c r="CE149" s="24"/>
      <c r="CF149" s="23">
        <v>40</v>
      </c>
      <c r="CG149" s="24"/>
      <c r="CH149" s="25"/>
      <c r="CI149" s="24"/>
      <c r="CJ149" s="23">
        <v>40</v>
      </c>
      <c r="CK149" s="24"/>
      <c r="CL149" s="25"/>
      <c r="CM149" s="24"/>
      <c r="CN149" s="23">
        <v>40</v>
      </c>
      <c r="CO149" s="24"/>
      <c r="CP149" s="25"/>
      <c r="CQ149" s="24"/>
      <c r="CR149" s="23">
        <v>40</v>
      </c>
      <c r="CS149" s="24"/>
      <c r="CT149" s="25"/>
      <c r="CU149" s="24"/>
      <c r="CV149" s="23">
        <v>40</v>
      </c>
      <c r="CW149" s="24"/>
      <c r="CX149" s="25"/>
      <c r="CY149" s="24"/>
      <c r="CZ149" s="23">
        <v>40</v>
      </c>
      <c r="DA149" s="24"/>
      <c r="DB149" s="25"/>
      <c r="DC149" s="24"/>
      <c r="DD149" s="23">
        <v>40</v>
      </c>
      <c r="DE149" s="24"/>
      <c r="DF149" s="25"/>
      <c r="DG149" s="24"/>
      <c r="DH149" s="23">
        <v>40</v>
      </c>
      <c r="DI149" s="24"/>
      <c r="DJ149" s="25"/>
      <c r="DK149" s="24"/>
      <c r="DL149" s="23">
        <v>40</v>
      </c>
      <c r="DM149" s="24"/>
      <c r="DN149" s="25"/>
      <c r="DO149" s="24"/>
      <c r="DP149" s="340"/>
      <c r="DQ149" s="32">
        <f>SUMPRODUCT(--(MOD(COLUMN(BT149:CQ149),4)=MOD(COLUMN(BT149),4)),BT149:CQ149)+SUMPRODUCT(--(MOD(COLUMN(CR149:DO149),4)=MOD(COLUMN(CR149),4)),CR149:DO149)</f>
        <v>480</v>
      </c>
      <c r="DR149" s="32">
        <f t="shared" si="53"/>
        <v>0</v>
      </c>
      <c r="DS149" s="11"/>
      <c r="DT149" s="329"/>
      <c r="DU149" s="23">
        <v>50</v>
      </c>
      <c r="DV149" s="24"/>
      <c r="DW149" s="25"/>
      <c r="DX149" s="24"/>
      <c r="DY149" s="23">
        <v>50</v>
      </c>
      <c r="DZ149" s="24"/>
      <c r="EA149" s="25"/>
      <c r="EB149" s="24"/>
      <c r="EC149" s="23">
        <v>50</v>
      </c>
      <c r="ED149" s="24"/>
      <c r="EE149" s="25"/>
      <c r="EF149" s="24"/>
      <c r="EG149" s="23">
        <v>50</v>
      </c>
      <c r="EH149" s="24"/>
      <c r="EI149" s="25"/>
      <c r="EJ149" s="24"/>
      <c r="EK149" s="23">
        <v>50</v>
      </c>
      <c r="EL149" s="24"/>
      <c r="EM149" s="25"/>
      <c r="EN149" s="24"/>
      <c r="EO149" s="23">
        <v>50</v>
      </c>
      <c r="EP149" s="24"/>
      <c r="EQ149" s="25"/>
      <c r="ER149" s="24"/>
      <c r="ES149" s="23">
        <v>50</v>
      </c>
      <c r="ET149" s="24"/>
      <c r="EU149" s="25"/>
      <c r="EV149" s="24"/>
      <c r="EW149" s="23">
        <v>50</v>
      </c>
      <c r="EX149" s="24"/>
      <c r="EY149" s="25"/>
      <c r="EZ149" s="24"/>
      <c r="FA149" s="23">
        <v>50</v>
      </c>
      <c r="FB149" s="24"/>
      <c r="FC149" s="25"/>
      <c r="FD149" s="24"/>
      <c r="FE149" s="23">
        <v>50</v>
      </c>
      <c r="FF149" s="24"/>
      <c r="FG149" s="25"/>
      <c r="FH149" s="24"/>
      <c r="FI149" s="23">
        <v>50</v>
      </c>
      <c r="FJ149" s="24"/>
      <c r="FK149" s="25"/>
      <c r="FL149" s="24"/>
      <c r="FM149" s="23">
        <v>50</v>
      </c>
      <c r="FN149" s="24"/>
      <c r="FO149" s="25"/>
      <c r="FP149" s="24"/>
      <c r="FQ149" s="340"/>
      <c r="FR149" s="32">
        <f>SUMPRODUCT(--(MOD(COLUMN(DU149:ER149),4)=MOD(COLUMN(DU149),4)),DU149:ER149)+SUMPRODUCT(--(MOD(COLUMN(ES149:FP149),4)=MOD(COLUMN(ES149),4)),ES149:FP149)</f>
        <v>600</v>
      </c>
      <c r="FS149" s="32">
        <f t="shared" si="54"/>
        <v>0</v>
      </c>
      <c r="FT149" s="361"/>
    </row>
    <row r="150" spans="1:176" outlineLevel="2">
      <c r="A150" s="411" t="s">
        <v>469</v>
      </c>
      <c r="B150" s="448" t="s">
        <v>51</v>
      </c>
      <c r="C150" s="590" t="s">
        <v>72</v>
      </c>
      <c r="D150" s="589" t="s">
        <v>32</v>
      </c>
      <c r="E150" s="412">
        <f>IF(ISBLANK(G150),"",IF($A$6:$A$330=$A150,COUNTIF($A$6:A150,$A150),""))</f>
        <v>45</v>
      </c>
      <c r="F150" s="669">
        <v>2</v>
      </c>
      <c r="G150" s="128">
        <v>4493702820</v>
      </c>
      <c r="H150" s="612" t="s">
        <v>97</v>
      </c>
      <c r="I150" s="618">
        <v>0</v>
      </c>
      <c r="J150" s="618"/>
      <c r="K150" s="126"/>
      <c r="L150" s="618" t="str">
        <f>IF(K150="RUB",J150/ЮАНЬ,IF(K150="EUR",J150*ЕВРО/ЮАНЬ,""))</f>
        <v/>
      </c>
      <c r="M150" s="102"/>
      <c r="N150" s="305">
        <f t="shared" si="46"/>
        <v>2</v>
      </c>
      <c r="O150" s="23">
        <v>40</v>
      </c>
      <c r="P150" s="24">
        <f>SUMPRODUCT((Комплекты[Пр]=$F150)*(Комплекты[Обозначение]=$G150)*Комплекты[Кол-во]*(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0</v>
      </c>
      <c r="Q150" s="25">
        <f>SUMPRODUCT((Комплекты[Пр]=$F150)*(Комплекты[Обозначение]=$G150)*Комплекты[Кол-во]*(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0</v>
      </c>
      <c r="R150" s="24"/>
      <c r="S150" s="23">
        <v>40</v>
      </c>
      <c r="T150" s="24">
        <f>SUMPRODUCT((Комплекты[Пр]=$F150)*(Комплекты[Обозначение]=$G150)*Комплекты[Кол-во]*(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50" s="25">
        <f>SUMPRODUCT((Комплекты[Пр]=$F150)*(Комплекты[Обозначение]=$G150)*Комплекты[Кол-во]*(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50" s="24"/>
      <c r="W150" s="23">
        <v>40</v>
      </c>
      <c r="X150" s="24">
        <f>SUMPRODUCT((Комплекты[Пр]=$F150)*(Комплекты[Обозначение]=$G150)*Комплекты[Кол-во]*(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50" s="25">
        <f>SUMPRODUCT((Комплекты[Пр]=$F150)*(Комплекты[Обозначение]=$G150)*Комплекты[Кол-во]*(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50" s="24"/>
      <c r="AA150" s="23">
        <v>20</v>
      </c>
      <c r="AB150" s="24">
        <f>SUMPRODUCT((Комплекты[Пр]=$F150)*(Комплекты[Обозначение]=$G150)*Комплекты[Кол-во]*(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50" s="25"/>
      <c r="AD150" s="24"/>
      <c r="AE150" s="23">
        <v>20</v>
      </c>
      <c r="AF150" s="24">
        <f>SUMPRODUCT((Комплекты[Пр]=$F150)*(Комплекты[Обозначение]=$G150)*Комплекты[Кол-во]*(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50" s="25">
        <f>SUMPRODUCT((Комплекты[Пр]=$F150)*(Комплекты[Обозначение]=$G150)*Комплекты[Кол-во]*(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50" s="24"/>
      <c r="AI150" s="23">
        <v>20</v>
      </c>
      <c r="AJ150" s="24">
        <f>SUMPRODUCT((Комплекты[Пр]=$F150)*(Комплекты[Обозначение]=$G150)*Комплекты[Кол-во]*(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50" s="25"/>
      <c r="AL150" s="24"/>
      <c r="AM150" s="23">
        <v>20</v>
      </c>
      <c r="AN150" s="24">
        <f>SUMPRODUCT((Комплекты[Пр]=$F150)*(Комплекты[Обозначение]=$G150)*Комплекты[Кол-во]*(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50" s="25"/>
      <c r="AP150" s="24"/>
      <c r="AQ150" s="23">
        <v>20</v>
      </c>
      <c r="AR150" s="24">
        <f>SUMPRODUCT((Комплекты[Пр]=$F150)*(Комплекты[Обозначение]=$G150)*Комплекты[Кол-во]*(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50" s="25"/>
      <c r="AT150" s="24"/>
      <c r="AU150" s="23">
        <v>20</v>
      </c>
      <c r="AV150" s="24">
        <f>SUMPRODUCT((Комплекты[Пр]=$F150)*(Комплекты[Обозначение]=$G150)*Комплекты[Кол-во]*(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10</v>
      </c>
      <c r="AW150" s="25"/>
      <c r="AX150" s="24"/>
      <c r="AY150" s="23">
        <v>20</v>
      </c>
      <c r="AZ150" s="24">
        <f>SUMPRODUCT((Комплекты[Пр]=$F150)*(Комплекты[Обозначение]=$G150)*Комплекты[Кол-во]*(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50" s="25"/>
      <c r="BB150" s="24"/>
      <c r="BC150" s="23">
        <v>20</v>
      </c>
      <c r="BD150" s="24">
        <f>SUMPRODUCT((Комплекты[Пр]=$F150)*(Комплекты[Обозначение]=$G150)*Комплекты[Кол-во]*(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50" s="25"/>
      <c r="BF150" s="24"/>
      <c r="BG150" s="23">
        <v>20</v>
      </c>
      <c r="BH150" s="24">
        <f>SUMPRODUCT((Комплекты[Пр]=$F150)*(Комплекты[Обозначение]=$G150)*Комплекты[Кол-во]*(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50" s="25"/>
      <c r="BJ150" s="24"/>
      <c r="BK150" s="340"/>
      <c r="BL150" s="32">
        <f t="shared" si="47"/>
        <v>300</v>
      </c>
      <c r="BM150" s="32">
        <f t="shared" si="48"/>
        <v>0</v>
      </c>
      <c r="BN150" s="28">
        <f t="shared" si="49"/>
        <v>70</v>
      </c>
      <c r="BO150" s="29">
        <f t="shared" si="50"/>
        <v>0</v>
      </c>
      <c r="BP150" s="30">
        <f t="shared" si="51"/>
        <v>0</v>
      </c>
      <c r="BQ150" s="31">
        <f t="shared" si="52"/>
        <v>0</v>
      </c>
      <c r="BR150" s="11"/>
      <c r="BS150" s="329"/>
      <c r="BT150" s="23">
        <v>40</v>
      </c>
      <c r="BU150" s="24"/>
      <c r="BV150" s="25"/>
      <c r="BW150" s="24"/>
      <c r="BX150" s="23">
        <v>40</v>
      </c>
      <c r="BY150" s="24"/>
      <c r="BZ150" s="25"/>
      <c r="CA150" s="24"/>
      <c r="CB150" s="23">
        <v>40</v>
      </c>
      <c r="CC150" s="24"/>
      <c r="CD150" s="25"/>
      <c r="CE150" s="24"/>
      <c r="CF150" s="23">
        <v>40</v>
      </c>
      <c r="CG150" s="24"/>
      <c r="CH150" s="25"/>
      <c r="CI150" s="24"/>
      <c r="CJ150" s="23">
        <v>40</v>
      </c>
      <c r="CK150" s="24"/>
      <c r="CL150" s="25"/>
      <c r="CM150" s="24"/>
      <c r="CN150" s="23">
        <v>40</v>
      </c>
      <c r="CO150" s="24"/>
      <c r="CP150" s="25"/>
      <c r="CQ150" s="24"/>
      <c r="CR150" s="23">
        <v>40</v>
      </c>
      <c r="CS150" s="24"/>
      <c r="CT150" s="25"/>
      <c r="CU150" s="24"/>
      <c r="CV150" s="23">
        <v>40</v>
      </c>
      <c r="CW150" s="24"/>
      <c r="CX150" s="25"/>
      <c r="CY150" s="24"/>
      <c r="CZ150" s="23">
        <v>40</v>
      </c>
      <c r="DA150" s="24"/>
      <c r="DB150" s="25"/>
      <c r="DC150" s="24"/>
      <c r="DD150" s="23">
        <v>40</v>
      </c>
      <c r="DE150" s="24"/>
      <c r="DF150" s="25"/>
      <c r="DG150" s="24"/>
      <c r="DH150" s="23">
        <v>40</v>
      </c>
      <c r="DI150" s="24"/>
      <c r="DJ150" s="25"/>
      <c r="DK150" s="24"/>
      <c r="DL150" s="23">
        <v>40</v>
      </c>
      <c r="DM150" s="24"/>
      <c r="DN150" s="25"/>
      <c r="DO150" s="24"/>
      <c r="DP150" s="340"/>
      <c r="DQ150" s="32">
        <f>SUMPRODUCT(--(MOD(COLUMN(BT150:CQ150),4)=MOD(COLUMN(BT150),4)),BT150:CQ150)+SUMPRODUCT(--(MOD(COLUMN(CR150:DO150),4)=MOD(COLUMN(CR150),4)),CR150:DO150)</f>
        <v>480</v>
      </c>
      <c r="DR150" s="32">
        <f t="shared" si="53"/>
        <v>0</v>
      </c>
      <c r="DS150" s="11"/>
      <c r="DT150" s="329"/>
      <c r="DU150" s="23">
        <v>50</v>
      </c>
      <c r="DV150" s="24"/>
      <c r="DW150" s="25"/>
      <c r="DX150" s="24"/>
      <c r="DY150" s="23">
        <v>50</v>
      </c>
      <c r="DZ150" s="24"/>
      <c r="EA150" s="25"/>
      <c r="EB150" s="24"/>
      <c r="EC150" s="23">
        <v>50</v>
      </c>
      <c r="ED150" s="24"/>
      <c r="EE150" s="25"/>
      <c r="EF150" s="24"/>
      <c r="EG150" s="23">
        <v>50</v>
      </c>
      <c r="EH150" s="24"/>
      <c r="EI150" s="25"/>
      <c r="EJ150" s="24"/>
      <c r="EK150" s="23">
        <v>50</v>
      </c>
      <c r="EL150" s="24"/>
      <c r="EM150" s="25"/>
      <c r="EN150" s="24"/>
      <c r="EO150" s="23">
        <v>50</v>
      </c>
      <c r="EP150" s="24"/>
      <c r="EQ150" s="25"/>
      <c r="ER150" s="24"/>
      <c r="ES150" s="23">
        <v>50</v>
      </c>
      <c r="ET150" s="24"/>
      <c r="EU150" s="25"/>
      <c r="EV150" s="24"/>
      <c r="EW150" s="23">
        <v>50</v>
      </c>
      <c r="EX150" s="24"/>
      <c r="EY150" s="25"/>
      <c r="EZ150" s="24"/>
      <c r="FA150" s="23">
        <v>50</v>
      </c>
      <c r="FB150" s="24"/>
      <c r="FC150" s="25"/>
      <c r="FD150" s="24"/>
      <c r="FE150" s="23">
        <v>50</v>
      </c>
      <c r="FF150" s="24"/>
      <c r="FG150" s="25"/>
      <c r="FH150" s="24"/>
      <c r="FI150" s="23">
        <v>50</v>
      </c>
      <c r="FJ150" s="24"/>
      <c r="FK150" s="25"/>
      <c r="FL150" s="24"/>
      <c r="FM150" s="23">
        <v>50</v>
      </c>
      <c r="FN150" s="24"/>
      <c r="FO150" s="25"/>
      <c r="FP150" s="24"/>
      <c r="FQ150" s="340"/>
      <c r="FR150" s="32">
        <f>SUMPRODUCT(--(MOD(COLUMN(DU150:ER150),4)=MOD(COLUMN(DU150),4)),DU150:ER150)+SUMPRODUCT(--(MOD(COLUMN(ES150:FP150),4)=MOD(COLUMN(ES150),4)),ES150:FP150)</f>
        <v>600</v>
      </c>
      <c r="FS150" s="32">
        <f t="shared" si="54"/>
        <v>0</v>
      </c>
      <c r="FT150" s="361"/>
    </row>
    <row r="151" spans="1:176" outlineLevel="2">
      <c r="A151" s="413" t="s">
        <v>469</v>
      </c>
      <c r="B151" s="444" t="s">
        <v>51</v>
      </c>
      <c r="C151" s="587" t="s">
        <v>72</v>
      </c>
      <c r="D151" s="580" t="s">
        <v>32</v>
      </c>
      <c r="E151" s="414">
        <f>IF(ISBLANK(G151),"",IF($A$6:$A$330=$A151,COUNTIF($A$6:A151,$A151),""))</f>
        <v>46</v>
      </c>
      <c r="F151" s="670">
        <v>2</v>
      </c>
      <c r="G151" s="403">
        <v>4005000810</v>
      </c>
      <c r="H151" s="613" t="s">
        <v>96</v>
      </c>
      <c r="I151" s="619">
        <v>0</v>
      </c>
      <c r="J151" s="619"/>
      <c r="K151" s="321"/>
      <c r="L151" s="619"/>
      <c r="M151" s="305"/>
      <c r="N151" s="305">
        <f t="shared" si="46"/>
        <v>2</v>
      </c>
      <c r="O151" s="322"/>
      <c r="P151" s="408">
        <f>SUMPRODUCT((Комплекты[Пр]=$F151)*(Комплекты[Обозначение]=$G151)*Комплекты[Кол-во]*(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0</v>
      </c>
      <c r="Q151" s="307">
        <f>SUMPRODUCT((Комплекты[Пр]=$F151)*(Комплекты[Обозначение]=$G151)*Комплекты[Кол-во]*(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0</v>
      </c>
      <c r="R151" s="408"/>
      <c r="S151" s="322"/>
      <c r="T151" s="408">
        <f>SUMPRODUCT((Комплекты[Пр]=$F151)*(Комплекты[Обозначение]=$G151)*Комплекты[Кол-во]*(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51" s="307">
        <f>SUMPRODUCT((Комплекты[Пр]=$F151)*(Комплекты[Обозначение]=$G151)*Комплекты[Кол-во]*(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51" s="408"/>
      <c r="W151" s="322"/>
      <c r="X151" s="408">
        <f>SUMPRODUCT((Комплекты[Пр]=$F151)*(Комплекты[Обозначение]=$G151)*Комплекты[Кол-во]*(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51" s="307">
        <f>SUMPRODUCT((Комплекты[Пр]=$F151)*(Комплекты[Обозначение]=$G151)*Комплекты[Кол-во]*(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51" s="408"/>
      <c r="AA151" s="322"/>
      <c r="AB151" s="408">
        <f>SUMPRODUCT((Комплекты[Пр]=$F151)*(Комплекты[Обозначение]=$G151)*Комплекты[Кол-во]*(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51" s="307"/>
      <c r="AD151" s="408"/>
      <c r="AE151" s="322"/>
      <c r="AF151" s="408">
        <f>SUMPRODUCT((Комплекты[Пр]=$F151)*(Комплекты[Обозначение]=$G151)*Комплекты[Кол-во]*(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51" s="307">
        <f>SUMPRODUCT((Комплекты[Пр]=$F151)*(Комплекты[Обозначение]=$G151)*Комплекты[Кол-во]*(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51" s="408"/>
      <c r="AI151" s="322"/>
      <c r="AJ151" s="408">
        <f>SUMPRODUCT((Комплекты[Пр]=$F151)*(Комплекты[Обозначение]=$G151)*Комплекты[Кол-во]*(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10</v>
      </c>
      <c r="AK151" s="307"/>
      <c r="AL151" s="408"/>
      <c r="AM151" s="322"/>
      <c r="AN151" s="408">
        <f>SUMPRODUCT((Комплекты[Пр]=$F151)*(Комплекты[Обозначение]=$G151)*Комплекты[Кол-во]*(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10</v>
      </c>
      <c r="AO151" s="307"/>
      <c r="AP151" s="408"/>
      <c r="AQ151" s="322"/>
      <c r="AR151" s="408">
        <f>SUMPRODUCT((Комплекты[Пр]=$F151)*(Комплекты[Обозначение]=$G151)*Комплекты[Кол-во]*(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10</v>
      </c>
      <c r="AS151" s="307"/>
      <c r="AT151" s="408"/>
      <c r="AU151" s="322"/>
      <c r="AV151" s="408">
        <f>SUMPRODUCT((Комплекты[Пр]=$F151)*(Комплекты[Обозначение]=$G151)*Комплекты[Кол-во]*(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51" s="307"/>
      <c r="AX151" s="408"/>
      <c r="AY151" s="322"/>
      <c r="AZ151" s="408">
        <f>SUMPRODUCT((Комплекты[Пр]=$F151)*(Комплекты[Обозначение]=$G151)*Комплекты[Кол-во]*(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51" s="307"/>
      <c r="BB151" s="408"/>
      <c r="BC151" s="322"/>
      <c r="BD151" s="408">
        <f>SUMPRODUCT((Комплекты[Пр]=$F151)*(Комплекты[Обозначение]=$G151)*Комплекты[Кол-во]*(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51" s="307"/>
      <c r="BF151" s="408"/>
      <c r="BG151" s="322"/>
      <c r="BH151" s="408">
        <f>SUMPRODUCT((Комплекты[Пр]=$F151)*(Комплекты[Обозначение]=$G151)*Комплекты[Кол-во]*(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51" s="307"/>
      <c r="BJ151" s="408"/>
      <c r="BK151" s="340"/>
      <c r="BL151" s="328">
        <f t="shared" si="47"/>
        <v>0</v>
      </c>
      <c r="BM151" s="328">
        <f t="shared" si="48"/>
        <v>0</v>
      </c>
      <c r="BN151" s="324">
        <f t="shared" si="49"/>
        <v>30</v>
      </c>
      <c r="BO151" s="325">
        <f t="shared" si="50"/>
        <v>0</v>
      </c>
      <c r="BP151" s="326">
        <f t="shared" si="51"/>
        <v>0</v>
      </c>
      <c r="BQ151" s="327">
        <f t="shared" si="52"/>
        <v>0</v>
      </c>
      <c r="BR151" s="329"/>
      <c r="BS151" s="329"/>
      <c r="BT151" s="322"/>
      <c r="BU151" s="408"/>
      <c r="BV151" s="307"/>
      <c r="BW151" s="408"/>
      <c r="BX151" s="322"/>
      <c r="BY151" s="408"/>
      <c r="BZ151" s="307"/>
      <c r="CA151" s="408"/>
      <c r="CB151" s="322"/>
      <c r="CC151" s="408"/>
      <c r="CD151" s="307"/>
      <c r="CE151" s="408"/>
      <c r="CF151" s="322"/>
      <c r="CG151" s="408"/>
      <c r="CH151" s="307"/>
      <c r="CI151" s="408"/>
      <c r="CJ151" s="322"/>
      <c r="CK151" s="408"/>
      <c r="CL151" s="307"/>
      <c r="CM151" s="408"/>
      <c r="CN151" s="322"/>
      <c r="CO151" s="408"/>
      <c r="CP151" s="307"/>
      <c r="CQ151" s="408"/>
      <c r="CR151" s="322"/>
      <c r="CS151" s="408"/>
      <c r="CT151" s="307"/>
      <c r="CU151" s="408"/>
      <c r="CV151" s="322"/>
      <c r="CW151" s="408"/>
      <c r="CX151" s="307"/>
      <c r="CY151" s="408"/>
      <c r="CZ151" s="322"/>
      <c r="DA151" s="408"/>
      <c r="DB151" s="307"/>
      <c r="DC151" s="408"/>
      <c r="DD151" s="322"/>
      <c r="DE151" s="408"/>
      <c r="DF151" s="307"/>
      <c r="DG151" s="408"/>
      <c r="DH151" s="322"/>
      <c r="DI151" s="408"/>
      <c r="DJ151" s="307"/>
      <c r="DK151" s="408"/>
      <c r="DL151" s="322"/>
      <c r="DM151" s="408"/>
      <c r="DN151" s="307"/>
      <c r="DO151" s="408"/>
      <c r="DP151" s="340"/>
      <c r="DQ151" s="328"/>
      <c r="DR151" s="328">
        <f t="shared" si="53"/>
        <v>0</v>
      </c>
      <c r="DS151" s="329"/>
      <c r="DT151" s="329"/>
      <c r="DU151" s="322"/>
      <c r="DV151" s="408"/>
      <c r="DW151" s="307"/>
      <c r="DX151" s="408"/>
      <c r="DY151" s="322"/>
      <c r="DZ151" s="408"/>
      <c r="EA151" s="307"/>
      <c r="EB151" s="408"/>
      <c r="EC151" s="322"/>
      <c r="ED151" s="408"/>
      <c r="EE151" s="307"/>
      <c r="EF151" s="408"/>
      <c r="EG151" s="322"/>
      <c r="EH151" s="408"/>
      <c r="EI151" s="307"/>
      <c r="EJ151" s="408"/>
      <c r="EK151" s="322"/>
      <c r="EL151" s="408"/>
      <c r="EM151" s="307"/>
      <c r="EN151" s="408"/>
      <c r="EO151" s="322"/>
      <c r="EP151" s="408"/>
      <c r="EQ151" s="307"/>
      <c r="ER151" s="408"/>
      <c r="ES151" s="322"/>
      <c r="ET151" s="408"/>
      <c r="EU151" s="307"/>
      <c r="EV151" s="408"/>
      <c r="EW151" s="322"/>
      <c r="EX151" s="408"/>
      <c r="EY151" s="307"/>
      <c r="EZ151" s="408"/>
      <c r="FA151" s="322"/>
      <c r="FB151" s="408"/>
      <c r="FC151" s="307"/>
      <c r="FD151" s="408"/>
      <c r="FE151" s="322"/>
      <c r="FF151" s="408"/>
      <c r="FG151" s="307"/>
      <c r="FH151" s="408"/>
      <c r="FI151" s="322"/>
      <c r="FJ151" s="408"/>
      <c r="FK151" s="307"/>
      <c r="FL151" s="408"/>
      <c r="FM151" s="322"/>
      <c r="FN151" s="408"/>
      <c r="FO151" s="307"/>
      <c r="FP151" s="408"/>
      <c r="FQ151" s="340"/>
      <c r="FR151" s="328"/>
      <c r="FS151" s="328">
        <f t="shared" si="54"/>
        <v>0</v>
      </c>
      <c r="FT151" s="361"/>
    </row>
    <row r="152" spans="1:176" outlineLevel="2">
      <c r="A152" s="413" t="s">
        <v>469</v>
      </c>
      <c r="B152" s="444" t="s">
        <v>51</v>
      </c>
      <c r="C152" s="587" t="s">
        <v>72</v>
      </c>
      <c r="D152" s="580" t="s">
        <v>32</v>
      </c>
      <c r="E152" s="414">
        <f>IF(ISBLANK(G152),"",IF($A$6:$A$330=$A152,COUNTIF($A$6:A152,$A152),""))</f>
        <v>47</v>
      </c>
      <c r="F152" s="670">
        <v>2</v>
      </c>
      <c r="G152" s="403">
        <v>4493792810</v>
      </c>
      <c r="H152" s="613" t="s">
        <v>97</v>
      </c>
      <c r="I152" s="619">
        <v>0</v>
      </c>
      <c r="J152" s="619"/>
      <c r="K152" s="321"/>
      <c r="L152" s="619"/>
      <c r="M152" s="305"/>
      <c r="N152" s="305">
        <f t="shared" si="46"/>
        <v>1</v>
      </c>
      <c r="O152" s="322"/>
      <c r="P152" s="408">
        <f>SUMPRODUCT((Комплекты[Пр]=$F152)*(Комплекты[Обозначение]=$G152)*Комплекты[Кол-во]*(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28</v>
      </c>
      <c r="Q152" s="307">
        <f>SUMPRODUCT((Комплекты[Пр]=$F152)*(Комплекты[Обозначение]=$G152)*Комплекты[Кол-во]*(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28</v>
      </c>
      <c r="R152" s="408"/>
      <c r="S152" s="322"/>
      <c r="T152" s="408">
        <f>SUMPRODUCT((Комплекты[Пр]=$F152)*(Комплекты[Обозначение]=$G152)*Комплекты[Кол-во]*(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40</v>
      </c>
      <c r="U152" s="307">
        <f>SUMPRODUCT((Комплекты[Пр]=$F152)*(Комплекты[Обозначение]=$G152)*Комплекты[Кол-во]*(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40</v>
      </c>
      <c r="V152" s="408"/>
      <c r="W152" s="322"/>
      <c r="X152" s="408">
        <f>SUMPRODUCT((Комплекты[Пр]=$F152)*(Комплекты[Обозначение]=$G152)*Комплекты[Кол-во]*(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52" s="307">
        <f>SUMPRODUCT((Комплекты[Пр]=$F152)*(Комплекты[Обозначение]=$G152)*Комплекты[Кол-во]*(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52" s="408"/>
      <c r="AA152" s="322"/>
      <c r="AB152" s="408">
        <f>SUMPRODUCT((Комплекты[Пр]=$F152)*(Комплекты[Обозначение]=$G152)*Комплекты[Кол-во]*(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52" s="307"/>
      <c r="AD152" s="408"/>
      <c r="AE152" s="322"/>
      <c r="AF152" s="408">
        <f>SUMPRODUCT((Комплекты[Пр]=$F152)*(Комплекты[Обозначение]=$G152)*Комплекты[Кол-во]*(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52" s="307">
        <f>SUMPRODUCT((Комплекты[Пр]=$F152)*(Комплекты[Обозначение]=$G152)*Комплекты[Кол-во]*(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52" s="408"/>
      <c r="AI152" s="322"/>
      <c r="AJ152" s="408">
        <f>SUMPRODUCT((Комплекты[Пр]=$F152)*(Комплекты[Обозначение]=$G152)*Комплекты[Кол-во]*(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10</v>
      </c>
      <c r="AK152" s="307"/>
      <c r="AL152" s="408"/>
      <c r="AM152" s="322"/>
      <c r="AN152" s="408">
        <f>SUMPRODUCT((Комплекты[Пр]=$F152)*(Комплекты[Обозначение]=$G152)*Комплекты[Кол-во]*(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10</v>
      </c>
      <c r="AO152" s="307"/>
      <c r="AP152" s="408"/>
      <c r="AQ152" s="322"/>
      <c r="AR152" s="408">
        <f>SUMPRODUCT((Комплекты[Пр]=$F152)*(Комплекты[Обозначение]=$G152)*Комплекты[Кол-во]*(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10</v>
      </c>
      <c r="AS152" s="307"/>
      <c r="AT152" s="408"/>
      <c r="AU152" s="322"/>
      <c r="AV152" s="408">
        <f>SUMPRODUCT((Комплекты[Пр]=$F152)*(Комплекты[Обозначение]=$G152)*Комплекты[Кол-во]*(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52" s="307"/>
      <c r="AX152" s="408"/>
      <c r="AY152" s="322"/>
      <c r="AZ152" s="408">
        <f>SUMPRODUCT((Комплекты[Пр]=$F152)*(Комплекты[Обозначение]=$G152)*Комплекты[Кол-во]*(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52" s="307"/>
      <c r="BB152" s="408"/>
      <c r="BC152" s="322"/>
      <c r="BD152" s="408">
        <f>SUMPRODUCT((Комплекты[Пр]=$F152)*(Комплекты[Обозначение]=$G152)*Комплекты[Кол-во]*(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52" s="307"/>
      <c r="BF152" s="408"/>
      <c r="BG152" s="322"/>
      <c r="BH152" s="408">
        <f>SUMPRODUCT((Комплекты[Пр]=$F152)*(Комплекты[Обозначение]=$G152)*Комплекты[Кол-во]*(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52" s="307"/>
      <c r="BJ152" s="408"/>
      <c r="BK152" s="340"/>
      <c r="BL152" s="328">
        <f t="shared" si="47"/>
        <v>0</v>
      </c>
      <c r="BM152" s="328">
        <f t="shared" si="48"/>
        <v>0</v>
      </c>
      <c r="BN152" s="324">
        <f t="shared" si="49"/>
        <v>118</v>
      </c>
      <c r="BO152" s="325">
        <f t="shared" si="50"/>
        <v>0</v>
      </c>
      <c r="BP152" s="326">
        <f t="shared" si="51"/>
        <v>88</v>
      </c>
      <c r="BQ152" s="327">
        <f t="shared" si="52"/>
        <v>0</v>
      </c>
      <c r="BR152" s="329"/>
      <c r="BS152" s="329"/>
      <c r="BT152" s="322"/>
      <c r="BU152" s="408"/>
      <c r="BV152" s="307"/>
      <c r="BW152" s="408"/>
      <c r="BX152" s="322"/>
      <c r="BY152" s="408"/>
      <c r="BZ152" s="307"/>
      <c r="CA152" s="408"/>
      <c r="CB152" s="322"/>
      <c r="CC152" s="408"/>
      <c r="CD152" s="307"/>
      <c r="CE152" s="408"/>
      <c r="CF152" s="322"/>
      <c r="CG152" s="408"/>
      <c r="CH152" s="307"/>
      <c r="CI152" s="408"/>
      <c r="CJ152" s="322"/>
      <c r="CK152" s="408"/>
      <c r="CL152" s="307"/>
      <c r="CM152" s="408"/>
      <c r="CN152" s="322"/>
      <c r="CO152" s="408"/>
      <c r="CP152" s="307"/>
      <c r="CQ152" s="408"/>
      <c r="CR152" s="322"/>
      <c r="CS152" s="408"/>
      <c r="CT152" s="307"/>
      <c r="CU152" s="408"/>
      <c r="CV152" s="322"/>
      <c r="CW152" s="408"/>
      <c r="CX152" s="307"/>
      <c r="CY152" s="408"/>
      <c r="CZ152" s="322"/>
      <c r="DA152" s="408"/>
      <c r="DB152" s="307"/>
      <c r="DC152" s="408"/>
      <c r="DD152" s="322"/>
      <c r="DE152" s="408"/>
      <c r="DF152" s="307"/>
      <c r="DG152" s="408"/>
      <c r="DH152" s="322"/>
      <c r="DI152" s="408"/>
      <c r="DJ152" s="307"/>
      <c r="DK152" s="408"/>
      <c r="DL152" s="322"/>
      <c r="DM152" s="408"/>
      <c r="DN152" s="307"/>
      <c r="DO152" s="408"/>
      <c r="DP152" s="340"/>
      <c r="DQ152" s="328"/>
      <c r="DR152" s="328">
        <f t="shared" si="53"/>
        <v>0</v>
      </c>
      <c r="DS152" s="329"/>
      <c r="DT152" s="329"/>
      <c r="DU152" s="322"/>
      <c r="DV152" s="408"/>
      <c r="DW152" s="307"/>
      <c r="DX152" s="408"/>
      <c r="DY152" s="322"/>
      <c r="DZ152" s="408"/>
      <c r="EA152" s="307"/>
      <c r="EB152" s="408"/>
      <c r="EC152" s="322"/>
      <c r="ED152" s="408"/>
      <c r="EE152" s="307"/>
      <c r="EF152" s="408"/>
      <c r="EG152" s="322"/>
      <c r="EH152" s="408"/>
      <c r="EI152" s="307"/>
      <c r="EJ152" s="408"/>
      <c r="EK152" s="322"/>
      <c r="EL152" s="408"/>
      <c r="EM152" s="307"/>
      <c r="EN152" s="408"/>
      <c r="EO152" s="322"/>
      <c r="EP152" s="408"/>
      <c r="EQ152" s="307"/>
      <c r="ER152" s="408"/>
      <c r="ES152" s="322"/>
      <c r="ET152" s="408"/>
      <c r="EU152" s="307"/>
      <c r="EV152" s="408"/>
      <c r="EW152" s="322"/>
      <c r="EX152" s="408"/>
      <c r="EY152" s="307"/>
      <c r="EZ152" s="408"/>
      <c r="FA152" s="322"/>
      <c r="FB152" s="408"/>
      <c r="FC152" s="307"/>
      <c r="FD152" s="408"/>
      <c r="FE152" s="322"/>
      <c r="FF152" s="408"/>
      <c r="FG152" s="307"/>
      <c r="FH152" s="408"/>
      <c r="FI152" s="322"/>
      <c r="FJ152" s="408"/>
      <c r="FK152" s="307"/>
      <c r="FL152" s="408"/>
      <c r="FM152" s="322"/>
      <c r="FN152" s="408"/>
      <c r="FO152" s="307"/>
      <c r="FP152" s="408"/>
      <c r="FQ152" s="340"/>
      <c r="FR152" s="328"/>
      <c r="FS152" s="328">
        <f t="shared" si="54"/>
        <v>0</v>
      </c>
      <c r="FT152" s="361"/>
    </row>
    <row r="153" spans="1:176" outlineLevel="2">
      <c r="A153" s="413" t="s">
        <v>469</v>
      </c>
      <c r="B153" s="444" t="s">
        <v>51</v>
      </c>
      <c r="C153" s="587" t="s">
        <v>72</v>
      </c>
      <c r="D153" s="580" t="s">
        <v>32</v>
      </c>
      <c r="E153" s="414">
        <f>IF(ISBLANK(G153),"",IF($A$6:$A$330=$A153,COUNTIF($A$6:A153,$A153),""))</f>
        <v>48</v>
      </c>
      <c r="F153" s="670">
        <v>2</v>
      </c>
      <c r="G153" s="403">
        <v>4491301200</v>
      </c>
      <c r="H153" s="613" t="s">
        <v>98</v>
      </c>
      <c r="I153" s="619">
        <v>0</v>
      </c>
      <c r="J153" s="619"/>
      <c r="K153" s="321"/>
      <c r="L153" s="619"/>
      <c r="M153" s="305"/>
      <c r="N153" s="305">
        <f t="shared" si="46"/>
        <v>1</v>
      </c>
      <c r="O153" s="322"/>
      <c r="P153" s="408">
        <f>SUMPRODUCT((Комплекты[Пр]=$F153)*(Комплекты[Обозначение]=$G153)*Комплекты[Кол-во]*(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20</v>
      </c>
      <c r="Q153" s="307">
        <f>SUMPRODUCT((Комплекты[Пр]=$F153)*(Комплекты[Обозначение]=$G153)*Комплекты[Кол-во]*(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20</v>
      </c>
      <c r="R153" s="408"/>
      <c r="S153" s="322"/>
      <c r="T153" s="408">
        <f>SUMPRODUCT((Комплекты[Пр]=$F153)*(Комплекты[Обозначение]=$G153)*Комплекты[Кол-во]*(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30</v>
      </c>
      <c r="U153" s="307">
        <f>SUMPRODUCT((Комплекты[Пр]=$F153)*(Комплекты[Обозначение]=$G153)*Комплекты[Кол-во]*(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30</v>
      </c>
      <c r="V153" s="408"/>
      <c r="W153" s="322"/>
      <c r="X153" s="408">
        <f>SUMPRODUCT((Комплекты[Пр]=$F153)*(Комплекты[Обозначение]=$G153)*Комплекты[Кол-во]*(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15</v>
      </c>
      <c r="Y153" s="307">
        <f>SUMPRODUCT((Комплекты[Пр]=$F153)*(Комплекты[Обозначение]=$G153)*Комплекты[Кол-во]*(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15</v>
      </c>
      <c r="Z153" s="408"/>
      <c r="AA153" s="322"/>
      <c r="AB153" s="408">
        <f>SUMPRODUCT((Комплекты[Пр]=$F153)*(Комплекты[Обозначение]=$G153)*Комплекты[Кол-во]*(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53" s="307"/>
      <c r="AD153" s="408"/>
      <c r="AE153" s="322"/>
      <c r="AF153" s="408">
        <f>SUMPRODUCT((Комплекты[Пр]=$F153)*(Комплекты[Обозначение]=$G153)*Комплекты[Кол-во]*(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53" s="307">
        <f>SUMPRODUCT((Комплекты[Пр]=$F153)*(Комплекты[Обозначение]=$G153)*Комплекты[Кол-во]*(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53" s="408"/>
      <c r="AI153" s="322"/>
      <c r="AJ153" s="408">
        <f>SUMPRODUCT((Комплекты[Пр]=$F153)*(Комплекты[Обозначение]=$G153)*Комплекты[Кол-во]*(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5</v>
      </c>
      <c r="AK153" s="307"/>
      <c r="AL153" s="408"/>
      <c r="AM153" s="322"/>
      <c r="AN153" s="408">
        <f>SUMPRODUCT((Комплекты[Пр]=$F153)*(Комплекты[Обозначение]=$G153)*Комплекты[Кол-во]*(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5</v>
      </c>
      <c r="AO153" s="307"/>
      <c r="AP153" s="408"/>
      <c r="AQ153" s="322"/>
      <c r="AR153" s="408">
        <f>SUMPRODUCT((Комплекты[Пр]=$F153)*(Комплекты[Обозначение]=$G153)*Комплекты[Кол-во]*(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5</v>
      </c>
      <c r="AS153" s="307"/>
      <c r="AT153" s="408"/>
      <c r="AU153" s="322"/>
      <c r="AV153" s="408">
        <f>SUMPRODUCT((Комплекты[Пр]=$F153)*(Комплекты[Обозначение]=$G153)*Комплекты[Кол-во]*(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5</v>
      </c>
      <c r="AW153" s="307"/>
      <c r="AX153" s="408"/>
      <c r="AY153" s="322"/>
      <c r="AZ153" s="408">
        <f>SUMPRODUCT((Комплекты[Пр]=$F153)*(Комплекты[Обозначение]=$G153)*Комплекты[Кол-во]*(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15</v>
      </c>
      <c r="BA153" s="307"/>
      <c r="BB153" s="408"/>
      <c r="BC153" s="322"/>
      <c r="BD153" s="408">
        <f>SUMPRODUCT((Комплекты[Пр]=$F153)*(Комплекты[Обозначение]=$G153)*Комплекты[Кол-во]*(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15</v>
      </c>
      <c r="BE153" s="307"/>
      <c r="BF153" s="408"/>
      <c r="BG153" s="322"/>
      <c r="BH153" s="408">
        <f>SUMPRODUCT((Комплекты[Пр]=$F153)*(Комплекты[Обозначение]=$G153)*Комплекты[Кол-во]*(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15</v>
      </c>
      <c r="BI153" s="307"/>
      <c r="BJ153" s="408"/>
      <c r="BK153" s="340"/>
      <c r="BL153" s="328">
        <f t="shared" si="47"/>
        <v>0</v>
      </c>
      <c r="BM153" s="328">
        <f t="shared" si="48"/>
        <v>0</v>
      </c>
      <c r="BN153" s="324">
        <f t="shared" si="49"/>
        <v>130</v>
      </c>
      <c r="BO153" s="325">
        <f t="shared" si="50"/>
        <v>0</v>
      </c>
      <c r="BP153" s="326">
        <f t="shared" si="51"/>
        <v>65</v>
      </c>
      <c r="BQ153" s="327">
        <f t="shared" si="52"/>
        <v>0</v>
      </c>
      <c r="BR153" s="329"/>
      <c r="BS153" s="329"/>
      <c r="BT153" s="322"/>
      <c r="BU153" s="408"/>
      <c r="BV153" s="307"/>
      <c r="BW153" s="408"/>
      <c r="BX153" s="322"/>
      <c r="BY153" s="408"/>
      <c r="BZ153" s="307"/>
      <c r="CA153" s="408"/>
      <c r="CB153" s="322"/>
      <c r="CC153" s="408"/>
      <c r="CD153" s="307"/>
      <c r="CE153" s="408"/>
      <c r="CF153" s="322"/>
      <c r="CG153" s="408"/>
      <c r="CH153" s="307"/>
      <c r="CI153" s="408"/>
      <c r="CJ153" s="322"/>
      <c r="CK153" s="408"/>
      <c r="CL153" s="307"/>
      <c r="CM153" s="408"/>
      <c r="CN153" s="322"/>
      <c r="CO153" s="408"/>
      <c r="CP153" s="307"/>
      <c r="CQ153" s="408"/>
      <c r="CR153" s="322"/>
      <c r="CS153" s="408"/>
      <c r="CT153" s="307"/>
      <c r="CU153" s="408"/>
      <c r="CV153" s="322"/>
      <c r="CW153" s="408"/>
      <c r="CX153" s="307"/>
      <c r="CY153" s="408"/>
      <c r="CZ153" s="322"/>
      <c r="DA153" s="408"/>
      <c r="DB153" s="307"/>
      <c r="DC153" s="408"/>
      <c r="DD153" s="322"/>
      <c r="DE153" s="408"/>
      <c r="DF153" s="307"/>
      <c r="DG153" s="408"/>
      <c r="DH153" s="322"/>
      <c r="DI153" s="408"/>
      <c r="DJ153" s="307"/>
      <c r="DK153" s="408"/>
      <c r="DL153" s="322"/>
      <c r="DM153" s="408"/>
      <c r="DN153" s="307"/>
      <c r="DO153" s="408"/>
      <c r="DP153" s="340"/>
      <c r="DQ153" s="328"/>
      <c r="DR153" s="328">
        <f t="shared" si="53"/>
        <v>0</v>
      </c>
      <c r="DS153" s="329"/>
      <c r="DT153" s="329"/>
      <c r="DU153" s="322"/>
      <c r="DV153" s="408"/>
      <c r="DW153" s="307"/>
      <c r="DX153" s="408"/>
      <c r="DY153" s="322"/>
      <c r="DZ153" s="408"/>
      <c r="EA153" s="307"/>
      <c r="EB153" s="408"/>
      <c r="EC153" s="322"/>
      <c r="ED153" s="408"/>
      <c r="EE153" s="307"/>
      <c r="EF153" s="408"/>
      <c r="EG153" s="322"/>
      <c r="EH153" s="408"/>
      <c r="EI153" s="307"/>
      <c r="EJ153" s="408"/>
      <c r="EK153" s="322"/>
      <c r="EL153" s="408"/>
      <c r="EM153" s="307"/>
      <c r="EN153" s="408"/>
      <c r="EO153" s="322"/>
      <c r="EP153" s="408"/>
      <c r="EQ153" s="307"/>
      <c r="ER153" s="408"/>
      <c r="ES153" s="322"/>
      <c r="ET153" s="408"/>
      <c r="EU153" s="307"/>
      <c r="EV153" s="408"/>
      <c r="EW153" s="322"/>
      <c r="EX153" s="408"/>
      <c r="EY153" s="307"/>
      <c r="EZ153" s="408"/>
      <c r="FA153" s="322"/>
      <c r="FB153" s="408"/>
      <c r="FC153" s="307"/>
      <c r="FD153" s="408"/>
      <c r="FE153" s="322"/>
      <c r="FF153" s="408"/>
      <c r="FG153" s="307"/>
      <c r="FH153" s="408"/>
      <c r="FI153" s="322"/>
      <c r="FJ153" s="408"/>
      <c r="FK153" s="307"/>
      <c r="FL153" s="408"/>
      <c r="FM153" s="322"/>
      <c r="FN153" s="408"/>
      <c r="FO153" s="307"/>
      <c r="FP153" s="408"/>
      <c r="FQ153" s="340"/>
      <c r="FR153" s="328"/>
      <c r="FS153" s="328">
        <f t="shared" si="54"/>
        <v>0</v>
      </c>
      <c r="FT153" s="361"/>
    </row>
    <row r="154" spans="1:176" outlineLevel="2">
      <c r="A154" s="56" t="s">
        <v>469</v>
      </c>
      <c r="B154" s="387" t="s">
        <v>51</v>
      </c>
      <c r="C154" s="541" t="s">
        <v>72</v>
      </c>
      <c r="D154" s="565" t="s">
        <v>32</v>
      </c>
      <c r="E154" s="10">
        <f>IF(ISBLANK(G154),"",IF($A$6:$A$330=$A154,COUNTIF($A$6:A154,$A154),""))</f>
        <v>49</v>
      </c>
      <c r="F154" s="669">
        <v>2</v>
      </c>
      <c r="G154" s="128">
        <v>4491301500</v>
      </c>
      <c r="H154" s="612" t="s">
        <v>99</v>
      </c>
      <c r="I154" s="618">
        <v>0</v>
      </c>
      <c r="J154" s="618"/>
      <c r="K154" s="126"/>
      <c r="L154" s="618" t="str">
        <f>IF(K154="RUB",J154/ЮАНЬ,IF(K154="EUR",J154*ЕВРО/ЮАНЬ,""))</f>
        <v/>
      </c>
      <c r="M154" s="102"/>
      <c r="N154" s="305">
        <f t="shared" si="46"/>
        <v>1</v>
      </c>
      <c r="O154" s="23">
        <v>40</v>
      </c>
      <c r="P154" s="24">
        <f>SUMPRODUCT((Комплекты[Пр]=$F154)*(Комплекты[Обозначение]=$G154)*Комплекты[Кол-во]*(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8</v>
      </c>
      <c r="Q154" s="25">
        <f>SUMPRODUCT((Комплекты[Пр]=$F154)*(Комплекты[Обозначение]=$G154)*Комплекты[Кол-во]*(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8</v>
      </c>
      <c r="R154" s="24"/>
      <c r="S154" s="23">
        <v>40</v>
      </c>
      <c r="T154" s="24">
        <f>SUMPRODUCT((Комплекты[Пр]=$F154)*(Комплекты[Обозначение]=$G154)*Комплекты[Кол-во]*(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10</v>
      </c>
      <c r="U154" s="25">
        <f>SUMPRODUCT((Комплекты[Пр]=$F154)*(Комплекты[Обозначение]=$G154)*Комплекты[Кол-во]*(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10</v>
      </c>
      <c r="V154" s="24"/>
      <c r="W154" s="23">
        <v>40</v>
      </c>
      <c r="X154" s="24">
        <f>SUMPRODUCT((Комплекты[Пр]=$F154)*(Комплекты[Обозначение]=$G154)*Комплекты[Кол-во]*(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5</v>
      </c>
      <c r="Y154" s="25">
        <f>SUMPRODUCT((Комплекты[Пр]=$F154)*(Комплекты[Обозначение]=$G154)*Комплекты[Кол-во]*(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5</v>
      </c>
      <c r="Z154" s="24"/>
      <c r="AA154" s="23">
        <v>20</v>
      </c>
      <c r="AB154" s="24">
        <f>SUMPRODUCT((Комплекты[Пр]=$F154)*(Комплекты[Обозначение]=$G154)*Комплекты[Кол-во]*(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54" s="25"/>
      <c r="AD154" s="24"/>
      <c r="AE154" s="23">
        <v>20</v>
      </c>
      <c r="AF154" s="24">
        <f>SUMPRODUCT((Комплекты[Пр]=$F154)*(Комплекты[Обозначение]=$G154)*Комплекты[Кол-во]*(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54" s="25">
        <f>SUMPRODUCT((Комплекты[Пр]=$F154)*(Комплекты[Обозначение]=$G154)*Комплекты[Кол-во]*(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54" s="24"/>
      <c r="AI154" s="23">
        <v>20</v>
      </c>
      <c r="AJ154" s="24">
        <f>SUMPRODUCT((Комплекты[Пр]=$F154)*(Комплекты[Обозначение]=$G154)*Комплекты[Кол-во]*(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5</v>
      </c>
      <c r="AK154" s="25"/>
      <c r="AL154" s="24"/>
      <c r="AM154" s="23">
        <v>20</v>
      </c>
      <c r="AN154" s="24">
        <f>SUMPRODUCT((Комплекты[Пр]=$F154)*(Комплекты[Обозначение]=$G154)*Комплекты[Кол-во]*(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5</v>
      </c>
      <c r="AO154" s="25"/>
      <c r="AP154" s="24"/>
      <c r="AQ154" s="23">
        <v>20</v>
      </c>
      <c r="AR154" s="24">
        <f>SUMPRODUCT((Комплекты[Пр]=$F154)*(Комплекты[Обозначение]=$G154)*Комплекты[Кол-во]*(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5</v>
      </c>
      <c r="AS154" s="25"/>
      <c r="AT154" s="24"/>
      <c r="AU154" s="23">
        <v>20</v>
      </c>
      <c r="AV154" s="24">
        <f>SUMPRODUCT((Комплекты[Пр]=$F154)*(Комплекты[Обозначение]=$G154)*Комплекты[Кол-во]*(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5</v>
      </c>
      <c r="AW154" s="25"/>
      <c r="AX154" s="24"/>
      <c r="AY154" s="23">
        <v>20</v>
      </c>
      <c r="AZ154" s="24">
        <f>SUMPRODUCT((Комплекты[Пр]=$F154)*(Комплекты[Обозначение]=$G154)*Комплекты[Кол-во]*(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5</v>
      </c>
      <c r="BA154" s="25"/>
      <c r="BB154" s="24"/>
      <c r="BC154" s="23">
        <v>20</v>
      </c>
      <c r="BD154" s="24">
        <f>SUMPRODUCT((Комплекты[Пр]=$F154)*(Комплекты[Обозначение]=$G154)*Комплекты[Кол-во]*(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5</v>
      </c>
      <c r="BE154" s="25"/>
      <c r="BF154" s="24"/>
      <c r="BG154" s="23">
        <v>20</v>
      </c>
      <c r="BH154" s="24">
        <f>SUMPRODUCT((Комплекты[Пр]=$F154)*(Комплекты[Обозначение]=$G154)*Комплекты[Кол-во]*(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5</v>
      </c>
      <c r="BI154" s="25"/>
      <c r="BJ154" s="24"/>
      <c r="BK154" s="340"/>
      <c r="BL154" s="32">
        <f t="shared" si="47"/>
        <v>300</v>
      </c>
      <c r="BM154" s="32">
        <f t="shared" si="48"/>
        <v>0</v>
      </c>
      <c r="BN154" s="28">
        <f t="shared" si="49"/>
        <v>58</v>
      </c>
      <c r="BO154" s="29">
        <f t="shared" si="50"/>
        <v>0</v>
      </c>
      <c r="BP154" s="30">
        <f t="shared" si="51"/>
        <v>23</v>
      </c>
      <c r="BQ154" s="31">
        <f t="shared" si="52"/>
        <v>0</v>
      </c>
      <c r="BR154" s="11"/>
      <c r="BS154" s="329"/>
      <c r="BT154" s="23">
        <v>40</v>
      </c>
      <c r="BU154" s="24"/>
      <c r="BV154" s="25"/>
      <c r="BW154" s="24"/>
      <c r="BX154" s="23">
        <v>40</v>
      </c>
      <c r="BY154" s="24"/>
      <c r="BZ154" s="25"/>
      <c r="CA154" s="24"/>
      <c r="CB154" s="23">
        <v>40</v>
      </c>
      <c r="CC154" s="24"/>
      <c r="CD154" s="25"/>
      <c r="CE154" s="24"/>
      <c r="CF154" s="23">
        <v>40</v>
      </c>
      <c r="CG154" s="24"/>
      <c r="CH154" s="25"/>
      <c r="CI154" s="24"/>
      <c r="CJ154" s="23">
        <v>40</v>
      </c>
      <c r="CK154" s="24"/>
      <c r="CL154" s="25"/>
      <c r="CM154" s="24"/>
      <c r="CN154" s="23">
        <v>40</v>
      </c>
      <c r="CO154" s="24"/>
      <c r="CP154" s="25"/>
      <c r="CQ154" s="24"/>
      <c r="CR154" s="23">
        <v>40</v>
      </c>
      <c r="CS154" s="24"/>
      <c r="CT154" s="25"/>
      <c r="CU154" s="24"/>
      <c r="CV154" s="23">
        <v>40</v>
      </c>
      <c r="CW154" s="24"/>
      <c r="CX154" s="25"/>
      <c r="CY154" s="24"/>
      <c r="CZ154" s="23">
        <v>40</v>
      </c>
      <c r="DA154" s="24"/>
      <c r="DB154" s="25"/>
      <c r="DC154" s="24"/>
      <c r="DD154" s="23">
        <v>40</v>
      </c>
      <c r="DE154" s="24"/>
      <c r="DF154" s="25"/>
      <c r="DG154" s="24"/>
      <c r="DH154" s="23">
        <v>40</v>
      </c>
      <c r="DI154" s="24"/>
      <c r="DJ154" s="25"/>
      <c r="DK154" s="24"/>
      <c r="DL154" s="23">
        <v>40</v>
      </c>
      <c r="DM154" s="24"/>
      <c r="DN154" s="25"/>
      <c r="DO154" s="24"/>
      <c r="DP154" s="340"/>
      <c r="DQ154" s="32">
        <f>SUMPRODUCT(--(MOD(COLUMN(BT154:CQ154),4)=MOD(COLUMN(BT154),4)),BT154:CQ154)+SUMPRODUCT(--(MOD(COLUMN(CR154:DO154),4)=MOD(COLUMN(CR154),4)),CR154:DO154)</f>
        <v>480</v>
      </c>
      <c r="DR154" s="32">
        <f t="shared" si="53"/>
        <v>0</v>
      </c>
      <c r="DS154" s="11"/>
      <c r="DT154" s="329"/>
      <c r="DU154" s="23">
        <v>50</v>
      </c>
      <c r="DV154" s="24"/>
      <c r="DW154" s="25"/>
      <c r="DX154" s="24"/>
      <c r="DY154" s="23">
        <v>50</v>
      </c>
      <c r="DZ154" s="24"/>
      <c r="EA154" s="25"/>
      <c r="EB154" s="24"/>
      <c r="EC154" s="23">
        <v>50</v>
      </c>
      <c r="ED154" s="24"/>
      <c r="EE154" s="25"/>
      <c r="EF154" s="24"/>
      <c r="EG154" s="23">
        <v>50</v>
      </c>
      <c r="EH154" s="24"/>
      <c r="EI154" s="25"/>
      <c r="EJ154" s="24"/>
      <c r="EK154" s="23">
        <v>50</v>
      </c>
      <c r="EL154" s="24"/>
      <c r="EM154" s="25"/>
      <c r="EN154" s="24"/>
      <c r="EO154" s="23">
        <v>50</v>
      </c>
      <c r="EP154" s="24"/>
      <c r="EQ154" s="25"/>
      <c r="ER154" s="24"/>
      <c r="ES154" s="23">
        <v>50</v>
      </c>
      <c r="ET154" s="24"/>
      <c r="EU154" s="25"/>
      <c r="EV154" s="24"/>
      <c r="EW154" s="23">
        <v>50</v>
      </c>
      <c r="EX154" s="24"/>
      <c r="EY154" s="25"/>
      <c r="EZ154" s="24"/>
      <c r="FA154" s="23">
        <v>50</v>
      </c>
      <c r="FB154" s="24"/>
      <c r="FC154" s="25"/>
      <c r="FD154" s="24"/>
      <c r="FE154" s="23">
        <v>50</v>
      </c>
      <c r="FF154" s="24"/>
      <c r="FG154" s="25"/>
      <c r="FH154" s="24"/>
      <c r="FI154" s="23">
        <v>50</v>
      </c>
      <c r="FJ154" s="24"/>
      <c r="FK154" s="25"/>
      <c r="FL154" s="24"/>
      <c r="FM154" s="23">
        <v>50</v>
      </c>
      <c r="FN154" s="24"/>
      <c r="FO154" s="25"/>
      <c r="FP154" s="24"/>
      <c r="FQ154" s="340"/>
      <c r="FR154" s="32">
        <f>SUMPRODUCT(--(MOD(COLUMN(DU154:ER154),4)=MOD(COLUMN(DU154),4)),DU154:ER154)+SUMPRODUCT(--(MOD(COLUMN(ES154:FP154),4)=MOD(COLUMN(ES154),4)),ES154:FP154)</f>
        <v>600</v>
      </c>
      <c r="FS154" s="32">
        <f t="shared" si="54"/>
        <v>0</v>
      </c>
      <c r="FT154" s="361"/>
    </row>
    <row r="155" spans="1:176" outlineLevel="2">
      <c r="A155" s="56" t="s">
        <v>469</v>
      </c>
      <c r="B155" s="387" t="s">
        <v>51</v>
      </c>
      <c r="C155" s="541" t="s">
        <v>72</v>
      </c>
      <c r="D155" s="565" t="s">
        <v>32</v>
      </c>
      <c r="E155" s="10">
        <f>IF(ISBLANK(G155),"",IF($A$6:$A$330=$A155,COUNTIF($A$6:A155,$A155),""))</f>
        <v>50</v>
      </c>
      <c r="F155" s="669">
        <v>2</v>
      </c>
      <c r="G155" s="128">
        <v>4497490300</v>
      </c>
      <c r="H155" s="612" t="s">
        <v>100</v>
      </c>
      <c r="I155" s="618">
        <v>0</v>
      </c>
      <c r="J155" s="618"/>
      <c r="K155" s="126"/>
      <c r="L155" s="618" t="str">
        <f>IF(K155="RUB",J155/ЮАНЬ,IF(K155="EUR",J155*ЕВРО/ЮАНЬ,""))</f>
        <v/>
      </c>
      <c r="M155" s="102"/>
      <c r="N155" s="305">
        <f t="shared" si="46"/>
        <v>1</v>
      </c>
      <c r="O155" s="23">
        <v>100</v>
      </c>
      <c r="P155" s="24">
        <f>SUMPRODUCT((Комплекты[Пр]=$F155)*(Комплекты[Обозначение]=$G155)*Комплекты[Кол-во]*(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72</v>
      </c>
      <c r="Q155" s="25">
        <f>SUMPRODUCT((Комплекты[Пр]=$F155)*(Комплекты[Обозначение]=$G155)*Комплекты[Кол-во]*(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72</v>
      </c>
      <c r="R155" s="24"/>
      <c r="S155" s="23">
        <v>100</v>
      </c>
      <c r="T155" s="24">
        <f>SUMPRODUCT((Комплекты[Пр]=$F155)*(Комплекты[Обозначение]=$G155)*Комплекты[Кол-во]*(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100</v>
      </c>
      <c r="U155" s="25">
        <f>SUMPRODUCT((Комплекты[Пр]=$F155)*(Комплекты[Обозначение]=$G155)*Комплекты[Кол-во]*(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100</v>
      </c>
      <c r="V155" s="24"/>
      <c r="W155" s="23">
        <v>100</v>
      </c>
      <c r="X155" s="24">
        <f>SUMPRODUCT((Комплекты[Пр]=$F155)*(Комплекты[Обозначение]=$G155)*Комплекты[Кол-во]*(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50</v>
      </c>
      <c r="Y155" s="25">
        <f>SUMPRODUCT((Комплекты[Пр]=$F155)*(Комплекты[Обозначение]=$G155)*Комплекты[Кол-во]*(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50</v>
      </c>
      <c r="Z155" s="24"/>
      <c r="AA155" s="23">
        <v>50</v>
      </c>
      <c r="AB155" s="24">
        <f>SUMPRODUCT((Комплекты[Пр]=$F155)*(Комплекты[Обозначение]=$G155)*Комплекты[Кол-во]*(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55" s="25"/>
      <c r="AD155" s="24"/>
      <c r="AE155" s="23">
        <v>50</v>
      </c>
      <c r="AF155" s="24">
        <f>SUMPRODUCT((Комплекты[Пр]=$F155)*(Комплекты[Обозначение]=$G155)*Комплекты[Кол-во]*(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55" s="25">
        <f>SUMPRODUCT((Комплекты[Пр]=$F155)*(Комплекты[Обозначение]=$G155)*Комплекты[Кол-во]*(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55" s="24"/>
      <c r="AI155" s="23">
        <v>50</v>
      </c>
      <c r="AJ155" s="24">
        <f>SUMPRODUCT((Комплекты[Пр]=$F155)*(Комплекты[Обозначение]=$G155)*Комплекты[Кол-во]*(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30</v>
      </c>
      <c r="AK155" s="25"/>
      <c r="AL155" s="24"/>
      <c r="AM155" s="23">
        <v>50</v>
      </c>
      <c r="AN155" s="24">
        <f>SUMPRODUCT((Комплекты[Пр]=$F155)*(Комплекты[Обозначение]=$G155)*Комплекты[Кол-во]*(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30</v>
      </c>
      <c r="AO155" s="25"/>
      <c r="AP155" s="24"/>
      <c r="AQ155" s="23">
        <v>50</v>
      </c>
      <c r="AR155" s="24">
        <f>SUMPRODUCT((Комплекты[Пр]=$F155)*(Комплекты[Обозначение]=$G155)*Комплекты[Кол-во]*(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30</v>
      </c>
      <c r="AS155" s="25"/>
      <c r="AT155" s="24"/>
      <c r="AU155" s="23">
        <v>50</v>
      </c>
      <c r="AV155" s="24">
        <f>SUMPRODUCT((Комплекты[Пр]=$F155)*(Комплекты[Обозначение]=$G155)*Комплекты[Кол-во]*(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30</v>
      </c>
      <c r="AW155" s="25"/>
      <c r="AX155" s="24"/>
      <c r="AY155" s="23">
        <v>50</v>
      </c>
      <c r="AZ155" s="24">
        <f>SUMPRODUCT((Комплекты[Пр]=$F155)*(Комплекты[Обозначение]=$G155)*Комплекты[Кол-во]*(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50</v>
      </c>
      <c r="BA155" s="25"/>
      <c r="BB155" s="24"/>
      <c r="BC155" s="23">
        <v>50</v>
      </c>
      <c r="BD155" s="24">
        <f>SUMPRODUCT((Комплекты[Пр]=$F155)*(Комплекты[Обозначение]=$G155)*Комплекты[Кол-во]*(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50</v>
      </c>
      <c r="BE155" s="25"/>
      <c r="BF155" s="24"/>
      <c r="BG155" s="23">
        <v>50</v>
      </c>
      <c r="BH155" s="24">
        <f>SUMPRODUCT((Комплекты[Пр]=$F155)*(Комплекты[Обозначение]=$G155)*Комплекты[Кол-во]*(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50</v>
      </c>
      <c r="BI155" s="25"/>
      <c r="BJ155" s="24"/>
      <c r="BK155" s="340"/>
      <c r="BL155" s="32">
        <f t="shared" si="47"/>
        <v>750</v>
      </c>
      <c r="BM155" s="32">
        <f t="shared" si="48"/>
        <v>0</v>
      </c>
      <c r="BN155" s="28">
        <f t="shared" si="49"/>
        <v>492</v>
      </c>
      <c r="BO155" s="29">
        <f t="shared" si="50"/>
        <v>0</v>
      </c>
      <c r="BP155" s="30">
        <f t="shared" si="51"/>
        <v>222</v>
      </c>
      <c r="BQ155" s="31">
        <f t="shared" si="52"/>
        <v>0</v>
      </c>
      <c r="BR155" s="11"/>
      <c r="BS155" s="329"/>
      <c r="BT155" s="23">
        <v>100</v>
      </c>
      <c r="BU155" s="24"/>
      <c r="BV155" s="25"/>
      <c r="BW155" s="24"/>
      <c r="BX155" s="23">
        <v>100</v>
      </c>
      <c r="BY155" s="24"/>
      <c r="BZ155" s="25"/>
      <c r="CA155" s="24"/>
      <c r="CB155" s="23">
        <v>100</v>
      </c>
      <c r="CC155" s="24"/>
      <c r="CD155" s="25"/>
      <c r="CE155" s="24"/>
      <c r="CF155" s="23">
        <v>100</v>
      </c>
      <c r="CG155" s="24"/>
      <c r="CH155" s="25"/>
      <c r="CI155" s="24"/>
      <c r="CJ155" s="23">
        <v>100</v>
      </c>
      <c r="CK155" s="24"/>
      <c r="CL155" s="25"/>
      <c r="CM155" s="24"/>
      <c r="CN155" s="23">
        <v>100</v>
      </c>
      <c r="CO155" s="24"/>
      <c r="CP155" s="25"/>
      <c r="CQ155" s="24"/>
      <c r="CR155" s="23">
        <v>100</v>
      </c>
      <c r="CS155" s="24"/>
      <c r="CT155" s="25"/>
      <c r="CU155" s="24"/>
      <c r="CV155" s="23">
        <v>100</v>
      </c>
      <c r="CW155" s="24"/>
      <c r="CX155" s="25"/>
      <c r="CY155" s="24"/>
      <c r="CZ155" s="23">
        <v>100</v>
      </c>
      <c r="DA155" s="24"/>
      <c r="DB155" s="25"/>
      <c r="DC155" s="24"/>
      <c r="DD155" s="23">
        <v>100</v>
      </c>
      <c r="DE155" s="24"/>
      <c r="DF155" s="25"/>
      <c r="DG155" s="24"/>
      <c r="DH155" s="23">
        <v>100</v>
      </c>
      <c r="DI155" s="24"/>
      <c r="DJ155" s="25"/>
      <c r="DK155" s="24"/>
      <c r="DL155" s="23">
        <v>100</v>
      </c>
      <c r="DM155" s="24"/>
      <c r="DN155" s="25"/>
      <c r="DO155" s="24"/>
      <c r="DP155" s="340"/>
      <c r="DQ155" s="32">
        <f>SUMPRODUCT(--(MOD(COLUMN(BT155:CQ155),4)=MOD(COLUMN(BT155),4)),BT155:CQ155)+SUMPRODUCT(--(MOD(COLUMN(CR155:DO155),4)=MOD(COLUMN(CR155),4)),CR155:DO155)</f>
        <v>1200</v>
      </c>
      <c r="DR155" s="32">
        <f t="shared" si="53"/>
        <v>0</v>
      </c>
      <c r="DS155" s="11"/>
      <c r="DT155" s="329"/>
      <c r="DU155" s="23">
        <v>120</v>
      </c>
      <c r="DV155" s="24"/>
      <c r="DW155" s="25"/>
      <c r="DX155" s="24"/>
      <c r="DY155" s="23">
        <v>120</v>
      </c>
      <c r="DZ155" s="24"/>
      <c r="EA155" s="25"/>
      <c r="EB155" s="24"/>
      <c r="EC155" s="23">
        <v>120</v>
      </c>
      <c r="ED155" s="24"/>
      <c r="EE155" s="25"/>
      <c r="EF155" s="24"/>
      <c r="EG155" s="23">
        <v>120</v>
      </c>
      <c r="EH155" s="24"/>
      <c r="EI155" s="25"/>
      <c r="EJ155" s="24"/>
      <c r="EK155" s="23">
        <v>120</v>
      </c>
      <c r="EL155" s="24"/>
      <c r="EM155" s="25"/>
      <c r="EN155" s="24"/>
      <c r="EO155" s="23">
        <v>120</v>
      </c>
      <c r="EP155" s="24"/>
      <c r="EQ155" s="25"/>
      <c r="ER155" s="24"/>
      <c r="ES155" s="23">
        <v>120</v>
      </c>
      <c r="ET155" s="24"/>
      <c r="EU155" s="25"/>
      <c r="EV155" s="24"/>
      <c r="EW155" s="23">
        <v>120</v>
      </c>
      <c r="EX155" s="24"/>
      <c r="EY155" s="25"/>
      <c r="EZ155" s="24"/>
      <c r="FA155" s="23">
        <v>120</v>
      </c>
      <c r="FB155" s="24"/>
      <c r="FC155" s="25"/>
      <c r="FD155" s="24"/>
      <c r="FE155" s="23">
        <v>120</v>
      </c>
      <c r="FF155" s="24"/>
      <c r="FG155" s="25"/>
      <c r="FH155" s="24"/>
      <c r="FI155" s="23">
        <v>120</v>
      </c>
      <c r="FJ155" s="24"/>
      <c r="FK155" s="25"/>
      <c r="FL155" s="24"/>
      <c r="FM155" s="23">
        <v>120</v>
      </c>
      <c r="FN155" s="24"/>
      <c r="FO155" s="25"/>
      <c r="FP155" s="24"/>
      <c r="FQ155" s="340"/>
      <c r="FR155" s="32">
        <f>SUMPRODUCT(--(MOD(COLUMN(DU155:ER155),4)=MOD(COLUMN(DU155),4)),DU155:ER155)+SUMPRODUCT(--(MOD(COLUMN(ES155:FP155),4)=MOD(COLUMN(ES155),4)),ES155:FP155)</f>
        <v>1440</v>
      </c>
      <c r="FS155" s="32">
        <f t="shared" si="54"/>
        <v>0</v>
      </c>
      <c r="FT155" s="361"/>
    </row>
    <row r="156" spans="1:176" outlineLevel="2">
      <c r="A156" s="56" t="s">
        <v>469</v>
      </c>
      <c r="B156" s="387" t="s">
        <v>51</v>
      </c>
      <c r="C156" s="541" t="s">
        <v>72</v>
      </c>
      <c r="D156" s="565" t="s">
        <v>32</v>
      </c>
      <c r="E156" s="10">
        <f>IF(ISBLANK(G156),"",IF($A$6:$A$330=$A156,COUNTIF($A$6:A156,$A156),""))</f>
        <v>51</v>
      </c>
      <c r="F156" s="669">
        <v>2</v>
      </c>
      <c r="G156" s="128">
        <v>9522010010</v>
      </c>
      <c r="H156" s="612" t="s">
        <v>73</v>
      </c>
      <c r="I156" s="618">
        <v>0</v>
      </c>
      <c r="J156" s="618"/>
      <c r="K156" s="126"/>
      <c r="L156" s="618" t="str">
        <f>IF(K156="RUB",J156/ЮАНЬ,IF(K156="EUR",J156*ЕВРО/ЮАНЬ,""))</f>
        <v/>
      </c>
      <c r="M156" s="102"/>
      <c r="N156" s="305">
        <f t="shared" si="46"/>
        <v>1</v>
      </c>
      <c r="O156" s="23">
        <v>40</v>
      </c>
      <c r="P156" s="24">
        <f>SUMPRODUCT((Комплекты[Пр]=$F156)*(Комплекты[Обозначение]=$G156)*Комплекты[Кол-во]*(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30</v>
      </c>
      <c r="Q156" s="25">
        <f>SUMPRODUCT((Комплекты[Пр]=$F156)*(Комплекты[Обозначение]=$G156)*Комплекты[Кол-во]*(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30</v>
      </c>
      <c r="R156" s="24"/>
      <c r="S156" s="23">
        <v>40</v>
      </c>
      <c r="T156" s="24">
        <f>SUMPRODUCT((Комплекты[Пр]=$F156)*(Комплекты[Обозначение]=$G156)*Комплекты[Кол-во]*(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45</v>
      </c>
      <c r="U156" s="25">
        <f>SUMPRODUCT((Комплекты[Пр]=$F156)*(Комплекты[Обозначение]=$G156)*Комплекты[Кол-во]*(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45</v>
      </c>
      <c r="V156" s="24"/>
      <c r="W156" s="23">
        <v>40</v>
      </c>
      <c r="X156" s="24">
        <f>SUMPRODUCT((Комплекты[Пр]=$F156)*(Комплекты[Обозначение]=$G156)*Комплекты[Кол-во]*(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56" s="25">
        <f>SUMPRODUCT((Комплекты[Пр]=$F156)*(Комплекты[Обозначение]=$G156)*Комплекты[Кол-во]*(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56" s="24"/>
      <c r="AA156" s="23">
        <v>20</v>
      </c>
      <c r="AB156" s="24">
        <f>SUMPRODUCT((Комплекты[Пр]=$F156)*(Комплекты[Обозначение]=$G156)*Комплекты[Кол-во]*(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56" s="25"/>
      <c r="AD156" s="24"/>
      <c r="AE156" s="23">
        <v>20</v>
      </c>
      <c r="AF156" s="24">
        <f>SUMPRODUCT((Комплекты[Пр]=$F156)*(Комплекты[Обозначение]=$G156)*Комплекты[Кол-во]*(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56" s="25">
        <f>SUMPRODUCT((Комплекты[Пр]=$F156)*(Комплекты[Обозначение]=$G156)*Комплекты[Кол-во]*(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56" s="24"/>
      <c r="AI156" s="23">
        <v>20</v>
      </c>
      <c r="AJ156" s="24">
        <f>SUMPRODUCT((Комплекты[Пр]=$F156)*(Комплекты[Обозначение]=$G156)*Комплекты[Кол-во]*(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10</v>
      </c>
      <c r="AK156" s="25"/>
      <c r="AL156" s="24"/>
      <c r="AM156" s="23">
        <v>20</v>
      </c>
      <c r="AN156" s="24">
        <f>SUMPRODUCT((Комплекты[Пр]=$F156)*(Комплекты[Обозначение]=$G156)*Комплекты[Кол-во]*(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10</v>
      </c>
      <c r="AO156" s="25"/>
      <c r="AP156" s="24"/>
      <c r="AQ156" s="23">
        <v>20</v>
      </c>
      <c r="AR156" s="24">
        <f>SUMPRODUCT((Комплекты[Пр]=$F156)*(Комплекты[Обозначение]=$G156)*Комплекты[Кол-во]*(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10</v>
      </c>
      <c r="AS156" s="25"/>
      <c r="AT156" s="24"/>
      <c r="AU156" s="23">
        <v>20</v>
      </c>
      <c r="AV156" s="24">
        <f>SUMPRODUCT((Комплекты[Пр]=$F156)*(Комплекты[Обозначение]=$G156)*Комплекты[Кол-во]*(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10</v>
      </c>
      <c r="AW156" s="25"/>
      <c r="AX156" s="24"/>
      <c r="AY156" s="23">
        <v>20</v>
      </c>
      <c r="AZ156" s="24">
        <f>SUMPRODUCT((Комплекты[Пр]=$F156)*(Комплекты[Обозначение]=$G156)*Комплекты[Кол-во]*(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56" s="25"/>
      <c r="BB156" s="24"/>
      <c r="BC156" s="23">
        <v>20</v>
      </c>
      <c r="BD156" s="24">
        <f>SUMPRODUCT((Комплекты[Пр]=$F156)*(Комплекты[Обозначение]=$G156)*Комплекты[Кол-во]*(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56" s="25"/>
      <c r="BF156" s="24"/>
      <c r="BG156" s="23">
        <v>20</v>
      </c>
      <c r="BH156" s="24">
        <f>SUMPRODUCT((Комплекты[Пр]=$F156)*(Комплекты[Обозначение]=$G156)*Комплекты[Кол-во]*(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56" s="25"/>
      <c r="BJ156" s="24"/>
      <c r="BK156" s="340"/>
      <c r="BL156" s="32">
        <f t="shared" si="47"/>
        <v>300</v>
      </c>
      <c r="BM156" s="32">
        <f t="shared" si="48"/>
        <v>0</v>
      </c>
      <c r="BN156" s="28">
        <f t="shared" si="49"/>
        <v>196</v>
      </c>
      <c r="BO156" s="29">
        <f t="shared" si="50"/>
        <v>0</v>
      </c>
      <c r="BP156" s="30">
        <f t="shared" si="51"/>
        <v>95</v>
      </c>
      <c r="BQ156" s="31">
        <f t="shared" si="52"/>
        <v>0</v>
      </c>
      <c r="BR156" s="11"/>
      <c r="BS156" s="329"/>
      <c r="BT156" s="23">
        <v>40</v>
      </c>
      <c r="BU156" s="24"/>
      <c r="BV156" s="25"/>
      <c r="BW156" s="24"/>
      <c r="BX156" s="23">
        <v>40</v>
      </c>
      <c r="BY156" s="24"/>
      <c r="BZ156" s="25"/>
      <c r="CA156" s="24"/>
      <c r="CB156" s="23">
        <v>40</v>
      </c>
      <c r="CC156" s="24"/>
      <c r="CD156" s="25"/>
      <c r="CE156" s="24"/>
      <c r="CF156" s="23">
        <v>40</v>
      </c>
      <c r="CG156" s="24"/>
      <c r="CH156" s="25"/>
      <c r="CI156" s="24"/>
      <c r="CJ156" s="23">
        <v>40</v>
      </c>
      <c r="CK156" s="24"/>
      <c r="CL156" s="25"/>
      <c r="CM156" s="24"/>
      <c r="CN156" s="23">
        <v>40</v>
      </c>
      <c r="CO156" s="24"/>
      <c r="CP156" s="25"/>
      <c r="CQ156" s="24"/>
      <c r="CR156" s="23">
        <v>40</v>
      </c>
      <c r="CS156" s="24"/>
      <c r="CT156" s="25"/>
      <c r="CU156" s="24"/>
      <c r="CV156" s="23">
        <v>40</v>
      </c>
      <c r="CW156" s="24"/>
      <c r="CX156" s="25"/>
      <c r="CY156" s="24"/>
      <c r="CZ156" s="23">
        <v>40</v>
      </c>
      <c r="DA156" s="24"/>
      <c r="DB156" s="25"/>
      <c r="DC156" s="24"/>
      <c r="DD156" s="23">
        <v>40</v>
      </c>
      <c r="DE156" s="24"/>
      <c r="DF156" s="25"/>
      <c r="DG156" s="24"/>
      <c r="DH156" s="23">
        <v>40</v>
      </c>
      <c r="DI156" s="24"/>
      <c r="DJ156" s="25"/>
      <c r="DK156" s="24"/>
      <c r="DL156" s="23">
        <v>40</v>
      </c>
      <c r="DM156" s="24"/>
      <c r="DN156" s="25"/>
      <c r="DO156" s="24"/>
      <c r="DP156" s="340"/>
      <c r="DQ156" s="32">
        <f>SUMPRODUCT(--(MOD(COLUMN(BT156:CQ156),4)=MOD(COLUMN(BT156),4)),BT156:CQ156)+SUMPRODUCT(--(MOD(COLUMN(CR156:DO156),4)=MOD(COLUMN(CR156),4)),CR156:DO156)</f>
        <v>480</v>
      </c>
      <c r="DR156" s="32">
        <f t="shared" si="53"/>
        <v>0</v>
      </c>
      <c r="DS156" s="11"/>
      <c r="DT156" s="329"/>
      <c r="DU156" s="23">
        <v>50</v>
      </c>
      <c r="DV156" s="24"/>
      <c r="DW156" s="25"/>
      <c r="DX156" s="24"/>
      <c r="DY156" s="23">
        <v>50</v>
      </c>
      <c r="DZ156" s="24"/>
      <c r="EA156" s="25"/>
      <c r="EB156" s="24"/>
      <c r="EC156" s="23">
        <v>50</v>
      </c>
      <c r="ED156" s="24"/>
      <c r="EE156" s="25"/>
      <c r="EF156" s="24"/>
      <c r="EG156" s="23">
        <v>50</v>
      </c>
      <c r="EH156" s="24"/>
      <c r="EI156" s="25"/>
      <c r="EJ156" s="24"/>
      <c r="EK156" s="23">
        <v>50</v>
      </c>
      <c r="EL156" s="24"/>
      <c r="EM156" s="25"/>
      <c r="EN156" s="24"/>
      <c r="EO156" s="23">
        <v>50</v>
      </c>
      <c r="EP156" s="24"/>
      <c r="EQ156" s="25"/>
      <c r="ER156" s="24"/>
      <c r="ES156" s="23">
        <v>50</v>
      </c>
      <c r="ET156" s="24"/>
      <c r="EU156" s="25"/>
      <c r="EV156" s="24"/>
      <c r="EW156" s="23">
        <v>50</v>
      </c>
      <c r="EX156" s="24"/>
      <c r="EY156" s="25"/>
      <c r="EZ156" s="24"/>
      <c r="FA156" s="23">
        <v>50</v>
      </c>
      <c r="FB156" s="24"/>
      <c r="FC156" s="25"/>
      <c r="FD156" s="24"/>
      <c r="FE156" s="23">
        <v>50</v>
      </c>
      <c r="FF156" s="24"/>
      <c r="FG156" s="25"/>
      <c r="FH156" s="24"/>
      <c r="FI156" s="23">
        <v>50</v>
      </c>
      <c r="FJ156" s="24"/>
      <c r="FK156" s="25"/>
      <c r="FL156" s="24"/>
      <c r="FM156" s="23">
        <v>50</v>
      </c>
      <c r="FN156" s="24"/>
      <c r="FO156" s="25"/>
      <c r="FP156" s="24"/>
      <c r="FQ156" s="340"/>
      <c r="FR156" s="32">
        <f>SUMPRODUCT(--(MOD(COLUMN(DU156:ER156),4)=MOD(COLUMN(DU156),4)),DU156:ER156)+SUMPRODUCT(--(MOD(COLUMN(ES156:FP156),4)=MOD(COLUMN(ES156),4)),ES156:FP156)</f>
        <v>600</v>
      </c>
      <c r="FS156" s="32">
        <f t="shared" si="54"/>
        <v>0</v>
      </c>
      <c r="FT156" s="361"/>
    </row>
    <row r="157" spans="1:176" outlineLevel="2">
      <c r="A157" s="56" t="s">
        <v>469</v>
      </c>
      <c r="B157" s="387" t="s">
        <v>51</v>
      </c>
      <c r="C157" s="541" t="s">
        <v>72</v>
      </c>
      <c r="D157" s="565" t="s">
        <v>32</v>
      </c>
      <c r="E157" s="10">
        <f>IF(ISBLANK(G157),"",IF($A$6:$A$330=$A157,COUNTIF($A$6:A157,$A157),""))</f>
        <v>52</v>
      </c>
      <c r="F157" s="669">
        <v>2</v>
      </c>
      <c r="G157" s="128">
        <v>9522010020</v>
      </c>
      <c r="H157" s="612" t="s">
        <v>74</v>
      </c>
      <c r="I157" s="618">
        <v>0</v>
      </c>
      <c r="J157" s="618"/>
      <c r="K157" s="126"/>
      <c r="L157" s="618" t="str">
        <f>IF(K157="RUB",J157/ЮАНЬ,IF(K157="EUR",J157*ЕВРО/ЮАНЬ,""))</f>
        <v/>
      </c>
      <c r="M157" s="102"/>
      <c r="N157" s="305">
        <f t="shared" si="46"/>
        <v>1</v>
      </c>
      <c r="O157" s="23">
        <v>40</v>
      </c>
      <c r="P157" s="24">
        <f>SUMPRODUCT((Комплекты[Пр]=$F157)*(Комплекты[Обозначение]=$G157)*Комплекты[Кол-во]*(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30</v>
      </c>
      <c r="Q157" s="25">
        <f>SUMPRODUCT((Комплекты[Пр]=$F157)*(Комплекты[Обозначение]=$G157)*Комплекты[Кол-во]*(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30</v>
      </c>
      <c r="R157" s="24"/>
      <c r="S157" s="23">
        <v>40</v>
      </c>
      <c r="T157" s="24">
        <f>SUMPRODUCT((Комплекты[Пр]=$F157)*(Комплекты[Обозначение]=$G157)*Комплекты[Кол-во]*(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45</v>
      </c>
      <c r="U157" s="25">
        <f>SUMPRODUCT((Комплекты[Пр]=$F157)*(Комплекты[Обозначение]=$G157)*Комплекты[Кол-во]*(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45</v>
      </c>
      <c r="V157" s="24"/>
      <c r="W157" s="23">
        <v>40</v>
      </c>
      <c r="X157" s="24">
        <f>SUMPRODUCT((Комплекты[Пр]=$F157)*(Комплекты[Обозначение]=$G157)*Комплекты[Кол-во]*(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57" s="25">
        <f>SUMPRODUCT((Комплекты[Пр]=$F157)*(Комплекты[Обозначение]=$G157)*Комплекты[Кол-во]*(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57" s="24"/>
      <c r="AA157" s="23">
        <v>20</v>
      </c>
      <c r="AB157" s="24">
        <f>SUMPRODUCT((Комплекты[Пр]=$F157)*(Комплекты[Обозначение]=$G157)*Комплекты[Кол-во]*(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57" s="25"/>
      <c r="AD157" s="24"/>
      <c r="AE157" s="23">
        <v>20</v>
      </c>
      <c r="AF157" s="24">
        <f>SUMPRODUCT((Комплекты[Пр]=$F157)*(Комплекты[Обозначение]=$G157)*Комплекты[Кол-во]*(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57" s="25">
        <f>SUMPRODUCT((Комплекты[Пр]=$F157)*(Комплекты[Обозначение]=$G157)*Комплекты[Кол-во]*(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57" s="24"/>
      <c r="AI157" s="23">
        <v>20</v>
      </c>
      <c r="AJ157" s="24">
        <f>SUMPRODUCT((Комплекты[Пр]=$F157)*(Комплекты[Обозначение]=$G157)*Комплекты[Кол-во]*(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10</v>
      </c>
      <c r="AK157" s="25"/>
      <c r="AL157" s="24"/>
      <c r="AM157" s="23">
        <v>20</v>
      </c>
      <c r="AN157" s="24">
        <f>SUMPRODUCT((Комплекты[Пр]=$F157)*(Комплекты[Обозначение]=$G157)*Комплекты[Кол-во]*(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10</v>
      </c>
      <c r="AO157" s="25"/>
      <c r="AP157" s="24"/>
      <c r="AQ157" s="23">
        <v>20</v>
      </c>
      <c r="AR157" s="24">
        <f>SUMPRODUCT((Комплекты[Пр]=$F157)*(Комплекты[Обозначение]=$G157)*Комплекты[Кол-во]*(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10</v>
      </c>
      <c r="AS157" s="25"/>
      <c r="AT157" s="24"/>
      <c r="AU157" s="23">
        <v>20</v>
      </c>
      <c r="AV157" s="24">
        <f>SUMPRODUCT((Комплекты[Пр]=$F157)*(Комплекты[Обозначение]=$G157)*Комплекты[Кол-во]*(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10</v>
      </c>
      <c r="AW157" s="25"/>
      <c r="AX157" s="24"/>
      <c r="AY157" s="23">
        <v>20</v>
      </c>
      <c r="AZ157" s="24">
        <f>SUMPRODUCT((Комплекты[Пр]=$F157)*(Комплекты[Обозначение]=$G157)*Комплекты[Кол-во]*(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57" s="25"/>
      <c r="BB157" s="24"/>
      <c r="BC157" s="23">
        <v>20</v>
      </c>
      <c r="BD157" s="24">
        <f>SUMPRODUCT((Комплекты[Пр]=$F157)*(Комплекты[Обозначение]=$G157)*Комплекты[Кол-во]*(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57" s="25"/>
      <c r="BF157" s="24"/>
      <c r="BG157" s="23">
        <v>20</v>
      </c>
      <c r="BH157" s="24">
        <f>SUMPRODUCT((Комплекты[Пр]=$F157)*(Комплекты[Обозначение]=$G157)*Комплекты[Кол-во]*(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57" s="25"/>
      <c r="BJ157" s="24"/>
      <c r="BK157" s="340"/>
      <c r="BL157" s="32">
        <f t="shared" si="47"/>
        <v>300</v>
      </c>
      <c r="BM157" s="32">
        <f t="shared" si="48"/>
        <v>0</v>
      </c>
      <c r="BN157" s="28">
        <f t="shared" si="49"/>
        <v>196</v>
      </c>
      <c r="BO157" s="29">
        <f t="shared" si="50"/>
        <v>0</v>
      </c>
      <c r="BP157" s="30">
        <f t="shared" si="51"/>
        <v>95</v>
      </c>
      <c r="BQ157" s="31">
        <f t="shared" si="52"/>
        <v>0</v>
      </c>
      <c r="BR157" s="11"/>
      <c r="BS157" s="329"/>
      <c r="BT157" s="23">
        <v>40</v>
      </c>
      <c r="BU157" s="24"/>
      <c r="BV157" s="25"/>
      <c r="BW157" s="24"/>
      <c r="BX157" s="23">
        <v>40</v>
      </c>
      <c r="BY157" s="24"/>
      <c r="BZ157" s="25"/>
      <c r="CA157" s="24"/>
      <c r="CB157" s="23">
        <v>40</v>
      </c>
      <c r="CC157" s="24"/>
      <c r="CD157" s="25"/>
      <c r="CE157" s="24"/>
      <c r="CF157" s="23">
        <v>40</v>
      </c>
      <c r="CG157" s="24"/>
      <c r="CH157" s="25"/>
      <c r="CI157" s="24"/>
      <c r="CJ157" s="23">
        <v>40</v>
      </c>
      <c r="CK157" s="24"/>
      <c r="CL157" s="25"/>
      <c r="CM157" s="24"/>
      <c r="CN157" s="23">
        <v>40</v>
      </c>
      <c r="CO157" s="24"/>
      <c r="CP157" s="25"/>
      <c r="CQ157" s="24"/>
      <c r="CR157" s="23">
        <v>40</v>
      </c>
      <c r="CS157" s="24"/>
      <c r="CT157" s="25"/>
      <c r="CU157" s="24"/>
      <c r="CV157" s="23">
        <v>40</v>
      </c>
      <c r="CW157" s="24"/>
      <c r="CX157" s="25"/>
      <c r="CY157" s="24"/>
      <c r="CZ157" s="23">
        <v>40</v>
      </c>
      <c r="DA157" s="24"/>
      <c r="DB157" s="25"/>
      <c r="DC157" s="24"/>
      <c r="DD157" s="23">
        <v>40</v>
      </c>
      <c r="DE157" s="24"/>
      <c r="DF157" s="25"/>
      <c r="DG157" s="24"/>
      <c r="DH157" s="23">
        <v>40</v>
      </c>
      <c r="DI157" s="24"/>
      <c r="DJ157" s="25"/>
      <c r="DK157" s="24"/>
      <c r="DL157" s="23">
        <v>40</v>
      </c>
      <c r="DM157" s="24"/>
      <c r="DN157" s="25"/>
      <c r="DO157" s="24"/>
      <c r="DP157" s="340"/>
      <c r="DQ157" s="32">
        <f>SUMPRODUCT(--(MOD(COLUMN(BT157:CQ157),4)=MOD(COLUMN(BT157),4)),BT157:CQ157)+SUMPRODUCT(--(MOD(COLUMN(CR157:DO157),4)=MOD(COLUMN(CR157),4)),CR157:DO157)</f>
        <v>480</v>
      </c>
      <c r="DR157" s="32">
        <f t="shared" si="53"/>
        <v>0</v>
      </c>
      <c r="DS157" s="11"/>
      <c r="DT157" s="329"/>
      <c r="DU157" s="23">
        <v>50</v>
      </c>
      <c r="DV157" s="24"/>
      <c r="DW157" s="25"/>
      <c r="DX157" s="24"/>
      <c r="DY157" s="23">
        <v>50</v>
      </c>
      <c r="DZ157" s="24"/>
      <c r="EA157" s="25"/>
      <c r="EB157" s="24"/>
      <c r="EC157" s="23">
        <v>50</v>
      </c>
      <c r="ED157" s="24"/>
      <c r="EE157" s="25"/>
      <c r="EF157" s="24"/>
      <c r="EG157" s="23">
        <v>50</v>
      </c>
      <c r="EH157" s="24"/>
      <c r="EI157" s="25"/>
      <c r="EJ157" s="24"/>
      <c r="EK157" s="23">
        <v>50</v>
      </c>
      <c r="EL157" s="24"/>
      <c r="EM157" s="25"/>
      <c r="EN157" s="24"/>
      <c r="EO157" s="23">
        <v>50</v>
      </c>
      <c r="EP157" s="24"/>
      <c r="EQ157" s="25"/>
      <c r="ER157" s="24"/>
      <c r="ES157" s="23">
        <v>50</v>
      </c>
      <c r="ET157" s="24"/>
      <c r="EU157" s="25"/>
      <c r="EV157" s="24"/>
      <c r="EW157" s="23">
        <v>50</v>
      </c>
      <c r="EX157" s="24"/>
      <c r="EY157" s="25"/>
      <c r="EZ157" s="24"/>
      <c r="FA157" s="23">
        <v>50</v>
      </c>
      <c r="FB157" s="24"/>
      <c r="FC157" s="25"/>
      <c r="FD157" s="24"/>
      <c r="FE157" s="23">
        <v>50</v>
      </c>
      <c r="FF157" s="24"/>
      <c r="FG157" s="25"/>
      <c r="FH157" s="24"/>
      <c r="FI157" s="23">
        <v>50</v>
      </c>
      <c r="FJ157" s="24"/>
      <c r="FK157" s="25"/>
      <c r="FL157" s="24"/>
      <c r="FM157" s="23">
        <v>50</v>
      </c>
      <c r="FN157" s="24"/>
      <c r="FO157" s="25"/>
      <c r="FP157" s="24"/>
      <c r="FQ157" s="340"/>
      <c r="FR157" s="32">
        <f>SUMPRODUCT(--(MOD(COLUMN(DU157:ER157),4)=MOD(COLUMN(DU157),4)),DU157:ER157)+SUMPRODUCT(--(MOD(COLUMN(ES157:FP157),4)=MOD(COLUMN(ES157),4)),ES157:FP157)</f>
        <v>600</v>
      </c>
      <c r="FS157" s="32">
        <f t="shared" si="54"/>
        <v>0</v>
      </c>
      <c r="FT157" s="361"/>
    </row>
    <row r="158" spans="1:176" outlineLevel="2">
      <c r="A158" s="56" t="s">
        <v>469</v>
      </c>
      <c r="B158" s="387" t="s">
        <v>51</v>
      </c>
      <c r="C158" s="541" t="s">
        <v>72</v>
      </c>
      <c r="D158" s="565" t="s">
        <v>32</v>
      </c>
      <c r="E158" s="10">
        <f>IF(ISBLANK(G158),"",IF($A$6:$A$330=$A158,COUNTIF($A$6:A158,$A158),""))</f>
        <v>53</v>
      </c>
      <c r="F158" s="669">
        <v>2</v>
      </c>
      <c r="G158" s="128">
        <v>9710020400</v>
      </c>
      <c r="H158" s="612" t="s">
        <v>101</v>
      </c>
      <c r="I158" s="618">
        <v>0</v>
      </c>
      <c r="J158" s="618"/>
      <c r="K158" s="126"/>
      <c r="L158" s="618" t="str">
        <f>IF(K158="RUB",J158/ЮАНЬ,IF(K158="EUR",J158*ЕВРО/ЮАНЬ,""))</f>
        <v/>
      </c>
      <c r="M158" s="102"/>
      <c r="N158" s="305">
        <f t="shared" si="46"/>
        <v>1</v>
      </c>
      <c r="O158" s="23">
        <v>40</v>
      </c>
      <c r="P158" s="24">
        <f>SUMPRODUCT((Комплекты[Пр]=$F158)*(Комплекты[Обозначение]=$G158)*Комплекты[Кол-во]*(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30</v>
      </c>
      <c r="Q158" s="25">
        <f>SUMPRODUCT((Комплекты[Пр]=$F158)*(Комплекты[Обозначение]=$G158)*Комплекты[Кол-во]*(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30</v>
      </c>
      <c r="R158" s="24"/>
      <c r="S158" s="23">
        <v>40</v>
      </c>
      <c r="T158" s="24">
        <f>SUMPRODUCT((Комплекты[Пр]=$F158)*(Комплекты[Обозначение]=$G158)*Комплекты[Кол-во]*(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40</v>
      </c>
      <c r="U158" s="25">
        <f>SUMPRODUCT((Комплекты[Пр]=$F158)*(Комплекты[Обозначение]=$G158)*Комплекты[Кол-во]*(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40</v>
      </c>
      <c r="V158" s="24"/>
      <c r="W158" s="23">
        <v>40</v>
      </c>
      <c r="X158" s="24">
        <f>SUMPRODUCT((Комплекты[Пр]=$F158)*(Комплекты[Обозначение]=$G158)*Комплекты[Кол-во]*(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58" s="25">
        <f>SUMPRODUCT((Комплекты[Пр]=$F158)*(Комплекты[Обозначение]=$G158)*Комплекты[Кол-во]*(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58" s="24"/>
      <c r="AA158" s="23">
        <v>20</v>
      </c>
      <c r="AB158" s="24">
        <f>SUMPRODUCT((Комплекты[Пр]=$F158)*(Комплекты[Обозначение]=$G158)*Комплекты[Кол-во]*(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58" s="25"/>
      <c r="AD158" s="24"/>
      <c r="AE158" s="23">
        <v>20</v>
      </c>
      <c r="AF158" s="24">
        <f>SUMPRODUCT((Комплекты[Пр]=$F158)*(Комплекты[Обозначение]=$G158)*Комплекты[Кол-во]*(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58" s="25">
        <f>SUMPRODUCT((Комплекты[Пр]=$F158)*(Комплекты[Обозначение]=$G158)*Комплекты[Кол-во]*(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58" s="24"/>
      <c r="AI158" s="23">
        <v>20</v>
      </c>
      <c r="AJ158" s="24">
        <f>SUMPRODUCT((Комплекты[Пр]=$F158)*(Комплекты[Обозначение]=$G158)*Комплекты[Кол-во]*(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10</v>
      </c>
      <c r="AK158" s="25"/>
      <c r="AL158" s="24"/>
      <c r="AM158" s="23">
        <v>20</v>
      </c>
      <c r="AN158" s="24">
        <f>SUMPRODUCT((Комплекты[Пр]=$F158)*(Комплекты[Обозначение]=$G158)*Комплекты[Кол-во]*(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10</v>
      </c>
      <c r="AO158" s="25"/>
      <c r="AP158" s="24"/>
      <c r="AQ158" s="23">
        <v>20</v>
      </c>
      <c r="AR158" s="24">
        <f>SUMPRODUCT((Комплекты[Пр]=$F158)*(Комплекты[Обозначение]=$G158)*Комплекты[Кол-во]*(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10</v>
      </c>
      <c r="AS158" s="25"/>
      <c r="AT158" s="24"/>
      <c r="AU158" s="23">
        <v>20</v>
      </c>
      <c r="AV158" s="24">
        <f>SUMPRODUCT((Комплекты[Пр]=$F158)*(Комплекты[Обозначение]=$G158)*Комплекты[Кол-во]*(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10</v>
      </c>
      <c r="AW158" s="25"/>
      <c r="AX158" s="24"/>
      <c r="AY158" s="23">
        <v>20</v>
      </c>
      <c r="AZ158" s="24">
        <f>SUMPRODUCT((Комплекты[Пр]=$F158)*(Комплекты[Обозначение]=$G158)*Комплекты[Кол-во]*(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58" s="25"/>
      <c r="BB158" s="24"/>
      <c r="BC158" s="23">
        <v>20</v>
      </c>
      <c r="BD158" s="24">
        <f>SUMPRODUCT((Комплекты[Пр]=$F158)*(Комплекты[Обозначение]=$G158)*Комплекты[Кол-во]*(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58" s="25"/>
      <c r="BF158" s="24"/>
      <c r="BG158" s="23">
        <v>20</v>
      </c>
      <c r="BH158" s="24">
        <f>SUMPRODUCT((Комплекты[Пр]=$F158)*(Комплекты[Обозначение]=$G158)*Комплекты[Кол-во]*(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58" s="25"/>
      <c r="BJ158" s="24"/>
      <c r="BK158" s="340"/>
      <c r="BL158" s="32">
        <f t="shared" si="47"/>
        <v>300</v>
      </c>
      <c r="BM158" s="32">
        <f t="shared" si="48"/>
        <v>0</v>
      </c>
      <c r="BN158" s="28">
        <f t="shared" si="49"/>
        <v>191</v>
      </c>
      <c r="BO158" s="29">
        <f t="shared" si="50"/>
        <v>0</v>
      </c>
      <c r="BP158" s="30">
        <f t="shared" si="51"/>
        <v>90</v>
      </c>
      <c r="BQ158" s="31">
        <f t="shared" si="52"/>
        <v>0</v>
      </c>
      <c r="BR158" s="11"/>
      <c r="BS158" s="329"/>
      <c r="BT158" s="23">
        <v>40</v>
      </c>
      <c r="BU158" s="24"/>
      <c r="BV158" s="25"/>
      <c r="BW158" s="24"/>
      <c r="BX158" s="23">
        <v>40</v>
      </c>
      <c r="BY158" s="24"/>
      <c r="BZ158" s="25"/>
      <c r="CA158" s="24"/>
      <c r="CB158" s="23">
        <v>40</v>
      </c>
      <c r="CC158" s="24"/>
      <c r="CD158" s="25"/>
      <c r="CE158" s="24"/>
      <c r="CF158" s="23">
        <v>40</v>
      </c>
      <c r="CG158" s="24"/>
      <c r="CH158" s="25"/>
      <c r="CI158" s="24"/>
      <c r="CJ158" s="23">
        <v>40</v>
      </c>
      <c r="CK158" s="24"/>
      <c r="CL158" s="25"/>
      <c r="CM158" s="24"/>
      <c r="CN158" s="23">
        <v>40</v>
      </c>
      <c r="CO158" s="24"/>
      <c r="CP158" s="25"/>
      <c r="CQ158" s="24"/>
      <c r="CR158" s="23">
        <v>40</v>
      </c>
      <c r="CS158" s="24"/>
      <c r="CT158" s="25"/>
      <c r="CU158" s="24"/>
      <c r="CV158" s="23">
        <v>40</v>
      </c>
      <c r="CW158" s="24"/>
      <c r="CX158" s="25"/>
      <c r="CY158" s="24"/>
      <c r="CZ158" s="23">
        <v>40</v>
      </c>
      <c r="DA158" s="24"/>
      <c r="DB158" s="25"/>
      <c r="DC158" s="24"/>
      <c r="DD158" s="23">
        <v>40</v>
      </c>
      <c r="DE158" s="24"/>
      <c r="DF158" s="25"/>
      <c r="DG158" s="24"/>
      <c r="DH158" s="23">
        <v>40</v>
      </c>
      <c r="DI158" s="24"/>
      <c r="DJ158" s="25"/>
      <c r="DK158" s="24"/>
      <c r="DL158" s="23">
        <v>40</v>
      </c>
      <c r="DM158" s="24"/>
      <c r="DN158" s="25"/>
      <c r="DO158" s="24"/>
      <c r="DP158" s="340"/>
      <c r="DQ158" s="32">
        <f>SUMPRODUCT(--(MOD(COLUMN(BT158:CQ158),4)=MOD(COLUMN(BT158),4)),BT158:CQ158)+SUMPRODUCT(--(MOD(COLUMN(CR158:DO158),4)=MOD(COLUMN(CR158),4)),CR158:DO158)</f>
        <v>480</v>
      </c>
      <c r="DR158" s="32">
        <f t="shared" si="53"/>
        <v>0</v>
      </c>
      <c r="DS158" s="11"/>
      <c r="DT158" s="329"/>
      <c r="DU158" s="23">
        <v>50</v>
      </c>
      <c r="DV158" s="24"/>
      <c r="DW158" s="25"/>
      <c r="DX158" s="24"/>
      <c r="DY158" s="23">
        <v>50</v>
      </c>
      <c r="DZ158" s="24"/>
      <c r="EA158" s="25"/>
      <c r="EB158" s="24"/>
      <c r="EC158" s="23">
        <v>50</v>
      </c>
      <c r="ED158" s="24"/>
      <c r="EE158" s="25"/>
      <c r="EF158" s="24"/>
      <c r="EG158" s="23">
        <v>50</v>
      </c>
      <c r="EH158" s="24"/>
      <c r="EI158" s="25"/>
      <c r="EJ158" s="24"/>
      <c r="EK158" s="23">
        <v>50</v>
      </c>
      <c r="EL158" s="24"/>
      <c r="EM158" s="25"/>
      <c r="EN158" s="24"/>
      <c r="EO158" s="23">
        <v>50</v>
      </c>
      <c r="EP158" s="24"/>
      <c r="EQ158" s="25"/>
      <c r="ER158" s="24"/>
      <c r="ES158" s="23">
        <v>50</v>
      </c>
      <c r="ET158" s="24"/>
      <c r="EU158" s="25"/>
      <c r="EV158" s="24"/>
      <c r="EW158" s="23">
        <v>50</v>
      </c>
      <c r="EX158" s="24"/>
      <c r="EY158" s="25"/>
      <c r="EZ158" s="24"/>
      <c r="FA158" s="23">
        <v>50</v>
      </c>
      <c r="FB158" s="24"/>
      <c r="FC158" s="25"/>
      <c r="FD158" s="24"/>
      <c r="FE158" s="23">
        <v>50</v>
      </c>
      <c r="FF158" s="24"/>
      <c r="FG158" s="25"/>
      <c r="FH158" s="24"/>
      <c r="FI158" s="23">
        <v>50</v>
      </c>
      <c r="FJ158" s="24"/>
      <c r="FK158" s="25"/>
      <c r="FL158" s="24"/>
      <c r="FM158" s="23">
        <v>50</v>
      </c>
      <c r="FN158" s="24"/>
      <c r="FO158" s="25"/>
      <c r="FP158" s="24"/>
      <c r="FQ158" s="340"/>
      <c r="FR158" s="32">
        <f>SUMPRODUCT(--(MOD(COLUMN(DU158:ER158),4)=MOD(COLUMN(DU158),4)),DU158:ER158)+SUMPRODUCT(--(MOD(COLUMN(ES158:FP158),4)=MOD(COLUMN(ES158),4)),ES158:FP158)</f>
        <v>600</v>
      </c>
      <c r="FS158" s="32">
        <f t="shared" si="54"/>
        <v>0</v>
      </c>
      <c r="FT158" s="361"/>
    </row>
    <row r="159" spans="1:176" outlineLevel="2">
      <c r="A159" s="413" t="s">
        <v>469</v>
      </c>
      <c r="B159" s="444" t="s">
        <v>51</v>
      </c>
      <c r="C159" s="587" t="s">
        <v>72</v>
      </c>
      <c r="D159" s="580" t="s">
        <v>32</v>
      </c>
      <c r="E159" s="414">
        <f>IF(ISBLANK(G159),"",IF($A$6:$A$330=$A159,COUNTIF($A$6:A159,$A159),""))</f>
        <v>54</v>
      </c>
      <c r="F159" s="670">
        <v>2</v>
      </c>
      <c r="G159" s="403">
        <v>9710029000</v>
      </c>
      <c r="H159" s="613" t="s">
        <v>75</v>
      </c>
      <c r="I159" s="619">
        <v>0</v>
      </c>
      <c r="J159" s="619"/>
      <c r="K159" s="321"/>
      <c r="L159" s="619"/>
      <c r="M159" s="305"/>
      <c r="N159" s="305">
        <f t="shared" si="46"/>
        <v>1</v>
      </c>
      <c r="O159" s="322"/>
      <c r="P159" s="408"/>
      <c r="Q159" s="307"/>
      <c r="R159" s="408"/>
      <c r="S159" s="322"/>
      <c r="T159" s="408">
        <f>SUMPRODUCT((Комплекты[Пр]=$F159)*(Комплекты[Обозначение]=$G159)*Комплекты[Кол-во]*(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5</v>
      </c>
      <c r="U159" s="307">
        <f>SUMPRODUCT((Комплекты[Пр]=$F159)*(Комплекты[Обозначение]=$G159)*Комплекты[Кол-во]*(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5</v>
      </c>
      <c r="V159" s="408"/>
      <c r="W159" s="322"/>
      <c r="X159" s="408">
        <f>SUMPRODUCT((Комплекты[Пр]=$F159)*(Комплекты[Обозначение]=$G159)*Комплекты[Кол-во]*(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59" s="307">
        <f>SUMPRODUCT((Комплекты[Пр]=$F159)*(Комплекты[Обозначение]=$G159)*Комплекты[Кол-во]*(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59" s="408"/>
      <c r="AA159" s="322"/>
      <c r="AB159" s="408">
        <f>SUMPRODUCT((Комплекты[Пр]=$F159)*(Комплекты[Обозначение]=$G159)*Комплекты[Кол-во]*(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59" s="307"/>
      <c r="AD159" s="408"/>
      <c r="AE159" s="322"/>
      <c r="AF159" s="408">
        <f>SUMPRODUCT((Комплекты[Пр]=$F159)*(Комплекты[Обозначение]=$G159)*Комплекты[Кол-во]*(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59" s="307">
        <f>SUMPRODUCT((Комплекты[Пр]=$F159)*(Комплекты[Обозначение]=$G159)*Комплекты[Кол-во]*(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59" s="408"/>
      <c r="AI159" s="322"/>
      <c r="AJ159" s="408">
        <f>SUMPRODUCT((Комплекты[Пр]=$F159)*(Комплекты[Обозначение]=$G159)*Комплекты[Кол-во]*(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59" s="307"/>
      <c r="AL159" s="408"/>
      <c r="AM159" s="322"/>
      <c r="AN159" s="408">
        <f>SUMPRODUCT((Комплекты[Пр]=$F159)*(Комплекты[Обозначение]=$G159)*Комплекты[Кол-во]*(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59" s="307"/>
      <c r="AP159" s="408"/>
      <c r="AQ159" s="322"/>
      <c r="AR159" s="408">
        <f>SUMPRODUCT((Комплекты[Пр]=$F159)*(Комплекты[Обозначение]=$G159)*Комплекты[Кол-во]*(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59" s="307"/>
      <c r="AT159" s="408"/>
      <c r="AU159" s="322"/>
      <c r="AV159" s="408">
        <f>SUMPRODUCT((Комплекты[Пр]=$F159)*(Комплекты[Обозначение]=$G159)*Комплекты[Кол-во]*(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59" s="307"/>
      <c r="AX159" s="408"/>
      <c r="AY159" s="322"/>
      <c r="AZ159" s="408">
        <f>SUMPRODUCT((Комплекты[Пр]=$F159)*(Комплекты[Обозначение]=$G159)*Комплекты[Кол-во]*(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59" s="307"/>
      <c r="BB159" s="408"/>
      <c r="BC159" s="322"/>
      <c r="BD159" s="408">
        <f>SUMPRODUCT((Комплекты[Пр]=$F159)*(Комплекты[Обозначение]=$G159)*Комплекты[Кол-во]*(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59" s="307"/>
      <c r="BF159" s="408"/>
      <c r="BG159" s="322"/>
      <c r="BH159" s="408">
        <f>SUMPRODUCT((Комплекты[Пр]=$F159)*(Комплекты[Обозначение]=$G159)*Комплекты[Кол-во]*(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59" s="307"/>
      <c r="BJ159" s="408"/>
      <c r="BK159" s="340"/>
      <c r="BL159" s="328">
        <f t="shared" si="47"/>
        <v>0</v>
      </c>
      <c r="BM159" s="328">
        <f t="shared" si="48"/>
        <v>0</v>
      </c>
      <c r="BN159" s="324">
        <f t="shared" si="49"/>
        <v>5</v>
      </c>
      <c r="BO159" s="325">
        <f t="shared" si="50"/>
        <v>0</v>
      </c>
      <c r="BP159" s="326">
        <f t="shared" si="51"/>
        <v>5</v>
      </c>
      <c r="BQ159" s="327">
        <f t="shared" si="52"/>
        <v>0</v>
      </c>
      <c r="BR159" s="329"/>
      <c r="BS159" s="329"/>
      <c r="BT159" s="322"/>
      <c r="BU159" s="408"/>
      <c r="BV159" s="307"/>
      <c r="BW159" s="408"/>
      <c r="BX159" s="322"/>
      <c r="BY159" s="408"/>
      <c r="BZ159" s="307"/>
      <c r="CA159" s="408"/>
      <c r="CB159" s="322"/>
      <c r="CC159" s="408"/>
      <c r="CD159" s="307"/>
      <c r="CE159" s="408"/>
      <c r="CF159" s="322"/>
      <c r="CG159" s="408"/>
      <c r="CH159" s="307"/>
      <c r="CI159" s="408"/>
      <c r="CJ159" s="322"/>
      <c r="CK159" s="408"/>
      <c r="CL159" s="307"/>
      <c r="CM159" s="408"/>
      <c r="CN159" s="322"/>
      <c r="CO159" s="408"/>
      <c r="CP159" s="307"/>
      <c r="CQ159" s="408"/>
      <c r="CR159" s="322"/>
      <c r="CS159" s="408"/>
      <c r="CT159" s="307"/>
      <c r="CU159" s="408"/>
      <c r="CV159" s="322"/>
      <c r="CW159" s="408"/>
      <c r="CX159" s="307"/>
      <c r="CY159" s="408"/>
      <c r="CZ159" s="322"/>
      <c r="DA159" s="408"/>
      <c r="DB159" s="307"/>
      <c r="DC159" s="408"/>
      <c r="DD159" s="322"/>
      <c r="DE159" s="408"/>
      <c r="DF159" s="307"/>
      <c r="DG159" s="408"/>
      <c r="DH159" s="322"/>
      <c r="DI159" s="408"/>
      <c r="DJ159" s="307"/>
      <c r="DK159" s="408"/>
      <c r="DL159" s="322"/>
      <c r="DM159" s="408"/>
      <c r="DN159" s="307"/>
      <c r="DO159" s="408"/>
      <c r="DP159" s="340"/>
      <c r="DQ159" s="328"/>
      <c r="DR159" s="328"/>
      <c r="DS159" s="329"/>
      <c r="DT159" s="329"/>
      <c r="DU159" s="322"/>
      <c r="DV159" s="408"/>
      <c r="DW159" s="307"/>
      <c r="DX159" s="408"/>
      <c r="DY159" s="322"/>
      <c r="DZ159" s="408"/>
      <c r="EA159" s="307"/>
      <c r="EB159" s="408"/>
      <c r="EC159" s="322"/>
      <c r="ED159" s="408"/>
      <c r="EE159" s="307"/>
      <c r="EF159" s="408"/>
      <c r="EG159" s="322"/>
      <c r="EH159" s="408"/>
      <c r="EI159" s="307"/>
      <c r="EJ159" s="408"/>
      <c r="EK159" s="322"/>
      <c r="EL159" s="408"/>
      <c r="EM159" s="307"/>
      <c r="EN159" s="408"/>
      <c r="EO159" s="322"/>
      <c r="EP159" s="408"/>
      <c r="EQ159" s="307"/>
      <c r="ER159" s="408"/>
      <c r="ES159" s="322"/>
      <c r="ET159" s="408"/>
      <c r="EU159" s="307"/>
      <c r="EV159" s="408"/>
      <c r="EW159" s="322"/>
      <c r="EX159" s="408"/>
      <c r="EY159" s="307"/>
      <c r="EZ159" s="408"/>
      <c r="FA159" s="322"/>
      <c r="FB159" s="408"/>
      <c r="FC159" s="307"/>
      <c r="FD159" s="408"/>
      <c r="FE159" s="322"/>
      <c r="FF159" s="408"/>
      <c r="FG159" s="307"/>
      <c r="FH159" s="408"/>
      <c r="FI159" s="322"/>
      <c r="FJ159" s="408"/>
      <c r="FK159" s="307"/>
      <c r="FL159" s="408"/>
      <c r="FM159" s="322"/>
      <c r="FN159" s="408"/>
      <c r="FO159" s="307"/>
      <c r="FP159" s="408"/>
      <c r="FQ159" s="340"/>
      <c r="FR159" s="328"/>
      <c r="FS159" s="328"/>
      <c r="FT159" s="361"/>
    </row>
    <row r="160" spans="1:176" outlineLevel="2">
      <c r="A160" s="56" t="s">
        <v>469</v>
      </c>
      <c r="B160" s="387" t="s">
        <v>51</v>
      </c>
      <c r="C160" s="541" t="s">
        <v>72</v>
      </c>
      <c r="D160" s="565" t="s">
        <v>32</v>
      </c>
      <c r="E160" s="10">
        <f>IF(ISBLANK(G160),"",IF($A$6:$A$330=$A160,COUNTIF($A$6:A160,$A160),""))</f>
        <v>55</v>
      </c>
      <c r="F160" s="669">
        <v>1</v>
      </c>
      <c r="G160" s="128">
        <v>4721950310</v>
      </c>
      <c r="H160" s="612" t="s">
        <v>102</v>
      </c>
      <c r="I160" s="618">
        <v>0</v>
      </c>
      <c r="J160" s="618"/>
      <c r="K160" s="126"/>
      <c r="L160" s="618" t="str">
        <f t="shared" ref="L160:L168" si="55">IF(K160="RUB",J160/ЮАНЬ,IF(K160="EUR",J160*ЕВРО/ЮАНЬ,""))</f>
        <v/>
      </c>
      <c r="M160" s="102"/>
      <c r="N160" s="305">
        <f t="shared" si="46"/>
        <v>1</v>
      </c>
      <c r="O160" s="23">
        <v>10</v>
      </c>
      <c r="P160" s="24">
        <f>SUMPRODUCT((Комплекты[Пр]=$F160)*(Комплекты[Обозначение]=$G160)*Комплекты[Кол-во]*(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8</v>
      </c>
      <c r="Q160" s="25">
        <f>SUMPRODUCT((Комплекты[Пр]=$F160)*(Комплекты[Обозначение]=$G160)*Комплекты[Кол-во]*(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8</v>
      </c>
      <c r="R160" s="24"/>
      <c r="S160" s="23">
        <v>10</v>
      </c>
      <c r="T160" s="24">
        <f>SUMPRODUCT((Комплекты[Пр]=$F160)*(Комплекты[Обозначение]=$G160)*Комплекты[Кол-во]*(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10</v>
      </c>
      <c r="U160" s="25">
        <f>SUMPRODUCT((Комплекты[Пр]=$F160)*(Комплекты[Обозначение]=$G160)*Комплекты[Кол-во]*(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10</v>
      </c>
      <c r="V160" s="24"/>
      <c r="W160" s="23">
        <v>10</v>
      </c>
      <c r="X160" s="24">
        <f>SUMPRODUCT((Комплекты[Пр]=$F160)*(Комплекты[Обозначение]=$G160)*Комплекты[Кол-во]*(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5</v>
      </c>
      <c r="Y160" s="25">
        <f>SUMPRODUCT((Комплекты[Пр]=$F160)*(Комплекты[Обозначение]=$G160)*Комплекты[Кол-во]*(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5</v>
      </c>
      <c r="Z160" s="24"/>
      <c r="AA160" s="23">
        <v>5</v>
      </c>
      <c r="AB160" s="24">
        <f>SUMPRODUCT((Комплекты[Пр]=$F160)*(Комплекты[Обозначение]=$G160)*Комплекты[Кол-во]*(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60" s="25"/>
      <c r="AD160" s="24"/>
      <c r="AE160" s="23">
        <v>5</v>
      </c>
      <c r="AF160" s="24">
        <f>SUMPRODUCT((Комплекты[Пр]=$F160)*(Комплекты[Обозначение]=$G160)*Комплекты[Кол-во]*(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60" s="25">
        <f>SUMPRODUCT((Комплекты[Пр]=$F160)*(Комплекты[Обозначение]=$G160)*Комплекты[Кол-во]*(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60" s="24"/>
      <c r="AI160" s="23">
        <v>5</v>
      </c>
      <c r="AJ160" s="24">
        <f>SUMPRODUCT((Комплекты[Пр]=$F160)*(Комплекты[Обозначение]=$G160)*Комплекты[Кол-во]*(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5</v>
      </c>
      <c r="AK160" s="25"/>
      <c r="AL160" s="24"/>
      <c r="AM160" s="23">
        <v>5</v>
      </c>
      <c r="AN160" s="24">
        <f>SUMPRODUCT((Комплекты[Пр]=$F160)*(Комплекты[Обозначение]=$G160)*Комплекты[Кол-во]*(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5</v>
      </c>
      <c r="AO160" s="25"/>
      <c r="AP160" s="24"/>
      <c r="AQ160" s="23">
        <v>5</v>
      </c>
      <c r="AR160" s="24">
        <f>SUMPRODUCT((Комплекты[Пр]=$F160)*(Комплекты[Обозначение]=$G160)*Комплекты[Кол-во]*(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5</v>
      </c>
      <c r="AS160" s="25"/>
      <c r="AT160" s="24"/>
      <c r="AU160" s="23">
        <v>5</v>
      </c>
      <c r="AV160" s="24">
        <f>SUMPRODUCT((Комплекты[Пр]=$F160)*(Комплекты[Обозначение]=$G160)*Комплекты[Кол-во]*(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5</v>
      </c>
      <c r="AW160" s="25"/>
      <c r="AX160" s="24"/>
      <c r="AY160" s="23">
        <v>5</v>
      </c>
      <c r="AZ160" s="24">
        <f>SUMPRODUCT((Комплекты[Пр]=$F160)*(Комплекты[Обозначение]=$G160)*Комплекты[Кол-во]*(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5</v>
      </c>
      <c r="BA160" s="25"/>
      <c r="BB160" s="24"/>
      <c r="BC160" s="23">
        <v>5</v>
      </c>
      <c r="BD160" s="24">
        <f>SUMPRODUCT((Комплекты[Пр]=$F160)*(Комплекты[Обозначение]=$G160)*Комплекты[Кол-во]*(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5</v>
      </c>
      <c r="BE160" s="25"/>
      <c r="BF160" s="24"/>
      <c r="BG160" s="23">
        <v>5</v>
      </c>
      <c r="BH160" s="24">
        <f>SUMPRODUCT((Комплекты[Пр]=$F160)*(Комплекты[Обозначение]=$G160)*Комплекты[Кол-во]*(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5</v>
      </c>
      <c r="BI160" s="25"/>
      <c r="BJ160" s="24"/>
      <c r="BK160" s="340"/>
      <c r="BL160" s="32">
        <f t="shared" si="47"/>
        <v>75</v>
      </c>
      <c r="BM160" s="32">
        <f t="shared" si="48"/>
        <v>0</v>
      </c>
      <c r="BN160" s="28">
        <f t="shared" si="49"/>
        <v>58</v>
      </c>
      <c r="BO160" s="29">
        <f t="shared" si="50"/>
        <v>0</v>
      </c>
      <c r="BP160" s="30">
        <f t="shared" si="51"/>
        <v>23</v>
      </c>
      <c r="BQ160" s="31">
        <f t="shared" si="52"/>
        <v>0</v>
      </c>
      <c r="BR160" s="11"/>
      <c r="BS160" s="329"/>
      <c r="BT160" s="23">
        <v>10</v>
      </c>
      <c r="BU160" s="24"/>
      <c r="BV160" s="25"/>
      <c r="BW160" s="24"/>
      <c r="BX160" s="23">
        <v>10</v>
      </c>
      <c r="BY160" s="24"/>
      <c r="BZ160" s="25"/>
      <c r="CA160" s="24"/>
      <c r="CB160" s="23">
        <v>10</v>
      </c>
      <c r="CC160" s="24"/>
      <c r="CD160" s="25"/>
      <c r="CE160" s="24"/>
      <c r="CF160" s="23">
        <v>10</v>
      </c>
      <c r="CG160" s="24"/>
      <c r="CH160" s="25"/>
      <c r="CI160" s="24"/>
      <c r="CJ160" s="23">
        <v>10</v>
      </c>
      <c r="CK160" s="24"/>
      <c r="CL160" s="25"/>
      <c r="CM160" s="24"/>
      <c r="CN160" s="23">
        <v>10</v>
      </c>
      <c r="CO160" s="24"/>
      <c r="CP160" s="25"/>
      <c r="CQ160" s="24"/>
      <c r="CR160" s="23">
        <v>10</v>
      </c>
      <c r="CS160" s="24"/>
      <c r="CT160" s="25"/>
      <c r="CU160" s="24"/>
      <c r="CV160" s="23">
        <v>10</v>
      </c>
      <c r="CW160" s="24"/>
      <c r="CX160" s="25"/>
      <c r="CY160" s="24"/>
      <c r="CZ160" s="23">
        <v>10</v>
      </c>
      <c r="DA160" s="24"/>
      <c r="DB160" s="25"/>
      <c r="DC160" s="24"/>
      <c r="DD160" s="23">
        <v>10</v>
      </c>
      <c r="DE160" s="24"/>
      <c r="DF160" s="25"/>
      <c r="DG160" s="24"/>
      <c r="DH160" s="23">
        <v>10</v>
      </c>
      <c r="DI160" s="24"/>
      <c r="DJ160" s="25"/>
      <c r="DK160" s="24"/>
      <c r="DL160" s="23">
        <v>10</v>
      </c>
      <c r="DM160" s="24"/>
      <c r="DN160" s="25"/>
      <c r="DO160" s="24"/>
      <c r="DP160" s="340"/>
      <c r="DQ160" s="32">
        <f t="shared" ref="DQ160:DQ168" si="56">SUMPRODUCT(--(MOD(COLUMN(BT160:CQ160),4)=MOD(COLUMN(BT160),4)),BT160:CQ160)+SUMPRODUCT(--(MOD(COLUMN(CR160:DO160),4)=MOD(COLUMN(CR160),4)),CR160:DO160)</f>
        <v>120</v>
      </c>
      <c r="DR160" s="32">
        <f t="shared" ref="DR160:DR174" si="57">SUMPRODUCT(--(MOD(COLUMN(BT160:CQ160),4)=MOD(COLUMN(BT160),4)),BT160:CQ160)*$I160+SUMPRODUCT(--(MOD(COLUMN(CR160:DO160),4)=MOD(COLUMN(CR160),4)),CR160:DO160)*$I160</f>
        <v>0</v>
      </c>
      <c r="DS160" s="11"/>
      <c r="DT160" s="329"/>
      <c r="DU160" s="23">
        <v>10</v>
      </c>
      <c r="DV160" s="24"/>
      <c r="DW160" s="25"/>
      <c r="DX160" s="24"/>
      <c r="DY160" s="23">
        <v>10</v>
      </c>
      <c r="DZ160" s="24"/>
      <c r="EA160" s="25"/>
      <c r="EB160" s="24"/>
      <c r="EC160" s="23">
        <v>10</v>
      </c>
      <c r="ED160" s="24"/>
      <c r="EE160" s="25"/>
      <c r="EF160" s="24"/>
      <c r="EG160" s="23">
        <v>10</v>
      </c>
      <c r="EH160" s="24"/>
      <c r="EI160" s="25"/>
      <c r="EJ160" s="24"/>
      <c r="EK160" s="23">
        <v>10</v>
      </c>
      <c r="EL160" s="24"/>
      <c r="EM160" s="25"/>
      <c r="EN160" s="24"/>
      <c r="EO160" s="23">
        <v>10</v>
      </c>
      <c r="EP160" s="24"/>
      <c r="EQ160" s="25"/>
      <c r="ER160" s="24"/>
      <c r="ES160" s="23">
        <v>10</v>
      </c>
      <c r="ET160" s="24"/>
      <c r="EU160" s="25"/>
      <c r="EV160" s="24"/>
      <c r="EW160" s="23">
        <v>10</v>
      </c>
      <c r="EX160" s="24"/>
      <c r="EY160" s="25"/>
      <c r="EZ160" s="24"/>
      <c r="FA160" s="23">
        <v>10</v>
      </c>
      <c r="FB160" s="24"/>
      <c r="FC160" s="25"/>
      <c r="FD160" s="24"/>
      <c r="FE160" s="23">
        <v>10</v>
      </c>
      <c r="FF160" s="24"/>
      <c r="FG160" s="25"/>
      <c r="FH160" s="24"/>
      <c r="FI160" s="23">
        <v>10</v>
      </c>
      <c r="FJ160" s="24"/>
      <c r="FK160" s="25"/>
      <c r="FL160" s="24"/>
      <c r="FM160" s="23">
        <v>10</v>
      </c>
      <c r="FN160" s="24"/>
      <c r="FO160" s="25"/>
      <c r="FP160" s="24"/>
      <c r="FQ160" s="340"/>
      <c r="FR160" s="32">
        <f t="shared" ref="FR160:FR168" si="58">SUMPRODUCT(--(MOD(COLUMN(DU160:ER160),4)=MOD(COLUMN(DU160),4)),DU160:ER160)+SUMPRODUCT(--(MOD(COLUMN(ES160:FP160),4)=MOD(COLUMN(ES160),4)),ES160:FP160)</f>
        <v>120</v>
      </c>
      <c r="FS160" s="32">
        <f t="shared" ref="FS160:FS174" si="59">SUMPRODUCT(--(MOD(COLUMN(DU160:ER160),4)=MOD(COLUMN(DU160),4)),DU160:ER160)*$I160+SUMPRODUCT(--(MOD(COLUMN(ES160:FP160),4)=MOD(COLUMN(ES160),4)),ES160:FP160)*$I160</f>
        <v>0</v>
      </c>
      <c r="FT160" s="361"/>
    </row>
    <row r="161" spans="1:176" outlineLevel="2">
      <c r="A161" s="56" t="s">
        <v>469</v>
      </c>
      <c r="B161" s="387" t="s">
        <v>51</v>
      </c>
      <c r="C161" s="541" t="s">
        <v>72</v>
      </c>
      <c r="D161" s="565" t="s">
        <v>32</v>
      </c>
      <c r="E161" s="10">
        <f>IF(ISBLANK(G161),"",IF($A$6:$A$330=$A161,COUNTIF($A$6:A161,$A161),""))</f>
        <v>56</v>
      </c>
      <c r="F161" s="669">
        <v>1</v>
      </c>
      <c r="G161" s="128">
        <v>4496161560</v>
      </c>
      <c r="H161" s="612" t="s">
        <v>103</v>
      </c>
      <c r="I161" s="618">
        <v>0</v>
      </c>
      <c r="J161" s="618"/>
      <c r="K161" s="126"/>
      <c r="L161" s="618" t="str">
        <f t="shared" si="55"/>
        <v/>
      </c>
      <c r="M161" s="102"/>
      <c r="N161" s="305">
        <f t="shared" si="46"/>
        <v>1</v>
      </c>
      <c r="O161" s="23">
        <v>10</v>
      </c>
      <c r="P161" s="24">
        <f>SUMPRODUCT((Комплекты[Пр]=$F161)*(Комплекты[Обозначение]=$G161)*Комплекты[Кол-во]*(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8</v>
      </c>
      <c r="Q161" s="25">
        <f>SUMPRODUCT((Комплекты[Пр]=$F161)*(Комплекты[Обозначение]=$G161)*Комплекты[Кол-во]*(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8</v>
      </c>
      <c r="R161" s="24"/>
      <c r="S161" s="23">
        <v>10</v>
      </c>
      <c r="T161" s="24">
        <f>SUMPRODUCT((Комплекты[Пр]=$F161)*(Комплекты[Обозначение]=$G161)*Комплекты[Кол-во]*(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10</v>
      </c>
      <c r="U161" s="25">
        <f>SUMPRODUCT((Комплекты[Пр]=$F161)*(Комплекты[Обозначение]=$G161)*Комплекты[Кол-во]*(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10</v>
      </c>
      <c r="V161" s="24"/>
      <c r="W161" s="23">
        <v>10</v>
      </c>
      <c r="X161" s="24">
        <f>SUMPRODUCT((Комплекты[Пр]=$F161)*(Комплекты[Обозначение]=$G161)*Комплекты[Кол-во]*(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5</v>
      </c>
      <c r="Y161" s="25">
        <f>SUMPRODUCT((Комплекты[Пр]=$F161)*(Комплекты[Обозначение]=$G161)*Комплекты[Кол-во]*(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5</v>
      </c>
      <c r="Z161" s="24"/>
      <c r="AA161" s="23">
        <v>5</v>
      </c>
      <c r="AB161" s="24">
        <f>SUMPRODUCT((Комплекты[Пр]=$F161)*(Комплекты[Обозначение]=$G161)*Комплекты[Кол-во]*(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61" s="25"/>
      <c r="AD161" s="24"/>
      <c r="AE161" s="23">
        <v>5</v>
      </c>
      <c r="AF161" s="24">
        <f>SUMPRODUCT((Комплекты[Пр]=$F161)*(Комплекты[Обозначение]=$G161)*Комплекты[Кол-во]*(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61" s="25">
        <f>SUMPRODUCT((Комплекты[Пр]=$F161)*(Комплекты[Обозначение]=$G161)*Комплекты[Кол-во]*(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61" s="24"/>
      <c r="AI161" s="23">
        <v>5</v>
      </c>
      <c r="AJ161" s="24">
        <f>SUMPRODUCT((Комплекты[Пр]=$F161)*(Комплекты[Обозначение]=$G161)*Комплекты[Кол-во]*(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5</v>
      </c>
      <c r="AK161" s="25"/>
      <c r="AL161" s="24"/>
      <c r="AM161" s="23">
        <v>5</v>
      </c>
      <c r="AN161" s="24">
        <f>SUMPRODUCT((Комплекты[Пр]=$F161)*(Комплекты[Обозначение]=$G161)*Комплекты[Кол-во]*(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5</v>
      </c>
      <c r="AO161" s="25"/>
      <c r="AP161" s="24"/>
      <c r="AQ161" s="23">
        <v>5</v>
      </c>
      <c r="AR161" s="24">
        <f>SUMPRODUCT((Комплекты[Пр]=$F161)*(Комплекты[Обозначение]=$G161)*Комплекты[Кол-во]*(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5</v>
      </c>
      <c r="AS161" s="25"/>
      <c r="AT161" s="24"/>
      <c r="AU161" s="23">
        <v>5</v>
      </c>
      <c r="AV161" s="24">
        <f>SUMPRODUCT((Комплекты[Пр]=$F161)*(Комплекты[Обозначение]=$G161)*Комплекты[Кол-во]*(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5</v>
      </c>
      <c r="AW161" s="25"/>
      <c r="AX161" s="24"/>
      <c r="AY161" s="23">
        <v>5</v>
      </c>
      <c r="AZ161" s="24">
        <f>SUMPRODUCT((Комплекты[Пр]=$F161)*(Комплекты[Обозначение]=$G161)*Комплекты[Кол-во]*(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5</v>
      </c>
      <c r="BA161" s="25"/>
      <c r="BB161" s="24"/>
      <c r="BC161" s="23">
        <v>5</v>
      </c>
      <c r="BD161" s="24">
        <f>SUMPRODUCT((Комплекты[Пр]=$F161)*(Комплекты[Обозначение]=$G161)*Комплекты[Кол-во]*(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5</v>
      </c>
      <c r="BE161" s="25"/>
      <c r="BF161" s="24"/>
      <c r="BG161" s="23">
        <v>5</v>
      </c>
      <c r="BH161" s="24">
        <f>SUMPRODUCT((Комплекты[Пр]=$F161)*(Комплекты[Обозначение]=$G161)*Комплекты[Кол-во]*(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5</v>
      </c>
      <c r="BI161" s="25"/>
      <c r="BJ161" s="24"/>
      <c r="BK161" s="340"/>
      <c r="BL161" s="32">
        <f t="shared" si="47"/>
        <v>75</v>
      </c>
      <c r="BM161" s="32">
        <f t="shared" si="48"/>
        <v>0</v>
      </c>
      <c r="BN161" s="28">
        <f t="shared" si="49"/>
        <v>58</v>
      </c>
      <c r="BO161" s="29">
        <f t="shared" si="50"/>
        <v>0</v>
      </c>
      <c r="BP161" s="30">
        <f t="shared" si="51"/>
        <v>23</v>
      </c>
      <c r="BQ161" s="31">
        <f t="shared" si="52"/>
        <v>0</v>
      </c>
      <c r="BR161" s="11"/>
      <c r="BS161" s="329"/>
      <c r="BT161" s="23">
        <v>10</v>
      </c>
      <c r="BU161" s="24"/>
      <c r="BV161" s="25"/>
      <c r="BW161" s="24"/>
      <c r="BX161" s="23">
        <v>10</v>
      </c>
      <c r="BY161" s="24"/>
      <c r="BZ161" s="25"/>
      <c r="CA161" s="24"/>
      <c r="CB161" s="23">
        <v>10</v>
      </c>
      <c r="CC161" s="24"/>
      <c r="CD161" s="25"/>
      <c r="CE161" s="24"/>
      <c r="CF161" s="23">
        <v>10</v>
      </c>
      <c r="CG161" s="24"/>
      <c r="CH161" s="25"/>
      <c r="CI161" s="24"/>
      <c r="CJ161" s="23">
        <v>10</v>
      </c>
      <c r="CK161" s="24"/>
      <c r="CL161" s="25"/>
      <c r="CM161" s="24"/>
      <c r="CN161" s="23">
        <v>10</v>
      </c>
      <c r="CO161" s="24"/>
      <c r="CP161" s="25"/>
      <c r="CQ161" s="24"/>
      <c r="CR161" s="23">
        <v>10</v>
      </c>
      <c r="CS161" s="24"/>
      <c r="CT161" s="25"/>
      <c r="CU161" s="24"/>
      <c r="CV161" s="23">
        <v>10</v>
      </c>
      <c r="CW161" s="24"/>
      <c r="CX161" s="25"/>
      <c r="CY161" s="24"/>
      <c r="CZ161" s="23">
        <v>10</v>
      </c>
      <c r="DA161" s="24"/>
      <c r="DB161" s="25"/>
      <c r="DC161" s="24"/>
      <c r="DD161" s="23">
        <v>10</v>
      </c>
      <c r="DE161" s="24"/>
      <c r="DF161" s="25"/>
      <c r="DG161" s="24"/>
      <c r="DH161" s="23">
        <v>10</v>
      </c>
      <c r="DI161" s="24"/>
      <c r="DJ161" s="25"/>
      <c r="DK161" s="24"/>
      <c r="DL161" s="23">
        <v>10</v>
      </c>
      <c r="DM161" s="24"/>
      <c r="DN161" s="25"/>
      <c r="DO161" s="24"/>
      <c r="DP161" s="340"/>
      <c r="DQ161" s="32">
        <f t="shared" si="56"/>
        <v>120</v>
      </c>
      <c r="DR161" s="32">
        <f t="shared" si="57"/>
        <v>0</v>
      </c>
      <c r="DS161" s="11"/>
      <c r="DT161" s="329"/>
      <c r="DU161" s="23">
        <v>10</v>
      </c>
      <c r="DV161" s="24"/>
      <c r="DW161" s="25"/>
      <c r="DX161" s="24"/>
      <c r="DY161" s="23">
        <v>10</v>
      </c>
      <c r="DZ161" s="24"/>
      <c r="EA161" s="25"/>
      <c r="EB161" s="24"/>
      <c r="EC161" s="23">
        <v>10</v>
      </c>
      <c r="ED161" s="24"/>
      <c r="EE161" s="25"/>
      <c r="EF161" s="24"/>
      <c r="EG161" s="23">
        <v>10</v>
      </c>
      <c r="EH161" s="24"/>
      <c r="EI161" s="25"/>
      <c r="EJ161" s="24"/>
      <c r="EK161" s="23">
        <v>10</v>
      </c>
      <c r="EL161" s="24"/>
      <c r="EM161" s="25"/>
      <c r="EN161" s="24"/>
      <c r="EO161" s="23">
        <v>10</v>
      </c>
      <c r="EP161" s="24"/>
      <c r="EQ161" s="25"/>
      <c r="ER161" s="24"/>
      <c r="ES161" s="23">
        <v>10</v>
      </c>
      <c r="ET161" s="24"/>
      <c r="EU161" s="25"/>
      <c r="EV161" s="24"/>
      <c r="EW161" s="23">
        <v>10</v>
      </c>
      <c r="EX161" s="24"/>
      <c r="EY161" s="25"/>
      <c r="EZ161" s="24"/>
      <c r="FA161" s="23">
        <v>10</v>
      </c>
      <c r="FB161" s="24"/>
      <c r="FC161" s="25"/>
      <c r="FD161" s="24"/>
      <c r="FE161" s="23">
        <v>10</v>
      </c>
      <c r="FF161" s="24"/>
      <c r="FG161" s="25"/>
      <c r="FH161" s="24"/>
      <c r="FI161" s="23">
        <v>10</v>
      </c>
      <c r="FJ161" s="24"/>
      <c r="FK161" s="25"/>
      <c r="FL161" s="24"/>
      <c r="FM161" s="23">
        <v>10</v>
      </c>
      <c r="FN161" s="24"/>
      <c r="FO161" s="25"/>
      <c r="FP161" s="24"/>
      <c r="FQ161" s="340"/>
      <c r="FR161" s="32">
        <f t="shared" si="58"/>
        <v>120</v>
      </c>
      <c r="FS161" s="32">
        <f t="shared" si="59"/>
        <v>0</v>
      </c>
      <c r="FT161" s="361"/>
    </row>
    <row r="162" spans="1:176" outlineLevel="2">
      <c r="A162" s="56" t="s">
        <v>469</v>
      </c>
      <c r="B162" s="387" t="s">
        <v>51</v>
      </c>
      <c r="C162" s="541" t="s">
        <v>72</v>
      </c>
      <c r="D162" s="565" t="s">
        <v>32</v>
      </c>
      <c r="E162" s="10">
        <f>IF(ISBLANK(G162),"",IF($A$6:$A$330=$A162,COUNTIF($A$6:A162,$A162),""))</f>
        <v>57</v>
      </c>
      <c r="F162" s="669">
        <v>1</v>
      </c>
      <c r="G162" s="129">
        <v>9630010510</v>
      </c>
      <c r="H162" s="610" t="s">
        <v>91</v>
      </c>
      <c r="I162" s="618">
        <v>0</v>
      </c>
      <c r="J162" s="618"/>
      <c r="K162" s="126"/>
      <c r="L162" s="618" t="str">
        <f t="shared" si="55"/>
        <v/>
      </c>
      <c r="M162" s="102"/>
      <c r="N162" s="305">
        <f t="shared" si="46"/>
        <v>1</v>
      </c>
      <c r="O162" s="23">
        <v>20</v>
      </c>
      <c r="P162" s="24">
        <f>SUMPRODUCT((Комплекты[Пр]=$F162)*(Комплекты[Обозначение]=$G162)*Комплекты[Кол-во]*(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0</v>
      </c>
      <c r="Q162" s="25">
        <f>SUMPRODUCT((Комплекты[Пр]=$F162)*(Комплекты[Обозначение]=$G162)*Комплекты[Кол-во]*(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0</v>
      </c>
      <c r="R162" s="24"/>
      <c r="S162" s="23">
        <v>20</v>
      </c>
      <c r="T162" s="24">
        <f>SUMPRODUCT((Комплекты[Пр]=$F162)*(Комплекты[Обозначение]=$G162)*Комплекты[Кол-во]*(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53</v>
      </c>
      <c r="U162" s="25">
        <f>SUMPRODUCT((Комплекты[Пр]=$F162)*(Комплекты[Обозначение]=$G162)*Комплекты[Кол-во]*(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53</v>
      </c>
      <c r="V162" s="24"/>
      <c r="W162" s="23">
        <v>20</v>
      </c>
      <c r="X162" s="24">
        <f>SUMPRODUCT((Комплекты[Пр]=$F162)*(Комплекты[Обозначение]=$G162)*Комплекты[Кол-во]*(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62" s="25">
        <f>SUMPRODUCT((Комплекты[Пр]=$F162)*(Комплекты[Обозначение]=$G162)*Комплекты[Кол-во]*(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62" s="24"/>
      <c r="AA162" s="23">
        <v>10</v>
      </c>
      <c r="AB162" s="24">
        <f>SUMPRODUCT((Комплекты[Пр]=$F162)*(Комплекты[Обозначение]=$G162)*Комплекты[Кол-во]*(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62" s="25"/>
      <c r="AD162" s="24"/>
      <c r="AE162" s="23">
        <v>10</v>
      </c>
      <c r="AF162" s="24">
        <f>SUMPRODUCT((Комплекты[Пр]=$F162)*(Комплекты[Обозначение]=$G162)*Комплекты[Кол-во]*(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62" s="25">
        <f>SUMPRODUCT((Комплекты[Пр]=$F162)*(Комплекты[Обозначение]=$G162)*Комплекты[Кол-во]*(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62" s="24"/>
      <c r="AI162" s="23">
        <v>10</v>
      </c>
      <c r="AJ162" s="24">
        <f>SUMPRODUCT((Комплекты[Пр]=$F162)*(Комплекты[Обозначение]=$G162)*Комплекты[Кол-во]*(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5</v>
      </c>
      <c r="AK162" s="25"/>
      <c r="AL162" s="24"/>
      <c r="AM162" s="23">
        <v>10</v>
      </c>
      <c r="AN162" s="24">
        <f>SUMPRODUCT((Комплекты[Пр]=$F162)*(Комплекты[Обозначение]=$G162)*Комплекты[Кол-во]*(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10</v>
      </c>
      <c r="AO162" s="25"/>
      <c r="AP162" s="24"/>
      <c r="AQ162" s="23">
        <v>10</v>
      </c>
      <c r="AR162" s="24">
        <f>SUMPRODUCT((Комплекты[Пр]=$F162)*(Комплекты[Обозначение]=$G162)*Комплекты[Кол-во]*(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10</v>
      </c>
      <c r="AS162" s="25"/>
      <c r="AT162" s="24"/>
      <c r="AU162" s="23">
        <v>10</v>
      </c>
      <c r="AV162" s="24">
        <f>SUMPRODUCT((Комплекты[Пр]=$F162)*(Комплекты[Обозначение]=$G162)*Комплекты[Кол-во]*(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62" s="25"/>
      <c r="AX162" s="24"/>
      <c r="AY162" s="23">
        <v>10</v>
      </c>
      <c r="AZ162" s="24">
        <f>SUMPRODUCT((Комплекты[Пр]=$F162)*(Комплекты[Обозначение]=$G162)*Комплекты[Кол-во]*(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10</v>
      </c>
      <c r="BA162" s="25"/>
      <c r="BB162" s="24"/>
      <c r="BC162" s="23">
        <v>10</v>
      </c>
      <c r="BD162" s="24">
        <f>SUMPRODUCT((Комплекты[Пр]=$F162)*(Комплекты[Обозначение]=$G162)*Комплекты[Кол-во]*(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10</v>
      </c>
      <c r="BE162" s="25"/>
      <c r="BF162" s="24"/>
      <c r="BG162" s="23">
        <v>10</v>
      </c>
      <c r="BH162" s="24">
        <f>SUMPRODUCT((Комплекты[Пр]=$F162)*(Комплекты[Обозначение]=$G162)*Комплекты[Кол-во]*(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10</v>
      </c>
      <c r="BI162" s="25"/>
      <c r="BJ162" s="24"/>
      <c r="BK162" s="340"/>
      <c r="BL162" s="32">
        <f t="shared" si="47"/>
        <v>150</v>
      </c>
      <c r="BM162" s="32">
        <f t="shared" si="48"/>
        <v>0</v>
      </c>
      <c r="BN162" s="28">
        <f t="shared" si="49"/>
        <v>128</v>
      </c>
      <c r="BO162" s="29">
        <f t="shared" si="50"/>
        <v>0</v>
      </c>
      <c r="BP162" s="30">
        <f t="shared" si="51"/>
        <v>73</v>
      </c>
      <c r="BQ162" s="31">
        <f t="shared" si="52"/>
        <v>0</v>
      </c>
      <c r="BR162" s="11"/>
      <c r="BS162" s="329"/>
      <c r="BT162" s="23">
        <v>15</v>
      </c>
      <c r="BU162" s="24"/>
      <c r="BV162" s="25"/>
      <c r="BW162" s="24"/>
      <c r="BX162" s="23">
        <v>15</v>
      </c>
      <c r="BY162" s="24"/>
      <c r="BZ162" s="25"/>
      <c r="CA162" s="24"/>
      <c r="CB162" s="23">
        <v>15</v>
      </c>
      <c r="CC162" s="24"/>
      <c r="CD162" s="25"/>
      <c r="CE162" s="24"/>
      <c r="CF162" s="23">
        <v>15</v>
      </c>
      <c r="CG162" s="24"/>
      <c r="CH162" s="25"/>
      <c r="CI162" s="24"/>
      <c r="CJ162" s="23">
        <v>15</v>
      </c>
      <c r="CK162" s="24"/>
      <c r="CL162" s="25"/>
      <c r="CM162" s="24"/>
      <c r="CN162" s="23">
        <v>15</v>
      </c>
      <c r="CO162" s="24"/>
      <c r="CP162" s="25"/>
      <c r="CQ162" s="24"/>
      <c r="CR162" s="23">
        <v>15</v>
      </c>
      <c r="CS162" s="24"/>
      <c r="CT162" s="25"/>
      <c r="CU162" s="24"/>
      <c r="CV162" s="23">
        <v>15</v>
      </c>
      <c r="CW162" s="24"/>
      <c r="CX162" s="25"/>
      <c r="CY162" s="24"/>
      <c r="CZ162" s="23">
        <v>15</v>
      </c>
      <c r="DA162" s="24"/>
      <c r="DB162" s="25"/>
      <c r="DC162" s="24"/>
      <c r="DD162" s="23">
        <v>15</v>
      </c>
      <c r="DE162" s="24"/>
      <c r="DF162" s="25"/>
      <c r="DG162" s="24"/>
      <c r="DH162" s="23">
        <v>15</v>
      </c>
      <c r="DI162" s="24"/>
      <c r="DJ162" s="25"/>
      <c r="DK162" s="24"/>
      <c r="DL162" s="23">
        <v>15</v>
      </c>
      <c r="DM162" s="24"/>
      <c r="DN162" s="25"/>
      <c r="DO162" s="24"/>
      <c r="DP162" s="340"/>
      <c r="DQ162" s="32">
        <f t="shared" si="56"/>
        <v>180</v>
      </c>
      <c r="DR162" s="32">
        <f t="shared" si="57"/>
        <v>0</v>
      </c>
      <c r="DS162" s="11"/>
      <c r="DT162" s="329"/>
      <c r="DU162" s="23">
        <v>15</v>
      </c>
      <c r="DV162" s="24"/>
      <c r="DW162" s="25"/>
      <c r="DX162" s="24"/>
      <c r="DY162" s="23">
        <v>15</v>
      </c>
      <c r="DZ162" s="24"/>
      <c r="EA162" s="25"/>
      <c r="EB162" s="24"/>
      <c r="EC162" s="23">
        <v>15</v>
      </c>
      <c r="ED162" s="24"/>
      <c r="EE162" s="25"/>
      <c r="EF162" s="24"/>
      <c r="EG162" s="23">
        <v>15</v>
      </c>
      <c r="EH162" s="24"/>
      <c r="EI162" s="25"/>
      <c r="EJ162" s="24"/>
      <c r="EK162" s="23">
        <v>15</v>
      </c>
      <c r="EL162" s="24"/>
      <c r="EM162" s="25"/>
      <c r="EN162" s="24"/>
      <c r="EO162" s="23">
        <v>15</v>
      </c>
      <c r="EP162" s="24"/>
      <c r="EQ162" s="25"/>
      <c r="ER162" s="24"/>
      <c r="ES162" s="23">
        <v>15</v>
      </c>
      <c r="ET162" s="24"/>
      <c r="EU162" s="25"/>
      <c r="EV162" s="24"/>
      <c r="EW162" s="23">
        <v>15</v>
      </c>
      <c r="EX162" s="24"/>
      <c r="EY162" s="25"/>
      <c r="EZ162" s="24"/>
      <c r="FA162" s="23">
        <v>15</v>
      </c>
      <c r="FB162" s="24"/>
      <c r="FC162" s="25"/>
      <c r="FD162" s="24"/>
      <c r="FE162" s="23">
        <v>15</v>
      </c>
      <c r="FF162" s="24"/>
      <c r="FG162" s="25"/>
      <c r="FH162" s="24"/>
      <c r="FI162" s="23">
        <v>15</v>
      </c>
      <c r="FJ162" s="24"/>
      <c r="FK162" s="25"/>
      <c r="FL162" s="24"/>
      <c r="FM162" s="23">
        <v>15</v>
      </c>
      <c r="FN162" s="24"/>
      <c r="FO162" s="25"/>
      <c r="FP162" s="24"/>
      <c r="FQ162" s="340"/>
      <c r="FR162" s="32">
        <f t="shared" si="58"/>
        <v>180</v>
      </c>
      <c r="FS162" s="32">
        <f t="shared" si="59"/>
        <v>0</v>
      </c>
      <c r="FT162" s="361"/>
    </row>
    <row r="163" spans="1:176" outlineLevel="2">
      <c r="A163" s="56" t="s">
        <v>469</v>
      </c>
      <c r="B163" s="387" t="s">
        <v>51</v>
      </c>
      <c r="C163" s="541" t="s">
        <v>72</v>
      </c>
      <c r="D163" s="565" t="s">
        <v>32</v>
      </c>
      <c r="E163" s="10">
        <f>IF(ISBLANK(G163),"",IF($A$6:$A$330=$A163,COUNTIF($A$6:A163,$A163),""))</f>
        <v>58</v>
      </c>
      <c r="F163" s="669">
        <v>1</v>
      </c>
      <c r="G163" s="129">
        <v>9735000510</v>
      </c>
      <c r="H163" s="610" t="s">
        <v>87</v>
      </c>
      <c r="I163" s="618">
        <v>0</v>
      </c>
      <c r="J163" s="618"/>
      <c r="K163" s="126"/>
      <c r="L163" s="618" t="str">
        <f t="shared" si="55"/>
        <v/>
      </c>
      <c r="M163" s="102"/>
      <c r="N163" s="305">
        <f t="shared" si="46"/>
        <v>1</v>
      </c>
      <c r="O163" s="23">
        <v>20</v>
      </c>
      <c r="P163" s="24">
        <f>SUMPRODUCT((Комплекты[Пр]=$F163)*(Комплекты[Обозначение]=$G163)*Комплекты[Кол-во]*(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0</v>
      </c>
      <c r="Q163" s="25">
        <f>SUMPRODUCT((Комплекты[Пр]=$F163)*(Комплекты[Обозначение]=$G163)*Комплекты[Кол-во]*(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0</v>
      </c>
      <c r="R163" s="24"/>
      <c r="S163" s="23">
        <v>20</v>
      </c>
      <c r="T163" s="24">
        <f>SUMPRODUCT((Комплекты[Пр]=$F163)*(Комплекты[Обозначение]=$G163)*Комплекты[Кол-во]*(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53</v>
      </c>
      <c r="U163" s="25">
        <f>SUMPRODUCT((Комплекты[Пр]=$F163)*(Комплекты[Обозначение]=$G163)*Комплекты[Кол-во]*(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53</v>
      </c>
      <c r="V163" s="24"/>
      <c r="W163" s="23">
        <v>20</v>
      </c>
      <c r="X163" s="24">
        <f>SUMPRODUCT((Комплекты[Пр]=$F163)*(Комплекты[Обозначение]=$G163)*Комплекты[Кол-во]*(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63" s="25">
        <f>SUMPRODUCT((Комплекты[Пр]=$F163)*(Комплекты[Обозначение]=$G163)*Комплекты[Кол-во]*(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63" s="24"/>
      <c r="AA163" s="23">
        <v>10</v>
      </c>
      <c r="AB163" s="24">
        <f>SUMPRODUCT((Комплекты[Пр]=$F163)*(Комплекты[Обозначение]=$G163)*Комплекты[Кол-во]*(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63" s="25"/>
      <c r="AD163" s="24"/>
      <c r="AE163" s="23">
        <v>10</v>
      </c>
      <c r="AF163" s="24">
        <f>SUMPRODUCT((Комплекты[Пр]=$F163)*(Комплекты[Обозначение]=$G163)*Комплекты[Кол-во]*(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63" s="25">
        <f>SUMPRODUCT((Комплекты[Пр]=$F163)*(Комплекты[Обозначение]=$G163)*Комплекты[Кол-во]*(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63" s="24"/>
      <c r="AI163" s="23">
        <v>10</v>
      </c>
      <c r="AJ163" s="24">
        <f>SUMPRODUCT((Комплекты[Пр]=$F163)*(Комплекты[Обозначение]=$G163)*Комплекты[Кол-во]*(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5</v>
      </c>
      <c r="AK163" s="25"/>
      <c r="AL163" s="24"/>
      <c r="AM163" s="23">
        <v>10</v>
      </c>
      <c r="AN163" s="24">
        <f>SUMPRODUCT((Комплекты[Пр]=$F163)*(Комплекты[Обозначение]=$G163)*Комплекты[Кол-во]*(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10</v>
      </c>
      <c r="AO163" s="25"/>
      <c r="AP163" s="24"/>
      <c r="AQ163" s="23">
        <v>10</v>
      </c>
      <c r="AR163" s="24">
        <f>SUMPRODUCT((Комплекты[Пр]=$F163)*(Комплекты[Обозначение]=$G163)*Комплекты[Кол-во]*(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10</v>
      </c>
      <c r="AS163" s="25"/>
      <c r="AT163" s="24"/>
      <c r="AU163" s="23">
        <v>10</v>
      </c>
      <c r="AV163" s="24">
        <f>SUMPRODUCT((Комплекты[Пр]=$F163)*(Комплекты[Обозначение]=$G163)*Комплекты[Кол-во]*(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63" s="25"/>
      <c r="AX163" s="24"/>
      <c r="AY163" s="23">
        <v>10</v>
      </c>
      <c r="AZ163" s="24">
        <f>SUMPRODUCT((Комплекты[Пр]=$F163)*(Комплекты[Обозначение]=$G163)*Комплекты[Кол-во]*(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10</v>
      </c>
      <c r="BA163" s="25"/>
      <c r="BB163" s="24"/>
      <c r="BC163" s="23">
        <v>10</v>
      </c>
      <c r="BD163" s="24">
        <f>SUMPRODUCT((Комплекты[Пр]=$F163)*(Комплекты[Обозначение]=$G163)*Комплекты[Кол-во]*(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10</v>
      </c>
      <c r="BE163" s="25"/>
      <c r="BF163" s="24"/>
      <c r="BG163" s="23">
        <v>10</v>
      </c>
      <c r="BH163" s="24">
        <f>SUMPRODUCT((Комплекты[Пр]=$F163)*(Комплекты[Обозначение]=$G163)*Комплекты[Кол-во]*(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10</v>
      </c>
      <c r="BI163" s="25"/>
      <c r="BJ163" s="24"/>
      <c r="BK163" s="340"/>
      <c r="BL163" s="32">
        <f t="shared" si="47"/>
        <v>150</v>
      </c>
      <c r="BM163" s="32">
        <f t="shared" si="48"/>
        <v>0</v>
      </c>
      <c r="BN163" s="28">
        <f t="shared" si="49"/>
        <v>128</v>
      </c>
      <c r="BO163" s="29">
        <f t="shared" si="50"/>
        <v>0</v>
      </c>
      <c r="BP163" s="30">
        <f t="shared" si="51"/>
        <v>73</v>
      </c>
      <c r="BQ163" s="31">
        <f t="shared" si="52"/>
        <v>0</v>
      </c>
      <c r="BR163" s="11"/>
      <c r="BS163" s="329"/>
      <c r="BT163" s="23">
        <v>15</v>
      </c>
      <c r="BU163" s="24"/>
      <c r="BV163" s="25"/>
      <c r="BW163" s="24"/>
      <c r="BX163" s="23">
        <v>15</v>
      </c>
      <c r="BY163" s="24"/>
      <c r="BZ163" s="25"/>
      <c r="CA163" s="24"/>
      <c r="CB163" s="23">
        <v>15</v>
      </c>
      <c r="CC163" s="24"/>
      <c r="CD163" s="25"/>
      <c r="CE163" s="24"/>
      <c r="CF163" s="23">
        <v>15</v>
      </c>
      <c r="CG163" s="24"/>
      <c r="CH163" s="25"/>
      <c r="CI163" s="24"/>
      <c r="CJ163" s="23">
        <v>15</v>
      </c>
      <c r="CK163" s="24"/>
      <c r="CL163" s="25"/>
      <c r="CM163" s="24"/>
      <c r="CN163" s="23">
        <v>15</v>
      </c>
      <c r="CO163" s="24"/>
      <c r="CP163" s="25"/>
      <c r="CQ163" s="24"/>
      <c r="CR163" s="23">
        <v>15</v>
      </c>
      <c r="CS163" s="24"/>
      <c r="CT163" s="25"/>
      <c r="CU163" s="24"/>
      <c r="CV163" s="23">
        <v>15</v>
      </c>
      <c r="CW163" s="24"/>
      <c r="CX163" s="25"/>
      <c r="CY163" s="24"/>
      <c r="CZ163" s="23">
        <v>15</v>
      </c>
      <c r="DA163" s="24"/>
      <c r="DB163" s="25"/>
      <c r="DC163" s="24"/>
      <c r="DD163" s="23">
        <v>15</v>
      </c>
      <c r="DE163" s="24"/>
      <c r="DF163" s="25"/>
      <c r="DG163" s="24"/>
      <c r="DH163" s="23">
        <v>15</v>
      </c>
      <c r="DI163" s="24"/>
      <c r="DJ163" s="25"/>
      <c r="DK163" s="24"/>
      <c r="DL163" s="23">
        <v>15</v>
      </c>
      <c r="DM163" s="24"/>
      <c r="DN163" s="25"/>
      <c r="DO163" s="24"/>
      <c r="DP163" s="340"/>
      <c r="DQ163" s="32">
        <f t="shared" si="56"/>
        <v>180</v>
      </c>
      <c r="DR163" s="32">
        <f t="shared" si="57"/>
        <v>0</v>
      </c>
      <c r="DS163" s="11"/>
      <c r="DT163" s="329"/>
      <c r="DU163" s="23">
        <v>15</v>
      </c>
      <c r="DV163" s="24"/>
      <c r="DW163" s="25"/>
      <c r="DX163" s="24"/>
      <c r="DY163" s="23">
        <v>15</v>
      </c>
      <c r="DZ163" s="24"/>
      <c r="EA163" s="25"/>
      <c r="EB163" s="24"/>
      <c r="EC163" s="23">
        <v>15</v>
      </c>
      <c r="ED163" s="24"/>
      <c r="EE163" s="25"/>
      <c r="EF163" s="24"/>
      <c r="EG163" s="23">
        <v>15</v>
      </c>
      <c r="EH163" s="24"/>
      <c r="EI163" s="25"/>
      <c r="EJ163" s="24"/>
      <c r="EK163" s="23">
        <v>15</v>
      </c>
      <c r="EL163" s="24"/>
      <c r="EM163" s="25"/>
      <c r="EN163" s="24"/>
      <c r="EO163" s="23">
        <v>15</v>
      </c>
      <c r="EP163" s="24"/>
      <c r="EQ163" s="25"/>
      <c r="ER163" s="24"/>
      <c r="ES163" s="23">
        <v>15</v>
      </c>
      <c r="ET163" s="24"/>
      <c r="EU163" s="25"/>
      <c r="EV163" s="24"/>
      <c r="EW163" s="23">
        <v>15</v>
      </c>
      <c r="EX163" s="24"/>
      <c r="EY163" s="25"/>
      <c r="EZ163" s="24"/>
      <c r="FA163" s="23">
        <v>15</v>
      </c>
      <c r="FB163" s="24"/>
      <c r="FC163" s="25"/>
      <c r="FD163" s="24"/>
      <c r="FE163" s="23">
        <v>15</v>
      </c>
      <c r="FF163" s="24"/>
      <c r="FG163" s="25"/>
      <c r="FH163" s="24"/>
      <c r="FI163" s="23">
        <v>15</v>
      </c>
      <c r="FJ163" s="24"/>
      <c r="FK163" s="25"/>
      <c r="FL163" s="24"/>
      <c r="FM163" s="23">
        <v>15</v>
      </c>
      <c r="FN163" s="24"/>
      <c r="FO163" s="25"/>
      <c r="FP163" s="24"/>
      <c r="FQ163" s="340"/>
      <c r="FR163" s="32">
        <f t="shared" si="58"/>
        <v>180</v>
      </c>
      <c r="FS163" s="32">
        <f t="shared" si="59"/>
        <v>0</v>
      </c>
      <c r="FT163" s="361"/>
    </row>
    <row r="164" spans="1:176" outlineLevel="2">
      <c r="A164" s="56" t="s">
        <v>469</v>
      </c>
      <c r="B164" s="387" t="s">
        <v>51</v>
      </c>
      <c r="C164" s="541" t="s">
        <v>72</v>
      </c>
      <c r="D164" s="565" t="s">
        <v>32</v>
      </c>
      <c r="E164" s="10">
        <f>IF(ISBLANK(G164),"",IF($A$6:$A$330=$A164,COUNTIF($A$6:A164,$A164),""))</f>
        <v>59</v>
      </c>
      <c r="F164" s="669">
        <v>1</v>
      </c>
      <c r="G164" s="129">
        <v>4341001250</v>
      </c>
      <c r="H164" s="610" t="s">
        <v>92</v>
      </c>
      <c r="I164" s="618">
        <v>0</v>
      </c>
      <c r="J164" s="618"/>
      <c r="K164" s="126"/>
      <c r="L164" s="618" t="str">
        <f t="shared" si="55"/>
        <v/>
      </c>
      <c r="M164" s="102"/>
      <c r="N164" s="305">
        <f t="shared" si="46"/>
        <v>1</v>
      </c>
      <c r="O164" s="23">
        <v>20</v>
      </c>
      <c r="P164" s="24">
        <f>SUMPRODUCT((Комплекты[Пр]=$F164)*(Комплекты[Обозначение]=$G164)*Комплекты[Кол-во]*(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0</v>
      </c>
      <c r="Q164" s="25">
        <f>SUMPRODUCT((Комплекты[Пр]=$F164)*(Комплекты[Обозначение]=$G164)*Комплекты[Кол-во]*(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0</v>
      </c>
      <c r="R164" s="24"/>
      <c r="S164" s="23">
        <v>20</v>
      </c>
      <c r="T164" s="24">
        <f>SUMPRODUCT((Комплекты[Пр]=$F164)*(Комплекты[Обозначение]=$G164)*Комплекты[Кол-во]*(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53</v>
      </c>
      <c r="U164" s="25">
        <f>SUMPRODUCT((Комплекты[Пр]=$F164)*(Комплекты[Обозначение]=$G164)*Комплекты[Кол-во]*(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53</v>
      </c>
      <c r="V164" s="24"/>
      <c r="W164" s="23">
        <v>20</v>
      </c>
      <c r="X164" s="24">
        <f>SUMPRODUCT((Комплекты[Пр]=$F164)*(Комплекты[Обозначение]=$G164)*Комплекты[Кол-во]*(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64" s="25">
        <f>SUMPRODUCT((Комплекты[Пр]=$F164)*(Комплекты[Обозначение]=$G164)*Комплекты[Кол-во]*(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64" s="24"/>
      <c r="AA164" s="23">
        <v>10</v>
      </c>
      <c r="AB164" s="24">
        <f>SUMPRODUCT((Комплекты[Пр]=$F164)*(Комплекты[Обозначение]=$G164)*Комплекты[Кол-во]*(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64" s="25"/>
      <c r="AD164" s="24"/>
      <c r="AE164" s="23">
        <v>10</v>
      </c>
      <c r="AF164" s="24">
        <f>SUMPRODUCT((Комплекты[Пр]=$F164)*(Комплекты[Обозначение]=$G164)*Комплекты[Кол-во]*(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64" s="25">
        <f>SUMPRODUCT((Комплекты[Пр]=$F164)*(Комплекты[Обозначение]=$G164)*Комплекты[Кол-во]*(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64" s="24"/>
      <c r="AI164" s="23">
        <v>10</v>
      </c>
      <c r="AJ164" s="24">
        <f>SUMPRODUCT((Комплекты[Пр]=$F164)*(Комплекты[Обозначение]=$G164)*Комплекты[Кол-во]*(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5</v>
      </c>
      <c r="AK164" s="25"/>
      <c r="AL164" s="24"/>
      <c r="AM164" s="23">
        <v>10</v>
      </c>
      <c r="AN164" s="24">
        <f>SUMPRODUCT((Комплекты[Пр]=$F164)*(Комплекты[Обозначение]=$G164)*Комплекты[Кол-во]*(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10</v>
      </c>
      <c r="AO164" s="25"/>
      <c r="AP164" s="24"/>
      <c r="AQ164" s="23">
        <v>10</v>
      </c>
      <c r="AR164" s="24">
        <f>SUMPRODUCT((Комплекты[Пр]=$F164)*(Комплекты[Обозначение]=$G164)*Комплекты[Кол-во]*(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10</v>
      </c>
      <c r="AS164" s="25"/>
      <c r="AT164" s="24"/>
      <c r="AU164" s="23">
        <v>10</v>
      </c>
      <c r="AV164" s="24">
        <f>SUMPRODUCT((Комплекты[Пр]=$F164)*(Комплекты[Обозначение]=$G164)*Комплекты[Кол-во]*(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64" s="25"/>
      <c r="AX164" s="24"/>
      <c r="AY164" s="23">
        <v>10</v>
      </c>
      <c r="AZ164" s="24">
        <f>SUMPRODUCT((Комплекты[Пр]=$F164)*(Комплекты[Обозначение]=$G164)*Комплекты[Кол-во]*(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10</v>
      </c>
      <c r="BA164" s="25"/>
      <c r="BB164" s="24"/>
      <c r="BC164" s="23">
        <v>10</v>
      </c>
      <c r="BD164" s="24">
        <f>SUMPRODUCT((Комплекты[Пр]=$F164)*(Комплекты[Обозначение]=$G164)*Комплекты[Кол-во]*(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10</v>
      </c>
      <c r="BE164" s="25"/>
      <c r="BF164" s="24"/>
      <c r="BG164" s="23">
        <v>10</v>
      </c>
      <c r="BH164" s="24">
        <f>SUMPRODUCT((Комплекты[Пр]=$F164)*(Комплекты[Обозначение]=$G164)*Комплекты[Кол-во]*(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10</v>
      </c>
      <c r="BI164" s="25"/>
      <c r="BJ164" s="24"/>
      <c r="BK164" s="340"/>
      <c r="BL164" s="32">
        <f t="shared" si="47"/>
        <v>150</v>
      </c>
      <c r="BM164" s="32">
        <f t="shared" si="48"/>
        <v>0</v>
      </c>
      <c r="BN164" s="28">
        <f t="shared" si="49"/>
        <v>128</v>
      </c>
      <c r="BO164" s="29">
        <f t="shared" si="50"/>
        <v>0</v>
      </c>
      <c r="BP164" s="30">
        <f t="shared" si="51"/>
        <v>73</v>
      </c>
      <c r="BQ164" s="31">
        <f t="shared" si="52"/>
        <v>0</v>
      </c>
      <c r="BR164" s="11"/>
      <c r="BS164" s="329"/>
      <c r="BT164" s="23">
        <v>15</v>
      </c>
      <c r="BU164" s="24"/>
      <c r="BV164" s="25"/>
      <c r="BW164" s="24"/>
      <c r="BX164" s="23">
        <v>15</v>
      </c>
      <c r="BY164" s="24"/>
      <c r="BZ164" s="25"/>
      <c r="CA164" s="24"/>
      <c r="CB164" s="23">
        <v>15</v>
      </c>
      <c r="CC164" s="24"/>
      <c r="CD164" s="25"/>
      <c r="CE164" s="24"/>
      <c r="CF164" s="23">
        <v>15</v>
      </c>
      <c r="CG164" s="24"/>
      <c r="CH164" s="25"/>
      <c r="CI164" s="24"/>
      <c r="CJ164" s="23">
        <v>15</v>
      </c>
      <c r="CK164" s="24"/>
      <c r="CL164" s="25"/>
      <c r="CM164" s="24"/>
      <c r="CN164" s="23">
        <v>15</v>
      </c>
      <c r="CO164" s="24"/>
      <c r="CP164" s="25"/>
      <c r="CQ164" s="24"/>
      <c r="CR164" s="23">
        <v>15</v>
      </c>
      <c r="CS164" s="24"/>
      <c r="CT164" s="25"/>
      <c r="CU164" s="24"/>
      <c r="CV164" s="23">
        <v>15</v>
      </c>
      <c r="CW164" s="24"/>
      <c r="CX164" s="25"/>
      <c r="CY164" s="24"/>
      <c r="CZ164" s="23">
        <v>15</v>
      </c>
      <c r="DA164" s="24"/>
      <c r="DB164" s="25"/>
      <c r="DC164" s="24"/>
      <c r="DD164" s="23">
        <v>15</v>
      </c>
      <c r="DE164" s="24"/>
      <c r="DF164" s="25"/>
      <c r="DG164" s="24"/>
      <c r="DH164" s="23">
        <v>15</v>
      </c>
      <c r="DI164" s="24"/>
      <c r="DJ164" s="25"/>
      <c r="DK164" s="24"/>
      <c r="DL164" s="23">
        <v>15</v>
      </c>
      <c r="DM164" s="24"/>
      <c r="DN164" s="25"/>
      <c r="DO164" s="24"/>
      <c r="DP164" s="340"/>
      <c r="DQ164" s="32">
        <f t="shared" si="56"/>
        <v>180</v>
      </c>
      <c r="DR164" s="32">
        <f t="shared" si="57"/>
        <v>0</v>
      </c>
      <c r="DS164" s="11"/>
      <c r="DT164" s="329"/>
      <c r="DU164" s="23">
        <v>15</v>
      </c>
      <c r="DV164" s="24"/>
      <c r="DW164" s="25"/>
      <c r="DX164" s="24"/>
      <c r="DY164" s="23">
        <v>15</v>
      </c>
      <c r="DZ164" s="24"/>
      <c r="EA164" s="25"/>
      <c r="EB164" s="24"/>
      <c r="EC164" s="23">
        <v>15</v>
      </c>
      <c r="ED164" s="24"/>
      <c r="EE164" s="25"/>
      <c r="EF164" s="24"/>
      <c r="EG164" s="23">
        <v>15</v>
      </c>
      <c r="EH164" s="24"/>
      <c r="EI164" s="25"/>
      <c r="EJ164" s="24"/>
      <c r="EK164" s="23">
        <v>15</v>
      </c>
      <c r="EL164" s="24"/>
      <c r="EM164" s="25"/>
      <c r="EN164" s="24"/>
      <c r="EO164" s="23">
        <v>15</v>
      </c>
      <c r="EP164" s="24"/>
      <c r="EQ164" s="25"/>
      <c r="ER164" s="24"/>
      <c r="ES164" s="23">
        <v>15</v>
      </c>
      <c r="ET164" s="24"/>
      <c r="EU164" s="25"/>
      <c r="EV164" s="24"/>
      <c r="EW164" s="23">
        <v>15</v>
      </c>
      <c r="EX164" s="24"/>
      <c r="EY164" s="25"/>
      <c r="EZ164" s="24"/>
      <c r="FA164" s="23">
        <v>15</v>
      </c>
      <c r="FB164" s="24"/>
      <c r="FC164" s="25"/>
      <c r="FD164" s="24"/>
      <c r="FE164" s="23">
        <v>15</v>
      </c>
      <c r="FF164" s="24"/>
      <c r="FG164" s="25"/>
      <c r="FH164" s="24"/>
      <c r="FI164" s="23">
        <v>15</v>
      </c>
      <c r="FJ164" s="24"/>
      <c r="FK164" s="25"/>
      <c r="FL164" s="24"/>
      <c r="FM164" s="23">
        <v>15</v>
      </c>
      <c r="FN164" s="24"/>
      <c r="FO164" s="25"/>
      <c r="FP164" s="24"/>
      <c r="FQ164" s="340"/>
      <c r="FR164" s="32">
        <f t="shared" si="58"/>
        <v>180</v>
      </c>
      <c r="FS164" s="32">
        <f t="shared" si="59"/>
        <v>0</v>
      </c>
      <c r="FT164" s="361"/>
    </row>
    <row r="165" spans="1:176" outlineLevel="2">
      <c r="A165" s="56" t="s">
        <v>469</v>
      </c>
      <c r="B165" s="387" t="s">
        <v>51</v>
      </c>
      <c r="C165" s="541" t="s">
        <v>72</v>
      </c>
      <c r="D165" s="565" t="s">
        <v>32</v>
      </c>
      <c r="E165" s="10">
        <f>IF(ISBLANK(G165),"",IF($A$6:$A$330=$A165,COUNTIF($A$6:A165,$A165),""))</f>
        <v>60</v>
      </c>
      <c r="F165" s="669">
        <v>1</v>
      </c>
      <c r="G165" s="129">
        <v>4640061000</v>
      </c>
      <c r="H165" s="610" t="s">
        <v>93</v>
      </c>
      <c r="I165" s="618">
        <v>0</v>
      </c>
      <c r="J165" s="618"/>
      <c r="K165" s="126"/>
      <c r="L165" s="618" t="str">
        <f t="shared" si="55"/>
        <v/>
      </c>
      <c r="M165" s="102"/>
      <c r="N165" s="305">
        <f t="shared" si="46"/>
        <v>1</v>
      </c>
      <c r="O165" s="23">
        <v>20</v>
      </c>
      <c r="P165" s="24">
        <f>SUMPRODUCT((Комплекты[Пр]=$F165)*(Комплекты[Обозначение]=$G165)*Комплекты[Кол-во]*(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11</v>
      </c>
      <c r="Q165" s="25">
        <f>SUMPRODUCT((Комплекты[Пр]=$F165)*(Комплекты[Обозначение]=$G165)*Комплекты[Кол-во]*(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11</v>
      </c>
      <c r="R165" s="24"/>
      <c r="S165" s="23">
        <v>20</v>
      </c>
      <c r="T165" s="24">
        <f>SUMPRODUCT((Комплекты[Пр]=$F165)*(Комплекты[Обозначение]=$G165)*Комплекты[Кол-во]*(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66</v>
      </c>
      <c r="U165" s="25">
        <f>SUMPRODUCT((Комплекты[Пр]=$F165)*(Комплекты[Обозначение]=$G165)*Комплекты[Кол-во]*(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66</v>
      </c>
      <c r="V165" s="24"/>
      <c r="W165" s="23">
        <v>20</v>
      </c>
      <c r="X165" s="24">
        <f>SUMPRODUCT((Комплекты[Пр]=$F165)*(Комплекты[Обозначение]=$G165)*Комплекты[Кол-во]*(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65" s="25">
        <f>SUMPRODUCT((Комплекты[Пр]=$F165)*(Комплекты[Обозначение]=$G165)*Комплекты[Кол-во]*(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65" s="24"/>
      <c r="AA165" s="23">
        <v>10</v>
      </c>
      <c r="AB165" s="24">
        <f>SUMPRODUCT((Комплекты[Пр]=$F165)*(Комплекты[Обозначение]=$G165)*Комплекты[Кол-во]*(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16</v>
      </c>
      <c r="AC165" s="25"/>
      <c r="AD165" s="24"/>
      <c r="AE165" s="23">
        <v>10</v>
      </c>
      <c r="AF165" s="24">
        <f>SUMPRODUCT((Комплекты[Пр]=$F165)*(Комплекты[Обозначение]=$G165)*Комплекты[Кол-во]*(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27</v>
      </c>
      <c r="AG165" s="25">
        <f>SUMPRODUCT((Комплекты[Пр]=$F165)*(Комплекты[Обозначение]=$G165)*Комплекты[Кол-во]*(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27</v>
      </c>
      <c r="AH165" s="24"/>
      <c r="AI165" s="23">
        <v>10</v>
      </c>
      <c r="AJ165" s="24">
        <f>SUMPRODUCT((Комплекты[Пр]=$F165)*(Комплекты[Обозначение]=$G165)*Комплекты[Кол-во]*(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26</v>
      </c>
      <c r="AK165" s="25"/>
      <c r="AL165" s="24"/>
      <c r="AM165" s="23">
        <v>10</v>
      </c>
      <c r="AN165" s="24">
        <f>SUMPRODUCT((Комплекты[Пр]=$F165)*(Комплекты[Обозначение]=$G165)*Комплекты[Кол-во]*(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30</v>
      </c>
      <c r="AO165" s="25"/>
      <c r="AP165" s="24"/>
      <c r="AQ165" s="23">
        <v>10</v>
      </c>
      <c r="AR165" s="24">
        <f>SUMPRODUCT((Комплекты[Пр]=$F165)*(Комплекты[Обозначение]=$G165)*Комплекты[Кол-во]*(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30</v>
      </c>
      <c r="AS165" s="25"/>
      <c r="AT165" s="24"/>
      <c r="AU165" s="23">
        <v>10</v>
      </c>
      <c r="AV165" s="24">
        <f>SUMPRODUCT((Комплекты[Пр]=$F165)*(Комплекты[Обозначение]=$G165)*Комплекты[Кол-во]*(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65" s="25"/>
      <c r="AX165" s="24"/>
      <c r="AY165" s="23">
        <v>10</v>
      </c>
      <c r="AZ165" s="24">
        <f>SUMPRODUCT((Комплекты[Пр]=$F165)*(Комплекты[Обозначение]=$G165)*Комплекты[Кол-во]*(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10</v>
      </c>
      <c r="BA165" s="25"/>
      <c r="BB165" s="24"/>
      <c r="BC165" s="23">
        <v>10</v>
      </c>
      <c r="BD165" s="24">
        <f>SUMPRODUCT((Комплекты[Пр]=$F165)*(Комплекты[Обозначение]=$G165)*Комплекты[Кол-во]*(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10</v>
      </c>
      <c r="BE165" s="25"/>
      <c r="BF165" s="24"/>
      <c r="BG165" s="23">
        <v>10</v>
      </c>
      <c r="BH165" s="24">
        <f>SUMPRODUCT((Комплекты[Пр]=$F165)*(Комплекты[Обозначение]=$G165)*Комплекты[Кол-во]*(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10</v>
      </c>
      <c r="BI165" s="25"/>
      <c r="BJ165" s="24"/>
      <c r="BK165" s="340"/>
      <c r="BL165" s="32">
        <f t="shared" si="47"/>
        <v>150</v>
      </c>
      <c r="BM165" s="32">
        <f t="shared" si="48"/>
        <v>0</v>
      </c>
      <c r="BN165" s="28">
        <f t="shared" si="49"/>
        <v>256</v>
      </c>
      <c r="BO165" s="29">
        <f t="shared" si="50"/>
        <v>0</v>
      </c>
      <c r="BP165" s="30">
        <f t="shared" si="51"/>
        <v>124</v>
      </c>
      <c r="BQ165" s="31">
        <f t="shared" si="52"/>
        <v>0</v>
      </c>
      <c r="BR165" s="11"/>
      <c r="BS165" s="329"/>
      <c r="BT165" s="23">
        <v>15</v>
      </c>
      <c r="BU165" s="24"/>
      <c r="BV165" s="25"/>
      <c r="BW165" s="24"/>
      <c r="BX165" s="23">
        <v>15</v>
      </c>
      <c r="BY165" s="24"/>
      <c r="BZ165" s="25"/>
      <c r="CA165" s="24"/>
      <c r="CB165" s="23">
        <v>15</v>
      </c>
      <c r="CC165" s="24"/>
      <c r="CD165" s="25"/>
      <c r="CE165" s="24"/>
      <c r="CF165" s="23">
        <v>15</v>
      </c>
      <c r="CG165" s="24"/>
      <c r="CH165" s="25"/>
      <c r="CI165" s="24"/>
      <c r="CJ165" s="23">
        <v>15</v>
      </c>
      <c r="CK165" s="24"/>
      <c r="CL165" s="25"/>
      <c r="CM165" s="24"/>
      <c r="CN165" s="23">
        <v>15</v>
      </c>
      <c r="CO165" s="24"/>
      <c r="CP165" s="25"/>
      <c r="CQ165" s="24"/>
      <c r="CR165" s="23">
        <v>15</v>
      </c>
      <c r="CS165" s="24"/>
      <c r="CT165" s="25"/>
      <c r="CU165" s="24"/>
      <c r="CV165" s="23">
        <v>15</v>
      </c>
      <c r="CW165" s="24"/>
      <c r="CX165" s="25"/>
      <c r="CY165" s="24"/>
      <c r="CZ165" s="23">
        <v>15</v>
      </c>
      <c r="DA165" s="24"/>
      <c r="DB165" s="25"/>
      <c r="DC165" s="24"/>
      <c r="DD165" s="23">
        <v>15</v>
      </c>
      <c r="DE165" s="24"/>
      <c r="DF165" s="25"/>
      <c r="DG165" s="24"/>
      <c r="DH165" s="23">
        <v>15</v>
      </c>
      <c r="DI165" s="24"/>
      <c r="DJ165" s="25"/>
      <c r="DK165" s="24"/>
      <c r="DL165" s="23">
        <v>15</v>
      </c>
      <c r="DM165" s="24"/>
      <c r="DN165" s="25"/>
      <c r="DO165" s="24"/>
      <c r="DP165" s="340"/>
      <c r="DQ165" s="32">
        <f t="shared" si="56"/>
        <v>180</v>
      </c>
      <c r="DR165" s="32">
        <f t="shared" si="57"/>
        <v>0</v>
      </c>
      <c r="DS165" s="11"/>
      <c r="DT165" s="329"/>
      <c r="DU165" s="23">
        <v>15</v>
      </c>
      <c r="DV165" s="24"/>
      <c r="DW165" s="25"/>
      <c r="DX165" s="24"/>
      <c r="DY165" s="23">
        <v>15</v>
      </c>
      <c r="DZ165" s="24"/>
      <c r="EA165" s="25"/>
      <c r="EB165" s="24"/>
      <c r="EC165" s="23">
        <v>15</v>
      </c>
      <c r="ED165" s="24"/>
      <c r="EE165" s="25"/>
      <c r="EF165" s="24"/>
      <c r="EG165" s="23">
        <v>15</v>
      </c>
      <c r="EH165" s="24"/>
      <c r="EI165" s="25"/>
      <c r="EJ165" s="24"/>
      <c r="EK165" s="23">
        <v>15</v>
      </c>
      <c r="EL165" s="24"/>
      <c r="EM165" s="25"/>
      <c r="EN165" s="24"/>
      <c r="EO165" s="23">
        <v>15</v>
      </c>
      <c r="EP165" s="24"/>
      <c r="EQ165" s="25"/>
      <c r="ER165" s="24"/>
      <c r="ES165" s="23">
        <v>15</v>
      </c>
      <c r="ET165" s="24"/>
      <c r="EU165" s="25"/>
      <c r="EV165" s="24"/>
      <c r="EW165" s="23">
        <v>15</v>
      </c>
      <c r="EX165" s="24"/>
      <c r="EY165" s="25"/>
      <c r="EZ165" s="24"/>
      <c r="FA165" s="23">
        <v>15</v>
      </c>
      <c r="FB165" s="24"/>
      <c r="FC165" s="25"/>
      <c r="FD165" s="24"/>
      <c r="FE165" s="23">
        <v>15</v>
      </c>
      <c r="FF165" s="24"/>
      <c r="FG165" s="25"/>
      <c r="FH165" s="24"/>
      <c r="FI165" s="23">
        <v>15</v>
      </c>
      <c r="FJ165" s="24"/>
      <c r="FK165" s="25"/>
      <c r="FL165" s="24"/>
      <c r="FM165" s="23">
        <v>15</v>
      </c>
      <c r="FN165" s="24"/>
      <c r="FO165" s="25"/>
      <c r="FP165" s="24"/>
      <c r="FQ165" s="340"/>
      <c r="FR165" s="32">
        <f t="shared" si="58"/>
        <v>180</v>
      </c>
      <c r="FS165" s="32">
        <f t="shared" si="59"/>
        <v>0</v>
      </c>
      <c r="FT165" s="361"/>
    </row>
    <row r="166" spans="1:176" outlineLevel="2">
      <c r="A166" s="56" t="s">
        <v>469</v>
      </c>
      <c r="B166" s="387" t="s">
        <v>51</v>
      </c>
      <c r="C166" s="541" t="s">
        <v>72</v>
      </c>
      <c r="D166" s="565" t="s">
        <v>32</v>
      </c>
      <c r="E166" s="10">
        <f>IF(ISBLANK(G166),"",IF($A$6:$A$330=$A166,COUNTIF($A$6:A166,$A166),""))</f>
        <v>61</v>
      </c>
      <c r="F166" s="669">
        <v>1</v>
      </c>
      <c r="G166" s="129">
        <v>4630320200</v>
      </c>
      <c r="H166" s="610" t="s">
        <v>80</v>
      </c>
      <c r="I166" s="618">
        <v>0</v>
      </c>
      <c r="J166" s="618"/>
      <c r="K166" s="126"/>
      <c r="L166" s="618" t="str">
        <f t="shared" si="55"/>
        <v/>
      </c>
      <c r="M166" s="102"/>
      <c r="N166" s="305">
        <f t="shared" si="46"/>
        <v>1</v>
      </c>
      <c r="O166" s="23">
        <v>20</v>
      </c>
      <c r="P166" s="24">
        <f>SUMPRODUCT((Комплекты[Пр]=$F166)*(Комплекты[Обозначение]=$G166)*Комплекты[Кол-во]*(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11</v>
      </c>
      <c r="Q166" s="25">
        <f>SUMPRODUCT((Комплекты[Пр]=$F166)*(Комплекты[Обозначение]=$G166)*Комплекты[Кол-во]*(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11</v>
      </c>
      <c r="R166" s="24"/>
      <c r="S166" s="23">
        <v>20</v>
      </c>
      <c r="T166" s="24">
        <f>SUMPRODUCT((Комплекты[Пр]=$F166)*(Комплекты[Обозначение]=$G166)*Комплекты[Кол-во]*(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66</v>
      </c>
      <c r="U166" s="25">
        <f>SUMPRODUCT((Комплекты[Пр]=$F166)*(Комплекты[Обозначение]=$G166)*Комплекты[Кол-во]*(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66</v>
      </c>
      <c r="V166" s="24"/>
      <c r="W166" s="23">
        <v>20</v>
      </c>
      <c r="X166" s="24">
        <f>SUMPRODUCT((Комплекты[Пр]=$F166)*(Комплекты[Обозначение]=$G166)*Комплекты[Кол-во]*(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66" s="25">
        <f>SUMPRODUCT((Комплекты[Пр]=$F166)*(Комплекты[Обозначение]=$G166)*Комплекты[Кол-во]*(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66" s="24"/>
      <c r="AA166" s="23">
        <v>10</v>
      </c>
      <c r="AB166" s="24">
        <f>SUMPRODUCT((Комплекты[Пр]=$F166)*(Комплекты[Обозначение]=$G166)*Комплекты[Кол-во]*(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16</v>
      </c>
      <c r="AC166" s="25"/>
      <c r="AD166" s="24"/>
      <c r="AE166" s="23">
        <v>10</v>
      </c>
      <c r="AF166" s="24">
        <f>SUMPRODUCT((Комплекты[Пр]=$F166)*(Комплекты[Обозначение]=$G166)*Комплекты[Кол-во]*(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27</v>
      </c>
      <c r="AG166" s="25">
        <f>SUMPRODUCT((Комплекты[Пр]=$F166)*(Комплекты[Обозначение]=$G166)*Комплекты[Кол-во]*(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27</v>
      </c>
      <c r="AH166" s="24"/>
      <c r="AI166" s="23">
        <v>10</v>
      </c>
      <c r="AJ166" s="24">
        <f>SUMPRODUCT((Комплекты[Пр]=$F166)*(Комплекты[Обозначение]=$G166)*Комплекты[Кол-во]*(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26</v>
      </c>
      <c r="AK166" s="25"/>
      <c r="AL166" s="24"/>
      <c r="AM166" s="23">
        <v>10</v>
      </c>
      <c r="AN166" s="24">
        <f>SUMPRODUCT((Комплекты[Пр]=$F166)*(Комплекты[Обозначение]=$G166)*Комплекты[Кол-во]*(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30</v>
      </c>
      <c r="AO166" s="25"/>
      <c r="AP166" s="24"/>
      <c r="AQ166" s="23">
        <v>10</v>
      </c>
      <c r="AR166" s="24">
        <f>SUMPRODUCT((Комплекты[Пр]=$F166)*(Комплекты[Обозначение]=$G166)*Комплекты[Кол-во]*(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30</v>
      </c>
      <c r="AS166" s="25"/>
      <c r="AT166" s="24"/>
      <c r="AU166" s="23">
        <v>10</v>
      </c>
      <c r="AV166" s="24">
        <f>SUMPRODUCT((Комплекты[Пр]=$F166)*(Комплекты[Обозначение]=$G166)*Комплекты[Кол-во]*(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66" s="25"/>
      <c r="AX166" s="24"/>
      <c r="AY166" s="23">
        <v>10</v>
      </c>
      <c r="AZ166" s="24">
        <f>SUMPRODUCT((Комплекты[Пр]=$F166)*(Комплекты[Обозначение]=$G166)*Комплекты[Кол-во]*(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10</v>
      </c>
      <c r="BA166" s="25"/>
      <c r="BB166" s="24"/>
      <c r="BC166" s="23">
        <v>10</v>
      </c>
      <c r="BD166" s="24">
        <f>SUMPRODUCT((Комплекты[Пр]=$F166)*(Комплекты[Обозначение]=$G166)*Комплекты[Кол-во]*(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10</v>
      </c>
      <c r="BE166" s="25"/>
      <c r="BF166" s="24"/>
      <c r="BG166" s="23">
        <v>10</v>
      </c>
      <c r="BH166" s="24">
        <f>SUMPRODUCT((Комплекты[Пр]=$F166)*(Комплекты[Обозначение]=$G166)*Комплекты[Кол-во]*(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10</v>
      </c>
      <c r="BI166" s="25"/>
      <c r="BJ166" s="24"/>
      <c r="BK166" s="340"/>
      <c r="BL166" s="32">
        <f t="shared" si="47"/>
        <v>150</v>
      </c>
      <c r="BM166" s="32">
        <f t="shared" si="48"/>
        <v>0</v>
      </c>
      <c r="BN166" s="28">
        <f t="shared" si="49"/>
        <v>256</v>
      </c>
      <c r="BO166" s="29">
        <f t="shared" si="50"/>
        <v>0</v>
      </c>
      <c r="BP166" s="30">
        <f t="shared" si="51"/>
        <v>124</v>
      </c>
      <c r="BQ166" s="31">
        <f t="shared" si="52"/>
        <v>0</v>
      </c>
      <c r="BR166" s="11"/>
      <c r="BS166" s="329"/>
      <c r="BT166" s="23">
        <v>15</v>
      </c>
      <c r="BU166" s="24"/>
      <c r="BV166" s="25"/>
      <c r="BW166" s="24"/>
      <c r="BX166" s="23">
        <v>15</v>
      </c>
      <c r="BY166" s="24"/>
      <c r="BZ166" s="25"/>
      <c r="CA166" s="24"/>
      <c r="CB166" s="23">
        <v>15</v>
      </c>
      <c r="CC166" s="24"/>
      <c r="CD166" s="25"/>
      <c r="CE166" s="24"/>
      <c r="CF166" s="23">
        <v>15</v>
      </c>
      <c r="CG166" s="24"/>
      <c r="CH166" s="25"/>
      <c r="CI166" s="24"/>
      <c r="CJ166" s="23">
        <v>15</v>
      </c>
      <c r="CK166" s="24"/>
      <c r="CL166" s="25"/>
      <c r="CM166" s="24"/>
      <c r="CN166" s="23">
        <v>15</v>
      </c>
      <c r="CO166" s="24"/>
      <c r="CP166" s="25"/>
      <c r="CQ166" s="24"/>
      <c r="CR166" s="23">
        <v>15</v>
      </c>
      <c r="CS166" s="24"/>
      <c r="CT166" s="25"/>
      <c r="CU166" s="24"/>
      <c r="CV166" s="23">
        <v>15</v>
      </c>
      <c r="CW166" s="24"/>
      <c r="CX166" s="25"/>
      <c r="CY166" s="24"/>
      <c r="CZ166" s="23">
        <v>15</v>
      </c>
      <c r="DA166" s="24"/>
      <c r="DB166" s="25"/>
      <c r="DC166" s="24"/>
      <c r="DD166" s="23">
        <v>15</v>
      </c>
      <c r="DE166" s="24"/>
      <c r="DF166" s="25"/>
      <c r="DG166" s="24"/>
      <c r="DH166" s="23">
        <v>15</v>
      </c>
      <c r="DI166" s="24"/>
      <c r="DJ166" s="25"/>
      <c r="DK166" s="24"/>
      <c r="DL166" s="23">
        <v>15</v>
      </c>
      <c r="DM166" s="24"/>
      <c r="DN166" s="25"/>
      <c r="DO166" s="24"/>
      <c r="DP166" s="340"/>
      <c r="DQ166" s="32">
        <f t="shared" si="56"/>
        <v>180</v>
      </c>
      <c r="DR166" s="32">
        <f t="shared" si="57"/>
        <v>0</v>
      </c>
      <c r="DS166" s="11"/>
      <c r="DT166" s="329"/>
      <c r="DU166" s="23">
        <v>15</v>
      </c>
      <c r="DV166" s="24"/>
      <c r="DW166" s="25"/>
      <c r="DX166" s="24"/>
      <c r="DY166" s="23">
        <v>15</v>
      </c>
      <c r="DZ166" s="24"/>
      <c r="EA166" s="25"/>
      <c r="EB166" s="24"/>
      <c r="EC166" s="23">
        <v>15</v>
      </c>
      <c r="ED166" s="24"/>
      <c r="EE166" s="25"/>
      <c r="EF166" s="24"/>
      <c r="EG166" s="23">
        <v>15</v>
      </c>
      <c r="EH166" s="24"/>
      <c r="EI166" s="25"/>
      <c r="EJ166" s="24"/>
      <c r="EK166" s="23">
        <v>15</v>
      </c>
      <c r="EL166" s="24"/>
      <c r="EM166" s="25"/>
      <c r="EN166" s="24"/>
      <c r="EO166" s="23">
        <v>15</v>
      </c>
      <c r="EP166" s="24"/>
      <c r="EQ166" s="25"/>
      <c r="ER166" s="24"/>
      <c r="ES166" s="23">
        <v>15</v>
      </c>
      <c r="ET166" s="24"/>
      <c r="EU166" s="25"/>
      <c r="EV166" s="24"/>
      <c r="EW166" s="23">
        <v>15</v>
      </c>
      <c r="EX166" s="24"/>
      <c r="EY166" s="25"/>
      <c r="EZ166" s="24"/>
      <c r="FA166" s="23">
        <v>15</v>
      </c>
      <c r="FB166" s="24"/>
      <c r="FC166" s="25"/>
      <c r="FD166" s="24"/>
      <c r="FE166" s="23">
        <v>15</v>
      </c>
      <c r="FF166" s="24"/>
      <c r="FG166" s="25"/>
      <c r="FH166" s="24"/>
      <c r="FI166" s="23">
        <v>15</v>
      </c>
      <c r="FJ166" s="24"/>
      <c r="FK166" s="25"/>
      <c r="FL166" s="24"/>
      <c r="FM166" s="23">
        <v>15</v>
      </c>
      <c r="FN166" s="24"/>
      <c r="FO166" s="25"/>
      <c r="FP166" s="24"/>
      <c r="FQ166" s="340"/>
      <c r="FR166" s="32">
        <f t="shared" si="58"/>
        <v>180</v>
      </c>
      <c r="FS166" s="32">
        <f t="shared" si="59"/>
        <v>0</v>
      </c>
      <c r="FT166" s="361"/>
    </row>
    <row r="167" spans="1:176" outlineLevel="2">
      <c r="A167" s="56" t="s">
        <v>469</v>
      </c>
      <c r="B167" s="387" t="s">
        <v>51</v>
      </c>
      <c r="C167" s="541" t="s">
        <v>72</v>
      </c>
      <c r="D167" s="565" t="s">
        <v>32</v>
      </c>
      <c r="E167" s="10">
        <f>IF(ISBLANK(G167),"",IF($A$6:$A$330=$A167,COUNTIF($A$6:A167,$A167),""))</f>
        <v>62</v>
      </c>
      <c r="F167" s="669">
        <v>1</v>
      </c>
      <c r="G167" s="129">
        <v>4334010030</v>
      </c>
      <c r="H167" s="610" t="s">
        <v>81</v>
      </c>
      <c r="I167" s="618">
        <v>0</v>
      </c>
      <c r="J167" s="618"/>
      <c r="K167" s="126"/>
      <c r="L167" s="618" t="str">
        <f t="shared" si="55"/>
        <v/>
      </c>
      <c r="M167" s="102"/>
      <c r="N167" s="305">
        <f t="shared" si="46"/>
        <v>1</v>
      </c>
      <c r="O167" s="23">
        <v>20</v>
      </c>
      <c r="P167" s="24">
        <f>SUMPRODUCT((Комплекты[Пр]=$F167)*(Комплекты[Обозначение]=$G167)*Комплекты[Кол-во]*(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11</v>
      </c>
      <c r="Q167" s="25">
        <f>SUMPRODUCT((Комплекты[Пр]=$F167)*(Комплекты[Обозначение]=$G167)*Комплекты[Кол-во]*(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11</v>
      </c>
      <c r="R167" s="24"/>
      <c r="S167" s="23">
        <v>20</v>
      </c>
      <c r="T167" s="24">
        <f>SUMPRODUCT((Комплекты[Пр]=$F167)*(Комплекты[Обозначение]=$G167)*Комплекты[Кол-во]*(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66</v>
      </c>
      <c r="U167" s="25">
        <f>SUMPRODUCT((Комплекты[Пр]=$F167)*(Комплекты[Обозначение]=$G167)*Комплекты[Кол-во]*(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66</v>
      </c>
      <c r="V167" s="24"/>
      <c r="W167" s="23">
        <v>20</v>
      </c>
      <c r="X167" s="24">
        <f>SUMPRODUCT((Комплекты[Пр]=$F167)*(Комплекты[Обозначение]=$G167)*Комплекты[Кол-во]*(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67" s="25">
        <f>SUMPRODUCT((Комплекты[Пр]=$F167)*(Комплекты[Обозначение]=$G167)*Комплекты[Кол-во]*(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67" s="24"/>
      <c r="AA167" s="23">
        <v>10</v>
      </c>
      <c r="AB167" s="24">
        <f>SUMPRODUCT((Комплекты[Пр]=$F167)*(Комплекты[Обозначение]=$G167)*Комплекты[Кол-во]*(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16</v>
      </c>
      <c r="AC167" s="25"/>
      <c r="AD167" s="24"/>
      <c r="AE167" s="23">
        <v>10</v>
      </c>
      <c r="AF167" s="24">
        <f>SUMPRODUCT((Комплекты[Пр]=$F167)*(Комплекты[Обозначение]=$G167)*Комплекты[Кол-во]*(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27</v>
      </c>
      <c r="AG167" s="25">
        <f>SUMPRODUCT((Комплекты[Пр]=$F167)*(Комплекты[Обозначение]=$G167)*Комплекты[Кол-во]*(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27</v>
      </c>
      <c r="AH167" s="24"/>
      <c r="AI167" s="23">
        <v>10</v>
      </c>
      <c r="AJ167" s="24">
        <f>SUMPRODUCT((Комплекты[Пр]=$F167)*(Комплекты[Обозначение]=$G167)*Комплекты[Кол-во]*(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26</v>
      </c>
      <c r="AK167" s="25"/>
      <c r="AL167" s="24"/>
      <c r="AM167" s="23">
        <v>10</v>
      </c>
      <c r="AN167" s="24">
        <f>SUMPRODUCT((Комплекты[Пр]=$F167)*(Комплекты[Обозначение]=$G167)*Комплекты[Кол-во]*(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30</v>
      </c>
      <c r="AO167" s="25"/>
      <c r="AP167" s="24"/>
      <c r="AQ167" s="23">
        <v>10</v>
      </c>
      <c r="AR167" s="24">
        <f>SUMPRODUCT((Комплекты[Пр]=$F167)*(Комплекты[Обозначение]=$G167)*Комплекты[Кол-во]*(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30</v>
      </c>
      <c r="AS167" s="25"/>
      <c r="AT167" s="24"/>
      <c r="AU167" s="23">
        <v>10</v>
      </c>
      <c r="AV167" s="24">
        <f>SUMPRODUCT((Комплекты[Пр]=$F167)*(Комплекты[Обозначение]=$G167)*Комплекты[Кол-во]*(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67" s="25"/>
      <c r="AX167" s="24"/>
      <c r="AY167" s="23">
        <v>10</v>
      </c>
      <c r="AZ167" s="24">
        <f>SUMPRODUCT((Комплекты[Пр]=$F167)*(Комплекты[Обозначение]=$G167)*Комплекты[Кол-во]*(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10</v>
      </c>
      <c r="BA167" s="25"/>
      <c r="BB167" s="24"/>
      <c r="BC167" s="23">
        <v>10</v>
      </c>
      <c r="BD167" s="24">
        <f>SUMPRODUCT((Комплекты[Пр]=$F167)*(Комплекты[Обозначение]=$G167)*Комплекты[Кол-во]*(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10</v>
      </c>
      <c r="BE167" s="25"/>
      <c r="BF167" s="24"/>
      <c r="BG167" s="23">
        <v>10</v>
      </c>
      <c r="BH167" s="24">
        <f>SUMPRODUCT((Комплекты[Пр]=$F167)*(Комплекты[Обозначение]=$G167)*Комплекты[Кол-во]*(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10</v>
      </c>
      <c r="BI167" s="25"/>
      <c r="BJ167" s="24"/>
      <c r="BK167" s="340"/>
      <c r="BL167" s="32">
        <f t="shared" si="47"/>
        <v>150</v>
      </c>
      <c r="BM167" s="32">
        <f t="shared" si="48"/>
        <v>0</v>
      </c>
      <c r="BN167" s="28">
        <f t="shared" si="49"/>
        <v>256</v>
      </c>
      <c r="BO167" s="29">
        <f t="shared" si="50"/>
        <v>0</v>
      </c>
      <c r="BP167" s="30">
        <f t="shared" si="51"/>
        <v>124</v>
      </c>
      <c r="BQ167" s="31">
        <f t="shared" si="52"/>
        <v>0</v>
      </c>
      <c r="BR167" s="11"/>
      <c r="BS167" s="329"/>
      <c r="BT167" s="23">
        <v>15</v>
      </c>
      <c r="BU167" s="24"/>
      <c r="BV167" s="25"/>
      <c r="BW167" s="24"/>
      <c r="BX167" s="23">
        <v>15</v>
      </c>
      <c r="BY167" s="24"/>
      <c r="BZ167" s="25"/>
      <c r="CA167" s="24"/>
      <c r="CB167" s="23">
        <v>15</v>
      </c>
      <c r="CC167" s="24"/>
      <c r="CD167" s="25"/>
      <c r="CE167" s="24"/>
      <c r="CF167" s="23">
        <v>15</v>
      </c>
      <c r="CG167" s="24"/>
      <c r="CH167" s="25"/>
      <c r="CI167" s="24"/>
      <c r="CJ167" s="23">
        <v>15</v>
      </c>
      <c r="CK167" s="24"/>
      <c r="CL167" s="25"/>
      <c r="CM167" s="24"/>
      <c r="CN167" s="23">
        <v>15</v>
      </c>
      <c r="CO167" s="24"/>
      <c r="CP167" s="25"/>
      <c r="CQ167" s="24"/>
      <c r="CR167" s="23">
        <v>15</v>
      </c>
      <c r="CS167" s="24"/>
      <c r="CT167" s="25"/>
      <c r="CU167" s="24"/>
      <c r="CV167" s="23">
        <v>15</v>
      </c>
      <c r="CW167" s="24"/>
      <c r="CX167" s="25"/>
      <c r="CY167" s="24"/>
      <c r="CZ167" s="23">
        <v>15</v>
      </c>
      <c r="DA167" s="24"/>
      <c r="DB167" s="25"/>
      <c r="DC167" s="24"/>
      <c r="DD167" s="23">
        <v>15</v>
      </c>
      <c r="DE167" s="24"/>
      <c r="DF167" s="25"/>
      <c r="DG167" s="24"/>
      <c r="DH167" s="23">
        <v>15</v>
      </c>
      <c r="DI167" s="24"/>
      <c r="DJ167" s="25"/>
      <c r="DK167" s="24"/>
      <c r="DL167" s="23">
        <v>15</v>
      </c>
      <c r="DM167" s="24"/>
      <c r="DN167" s="25"/>
      <c r="DO167" s="24"/>
      <c r="DP167" s="340"/>
      <c r="DQ167" s="32">
        <f t="shared" si="56"/>
        <v>180</v>
      </c>
      <c r="DR167" s="32">
        <f t="shared" si="57"/>
        <v>0</v>
      </c>
      <c r="DS167" s="11"/>
      <c r="DT167" s="329"/>
      <c r="DU167" s="23">
        <v>15</v>
      </c>
      <c r="DV167" s="24"/>
      <c r="DW167" s="25"/>
      <c r="DX167" s="24"/>
      <c r="DY167" s="23">
        <v>15</v>
      </c>
      <c r="DZ167" s="24"/>
      <c r="EA167" s="25"/>
      <c r="EB167" s="24"/>
      <c r="EC167" s="23">
        <v>15</v>
      </c>
      <c r="ED167" s="24"/>
      <c r="EE167" s="25"/>
      <c r="EF167" s="24"/>
      <c r="EG167" s="23">
        <v>15</v>
      </c>
      <c r="EH167" s="24"/>
      <c r="EI167" s="25"/>
      <c r="EJ167" s="24"/>
      <c r="EK167" s="23">
        <v>15</v>
      </c>
      <c r="EL167" s="24"/>
      <c r="EM167" s="25"/>
      <c r="EN167" s="24"/>
      <c r="EO167" s="23">
        <v>15</v>
      </c>
      <c r="EP167" s="24"/>
      <c r="EQ167" s="25"/>
      <c r="ER167" s="24"/>
      <c r="ES167" s="23">
        <v>15</v>
      </c>
      <c r="ET167" s="24"/>
      <c r="EU167" s="25"/>
      <c r="EV167" s="24"/>
      <c r="EW167" s="23">
        <v>15</v>
      </c>
      <c r="EX167" s="24"/>
      <c r="EY167" s="25"/>
      <c r="EZ167" s="24"/>
      <c r="FA167" s="23">
        <v>15</v>
      </c>
      <c r="FB167" s="24"/>
      <c r="FC167" s="25"/>
      <c r="FD167" s="24"/>
      <c r="FE167" s="23">
        <v>15</v>
      </c>
      <c r="FF167" s="24"/>
      <c r="FG167" s="25"/>
      <c r="FH167" s="24"/>
      <c r="FI167" s="23">
        <v>15</v>
      </c>
      <c r="FJ167" s="24"/>
      <c r="FK167" s="25"/>
      <c r="FL167" s="24"/>
      <c r="FM167" s="23">
        <v>15</v>
      </c>
      <c r="FN167" s="24"/>
      <c r="FO167" s="25"/>
      <c r="FP167" s="24"/>
      <c r="FQ167" s="340"/>
      <c r="FR167" s="32">
        <f t="shared" si="58"/>
        <v>180</v>
      </c>
      <c r="FS167" s="32">
        <f t="shared" si="59"/>
        <v>0</v>
      </c>
      <c r="FT167" s="361"/>
    </row>
    <row r="168" spans="1:176" outlineLevel="2">
      <c r="A168" s="56" t="s">
        <v>469</v>
      </c>
      <c r="B168" s="387" t="s">
        <v>51</v>
      </c>
      <c r="C168" s="541" t="s">
        <v>72</v>
      </c>
      <c r="D168" s="565" t="s">
        <v>32</v>
      </c>
      <c r="E168" s="10">
        <f>IF(ISBLANK(G168),"",IF($A$6:$A$330=$A168,COUNTIF($A$6:A168,$A168),""))</f>
        <v>63</v>
      </c>
      <c r="F168" s="669">
        <v>1</v>
      </c>
      <c r="G168" s="129">
        <v>4757145000</v>
      </c>
      <c r="H168" s="610" t="s">
        <v>94</v>
      </c>
      <c r="I168" s="618">
        <v>0</v>
      </c>
      <c r="J168" s="618"/>
      <c r="K168" s="126"/>
      <c r="L168" s="618" t="str">
        <f t="shared" si="55"/>
        <v/>
      </c>
      <c r="M168" s="102"/>
      <c r="N168" s="305">
        <f t="shared" si="46"/>
        <v>1</v>
      </c>
      <c r="O168" s="23">
        <v>20</v>
      </c>
      <c r="P168" s="24">
        <f>SUMPRODUCT((Комплекты[Пр]=$F168)*(Комплекты[Обозначение]=$G168)*Комплекты[Кол-во]*(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0</v>
      </c>
      <c r="Q168" s="25">
        <f>SUMPRODUCT((Комплекты[Пр]=$F168)*(Комплекты[Обозначение]=$G168)*Комплекты[Кол-во]*(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0</v>
      </c>
      <c r="R168" s="24"/>
      <c r="S168" s="23">
        <v>20</v>
      </c>
      <c r="T168" s="24">
        <f>SUMPRODUCT((Комплекты[Пр]=$F168)*(Комплекты[Обозначение]=$G168)*Комплекты[Кол-во]*(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53</v>
      </c>
      <c r="U168" s="25">
        <f>SUMPRODUCT((Комплекты[Пр]=$F168)*(Комплекты[Обозначение]=$G168)*Комплекты[Кол-во]*(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53</v>
      </c>
      <c r="V168" s="24"/>
      <c r="W168" s="23">
        <v>20</v>
      </c>
      <c r="X168" s="24">
        <f>SUMPRODUCT((Комплекты[Пр]=$F168)*(Комплекты[Обозначение]=$G168)*Комплекты[Кол-во]*(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20</v>
      </c>
      <c r="Y168" s="25">
        <f>SUMPRODUCT((Комплекты[Пр]=$F168)*(Комплекты[Обозначение]=$G168)*Комплекты[Кол-во]*(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20</v>
      </c>
      <c r="Z168" s="24"/>
      <c r="AA168" s="23">
        <v>10</v>
      </c>
      <c r="AB168" s="24">
        <f>SUMPRODUCT((Комплекты[Пр]=$F168)*(Комплекты[Обозначение]=$G168)*Комплекты[Кол-во]*(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68" s="25"/>
      <c r="AD168" s="24"/>
      <c r="AE168" s="23">
        <v>10</v>
      </c>
      <c r="AF168" s="24">
        <f>SUMPRODUCT((Комплекты[Пр]=$F168)*(Комплекты[Обозначение]=$G168)*Комплекты[Кол-во]*(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68" s="25">
        <f>SUMPRODUCT((Комплекты[Пр]=$F168)*(Комплекты[Обозначение]=$G168)*Комплекты[Кол-во]*(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68" s="24"/>
      <c r="AI168" s="23">
        <v>10</v>
      </c>
      <c r="AJ168" s="24">
        <f>SUMPRODUCT((Комплекты[Пр]=$F168)*(Комплекты[Обозначение]=$G168)*Комплекты[Кол-во]*(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5</v>
      </c>
      <c r="AK168" s="25"/>
      <c r="AL168" s="24"/>
      <c r="AM168" s="23">
        <v>10</v>
      </c>
      <c r="AN168" s="24">
        <f>SUMPRODUCT((Комплекты[Пр]=$F168)*(Комплекты[Обозначение]=$G168)*Комплекты[Кол-во]*(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10</v>
      </c>
      <c r="AO168" s="25"/>
      <c r="AP168" s="24"/>
      <c r="AQ168" s="23">
        <v>10</v>
      </c>
      <c r="AR168" s="24">
        <f>SUMPRODUCT((Комплекты[Пр]=$F168)*(Комплекты[Обозначение]=$G168)*Комплекты[Кол-во]*(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10</v>
      </c>
      <c r="AS168" s="25"/>
      <c r="AT168" s="24"/>
      <c r="AU168" s="23">
        <v>10</v>
      </c>
      <c r="AV168" s="24">
        <f>SUMPRODUCT((Комплекты[Пр]=$F168)*(Комплекты[Обозначение]=$G168)*Комплекты[Кол-во]*(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68" s="25"/>
      <c r="AX168" s="24"/>
      <c r="AY168" s="23">
        <v>10</v>
      </c>
      <c r="AZ168" s="24">
        <f>SUMPRODUCT((Комплекты[Пр]=$F168)*(Комплекты[Обозначение]=$G168)*Комплекты[Кол-во]*(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10</v>
      </c>
      <c r="BA168" s="25"/>
      <c r="BB168" s="24"/>
      <c r="BC168" s="23">
        <v>10</v>
      </c>
      <c r="BD168" s="24">
        <f>SUMPRODUCT((Комплекты[Пр]=$F168)*(Комплекты[Обозначение]=$G168)*Комплекты[Кол-во]*(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10</v>
      </c>
      <c r="BE168" s="25"/>
      <c r="BF168" s="24"/>
      <c r="BG168" s="23">
        <v>10</v>
      </c>
      <c r="BH168" s="24">
        <f>SUMPRODUCT((Комплекты[Пр]=$F168)*(Комплекты[Обозначение]=$G168)*Комплекты[Кол-во]*(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10</v>
      </c>
      <c r="BI168" s="25"/>
      <c r="BJ168" s="24"/>
      <c r="BK168" s="340"/>
      <c r="BL168" s="32">
        <f t="shared" si="47"/>
        <v>150</v>
      </c>
      <c r="BM168" s="32">
        <f t="shared" si="48"/>
        <v>0</v>
      </c>
      <c r="BN168" s="28">
        <f t="shared" si="49"/>
        <v>128</v>
      </c>
      <c r="BO168" s="29">
        <f t="shared" si="50"/>
        <v>0</v>
      </c>
      <c r="BP168" s="30">
        <f t="shared" si="51"/>
        <v>73</v>
      </c>
      <c r="BQ168" s="31">
        <f t="shared" si="52"/>
        <v>0</v>
      </c>
      <c r="BR168" s="11"/>
      <c r="BS168" s="329"/>
      <c r="BT168" s="23">
        <v>15</v>
      </c>
      <c r="BU168" s="24"/>
      <c r="BV168" s="25"/>
      <c r="BW168" s="24"/>
      <c r="BX168" s="23">
        <v>15</v>
      </c>
      <c r="BY168" s="24"/>
      <c r="BZ168" s="25"/>
      <c r="CA168" s="24"/>
      <c r="CB168" s="23">
        <v>15</v>
      </c>
      <c r="CC168" s="24"/>
      <c r="CD168" s="25"/>
      <c r="CE168" s="24"/>
      <c r="CF168" s="23">
        <v>15</v>
      </c>
      <c r="CG168" s="24"/>
      <c r="CH168" s="25"/>
      <c r="CI168" s="24"/>
      <c r="CJ168" s="23">
        <v>15</v>
      </c>
      <c r="CK168" s="24"/>
      <c r="CL168" s="25"/>
      <c r="CM168" s="24"/>
      <c r="CN168" s="23">
        <v>15</v>
      </c>
      <c r="CO168" s="24"/>
      <c r="CP168" s="25"/>
      <c r="CQ168" s="24"/>
      <c r="CR168" s="23">
        <v>15</v>
      </c>
      <c r="CS168" s="24"/>
      <c r="CT168" s="25"/>
      <c r="CU168" s="24"/>
      <c r="CV168" s="23">
        <v>15</v>
      </c>
      <c r="CW168" s="24"/>
      <c r="CX168" s="25"/>
      <c r="CY168" s="24"/>
      <c r="CZ168" s="23">
        <v>15</v>
      </c>
      <c r="DA168" s="24"/>
      <c r="DB168" s="25"/>
      <c r="DC168" s="24"/>
      <c r="DD168" s="23">
        <v>15</v>
      </c>
      <c r="DE168" s="24"/>
      <c r="DF168" s="25"/>
      <c r="DG168" s="24"/>
      <c r="DH168" s="23">
        <v>15</v>
      </c>
      <c r="DI168" s="24"/>
      <c r="DJ168" s="25"/>
      <c r="DK168" s="24"/>
      <c r="DL168" s="23">
        <v>15</v>
      </c>
      <c r="DM168" s="24"/>
      <c r="DN168" s="25"/>
      <c r="DO168" s="24"/>
      <c r="DP168" s="340"/>
      <c r="DQ168" s="32">
        <f t="shared" si="56"/>
        <v>180</v>
      </c>
      <c r="DR168" s="32">
        <f t="shared" si="57"/>
        <v>0</v>
      </c>
      <c r="DS168" s="11"/>
      <c r="DT168" s="329"/>
      <c r="DU168" s="23">
        <v>15</v>
      </c>
      <c r="DV168" s="24"/>
      <c r="DW168" s="25"/>
      <c r="DX168" s="24"/>
      <c r="DY168" s="23">
        <v>15</v>
      </c>
      <c r="DZ168" s="24"/>
      <c r="EA168" s="25"/>
      <c r="EB168" s="24"/>
      <c r="EC168" s="23">
        <v>15</v>
      </c>
      <c r="ED168" s="24"/>
      <c r="EE168" s="25"/>
      <c r="EF168" s="24"/>
      <c r="EG168" s="23">
        <v>15</v>
      </c>
      <c r="EH168" s="24"/>
      <c r="EI168" s="25"/>
      <c r="EJ168" s="24"/>
      <c r="EK168" s="23">
        <v>15</v>
      </c>
      <c r="EL168" s="24"/>
      <c r="EM168" s="25"/>
      <c r="EN168" s="24"/>
      <c r="EO168" s="23">
        <v>15</v>
      </c>
      <c r="EP168" s="24"/>
      <c r="EQ168" s="25"/>
      <c r="ER168" s="24"/>
      <c r="ES168" s="23">
        <v>15</v>
      </c>
      <c r="ET168" s="24"/>
      <c r="EU168" s="25"/>
      <c r="EV168" s="24"/>
      <c r="EW168" s="23">
        <v>15</v>
      </c>
      <c r="EX168" s="24"/>
      <c r="EY168" s="25"/>
      <c r="EZ168" s="24"/>
      <c r="FA168" s="23">
        <v>15</v>
      </c>
      <c r="FB168" s="24"/>
      <c r="FC168" s="25"/>
      <c r="FD168" s="24"/>
      <c r="FE168" s="23">
        <v>15</v>
      </c>
      <c r="FF168" s="24"/>
      <c r="FG168" s="25"/>
      <c r="FH168" s="24"/>
      <c r="FI168" s="23">
        <v>15</v>
      </c>
      <c r="FJ168" s="24"/>
      <c r="FK168" s="25"/>
      <c r="FL168" s="24"/>
      <c r="FM168" s="23">
        <v>15</v>
      </c>
      <c r="FN168" s="24"/>
      <c r="FO168" s="25"/>
      <c r="FP168" s="24"/>
      <c r="FQ168" s="340"/>
      <c r="FR168" s="32">
        <f t="shared" si="58"/>
        <v>180</v>
      </c>
      <c r="FS168" s="32">
        <f t="shared" si="59"/>
        <v>0</v>
      </c>
      <c r="FT168" s="361"/>
    </row>
    <row r="169" spans="1:176" outlineLevel="2">
      <c r="A169" s="413" t="s">
        <v>469</v>
      </c>
      <c r="B169" s="444" t="s">
        <v>51</v>
      </c>
      <c r="C169" s="587" t="s">
        <v>72</v>
      </c>
      <c r="D169" s="580" t="s">
        <v>32</v>
      </c>
      <c r="E169" s="414">
        <f>IF(ISBLANK(G169),"",IF($A$6:$A$330=$A169,COUNTIF($A$6:A169,$A169),""))</f>
        <v>64</v>
      </c>
      <c r="F169" s="670">
        <v>1</v>
      </c>
      <c r="G169" s="501">
        <v>4491731500</v>
      </c>
      <c r="H169" s="611" t="s">
        <v>77</v>
      </c>
      <c r="I169" s="618">
        <v>0</v>
      </c>
      <c r="J169" s="619"/>
      <c r="K169" s="321"/>
      <c r="L169" s="619"/>
      <c r="M169" s="305"/>
      <c r="N169" s="305">
        <f t="shared" si="46"/>
        <v>1</v>
      </c>
      <c r="O169" s="322"/>
      <c r="P169" s="408">
        <f>SUMPRODUCT((Комплекты[Пр]=$F169)*(Комплекты[Обозначение]=$G169)*Комплекты[Кол-во]*(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11</v>
      </c>
      <c r="Q169" s="307">
        <f>SUMPRODUCT((Комплекты[Пр]=$F169)*(Комплекты[Обозначение]=$G169)*Комплекты[Кол-во]*(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11</v>
      </c>
      <c r="R169" s="408"/>
      <c r="S169" s="322"/>
      <c r="T169" s="408">
        <f>SUMPRODUCT((Комплекты[Пр]=$F169)*(Комплекты[Обозначение]=$G169)*Комплекты[Кол-во]*(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13</v>
      </c>
      <c r="U169" s="307">
        <f>SUMPRODUCT((Комплекты[Пр]=$F169)*(Комплекты[Обозначение]=$G169)*Комплекты[Кол-во]*(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13</v>
      </c>
      <c r="V169" s="408"/>
      <c r="W169" s="322"/>
      <c r="X169" s="408">
        <f>SUMPRODUCT((Комплекты[Пр]=$F169)*(Комплекты[Обозначение]=$G169)*Комплекты[Кол-во]*(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69" s="307">
        <f>SUMPRODUCT((Комплекты[Пр]=$F169)*(Комплекты[Обозначение]=$G169)*Комплекты[Кол-во]*(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69" s="408"/>
      <c r="AA169" s="322"/>
      <c r="AB169" s="408">
        <f>SUMPRODUCT((Комплекты[Пр]=$F169)*(Комплекты[Обозначение]=$G169)*Комплекты[Кол-во]*(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24</v>
      </c>
      <c r="AC169" s="307"/>
      <c r="AD169" s="408"/>
      <c r="AE169" s="322"/>
      <c r="AF169" s="408">
        <f>SUMPRODUCT((Комплекты[Пр]=$F169)*(Комплекты[Обозначение]=$G169)*Комплекты[Кол-во]*(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28</v>
      </c>
      <c r="AG169" s="307">
        <f>SUMPRODUCT((Комплекты[Пр]=$F169)*(Комплекты[Обозначение]=$G169)*Комплекты[Кол-во]*(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28</v>
      </c>
      <c r="AH169" s="408"/>
      <c r="AI169" s="322"/>
      <c r="AJ169" s="408">
        <f>SUMPRODUCT((Комплекты[Пр]=$F169)*(Комплекты[Обозначение]=$G169)*Комплекты[Кол-во]*(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33</v>
      </c>
      <c r="AK169" s="307"/>
      <c r="AL169" s="408"/>
      <c r="AM169" s="322"/>
      <c r="AN169" s="408">
        <f>SUMPRODUCT((Комплекты[Пр]=$F169)*(Комплекты[Обозначение]=$G169)*Комплекты[Кол-во]*(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30</v>
      </c>
      <c r="AO169" s="307"/>
      <c r="AP169" s="408"/>
      <c r="AQ169" s="322"/>
      <c r="AR169" s="408">
        <f>SUMPRODUCT((Комплекты[Пр]=$F169)*(Комплекты[Обозначение]=$G169)*Комплекты[Кол-во]*(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35</v>
      </c>
      <c r="AS169" s="307"/>
      <c r="AT169" s="408"/>
      <c r="AU169" s="322"/>
      <c r="AV169" s="408">
        <f>SUMPRODUCT((Комплекты[Пр]=$F169)*(Комплекты[Обозначение]=$G169)*Комплекты[Кол-во]*(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20</v>
      </c>
      <c r="AW169" s="307"/>
      <c r="AX169" s="408"/>
      <c r="AY169" s="322"/>
      <c r="AZ169" s="408">
        <f>SUMPRODUCT((Комплекты[Пр]=$F169)*(Комплекты[Обозначение]=$G169)*Комплекты[Кол-во]*(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69" s="307"/>
      <c r="BB169" s="408"/>
      <c r="BC169" s="322"/>
      <c r="BD169" s="408">
        <f>SUMPRODUCT((Комплекты[Пр]=$F169)*(Комплекты[Обозначение]=$G169)*Комплекты[Кол-во]*(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69" s="307"/>
      <c r="BF169" s="408"/>
      <c r="BG169" s="322"/>
      <c r="BH169" s="408">
        <f>SUMPRODUCT((Комплекты[Пр]=$F169)*(Комплекты[Обозначение]=$G169)*Комплекты[Кол-во]*(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69" s="307"/>
      <c r="BJ169" s="408"/>
      <c r="BK169" s="340"/>
      <c r="BL169" s="328">
        <f t="shared" si="47"/>
        <v>0</v>
      </c>
      <c r="BM169" s="328">
        <f t="shared" si="48"/>
        <v>0</v>
      </c>
      <c r="BN169" s="324">
        <f t="shared" si="49"/>
        <v>254</v>
      </c>
      <c r="BO169" s="325">
        <f t="shared" si="50"/>
        <v>0</v>
      </c>
      <c r="BP169" s="326">
        <f t="shared" si="51"/>
        <v>52</v>
      </c>
      <c r="BQ169" s="327">
        <f t="shared" si="52"/>
        <v>0</v>
      </c>
      <c r="BR169" s="329"/>
      <c r="BS169" s="329"/>
      <c r="BT169" s="322"/>
      <c r="BU169" s="408"/>
      <c r="BV169" s="307"/>
      <c r="BW169" s="408"/>
      <c r="BX169" s="322"/>
      <c r="BY169" s="408"/>
      <c r="BZ169" s="307"/>
      <c r="CA169" s="408"/>
      <c r="CB169" s="322"/>
      <c r="CC169" s="408"/>
      <c r="CD169" s="307"/>
      <c r="CE169" s="408"/>
      <c r="CF169" s="322"/>
      <c r="CG169" s="408"/>
      <c r="CH169" s="307"/>
      <c r="CI169" s="408"/>
      <c r="CJ169" s="322"/>
      <c r="CK169" s="408"/>
      <c r="CL169" s="307"/>
      <c r="CM169" s="408"/>
      <c r="CN169" s="322"/>
      <c r="CO169" s="408"/>
      <c r="CP169" s="307"/>
      <c r="CQ169" s="408"/>
      <c r="CR169" s="322"/>
      <c r="CS169" s="408"/>
      <c r="CT169" s="307"/>
      <c r="CU169" s="408"/>
      <c r="CV169" s="322"/>
      <c r="CW169" s="408"/>
      <c r="CX169" s="307"/>
      <c r="CY169" s="408"/>
      <c r="CZ169" s="322"/>
      <c r="DA169" s="408"/>
      <c r="DB169" s="307"/>
      <c r="DC169" s="408"/>
      <c r="DD169" s="322"/>
      <c r="DE169" s="408"/>
      <c r="DF169" s="307"/>
      <c r="DG169" s="408"/>
      <c r="DH169" s="322"/>
      <c r="DI169" s="408"/>
      <c r="DJ169" s="307"/>
      <c r="DK169" s="408"/>
      <c r="DL169" s="322"/>
      <c r="DM169" s="408"/>
      <c r="DN169" s="307"/>
      <c r="DO169" s="408"/>
      <c r="DP169" s="340"/>
      <c r="DQ169" s="328"/>
      <c r="DR169" s="328">
        <f t="shared" si="57"/>
        <v>0</v>
      </c>
      <c r="DS169" s="329"/>
      <c r="DT169" s="329"/>
      <c r="DU169" s="322"/>
      <c r="DV169" s="408"/>
      <c r="DW169" s="307"/>
      <c r="DX169" s="408"/>
      <c r="DY169" s="322"/>
      <c r="DZ169" s="408"/>
      <c r="EA169" s="307"/>
      <c r="EB169" s="408"/>
      <c r="EC169" s="322"/>
      <c r="ED169" s="408"/>
      <c r="EE169" s="307"/>
      <c r="EF169" s="408"/>
      <c r="EG169" s="322"/>
      <c r="EH169" s="408"/>
      <c r="EI169" s="307"/>
      <c r="EJ169" s="408"/>
      <c r="EK169" s="322"/>
      <c r="EL169" s="408"/>
      <c r="EM169" s="307"/>
      <c r="EN169" s="408"/>
      <c r="EO169" s="322"/>
      <c r="EP169" s="408"/>
      <c r="EQ169" s="307"/>
      <c r="ER169" s="408"/>
      <c r="ES169" s="322"/>
      <c r="ET169" s="408"/>
      <c r="EU169" s="307"/>
      <c r="EV169" s="408"/>
      <c r="EW169" s="322"/>
      <c r="EX169" s="408"/>
      <c r="EY169" s="307"/>
      <c r="EZ169" s="408"/>
      <c r="FA169" s="322"/>
      <c r="FB169" s="408"/>
      <c r="FC169" s="307"/>
      <c r="FD169" s="408"/>
      <c r="FE169" s="322"/>
      <c r="FF169" s="408"/>
      <c r="FG169" s="307"/>
      <c r="FH169" s="408"/>
      <c r="FI169" s="322"/>
      <c r="FJ169" s="408"/>
      <c r="FK169" s="307"/>
      <c r="FL169" s="408"/>
      <c r="FM169" s="322"/>
      <c r="FN169" s="408"/>
      <c r="FO169" s="307"/>
      <c r="FP169" s="408"/>
      <c r="FQ169" s="340"/>
      <c r="FR169" s="328"/>
      <c r="FS169" s="328">
        <f t="shared" si="59"/>
        <v>0</v>
      </c>
      <c r="FT169" s="361"/>
    </row>
    <row r="170" spans="1:176" outlineLevel="2">
      <c r="A170" s="413" t="s">
        <v>469</v>
      </c>
      <c r="B170" s="444" t="s">
        <v>51</v>
      </c>
      <c r="C170" s="587" t="s">
        <v>72</v>
      </c>
      <c r="D170" s="580" t="s">
        <v>32</v>
      </c>
      <c r="E170" s="414">
        <f>IF(ISBLANK(G170),"",IF($A$6:$A$330=$A170,COUNTIF($A$6:A170,$A170),""))</f>
        <v>65</v>
      </c>
      <c r="F170" s="670">
        <v>1</v>
      </c>
      <c r="G170" s="501">
        <v>4497230500</v>
      </c>
      <c r="H170" s="611" t="s">
        <v>357</v>
      </c>
      <c r="I170" s="618">
        <v>0</v>
      </c>
      <c r="J170" s="619"/>
      <c r="K170" s="321"/>
      <c r="L170" s="619"/>
      <c r="M170" s="305"/>
      <c r="N170" s="305">
        <f t="shared" si="46"/>
        <v>1</v>
      </c>
      <c r="O170" s="322"/>
      <c r="P170" s="408">
        <f>SUMPRODUCT((Комплекты[Пр]=$F170)*(Комплекты[Обозначение]=$G170)*Комплекты[Кол-во]*(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22</v>
      </c>
      <c r="Q170" s="307">
        <f>SUMPRODUCT((Комплекты[Пр]=$F170)*(Комплекты[Обозначение]=$G170)*Комплекты[Кол-во]*(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22</v>
      </c>
      <c r="R170" s="408"/>
      <c r="S170" s="322"/>
      <c r="T170" s="408">
        <f>SUMPRODUCT((Комплекты[Пр]=$F170)*(Комплекты[Обозначение]=$G170)*Комплекты[Кол-во]*(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26</v>
      </c>
      <c r="U170" s="307">
        <f>SUMPRODUCT((Комплекты[Пр]=$F170)*(Комплекты[Обозначение]=$G170)*Комплекты[Кол-во]*(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26</v>
      </c>
      <c r="V170" s="408"/>
      <c r="W170" s="322"/>
      <c r="X170" s="408">
        <f>SUMPRODUCT((Комплекты[Пр]=$F170)*(Комплекты[Обозначение]=$G170)*Комплекты[Кол-во]*(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70" s="307">
        <f>SUMPRODUCT((Комплекты[Пр]=$F170)*(Комплекты[Обозначение]=$G170)*Комплекты[Кол-во]*(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70" s="408"/>
      <c r="AA170" s="322"/>
      <c r="AB170" s="408">
        <f>SUMPRODUCT((Комплекты[Пр]=$F170)*(Комплекты[Обозначение]=$G170)*Комплекты[Кол-во]*(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48</v>
      </c>
      <c r="AC170" s="307"/>
      <c r="AD170" s="408"/>
      <c r="AE170" s="322"/>
      <c r="AF170" s="408">
        <f>SUMPRODUCT((Комплекты[Пр]=$F170)*(Комплекты[Обозначение]=$G170)*Комплекты[Кол-во]*(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56</v>
      </c>
      <c r="AG170" s="307">
        <f>SUMPRODUCT((Комплекты[Пр]=$F170)*(Комплекты[Обозначение]=$G170)*Комплекты[Кол-во]*(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56</v>
      </c>
      <c r="AH170" s="408"/>
      <c r="AI170" s="322"/>
      <c r="AJ170" s="408">
        <f>SUMPRODUCT((Комплекты[Пр]=$F170)*(Комплекты[Обозначение]=$G170)*Комплекты[Кол-во]*(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66</v>
      </c>
      <c r="AK170" s="307"/>
      <c r="AL170" s="408"/>
      <c r="AM170" s="322"/>
      <c r="AN170" s="408">
        <f>SUMPRODUCT((Комплекты[Пр]=$F170)*(Комплекты[Обозначение]=$G170)*Комплекты[Кол-во]*(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60</v>
      </c>
      <c r="AO170" s="307"/>
      <c r="AP170" s="408"/>
      <c r="AQ170" s="322"/>
      <c r="AR170" s="408">
        <f>SUMPRODUCT((Комплекты[Пр]=$F170)*(Комплекты[Обозначение]=$G170)*Комплекты[Кол-во]*(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70</v>
      </c>
      <c r="AS170" s="307"/>
      <c r="AT170" s="408"/>
      <c r="AU170" s="322"/>
      <c r="AV170" s="408">
        <f>SUMPRODUCT((Комплекты[Пр]=$F170)*(Комплекты[Обозначение]=$G170)*Комплекты[Кол-во]*(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40</v>
      </c>
      <c r="AW170" s="307"/>
      <c r="AX170" s="408"/>
      <c r="AY170" s="322"/>
      <c r="AZ170" s="408">
        <f>SUMPRODUCT((Комплекты[Пр]=$F170)*(Комплекты[Обозначение]=$G170)*Комплекты[Кол-во]*(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40</v>
      </c>
      <c r="BA170" s="307"/>
      <c r="BB170" s="408"/>
      <c r="BC170" s="322"/>
      <c r="BD170" s="408">
        <f>SUMPRODUCT((Комплекты[Пр]=$F170)*(Комплекты[Обозначение]=$G170)*Комплекты[Кол-во]*(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40</v>
      </c>
      <c r="BE170" s="307"/>
      <c r="BF170" s="408"/>
      <c r="BG170" s="322"/>
      <c r="BH170" s="408">
        <f>SUMPRODUCT((Комплекты[Пр]=$F170)*(Комплекты[Обозначение]=$G170)*Комплекты[Кол-во]*(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40</v>
      </c>
      <c r="BI170" s="307"/>
      <c r="BJ170" s="408"/>
      <c r="BK170" s="340"/>
      <c r="BL170" s="328">
        <f t="shared" si="47"/>
        <v>0</v>
      </c>
      <c r="BM170" s="328">
        <f t="shared" si="48"/>
        <v>0</v>
      </c>
      <c r="BN170" s="324">
        <f t="shared" si="49"/>
        <v>508</v>
      </c>
      <c r="BO170" s="325">
        <f t="shared" si="50"/>
        <v>0</v>
      </c>
      <c r="BP170" s="326">
        <f t="shared" si="51"/>
        <v>104</v>
      </c>
      <c r="BQ170" s="327">
        <f t="shared" si="52"/>
        <v>0</v>
      </c>
      <c r="BR170" s="329"/>
      <c r="BS170" s="329"/>
      <c r="BT170" s="322"/>
      <c r="BU170" s="408"/>
      <c r="BV170" s="307"/>
      <c r="BW170" s="408"/>
      <c r="BX170" s="322"/>
      <c r="BY170" s="408"/>
      <c r="BZ170" s="307"/>
      <c r="CA170" s="408"/>
      <c r="CB170" s="322"/>
      <c r="CC170" s="408"/>
      <c r="CD170" s="307"/>
      <c r="CE170" s="408"/>
      <c r="CF170" s="322"/>
      <c r="CG170" s="408"/>
      <c r="CH170" s="307"/>
      <c r="CI170" s="408"/>
      <c r="CJ170" s="322"/>
      <c r="CK170" s="408"/>
      <c r="CL170" s="307"/>
      <c r="CM170" s="408"/>
      <c r="CN170" s="322"/>
      <c r="CO170" s="408"/>
      <c r="CP170" s="307"/>
      <c r="CQ170" s="408"/>
      <c r="CR170" s="322"/>
      <c r="CS170" s="408"/>
      <c r="CT170" s="307"/>
      <c r="CU170" s="408"/>
      <c r="CV170" s="322"/>
      <c r="CW170" s="408"/>
      <c r="CX170" s="307"/>
      <c r="CY170" s="408"/>
      <c r="CZ170" s="322"/>
      <c r="DA170" s="408"/>
      <c r="DB170" s="307"/>
      <c r="DC170" s="408"/>
      <c r="DD170" s="322"/>
      <c r="DE170" s="408"/>
      <c r="DF170" s="307"/>
      <c r="DG170" s="408"/>
      <c r="DH170" s="322"/>
      <c r="DI170" s="408"/>
      <c r="DJ170" s="307"/>
      <c r="DK170" s="408"/>
      <c r="DL170" s="322"/>
      <c r="DM170" s="408"/>
      <c r="DN170" s="307"/>
      <c r="DO170" s="408"/>
      <c r="DP170" s="340"/>
      <c r="DQ170" s="328"/>
      <c r="DR170" s="328">
        <f t="shared" si="57"/>
        <v>0</v>
      </c>
      <c r="DS170" s="329"/>
      <c r="DT170" s="329"/>
      <c r="DU170" s="322"/>
      <c r="DV170" s="408"/>
      <c r="DW170" s="307"/>
      <c r="DX170" s="408"/>
      <c r="DY170" s="322"/>
      <c r="DZ170" s="408"/>
      <c r="EA170" s="307"/>
      <c r="EB170" s="408"/>
      <c r="EC170" s="322"/>
      <c r="ED170" s="408"/>
      <c r="EE170" s="307"/>
      <c r="EF170" s="408"/>
      <c r="EG170" s="322"/>
      <c r="EH170" s="408"/>
      <c r="EI170" s="307"/>
      <c r="EJ170" s="408"/>
      <c r="EK170" s="322"/>
      <c r="EL170" s="408"/>
      <c r="EM170" s="307"/>
      <c r="EN170" s="408"/>
      <c r="EO170" s="322"/>
      <c r="EP170" s="408"/>
      <c r="EQ170" s="307"/>
      <c r="ER170" s="408"/>
      <c r="ES170" s="322"/>
      <c r="ET170" s="408"/>
      <c r="EU170" s="307"/>
      <c r="EV170" s="408"/>
      <c r="EW170" s="322"/>
      <c r="EX170" s="408"/>
      <c r="EY170" s="307"/>
      <c r="EZ170" s="408"/>
      <c r="FA170" s="322"/>
      <c r="FB170" s="408"/>
      <c r="FC170" s="307"/>
      <c r="FD170" s="408"/>
      <c r="FE170" s="322"/>
      <c r="FF170" s="408"/>
      <c r="FG170" s="307"/>
      <c r="FH170" s="408"/>
      <c r="FI170" s="322"/>
      <c r="FJ170" s="408"/>
      <c r="FK170" s="307"/>
      <c r="FL170" s="408"/>
      <c r="FM170" s="322"/>
      <c r="FN170" s="408"/>
      <c r="FO170" s="307"/>
      <c r="FP170" s="408"/>
      <c r="FQ170" s="340"/>
      <c r="FR170" s="328"/>
      <c r="FS170" s="328">
        <f t="shared" si="59"/>
        <v>0</v>
      </c>
      <c r="FT170" s="361"/>
    </row>
    <row r="171" spans="1:176" outlineLevel="2">
      <c r="A171" s="413" t="s">
        <v>469</v>
      </c>
      <c r="B171" s="444" t="s">
        <v>51</v>
      </c>
      <c r="C171" s="587" t="s">
        <v>72</v>
      </c>
      <c r="D171" s="580" t="s">
        <v>32</v>
      </c>
      <c r="E171" s="414">
        <f>IF(ISBLANK(G171),"",IF($A$6:$A$330=$A171,COUNTIF($A$6:A171,$A171),""))</f>
        <v>66</v>
      </c>
      <c r="F171" s="670">
        <v>1</v>
      </c>
      <c r="G171" s="501">
        <v>4801020640</v>
      </c>
      <c r="H171" s="611" t="s">
        <v>124</v>
      </c>
      <c r="I171" s="618">
        <v>0</v>
      </c>
      <c r="J171" s="619"/>
      <c r="K171" s="321"/>
      <c r="L171" s="619"/>
      <c r="M171" s="305"/>
      <c r="N171" s="305">
        <f t="shared" si="46"/>
        <v>1</v>
      </c>
      <c r="O171" s="322"/>
      <c r="P171" s="408">
        <f>SUMPRODUCT((Комплекты[Пр]=$F171)*(Комплекты[Обозначение]=$G171)*Комплекты[Кол-во]*(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11</v>
      </c>
      <c r="Q171" s="307">
        <f>SUMPRODUCT((Комплекты[Пр]=$F171)*(Комплекты[Обозначение]=$G171)*Комплекты[Кол-во]*(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11</v>
      </c>
      <c r="R171" s="408"/>
      <c r="S171" s="322"/>
      <c r="T171" s="408">
        <f>SUMPRODUCT((Комплекты[Пр]=$F171)*(Комплекты[Обозначение]=$G171)*Комплекты[Кол-во]*(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13</v>
      </c>
      <c r="U171" s="307">
        <f>SUMPRODUCT((Комплекты[Пр]=$F171)*(Комплекты[Обозначение]=$G171)*Комплекты[Кол-во]*(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13</v>
      </c>
      <c r="V171" s="408"/>
      <c r="W171" s="322"/>
      <c r="X171" s="408">
        <f>SUMPRODUCT((Комплекты[Пр]=$F171)*(Комплекты[Обозначение]=$G171)*Комплекты[Кол-во]*(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71" s="307">
        <f>SUMPRODUCT((Комплекты[Пр]=$F171)*(Комплекты[Обозначение]=$G171)*Комплекты[Кол-во]*(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71" s="408"/>
      <c r="AA171" s="322"/>
      <c r="AB171" s="408">
        <f>SUMPRODUCT((Комплекты[Пр]=$F171)*(Комплекты[Обозначение]=$G171)*Комплекты[Кол-во]*(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24</v>
      </c>
      <c r="AC171" s="307"/>
      <c r="AD171" s="408"/>
      <c r="AE171" s="322"/>
      <c r="AF171" s="408">
        <f>SUMPRODUCT((Комплекты[Пр]=$F171)*(Комплекты[Обозначение]=$G171)*Комплекты[Кол-во]*(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28</v>
      </c>
      <c r="AG171" s="307">
        <f>SUMPRODUCT((Комплекты[Пр]=$F171)*(Комплекты[Обозначение]=$G171)*Комплекты[Кол-во]*(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28</v>
      </c>
      <c r="AH171" s="408"/>
      <c r="AI171" s="322"/>
      <c r="AJ171" s="408">
        <f>SUMPRODUCT((Комплекты[Пр]=$F171)*(Комплекты[Обозначение]=$G171)*Комплекты[Кол-во]*(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33</v>
      </c>
      <c r="AK171" s="307"/>
      <c r="AL171" s="408"/>
      <c r="AM171" s="322"/>
      <c r="AN171" s="408">
        <f>SUMPRODUCT((Комплекты[Пр]=$F171)*(Комплекты[Обозначение]=$G171)*Комплекты[Кол-во]*(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30</v>
      </c>
      <c r="AO171" s="307"/>
      <c r="AP171" s="408"/>
      <c r="AQ171" s="322"/>
      <c r="AR171" s="408">
        <f>SUMPRODUCT((Комплекты[Пр]=$F171)*(Комплекты[Обозначение]=$G171)*Комплекты[Кол-во]*(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35</v>
      </c>
      <c r="AS171" s="307"/>
      <c r="AT171" s="408"/>
      <c r="AU171" s="322"/>
      <c r="AV171" s="408">
        <f>SUMPRODUCT((Комплекты[Пр]=$F171)*(Комплекты[Обозначение]=$G171)*Комплекты[Кол-во]*(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20</v>
      </c>
      <c r="AW171" s="307"/>
      <c r="AX171" s="408"/>
      <c r="AY171" s="322"/>
      <c r="AZ171" s="408">
        <f>SUMPRODUCT((Комплекты[Пр]=$F171)*(Комплекты[Обозначение]=$G171)*Комплекты[Кол-во]*(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71" s="307"/>
      <c r="BB171" s="408"/>
      <c r="BC171" s="322"/>
      <c r="BD171" s="408">
        <f>SUMPRODUCT((Комплекты[Пр]=$F171)*(Комплекты[Обозначение]=$G171)*Комплекты[Кол-во]*(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71" s="307"/>
      <c r="BF171" s="408"/>
      <c r="BG171" s="322"/>
      <c r="BH171" s="408">
        <f>SUMPRODUCT((Комплекты[Пр]=$F171)*(Комплекты[Обозначение]=$G171)*Комплекты[Кол-во]*(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71" s="307"/>
      <c r="BJ171" s="408"/>
      <c r="BK171" s="340"/>
      <c r="BL171" s="328">
        <f t="shared" si="47"/>
        <v>0</v>
      </c>
      <c r="BM171" s="328">
        <f t="shared" si="48"/>
        <v>0</v>
      </c>
      <c r="BN171" s="324">
        <f t="shared" si="49"/>
        <v>254</v>
      </c>
      <c r="BO171" s="325">
        <f t="shared" si="50"/>
        <v>0</v>
      </c>
      <c r="BP171" s="326">
        <f t="shared" si="51"/>
        <v>52</v>
      </c>
      <c r="BQ171" s="327">
        <f t="shared" si="52"/>
        <v>0</v>
      </c>
      <c r="BR171" s="329"/>
      <c r="BS171" s="329"/>
      <c r="BT171" s="322"/>
      <c r="BU171" s="408"/>
      <c r="BV171" s="307"/>
      <c r="BW171" s="408"/>
      <c r="BX171" s="322"/>
      <c r="BY171" s="408"/>
      <c r="BZ171" s="307"/>
      <c r="CA171" s="408"/>
      <c r="CB171" s="322"/>
      <c r="CC171" s="408"/>
      <c r="CD171" s="307"/>
      <c r="CE171" s="408"/>
      <c r="CF171" s="322"/>
      <c r="CG171" s="408"/>
      <c r="CH171" s="307"/>
      <c r="CI171" s="408"/>
      <c r="CJ171" s="322"/>
      <c r="CK171" s="408"/>
      <c r="CL171" s="307"/>
      <c r="CM171" s="408"/>
      <c r="CN171" s="322"/>
      <c r="CO171" s="408"/>
      <c r="CP171" s="307"/>
      <c r="CQ171" s="408"/>
      <c r="CR171" s="322"/>
      <c r="CS171" s="408"/>
      <c r="CT171" s="307"/>
      <c r="CU171" s="408"/>
      <c r="CV171" s="322"/>
      <c r="CW171" s="408"/>
      <c r="CX171" s="307"/>
      <c r="CY171" s="408"/>
      <c r="CZ171" s="322"/>
      <c r="DA171" s="408"/>
      <c r="DB171" s="307"/>
      <c r="DC171" s="408"/>
      <c r="DD171" s="322"/>
      <c r="DE171" s="408"/>
      <c r="DF171" s="307"/>
      <c r="DG171" s="408"/>
      <c r="DH171" s="322"/>
      <c r="DI171" s="408"/>
      <c r="DJ171" s="307"/>
      <c r="DK171" s="408"/>
      <c r="DL171" s="322"/>
      <c r="DM171" s="408"/>
      <c r="DN171" s="307"/>
      <c r="DO171" s="408"/>
      <c r="DP171" s="340"/>
      <c r="DQ171" s="328"/>
      <c r="DR171" s="328">
        <f t="shared" si="57"/>
        <v>0</v>
      </c>
      <c r="DS171" s="329"/>
      <c r="DT171" s="329"/>
      <c r="DU171" s="322"/>
      <c r="DV171" s="408"/>
      <c r="DW171" s="307"/>
      <c r="DX171" s="408"/>
      <c r="DY171" s="322"/>
      <c r="DZ171" s="408"/>
      <c r="EA171" s="307"/>
      <c r="EB171" s="408"/>
      <c r="EC171" s="322"/>
      <c r="ED171" s="408"/>
      <c r="EE171" s="307"/>
      <c r="EF171" s="408"/>
      <c r="EG171" s="322"/>
      <c r="EH171" s="408"/>
      <c r="EI171" s="307"/>
      <c r="EJ171" s="408"/>
      <c r="EK171" s="322"/>
      <c r="EL171" s="408"/>
      <c r="EM171" s="307"/>
      <c r="EN171" s="408"/>
      <c r="EO171" s="322"/>
      <c r="EP171" s="408"/>
      <c r="EQ171" s="307"/>
      <c r="ER171" s="408"/>
      <c r="ES171" s="322"/>
      <c r="ET171" s="408"/>
      <c r="EU171" s="307"/>
      <c r="EV171" s="408"/>
      <c r="EW171" s="322"/>
      <c r="EX171" s="408"/>
      <c r="EY171" s="307"/>
      <c r="EZ171" s="408"/>
      <c r="FA171" s="322"/>
      <c r="FB171" s="408"/>
      <c r="FC171" s="307"/>
      <c r="FD171" s="408"/>
      <c r="FE171" s="322"/>
      <c r="FF171" s="408"/>
      <c r="FG171" s="307"/>
      <c r="FH171" s="408"/>
      <c r="FI171" s="322"/>
      <c r="FJ171" s="408"/>
      <c r="FK171" s="307"/>
      <c r="FL171" s="408"/>
      <c r="FM171" s="322"/>
      <c r="FN171" s="408"/>
      <c r="FO171" s="307"/>
      <c r="FP171" s="408"/>
      <c r="FQ171" s="340"/>
      <c r="FR171" s="328"/>
      <c r="FS171" s="328">
        <f t="shared" si="59"/>
        <v>0</v>
      </c>
      <c r="FT171" s="361"/>
    </row>
    <row r="172" spans="1:176" outlineLevel="2">
      <c r="A172" s="413" t="s">
        <v>469</v>
      </c>
      <c r="B172" s="444" t="s">
        <v>51</v>
      </c>
      <c r="C172" s="587" t="s">
        <v>72</v>
      </c>
      <c r="D172" s="580" t="s">
        <v>32</v>
      </c>
      <c r="E172" s="414">
        <f>IF(ISBLANK(G172),"",IF($A$6:$A$330=$A172,COUNTIF($A$6:A172,$A172),""))</f>
        <v>67</v>
      </c>
      <c r="F172" s="670">
        <v>1</v>
      </c>
      <c r="G172" s="501">
        <v>9522010010</v>
      </c>
      <c r="H172" s="611" t="s">
        <v>73</v>
      </c>
      <c r="I172" s="618">
        <v>0</v>
      </c>
      <c r="J172" s="619"/>
      <c r="K172" s="321"/>
      <c r="L172" s="619"/>
      <c r="M172" s="305"/>
      <c r="N172" s="305">
        <f t="shared" si="46"/>
        <v>1</v>
      </c>
      <c r="O172" s="322"/>
      <c r="P172" s="408">
        <f>SUMPRODUCT((Комплекты[Пр]=$F172)*(Комплекты[Обозначение]=$G172)*Комплекты[Кол-во]*(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11</v>
      </c>
      <c r="Q172" s="307">
        <f>SUMPRODUCT((Комплекты[Пр]=$F172)*(Комплекты[Обозначение]=$G172)*Комплекты[Кол-во]*(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11</v>
      </c>
      <c r="R172" s="408"/>
      <c r="S172" s="322"/>
      <c r="T172" s="408">
        <f>SUMPRODUCT((Комплекты[Пр]=$F172)*(Комплекты[Обозначение]=$G172)*Комплекты[Кол-во]*(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13</v>
      </c>
      <c r="U172" s="307">
        <f>SUMPRODUCT((Комплекты[Пр]=$F172)*(Комплекты[Обозначение]=$G172)*Комплекты[Кол-во]*(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13</v>
      </c>
      <c r="V172" s="408"/>
      <c r="W172" s="322"/>
      <c r="X172" s="408">
        <f>SUMPRODUCT((Комплекты[Пр]=$F172)*(Комплекты[Обозначение]=$G172)*Комплекты[Кол-во]*(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72" s="307">
        <f>SUMPRODUCT((Комплекты[Пр]=$F172)*(Комплекты[Обозначение]=$G172)*Комплекты[Кол-во]*(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72" s="408"/>
      <c r="AA172" s="322"/>
      <c r="AB172" s="408">
        <f>SUMPRODUCT((Комплекты[Пр]=$F172)*(Комплекты[Обозначение]=$G172)*Комплекты[Кол-во]*(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24</v>
      </c>
      <c r="AC172" s="307"/>
      <c r="AD172" s="408"/>
      <c r="AE172" s="322"/>
      <c r="AF172" s="408">
        <f>SUMPRODUCT((Комплекты[Пр]=$F172)*(Комплекты[Обозначение]=$G172)*Комплекты[Кол-во]*(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28</v>
      </c>
      <c r="AG172" s="307">
        <f>SUMPRODUCT((Комплекты[Пр]=$F172)*(Комплекты[Обозначение]=$G172)*Комплекты[Кол-во]*(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28</v>
      </c>
      <c r="AH172" s="408"/>
      <c r="AI172" s="322"/>
      <c r="AJ172" s="408">
        <f>SUMPRODUCT((Комплекты[Пр]=$F172)*(Комплекты[Обозначение]=$G172)*Комплекты[Кол-во]*(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33</v>
      </c>
      <c r="AK172" s="307"/>
      <c r="AL172" s="408"/>
      <c r="AM172" s="322"/>
      <c r="AN172" s="408">
        <f>SUMPRODUCT((Комплекты[Пр]=$F172)*(Комплекты[Обозначение]=$G172)*Комплекты[Кол-во]*(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30</v>
      </c>
      <c r="AO172" s="307"/>
      <c r="AP172" s="408"/>
      <c r="AQ172" s="322"/>
      <c r="AR172" s="408">
        <f>SUMPRODUCT((Комплекты[Пр]=$F172)*(Комплекты[Обозначение]=$G172)*Комплекты[Кол-во]*(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35</v>
      </c>
      <c r="AS172" s="307"/>
      <c r="AT172" s="408"/>
      <c r="AU172" s="322"/>
      <c r="AV172" s="408">
        <f>SUMPRODUCT((Комплекты[Пр]=$F172)*(Комплекты[Обозначение]=$G172)*Комплекты[Кол-во]*(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20</v>
      </c>
      <c r="AW172" s="307"/>
      <c r="AX172" s="408"/>
      <c r="AY172" s="322"/>
      <c r="AZ172" s="408">
        <f>SUMPRODUCT((Комплекты[Пр]=$F172)*(Комплекты[Обозначение]=$G172)*Комплекты[Кол-во]*(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72" s="307"/>
      <c r="BB172" s="408"/>
      <c r="BC172" s="322"/>
      <c r="BD172" s="408">
        <f>SUMPRODUCT((Комплекты[Пр]=$F172)*(Комплекты[Обозначение]=$G172)*Комплекты[Кол-во]*(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72" s="307"/>
      <c r="BF172" s="408"/>
      <c r="BG172" s="322"/>
      <c r="BH172" s="408">
        <f>SUMPRODUCT((Комплекты[Пр]=$F172)*(Комплекты[Обозначение]=$G172)*Комплекты[Кол-во]*(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72" s="307"/>
      <c r="BJ172" s="408"/>
      <c r="BK172" s="340"/>
      <c r="BL172" s="328">
        <f t="shared" si="47"/>
        <v>0</v>
      </c>
      <c r="BM172" s="328">
        <f t="shared" si="48"/>
        <v>0</v>
      </c>
      <c r="BN172" s="324">
        <f t="shared" si="49"/>
        <v>254</v>
      </c>
      <c r="BO172" s="325">
        <f t="shared" si="50"/>
        <v>0</v>
      </c>
      <c r="BP172" s="326">
        <f t="shared" si="51"/>
        <v>52</v>
      </c>
      <c r="BQ172" s="327">
        <f t="shared" si="52"/>
        <v>0</v>
      </c>
      <c r="BR172" s="329"/>
      <c r="BS172" s="329"/>
      <c r="BT172" s="322"/>
      <c r="BU172" s="408"/>
      <c r="BV172" s="307"/>
      <c r="BW172" s="408"/>
      <c r="BX172" s="322"/>
      <c r="BY172" s="408"/>
      <c r="BZ172" s="307"/>
      <c r="CA172" s="408"/>
      <c r="CB172" s="322"/>
      <c r="CC172" s="408"/>
      <c r="CD172" s="307"/>
      <c r="CE172" s="408"/>
      <c r="CF172" s="322"/>
      <c r="CG172" s="408"/>
      <c r="CH172" s="307"/>
      <c r="CI172" s="408"/>
      <c r="CJ172" s="322"/>
      <c r="CK172" s="408"/>
      <c r="CL172" s="307"/>
      <c r="CM172" s="408"/>
      <c r="CN172" s="322"/>
      <c r="CO172" s="408"/>
      <c r="CP172" s="307"/>
      <c r="CQ172" s="408"/>
      <c r="CR172" s="322"/>
      <c r="CS172" s="408"/>
      <c r="CT172" s="307"/>
      <c r="CU172" s="408"/>
      <c r="CV172" s="322"/>
      <c r="CW172" s="408"/>
      <c r="CX172" s="307"/>
      <c r="CY172" s="408"/>
      <c r="CZ172" s="322"/>
      <c r="DA172" s="408"/>
      <c r="DB172" s="307"/>
      <c r="DC172" s="408"/>
      <c r="DD172" s="322"/>
      <c r="DE172" s="408"/>
      <c r="DF172" s="307"/>
      <c r="DG172" s="408"/>
      <c r="DH172" s="322"/>
      <c r="DI172" s="408"/>
      <c r="DJ172" s="307"/>
      <c r="DK172" s="408"/>
      <c r="DL172" s="322"/>
      <c r="DM172" s="408"/>
      <c r="DN172" s="307"/>
      <c r="DO172" s="408"/>
      <c r="DP172" s="340"/>
      <c r="DQ172" s="328"/>
      <c r="DR172" s="328">
        <f t="shared" si="57"/>
        <v>0</v>
      </c>
      <c r="DS172" s="329"/>
      <c r="DT172" s="329"/>
      <c r="DU172" s="322"/>
      <c r="DV172" s="408"/>
      <c r="DW172" s="307"/>
      <c r="DX172" s="408"/>
      <c r="DY172" s="322"/>
      <c r="DZ172" s="408"/>
      <c r="EA172" s="307"/>
      <c r="EB172" s="408"/>
      <c r="EC172" s="322"/>
      <c r="ED172" s="408"/>
      <c r="EE172" s="307"/>
      <c r="EF172" s="408"/>
      <c r="EG172" s="322"/>
      <c r="EH172" s="408"/>
      <c r="EI172" s="307"/>
      <c r="EJ172" s="408"/>
      <c r="EK172" s="322"/>
      <c r="EL172" s="408"/>
      <c r="EM172" s="307"/>
      <c r="EN172" s="408"/>
      <c r="EO172" s="322"/>
      <c r="EP172" s="408"/>
      <c r="EQ172" s="307"/>
      <c r="ER172" s="408"/>
      <c r="ES172" s="322"/>
      <c r="ET172" s="408"/>
      <c r="EU172" s="307"/>
      <c r="EV172" s="408"/>
      <c r="EW172" s="322"/>
      <c r="EX172" s="408"/>
      <c r="EY172" s="307"/>
      <c r="EZ172" s="408"/>
      <c r="FA172" s="322"/>
      <c r="FB172" s="408"/>
      <c r="FC172" s="307"/>
      <c r="FD172" s="408"/>
      <c r="FE172" s="322"/>
      <c r="FF172" s="408"/>
      <c r="FG172" s="307"/>
      <c r="FH172" s="408"/>
      <c r="FI172" s="322"/>
      <c r="FJ172" s="408"/>
      <c r="FK172" s="307"/>
      <c r="FL172" s="408"/>
      <c r="FM172" s="322"/>
      <c r="FN172" s="408"/>
      <c r="FO172" s="307"/>
      <c r="FP172" s="408"/>
      <c r="FQ172" s="340"/>
      <c r="FR172" s="328"/>
      <c r="FS172" s="328">
        <f t="shared" si="59"/>
        <v>0</v>
      </c>
      <c r="FT172" s="361"/>
    </row>
    <row r="173" spans="1:176" outlineLevel="2">
      <c r="A173" s="413" t="s">
        <v>469</v>
      </c>
      <c r="B173" s="444" t="s">
        <v>51</v>
      </c>
      <c r="C173" s="587" t="s">
        <v>72</v>
      </c>
      <c r="D173" s="580" t="s">
        <v>32</v>
      </c>
      <c r="E173" s="414">
        <f>IF(ISBLANK(G173),"",IF($A$6:$A$330=$A173,COUNTIF($A$6:A173,$A173),""))</f>
        <v>68</v>
      </c>
      <c r="F173" s="670">
        <v>1</v>
      </c>
      <c r="G173" s="501">
        <v>9522010020</v>
      </c>
      <c r="H173" s="611" t="s">
        <v>74</v>
      </c>
      <c r="I173" s="618">
        <v>0</v>
      </c>
      <c r="J173" s="619"/>
      <c r="K173" s="321"/>
      <c r="L173" s="619"/>
      <c r="M173" s="305"/>
      <c r="N173" s="305">
        <f t="shared" si="46"/>
        <v>1</v>
      </c>
      <c r="O173" s="322"/>
      <c r="P173" s="408">
        <f>SUMPRODUCT((Комплекты[Пр]=$F173)*(Комплекты[Обозначение]=$G173)*Комплекты[Кол-во]*(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11</v>
      </c>
      <c r="Q173" s="307">
        <f>SUMPRODUCT((Комплекты[Пр]=$F173)*(Комплекты[Обозначение]=$G173)*Комплекты[Кол-во]*(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11</v>
      </c>
      <c r="R173" s="408"/>
      <c r="S173" s="322"/>
      <c r="T173" s="408">
        <f>SUMPRODUCT((Комплекты[Пр]=$F173)*(Комплекты[Обозначение]=$G173)*Комплекты[Кол-во]*(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13</v>
      </c>
      <c r="U173" s="307">
        <f>SUMPRODUCT((Комплекты[Пр]=$F173)*(Комплекты[Обозначение]=$G173)*Комплекты[Кол-во]*(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13</v>
      </c>
      <c r="V173" s="408"/>
      <c r="W173" s="322"/>
      <c r="X173" s="408">
        <f>SUMPRODUCT((Комплекты[Пр]=$F173)*(Комплекты[Обозначение]=$G173)*Комплекты[Кол-во]*(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73" s="307">
        <f>SUMPRODUCT((Комплекты[Пр]=$F173)*(Комплекты[Обозначение]=$G173)*Комплекты[Кол-во]*(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73" s="408"/>
      <c r="AA173" s="322"/>
      <c r="AB173" s="408">
        <f>SUMPRODUCT((Комплекты[Пр]=$F173)*(Комплекты[Обозначение]=$G173)*Комплекты[Кол-во]*(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24</v>
      </c>
      <c r="AC173" s="307"/>
      <c r="AD173" s="408"/>
      <c r="AE173" s="322"/>
      <c r="AF173" s="408">
        <f>SUMPRODUCT((Комплекты[Пр]=$F173)*(Комплекты[Обозначение]=$G173)*Комплекты[Кол-во]*(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28</v>
      </c>
      <c r="AG173" s="307">
        <f>SUMPRODUCT((Комплекты[Пр]=$F173)*(Комплекты[Обозначение]=$G173)*Комплекты[Кол-во]*(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28</v>
      </c>
      <c r="AH173" s="408"/>
      <c r="AI173" s="322"/>
      <c r="AJ173" s="408">
        <f>SUMPRODUCT((Комплекты[Пр]=$F173)*(Комплекты[Обозначение]=$G173)*Комплекты[Кол-во]*(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33</v>
      </c>
      <c r="AK173" s="307"/>
      <c r="AL173" s="408"/>
      <c r="AM173" s="322"/>
      <c r="AN173" s="408">
        <f>SUMPRODUCT((Комплекты[Пр]=$F173)*(Комплекты[Обозначение]=$G173)*Комплекты[Кол-во]*(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30</v>
      </c>
      <c r="AO173" s="307"/>
      <c r="AP173" s="408"/>
      <c r="AQ173" s="322"/>
      <c r="AR173" s="408">
        <f>SUMPRODUCT((Комплекты[Пр]=$F173)*(Комплекты[Обозначение]=$G173)*Комплекты[Кол-во]*(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35</v>
      </c>
      <c r="AS173" s="307"/>
      <c r="AT173" s="408"/>
      <c r="AU173" s="322"/>
      <c r="AV173" s="408">
        <f>SUMPRODUCT((Комплекты[Пр]=$F173)*(Комплекты[Обозначение]=$G173)*Комплекты[Кол-во]*(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20</v>
      </c>
      <c r="AW173" s="307"/>
      <c r="AX173" s="408"/>
      <c r="AY173" s="322"/>
      <c r="AZ173" s="408">
        <f>SUMPRODUCT((Комплекты[Пр]=$F173)*(Комплекты[Обозначение]=$G173)*Комплекты[Кол-во]*(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73" s="307"/>
      <c r="BB173" s="408"/>
      <c r="BC173" s="322"/>
      <c r="BD173" s="408">
        <f>SUMPRODUCT((Комплекты[Пр]=$F173)*(Комплекты[Обозначение]=$G173)*Комплекты[Кол-во]*(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73" s="307"/>
      <c r="BF173" s="408"/>
      <c r="BG173" s="322"/>
      <c r="BH173" s="408">
        <f>SUMPRODUCT((Комплекты[Пр]=$F173)*(Комплекты[Обозначение]=$G173)*Комплекты[Кол-во]*(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73" s="307"/>
      <c r="BJ173" s="408"/>
      <c r="BK173" s="340"/>
      <c r="BL173" s="328">
        <f t="shared" si="47"/>
        <v>0</v>
      </c>
      <c r="BM173" s="328">
        <f t="shared" si="48"/>
        <v>0</v>
      </c>
      <c r="BN173" s="324">
        <f t="shared" si="49"/>
        <v>254</v>
      </c>
      <c r="BO173" s="325">
        <f t="shared" si="50"/>
        <v>0</v>
      </c>
      <c r="BP173" s="326">
        <f t="shared" si="51"/>
        <v>52</v>
      </c>
      <c r="BQ173" s="327">
        <f t="shared" si="52"/>
        <v>0</v>
      </c>
      <c r="BR173" s="329"/>
      <c r="BS173" s="329"/>
      <c r="BT173" s="322"/>
      <c r="BU173" s="408"/>
      <c r="BV173" s="307"/>
      <c r="BW173" s="408"/>
      <c r="BX173" s="322"/>
      <c r="BY173" s="408"/>
      <c r="BZ173" s="307"/>
      <c r="CA173" s="408"/>
      <c r="CB173" s="322"/>
      <c r="CC173" s="408"/>
      <c r="CD173" s="307"/>
      <c r="CE173" s="408"/>
      <c r="CF173" s="322"/>
      <c r="CG173" s="408"/>
      <c r="CH173" s="307"/>
      <c r="CI173" s="408"/>
      <c r="CJ173" s="322"/>
      <c r="CK173" s="408"/>
      <c r="CL173" s="307"/>
      <c r="CM173" s="408"/>
      <c r="CN173" s="322"/>
      <c r="CO173" s="408"/>
      <c r="CP173" s="307"/>
      <c r="CQ173" s="408"/>
      <c r="CR173" s="322"/>
      <c r="CS173" s="408"/>
      <c r="CT173" s="307"/>
      <c r="CU173" s="408"/>
      <c r="CV173" s="322"/>
      <c r="CW173" s="408"/>
      <c r="CX173" s="307"/>
      <c r="CY173" s="408"/>
      <c r="CZ173" s="322"/>
      <c r="DA173" s="408"/>
      <c r="DB173" s="307"/>
      <c r="DC173" s="408"/>
      <c r="DD173" s="322"/>
      <c r="DE173" s="408"/>
      <c r="DF173" s="307"/>
      <c r="DG173" s="408"/>
      <c r="DH173" s="322"/>
      <c r="DI173" s="408"/>
      <c r="DJ173" s="307"/>
      <c r="DK173" s="408"/>
      <c r="DL173" s="322"/>
      <c r="DM173" s="408"/>
      <c r="DN173" s="307"/>
      <c r="DO173" s="408"/>
      <c r="DP173" s="340"/>
      <c r="DQ173" s="328"/>
      <c r="DR173" s="328">
        <f t="shared" si="57"/>
        <v>0</v>
      </c>
      <c r="DS173" s="329"/>
      <c r="DT173" s="329"/>
      <c r="DU173" s="322"/>
      <c r="DV173" s="408"/>
      <c r="DW173" s="307"/>
      <c r="DX173" s="408"/>
      <c r="DY173" s="322"/>
      <c r="DZ173" s="408"/>
      <c r="EA173" s="307"/>
      <c r="EB173" s="408"/>
      <c r="EC173" s="322"/>
      <c r="ED173" s="408"/>
      <c r="EE173" s="307"/>
      <c r="EF173" s="408"/>
      <c r="EG173" s="322"/>
      <c r="EH173" s="408"/>
      <c r="EI173" s="307"/>
      <c r="EJ173" s="408"/>
      <c r="EK173" s="322"/>
      <c r="EL173" s="408"/>
      <c r="EM173" s="307"/>
      <c r="EN173" s="408"/>
      <c r="EO173" s="322"/>
      <c r="EP173" s="408"/>
      <c r="EQ173" s="307"/>
      <c r="ER173" s="408"/>
      <c r="ES173" s="322"/>
      <c r="ET173" s="408"/>
      <c r="EU173" s="307"/>
      <c r="EV173" s="408"/>
      <c r="EW173" s="322"/>
      <c r="EX173" s="408"/>
      <c r="EY173" s="307"/>
      <c r="EZ173" s="408"/>
      <c r="FA173" s="322"/>
      <c r="FB173" s="408"/>
      <c r="FC173" s="307"/>
      <c r="FD173" s="408"/>
      <c r="FE173" s="322"/>
      <c r="FF173" s="408"/>
      <c r="FG173" s="307"/>
      <c r="FH173" s="408"/>
      <c r="FI173" s="322"/>
      <c r="FJ173" s="408"/>
      <c r="FK173" s="307"/>
      <c r="FL173" s="408"/>
      <c r="FM173" s="322"/>
      <c r="FN173" s="408"/>
      <c r="FO173" s="307"/>
      <c r="FP173" s="408"/>
      <c r="FQ173" s="340"/>
      <c r="FR173" s="328"/>
      <c r="FS173" s="328">
        <f t="shared" si="59"/>
        <v>0</v>
      </c>
      <c r="FT173" s="361"/>
    </row>
    <row r="174" spans="1:176" outlineLevel="2">
      <c r="A174" s="413" t="s">
        <v>469</v>
      </c>
      <c r="B174" s="444" t="s">
        <v>51</v>
      </c>
      <c r="C174" s="587" t="s">
        <v>72</v>
      </c>
      <c r="D174" s="580" t="s">
        <v>32</v>
      </c>
      <c r="E174" s="414">
        <f>IF(ISBLANK(G174),"",IF($A$6:$A$330=$A174,COUNTIF($A$6:A174,$A174),""))</f>
        <v>69</v>
      </c>
      <c r="F174" s="670">
        <v>1</v>
      </c>
      <c r="G174" s="501">
        <v>9710029000</v>
      </c>
      <c r="H174" s="611" t="s">
        <v>75</v>
      </c>
      <c r="I174" s="618">
        <v>0</v>
      </c>
      <c r="J174" s="619"/>
      <c r="K174" s="321"/>
      <c r="L174" s="619"/>
      <c r="M174" s="305"/>
      <c r="N174" s="305">
        <f t="shared" si="46"/>
        <v>1</v>
      </c>
      <c r="O174" s="322"/>
      <c r="P174" s="408">
        <f>SUMPRODUCT((Комплекты[Пр]=$F174)*(Комплекты[Обозначение]=$G174)*Комплекты[Кол-во]*(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11</v>
      </c>
      <c r="Q174" s="307">
        <f>SUMPRODUCT((Комплекты[Пр]=$F174)*(Комплекты[Обозначение]=$G174)*Комплекты[Кол-во]*(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11</v>
      </c>
      <c r="R174" s="408"/>
      <c r="S174" s="322"/>
      <c r="T174" s="408">
        <f>SUMPRODUCT((Комплекты[Пр]=$F174)*(Комплекты[Обозначение]=$G174)*Комплекты[Кол-во]*(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13</v>
      </c>
      <c r="U174" s="307">
        <f>SUMPRODUCT((Комплекты[Пр]=$F174)*(Комплекты[Обозначение]=$G174)*Комплекты[Кол-во]*(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13</v>
      </c>
      <c r="V174" s="408"/>
      <c r="W174" s="322"/>
      <c r="X174" s="408">
        <f>SUMPRODUCT((Комплекты[Пр]=$F174)*(Комплекты[Обозначение]=$G174)*Комплекты[Кол-во]*(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74" s="307">
        <f>SUMPRODUCT((Комплекты[Пр]=$F174)*(Комплекты[Обозначение]=$G174)*Комплекты[Кол-во]*(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74" s="408"/>
      <c r="AA174" s="322"/>
      <c r="AB174" s="408">
        <f>SUMPRODUCT((Комплекты[Пр]=$F174)*(Комплекты[Обозначение]=$G174)*Комплекты[Кол-во]*(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24</v>
      </c>
      <c r="AC174" s="307"/>
      <c r="AD174" s="408"/>
      <c r="AE174" s="322"/>
      <c r="AF174" s="408">
        <f>SUMPRODUCT((Комплекты[Пр]=$F174)*(Комплекты[Обозначение]=$G174)*Комплекты[Кол-во]*(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28</v>
      </c>
      <c r="AG174" s="307">
        <f>SUMPRODUCT((Комплекты[Пр]=$F174)*(Комплекты[Обозначение]=$G174)*Комплекты[Кол-во]*(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28</v>
      </c>
      <c r="AH174" s="408"/>
      <c r="AI174" s="322"/>
      <c r="AJ174" s="408">
        <f>SUMPRODUCT((Комплекты[Пр]=$F174)*(Комплекты[Обозначение]=$G174)*Комплекты[Кол-во]*(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33</v>
      </c>
      <c r="AK174" s="307"/>
      <c r="AL174" s="408"/>
      <c r="AM174" s="322"/>
      <c r="AN174" s="408">
        <f>SUMPRODUCT((Комплекты[Пр]=$F174)*(Комплекты[Обозначение]=$G174)*Комплекты[Кол-во]*(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30</v>
      </c>
      <c r="AO174" s="307"/>
      <c r="AP174" s="408"/>
      <c r="AQ174" s="322"/>
      <c r="AR174" s="408">
        <f>SUMPRODUCT((Комплекты[Пр]=$F174)*(Комплекты[Обозначение]=$G174)*Комплекты[Кол-во]*(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35</v>
      </c>
      <c r="AS174" s="307"/>
      <c r="AT174" s="408"/>
      <c r="AU174" s="322"/>
      <c r="AV174" s="408">
        <f>SUMPRODUCT((Комплекты[Пр]=$F174)*(Комплекты[Обозначение]=$G174)*Комплекты[Кол-во]*(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20</v>
      </c>
      <c r="AW174" s="307"/>
      <c r="AX174" s="408"/>
      <c r="AY174" s="322"/>
      <c r="AZ174" s="408">
        <f>SUMPRODUCT((Комплекты[Пр]=$F174)*(Комплекты[Обозначение]=$G174)*Комплекты[Кол-во]*(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74" s="307"/>
      <c r="BB174" s="408"/>
      <c r="BC174" s="322"/>
      <c r="BD174" s="408">
        <f>SUMPRODUCT((Комплекты[Пр]=$F174)*(Комплекты[Обозначение]=$G174)*Комплекты[Кол-во]*(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74" s="307"/>
      <c r="BF174" s="408"/>
      <c r="BG174" s="322"/>
      <c r="BH174" s="408">
        <f>SUMPRODUCT((Комплекты[Пр]=$F174)*(Комплекты[Обозначение]=$G174)*Комплекты[Кол-во]*(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74" s="307"/>
      <c r="BJ174" s="408"/>
      <c r="BK174" s="340"/>
      <c r="BL174" s="328">
        <f t="shared" si="47"/>
        <v>0</v>
      </c>
      <c r="BM174" s="328">
        <f t="shared" si="48"/>
        <v>0</v>
      </c>
      <c r="BN174" s="324">
        <f t="shared" si="49"/>
        <v>254</v>
      </c>
      <c r="BO174" s="325">
        <f t="shared" si="50"/>
        <v>0</v>
      </c>
      <c r="BP174" s="326">
        <f t="shared" si="51"/>
        <v>52</v>
      </c>
      <c r="BQ174" s="327">
        <f t="shared" si="52"/>
        <v>0</v>
      </c>
      <c r="BR174" s="329"/>
      <c r="BS174" s="329"/>
      <c r="BT174" s="322"/>
      <c r="BU174" s="408"/>
      <c r="BV174" s="307"/>
      <c r="BW174" s="408"/>
      <c r="BX174" s="322"/>
      <c r="BY174" s="408"/>
      <c r="BZ174" s="307"/>
      <c r="CA174" s="408"/>
      <c r="CB174" s="322"/>
      <c r="CC174" s="408"/>
      <c r="CD174" s="307"/>
      <c r="CE174" s="408"/>
      <c r="CF174" s="322"/>
      <c r="CG174" s="408"/>
      <c r="CH174" s="307"/>
      <c r="CI174" s="408"/>
      <c r="CJ174" s="322"/>
      <c r="CK174" s="408"/>
      <c r="CL174" s="307"/>
      <c r="CM174" s="408"/>
      <c r="CN174" s="322"/>
      <c r="CO174" s="408"/>
      <c r="CP174" s="307"/>
      <c r="CQ174" s="408"/>
      <c r="CR174" s="322"/>
      <c r="CS174" s="408"/>
      <c r="CT174" s="307"/>
      <c r="CU174" s="408"/>
      <c r="CV174" s="322"/>
      <c r="CW174" s="408"/>
      <c r="CX174" s="307"/>
      <c r="CY174" s="408"/>
      <c r="CZ174" s="322"/>
      <c r="DA174" s="408"/>
      <c r="DB174" s="307"/>
      <c r="DC174" s="408"/>
      <c r="DD174" s="322"/>
      <c r="DE174" s="408"/>
      <c r="DF174" s="307"/>
      <c r="DG174" s="408"/>
      <c r="DH174" s="322"/>
      <c r="DI174" s="408"/>
      <c r="DJ174" s="307"/>
      <c r="DK174" s="408"/>
      <c r="DL174" s="322"/>
      <c r="DM174" s="408"/>
      <c r="DN174" s="307"/>
      <c r="DO174" s="408"/>
      <c r="DP174" s="340"/>
      <c r="DQ174" s="328"/>
      <c r="DR174" s="328">
        <f t="shared" si="57"/>
        <v>0</v>
      </c>
      <c r="DS174" s="329"/>
      <c r="DT174" s="329"/>
      <c r="DU174" s="322"/>
      <c r="DV174" s="408"/>
      <c r="DW174" s="307"/>
      <c r="DX174" s="408"/>
      <c r="DY174" s="322"/>
      <c r="DZ174" s="408"/>
      <c r="EA174" s="307"/>
      <c r="EB174" s="408"/>
      <c r="EC174" s="322"/>
      <c r="ED174" s="408"/>
      <c r="EE174" s="307"/>
      <c r="EF174" s="408"/>
      <c r="EG174" s="322"/>
      <c r="EH174" s="408"/>
      <c r="EI174" s="307"/>
      <c r="EJ174" s="408"/>
      <c r="EK174" s="322"/>
      <c r="EL174" s="408"/>
      <c r="EM174" s="307"/>
      <c r="EN174" s="408"/>
      <c r="EO174" s="322"/>
      <c r="EP174" s="408"/>
      <c r="EQ174" s="307"/>
      <c r="ER174" s="408"/>
      <c r="ES174" s="322"/>
      <c r="ET174" s="408"/>
      <c r="EU174" s="307"/>
      <c r="EV174" s="408"/>
      <c r="EW174" s="322"/>
      <c r="EX174" s="408"/>
      <c r="EY174" s="307"/>
      <c r="EZ174" s="408"/>
      <c r="FA174" s="322"/>
      <c r="FB174" s="408"/>
      <c r="FC174" s="307"/>
      <c r="FD174" s="408"/>
      <c r="FE174" s="322"/>
      <c r="FF174" s="408"/>
      <c r="FG174" s="307"/>
      <c r="FH174" s="408"/>
      <c r="FI174" s="322"/>
      <c r="FJ174" s="408"/>
      <c r="FK174" s="307"/>
      <c r="FL174" s="408"/>
      <c r="FM174" s="322"/>
      <c r="FN174" s="408"/>
      <c r="FO174" s="307"/>
      <c r="FP174" s="408"/>
      <c r="FQ174" s="340"/>
      <c r="FR174" s="328"/>
      <c r="FS174" s="328">
        <f t="shared" si="59"/>
        <v>0</v>
      </c>
      <c r="FT174" s="361"/>
    </row>
    <row r="175" spans="1:176" outlineLevel="2">
      <c r="A175" s="413" t="s">
        <v>469</v>
      </c>
      <c r="B175" s="444" t="s">
        <v>51</v>
      </c>
      <c r="C175" s="587" t="s">
        <v>72</v>
      </c>
      <c r="D175" s="580" t="s">
        <v>32</v>
      </c>
      <c r="E175" s="414">
        <f>IF(ISBLANK(G175),"",IF($A$6:$A$330=$A175,COUNTIF($A$6:A175,$A175),""))</f>
        <v>70</v>
      </c>
      <c r="F175" s="670">
        <v>1</v>
      </c>
      <c r="G175" s="501">
        <v>4494300600</v>
      </c>
      <c r="H175" s="611" t="s">
        <v>418</v>
      </c>
      <c r="I175" s="618">
        <v>0</v>
      </c>
      <c r="J175" s="619"/>
      <c r="K175" s="321"/>
      <c r="L175" s="619"/>
      <c r="M175" s="305"/>
      <c r="N175" s="305">
        <f t="shared" si="46"/>
        <v>1</v>
      </c>
      <c r="O175" s="322"/>
      <c r="P175" s="408"/>
      <c r="Q175" s="307"/>
      <c r="R175" s="408"/>
      <c r="S175" s="322"/>
      <c r="T175" s="408">
        <f>SUMPRODUCT((Комплекты[Пр]=$F175)*(Комплекты[Обозначение]=$G175)*Комплекты[Кол-во]*(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75" s="307">
        <f>SUMPRODUCT((Комплекты[Пр]=$F175)*(Комплекты[Обозначение]=$G175)*Комплекты[Кол-во]*(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75" s="408"/>
      <c r="W175" s="322"/>
      <c r="X175" s="408">
        <f>SUMPRODUCT((Комплекты[Пр]=$F175)*(Комплекты[Обозначение]=$G175)*Комплекты[Кол-во]*(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75" s="307">
        <f>SUMPRODUCT((Комплекты[Пр]=$F175)*(Комплекты[Обозначение]=$G175)*Комплекты[Кол-во]*(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75" s="408"/>
      <c r="AA175" s="322"/>
      <c r="AB175" s="408">
        <f>SUMPRODUCT((Комплекты[Пр]=$F175)*(Комплекты[Обозначение]=$G175)*Комплекты[Кол-во]*(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9</v>
      </c>
      <c r="AC175" s="307"/>
      <c r="AD175" s="408"/>
      <c r="AE175" s="322"/>
      <c r="AF175" s="408">
        <f>SUMPRODUCT((Комплекты[Пр]=$F175)*(Комплекты[Обозначение]=$G175)*Комплекты[Кол-во]*(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19</v>
      </c>
      <c r="AG175" s="307">
        <f>SUMPRODUCT((Комплекты[Пр]=$F175)*(Комплекты[Обозначение]=$G175)*Комплекты[Кол-во]*(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19</v>
      </c>
      <c r="AH175" s="408"/>
      <c r="AI175" s="322"/>
      <c r="AJ175" s="408">
        <f>SUMPRODUCT((Комплекты[Пр]=$F175)*(Комплекты[Обозначение]=$G175)*Комплекты[Кол-во]*(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5</v>
      </c>
      <c r="AK175" s="307"/>
      <c r="AL175" s="408"/>
      <c r="AM175" s="322"/>
      <c r="AN175" s="408">
        <f>SUMPRODUCT((Комплекты[Пр]=$F175)*(Комплекты[Обозначение]=$G175)*Комплекты[Кол-во]*(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20</v>
      </c>
      <c r="AO175" s="307"/>
      <c r="AP175" s="408"/>
      <c r="AQ175" s="322"/>
      <c r="AR175" s="408">
        <f>SUMPRODUCT((Комплекты[Пр]=$F175)*(Комплекты[Обозначение]=$G175)*Комплекты[Кол-во]*(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20</v>
      </c>
      <c r="AS175" s="307"/>
      <c r="AT175" s="408"/>
      <c r="AU175" s="322"/>
      <c r="AV175" s="408">
        <f>SUMPRODUCT((Комплекты[Пр]=$F175)*(Комплекты[Обозначение]=$G175)*Комплекты[Кол-во]*(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20</v>
      </c>
      <c r="AW175" s="307"/>
      <c r="AX175" s="408"/>
      <c r="AY175" s="322"/>
      <c r="AZ175" s="408">
        <f>SUMPRODUCT((Комплекты[Пр]=$F175)*(Комплекты[Обозначение]=$G175)*Комплекты[Кол-во]*(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75" s="307"/>
      <c r="BB175" s="408"/>
      <c r="BC175" s="322"/>
      <c r="BD175" s="408">
        <f>SUMPRODUCT((Комплекты[Пр]=$F175)*(Комплекты[Обозначение]=$G175)*Комплекты[Кол-во]*(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75" s="307"/>
      <c r="BF175" s="408"/>
      <c r="BG175" s="322"/>
      <c r="BH175" s="408">
        <f>SUMPRODUCT((Комплекты[Пр]=$F175)*(Комплекты[Обозначение]=$G175)*Комплекты[Кол-во]*(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75" s="307"/>
      <c r="BJ175" s="408"/>
      <c r="BK175" s="340"/>
      <c r="BL175" s="328">
        <f t="shared" si="47"/>
        <v>0</v>
      </c>
      <c r="BM175" s="328">
        <f t="shared" si="48"/>
        <v>0</v>
      </c>
      <c r="BN175" s="324">
        <f t="shared" si="49"/>
        <v>153</v>
      </c>
      <c r="BO175" s="325">
        <f t="shared" si="50"/>
        <v>0</v>
      </c>
      <c r="BP175" s="326">
        <f t="shared" si="51"/>
        <v>19</v>
      </c>
      <c r="BQ175" s="327">
        <f t="shared" si="52"/>
        <v>0</v>
      </c>
      <c r="BR175" s="329"/>
      <c r="BS175" s="329"/>
      <c r="BT175" s="322"/>
      <c r="BU175" s="408"/>
      <c r="BV175" s="307"/>
      <c r="BW175" s="408"/>
      <c r="BX175" s="322"/>
      <c r="BY175" s="408"/>
      <c r="BZ175" s="307"/>
      <c r="CA175" s="408"/>
      <c r="CB175" s="322"/>
      <c r="CC175" s="408"/>
      <c r="CD175" s="307"/>
      <c r="CE175" s="408"/>
      <c r="CF175" s="322"/>
      <c r="CG175" s="408"/>
      <c r="CH175" s="307"/>
      <c r="CI175" s="408"/>
      <c r="CJ175" s="322"/>
      <c r="CK175" s="408"/>
      <c r="CL175" s="307"/>
      <c r="CM175" s="408"/>
      <c r="CN175" s="322"/>
      <c r="CO175" s="408"/>
      <c r="CP175" s="307"/>
      <c r="CQ175" s="408"/>
      <c r="CR175" s="322"/>
      <c r="CS175" s="408"/>
      <c r="CT175" s="307"/>
      <c r="CU175" s="408"/>
      <c r="CV175" s="322"/>
      <c r="CW175" s="408"/>
      <c r="CX175" s="307"/>
      <c r="CY175" s="408"/>
      <c r="CZ175" s="322"/>
      <c r="DA175" s="408"/>
      <c r="DB175" s="307"/>
      <c r="DC175" s="408"/>
      <c r="DD175" s="322"/>
      <c r="DE175" s="408"/>
      <c r="DF175" s="307"/>
      <c r="DG175" s="408"/>
      <c r="DH175" s="322"/>
      <c r="DI175" s="408"/>
      <c r="DJ175" s="307"/>
      <c r="DK175" s="408"/>
      <c r="DL175" s="322"/>
      <c r="DM175" s="408"/>
      <c r="DN175" s="307"/>
      <c r="DO175" s="408"/>
      <c r="DP175" s="340"/>
      <c r="DQ175" s="328"/>
      <c r="DR175" s="328"/>
      <c r="DS175" s="329"/>
      <c r="DT175" s="329"/>
      <c r="DU175" s="322"/>
      <c r="DV175" s="408"/>
      <c r="DW175" s="307"/>
      <c r="DX175" s="408"/>
      <c r="DY175" s="322"/>
      <c r="DZ175" s="408"/>
      <c r="EA175" s="307"/>
      <c r="EB175" s="408"/>
      <c r="EC175" s="322"/>
      <c r="ED175" s="408"/>
      <c r="EE175" s="307"/>
      <c r="EF175" s="408"/>
      <c r="EG175" s="322"/>
      <c r="EH175" s="408"/>
      <c r="EI175" s="307"/>
      <c r="EJ175" s="408"/>
      <c r="EK175" s="322"/>
      <c r="EL175" s="408"/>
      <c r="EM175" s="307"/>
      <c r="EN175" s="408"/>
      <c r="EO175" s="322"/>
      <c r="EP175" s="408"/>
      <c r="EQ175" s="307"/>
      <c r="ER175" s="408"/>
      <c r="ES175" s="322"/>
      <c r="ET175" s="408"/>
      <c r="EU175" s="307"/>
      <c r="EV175" s="408"/>
      <c r="EW175" s="322"/>
      <c r="EX175" s="408"/>
      <c r="EY175" s="307"/>
      <c r="EZ175" s="408"/>
      <c r="FA175" s="322"/>
      <c r="FB175" s="408"/>
      <c r="FC175" s="307"/>
      <c r="FD175" s="408"/>
      <c r="FE175" s="322"/>
      <c r="FF175" s="408"/>
      <c r="FG175" s="307"/>
      <c r="FH175" s="408"/>
      <c r="FI175" s="322"/>
      <c r="FJ175" s="408"/>
      <c r="FK175" s="307"/>
      <c r="FL175" s="408"/>
      <c r="FM175" s="322"/>
      <c r="FN175" s="408"/>
      <c r="FO175" s="307"/>
      <c r="FP175" s="408"/>
      <c r="FQ175" s="340"/>
      <c r="FR175" s="328"/>
      <c r="FS175" s="328"/>
      <c r="FT175" s="361"/>
    </row>
    <row r="176" spans="1:176" outlineLevel="2">
      <c r="A176" s="413" t="s">
        <v>469</v>
      </c>
      <c r="B176" s="444" t="s">
        <v>51</v>
      </c>
      <c r="C176" s="587" t="s">
        <v>72</v>
      </c>
      <c r="D176" s="580" t="s">
        <v>32</v>
      </c>
      <c r="E176" s="414">
        <f>IF(ISBLANK(G176),"",IF($A$6:$A$330=$A176,COUNTIF($A$6:A176,$A176),""))</f>
        <v>71</v>
      </c>
      <c r="F176" s="670">
        <v>1</v>
      </c>
      <c r="G176" s="501">
        <v>4497230800</v>
      </c>
      <c r="H176" s="611" t="s">
        <v>141</v>
      </c>
      <c r="I176" s="618">
        <v>0</v>
      </c>
      <c r="J176" s="619"/>
      <c r="K176" s="321"/>
      <c r="L176" s="619"/>
      <c r="M176" s="305"/>
      <c r="N176" s="305">
        <f t="shared" si="46"/>
        <v>1</v>
      </c>
      <c r="O176" s="322"/>
      <c r="P176" s="408"/>
      <c r="Q176" s="307"/>
      <c r="R176" s="408"/>
      <c r="S176" s="322"/>
      <c r="T176" s="408">
        <f>SUMPRODUCT((Комплекты[Пр]=$F176)*(Комплекты[Обозначение]=$G176)*Комплекты[Кол-во]*(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76" s="307">
        <f>SUMPRODUCT((Комплекты[Пр]=$F176)*(Комплекты[Обозначение]=$G176)*Комплекты[Кол-во]*(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76" s="408"/>
      <c r="W176" s="322"/>
      <c r="X176" s="408">
        <f>SUMPRODUCT((Комплекты[Пр]=$F176)*(Комплекты[Обозначение]=$G176)*Комплекты[Кол-во]*(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76" s="307">
        <f>SUMPRODUCT((Комплекты[Пр]=$F176)*(Комплекты[Обозначение]=$G176)*Комплекты[Кол-во]*(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76" s="408"/>
      <c r="AA176" s="322"/>
      <c r="AB176" s="408">
        <f>SUMPRODUCT((Комплекты[Пр]=$F176)*(Комплекты[Обозначение]=$G176)*Комплекты[Кол-во]*(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18</v>
      </c>
      <c r="AC176" s="307"/>
      <c r="AD176" s="408"/>
      <c r="AE176" s="322"/>
      <c r="AF176" s="408">
        <f>SUMPRODUCT((Комплекты[Пр]=$F176)*(Комплекты[Обозначение]=$G176)*Комплекты[Кол-во]*(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38</v>
      </c>
      <c r="AG176" s="307">
        <f>SUMPRODUCT((Комплекты[Пр]=$F176)*(Комплекты[Обозначение]=$G176)*Комплекты[Кол-во]*(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38</v>
      </c>
      <c r="AH176" s="408"/>
      <c r="AI176" s="322"/>
      <c r="AJ176" s="408">
        <f>SUMPRODUCT((Комплекты[Пр]=$F176)*(Комплекты[Обозначение]=$G176)*Комплекты[Кол-во]*(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10</v>
      </c>
      <c r="AK176" s="307"/>
      <c r="AL176" s="408"/>
      <c r="AM176" s="322"/>
      <c r="AN176" s="408">
        <f>SUMPRODUCT((Комплекты[Пр]=$F176)*(Комплекты[Обозначение]=$G176)*Комплекты[Кол-во]*(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40</v>
      </c>
      <c r="AO176" s="307"/>
      <c r="AP176" s="408"/>
      <c r="AQ176" s="322"/>
      <c r="AR176" s="408">
        <f>SUMPRODUCT((Комплекты[Пр]=$F176)*(Комплекты[Обозначение]=$G176)*Комплекты[Кол-во]*(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40</v>
      </c>
      <c r="AS176" s="307"/>
      <c r="AT176" s="408"/>
      <c r="AU176" s="322"/>
      <c r="AV176" s="408">
        <f>SUMPRODUCT((Комплекты[Пр]=$F176)*(Комплекты[Обозначение]=$G176)*Комплекты[Кол-во]*(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40</v>
      </c>
      <c r="AW176" s="307"/>
      <c r="AX176" s="408"/>
      <c r="AY176" s="322"/>
      <c r="AZ176" s="408">
        <f>SUMPRODUCT((Комплекты[Пр]=$F176)*(Комплекты[Обозначение]=$G176)*Комплекты[Кол-во]*(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40</v>
      </c>
      <c r="BA176" s="307"/>
      <c r="BB176" s="408"/>
      <c r="BC176" s="322"/>
      <c r="BD176" s="408">
        <f>SUMPRODUCT((Комплекты[Пр]=$F176)*(Комплекты[Обозначение]=$G176)*Комплекты[Кол-во]*(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40</v>
      </c>
      <c r="BE176" s="307"/>
      <c r="BF176" s="408"/>
      <c r="BG176" s="322"/>
      <c r="BH176" s="408">
        <f>SUMPRODUCT((Комплекты[Пр]=$F176)*(Комплекты[Обозначение]=$G176)*Комплекты[Кол-во]*(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40</v>
      </c>
      <c r="BI176" s="307"/>
      <c r="BJ176" s="408"/>
      <c r="BK176" s="340"/>
      <c r="BL176" s="328">
        <f t="shared" si="47"/>
        <v>0</v>
      </c>
      <c r="BM176" s="328">
        <f t="shared" si="48"/>
        <v>0</v>
      </c>
      <c r="BN176" s="324">
        <f t="shared" si="49"/>
        <v>306</v>
      </c>
      <c r="BO176" s="325">
        <f t="shared" si="50"/>
        <v>0</v>
      </c>
      <c r="BP176" s="326">
        <f t="shared" si="51"/>
        <v>38</v>
      </c>
      <c r="BQ176" s="327">
        <f t="shared" si="52"/>
        <v>0</v>
      </c>
      <c r="BR176" s="329"/>
      <c r="BS176" s="329"/>
      <c r="BT176" s="322"/>
      <c r="BU176" s="408"/>
      <c r="BV176" s="307"/>
      <c r="BW176" s="408"/>
      <c r="BX176" s="322"/>
      <c r="BY176" s="408"/>
      <c r="BZ176" s="307"/>
      <c r="CA176" s="408"/>
      <c r="CB176" s="322"/>
      <c r="CC176" s="408"/>
      <c r="CD176" s="307"/>
      <c r="CE176" s="408"/>
      <c r="CF176" s="322"/>
      <c r="CG176" s="408"/>
      <c r="CH176" s="307"/>
      <c r="CI176" s="408"/>
      <c r="CJ176" s="322"/>
      <c r="CK176" s="408"/>
      <c r="CL176" s="307"/>
      <c r="CM176" s="408"/>
      <c r="CN176" s="322"/>
      <c r="CO176" s="408"/>
      <c r="CP176" s="307"/>
      <c r="CQ176" s="408"/>
      <c r="CR176" s="322"/>
      <c r="CS176" s="408"/>
      <c r="CT176" s="307"/>
      <c r="CU176" s="408"/>
      <c r="CV176" s="322"/>
      <c r="CW176" s="408"/>
      <c r="CX176" s="307"/>
      <c r="CY176" s="408"/>
      <c r="CZ176" s="322"/>
      <c r="DA176" s="408"/>
      <c r="DB176" s="307"/>
      <c r="DC176" s="408"/>
      <c r="DD176" s="322"/>
      <c r="DE176" s="408"/>
      <c r="DF176" s="307"/>
      <c r="DG176" s="408"/>
      <c r="DH176" s="322"/>
      <c r="DI176" s="408"/>
      <c r="DJ176" s="307"/>
      <c r="DK176" s="408"/>
      <c r="DL176" s="322"/>
      <c r="DM176" s="408"/>
      <c r="DN176" s="307"/>
      <c r="DO176" s="408"/>
      <c r="DP176" s="340"/>
      <c r="DQ176" s="328"/>
      <c r="DR176" s="328"/>
      <c r="DS176" s="329"/>
      <c r="DT176" s="329"/>
      <c r="DU176" s="322"/>
      <c r="DV176" s="408"/>
      <c r="DW176" s="307"/>
      <c r="DX176" s="408"/>
      <c r="DY176" s="322"/>
      <c r="DZ176" s="408"/>
      <c r="EA176" s="307"/>
      <c r="EB176" s="408"/>
      <c r="EC176" s="322"/>
      <c r="ED176" s="408"/>
      <c r="EE176" s="307"/>
      <c r="EF176" s="408"/>
      <c r="EG176" s="322"/>
      <c r="EH176" s="408"/>
      <c r="EI176" s="307"/>
      <c r="EJ176" s="408"/>
      <c r="EK176" s="322"/>
      <c r="EL176" s="408"/>
      <c r="EM176" s="307"/>
      <c r="EN176" s="408"/>
      <c r="EO176" s="322"/>
      <c r="EP176" s="408"/>
      <c r="EQ176" s="307"/>
      <c r="ER176" s="408"/>
      <c r="ES176" s="322"/>
      <c r="ET176" s="408"/>
      <c r="EU176" s="307"/>
      <c r="EV176" s="408"/>
      <c r="EW176" s="322"/>
      <c r="EX176" s="408"/>
      <c r="EY176" s="307"/>
      <c r="EZ176" s="408"/>
      <c r="FA176" s="322"/>
      <c r="FB176" s="408"/>
      <c r="FC176" s="307"/>
      <c r="FD176" s="408"/>
      <c r="FE176" s="322"/>
      <c r="FF176" s="408"/>
      <c r="FG176" s="307"/>
      <c r="FH176" s="408"/>
      <c r="FI176" s="322"/>
      <c r="FJ176" s="408"/>
      <c r="FK176" s="307"/>
      <c r="FL176" s="408"/>
      <c r="FM176" s="322"/>
      <c r="FN176" s="408"/>
      <c r="FO176" s="307"/>
      <c r="FP176" s="408"/>
      <c r="FQ176" s="340"/>
      <c r="FR176" s="328"/>
      <c r="FS176" s="328"/>
      <c r="FT176" s="361"/>
    </row>
    <row r="177" spans="1:176" outlineLevel="2">
      <c r="A177" s="413" t="s">
        <v>469</v>
      </c>
      <c r="B177" s="444" t="s">
        <v>51</v>
      </c>
      <c r="C177" s="587" t="s">
        <v>72</v>
      </c>
      <c r="D177" s="580" t="s">
        <v>32</v>
      </c>
      <c r="E177" s="414">
        <f>IF(ISBLANK(G177),"",IF($A$6:$A$330=$A177,COUNTIF($A$6:A177,$A177),""))</f>
        <v>72</v>
      </c>
      <c r="F177" s="670">
        <v>1</v>
      </c>
      <c r="G177" s="501">
        <v>4802070600</v>
      </c>
      <c r="H177" s="611" t="s">
        <v>420</v>
      </c>
      <c r="I177" s="618">
        <v>0</v>
      </c>
      <c r="J177" s="619"/>
      <c r="K177" s="321"/>
      <c r="L177" s="619"/>
      <c r="M177" s="305"/>
      <c r="N177" s="305">
        <f t="shared" si="46"/>
        <v>1</v>
      </c>
      <c r="O177" s="322"/>
      <c r="P177" s="408"/>
      <c r="Q177" s="307"/>
      <c r="R177" s="408"/>
      <c r="S177" s="322"/>
      <c r="T177" s="408">
        <f>SUMPRODUCT((Комплекты[Пр]=$F177)*(Комплекты[Обозначение]=$G177)*Комплекты[Кол-во]*(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77" s="307">
        <f>SUMPRODUCT((Комплекты[Пр]=$F177)*(Комплекты[Обозначение]=$G177)*Комплекты[Кол-во]*(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77" s="408"/>
      <c r="W177" s="322"/>
      <c r="X177" s="408">
        <f>SUMPRODUCT((Комплекты[Пр]=$F177)*(Комплекты[Обозначение]=$G177)*Комплекты[Кол-во]*(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77" s="307">
        <f>SUMPRODUCT((Комплекты[Пр]=$F177)*(Комплекты[Обозначение]=$G177)*Комплекты[Кол-во]*(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77" s="408"/>
      <c r="AA177" s="322"/>
      <c r="AB177" s="408">
        <f>SUMPRODUCT((Комплекты[Пр]=$F177)*(Комплекты[Обозначение]=$G177)*Комплекты[Кол-во]*(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9</v>
      </c>
      <c r="AC177" s="307"/>
      <c r="AD177" s="408"/>
      <c r="AE177" s="322"/>
      <c r="AF177" s="408">
        <f>SUMPRODUCT((Комплекты[Пр]=$F177)*(Комплекты[Обозначение]=$G177)*Комплекты[Кол-во]*(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19</v>
      </c>
      <c r="AG177" s="307">
        <f>SUMPRODUCT((Комплекты[Пр]=$F177)*(Комплекты[Обозначение]=$G177)*Комплекты[Кол-во]*(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19</v>
      </c>
      <c r="AH177" s="408"/>
      <c r="AI177" s="322"/>
      <c r="AJ177" s="408">
        <f>SUMPRODUCT((Комплекты[Пр]=$F177)*(Комплекты[Обозначение]=$G177)*Комплекты[Кол-во]*(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5</v>
      </c>
      <c r="AK177" s="307"/>
      <c r="AL177" s="408"/>
      <c r="AM177" s="322"/>
      <c r="AN177" s="408">
        <f>SUMPRODUCT((Комплекты[Пр]=$F177)*(Комплекты[Обозначение]=$G177)*Комплекты[Кол-во]*(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20</v>
      </c>
      <c r="AO177" s="307"/>
      <c r="AP177" s="408"/>
      <c r="AQ177" s="322"/>
      <c r="AR177" s="408">
        <f>SUMPRODUCT((Комплекты[Пр]=$F177)*(Комплекты[Обозначение]=$G177)*Комплекты[Кол-во]*(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20</v>
      </c>
      <c r="AS177" s="307"/>
      <c r="AT177" s="408"/>
      <c r="AU177" s="322"/>
      <c r="AV177" s="408">
        <f>SUMPRODUCT((Комплекты[Пр]=$F177)*(Комплекты[Обозначение]=$G177)*Комплекты[Кол-во]*(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20</v>
      </c>
      <c r="AW177" s="307"/>
      <c r="AX177" s="408"/>
      <c r="AY177" s="322"/>
      <c r="AZ177" s="408">
        <f>SUMPRODUCT((Комплекты[Пр]=$F177)*(Комплекты[Обозначение]=$G177)*Комплекты[Кол-во]*(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20</v>
      </c>
      <c r="BA177" s="307"/>
      <c r="BB177" s="408"/>
      <c r="BC177" s="322"/>
      <c r="BD177" s="408">
        <f>SUMPRODUCT((Комплекты[Пр]=$F177)*(Комплекты[Обозначение]=$G177)*Комплекты[Кол-во]*(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20</v>
      </c>
      <c r="BE177" s="307"/>
      <c r="BF177" s="408"/>
      <c r="BG177" s="322"/>
      <c r="BH177" s="408">
        <f>SUMPRODUCT((Комплекты[Пр]=$F177)*(Комплекты[Обозначение]=$G177)*Комплекты[Кол-во]*(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20</v>
      </c>
      <c r="BI177" s="307"/>
      <c r="BJ177" s="408"/>
      <c r="BK177" s="340"/>
      <c r="BL177" s="328">
        <f t="shared" si="47"/>
        <v>0</v>
      </c>
      <c r="BM177" s="328">
        <f t="shared" si="48"/>
        <v>0</v>
      </c>
      <c r="BN177" s="324">
        <f t="shared" si="49"/>
        <v>153</v>
      </c>
      <c r="BO177" s="325">
        <f t="shared" si="50"/>
        <v>0</v>
      </c>
      <c r="BP177" s="326">
        <f t="shared" si="51"/>
        <v>19</v>
      </c>
      <c r="BQ177" s="327">
        <f t="shared" si="52"/>
        <v>0</v>
      </c>
      <c r="BR177" s="329"/>
      <c r="BS177" s="329"/>
      <c r="BT177" s="322"/>
      <c r="BU177" s="408"/>
      <c r="BV177" s="307"/>
      <c r="BW177" s="408"/>
      <c r="BX177" s="322"/>
      <c r="BY177" s="408"/>
      <c r="BZ177" s="307"/>
      <c r="CA177" s="408"/>
      <c r="CB177" s="322"/>
      <c r="CC177" s="408"/>
      <c r="CD177" s="307"/>
      <c r="CE177" s="408"/>
      <c r="CF177" s="322"/>
      <c r="CG177" s="408"/>
      <c r="CH177" s="307"/>
      <c r="CI177" s="408"/>
      <c r="CJ177" s="322"/>
      <c r="CK177" s="408"/>
      <c r="CL177" s="307"/>
      <c r="CM177" s="408"/>
      <c r="CN177" s="322"/>
      <c r="CO177" s="408"/>
      <c r="CP177" s="307"/>
      <c r="CQ177" s="408"/>
      <c r="CR177" s="322"/>
      <c r="CS177" s="408"/>
      <c r="CT177" s="307"/>
      <c r="CU177" s="408"/>
      <c r="CV177" s="322"/>
      <c r="CW177" s="408"/>
      <c r="CX177" s="307"/>
      <c r="CY177" s="408"/>
      <c r="CZ177" s="322"/>
      <c r="DA177" s="408"/>
      <c r="DB177" s="307"/>
      <c r="DC177" s="408"/>
      <c r="DD177" s="322"/>
      <c r="DE177" s="408"/>
      <c r="DF177" s="307"/>
      <c r="DG177" s="408"/>
      <c r="DH177" s="322"/>
      <c r="DI177" s="408"/>
      <c r="DJ177" s="307"/>
      <c r="DK177" s="408"/>
      <c r="DL177" s="322"/>
      <c r="DM177" s="408"/>
      <c r="DN177" s="307"/>
      <c r="DO177" s="408"/>
      <c r="DP177" s="340"/>
      <c r="DQ177" s="328"/>
      <c r="DR177" s="328"/>
      <c r="DS177" s="329"/>
      <c r="DT177" s="329"/>
      <c r="DU177" s="322"/>
      <c r="DV177" s="408"/>
      <c r="DW177" s="307"/>
      <c r="DX177" s="408"/>
      <c r="DY177" s="322"/>
      <c r="DZ177" s="408"/>
      <c r="EA177" s="307"/>
      <c r="EB177" s="408"/>
      <c r="EC177" s="322"/>
      <c r="ED177" s="408"/>
      <c r="EE177" s="307"/>
      <c r="EF177" s="408"/>
      <c r="EG177" s="322"/>
      <c r="EH177" s="408"/>
      <c r="EI177" s="307"/>
      <c r="EJ177" s="408"/>
      <c r="EK177" s="322"/>
      <c r="EL177" s="408"/>
      <c r="EM177" s="307"/>
      <c r="EN177" s="408"/>
      <c r="EO177" s="322"/>
      <c r="EP177" s="408"/>
      <c r="EQ177" s="307"/>
      <c r="ER177" s="408"/>
      <c r="ES177" s="322"/>
      <c r="ET177" s="408"/>
      <c r="EU177" s="307"/>
      <c r="EV177" s="408"/>
      <c r="EW177" s="322"/>
      <c r="EX177" s="408"/>
      <c r="EY177" s="307"/>
      <c r="EZ177" s="408"/>
      <c r="FA177" s="322"/>
      <c r="FB177" s="408"/>
      <c r="FC177" s="307"/>
      <c r="FD177" s="408"/>
      <c r="FE177" s="322"/>
      <c r="FF177" s="408"/>
      <c r="FG177" s="307"/>
      <c r="FH177" s="408"/>
      <c r="FI177" s="322"/>
      <c r="FJ177" s="408"/>
      <c r="FK177" s="307"/>
      <c r="FL177" s="408"/>
      <c r="FM177" s="322"/>
      <c r="FN177" s="408"/>
      <c r="FO177" s="307"/>
      <c r="FP177" s="408"/>
      <c r="FQ177" s="340"/>
      <c r="FR177" s="328"/>
      <c r="FS177" s="328"/>
      <c r="FT177" s="361"/>
    </row>
    <row r="178" spans="1:176" outlineLevel="2">
      <c r="A178" s="413" t="s">
        <v>469</v>
      </c>
      <c r="B178" s="444" t="s">
        <v>51</v>
      </c>
      <c r="C178" s="587" t="s">
        <v>72</v>
      </c>
      <c r="D178" s="580" t="s">
        <v>32</v>
      </c>
      <c r="E178" s="414">
        <f>IF(ISBLANK(G178),"",IF($A$6:$A$330=$A178,COUNTIF($A$6:A178,$A178),""))</f>
        <v>73</v>
      </c>
      <c r="F178" s="670">
        <v>1</v>
      </c>
      <c r="G178" s="501">
        <v>4494430600</v>
      </c>
      <c r="H178" s="611" t="s">
        <v>136</v>
      </c>
      <c r="I178" s="618">
        <v>0</v>
      </c>
      <c r="J178" s="619"/>
      <c r="K178" s="321"/>
      <c r="L178" s="619"/>
      <c r="M178" s="305"/>
      <c r="N178" s="305">
        <f t="shared" si="46"/>
        <v>1</v>
      </c>
      <c r="O178" s="322"/>
      <c r="P178" s="408"/>
      <c r="Q178" s="307"/>
      <c r="R178" s="408"/>
      <c r="S178" s="322"/>
      <c r="T178" s="408">
        <f>SUMPRODUCT((Комплекты[Пр]=$F178)*(Комплекты[Обозначение]=$G178)*Комплекты[Кол-во]*(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5</v>
      </c>
      <c r="U178" s="307">
        <f>SUMPRODUCT((Комплекты[Пр]=$F178)*(Комплекты[Обозначение]=$G178)*Комплекты[Кол-во]*(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5</v>
      </c>
      <c r="V178" s="408"/>
      <c r="W178" s="322"/>
      <c r="X178" s="408">
        <f>SUMPRODUCT((Комплекты[Пр]=$F178)*(Комплекты[Обозначение]=$G178)*Комплекты[Кол-во]*(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78" s="307">
        <f>SUMPRODUCT((Комплекты[Пр]=$F178)*(Комплекты[Обозначение]=$G178)*Комплекты[Кол-во]*(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78" s="408"/>
      <c r="AA178" s="322"/>
      <c r="AB178" s="408">
        <f>SUMPRODUCT((Комплекты[Пр]=$F178)*(Комплекты[Обозначение]=$G178)*Комплекты[Кол-во]*(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78" s="307"/>
      <c r="AD178" s="408"/>
      <c r="AE178" s="322"/>
      <c r="AF178" s="408">
        <f>SUMPRODUCT((Комплекты[Пр]=$F178)*(Комплекты[Обозначение]=$G178)*Комплекты[Кол-во]*(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78" s="307">
        <f>SUMPRODUCT((Комплекты[Пр]=$F178)*(Комплекты[Обозначение]=$G178)*Комплекты[Кол-во]*(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78" s="408"/>
      <c r="AI178" s="322"/>
      <c r="AJ178" s="408">
        <f>SUMPRODUCT((Комплекты[Пр]=$F178)*(Комплекты[Обозначение]=$G178)*Комплекты[Кол-во]*(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78" s="307"/>
      <c r="AL178" s="408"/>
      <c r="AM178" s="322"/>
      <c r="AN178" s="408">
        <f>SUMPRODUCT((Комплекты[Пр]=$F178)*(Комплекты[Обозначение]=$G178)*Комплекты[Кол-во]*(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78" s="307"/>
      <c r="AP178" s="408"/>
      <c r="AQ178" s="322"/>
      <c r="AR178" s="408">
        <f>SUMPRODUCT((Комплекты[Пр]=$F178)*(Комплекты[Обозначение]=$G178)*Комплекты[Кол-во]*(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78" s="307"/>
      <c r="AT178" s="408"/>
      <c r="AU178" s="322"/>
      <c r="AV178" s="408">
        <f>SUMPRODUCT((Комплекты[Пр]=$F178)*(Комплекты[Обозначение]=$G178)*Комплекты[Кол-во]*(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78" s="307"/>
      <c r="AX178" s="408"/>
      <c r="AY178" s="322"/>
      <c r="AZ178" s="408">
        <f>SUMPRODUCT((Комплекты[Пр]=$F178)*(Комплекты[Обозначение]=$G178)*Комплекты[Кол-во]*(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78" s="307"/>
      <c r="BB178" s="408"/>
      <c r="BC178" s="322"/>
      <c r="BD178" s="408">
        <f>SUMPRODUCT((Комплекты[Пр]=$F178)*(Комплекты[Обозначение]=$G178)*Комплекты[Кол-во]*(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78" s="307"/>
      <c r="BF178" s="408"/>
      <c r="BG178" s="322"/>
      <c r="BH178" s="408">
        <f>SUMPRODUCT((Комплекты[Пр]=$F178)*(Комплекты[Обозначение]=$G178)*Комплекты[Кол-во]*(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78" s="307"/>
      <c r="BJ178" s="408"/>
      <c r="BK178" s="340"/>
      <c r="BL178" s="328">
        <f t="shared" si="47"/>
        <v>0</v>
      </c>
      <c r="BM178" s="328">
        <f t="shared" si="48"/>
        <v>0</v>
      </c>
      <c r="BN178" s="324">
        <f t="shared" si="49"/>
        <v>6</v>
      </c>
      <c r="BO178" s="325">
        <f t="shared" si="50"/>
        <v>0</v>
      </c>
      <c r="BP178" s="326">
        <f t="shared" si="51"/>
        <v>5</v>
      </c>
      <c r="BQ178" s="327">
        <f t="shared" si="52"/>
        <v>0</v>
      </c>
      <c r="BR178" s="329"/>
      <c r="BS178" s="329"/>
      <c r="BT178" s="322"/>
      <c r="BU178" s="408"/>
      <c r="BV178" s="307"/>
      <c r="BW178" s="408"/>
      <c r="BX178" s="322"/>
      <c r="BY178" s="408"/>
      <c r="BZ178" s="307"/>
      <c r="CA178" s="408"/>
      <c r="CB178" s="322"/>
      <c r="CC178" s="408"/>
      <c r="CD178" s="307"/>
      <c r="CE178" s="408"/>
      <c r="CF178" s="322"/>
      <c r="CG178" s="408"/>
      <c r="CH178" s="307"/>
      <c r="CI178" s="408"/>
      <c r="CJ178" s="322"/>
      <c r="CK178" s="408"/>
      <c r="CL178" s="307"/>
      <c r="CM178" s="408"/>
      <c r="CN178" s="322"/>
      <c r="CO178" s="408"/>
      <c r="CP178" s="307"/>
      <c r="CQ178" s="408"/>
      <c r="CR178" s="322"/>
      <c r="CS178" s="408"/>
      <c r="CT178" s="307"/>
      <c r="CU178" s="408"/>
      <c r="CV178" s="322"/>
      <c r="CW178" s="408"/>
      <c r="CX178" s="307"/>
      <c r="CY178" s="408"/>
      <c r="CZ178" s="322"/>
      <c r="DA178" s="408"/>
      <c r="DB178" s="307"/>
      <c r="DC178" s="408"/>
      <c r="DD178" s="322"/>
      <c r="DE178" s="408"/>
      <c r="DF178" s="307"/>
      <c r="DG178" s="408"/>
      <c r="DH178" s="322"/>
      <c r="DI178" s="408"/>
      <c r="DJ178" s="307"/>
      <c r="DK178" s="408"/>
      <c r="DL178" s="322"/>
      <c r="DM178" s="408"/>
      <c r="DN178" s="307"/>
      <c r="DO178" s="408"/>
      <c r="DP178" s="340"/>
      <c r="DQ178" s="328"/>
      <c r="DR178" s="328"/>
      <c r="DS178" s="329"/>
      <c r="DT178" s="329"/>
      <c r="DU178" s="322"/>
      <c r="DV178" s="408"/>
      <c r="DW178" s="307"/>
      <c r="DX178" s="408"/>
      <c r="DY178" s="322"/>
      <c r="DZ178" s="408"/>
      <c r="EA178" s="307"/>
      <c r="EB178" s="408"/>
      <c r="EC178" s="322"/>
      <c r="ED178" s="408"/>
      <c r="EE178" s="307"/>
      <c r="EF178" s="408"/>
      <c r="EG178" s="322"/>
      <c r="EH178" s="408"/>
      <c r="EI178" s="307"/>
      <c r="EJ178" s="408"/>
      <c r="EK178" s="322"/>
      <c r="EL178" s="408"/>
      <c r="EM178" s="307"/>
      <c r="EN178" s="408"/>
      <c r="EO178" s="322"/>
      <c r="EP178" s="408"/>
      <c r="EQ178" s="307"/>
      <c r="ER178" s="408"/>
      <c r="ES178" s="322"/>
      <c r="ET178" s="408"/>
      <c r="EU178" s="307"/>
      <c r="EV178" s="408"/>
      <c r="EW178" s="322"/>
      <c r="EX178" s="408"/>
      <c r="EY178" s="307"/>
      <c r="EZ178" s="408"/>
      <c r="FA178" s="322"/>
      <c r="FB178" s="408"/>
      <c r="FC178" s="307"/>
      <c r="FD178" s="408"/>
      <c r="FE178" s="322"/>
      <c r="FF178" s="408"/>
      <c r="FG178" s="307"/>
      <c r="FH178" s="408"/>
      <c r="FI178" s="322"/>
      <c r="FJ178" s="408"/>
      <c r="FK178" s="307"/>
      <c r="FL178" s="408"/>
      <c r="FM178" s="322"/>
      <c r="FN178" s="408"/>
      <c r="FO178" s="307"/>
      <c r="FP178" s="408"/>
      <c r="FQ178" s="340"/>
      <c r="FR178" s="328"/>
      <c r="FS178" s="328"/>
      <c r="FT178" s="361"/>
    </row>
    <row r="179" spans="1:176" outlineLevel="2">
      <c r="A179" s="413" t="s">
        <v>469</v>
      </c>
      <c r="B179" s="444" t="s">
        <v>51</v>
      </c>
      <c r="C179" s="587" t="s">
        <v>72</v>
      </c>
      <c r="D179" s="580" t="s">
        <v>32</v>
      </c>
      <c r="E179" s="414">
        <f>IF(ISBLANK(G179),"",IF($A$6:$A$330=$A179,COUNTIF($A$6:A179,$A179),""))</f>
        <v>74</v>
      </c>
      <c r="F179" s="670">
        <v>1</v>
      </c>
      <c r="G179" s="501">
        <v>4630840310</v>
      </c>
      <c r="H179" s="611" t="s">
        <v>135</v>
      </c>
      <c r="I179" s="618">
        <v>0</v>
      </c>
      <c r="J179" s="619"/>
      <c r="K179" s="321"/>
      <c r="L179" s="619"/>
      <c r="M179" s="305"/>
      <c r="N179" s="305">
        <f t="shared" si="46"/>
        <v>1</v>
      </c>
      <c r="O179" s="322"/>
      <c r="P179" s="408"/>
      <c r="Q179" s="307"/>
      <c r="R179" s="408"/>
      <c r="S179" s="322"/>
      <c r="T179" s="408">
        <f>SUMPRODUCT((Комплекты[Пр]=$F179)*(Комплекты[Обозначение]=$G179)*Комплекты[Кол-во]*(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5</v>
      </c>
      <c r="U179" s="307">
        <f>SUMPRODUCT((Комплекты[Пр]=$F179)*(Комплекты[Обозначение]=$G179)*Комплекты[Кол-во]*(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5</v>
      </c>
      <c r="V179" s="408"/>
      <c r="W179" s="322"/>
      <c r="X179" s="408">
        <f>SUMPRODUCT((Комплекты[Пр]=$F179)*(Комплекты[Обозначение]=$G179)*Комплекты[Кол-во]*(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79" s="307">
        <f>SUMPRODUCT((Комплекты[Пр]=$F179)*(Комплекты[Обозначение]=$G179)*Комплекты[Кол-во]*(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79" s="408"/>
      <c r="AA179" s="322"/>
      <c r="AB179" s="408">
        <f>SUMPRODUCT((Комплекты[Пр]=$F179)*(Комплекты[Обозначение]=$G179)*Комплекты[Кол-во]*(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79" s="307"/>
      <c r="AD179" s="408"/>
      <c r="AE179" s="322"/>
      <c r="AF179" s="408">
        <f>SUMPRODUCT((Комплекты[Пр]=$F179)*(Комплекты[Обозначение]=$G179)*Комплекты[Кол-во]*(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79" s="307">
        <f>SUMPRODUCT((Комплекты[Пр]=$F179)*(Комплекты[Обозначение]=$G179)*Комплекты[Кол-во]*(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79" s="408"/>
      <c r="AI179" s="322"/>
      <c r="AJ179" s="408">
        <f>SUMPRODUCT((Комплекты[Пр]=$F179)*(Комплекты[Обозначение]=$G179)*Комплекты[Кол-во]*(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79" s="307"/>
      <c r="AL179" s="408"/>
      <c r="AM179" s="322"/>
      <c r="AN179" s="408">
        <f>SUMPRODUCT((Комплекты[Пр]=$F179)*(Комплекты[Обозначение]=$G179)*Комплекты[Кол-во]*(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79" s="307"/>
      <c r="AP179" s="408"/>
      <c r="AQ179" s="322"/>
      <c r="AR179" s="408">
        <f>SUMPRODUCT((Комплекты[Пр]=$F179)*(Комплекты[Обозначение]=$G179)*Комплекты[Кол-во]*(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79" s="307"/>
      <c r="AT179" s="408"/>
      <c r="AU179" s="322"/>
      <c r="AV179" s="408">
        <f>SUMPRODUCT((Комплекты[Пр]=$F179)*(Комплекты[Обозначение]=$G179)*Комплекты[Кол-во]*(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79" s="307"/>
      <c r="AX179" s="408"/>
      <c r="AY179" s="322"/>
      <c r="AZ179" s="408">
        <f>SUMPRODUCT((Комплекты[Пр]=$F179)*(Комплекты[Обозначение]=$G179)*Комплекты[Кол-во]*(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79" s="307"/>
      <c r="BB179" s="408"/>
      <c r="BC179" s="322"/>
      <c r="BD179" s="408">
        <f>SUMPRODUCT((Комплекты[Пр]=$F179)*(Комплекты[Обозначение]=$G179)*Комплекты[Кол-во]*(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79" s="307"/>
      <c r="BF179" s="408"/>
      <c r="BG179" s="322"/>
      <c r="BH179" s="408">
        <f>SUMPRODUCT((Комплекты[Пр]=$F179)*(Комплекты[Обозначение]=$G179)*Комплекты[Кол-во]*(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79" s="307"/>
      <c r="BJ179" s="408"/>
      <c r="BK179" s="340"/>
      <c r="BL179" s="328">
        <f t="shared" si="47"/>
        <v>0</v>
      </c>
      <c r="BM179" s="328">
        <f t="shared" si="48"/>
        <v>0</v>
      </c>
      <c r="BN179" s="324">
        <f t="shared" si="49"/>
        <v>6</v>
      </c>
      <c r="BO179" s="325">
        <f t="shared" si="50"/>
        <v>0</v>
      </c>
      <c r="BP179" s="326">
        <f t="shared" si="51"/>
        <v>5</v>
      </c>
      <c r="BQ179" s="327">
        <f t="shared" si="52"/>
        <v>0</v>
      </c>
      <c r="BR179" s="329"/>
      <c r="BS179" s="329"/>
      <c r="BT179" s="322"/>
      <c r="BU179" s="408"/>
      <c r="BV179" s="307"/>
      <c r="BW179" s="408"/>
      <c r="BX179" s="322"/>
      <c r="BY179" s="408"/>
      <c r="BZ179" s="307"/>
      <c r="CA179" s="408"/>
      <c r="CB179" s="322"/>
      <c r="CC179" s="408"/>
      <c r="CD179" s="307"/>
      <c r="CE179" s="408"/>
      <c r="CF179" s="322"/>
      <c r="CG179" s="408"/>
      <c r="CH179" s="307"/>
      <c r="CI179" s="408"/>
      <c r="CJ179" s="322"/>
      <c r="CK179" s="408"/>
      <c r="CL179" s="307"/>
      <c r="CM179" s="408"/>
      <c r="CN179" s="322"/>
      <c r="CO179" s="408"/>
      <c r="CP179" s="307"/>
      <c r="CQ179" s="408"/>
      <c r="CR179" s="322"/>
      <c r="CS179" s="408"/>
      <c r="CT179" s="307"/>
      <c r="CU179" s="408"/>
      <c r="CV179" s="322"/>
      <c r="CW179" s="408"/>
      <c r="CX179" s="307"/>
      <c r="CY179" s="408"/>
      <c r="CZ179" s="322"/>
      <c r="DA179" s="408"/>
      <c r="DB179" s="307"/>
      <c r="DC179" s="408"/>
      <c r="DD179" s="322"/>
      <c r="DE179" s="408"/>
      <c r="DF179" s="307"/>
      <c r="DG179" s="408"/>
      <c r="DH179" s="322"/>
      <c r="DI179" s="408"/>
      <c r="DJ179" s="307"/>
      <c r="DK179" s="408"/>
      <c r="DL179" s="322"/>
      <c r="DM179" s="408"/>
      <c r="DN179" s="307"/>
      <c r="DO179" s="408"/>
      <c r="DP179" s="340"/>
      <c r="DQ179" s="328"/>
      <c r="DR179" s="328"/>
      <c r="DS179" s="329"/>
      <c r="DT179" s="329"/>
      <c r="DU179" s="322"/>
      <c r="DV179" s="408"/>
      <c r="DW179" s="307"/>
      <c r="DX179" s="408"/>
      <c r="DY179" s="322"/>
      <c r="DZ179" s="408"/>
      <c r="EA179" s="307"/>
      <c r="EB179" s="408"/>
      <c r="EC179" s="322"/>
      <c r="ED179" s="408"/>
      <c r="EE179" s="307"/>
      <c r="EF179" s="408"/>
      <c r="EG179" s="322"/>
      <c r="EH179" s="408"/>
      <c r="EI179" s="307"/>
      <c r="EJ179" s="408"/>
      <c r="EK179" s="322"/>
      <c r="EL179" s="408"/>
      <c r="EM179" s="307"/>
      <c r="EN179" s="408"/>
      <c r="EO179" s="322"/>
      <c r="EP179" s="408"/>
      <c r="EQ179" s="307"/>
      <c r="ER179" s="408"/>
      <c r="ES179" s="322"/>
      <c r="ET179" s="408"/>
      <c r="EU179" s="307"/>
      <c r="EV179" s="408"/>
      <c r="EW179" s="322"/>
      <c r="EX179" s="408"/>
      <c r="EY179" s="307"/>
      <c r="EZ179" s="408"/>
      <c r="FA179" s="322"/>
      <c r="FB179" s="408"/>
      <c r="FC179" s="307"/>
      <c r="FD179" s="408"/>
      <c r="FE179" s="322"/>
      <c r="FF179" s="408"/>
      <c r="FG179" s="307"/>
      <c r="FH179" s="408"/>
      <c r="FI179" s="322"/>
      <c r="FJ179" s="408"/>
      <c r="FK179" s="307"/>
      <c r="FL179" s="408"/>
      <c r="FM179" s="322"/>
      <c r="FN179" s="408"/>
      <c r="FO179" s="307"/>
      <c r="FP179" s="408"/>
      <c r="FQ179" s="340"/>
      <c r="FR179" s="328"/>
      <c r="FS179" s="328"/>
      <c r="FT179" s="361"/>
    </row>
    <row r="180" spans="1:176" outlineLevel="2">
      <c r="A180" s="56" t="s">
        <v>469</v>
      </c>
      <c r="B180" s="387" t="s">
        <v>51</v>
      </c>
      <c r="C180" s="541" t="s">
        <v>72</v>
      </c>
      <c r="D180" s="565" t="s">
        <v>32</v>
      </c>
      <c r="E180" s="10">
        <f>IF(ISBLANK(G180),"",IF($A$6:$A$330=$A180,COUNTIF($A$6:A180,$A180),""))</f>
        <v>75</v>
      </c>
      <c r="F180" s="669">
        <v>2</v>
      </c>
      <c r="G180" s="129">
        <v>4801020640</v>
      </c>
      <c r="H180" s="610" t="s">
        <v>107</v>
      </c>
      <c r="I180" s="618">
        <v>0</v>
      </c>
      <c r="J180" s="618"/>
      <c r="K180" s="126"/>
      <c r="L180" s="618" t="str">
        <f t="shared" ref="L180:L186" si="60">IF(K180="RUB",J180/ЮАНЬ,IF(K180="EUR",J180*ЕВРО/ЮАНЬ,""))</f>
        <v/>
      </c>
      <c r="M180" s="102"/>
      <c r="N180" s="305">
        <f t="shared" si="46"/>
        <v>1</v>
      </c>
      <c r="O180" s="23">
        <v>0</v>
      </c>
      <c r="P180" s="24">
        <f>SUMPRODUCT((Комплекты[Пр]=$F180)*(Комплекты[Обозначение]=$G180)*Комплекты[Кол-во]*(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</v>
      </c>
      <c r="Q180" s="25">
        <f>SUMPRODUCT((Комплекты[Пр]=$F180)*(Комплекты[Обозначение]=$G180)*Комплекты[Кол-во]*(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</v>
      </c>
      <c r="R180" s="24"/>
      <c r="S180" s="23">
        <v>0</v>
      </c>
      <c r="T180" s="24">
        <f>SUMPRODUCT((Комплекты[Пр]=$F180)*(Комплекты[Обозначение]=$G180)*Комплекты[Кол-во]*(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5</v>
      </c>
      <c r="U180" s="25">
        <f>SUMPRODUCT((Комплекты[Пр]=$F180)*(Комплекты[Обозначение]=$G180)*Комплекты[Кол-во]*(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5</v>
      </c>
      <c r="V180" s="24"/>
      <c r="W180" s="23">
        <v>0</v>
      </c>
      <c r="X180" s="24">
        <f>SUMPRODUCT((Комплекты[Пр]=$F180)*(Комплекты[Обозначение]=$G180)*Комплекты[Кол-во]*(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80" s="25">
        <f>SUMPRODUCT((Комплекты[Пр]=$F180)*(Комплекты[Обозначение]=$G180)*Комплекты[Кол-во]*(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80" s="24"/>
      <c r="AA180" s="23">
        <v>0</v>
      </c>
      <c r="AB180" s="24">
        <f>SUMPRODUCT((Комплекты[Пр]=$F180)*(Комплекты[Обозначение]=$G180)*Комплекты[Кол-во]*(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80" s="25"/>
      <c r="AD180" s="24"/>
      <c r="AE180" s="23">
        <v>0</v>
      </c>
      <c r="AF180" s="24">
        <f>SUMPRODUCT((Комплекты[Пр]=$F180)*(Комплекты[Обозначение]=$G180)*Комплекты[Кол-во]*(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80" s="25">
        <f>SUMPRODUCT((Комплекты[Пр]=$F180)*(Комплекты[Обозначение]=$G180)*Комплекты[Кол-во]*(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80" s="24"/>
      <c r="AI180" s="23">
        <v>0</v>
      </c>
      <c r="AJ180" s="24">
        <f>SUMPRODUCT((Комплекты[Пр]=$F180)*(Комплекты[Обозначение]=$G180)*Комплекты[Кол-во]*(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80" s="25"/>
      <c r="AL180" s="24"/>
      <c r="AM180" s="23">
        <v>0</v>
      </c>
      <c r="AN180" s="24">
        <f>SUMPRODUCT((Комплекты[Пр]=$F180)*(Комплекты[Обозначение]=$G180)*Комплекты[Кол-во]*(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80" s="25"/>
      <c r="AP180" s="24"/>
      <c r="AQ180" s="23">
        <v>0</v>
      </c>
      <c r="AR180" s="24">
        <f>SUMPRODUCT((Комплекты[Пр]=$F180)*(Комплекты[Обозначение]=$G180)*Комплекты[Кол-во]*(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80" s="25"/>
      <c r="AT180" s="24"/>
      <c r="AU180" s="23">
        <v>0</v>
      </c>
      <c r="AV180" s="24">
        <f>SUMPRODUCT((Комплекты[Пр]=$F180)*(Комплекты[Обозначение]=$G180)*Комплекты[Кол-во]*(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80" s="25"/>
      <c r="AX180" s="24"/>
      <c r="AY180" s="23">
        <v>0</v>
      </c>
      <c r="AZ180" s="24">
        <f>SUMPRODUCT((Комплекты[Пр]=$F180)*(Комплекты[Обозначение]=$G180)*Комплекты[Кол-во]*(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80" s="25"/>
      <c r="BB180" s="24"/>
      <c r="BC180" s="23">
        <v>0</v>
      </c>
      <c r="BD180" s="24">
        <f>SUMPRODUCT((Комплекты[Пр]=$F180)*(Комплекты[Обозначение]=$G180)*Комплекты[Кол-во]*(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80" s="25"/>
      <c r="BF180" s="24"/>
      <c r="BG180" s="23">
        <v>0</v>
      </c>
      <c r="BH180" s="24">
        <f>SUMPRODUCT((Комплекты[Пр]=$F180)*(Комплекты[Обозначение]=$G180)*Комплекты[Кол-во]*(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80" s="25"/>
      <c r="BJ180" s="24"/>
      <c r="BK180" s="340"/>
      <c r="BL180" s="32">
        <f t="shared" si="47"/>
        <v>0</v>
      </c>
      <c r="BM180" s="32">
        <f t="shared" si="48"/>
        <v>0</v>
      </c>
      <c r="BN180" s="28">
        <f t="shared" si="49"/>
        <v>8</v>
      </c>
      <c r="BO180" s="29">
        <f t="shared" si="50"/>
        <v>0</v>
      </c>
      <c r="BP180" s="30">
        <f t="shared" si="51"/>
        <v>7</v>
      </c>
      <c r="BQ180" s="31">
        <f t="shared" si="52"/>
        <v>0</v>
      </c>
      <c r="BR180" s="11"/>
      <c r="BS180" s="329"/>
      <c r="BT180" s="23">
        <v>0</v>
      </c>
      <c r="BU180" s="24"/>
      <c r="BV180" s="25"/>
      <c r="BW180" s="24"/>
      <c r="BX180" s="23">
        <v>0</v>
      </c>
      <c r="BY180" s="24"/>
      <c r="BZ180" s="25"/>
      <c r="CA180" s="24"/>
      <c r="CB180" s="23">
        <v>0</v>
      </c>
      <c r="CC180" s="24"/>
      <c r="CD180" s="25"/>
      <c r="CE180" s="24"/>
      <c r="CF180" s="23">
        <v>0</v>
      </c>
      <c r="CG180" s="24"/>
      <c r="CH180" s="25"/>
      <c r="CI180" s="24"/>
      <c r="CJ180" s="23">
        <v>0</v>
      </c>
      <c r="CK180" s="24"/>
      <c r="CL180" s="25"/>
      <c r="CM180" s="24"/>
      <c r="CN180" s="23">
        <v>0</v>
      </c>
      <c r="CO180" s="24"/>
      <c r="CP180" s="25"/>
      <c r="CQ180" s="24"/>
      <c r="CR180" s="23">
        <v>0</v>
      </c>
      <c r="CS180" s="24"/>
      <c r="CT180" s="25"/>
      <c r="CU180" s="24"/>
      <c r="CV180" s="23">
        <v>0</v>
      </c>
      <c r="CW180" s="24"/>
      <c r="CX180" s="25"/>
      <c r="CY180" s="24"/>
      <c r="CZ180" s="23">
        <v>0</v>
      </c>
      <c r="DA180" s="24"/>
      <c r="DB180" s="25"/>
      <c r="DC180" s="24"/>
      <c r="DD180" s="23">
        <v>0</v>
      </c>
      <c r="DE180" s="24"/>
      <c r="DF180" s="25"/>
      <c r="DG180" s="24"/>
      <c r="DH180" s="23">
        <v>0</v>
      </c>
      <c r="DI180" s="24"/>
      <c r="DJ180" s="25"/>
      <c r="DK180" s="24"/>
      <c r="DL180" s="23">
        <v>0</v>
      </c>
      <c r="DM180" s="24"/>
      <c r="DN180" s="25"/>
      <c r="DO180" s="24"/>
      <c r="DP180" s="340"/>
      <c r="DQ180" s="32">
        <f t="shared" ref="DQ180:DQ186" si="61">SUMPRODUCT(--(MOD(COLUMN(BT180:CQ180),4)=MOD(COLUMN(BT180),4)),BT180:CQ180)+SUMPRODUCT(--(MOD(COLUMN(CR180:DO180),4)=MOD(COLUMN(CR180),4)),CR180:DO180)</f>
        <v>0</v>
      </c>
      <c r="DR180" s="32">
        <f t="shared" ref="DR180:DR219" si="62">SUMPRODUCT(--(MOD(COLUMN(BT180:CQ180),4)=MOD(COLUMN(BT180),4)),BT180:CQ180)*$I180+SUMPRODUCT(--(MOD(COLUMN(CR180:DO180),4)=MOD(COLUMN(CR180),4)),CR180:DO180)*$I180</f>
        <v>0</v>
      </c>
      <c r="DS180" s="11"/>
      <c r="DT180" s="329"/>
      <c r="DU180" s="23">
        <v>0</v>
      </c>
      <c r="DV180" s="24"/>
      <c r="DW180" s="25"/>
      <c r="DX180" s="24"/>
      <c r="DY180" s="23">
        <v>0</v>
      </c>
      <c r="DZ180" s="24"/>
      <c r="EA180" s="25"/>
      <c r="EB180" s="24"/>
      <c r="EC180" s="23">
        <v>0</v>
      </c>
      <c r="ED180" s="24"/>
      <c r="EE180" s="25"/>
      <c r="EF180" s="24"/>
      <c r="EG180" s="23">
        <v>0</v>
      </c>
      <c r="EH180" s="24"/>
      <c r="EI180" s="25"/>
      <c r="EJ180" s="24"/>
      <c r="EK180" s="23">
        <v>0</v>
      </c>
      <c r="EL180" s="24"/>
      <c r="EM180" s="25"/>
      <c r="EN180" s="24"/>
      <c r="EO180" s="23">
        <v>0</v>
      </c>
      <c r="EP180" s="24"/>
      <c r="EQ180" s="25"/>
      <c r="ER180" s="24"/>
      <c r="ES180" s="23">
        <v>0</v>
      </c>
      <c r="ET180" s="24"/>
      <c r="EU180" s="25"/>
      <c r="EV180" s="24"/>
      <c r="EW180" s="23">
        <v>0</v>
      </c>
      <c r="EX180" s="24"/>
      <c r="EY180" s="25"/>
      <c r="EZ180" s="24"/>
      <c r="FA180" s="23">
        <v>0</v>
      </c>
      <c r="FB180" s="24"/>
      <c r="FC180" s="25"/>
      <c r="FD180" s="24"/>
      <c r="FE180" s="23">
        <v>0</v>
      </c>
      <c r="FF180" s="24"/>
      <c r="FG180" s="25"/>
      <c r="FH180" s="24"/>
      <c r="FI180" s="23">
        <v>0</v>
      </c>
      <c r="FJ180" s="24"/>
      <c r="FK180" s="25"/>
      <c r="FL180" s="24"/>
      <c r="FM180" s="23">
        <v>0</v>
      </c>
      <c r="FN180" s="24"/>
      <c r="FO180" s="25"/>
      <c r="FP180" s="24"/>
      <c r="FQ180" s="340"/>
      <c r="FR180" s="32">
        <f t="shared" ref="FR180:FR186" si="63">SUMPRODUCT(--(MOD(COLUMN(DU180:ER180),4)=MOD(COLUMN(DU180),4)),DU180:ER180)+SUMPRODUCT(--(MOD(COLUMN(ES180:FP180),4)=MOD(COLUMN(ES180),4)),ES180:FP180)</f>
        <v>0</v>
      </c>
      <c r="FS180" s="32">
        <f t="shared" ref="FS180:FS219" si="64">SUMPRODUCT(--(MOD(COLUMN(DU180:ER180),4)=MOD(COLUMN(DU180),4)),DU180:ER180)*$I180+SUMPRODUCT(--(MOD(COLUMN(ES180:FP180),4)=MOD(COLUMN(ES180),4)),ES180:FP180)*$I180</f>
        <v>0</v>
      </c>
      <c r="FT180" s="361"/>
    </row>
    <row r="181" spans="1:176" outlineLevel="2">
      <c r="A181" s="56" t="s">
        <v>469</v>
      </c>
      <c r="B181" s="387" t="s">
        <v>51</v>
      </c>
      <c r="C181" s="541" t="s">
        <v>72</v>
      </c>
      <c r="D181" s="565" t="s">
        <v>32</v>
      </c>
      <c r="E181" s="10">
        <f>IF(ISBLANK(G181),"",IF($A$6:$A$330=$A181,COUNTIF($A$6:A181,$A181),""))</f>
        <v>76</v>
      </c>
      <c r="F181" s="669">
        <v>2</v>
      </c>
      <c r="G181" s="129">
        <v>4491731200</v>
      </c>
      <c r="H181" s="610" t="s">
        <v>83</v>
      </c>
      <c r="I181" s="618">
        <v>0</v>
      </c>
      <c r="J181" s="618"/>
      <c r="K181" s="126"/>
      <c r="L181" s="618" t="str">
        <f t="shared" si="60"/>
        <v/>
      </c>
      <c r="M181" s="102"/>
      <c r="N181" s="305">
        <f t="shared" si="46"/>
        <v>1</v>
      </c>
      <c r="O181" s="23">
        <v>0</v>
      </c>
      <c r="P181" s="24">
        <f>SUMPRODUCT((Комплекты[Пр]=$F181)*(Комплекты[Обозначение]=$G181)*Комплекты[Кол-во]*(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</v>
      </c>
      <c r="Q181" s="25">
        <f>SUMPRODUCT((Комплекты[Пр]=$F181)*(Комплекты[Обозначение]=$G181)*Комплекты[Кол-во]*(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</v>
      </c>
      <c r="R181" s="24"/>
      <c r="S181" s="23">
        <v>0</v>
      </c>
      <c r="T181" s="24">
        <f>SUMPRODUCT((Комплекты[Пр]=$F181)*(Комплекты[Обозначение]=$G181)*Комплекты[Кол-во]*(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5</v>
      </c>
      <c r="U181" s="25">
        <f>SUMPRODUCT((Комплекты[Пр]=$F181)*(Комплекты[Обозначение]=$G181)*Комплекты[Кол-во]*(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5</v>
      </c>
      <c r="V181" s="24"/>
      <c r="W181" s="23">
        <v>0</v>
      </c>
      <c r="X181" s="24">
        <f>SUMPRODUCT((Комплекты[Пр]=$F181)*(Комплекты[Обозначение]=$G181)*Комплекты[Кол-во]*(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81" s="25">
        <f>SUMPRODUCT((Комплекты[Пр]=$F181)*(Комплекты[Обозначение]=$G181)*Комплекты[Кол-во]*(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81" s="24"/>
      <c r="AA181" s="23">
        <v>0</v>
      </c>
      <c r="AB181" s="24">
        <f>SUMPRODUCT((Комплекты[Пр]=$F181)*(Комплекты[Обозначение]=$G181)*Комплекты[Кол-во]*(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81" s="25"/>
      <c r="AD181" s="24"/>
      <c r="AE181" s="23">
        <v>0</v>
      </c>
      <c r="AF181" s="24">
        <f>SUMPRODUCT((Комплекты[Пр]=$F181)*(Комплекты[Обозначение]=$G181)*Комплекты[Кол-во]*(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81" s="25">
        <f>SUMPRODUCT((Комплекты[Пр]=$F181)*(Комплекты[Обозначение]=$G181)*Комплекты[Кол-во]*(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81" s="24"/>
      <c r="AI181" s="23">
        <v>0</v>
      </c>
      <c r="AJ181" s="24">
        <f>SUMPRODUCT((Комплекты[Пр]=$F181)*(Комплекты[Обозначение]=$G181)*Комплекты[Кол-во]*(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81" s="25"/>
      <c r="AL181" s="24"/>
      <c r="AM181" s="23">
        <v>0</v>
      </c>
      <c r="AN181" s="24">
        <f>SUMPRODUCT((Комплекты[Пр]=$F181)*(Комплекты[Обозначение]=$G181)*Комплекты[Кол-во]*(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81" s="25"/>
      <c r="AP181" s="24"/>
      <c r="AQ181" s="23">
        <v>0</v>
      </c>
      <c r="AR181" s="24">
        <f>SUMPRODUCT((Комплекты[Пр]=$F181)*(Комплекты[Обозначение]=$G181)*Комплекты[Кол-во]*(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81" s="25"/>
      <c r="AT181" s="24"/>
      <c r="AU181" s="23">
        <v>0</v>
      </c>
      <c r="AV181" s="24">
        <f>SUMPRODUCT((Комплекты[Пр]=$F181)*(Комплекты[Обозначение]=$G181)*Комплекты[Кол-во]*(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81" s="25"/>
      <c r="AX181" s="24"/>
      <c r="AY181" s="23">
        <v>0</v>
      </c>
      <c r="AZ181" s="24">
        <f>SUMPRODUCT((Комплекты[Пр]=$F181)*(Комплекты[Обозначение]=$G181)*Комплекты[Кол-во]*(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81" s="25"/>
      <c r="BB181" s="24"/>
      <c r="BC181" s="23">
        <v>0</v>
      </c>
      <c r="BD181" s="24">
        <f>SUMPRODUCT((Комплекты[Пр]=$F181)*(Комплекты[Обозначение]=$G181)*Комплекты[Кол-во]*(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81" s="25"/>
      <c r="BF181" s="24"/>
      <c r="BG181" s="23">
        <v>0</v>
      </c>
      <c r="BH181" s="24">
        <f>SUMPRODUCT((Комплекты[Пр]=$F181)*(Комплекты[Обозначение]=$G181)*Комплекты[Кол-во]*(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81" s="25"/>
      <c r="BJ181" s="24"/>
      <c r="BK181" s="340"/>
      <c r="BL181" s="32">
        <f t="shared" si="47"/>
        <v>0</v>
      </c>
      <c r="BM181" s="32">
        <f t="shared" si="48"/>
        <v>0</v>
      </c>
      <c r="BN181" s="28">
        <f t="shared" si="49"/>
        <v>8</v>
      </c>
      <c r="BO181" s="29">
        <f t="shared" si="50"/>
        <v>0</v>
      </c>
      <c r="BP181" s="30">
        <f t="shared" si="51"/>
        <v>7</v>
      </c>
      <c r="BQ181" s="31">
        <f t="shared" si="52"/>
        <v>0</v>
      </c>
      <c r="BR181" s="11"/>
      <c r="BS181" s="329"/>
      <c r="BT181" s="23">
        <v>0</v>
      </c>
      <c r="BU181" s="24"/>
      <c r="BV181" s="25"/>
      <c r="BW181" s="24"/>
      <c r="BX181" s="23">
        <v>0</v>
      </c>
      <c r="BY181" s="24"/>
      <c r="BZ181" s="25"/>
      <c r="CA181" s="24"/>
      <c r="CB181" s="23">
        <v>0</v>
      </c>
      <c r="CC181" s="24"/>
      <c r="CD181" s="25"/>
      <c r="CE181" s="24"/>
      <c r="CF181" s="23">
        <v>0</v>
      </c>
      <c r="CG181" s="24"/>
      <c r="CH181" s="25"/>
      <c r="CI181" s="24"/>
      <c r="CJ181" s="23">
        <v>0</v>
      </c>
      <c r="CK181" s="24"/>
      <c r="CL181" s="25"/>
      <c r="CM181" s="24"/>
      <c r="CN181" s="23">
        <v>0</v>
      </c>
      <c r="CO181" s="24"/>
      <c r="CP181" s="25"/>
      <c r="CQ181" s="24"/>
      <c r="CR181" s="23">
        <v>0</v>
      </c>
      <c r="CS181" s="24"/>
      <c r="CT181" s="25"/>
      <c r="CU181" s="24"/>
      <c r="CV181" s="23">
        <v>0</v>
      </c>
      <c r="CW181" s="24"/>
      <c r="CX181" s="25"/>
      <c r="CY181" s="24"/>
      <c r="CZ181" s="23">
        <v>0</v>
      </c>
      <c r="DA181" s="24"/>
      <c r="DB181" s="25"/>
      <c r="DC181" s="24"/>
      <c r="DD181" s="23">
        <v>0</v>
      </c>
      <c r="DE181" s="24"/>
      <c r="DF181" s="25"/>
      <c r="DG181" s="24"/>
      <c r="DH181" s="23">
        <v>0</v>
      </c>
      <c r="DI181" s="24"/>
      <c r="DJ181" s="25"/>
      <c r="DK181" s="24"/>
      <c r="DL181" s="23">
        <v>0</v>
      </c>
      <c r="DM181" s="24"/>
      <c r="DN181" s="25"/>
      <c r="DO181" s="24"/>
      <c r="DP181" s="340"/>
      <c r="DQ181" s="32">
        <f t="shared" si="61"/>
        <v>0</v>
      </c>
      <c r="DR181" s="32">
        <f t="shared" si="62"/>
        <v>0</v>
      </c>
      <c r="DS181" s="11"/>
      <c r="DT181" s="329"/>
      <c r="DU181" s="23">
        <v>0</v>
      </c>
      <c r="DV181" s="24"/>
      <c r="DW181" s="25"/>
      <c r="DX181" s="24"/>
      <c r="DY181" s="23">
        <v>0</v>
      </c>
      <c r="DZ181" s="24"/>
      <c r="EA181" s="25"/>
      <c r="EB181" s="24"/>
      <c r="EC181" s="23">
        <v>0</v>
      </c>
      <c r="ED181" s="24"/>
      <c r="EE181" s="25"/>
      <c r="EF181" s="24"/>
      <c r="EG181" s="23">
        <v>0</v>
      </c>
      <c r="EH181" s="24"/>
      <c r="EI181" s="25"/>
      <c r="EJ181" s="24"/>
      <c r="EK181" s="23">
        <v>0</v>
      </c>
      <c r="EL181" s="24"/>
      <c r="EM181" s="25"/>
      <c r="EN181" s="24"/>
      <c r="EO181" s="23">
        <v>0</v>
      </c>
      <c r="EP181" s="24"/>
      <c r="EQ181" s="25"/>
      <c r="ER181" s="24"/>
      <c r="ES181" s="23">
        <v>0</v>
      </c>
      <c r="ET181" s="24"/>
      <c r="EU181" s="25"/>
      <c r="EV181" s="24"/>
      <c r="EW181" s="23">
        <v>0</v>
      </c>
      <c r="EX181" s="24"/>
      <c r="EY181" s="25"/>
      <c r="EZ181" s="24"/>
      <c r="FA181" s="23">
        <v>0</v>
      </c>
      <c r="FB181" s="24"/>
      <c r="FC181" s="25"/>
      <c r="FD181" s="24"/>
      <c r="FE181" s="23">
        <v>0</v>
      </c>
      <c r="FF181" s="24"/>
      <c r="FG181" s="25"/>
      <c r="FH181" s="24"/>
      <c r="FI181" s="23">
        <v>0</v>
      </c>
      <c r="FJ181" s="24"/>
      <c r="FK181" s="25"/>
      <c r="FL181" s="24"/>
      <c r="FM181" s="23">
        <v>0</v>
      </c>
      <c r="FN181" s="24"/>
      <c r="FO181" s="25"/>
      <c r="FP181" s="24"/>
      <c r="FQ181" s="340"/>
      <c r="FR181" s="32">
        <f t="shared" si="63"/>
        <v>0</v>
      </c>
      <c r="FS181" s="32">
        <f t="shared" si="64"/>
        <v>0</v>
      </c>
      <c r="FT181" s="361"/>
    </row>
    <row r="182" spans="1:176" outlineLevel="2">
      <c r="A182" s="56" t="s">
        <v>469</v>
      </c>
      <c r="B182" s="387" t="s">
        <v>51</v>
      </c>
      <c r="C182" s="541" t="s">
        <v>72</v>
      </c>
      <c r="D182" s="565" t="s">
        <v>32</v>
      </c>
      <c r="E182" s="10">
        <f>IF(ISBLANK(G182),"",IF($A$6:$A$330=$A182,COUNTIF($A$6:A182,$A182),""))</f>
        <v>77</v>
      </c>
      <c r="F182" s="669">
        <v>2</v>
      </c>
      <c r="G182" s="129">
        <v>9630010510</v>
      </c>
      <c r="H182" s="610" t="s">
        <v>91</v>
      </c>
      <c r="I182" s="618">
        <v>0</v>
      </c>
      <c r="J182" s="618"/>
      <c r="K182" s="126"/>
      <c r="L182" s="618" t="str">
        <f t="shared" si="60"/>
        <v/>
      </c>
      <c r="M182" s="102"/>
      <c r="N182" s="305">
        <f t="shared" si="46"/>
        <v>1</v>
      </c>
      <c r="O182" s="23">
        <v>0</v>
      </c>
      <c r="P182" s="24">
        <f>SUMPRODUCT((Комплекты[Пр]=$F182)*(Комплекты[Обозначение]=$G182)*Комплекты[Кол-во]*(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</v>
      </c>
      <c r="Q182" s="25">
        <f>SUMPRODUCT((Комплекты[Пр]=$F182)*(Комплекты[Обозначение]=$G182)*Комплекты[Кол-во]*(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</v>
      </c>
      <c r="R182" s="24"/>
      <c r="S182" s="23">
        <v>0</v>
      </c>
      <c r="T182" s="24">
        <f>SUMPRODUCT((Комплекты[Пр]=$F182)*(Комплекты[Обозначение]=$G182)*Комплекты[Кол-во]*(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82" s="25">
        <f>SUMPRODUCT((Комплекты[Пр]=$F182)*(Комплекты[Обозначение]=$G182)*Комплекты[Кол-во]*(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82" s="24"/>
      <c r="W182" s="23">
        <v>0</v>
      </c>
      <c r="X182" s="24">
        <f>SUMPRODUCT((Комплекты[Пр]=$F182)*(Комплекты[Обозначение]=$G182)*Комплекты[Кол-во]*(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82" s="25">
        <f>SUMPRODUCT((Комплекты[Пр]=$F182)*(Комплекты[Обозначение]=$G182)*Комплекты[Кол-во]*(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82" s="24"/>
      <c r="AA182" s="23">
        <v>0</v>
      </c>
      <c r="AB182" s="24">
        <f>SUMPRODUCT((Комплекты[Пр]=$F182)*(Комплекты[Обозначение]=$G182)*Комплекты[Кол-во]*(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82" s="25"/>
      <c r="AD182" s="24"/>
      <c r="AE182" s="23">
        <v>0</v>
      </c>
      <c r="AF182" s="24">
        <f>SUMPRODUCT((Комплекты[Пр]=$F182)*(Комплекты[Обозначение]=$G182)*Комплекты[Кол-во]*(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82" s="25">
        <f>SUMPRODUCT((Комплекты[Пр]=$F182)*(Комплекты[Обозначение]=$G182)*Комплекты[Кол-во]*(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82" s="24"/>
      <c r="AI182" s="23">
        <v>0</v>
      </c>
      <c r="AJ182" s="24">
        <f>SUMPRODUCT((Комплекты[Пр]=$F182)*(Комплекты[Обозначение]=$G182)*Комплекты[Кол-во]*(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82" s="25"/>
      <c r="AL182" s="24"/>
      <c r="AM182" s="23">
        <v>0</v>
      </c>
      <c r="AN182" s="24">
        <f>SUMPRODUCT((Комплекты[Пр]=$F182)*(Комплекты[Обозначение]=$G182)*Комплекты[Кол-во]*(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82" s="25"/>
      <c r="AP182" s="24"/>
      <c r="AQ182" s="23">
        <v>0</v>
      </c>
      <c r="AR182" s="24">
        <f>SUMPRODUCT((Комплекты[Пр]=$F182)*(Комплекты[Обозначение]=$G182)*Комплекты[Кол-во]*(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82" s="25"/>
      <c r="AT182" s="24"/>
      <c r="AU182" s="23">
        <v>0</v>
      </c>
      <c r="AV182" s="24">
        <f>SUMPRODUCT((Комплекты[Пр]=$F182)*(Комплекты[Обозначение]=$G182)*Комплекты[Кол-во]*(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82" s="25"/>
      <c r="AX182" s="24"/>
      <c r="AY182" s="23">
        <v>0</v>
      </c>
      <c r="AZ182" s="24">
        <f>SUMPRODUCT((Комплекты[Пр]=$F182)*(Комплекты[Обозначение]=$G182)*Комплекты[Кол-во]*(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82" s="25"/>
      <c r="BB182" s="24"/>
      <c r="BC182" s="23">
        <v>0</v>
      </c>
      <c r="BD182" s="24">
        <f>SUMPRODUCT((Комплекты[Пр]=$F182)*(Комплекты[Обозначение]=$G182)*Комплекты[Кол-во]*(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82" s="25"/>
      <c r="BF182" s="24"/>
      <c r="BG182" s="23">
        <v>0</v>
      </c>
      <c r="BH182" s="24">
        <f>SUMPRODUCT((Комплекты[Пр]=$F182)*(Комплекты[Обозначение]=$G182)*Комплекты[Кол-во]*(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82" s="25"/>
      <c r="BJ182" s="24"/>
      <c r="BK182" s="340"/>
      <c r="BL182" s="32">
        <f t="shared" si="47"/>
        <v>0</v>
      </c>
      <c r="BM182" s="32">
        <f t="shared" si="48"/>
        <v>0</v>
      </c>
      <c r="BN182" s="28">
        <f t="shared" si="49"/>
        <v>3</v>
      </c>
      <c r="BO182" s="29">
        <f t="shared" si="50"/>
        <v>0</v>
      </c>
      <c r="BP182" s="30">
        <f t="shared" si="51"/>
        <v>2</v>
      </c>
      <c r="BQ182" s="31">
        <f t="shared" si="52"/>
        <v>0</v>
      </c>
      <c r="BR182" s="11"/>
      <c r="BS182" s="329"/>
      <c r="BT182" s="23">
        <v>0</v>
      </c>
      <c r="BU182" s="24"/>
      <c r="BV182" s="25"/>
      <c r="BW182" s="24"/>
      <c r="BX182" s="23">
        <v>0</v>
      </c>
      <c r="BY182" s="24"/>
      <c r="BZ182" s="25"/>
      <c r="CA182" s="24"/>
      <c r="CB182" s="23">
        <v>0</v>
      </c>
      <c r="CC182" s="24"/>
      <c r="CD182" s="25"/>
      <c r="CE182" s="24"/>
      <c r="CF182" s="23">
        <v>0</v>
      </c>
      <c r="CG182" s="24"/>
      <c r="CH182" s="25"/>
      <c r="CI182" s="24"/>
      <c r="CJ182" s="23">
        <v>0</v>
      </c>
      <c r="CK182" s="24"/>
      <c r="CL182" s="25"/>
      <c r="CM182" s="24"/>
      <c r="CN182" s="23">
        <v>0</v>
      </c>
      <c r="CO182" s="24"/>
      <c r="CP182" s="25"/>
      <c r="CQ182" s="24"/>
      <c r="CR182" s="23">
        <v>0</v>
      </c>
      <c r="CS182" s="24"/>
      <c r="CT182" s="25"/>
      <c r="CU182" s="24"/>
      <c r="CV182" s="23">
        <v>0</v>
      </c>
      <c r="CW182" s="24"/>
      <c r="CX182" s="25"/>
      <c r="CY182" s="24"/>
      <c r="CZ182" s="23">
        <v>0</v>
      </c>
      <c r="DA182" s="24"/>
      <c r="DB182" s="25"/>
      <c r="DC182" s="24"/>
      <c r="DD182" s="23">
        <v>0</v>
      </c>
      <c r="DE182" s="24"/>
      <c r="DF182" s="25"/>
      <c r="DG182" s="24"/>
      <c r="DH182" s="23">
        <v>0</v>
      </c>
      <c r="DI182" s="24"/>
      <c r="DJ182" s="25"/>
      <c r="DK182" s="24"/>
      <c r="DL182" s="23">
        <v>0</v>
      </c>
      <c r="DM182" s="24"/>
      <c r="DN182" s="25"/>
      <c r="DO182" s="24"/>
      <c r="DP182" s="340"/>
      <c r="DQ182" s="32">
        <f t="shared" si="61"/>
        <v>0</v>
      </c>
      <c r="DR182" s="32">
        <f t="shared" si="62"/>
        <v>0</v>
      </c>
      <c r="DS182" s="11"/>
      <c r="DT182" s="329"/>
      <c r="DU182" s="23">
        <v>0</v>
      </c>
      <c r="DV182" s="24"/>
      <c r="DW182" s="25"/>
      <c r="DX182" s="24"/>
      <c r="DY182" s="23">
        <v>0</v>
      </c>
      <c r="DZ182" s="24"/>
      <c r="EA182" s="25"/>
      <c r="EB182" s="24"/>
      <c r="EC182" s="23">
        <v>0</v>
      </c>
      <c r="ED182" s="24"/>
      <c r="EE182" s="25"/>
      <c r="EF182" s="24"/>
      <c r="EG182" s="23">
        <v>0</v>
      </c>
      <c r="EH182" s="24"/>
      <c r="EI182" s="25"/>
      <c r="EJ182" s="24"/>
      <c r="EK182" s="23">
        <v>0</v>
      </c>
      <c r="EL182" s="24"/>
      <c r="EM182" s="25"/>
      <c r="EN182" s="24"/>
      <c r="EO182" s="23">
        <v>0</v>
      </c>
      <c r="EP182" s="24"/>
      <c r="EQ182" s="25"/>
      <c r="ER182" s="24"/>
      <c r="ES182" s="23">
        <v>0</v>
      </c>
      <c r="ET182" s="24"/>
      <c r="EU182" s="25"/>
      <c r="EV182" s="24"/>
      <c r="EW182" s="23">
        <v>0</v>
      </c>
      <c r="EX182" s="24"/>
      <c r="EY182" s="25"/>
      <c r="EZ182" s="24"/>
      <c r="FA182" s="23">
        <v>0</v>
      </c>
      <c r="FB182" s="24"/>
      <c r="FC182" s="25"/>
      <c r="FD182" s="24"/>
      <c r="FE182" s="23">
        <v>0</v>
      </c>
      <c r="FF182" s="24"/>
      <c r="FG182" s="25"/>
      <c r="FH182" s="24"/>
      <c r="FI182" s="23">
        <v>0</v>
      </c>
      <c r="FJ182" s="24"/>
      <c r="FK182" s="25"/>
      <c r="FL182" s="24"/>
      <c r="FM182" s="23">
        <v>0</v>
      </c>
      <c r="FN182" s="24"/>
      <c r="FO182" s="25"/>
      <c r="FP182" s="24"/>
      <c r="FQ182" s="340"/>
      <c r="FR182" s="32">
        <f t="shared" si="63"/>
        <v>0</v>
      </c>
      <c r="FS182" s="32">
        <f t="shared" si="64"/>
        <v>0</v>
      </c>
      <c r="FT182" s="361"/>
    </row>
    <row r="183" spans="1:176" outlineLevel="2">
      <c r="A183" s="56" t="s">
        <v>469</v>
      </c>
      <c r="B183" s="387" t="s">
        <v>51</v>
      </c>
      <c r="C183" s="541" t="s">
        <v>72</v>
      </c>
      <c r="D183" s="565" t="s">
        <v>32</v>
      </c>
      <c r="E183" s="10">
        <f>IF(ISBLANK(G183),"",IF($A$6:$A$330=$A183,COUNTIF($A$6:A183,$A183),""))</f>
        <v>78</v>
      </c>
      <c r="F183" s="669">
        <v>2</v>
      </c>
      <c r="G183" s="129">
        <v>4497230300</v>
      </c>
      <c r="H183" s="610" t="s">
        <v>108</v>
      </c>
      <c r="I183" s="618">
        <v>0</v>
      </c>
      <c r="J183" s="618"/>
      <c r="K183" s="126"/>
      <c r="L183" s="618" t="str">
        <f t="shared" si="60"/>
        <v/>
      </c>
      <c r="M183" s="102"/>
      <c r="N183" s="305">
        <f t="shared" si="46"/>
        <v>1</v>
      </c>
      <c r="O183" s="23">
        <v>0</v>
      </c>
      <c r="P183" s="24">
        <f>SUMPRODUCT((Комплекты[Пр]=$F183)*(Комплекты[Обозначение]=$G183)*Комплекты[Кол-во]*(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8</v>
      </c>
      <c r="Q183" s="25">
        <f>SUMPRODUCT((Комплекты[Пр]=$F183)*(Комплекты[Обозначение]=$G183)*Комплекты[Кол-во]*(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8</v>
      </c>
      <c r="R183" s="24"/>
      <c r="S183" s="23">
        <v>0</v>
      </c>
      <c r="T183" s="24">
        <f>SUMPRODUCT((Комплекты[Пр]=$F183)*(Комплекты[Обозначение]=$G183)*Комплекты[Кол-во]*(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20</v>
      </c>
      <c r="U183" s="25">
        <f>SUMPRODUCT((Комплекты[Пр]=$F183)*(Комплекты[Обозначение]=$G183)*Комплекты[Кол-во]*(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20</v>
      </c>
      <c r="V183" s="24"/>
      <c r="W183" s="23">
        <v>0</v>
      </c>
      <c r="X183" s="24">
        <f>SUMPRODUCT((Комплекты[Пр]=$F183)*(Комплекты[Обозначение]=$G183)*Комплекты[Кол-во]*(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83" s="25">
        <f>SUMPRODUCT((Комплекты[Пр]=$F183)*(Комплекты[Обозначение]=$G183)*Комплекты[Кол-во]*(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83" s="24"/>
      <c r="AA183" s="23">
        <v>0</v>
      </c>
      <c r="AB183" s="24">
        <f>SUMPRODUCT((Комплекты[Пр]=$F183)*(Комплекты[Обозначение]=$G183)*Комплекты[Кол-во]*(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4</v>
      </c>
      <c r="AC183" s="25"/>
      <c r="AD183" s="24"/>
      <c r="AE183" s="23">
        <v>0</v>
      </c>
      <c r="AF183" s="24">
        <f>SUMPRODUCT((Комплекты[Пр]=$F183)*(Комплекты[Обозначение]=$G183)*Комплекты[Кол-во]*(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83" s="25">
        <f>SUMPRODUCT((Комплекты[Пр]=$F183)*(Комплекты[Обозначение]=$G183)*Комплекты[Кол-во]*(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83" s="24"/>
      <c r="AI183" s="23">
        <v>0</v>
      </c>
      <c r="AJ183" s="24">
        <f>SUMPRODUCT((Комплекты[Пр]=$F183)*(Комплекты[Обозначение]=$G183)*Комплекты[Кол-во]*(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83" s="25"/>
      <c r="AL183" s="24"/>
      <c r="AM183" s="23">
        <v>0</v>
      </c>
      <c r="AN183" s="24">
        <f>SUMPRODUCT((Комплекты[Пр]=$F183)*(Комплекты[Обозначение]=$G183)*Комплекты[Кол-во]*(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83" s="25"/>
      <c r="AP183" s="24"/>
      <c r="AQ183" s="23">
        <v>0</v>
      </c>
      <c r="AR183" s="24">
        <f>SUMPRODUCT((Комплекты[Пр]=$F183)*(Комплекты[Обозначение]=$G183)*Комплекты[Кол-во]*(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83" s="25"/>
      <c r="AT183" s="24"/>
      <c r="AU183" s="23">
        <v>0</v>
      </c>
      <c r="AV183" s="24">
        <f>SUMPRODUCT((Комплекты[Пр]=$F183)*(Комплекты[Обозначение]=$G183)*Комплекты[Кол-во]*(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83" s="25"/>
      <c r="AX183" s="24"/>
      <c r="AY183" s="23">
        <v>0</v>
      </c>
      <c r="AZ183" s="24">
        <f>SUMPRODUCT((Комплекты[Пр]=$F183)*(Комплекты[Обозначение]=$G183)*Комплекты[Кол-во]*(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83" s="25"/>
      <c r="BB183" s="24"/>
      <c r="BC183" s="23">
        <v>0</v>
      </c>
      <c r="BD183" s="24">
        <f>SUMPRODUCT((Комплекты[Пр]=$F183)*(Комплекты[Обозначение]=$G183)*Комплекты[Кол-во]*(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83" s="25"/>
      <c r="BF183" s="24"/>
      <c r="BG183" s="23">
        <v>0</v>
      </c>
      <c r="BH183" s="24">
        <f>SUMPRODUCT((Комплекты[Пр]=$F183)*(Комплекты[Обозначение]=$G183)*Комплекты[Кол-во]*(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83" s="25"/>
      <c r="BJ183" s="24"/>
      <c r="BK183" s="340"/>
      <c r="BL183" s="32">
        <f t="shared" si="47"/>
        <v>0</v>
      </c>
      <c r="BM183" s="32">
        <f t="shared" si="48"/>
        <v>0</v>
      </c>
      <c r="BN183" s="28">
        <f t="shared" si="49"/>
        <v>32</v>
      </c>
      <c r="BO183" s="29">
        <f t="shared" si="50"/>
        <v>0</v>
      </c>
      <c r="BP183" s="30">
        <f t="shared" si="51"/>
        <v>28</v>
      </c>
      <c r="BQ183" s="31">
        <f t="shared" si="52"/>
        <v>0</v>
      </c>
      <c r="BR183" s="11"/>
      <c r="BS183" s="329"/>
      <c r="BT183" s="23">
        <v>0</v>
      </c>
      <c r="BU183" s="24"/>
      <c r="BV183" s="25"/>
      <c r="BW183" s="24"/>
      <c r="BX183" s="23">
        <v>0</v>
      </c>
      <c r="BY183" s="24"/>
      <c r="BZ183" s="25"/>
      <c r="CA183" s="24"/>
      <c r="CB183" s="23">
        <v>0</v>
      </c>
      <c r="CC183" s="24"/>
      <c r="CD183" s="25"/>
      <c r="CE183" s="24"/>
      <c r="CF183" s="23">
        <v>0</v>
      </c>
      <c r="CG183" s="24"/>
      <c r="CH183" s="25"/>
      <c r="CI183" s="24"/>
      <c r="CJ183" s="23">
        <v>0</v>
      </c>
      <c r="CK183" s="24"/>
      <c r="CL183" s="25"/>
      <c r="CM183" s="24"/>
      <c r="CN183" s="23">
        <v>0</v>
      </c>
      <c r="CO183" s="24"/>
      <c r="CP183" s="25"/>
      <c r="CQ183" s="24"/>
      <c r="CR183" s="23">
        <v>0</v>
      </c>
      <c r="CS183" s="24"/>
      <c r="CT183" s="25"/>
      <c r="CU183" s="24"/>
      <c r="CV183" s="23">
        <v>0</v>
      </c>
      <c r="CW183" s="24"/>
      <c r="CX183" s="25"/>
      <c r="CY183" s="24"/>
      <c r="CZ183" s="23">
        <v>0</v>
      </c>
      <c r="DA183" s="24"/>
      <c r="DB183" s="25"/>
      <c r="DC183" s="24"/>
      <c r="DD183" s="23">
        <v>0</v>
      </c>
      <c r="DE183" s="24"/>
      <c r="DF183" s="25"/>
      <c r="DG183" s="24"/>
      <c r="DH183" s="23">
        <v>0</v>
      </c>
      <c r="DI183" s="24"/>
      <c r="DJ183" s="25"/>
      <c r="DK183" s="24"/>
      <c r="DL183" s="23">
        <v>0</v>
      </c>
      <c r="DM183" s="24"/>
      <c r="DN183" s="25"/>
      <c r="DO183" s="24"/>
      <c r="DP183" s="340"/>
      <c r="DQ183" s="32">
        <f t="shared" si="61"/>
        <v>0</v>
      </c>
      <c r="DR183" s="32">
        <f t="shared" si="62"/>
        <v>0</v>
      </c>
      <c r="DS183" s="11"/>
      <c r="DT183" s="329"/>
      <c r="DU183" s="23">
        <v>0</v>
      </c>
      <c r="DV183" s="24"/>
      <c r="DW183" s="25"/>
      <c r="DX183" s="24"/>
      <c r="DY183" s="23">
        <v>0</v>
      </c>
      <c r="DZ183" s="24"/>
      <c r="EA183" s="25"/>
      <c r="EB183" s="24"/>
      <c r="EC183" s="23">
        <v>0</v>
      </c>
      <c r="ED183" s="24"/>
      <c r="EE183" s="25"/>
      <c r="EF183" s="24"/>
      <c r="EG183" s="23">
        <v>0</v>
      </c>
      <c r="EH183" s="24"/>
      <c r="EI183" s="25"/>
      <c r="EJ183" s="24"/>
      <c r="EK183" s="23">
        <v>0</v>
      </c>
      <c r="EL183" s="24"/>
      <c r="EM183" s="25"/>
      <c r="EN183" s="24"/>
      <c r="EO183" s="23">
        <v>0</v>
      </c>
      <c r="EP183" s="24"/>
      <c r="EQ183" s="25"/>
      <c r="ER183" s="24"/>
      <c r="ES183" s="23">
        <v>0</v>
      </c>
      <c r="ET183" s="24"/>
      <c r="EU183" s="25"/>
      <c r="EV183" s="24"/>
      <c r="EW183" s="23">
        <v>0</v>
      </c>
      <c r="EX183" s="24"/>
      <c r="EY183" s="25"/>
      <c r="EZ183" s="24"/>
      <c r="FA183" s="23">
        <v>0</v>
      </c>
      <c r="FB183" s="24"/>
      <c r="FC183" s="25"/>
      <c r="FD183" s="24"/>
      <c r="FE183" s="23">
        <v>0</v>
      </c>
      <c r="FF183" s="24"/>
      <c r="FG183" s="25"/>
      <c r="FH183" s="24"/>
      <c r="FI183" s="23">
        <v>0</v>
      </c>
      <c r="FJ183" s="24"/>
      <c r="FK183" s="25"/>
      <c r="FL183" s="24"/>
      <c r="FM183" s="23">
        <v>0</v>
      </c>
      <c r="FN183" s="24"/>
      <c r="FO183" s="25"/>
      <c r="FP183" s="24"/>
      <c r="FQ183" s="340"/>
      <c r="FR183" s="32">
        <f t="shared" si="63"/>
        <v>0</v>
      </c>
      <c r="FS183" s="32">
        <f t="shared" si="64"/>
        <v>0</v>
      </c>
      <c r="FT183" s="361"/>
    </row>
    <row r="184" spans="1:176" outlineLevel="2">
      <c r="A184" s="56" t="s">
        <v>469</v>
      </c>
      <c r="B184" s="387" t="s">
        <v>51</v>
      </c>
      <c r="C184" s="541" t="s">
        <v>72</v>
      </c>
      <c r="D184" s="565" t="s">
        <v>32</v>
      </c>
      <c r="E184" s="10">
        <f>IF(ISBLANK(G184),"",IF($A$6:$A$330=$A184,COUNTIF($A$6:A184,$A184),""))</f>
        <v>79</v>
      </c>
      <c r="F184" s="669">
        <v>2</v>
      </c>
      <c r="G184" s="129">
        <v>4640061000</v>
      </c>
      <c r="H184" s="610" t="s">
        <v>93</v>
      </c>
      <c r="I184" s="618">
        <v>0</v>
      </c>
      <c r="J184" s="618"/>
      <c r="K184" s="126"/>
      <c r="L184" s="618" t="str">
        <f t="shared" si="60"/>
        <v/>
      </c>
      <c r="M184" s="102"/>
      <c r="N184" s="305">
        <f t="shared" si="46"/>
        <v>0</v>
      </c>
      <c r="O184" s="23">
        <v>0</v>
      </c>
      <c r="P184" s="24">
        <f>SUMPRODUCT((Комплекты[Пр]=$F184)*(Комплекты[Обозначение]=$G184)*Комплекты[Кол-во]*(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0</v>
      </c>
      <c r="Q184" s="25">
        <f>SUMPRODUCT((Комплекты[Пр]=$F184)*(Комплекты[Обозначение]=$G184)*Комплекты[Кол-во]*(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0</v>
      </c>
      <c r="R184" s="24"/>
      <c r="S184" s="23">
        <v>0</v>
      </c>
      <c r="T184" s="24">
        <f>SUMPRODUCT((Комплекты[Пр]=$F184)*(Комплекты[Обозначение]=$G184)*Комплекты[Кол-во]*(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84" s="25">
        <f>SUMPRODUCT((Комплекты[Пр]=$F184)*(Комплекты[Обозначение]=$G184)*Комплекты[Кол-во]*(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84" s="24"/>
      <c r="W184" s="23">
        <v>0</v>
      </c>
      <c r="X184" s="24">
        <f>SUMPRODUCT((Комплекты[Пр]=$F184)*(Комплекты[Обозначение]=$G184)*Комплекты[Кол-во]*(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84" s="25">
        <f>SUMPRODUCT((Комплекты[Пр]=$F184)*(Комплекты[Обозначение]=$G184)*Комплекты[Кол-во]*(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84" s="24"/>
      <c r="AA184" s="23">
        <v>0</v>
      </c>
      <c r="AB184" s="24">
        <f>SUMPRODUCT((Комплекты[Пр]=$F184)*(Комплекты[Обозначение]=$G184)*Комплекты[Кол-во]*(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84" s="25"/>
      <c r="AD184" s="24"/>
      <c r="AE184" s="23">
        <v>0</v>
      </c>
      <c r="AF184" s="24">
        <f>SUMPRODUCT((Комплекты[Пр]=$F184)*(Комплекты[Обозначение]=$G184)*Комплекты[Кол-во]*(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84" s="25">
        <f>SUMPRODUCT((Комплекты[Пр]=$F184)*(Комплекты[Обозначение]=$G184)*Комплекты[Кол-во]*(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84" s="24"/>
      <c r="AI184" s="23">
        <v>0</v>
      </c>
      <c r="AJ184" s="24">
        <f>SUMPRODUCT((Комплекты[Пр]=$F184)*(Комплекты[Обозначение]=$G184)*Комплекты[Кол-во]*(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84" s="25"/>
      <c r="AL184" s="24"/>
      <c r="AM184" s="23">
        <v>0</v>
      </c>
      <c r="AN184" s="24">
        <f>SUMPRODUCT((Комплекты[Пр]=$F184)*(Комплекты[Обозначение]=$G184)*Комплекты[Кол-во]*(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84" s="25"/>
      <c r="AP184" s="24"/>
      <c r="AQ184" s="23">
        <v>0</v>
      </c>
      <c r="AR184" s="24">
        <f>SUMPRODUCT((Комплекты[Пр]=$F184)*(Комплекты[Обозначение]=$G184)*Комплекты[Кол-во]*(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84" s="25"/>
      <c r="AT184" s="24"/>
      <c r="AU184" s="23">
        <v>0</v>
      </c>
      <c r="AV184" s="24">
        <f>SUMPRODUCT((Комплекты[Пр]=$F184)*(Комплекты[Обозначение]=$G184)*Комплекты[Кол-во]*(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84" s="25"/>
      <c r="AX184" s="24"/>
      <c r="AY184" s="23">
        <v>0</v>
      </c>
      <c r="AZ184" s="24">
        <f>SUMPRODUCT((Комплекты[Пр]=$F184)*(Комплекты[Обозначение]=$G184)*Комплекты[Кол-во]*(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84" s="25"/>
      <c r="BB184" s="24"/>
      <c r="BC184" s="23">
        <v>0</v>
      </c>
      <c r="BD184" s="24">
        <f>SUMPRODUCT((Комплекты[Пр]=$F184)*(Комплекты[Обозначение]=$G184)*Комплекты[Кол-во]*(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84" s="25"/>
      <c r="BF184" s="24"/>
      <c r="BG184" s="23">
        <v>0</v>
      </c>
      <c r="BH184" s="24">
        <f>SUMPRODUCT((Комплекты[Пр]=$F184)*(Комплекты[Обозначение]=$G184)*Комплекты[Кол-во]*(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84" s="25"/>
      <c r="BJ184" s="24"/>
      <c r="BK184" s="340"/>
      <c r="BL184" s="32">
        <f t="shared" si="47"/>
        <v>0</v>
      </c>
      <c r="BM184" s="32">
        <f t="shared" si="48"/>
        <v>0</v>
      </c>
      <c r="BN184" s="28">
        <f t="shared" si="49"/>
        <v>0</v>
      </c>
      <c r="BO184" s="29">
        <f t="shared" si="50"/>
        <v>0</v>
      </c>
      <c r="BP184" s="30">
        <f t="shared" si="51"/>
        <v>0</v>
      </c>
      <c r="BQ184" s="31">
        <f t="shared" si="52"/>
        <v>0</v>
      </c>
      <c r="BR184" s="11"/>
      <c r="BS184" s="329"/>
      <c r="BT184" s="23">
        <v>0</v>
      </c>
      <c r="BU184" s="24"/>
      <c r="BV184" s="25"/>
      <c r="BW184" s="24"/>
      <c r="BX184" s="23">
        <v>0</v>
      </c>
      <c r="BY184" s="24"/>
      <c r="BZ184" s="25"/>
      <c r="CA184" s="24"/>
      <c r="CB184" s="23">
        <v>0</v>
      </c>
      <c r="CC184" s="24"/>
      <c r="CD184" s="25"/>
      <c r="CE184" s="24"/>
      <c r="CF184" s="23">
        <v>0</v>
      </c>
      <c r="CG184" s="24"/>
      <c r="CH184" s="25"/>
      <c r="CI184" s="24"/>
      <c r="CJ184" s="23">
        <v>0</v>
      </c>
      <c r="CK184" s="24"/>
      <c r="CL184" s="25"/>
      <c r="CM184" s="24"/>
      <c r="CN184" s="23">
        <v>0</v>
      </c>
      <c r="CO184" s="24"/>
      <c r="CP184" s="25"/>
      <c r="CQ184" s="24"/>
      <c r="CR184" s="23">
        <v>0</v>
      </c>
      <c r="CS184" s="24"/>
      <c r="CT184" s="25"/>
      <c r="CU184" s="24"/>
      <c r="CV184" s="23">
        <v>0</v>
      </c>
      <c r="CW184" s="24"/>
      <c r="CX184" s="25"/>
      <c r="CY184" s="24"/>
      <c r="CZ184" s="23">
        <v>0</v>
      </c>
      <c r="DA184" s="24"/>
      <c r="DB184" s="25"/>
      <c r="DC184" s="24"/>
      <c r="DD184" s="23">
        <v>0</v>
      </c>
      <c r="DE184" s="24"/>
      <c r="DF184" s="25"/>
      <c r="DG184" s="24"/>
      <c r="DH184" s="23">
        <v>0</v>
      </c>
      <c r="DI184" s="24"/>
      <c r="DJ184" s="25"/>
      <c r="DK184" s="24"/>
      <c r="DL184" s="23">
        <v>0</v>
      </c>
      <c r="DM184" s="24"/>
      <c r="DN184" s="25"/>
      <c r="DO184" s="24"/>
      <c r="DP184" s="340"/>
      <c r="DQ184" s="32">
        <f t="shared" si="61"/>
        <v>0</v>
      </c>
      <c r="DR184" s="32">
        <f t="shared" si="62"/>
        <v>0</v>
      </c>
      <c r="DS184" s="11"/>
      <c r="DT184" s="329"/>
      <c r="DU184" s="23">
        <v>0</v>
      </c>
      <c r="DV184" s="24"/>
      <c r="DW184" s="25"/>
      <c r="DX184" s="24"/>
      <c r="DY184" s="23">
        <v>0</v>
      </c>
      <c r="DZ184" s="24"/>
      <c r="EA184" s="25"/>
      <c r="EB184" s="24"/>
      <c r="EC184" s="23">
        <v>0</v>
      </c>
      <c r="ED184" s="24"/>
      <c r="EE184" s="25"/>
      <c r="EF184" s="24"/>
      <c r="EG184" s="23">
        <v>0</v>
      </c>
      <c r="EH184" s="24"/>
      <c r="EI184" s="25"/>
      <c r="EJ184" s="24"/>
      <c r="EK184" s="23">
        <v>0</v>
      </c>
      <c r="EL184" s="24"/>
      <c r="EM184" s="25"/>
      <c r="EN184" s="24"/>
      <c r="EO184" s="23">
        <v>0</v>
      </c>
      <c r="EP184" s="24"/>
      <c r="EQ184" s="25"/>
      <c r="ER184" s="24"/>
      <c r="ES184" s="23">
        <v>0</v>
      </c>
      <c r="ET184" s="24"/>
      <c r="EU184" s="25"/>
      <c r="EV184" s="24"/>
      <c r="EW184" s="23">
        <v>0</v>
      </c>
      <c r="EX184" s="24"/>
      <c r="EY184" s="25"/>
      <c r="EZ184" s="24"/>
      <c r="FA184" s="23">
        <v>0</v>
      </c>
      <c r="FB184" s="24"/>
      <c r="FC184" s="25"/>
      <c r="FD184" s="24"/>
      <c r="FE184" s="23">
        <v>0</v>
      </c>
      <c r="FF184" s="24"/>
      <c r="FG184" s="25"/>
      <c r="FH184" s="24"/>
      <c r="FI184" s="23">
        <v>0</v>
      </c>
      <c r="FJ184" s="24"/>
      <c r="FK184" s="25"/>
      <c r="FL184" s="24"/>
      <c r="FM184" s="23">
        <v>0</v>
      </c>
      <c r="FN184" s="24"/>
      <c r="FO184" s="25"/>
      <c r="FP184" s="24"/>
      <c r="FQ184" s="340"/>
      <c r="FR184" s="32">
        <f t="shared" si="63"/>
        <v>0</v>
      </c>
      <c r="FS184" s="32">
        <f t="shared" si="64"/>
        <v>0</v>
      </c>
      <c r="FT184" s="361"/>
    </row>
    <row r="185" spans="1:176" outlineLevel="2">
      <c r="A185" s="56" t="s">
        <v>469</v>
      </c>
      <c r="B185" s="387" t="s">
        <v>51</v>
      </c>
      <c r="C185" s="541" t="s">
        <v>72</v>
      </c>
      <c r="D185" s="565" t="s">
        <v>32</v>
      </c>
      <c r="E185" s="10">
        <f>IF(ISBLANK(G185),"",IF($A$6:$A$330=$A185,COUNTIF($A$6:A185,$A185),""))</f>
        <v>80</v>
      </c>
      <c r="F185" s="669">
        <v>2</v>
      </c>
      <c r="G185" s="129">
        <v>4630320200</v>
      </c>
      <c r="H185" s="610" t="s">
        <v>80</v>
      </c>
      <c r="I185" s="618">
        <v>0</v>
      </c>
      <c r="J185" s="618"/>
      <c r="K185" s="126"/>
      <c r="L185" s="618" t="str">
        <f t="shared" si="60"/>
        <v/>
      </c>
      <c r="M185" s="102"/>
      <c r="N185" s="305">
        <f t="shared" si="46"/>
        <v>0</v>
      </c>
      <c r="O185" s="23">
        <v>0</v>
      </c>
      <c r="P185" s="24">
        <f>SUMPRODUCT((Комплекты[Пр]=$F185)*(Комплекты[Обозначение]=$G185)*Комплекты[Кол-во]*(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0</v>
      </c>
      <c r="Q185" s="25">
        <f>SUMPRODUCT((Комплекты[Пр]=$F185)*(Комплекты[Обозначение]=$G185)*Комплекты[Кол-во]*(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0</v>
      </c>
      <c r="R185" s="24"/>
      <c r="S185" s="23">
        <v>0</v>
      </c>
      <c r="T185" s="24">
        <f>SUMPRODUCT((Комплекты[Пр]=$F185)*(Комплекты[Обозначение]=$G185)*Комплекты[Кол-во]*(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85" s="25">
        <f>SUMPRODUCT((Комплекты[Пр]=$F185)*(Комплекты[Обозначение]=$G185)*Комплекты[Кол-во]*(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85" s="24"/>
      <c r="W185" s="23">
        <v>0</v>
      </c>
      <c r="X185" s="24">
        <f>SUMPRODUCT((Комплекты[Пр]=$F185)*(Комплекты[Обозначение]=$G185)*Комплекты[Кол-во]*(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85" s="25">
        <f>SUMPRODUCT((Комплекты[Пр]=$F185)*(Комплекты[Обозначение]=$G185)*Комплекты[Кол-во]*(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85" s="24"/>
      <c r="AA185" s="23">
        <v>0</v>
      </c>
      <c r="AB185" s="24">
        <f>SUMPRODUCT((Комплекты[Пр]=$F185)*(Комплекты[Обозначение]=$G185)*Комплекты[Кол-во]*(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85" s="25"/>
      <c r="AD185" s="24"/>
      <c r="AE185" s="23">
        <v>0</v>
      </c>
      <c r="AF185" s="24">
        <f>SUMPRODUCT((Комплекты[Пр]=$F185)*(Комплекты[Обозначение]=$G185)*Комплекты[Кол-во]*(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85" s="25">
        <f>SUMPRODUCT((Комплекты[Пр]=$F185)*(Комплекты[Обозначение]=$G185)*Комплекты[Кол-во]*(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85" s="24"/>
      <c r="AI185" s="23">
        <v>0</v>
      </c>
      <c r="AJ185" s="24">
        <f>SUMPRODUCT((Комплекты[Пр]=$F185)*(Комплекты[Обозначение]=$G185)*Комплекты[Кол-во]*(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85" s="25"/>
      <c r="AL185" s="24"/>
      <c r="AM185" s="23">
        <v>0</v>
      </c>
      <c r="AN185" s="24">
        <f>SUMPRODUCT((Комплекты[Пр]=$F185)*(Комплекты[Обозначение]=$G185)*Комплекты[Кол-во]*(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85" s="25"/>
      <c r="AP185" s="24"/>
      <c r="AQ185" s="23">
        <v>0</v>
      </c>
      <c r="AR185" s="24">
        <f>SUMPRODUCT((Комплекты[Пр]=$F185)*(Комплекты[Обозначение]=$G185)*Комплекты[Кол-во]*(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85" s="25"/>
      <c r="AT185" s="24"/>
      <c r="AU185" s="23">
        <v>0</v>
      </c>
      <c r="AV185" s="24">
        <f>SUMPRODUCT((Комплекты[Пр]=$F185)*(Комплекты[Обозначение]=$G185)*Комплекты[Кол-во]*(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85" s="25"/>
      <c r="AX185" s="24"/>
      <c r="AY185" s="23">
        <v>0</v>
      </c>
      <c r="AZ185" s="24">
        <f>SUMPRODUCT((Комплекты[Пр]=$F185)*(Комплекты[Обозначение]=$G185)*Комплекты[Кол-во]*(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85" s="25"/>
      <c r="BB185" s="24"/>
      <c r="BC185" s="23">
        <v>0</v>
      </c>
      <c r="BD185" s="24">
        <f>SUMPRODUCT((Комплекты[Пр]=$F185)*(Комплекты[Обозначение]=$G185)*Комплекты[Кол-во]*(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85" s="25"/>
      <c r="BF185" s="24"/>
      <c r="BG185" s="23">
        <v>0</v>
      </c>
      <c r="BH185" s="24">
        <f>SUMPRODUCT((Комплекты[Пр]=$F185)*(Комплекты[Обозначение]=$G185)*Комплекты[Кол-во]*(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85" s="25"/>
      <c r="BJ185" s="24"/>
      <c r="BK185" s="340"/>
      <c r="BL185" s="32">
        <f t="shared" si="47"/>
        <v>0</v>
      </c>
      <c r="BM185" s="32">
        <f t="shared" si="48"/>
        <v>0</v>
      </c>
      <c r="BN185" s="28">
        <f t="shared" si="49"/>
        <v>0</v>
      </c>
      <c r="BO185" s="29">
        <f t="shared" si="50"/>
        <v>0</v>
      </c>
      <c r="BP185" s="30">
        <f t="shared" si="51"/>
        <v>0</v>
      </c>
      <c r="BQ185" s="31">
        <f t="shared" si="52"/>
        <v>0</v>
      </c>
      <c r="BR185" s="11"/>
      <c r="BS185" s="329"/>
      <c r="BT185" s="23">
        <v>0</v>
      </c>
      <c r="BU185" s="24"/>
      <c r="BV185" s="25"/>
      <c r="BW185" s="24"/>
      <c r="BX185" s="23">
        <v>0</v>
      </c>
      <c r="BY185" s="24"/>
      <c r="BZ185" s="25"/>
      <c r="CA185" s="24"/>
      <c r="CB185" s="23">
        <v>0</v>
      </c>
      <c r="CC185" s="24"/>
      <c r="CD185" s="25"/>
      <c r="CE185" s="24"/>
      <c r="CF185" s="23">
        <v>0</v>
      </c>
      <c r="CG185" s="24"/>
      <c r="CH185" s="25"/>
      <c r="CI185" s="24"/>
      <c r="CJ185" s="23">
        <v>0</v>
      </c>
      <c r="CK185" s="24"/>
      <c r="CL185" s="25"/>
      <c r="CM185" s="24"/>
      <c r="CN185" s="23">
        <v>0</v>
      </c>
      <c r="CO185" s="24"/>
      <c r="CP185" s="25"/>
      <c r="CQ185" s="24"/>
      <c r="CR185" s="23">
        <v>0</v>
      </c>
      <c r="CS185" s="24"/>
      <c r="CT185" s="25"/>
      <c r="CU185" s="24"/>
      <c r="CV185" s="23">
        <v>0</v>
      </c>
      <c r="CW185" s="24"/>
      <c r="CX185" s="25"/>
      <c r="CY185" s="24"/>
      <c r="CZ185" s="23">
        <v>0</v>
      </c>
      <c r="DA185" s="24"/>
      <c r="DB185" s="25"/>
      <c r="DC185" s="24"/>
      <c r="DD185" s="23">
        <v>0</v>
      </c>
      <c r="DE185" s="24"/>
      <c r="DF185" s="25"/>
      <c r="DG185" s="24"/>
      <c r="DH185" s="23">
        <v>0</v>
      </c>
      <c r="DI185" s="24"/>
      <c r="DJ185" s="25"/>
      <c r="DK185" s="24"/>
      <c r="DL185" s="23">
        <v>0</v>
      </c>
      <c r="DM185" s="24"/>
      <c r="DN185" s="25"/>
      <c r="DO185" s="24"/>
      <c r="DP185" s="340"/>
      <c r="DQ185" s="32">
        <f t="shared" si="61"/>
        <v>0</v>
      </c>
      <c r="DR185" s="32">
        <f t="shared" si="62"/>
        <v>0</v>
      </c>
      <c r="DS185" s="11"/>
      <c r="DT185" s="329"/>
      <c r="DU185" s="23">
        <v>0</v>
      </c>
      <c r="DV185" s="24"/>
      <c r="DW185" s="25"/>
      <c r="DX185" s="24"/>
      <c r="DY185" s="23">
        <v>0</v>
      </c>
      <c r="DZ185" s="24"/>
      <c r="EA185" s="25"/>
      <c r="EB185" s="24"/>
      <c r="EC185" s="23">
        <v>0</v>
      </c>
      <c r="ED185" s="24"/>
      <c r="EE185" s="25"/>
      <c r="EF185" s="24"/>
      <c r="EG185" s="23">
        <v>0</v>
      </c>
      <c r="EH185" s="24"/>
      <c r="EI185" s="25"/>
      <c r="EJ185" s="24"/>
      <c r="EK185" s="23">
        <v>0</v>
      </c>
      <c r="EL185" s="24"/>
      <c r="EM185" s="25"/>
      <c r="EN185" s="24"/>
      <c r="EO185" s="23">
        <v>0</v>
      </c>
      <c r="EP185" s="24"/>
      <c r="EQ185" s="25"/>
      <c r="ER185" s="24"/>
      <c r="ES185" s="23">
        <v>0</v>
      </c>
      <c r="ET185" s="24"/>
      <c r="EU185" s="25"/>
      <c r="EV185" s="24"/>
      <c r="EW185" s="23">
        <v>0</v>
      </c>
      <c r="EX185" s="24"/>
      <c r="EY185" s="25"/>
      <c r="EZ185" s="24"/>
      <c r="FA185" s="23">
        <v>0</v>
      </c>
      <c r="FB185" s="24"/>
      <c r="FC185" s="25"/>
      <c r="FD185" s="24"/>
      <c r="FE185" s="23">
        <v>0</v>
      </c>
      <c r="FF185" s="24"/>
      <c r="FG185" s="25"/>
      <c r="FH185" s="24"/>
      <c r="FI185" s="23">
        <v>0</v>
      </c>
      <c r="FJ185" s="24"/>
      <c r="FK185" s="25"/>
      <c r="FL185" s="24"/>
      <c r="FM185" s="23">
        <v>0</v>
      </c>
      <c r="FN185" s="24"/>
      <c r="FO185" s="25"/>
      <c r="FP185" s="24"/>
      <c r="FQ185" s="340"/>
      <c r="FR185" s="32">
        <f t="shared" si="63"/>
        <v>0</v>
      </c>
      <c r="FS185" s="32">
        <f t="shared" si="64"/>
        <v>0</v>
      </c>
      <c r="FT185" s="361"/>
    </row>
    <row r="186" spans="1:176" outlineLevel="2">
      <c r="A186" s="56" t="s">
        <v>469</v>
      </c>
      <c r="B186" s="387" t="s">
        <v>51</v>
      </c>
      <c r="C186" s="541" t="s">
        <v>72</v>
      </c>
      <c r="D186" s="565" t="s">
        <v>32</v>
      </c>
      <c r="E186" s="10">
        <f>IF(ISBLANK(G186),"",IF($A$6:$A$330=$A186,COUNTIF($A$6:A186,$A186),""))</f>
        <v>81</v>
      </c>
      <c r="F186" s="669">
        <v>2</v>
      </c>
      <c r="G186" s="129">
        <v>4334010030</v>
      </c>
      <c r="H186" s="610" t="s">
        <v>81</v>
      </c>
      <c r="I186" s="618">
        <v>0</v>
      </c>
      <c r="J186" s="618"/>
      <c r="K186" s="126"/>
      <c r="L186" s="618" t="str">
        <f t="shared" si="60"/>
        <v/>
      </c>
      <c r="M186" s="102"/>
      <c r="N186" s="305">
        <f t="shared" si="46"/>
        <v>0</v>
      </c>
      <c r="O186" s="23">
        <v>0</v>
      </c>
      <c r="P186" s="24">
        <f>SUMPRODUCT((Комплекты[Пр]=$F186)*(Комплекты[Обозначение]=$G186)*Комплекты[Кол-во]*(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0</v>
      </c>
      <c r="Q186" s="25">
        <f>SUMPRODUCT((Комплекты[Пр]=$F186)*(Комплекты[Обозначение]=$G186)*Комплекты[Кол-во]*(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0</v>
      </c>
      <c r="R186" s="24"/>
      <c r="S186" s="23">
        <v>0</v>
      </c>
      <c r="T186" s="24">
        <f>SUMPRODUCT((Комплекты[Пр]=$F186)*(Комплекты[Обозначение]=$G186)*Комплекты[Кол-во]*(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86" s="25">
        <f>SUMPRODUCT((Комплекты[Пр]=$F186)*(Комплекты[Обозначение]=$G186)*Комплекты[Кол-во]*(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86" s="24"/>
      <c r="W186" s="23">
        <v>0</v>
      </c>
      <c r="X186" s="24">
        <f>SUMPRODUCT((Комплекты[Пр]=$F186)*(Комплекты[Обозначение]=$G186)*Комплекты[Кол-во]*(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86" s="25">
        <f>SUMPRODUCT((Комплекты[Пр]=$F186)*(Комплекты[Обозначение]=$G186)*Комплекты[Кол-во]*(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86" s="24"/>
      <c r="AA186" s="23">
        <v>0</v>
      </c>
      <c r="AB186" s="24">
        <f>SUMPRODUCT((Комплекты[Пр]=$F186)*(Комплекты[Обозначение]=$G186)*Комплекты[Кол-во]*(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0</v>
      </c>
      <c r="AC186" s="25"/>
      <c r="AD186" s="24"/>
      <c r="AE186" s="23">
        <v>0</v>
      </c>
      <c r="AF186" s="24">
        <f>SUMPRODUCT((Комплекты[Пр]=$F186)*(Комплекты[Обозначение]=$G186)*Комплекты[Кол-во]*(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86" s="25">
        <f>SUMPRODUCT((Комплекты[Пр]=$F186)*(Комплекты[Обозначение]=$G186)*Комплекты[Кол-во]*(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86" s="24"/>
      <c r="AI186" s="23">
        <v>0</v>
      </c>
      <c r="AJ186" s="24">
        <f>SUMPRODUCT((Комплекты[Пр]=$F186)*(Комплекты[Обозначение]=$G186)*Комплекты[Кол-во]*(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86" s="25"/>
      <c r="AL186" s="24"/>
      <c r="AM186" s="23">
        <v>0</v>
      </c>
      <c r="AN186" s="24">
        <f>SUMPRODUCT((Комплекты[Пр]=$F186)*(Комплекты[Обозначение]=$G186)*Комплекты[Кол-во]*(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86" s="25"/>
      <c r="AP186" s="24"/>
      <c r="AQ186" s="23">
        <v>0</v>
      </c>
      <c r="AR186" s="24">
        <f>SUMPRODUCT((Комплекты[Пр]=$F186)*(Комплекты[Обозначение]=$G186)*Комплекты[Кол-во]*(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86" s="25"/>
      <c r="AT186" s="24"/>
      <c r="AU186" s="23">
        <v>0</v>
      </c>
      <c r="AV186" s="24">
        <f>SUMPRODUCT((Комплекты[Пр]=$F186)*(Комплекты[Обозначение]=$G186)*Комплекты[Кол-во]*(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86" s="25"/>
      <c r="AX186" s="24"/>
      <c r="AY186" s="23">
        <v>0</v>
      </c>
      <c r="AZ186" s="24">
        <f>SUMPRODUCT((Комплекты[Пр]=$F186)*(Комплекты[Обозначение]=$G186)*Комплекты[Кол-во]*(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86" s="25"/>
      <c r="BB186" s="24"/>
      <c r="BC186" s="23">
        <v>0</v>
      </c>
      <c r="BD186" s="24">
        <f>SUMPRODUCT((Комплекты[Пр]=$F186)*(Комплекты[Обозначение]=$G186)*Комплекты[Кол-во]*(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86" s="25"/>
      <c r="BF186" s="24"/>
      <c r="BG186" s="23">
        <v>0</v>
      </c>
      <c r="BH186" s="24">
        <f>SUMPRODUCT((Комплекты[Пр]=$F186)*(Комплекты[Обозначение]=$G186)*Комплекты[Кол-во]*(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86" s="25"/>
      <c r="BJ186" s="24"/>
      <c r="BK186" s="340"/>
      <c r="BL186" s="32">
        <f t="shared" si="47"/>
        <v>0</v>
      </c>
      <c r="BM186" s="32">
        <f t="shared" si="48"/>
        <v>0</v>
      </c>
      <c r="BN186" s="28">
        <f t="shared" si="49"/>
        <v>0</v>
      </c>
      <c r="BO186" s="29">
        <f t="shared" si="50"/>
        <v>0</v>
      </c>
      <c r="BP186" s="30">
        <f t="shared" si="51"/>
        <v>0</v>
      </c>
      <c r="BQ186" s="31">
        <f t="shared" si="52"/>
        <v>0</v>
      </c>
      <c r="BR186" s="11"/>
      <c r="BS186" s="329"/>
      <c r="BT186" s="23">
        <v>0</v>
      </c>
      <c r="BU186" s="24"/>
      <c r="BV186" s="25"/>
      <c r="BW186" s="24"/>
      <c r="BX186" s="23">
        <v>0</v>
      </c>
      <c r="BY186" s="24"/>
      <c r="BZ186" s="25"/>
      <c r="CA186" s="24"/>
      <c r="CB186" s="23">
        <v>0</v>
      </c>
      <c r="CC186" s="24"/>
      <c r="CD186" s="25"/>
      <c r="CE186" s="24"/>
      <c r="CF186" s="23">
        <v>0</v>
      </c>
      <c r="CG186" s="24"/>
      <c r="CH186" s="25"/>
      <c r="CI186" s="24"/>
      <c r="CJ186" s="23">
        <v>0</v>
      </c>
      <c r="CK186" s="24"/>
      <c r="CL186" s="25"/>
      <c r="CM186" s="24"/>
      <c r="CN186" s="23">
        <v>0</v>
      </c>
      <c r="CO186" s="24"/>
      <c r="CP186" s="25"/>
      <c r="CQ186" s="24"/>
      <c r="CR186" s="23">
        <v>0</v>
      </c>
      <c r="CS186" s="24"/>
      <c r="CT186" s="25"/>
      <c r="CU186" s="24"/>
      <c r="CV186" s="23">
        <v>0</v>
      </c>
      <c r="CW186" s="24"/>
      <c r="CX186" s="25"/>
      <c r="CY186" s="24"/>
      <c r="CZ186" s="23">
        <v>0</v>
      </c>
      <c r="DA186" s="24"/>
      <c r="DB186" s="25"/>
      <c r="DC186" s="24"/>
      <c r="DD186" s="23">
        <v>0</v>
      </c>
      <c r="DE186" s="24"/>
      <c r="DF186" s="25"/>
      <c r="DG186" s="24"/>
      <c r="DH186" s="23">
        <v>0</v>
      </c>
      <c r="DI186" s="24"/>
      <c r="DJ186" s="25"/>
      <c r="DK186" s="24"/>
      <c r="DL186" s="23">
        <v>0</v>
      </c>
      <c r="DM186" s="24"/>
      <c r="DN186" s="25"/>
      <c r="DO186" s="24"/>
      <c r="DP186" s="340"/>
      <c r="DQ186" s="32">
        <f t="shared" si="61"/>
        <v>0</v>
      </c>
      <c r="DR186" s="32">
        <f t="shared" si="62"/>
        <v>0</v>
      </c>
      <c r="DS186" s="11"/>
      <c r="DT186" s="329"/>
      <c r="DU186" s="23">
        <v>0</v>
      </c>
      <c r="DV186" s="24"/>
      <c r="DW186" s="25"/>
      <c r="DX186" s="24"/>
      <c r="DY186" s="23">
        <v>0</v>
      </c>
      <c r="DZ186" s="24"/>
      <c r="EA186" s="25"/>
      <c r="EB186" s="24"/>
      <c r="EC186" s="23">
        <v>0</v>
      </c>
      <c r="ED186" s="24"/>
      <c r="EE186" s="25"/>
      <c r="EF186" s="24"/>
      <c r="EG186" s="23">
        <v>0</v>
      </c>
      <c r="EH186" s="24"/>
      <c r="EI186" s="25"/>
      <c r="EJ186" s="24"/>
      <c r="EK186" s="23">
        <v>0</v>
      </c>
      <c r="EL186" s="24"/>
      <c r="EM186" s="25"/>
      <c r="EN186" s="24"/>
      <c r="EO186" s="23">
        <v>0</v>
      </c>
      <c r="EP186" s="24"/>
      <c r="EQ186" s="25"/>
      <c r="ER186" s="24"/>
      <c r="ES186" s="23">
        <v>0</v>
      </c>
      <c r="ET186" s="24"/>
      <c r="EU186" s="25"/>
      <c r="EV186" s="24"/>
      <c r="EW186" s="23">
        <v>0</v>
      </c>
      <c r="EX186" s="24"/>
      <c r="EY186" s="25"/>
      <c r="EZ186" s="24"/>
      <c r="FA186" s="23">
        <v>0</v>
      </c>
      <c r="FB186" s="24"/>
      <c r="FC186" s="25"/>
      <c r="FD186" s="24"/>
      <c r="FE186" s="23">
        <v>0</v>
      </c>
      <c r="FF186" s="24"/>
      <c r="FG186" s="25"/>
      <c r="FH186" s="24"/>
      <c r="FI186" s="23">
        <v>0</v>
      </c>
      <c r="FJ186" s="24"/>
      <c r="FK186" s="25"/>
      <c r="FL186" s="24"/>
      <c r="FM186" s="23">
        <v>0</v>
      </c>
      <c r="FN186" s="24"/>
      <c r="FO186" s="25"/>
      <c r="FP186" s="24"/>
      <c r="FQ186" s="340"/>
      <c r="FR186" s="32">
        <f t="shared" si="63"/>
        <v>0</v>
      </c>
      <c r="FS186" s="32">
        <f t="shared" si="64"/>
        <v>0</v>
      </c>
      <c r="FT186" s="361"/>
    </row>
    <row r="187" spans="1:176" outlineLevel="2">
      <c r="A187" s="413" t="s">
        <v>469</v>
      </c>
      <c r="B187" s="444" t="s">
        <v>51</v>
      </c>
      <c r="C187" s="587" t="s">
        <v>72</v>
      </c>
      <c r="D187" s="580" t="s">
        <v>32</v>
      </c>
      <c r="E187" s="414">
        <f>IF(ISBLANK(G187),"",IF($A$6:$A$330=$A187,COUNTIF($A$6:A187,$A187),""))</f>
        <v>82</v>
      </c>
      <c r="F187" s="670">
        <v>2</v>
      </c>
      <c r="G187" s="501">
        <v>4410441020</v>
      </c>
      <c r="H187" s="611" t="s">
        <v>121</v>
      </c>
      <c r="I187" s="618">
        <v>0</v>
      </c>
      <c r="J187" s="619"/>
      <c r="K187" s="321"/>
      <c r="L187" s="619"/>
      <c r="M187" s="305"/>
      <c r="N187" s="305">
        <f t="shared" si="46"/>
        <v>1</v>
      </c>
      <c r="O187" s="322"/>
      <c r="P187" s="408">
        <f>SUMPRODUCT((Комплекты[Пр]=$F187)*(Комплекты[Обозначение]=$G187)*Комплекты[Кол-во]*(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</v>
      </c>
      <c r="Q187" s="307">
        <f>SUMPRODUCT((Комплекты[Пр]=$F187)*(Комплекты[Обозначение]=$G187)*Комплекты[Кол-во]*(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</v>
      </c>
      <c r="R187" s="408"/>
      <c r="S187" s="322"/>
      <c r="T187" s="408">
        <f>SUMPRODUCT((Комплекты[Пр]=$F187)*(Комплекты[Обозначение]=$G187)*Комплекты[Кол-во]*(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87" s="307">
        <f>SUMPRODUCT((Комплекты[Пр]=$F187)*(Комплекты[Обозначение]=$G187)*Комплекты[Кол-во]*(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87" s="408"/>
      <c r="W187" s="322"/>
      <c r="X187" s="408">
        <f>SUMPRODUCT((Комплекты[Пр]=$F187)*(Комплекты[Обозначение]=$G187)*Комплекты[Кол-во]*(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87" s="307">
        <f>SUMPRODUCT((Комплекты[Пр]=$F187)*(Комплекты[Обозначение]=$G187)*Комплекты[Кол-во]*(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87" s="408"/>
      <c r="AA187" s="322"/>
      <c r="AB187" s="408">
        <f>SUMPRODUCT((Комплекты[Пр]=$F187)*(Комплекты[Обозначение]=$G187)*Комплекты[Кол-во]*(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87" s="307"/>
      <c r="AD187" s="408"/>
      <c r="AE187" s="322"/>
      <c r="AF187" s="408">
        <f>SUMPRODUCT((Комплекты[Пр]=$F187)*(Комплекты[Обозначение]=$G187)*Комплекты[Кол-во]*(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87" s="307">
        <f>SUMPRODUCT((Комплекты[Пр]=$F187)*(Комплекты[Обозначение]=$G187)*Комплекты[Кол-во]*(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87" s="408"/>
      <c r="AI187" s="322"/>
      <c r="AJ187" s="408">
        <f>SUMPRODUCT((Комплекты[Пр]=$F187)*(Комплекты[Обозначение]=$G187)*Комплекты[Кол-во]*(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87" s="307"/>
      <c r="AL187" s="408"/>
      <c r="AM187" s="322"/>
      <c r="AN187" s="408">
        <f>SUMPRODUCT((Комплекты[Пр]=$F187)*(Комплекты[Обозначение]=$G187)*Комплекты[Кол-во]*(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87" s="307"/>
      <c r="AP187" s="408"/>
      <c r="AQ187" s="322"/>
      <c r="AR187" s="408">
        <f>SUMPRODUCT((Комплекты[Пр]=$F187)*(Комплекты[Обозначение]=$G187)*Комплекты[Кол-во]*(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87" s="307"/>
      <c r="AT187" s="408"/>
      <c r="AU187" s="322"/>
      <c r="AV187" s="408">
        <f>SUMPRODUCT((Комплекты[Пр]=$F187)*(Комплекты[Обозначение]=$G187)*Комплекты[Кол-во]*(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87" s="307"/>
      <c r="AX187" s="408"/>
      <c r="AY187" s="322"/>
      <c r="AZ187" s="408">
        <f>SUMPRODUCT((Комплекты[Пр]=$F187)*(Комплекты[Обозначение]=$G187)*Комплекты[Кол-во]*(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87" s="307"/>
      <c r="BB187" s="408"/>
      <c r="BC187" s="322"/>
      <c r="BD187" s="408">
        <f>SUMPRODUCT((Комплекты[Пр]=$F187)*(Комплекты[Обозначение]=$G187)*Комплекты[Кол-во]*(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87" s="307"/>
      <c r="BF187" s="408"/>
      <c r="BG187" s="322"/>
      <c r="BH187" s="408">
        <f>SUMPRODUCT((Комплекты[Пр]=$F187)*(Комплекты[Обозначение]=$G187)*Комплекты[Кол-во]*(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87" s="307"/>
      <c r="BJ187" s="408"/>
      <c r="BK187" s="340"/>
      <c r="BL187" s="328">
        <f t="shared" si="47"/>
        <v>0</v>
      </c>
      <c r="BM187" s="328">
        <f t="shared" si="48"/>
        <v>0</v>
      </c>
      <c r="BN187" s="324">
        <f t="shared" si="49"/>
        <v>3</v>
      </c>
      <c r="BO187" s="325">
        <f t="shared" si="50"/>
        <v>0</v>
      </c>
      <c r="BP187" s="326">
        <f t="shared" si="51"/>
        <v>2</v>
      </c>
      <c r="BQ187" s="327">
        <f t="shared" si="52"/>
        <v>0</v>
      </c>
      <c r="BR187" s="329"/>
      <c r="BS187" s="329"/>
      <c r="BT187" s="322"/>
      <c r="BU187" s="408"/>
      <c r="BV187" s="307"/>
      <c r="BW187" s="408"/>
      <c r="BX187" s="322"/>
      <c r="BY187" s="408"/>
      <c r="BZ187" s="307"/>
      <c r="CA187" s="408"/>
      <c r="CB187" s="322"/>
      <c r="CC187" s="408"/>
      <c r="CD187" s="307"/>
      <c r="CE187" s="408"/>
      <c r="CF187" s="322"/>
      <c r="CG187" s="408"/>
      <c r="CH187" s="307"/>
      <c r="CI187" s="408"/>
      <c r="CJ187" s="322"/>
      <c r="CK187" s="408"/>
      <c r="CL187" s="307"/>
      <c r="CM187" s="408"/>
      <c r="CN187" s="322"/>
      <c r="CO187" s="408"/>
      <c r="CP187" s="307"/>
      <c r="CQ187" s="408"/>
      <c r="CR187" s="322"/>
      <c r="CS187" s="408"/>
      <c r="CT187" s="307"/>
      <c r="CU187" s="408"/>
      <c r="CV187" s="322"/>
      <c r="CW187" s="408"/>
      <c r="CX187" s="307"/>
      <c r="CY187" s="408"/>
      <c r="CZ187" s="322"/>
      <c r="DA187" s="408"/>
      <c r="DB187" s="307"/>
      <c r="DC187" s="408"/>
      <c r="DD187" s="322"/>
      <c r="DE187" s="408"/>
      <c r="DF187" s="307"/>
      <c r="DG187" s="408"/>
      <c r="DH187" s="322"/>
      <c r="DI187" s="408"/>
      <c r="DJ187" s="307"/>
      <c r="DK187" s="408"/>
      <c r="DL187" s="322"/>
      <c r="DM187" s="408"/>
      <c r="DN187" s="307"/>
      <c r="DO187" s="408"/>
      <c r="DP187" s="340"/>
      <c r="DQ187" s="328"/>
      <c r="DR187" s="328">
        <f t="shared" si="62"/>
        <v>0</v>
      </c>
      <c r="DS187" s="329"/>
      <c r="DT187" s="329"/>
      <c r="DU187" s="322"/>
      <c r="DV187" s="408"/>
      <c r="DW187" s="307"/>
      <c r="DX187" s="408"/>
      <c r="DY187" s="322"/>
      <c r="DZ187" s="408"/>
      <c r="EA187" s="307"/>
      <c r="EB187" s="408"/>
      <c r="EC187" s="322"/>
      <c r="ED187" s="408"/>
      <c r="EE187" s="307"/>
      <c r="EF187" s="408"/>
      <c r="EG187" s="322"/>
      <c r="EH187" s="408"/>
      <c r="EI187" s="307"/>
      <c r="EJ187" s="408"/>
      <c r="EK187" s="322"/>
      <c r="EL187" s="408"/>
      <c r="EM187" s="307"/>
      <c r="EN187" s="408"/>
      <c r="EO187" s="322"/>
      <c r="EP187" s="408"/>
      <c r="EQ187" s="307"/>
      <c r="ER187" s="408"/>
      <c r="ES187" s="322"/>
      <c r="ET187" s="408"/>
      <c r="EU187" s="307"/>
      <c r="EV187" s="408"/>
      <c r="EW187" s="322"/>
      <c r="EX187" s="408"/>
      <c r="EY187" s="307"/>
      <c r="EZ187" s="408"/>
      <c r="FA187" s="322"/>
      <c r="FB187" s="408"/>
      <c r="FC187" s="307"/>
      <c r="FD187" s="408"/>
      <c r="FE187" s="322"/>
      <c r="FF187" s="408"/>
      <c r="FG187" s="307"/>
      <c r="FH187" s="408"/>
      <c r="FI187" s="322"/>
      <c r="FJ187" s="408"/>
      <c r="FK187" s="307"/>
      <c r="FL187" s="408"/>
      <c r="FM187" s="322"/>
      <c r="FN187" s="408"/>
      <c r="FO187" s="307"/>
      <c r="FP187" s="408"/>
      <c r="FQ187" s="340"/>
      <c r="FR187" s="328"/>
      <c r="FS187" s="328">
        <f t="shared" si="64"/>
        <v>0</v>
      </c>
      <c r="FT187" s="361"/>
    </row>
    <row r="188" spans="1:176" outlineLevel="2">
      <c r="A188" s="413" t="s">
        <v>469</v>
      </c>
      <c r="B188" s="444" t="s">
        <v>51</v>
      </c>
      <c r="C188" s="587" t="s">
        <v>72</v>
      </c>
      <c r="D188" s="580" t="s">
        <v>32</v>
      </c>
      <c r="E188" s="414">
        <f>IF(ISBLANK(G188),"",IF($A$6:$A$330=$A188,COUNTIF($A$6:A188,$A188),""))</f>
        <v>83</v>
      </c>
      <c r="F188" s="670">
        <v>2</v>
      </c>
      <c r="G188" s="501">
        <v>4461220530</v>
      </c>
      <c r="H188" s="611" t="s">
        <v>114</v>
      </c>
      <c r="I188" s="618">
        <v>0</v>
      </c>
      <c r="J188" s="619"/>
      <c r="K188" s="321"/>
      <c r="L188" s="619"/>
      <c r="M188" s="305"/>
      <c r="N188" s="305">
        <f t="shared" si="46"/>
        <v>1</v>
      </c>
      <c r="O188" s="322"/>
      <c r="P188" s="408">
        <f>SUMPRODUCT((Комплекты[Пр]=$F188)*(Комплекты[Обозначение]=$G188)*Комплекты[Кол-во]*(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</v>
      </c>
      <c r="Q188" s="307">
        <f>SUMPRODUCT((Комплекты[Пр]=$F188)*(Комплекты[Обозначение]=$G188)*Комплекты[Кол-во]*(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</v>
      </c>
      <c r="R188" s="408"/>
      <c r="S188" s="322"/>
      <c r="T188" s="408">
        <f>SUMPRODUCT((Комплекты[Пр]=$F188)*(Комплекты[Обозначение]=$G188)*Комплекты[Кол-во]*(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88" s="307">
        <f>SUMPRODUCT((Комплекты[Пр]=$F188)*(Комплекты[Обозначение]=$G188)*Комплекты[Кол-во]*(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88" s="408"/>
      <c r="W188" s="322"/>
      <c r="X188" s="408">
        <f>SUMPRODUCT((Комплекты[Пр]=$F188)*(Комплекты[Обозначение]=$G188)*Комплекты[Кол-во]*(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88" s="307">
        <f>SUMPRODUCT((Комплекты[Пр]=$F188)*(Комплекты[Обозначение]=$G188)*Комплекты[Кол-во]*(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88" s="408"/>
      <c r="AA188" s="322"/>
      <c r="AB188" s="408">
        <f>SUMPRODUCT((Комплекты[Пр]=$F188)*(Комплекты[Обозначение]=$G188)*Комплекты[Кол-во]*(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88" s="307"/>
      <c r="AD188" s="408"/>
      <c r="AE188" s="322"/>
      <c r="AF188" s="408">
        <f>SUMPRODUCT((Комплекты[Пр]=$F188)*(Комплекты[Обозначение]=$G188)*Комплекты[Кол-во]*(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88" s="307">
        <f>SUMPRODUCT((Комплекты[Пр]=$F188)*(Комплекты[Обозначение]=$G188)*Комплекты[Кол-во]*(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88" s="408"/>
      <c r="AI188" s="322"/>
      <c r="AJ188" s="408">
        <f>SUMPRODUCT((Комплекты[Пр]=$F188)*(Комплекты[Обозначение]=$G188)*Комплекты[Кол-во]*(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88" s="307"/>
      <c r="AL188" s="408"/>
      <c r="AM188" s="322"/>
      <c r="AN188" s="408">
        <f>SUMPRODUCT((Комплекты[Пр]=$F188)*(Комплекты[Обозначение]=$G188)*Комплекты[Кол-во]*(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88" s="307"/>
      <c r="AP188" s="408"/>
      <c r="AQ188" s="322"/>
      <c r="AR188" s="408">
        <f>SUMPRODUCT((Комплекты[Пр]=$F188)*(Комплекты[Обозначение]=$G188)*Комплекты[Кол-во]*(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88" s="307"/>
      <c r="AT188" s="408"/>
      <c r="AU188" s="322"/>
      <c r="AV188" s="408">
        <f>SUMPRODUCT((Комплекты[Пр]=$F188)*(Комплекты[Обозначение]=$G188)*Комплекты[Кол-во]*(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88" s="307"/>
      <c r="AX188" s="408"/>
      <c r="AY188" s="322"/>
      <c r="AZ188" s="408">
        <f>SUMPRODUCT((Комплекты[Пр]=$F188)*(Комплекты[Обозначение]=$G188)*Комплекты[Кол-во]*(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88" s="307"/>
      <c r="BB188" s="408"/>
      <c r="BC188" s="322"/>
      <c r="BD188" s="408">
        <f>SUMPRODUCT((Комплекты[Пр]=$F188)*(Комплекты[Обозначение]=$G188)*Комплекты[Кол-во]*(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88" s="307"/>
      <c r="BF188" s="408"/>
      <c r="BG188" s="322"/>
      <c r="BH188" s="408">
        <f>SUMPRODUCT((Комплекты[Пр]=$F188)*(Комплекты[Обозначение]=$G188)*Комплекты[Кол-во]*(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88" s="307"/>
      <c r="BJ188" s="408"/>
      <c r="BK188" s="340"/>
      <c r="BL188" s="328">
        <f t="shared" si="47"/>
        <v>0</v>
      </c>
      <c r="BM188" s="328">
        <f t="shared" si="48"/>
        <v>0</v>
      </c>
      <c r="BN188" s="324">
        <f t="shared" si="49"/>
        <v>3</v>
      </c>
      <c r="BO188" s="325">
        <f t="shared" si="50"/>
        <v>0</v>
      </c>
      <c r="BP188" s="326">
        <f t="shared" si="51"/>
        <v>2</v>
      </c>
      <c r="BQ188" s="327">
        <f t="shared" si="52"/>
        <v>0</v>
      </c>
      <c r="BR188" s="329"/>
      <c r="BS188" s="329"/>
      <c r="BT188" s="322"/>
      <c r="BU188" s="408"/>
      <c r="BV188" s="307"/>
      <c r="BW188" s="408"/>
      <c r="BX188" s="322"/>
      <c r="BY188" s="408"/>
      <c r="BZ188" s="307"/>
      <c r="CA188" s="408"/>
      <c r="CB188" s="322"/>
      <c r="CC188" s="408"/>
      <c r="CD188" s="307"/>
      <c r="CE188" s="408"/>
      <c r="CF188" s="322"/>
      <c r="CG188" s="408"/>
      <c r="CH188" s="307"/>
      <c r="CI188" s="408"/>
      <c r="CJ188" s="322"/>
      <c r="CK188" s="408"/>
      <c r="CL188" s="307"/>
      <c r="CM188" s="408"/>
      <c r="CN188" s="322"/>
      <c r="CO188" s="408"/>
      <c r="CP188" s="307"/>
      <c r="CQ188" s="408"/>
      <c r="CR188" s="322"/>
      <c r="CS188" s="408"/>
      <c r="CT188" s="307"/>
      <c r="CU188" s="408"/>
      <c r="CV188" s="322"/>
      <c r="CW188" s="408"/>
      <c r="CX188" s="307"/>
      <c r="CY188" s="408"/>
      <c r="CZ188" s="322"/>
      <c r="DA188" s="408"/>
      <c r="DB188" s="307"/>
      <c r="DC188" s="408"/>
      <c r="DD188" s="322"/>
      <c r="DE188" s="408"/>
      <c r="DF188" s="307"/>
      <c r="DG188" s="408"/>
      <c r="DH188" s="322"/>
      <c r="DI188" s="408"/>
      <c r="DJ188" s="307"/>
      <c r="DK188" s="408"/>
      <c r="DL188" s="322"/>
      <c r="DM188" s="408"/>
      <c r="DN188" s="307"/>
      <c r="DO188" s="408"/>
      <c r="DP188" s="340"/>
      <c r="DQ188" s="328"/>
      <c r="DR188" s="328">
        <f t="shared" si="62"/>
        <v>0</v>
      </c>
      <c r="DS188" s="329"/>
      <c r="DT188" s="329"/>
      <c r="DU188" s="322"/>
      <c r="DV188" s="408"/>
      <c r="DW188" s="307"/>
      <c r="DX188" s="408"/>
      <c r="DY188" s="322"/>
      <c r="DZ188" s="408"/>
      <c r="EA188" s="307"/>
      <c r="EB188" s="408"/>
      <c r="EC188" s="322"/>
      <c r="ED188" s="408"/>
      <c r="EE188" s="307"/>
      <c r="EF188" s="408"/>
      <c r="EG188" s="322"/>
      <c r="EH188" s="408"/>
      <c r="EI188" s="307"/>
      <c r="EJ188" s="408"/>
      <c r="EK188" s="322"/>
      <c r="EL188" s="408"/>
      <c r="EM188" s="307"/>
      <c r="EN188" s="408"/>
      <c r="EO188" s="322"/>
      <c r="EP188" s="408"/>
      <c r="EQ188" s="307"/>
      <c r="ER188" s="408"/>
      <c r="ES188" s="322"/>
      <c r="ET188" s="408"/>
      <c r="EU188" s="307"/>
      <c r="EV188" s="408"/>
      <c r="EW188" s="322"/>
      <c r="EX188" s="408"/>
      <c r="EY188" s="307"/>
      <c r="EZ188" s="408"/>
      <c r="FA188" s="322"/>
      <c r="FB188" s="408"/>
      <c r="FC188" s="307"/>
      <c r="FD188" s="408"/>
      <c r="FE188" s="322"/>
      <c r="FF188" s="408"/>
      <c r="FG188" s="307"/>
      <c r="FH188" s="408"/>
      <c r="FI188" s="322"/>
      <c r="FJ188" s="408"/>
      <c r="FK188" s="307"/>
      <c r="FL188" s="408"/>
      <c r="FM188" s="322"/>
      <c r="FN188" s="408"/>
      <c r="FO188" s="307"/>
      <c r="FP188" s="408"/>
      <c r="FQ188" s="340"/>
      <c r="FR188" s="328"/>
      <c r="FS188" s="328">
        <f t="shared" si="64"/>
        <v>0</v>
      </c>
      <c r="FT188" s="361"/>
    </row>
    <row r="189" spans="1:176" outlineLevel="2">
      <c r="A189" s="413" t="s">
        <v>469</v>
      </c>
      <c r="B189" s="444" t="s">
        <v>51</v>
      </c>
      <c r="C189" s="587" t="s">
        <v>72</v>
      </c>
      <c r="D189" s="580" t="s">
        <v>32</v>
      </c>
      <c r="E189" s="414">
        <f>IF(ISBLANK(G189),"",IF($A$6:$A$330=$A189,COUNTIF($A$6:A189,$A189),""))</f>
        <v>84</v>
      </c>
      <c r="F189" s="670">
        <v>2</v>
      </c>
      <c r="G189" s="501">
        <v>4491350600</v>
      </c>
      <c r="H189" s="611" t="s">
        <v>125</v>
      </c>
      <c r="I189" s="618">
        <v>0</v>
      </c>
      <c r="J189" s="619"/>
      <c r="K189" s="321"/>
      <c r="L189" s="619"/>
      <c r="M189" s="305"/>
      <c r="N189" s="305">
        <f t="shared" si="46"/>
        <v>1</v>
      </c>
      <c r="O189" s="322"/>
      <c r="P189" s="408">
        <f>SUMPRODUCT((Комплекты[Пр]=$F189)*(Комплекты[Обозначение]=$G189)*Комплекты[Кол-во]*(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</v>
      </c>
      <c r="Q189" s="307">
        <f>SUMPRODUCT((Комплекты[Пр]=$F189)*(Комплекты[Обозначение]=$G189)*Комплекты[Кол-во]*(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</v>
      </c>
      <c r="R189" s="408"/>
      <c r="S189" s="322"/>
      <c r="T189" s="408">
        <f>SUMPRODUCT((Комплекты[Пр]=$F189)*(Комплекты[Обозначение]=$G189)*Комплекты[Кол-во]*(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89" s="307">
        <f>SUMPRODUCT((Комплекты[Пр]=$F189)*(Комплекты[Обозначение]=$G189)*Комплекты[Кол-во]*(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89" s="408"/>
      <c r="W189" s="322"/>
      <c r="X189" s="408">
        <f>SUMPRODUCT((Комплекты[Пр]=$F189)*(Комплекты[Обозначение]=$G189)*Комплекты[Кол-во]*(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89" s="307">
        <f>SUMPRODUCT((Комплекты[Пр]=$F189)*(Комплекты[Обозначение]=$G189)*Комплекты[Кол-во]*(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89" s="408"/>
      <c r="AA189" s="322"/>
      <c r="AB189" s="408">
        <f>SUMPRODUCT((Комплекты[Пр]=$F189)*(Комплекты[Обозначение]=$G189)*Комплекты[Кол-во]*(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89" s="307"/>
      <c r="AD189" s="408"/>
      <c r="AE189" s="322"/>
      <c r="AF189" s="408">
        <f>SUMPRODUCT((Комплекты[Пр]=$F189)*(Комплекты[Обозначение]=$G189)*Комплекты[Кол-во]*(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89" s="307">
        <f>SUMPRODUCT((Комплекты[Пр]=$F189)*(Комплекты[Обозначение]=$G189)*Комплекты[Кол-во]*(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89" s="408"/>
      <c r="AI189" s="322"/>
      <c r="AJ189" s="408">
        <f>SUMPRODUCT((Комплекты[Пр]=$F189)*(Комплекты[Обозначение]=$G189)*Комплекты[Кол-во]*(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89" s="307"/>
      <c r="AL189" s="408"/>
      <c r="AM189" s="322"/>
      <c r="AN189" s="408">
        <f>SUMPRODUCT((Комплекты[Пр]=$F189)*(Комплекты[Обозначение]=$G189)*Комплекты[Кол-во]*(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89" s="307"/>
      <c r="AP189" s="408"/>
      <c r="AQ189" s="322"/>
      <c r="AR189" s="408">
        <f>SUMPRODUCT((Комплекты[Пр]=$F189)*(Комплекты[Обозначение]=$G189)*Комплекты[Кол-во]*(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89" s="307"/>
      <c r="AT189" s="408"/>
      <c r="AU189" s="322"/>
      <c r="AV189" s="408">
        <f>SUMPRODUCT((Комплекты[Пр]=$F189)*(Комплекты[Обозначение]=$G189)*Комплекты[Кол-во]*(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89" s="307"/>
      <c r="AX189" s="408"/>
      <c r="AY189" s="322"/>
      <c r="AZ189" s="408">
        <f>SUMPRODUCT((Комплекты[Пр]=$F189)*(Комплекты[Обозначение]=$G189)*Комплекты[Кол-во]*(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89" s="307"/>
      <c r="BB189" s="408"/>
      <c r="BC189" s="322"/>
      <c r="BD189" s="408">
        <f>SUMPRODUCT((Комплекты[Пр]=$F189)*(Комплекты[Обозначение]=$G189)*Комплекты[Кол-во]*(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89" s="307"/>
      <c r="BF189" s="408"/>
      <c r="BG189" s="322"/>
      <c r="BH189" s="408">
        <f>SUMPRODUCT((Комплекты[Пр]=$F189)*(Комплекты[Обозначение]=$G189)*Комплекты[Кол-во]*(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89" s="307"/>
      <c r="BJ189" s="408"/>
      <c r="BK189" s="340"/>
      <c r="BL189" s="328">
        <f t="shared" si="47"/>
        <v>0</v>
      </c>
      <c r="BM189" s="328">
        <f t="shared" si="48"/>
        <v>0</v>
      </c>
      <c r="BN189" s="324">
        <f t="shared" si="49"/>
        <v>3</v>
      </c>
      <c r="BO189" s="325">
        <f t="shared" si="50"/>
        <v>0</v>
      </c>
      <c r="BP189" s="326">
        <f t="shared" si="51"/>
        <v>2</v>
      </c>
      <c r="BQ189" s="327">
        <f t="shared" si="52"/>
        <v>0</v>
      </c>
      <c r="BR189" s="329"/>
      <c r="BS189" s="329"/>
      <c r="BT189" s="322"/>
      <c r="BU189" s="408"/>
      <c r="BV189" s="307"/>
      <c r="BW189" s="408"/>
      <c r="BX189" s="322"/>
      <c r="BY189" s="408"/>
      <c r="BZ189" s="307"/>
      <c r="CA189" s="408"/>
      <c r="CB189" s="322"/>
      <c r="CC189" s="408"/>
      <c r="CD189" s="307"/>
      <c r="CE189" s="408"/>
      <c r="CF189" s="322"/>
      <c r="CG189" s="408"/>
      <c r="CH189" s="307"/>
      <c r="CI189" s="408"/>
      <c r="CJ189" s="322"/>
      <c r="CK189" s="408"/>
      <c r="CL189" s="307"/>
      <c r="CM189" s="408"/>
      <c r="CN189" s="322"/>
      <c r="CO189" s="408"/>
      <c r="CP189" s="307"/>
      <c r="CQ189" s="408"/>
      <c r="CR189" s="322"/>
      <c r="CS189" s="408"/>
      <c r="CT189" s="307"/>
      <c r="CU189" s="408"/>
      <c r="CV189" s="322"/>
      <c r="CW189" s="408"/>
      <c r="CX189" s="307"/>
      <c r="CY189" s="408"/>
      <c r="CZ189" s="322"/>
      <c r="DA189" s="408"/>
      <c r="DB189" s="307"/>
      <c r="DC189" s="408"/>
      <c r="DD189" s="322"/>
      <c r="DE189" s="408"/>
      <c r="DF189" s="307"/>
      <c r="DG189" s="408"/>
      <c r="DH189" s="322"/>
      <c r="DI189" s="408"/>
      <c r="DJ189" s="307"/>
      <c r="DK189" s="408"/>
      <c r="DL189" s="322"/>
      <c r="DM189" s="408"/>
      <c r="DN189" s="307"/>
      <c r="DO189" s="408"/>
      <c r="DP189" s="340"/>
      <c r="DQ189" s="328"/>
      <c r="DR189" s="328">
        <f t="shared" si="62"/>
        <v>0</v>
      </c>
      <c r="DS189" s="329"/>
      <c r="DT189" s="329"/>
      <c r="DU189" s="322"/>
      <c r="DV189" s="408"/>
      <c r="DW189" s="307"/>
      <c r="DX189" s="408"/>
      <c r="DY189" s="322"/>
      <c r="DZ189" s="408"/>
      <c r="EA189" s="307"/>
      <c r="EB189" s="408"/>
      <c r="EC189" s="322"/>
      <c r="ED189" s="408"/>
      <c r="EE189" s="307"/>
      <c r="EF189" s="408"/>
      <c r="EG189" s="322"/>
      <c r="EH189" s="408"/>
      <c r="EI189" s="307"/>
      <c r="EJ189" s="408"/>
      <c r="EK189" s="322"/>
      <c r="EL189" s="408"/>
      <c r="EM189" s="307"/>
      <c r="EN189" s="408"/>
      <c r="EO189" s="322"/>
      <c r="EP189" s="408"/>
      <c r="EQ189" s="307"/>
      <c r="ER189" s="408"/>
      <c r="ES189" s="322"/>
      <c r="ET189" s="408"/>
      <c r="EU189" s="307"/>
      <c r="EV189" s="408"/>
      <c r="EW189" s="322"/>
      <c r="EX189" s="408"/>
      <c r="EY189" s="307"/>
      <c r="EZ189" s="408"/>
      <c r="FA189" s="322"/>
      <c r="FB189" s="408"/>
      <c r="FC189" s="307"/>
      <c r="FD189" s="408"/>
      <c r="FE189" s="322"/>
      <c r="FF189" s="408"/>
      <c r="FG189" s="307"/>
      <c r="FH189" s="408"/>
      <c r="FI189" s="322"/>
      <c r="FJ189" s="408"/>
      <c r="FK189" s="307"/>
      <c r="FL189" s="408"/>
      <c r="FM189" s="322"/>
      <c r="FN189" s="408"/>
      <c r="FO189" s="307"/>
      <c r="FP189" s="408"/>
      <c r="FQ189" s="340"/>
      <c r="FR189" s="328"/>
      <c r="FS189" s="328">
        <f t="shared" si="64"/>
        <v>0</v>
      </c>
      <c r="FT189" s="361"/>
    </row>
    <row r="190" spans="1:176" outlineLevel="2">
      <c r="A190" s="413" t="s">
        <v>469</v>
      </c>
      <c r="B190" s="444" t="s">
        <v>51</v>
      </c>
      <c r="C190" s="587" t="s">
        <v>72</v>
      </c>
      <c r="D190" s="580" t="s">
        <v>32</v>
      </c>
      <c r="E190" s="414">
        <f>IF(ISBLANK(G190),"",IF($A$6:$A$330=$A190,COUNTIF($A$6:A190,$A190),""))</f>
        <v>85</v>
      </c>
      <c r="F190" s="670">
        <v>2</v>
      </c>
      <c r="G190" s="501">
        <v>4493470800</v>
      </c>
      <c r="H190" s="611" t="s">
        <v>119</v>
      </c>
      <c r="I190" s="618">
        <v>0</v>
      </c>
      <c r="J190" s="619"/>
      <c r="K190" s="321"/>
      <c r="L190" s="619"/>
      <c r="M190" s="305"/>
      <c r="N190" s="305">
        <f t="shared" si="46"/>
        <v>1</v>
      </c>
      <c r="O190" s="322"/>
      <c r="P190" s="408">
        <f>SUMPRODUCT((Комплекты[Пр]=$F190)*(Комплекты[Обозначение]=$G190)*Комплекты[Кол-во]*(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</v>
      </c>
      <c r="Q190" s="307">
        <f>SUMPRODUCT((Комплекты[Пр]=$F190)*(Комплекты[Обозначение]=$G190)*Комплекты[Кол-во]*(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</v>
      </c>
      <c r="R190" s="408"/>
      <c r="S190" s="322"/>
      <c r="T190" s="408">
        <f>SUMPRODUCT((Комплекты[Пр]=$F190)*(Комплекты[Обозначение]=$G190)*Комплекты[Кол-во]*(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90" s="307">
        <f>SUMPRODUCT((Комплекты[Пр]=$F190)*(Комплекты[Обозначение]=$G190)*Комплекты[Кол-во]*(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90" s="408"/>
      <c r="W190" s="322"/>
      <c r="X190" s="408">
        <f>SUMPRODUCT((Комплекты[Пр]=$F190)*(Комплекты[Обозначение]=$G190)*Комплекты[Кол-во]*(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90" s="307">
        <f>SUMPRODUCT((Комплекты[Пр]=$F190)*(Комплекты[Обозначение]=$G190)*Комплекты[Кол-во]*(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90" s="408"/>
      <c r="AA190" s="322"/>
      <c r="AB190" s="408">
        <f>SUMPRODUCT((Комплекты[Пр]=$F190)*(Комплекты[Обозначение]=$G190)*Комплекты[Кол-во]*(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90" s="307"/>
      <c r="AD190" s="408"/>
      <c r="AE190" s="322"/>
      <c r="AF190" s="408">
        <f>SUMPRODUCT((Комплекты[Пр]=$F190)*(Комплекты[Обозначение]=$G190)*Комплекты[Кол-во]*(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90" s="307">
        <f>SUMPRODUCT((Комплекты[Пр]=$F190)*(Комплекты[Обозначение]=$G190)*Комплекты[Кол-во]*(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90" s="408"/>
      <c r="AI190" s="322"/>
      <c r="AJ190" s="408">
        <f>SUMPRODUCT((Комплекты[Пр]=$F190)*(Комплекты[Обозначение]=$G190)*Комплекты[Кол-во]*(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90" s="307"/>
      <c r="AL190" s="408"/>
      <c r="AM190" s="322"/>
      <c r="AN190" s="408">
        <f>SUMPRODUCT((Комплекты[Пр]=$F190)*(Комплекты[Обозначение]=$G190)*Комплекты[Кол-во]*(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90" s="307"/>
      <c r="AP190" s="408"/>
      <c r="AQ190" s="322"/>
      <c r="AR190" s="408">
        <f>SUMPRODUCT((Комплекты[Пр]=$F190)*(Комплекты[Обозначение]=$G190)*Комплекты[Кол-во]*(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90" s="307"/>
      <c r="AT190" s="408"/>
      <c r="AU190" s="322"/>
      <c r="AV190" s="408">
        <f>SUMPRODUCT((Комплекты[Пр]=$F190)*(Комплекты[Обозначение]=$G190)*Комплекты[Кол-во]*(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90" s="307"/>
      <c r="AX190" s="408"/>
      <c r="AY190" s="322"/>
      <c r="AZ190" s="408">
        <f>SUMPRODUCT((Комплекты[Пр]=$F190)*(Комплекты[Обозначение]=$G190)*Комплекты[Кол-во]*(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90" s="307"/>
      <c r="BB190" s="408"/>
      <c r="BC190" s="322"/>
      <c r="BD190" s="408">
        <f>SUMPRODUCT((Комплекты[Пр]=$F190)*(Комплекты[Обозначение]=$G190)*Комплекты[Кол-во]*(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90" s="307"/>
      <c r="BF190" s="408"/>
      <c r="BG190" s="322"/>
      <c r="BH190" s="408">
        <f>SUMPRODUCT((Комплекты[Пр]=$F190)*(Комплекты[Обозначение]=$G190)*Комплекты[Кол-во]*(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90" s="307"/>
      <c r="BJ190" s="408"/>
      <c r="BK190" s="340"/>
      <c r="BL190" s="328">
        <f t="shared" si="47"/>
        <v>0</v>
      </c>
      <c r="BM190" s="328">
        <f t="shared" si="48"/>
        <v>0</v>
      </c>
      <c r="BN190" s="324">
        <f t="shared" si="49"/>
        <v>3</v>
      </c>
      <c r="BO190" s="325">
        <f t="shared" si="50"/>
        <v>0</v>
      </c>
      <c r="BP190" s="326">
        <f t="shared" si="51"/>
        <v>2</v>
      </c>
      <c r="BQ190" s="327">
        <f t="shared" si="52"/>
        <v>0</v>
      </c>
      <c r="BR190" s="329"/>
      <c r="BS190" s="329"/>
      <c r="BT190" s="322"/>
      <c r="BU190" s="408"/>
      <c r="BV190" s="307"/>
      <c r="BW190" s="408"/>
      <c r="BX190" s="322"/>
      <c r="BY190" s="408"/>
      <c r="BZ190" s="307"/>
      <c r="CA190" s="408"/>
      <c r="CB190" s="322"/>
      <c r="CC190" s="408"/>
      <c r="CD190" s="307"/>
      <c r="CE190" s="408"/>
      <c r="CF190" s="322"/>
      <c r="CG190" s="408"/>
      <c r="CH190" s="307"/>
      <c r="CI190" s="408"/>
      <c r="CJ190" s="322"/>
      <c r="CK190" s="408"/>
      <c r="CL190" s="307"/>
      <c r="CM190" s="408"/>
      <c r="CN190" s="322"/>
      <c r="CO190" s="408"/>
      <c r="CP190" s="307"/>
      <c r="CQ190" s="408"/>
      <c r="CR190" s="322"/>
      <c r="CS190" s="408"/>
      <c r="CT190" s="307"/>
      <c r="CU190" s="408"/>
      <c r="CV190" s="322"/>
      <c r="CW190" s="408"/>
      <c r="CX190" s="307"/>
      <c r="CY190" s="408"/>
      <c r="CZ190" s="322"/>
      <c r="DA190" s="408"/>
      <c r="DB190" s="307"/>
      <c r="DC190" s="408"/>
      <c r="DD190" s="322"/>
      <c r="DE190" s="408"/>
      <c r="DF190" s="307"/>
      <c r="DG190" s="408"/>
      <c r="DH190" s="322"/>
      <c r="DI190" s="408"/>
      <c r="DJ190" s="307"/>
      <c r="DK190" s="408"/>
      <c r="DL190" s="322"/>
      <c r="DM190" s="408"/>
      <c r="DN190" s="307"/>
      <c r="DO190" s="408"/>
      <c r="DP190" s="340"/>
      <c r="DQ190" s="328"/>
      <c r="DR190" s="328">
        <f t="shared" si="62"/>
        <v>0</v>
      </c>
      <c r="DS190" s="329"/>
      <c r="DT190" s="329"/>
      <c r="DU190" s="322"/>
      <c r="DV190" s="408"/>
      <c r="DW190" s="307"/>
      <c r="DX190" s="408"/>
      <c r="DY190" s="322"/>
      <c r="DZ190" s="408"/>
      <c r="EA190" s="307"/>
      <c r="EB190" s="408"/>
      <c r="EC190" s="322"/>
      <c r="ED190" s="408"/>
      <c r="EE190" s="307"/>
      <c r="EF190" s="408"/>
      <c r="EG190" s="322"/>
      <c r="EH190" s="408"/>
      <c r="EI190" s="307"/>
      <c r="EJ190" s="408"/>
      <c r="EK190" s="322"/>
      <c r="EL190" s="408"/>
      <c r="EM190" s="307"/>
      <c r="EN190" s="408"/>
      <c r="EO190" s="322"/>
      <c r="EP190" s="408"/>
      <c r="EQ190" s="307"/>
      <c r="ER190" s="408"/>
      <c r="ES190" s="322"/>
      <c r="ET190" s="408"/>
      <c r="EU190" s="307"/>
      <c r="EV190" s="408"/>
      <c r="EW190" s="322"/>
      <c r="EX190" s="408"/>
      <c r="EY190" s="307"/>
      <c r="EZ190" s="408"/>
      <c r="FA190" s="322"/>
      <c r="FB190" s="408"/>
      <c r="FC190" s="307"/>
      <c r="FD190" s="408"/>
      <c r="FE190" s="322"/>
      <c r="FF190" s="408"/>
      <c r="FG190" s="307"/>
      <c r="FH190" s="408"/>
      <c r="FI190" s="322"/>
      <c r="FJ190" s="408"/>
      <c r="FK190" s="307"/>
      <c r="FL190" s="408"/>
      <c r="FM190" s="322"/>
      <c r="FN190" s="408"/>
      <c r="FO190" s="307"/>
      <c r="FP190" s="408"/>
      <c r="FQ190" s="340"/>
      <c r="FR190" s="328"/>
      <c r="FS190" s="328">
        <f t="shared" si="64"/>
        <v>0</v>
      </c>
      <c r="FT190" s="361"/>
    </row>
    <row r="191" spans="1:176" outlineLevel="2">
      <c r="A191" s="413" t="s">
        <v>469</v>
      </c>
      <c r="B191" s="444" t="s">
        <v>51</v>
      </c>
      <c r="C191" s="587" t="s">
        <v>72</v>
      </c>
      <c r="D191" s="580" t="s">
        <v>32</v>
      </c>
      <c r="E191" s="414">
        <f>IF(ISBLANK(G191),"",IF($A$6:$A$330=$A191,COUNTIF($A$6:A191,$A191),""))</f>
        <v>86</v>
      </c>
      <c r="F191" s="670">
        <v>2</v>
      </c>
      <c r="G191" s="501">
        <v>4494250600</v>
      </c>
      <c r="H191" s="611" t="s">
        <v>127</v>
      </c>
      <c r="I191" s="618">
        <v>0</v>
      </c>
      <c r="J191" s="619"/>
      <c r="K191" s="321"/>
      <c r="L191" s="619"/>
      <c r="M191" s="305"/>
      <c r="N191" s="305">
        <f t="shared" si="46"/>
        <v>1</v>
      </c>
      <c r="O191" s="322"/>
      <c r="P191" s="408">
        <f>SUMPRODUCT((Комплекты[Пр]=$F191)*(Комплекты[Обозначение]=$G191)*Комплекты[Кол-во]*(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</v>
      </c>
      <c r="Q191" s="307">
        <f>SUMPRODUCT((Комплекты[Пр]=$F191)*(Комплекты[Обозначение]=$G191)*Комплекты[Кол-во]*(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</v>
      </c>
      <c r="R191" s="408"/>
      <c r="S191" s="322"/>
      <c r="T191" s="408">
        <f>SUMPRODUCT((Комплекты[Пр]=$F191)*(Комплекты[Обозначение]=$G191)*Комплекты[Кол-во]*(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91" s="307">
        <f>SUMPRODUCT((Комплекты[Пр]=$F191)*(Комплекты[Обозначение]=$G191)*Комплекты[Кол-во]*(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91" s="408"/>
      <c r="W191" s="322"/>
      <c r="X191" s="408">
        <f>SUMPRODUCT((Комплекты[Пр]=$F191)*(Комплекты[Обозначение]=$G191)*Комплекты[Кол-во]*(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91" s="307">
        <f>SUMPRODUCT((Комплекты[Пр]=$F191)*(Комплекты[Обозначение]=$G191)*Комплекты[Кол-во]*(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91" s="408"/>
      <c r="AA191" s="322"/>
      <c r="AB191" s="408">
        <f>SUMPRODUCT((Комплекты[Пр]=$F191)*(Комплекты[Обозначение]=$G191)*Комплекты[Кол-во]*(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91" s="307"/>
      <c r="AD191" s="408"/>
      <c r="AE191" s="322"/>
      <c r="AF191" s="408">
        <f>SUMPRODUCT((Комплекты[Пр]=$F191)*(Комплекты[Обозначение]=$G191)*Комплекты[Кол-во]*(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91" s="307">
        <f>SUMPRODUCT((Комплекты[Пр]=$F191)*(Комплекты[Обозначение]=$G191)*Комплекты[Кол-во]*(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91" s="408"/>
      <c r="AI191" s="322"/>
      <c r="AJ191" s="408">
        <f>SUMPRODUCT((Комплекты[Пр]=$F191)*(Комплекты[Обозначение]=$G191)*Комплекты[Кол-во]*(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91" s="307"/>
      <c r="AL191" s="408"/>
      <c r="AM191" s="322"/>
      <c r="AN191" s="408">
        <f>SUMPRODUCT((Комплекты[Пр]=$F191)*(Комплекты[Обозначение]=$G191)*Комплекты[Кол-во]*(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91" s="307"/>
      <c r="AP191" s="408"/>
      <c r="AQ191" s="322"/>
      <c r="AR191" s="408">
        <f>SUMPRODUCT((Комплекты[Пр]=$F191)*(Комплекты[Обозначение]=$G191)*Комплекты[Кол-во]*(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91" s="307"/>
      <c r="AT191" s="408"/>
      <c r="AU191" s="322"/>
      <c r="AV191" s="408">
        <f>SUMPRODUCT((Комплекты[Пр]=$F191)*(Комплекты[Обозначение]=$G191)*Комплекты[Кол-во]*(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91" s="307"/>
      <c r="AX191" s="408"/>
      <c r="AY191" s="322"/>
      <c r="AZ191" s="408">
        <f>SUMPRODUCT((Комплекты[Пр]=$F191)*(Комплекты[Обозначение]=$G191)*Комплекты[Кол-во]*(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91" s="307"/>
      <c r="BB191" s="408"/>
      <c r="BC191" s="322"/>
      <c r="BD191" s="408">
        <f>SUMPRODUCT((Комплекты[Пр]=$F191)*(Комплекты[Обозначение]=$G191)*Комплекты[Кол-во]*(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91" s="307"/>
      <c r="BF191" s="408"/>
      <c r="BG191" s="322"/>
      <c r="BH191" s="408">
        <f>SUMPRODUCT((Комплекты[Пр]=$F191)*(Комплекты[Обозначение]=$G191)*Комплекты[Кол-во]*(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91" s="307"/>
      <c r="BJ191" s="408"/>
      <c r="BK191" s="340"/>
      <c r="BL191" s="328">
        <f t="shared" si="47"/>
        <v>0</v>
      </c>
      <c r="BM191" s="328">
        <f t="shared" si="48"/>
        <v>0</v>
      </c>
      <c r="BN191" s="324">
        <f t="shared" si="49"/>
        <v>3</v>
      </c>
      <c r="BO191" s="325">
        <f t="shared" si="50"/>
        <v>0</v>
      </c>
      <c r="BP191" s="326">
        <f t="shared" si="51"/>
        <v>2</v>
      </c>
      <c r="BQ191" s="327">
        <f t="shared" si="52"/>
        <v>0</v>
      </c>
      <c r="BR191" s="329"/>
      <c r="BS191" s="329"/>
      <c r="BT191" s="322"/>
      <c r="BU191" s="408"/>
      <c r="BV191" s="307"/>
      <c r="BW191" s="408"/>
      <c r="BX191" s="322"/>
      <c r="BY191" s="408"/>
      <c r="BZ191" s="307"/>
      <c r="CA191" s="408"/>
      <c r="CB191" s="322"/>
      <c r="CC191" s="408"/>
      <c r="CD191" s="307"/>
      <c r="CE191" s="408"/>
      <c r="CF191" s="322"/>
      <c r="CG191" s="408"/>
      <c r="CH191" s="307"/>
      <c r="CI191" s="408"/>
      <c r="CJ191" s="322"/>
      <c r="CK191" s="408"/>
      <c r="CL191" s="307"/>
      <c r="CM191" s="408"/>
      <c r="CN191" s="322"/>
      <c r="CO191" s="408"/>
      <c r="CP191" s="307"/>
      <c r="CQ191" s="408"/>
      <c r="CR191" s="322"/>
      <c r="CS191" s="408"/>
      <c r="CT191" s="307"/>
      <c r="CU191" s="408"/>
      <c r="CV191" s="322"/>
      <c r="CW191" s="408"/>
      <c r="CX191" s="307"/>
      <c r="CY191" s="408"/>
      <c r="CZ191" s="322"/>
      <c r="DA191" s="408"/>
      <c r="DB191" s="307"/>
      <c r="DC191" s="408"/>
      <c r="DD191" s="322"/>
      <c r="DE191" s="408"/>
      <c r="DF191" s="307"/>
      <c r="DG191" s="408"/>
      <c r="DH191" s="322"/>
      <c r="DI191" s="408"/>
      <c r="DJ191" s="307"/>
      <c r="DK191" s="408"/>
      <c r="DL191" s="322"/>
      <c r="DM191" s="408"/>
      <c r="DN191" s="307"/>
      <c r="DO191" s="408"/>
      <c r="DP191" s="340"/>
      <c r="DQ191" s="328"/>
      <c r="DR191" s="328">
        <f t="shared" si="62"/>
        <v>0</v>
      </c>
      <c r="DS191" s="329"/>
      <c r="DT191" s="329"/>
      <c r="DU191" s="322"/>
      <c r="DV191" s="408"/>
      <c r="DW191" s="307"/>
      <c r="DX191" s="408"/>
      <c r="DY191" s="322"/>
      <c r="DZ191" s="408"/>
      <c r="EA191" s="307"/>
      <c r="EB191" s="408"/>
      <c r="EC191" s="322"/>
      <c r="ED191" s="408"/>
      <c r="EE191" s="307"/>
      <c r="EF191" s="408"/>
      <c r="EG191" s="322"/>
      <c r="EH191" s="408"/>
      <c r="EI191" s="307"/>
      <c r="EJ191" s="408"/>
      <c r="EK191" s="322"/>
      <c r="EL191" s="408"/>
      <c r="EM191" s="307"/>
      <c r="EN191" s="408"/>
      <c r="EO191" s="322"/>
      <c r="EP191" s="408"/>
      <c r="EQ191" s="307"/>
      <c r="ER191" s="408"/>
      <c r="ES191" s="322"/>
      <c r="ET191" s="408"/>
      <c r="EU191" s="307"/>
      <c r="EV191" s="408"/>
      <c r="EW191" s="322"/>
      <c r="EX191" s="408"/>
      <c r="EY191" s="307"/>
      <c r="EZ191" s="408"/>
      <c r="FA191" s="322"/>
      <c r="FB191" s="408"/>
      <c r="FC191" s="307"/>
      <c r="FD191" s="408"/>
      <c r="FE191" s="322"/>
      <c r="FF191" s="408"/>
      <c r="FG191" s="307"/>
      <c r="FH191" s="408"/>
      <c r="FI191" s="322"/>
      <c r="FJ191" s="408"/>
      <c r="FK191" s="307"/>
      <c r="FL191" s="408"/>
      <c r="FM191" s="322"/>
      <c r="FN191" s="408"/>
      <c r="FO191" s="307"/>
      <c r="FP191" s="408"/>
      <c r="FQ191" s="340"/>
      <c r="FR191" s="328"/>
      <c r="FS191" s="328">
        <f t="shared" si="64"/>
        <v>0</v>
      </c>
      <c r="FT191" s="361"/>
    </row>
    <row r="192" spans="1:176" outlineLevel="2">
      <c r="A192" s="413" t="s">
        <v>469</v>
      </c>
      <c r="B192" s="444" t="s">
        <v>51</v>
      </c>
      <c r="C192" s="587" t="s">
        <v>72</v>
      </c>
      <c r="D192" s="580" t="s">
        <v>32</v>
      </c>
      <c r="E192" s="414">
        <f>IF(ISBLANK(G192),"",IF($A$6:$A$330=$A192,COUNTIF($A$6:A192,$A192),""))</f>
        <v>87</v>
      </c>
      <c r="F192" s="670">
        <v>2</v>
      </c>
      <c r="G192" s="501">
        <v>8946000320</v>
      </c>
      <c r="H192" s="611" t="s">
        <v>126</v>
      </c>
      <c r="I192" s="618">
        <v>0</v>
      </c>
      <c r="J192" s="619"/>
      <c r="K192" s="321"/>
      <c r="L192" s="619"/>
      <c r="M192" s="305"/>
      <c r="N192" s="305">
        <f t="shared" si="46"/>
        <v>1</v>
      </c>
      <c r="O192" s="322"/>
      <c r="P192" s="408">
        <f>SUMPRODUCT((Комплекты[Пр]=$F192)*(Комплекты[Обозначение]=$G192)*Комплекты[Кол-во]*(
((Комплекты[Комплект]=$G$148)*P$148)+
((Комплекты[Комплект]=$G$146)*P$146)+
((Комплекты[Комплект]=$G$142)*P$142)+
((Комплекты[Комплект]=$G$141)*P$141)+
((Комплекты[Комплект]=$G$140)*P$140)+
((Комплекты[Комплект]=$G$139)*P$139)+
((Комплекты[Комплект]=$G$138)*P$138)+
((Комплекты[Комплект]=$G$137)*P$137)+
((Комплекты[Комплект]=$G$136)*P$136)+
((Комплекты[Комплект]=$G$135)*P$135)+
((Комплекты[Комплект]=$G$134)*P$134)+
((Комплекты[Комплект]=$G$133)*P$133)+
((Комплекты[Комплект]=$G$132)*P$132)+
((Комплекты[Комплект]=$G$131)*P$131)+
((Комплекты[Комплект]=$G$130)*P$130)+
((Комплекты[Комплект]=$G$129)*P$129)))</f>
        <v>2</v>
      </c>
      <c r="Q192" s="307">
        <f>SUMPRODUCT((Комплекты[Пр]=$F192)*(Комплекты[Обозначение]=$G192)*Комплекты[Кол-во]*(
((Комплекты[Комплект]=$G$148)*Q$148)+
((Комплекты[Комплект]=$G$146)*Q$146)+
((Комплекты[Комплект]=$G$142)*Q$142)+
((Комплекты[Комплект]=$G$141)*Q$141)+
((Комплекты[Комплект]=$G$140)*Q$140)+
((Комплекты[Комплект]=$G$139)*Q$139)+
((Комплекты[Комплект]=$G$138)*Q$138)+
((Комплекты[Комплект]=$G$137)*Q$137)+
((Комплекты[Комплект]=$G$136)*Q$136)+
((Комплекты[Комплект]=$G$135)*Q$135)+
((Комплекты[Комплект]=$G$134)*Q$134)+
((Комплекты[Комплект]=$G$133)*Q$133)+
((Комплекты[Комплект]=$G$132)*Q$132)+
((Комплекты[Комплект]=$G$131)*Q$131)+
((Комплекты[Комплект]=$G$130)*Q$130)+
((Комплекты[Комплект]=$G$129)*Q$129)))</f>
        <v>2</v>
      </c>
      <c r="R192" s="408"/>
      <c r="S192" s="322"/>
      <c r="T192" s="408">
        <f>SUMPRODUCT((Комплекты[Пр]=$F192)*(Комплекты[Обозначение]=$G192)*Комплекты[Кол-во]*(
((Комплекты[Комплект]=$G$148)*T$148)+
((Комплекты[Комплект]=$G$147)*T$147)+
((Комплекты[Комплект]=$G$146)*T$146)+
((Комплекты[Комплект]=$G$145)*T$145)+
((Комплекты[Комплект]=$G$144)*T$144)+
((Комплекты[Комплект]=$G$143)*T$143)+
((Комплекты[Комплект]=$G$142)*T$142)+
((Комплекты[Комплект]=$G$141)*T$141)+
((Комплекты[Комплект]=$G$140)*T$140)+
((Комплекты[Комплект]=$G$139)*T$139)+
((Комплекты[Комплект]=$G$138)*T$138)+
((Комплекты[Комплект]=$G$137)*T$137)+
((Комплекты[Комплект]=$G$136)*T$136)+
((Комплекты[Комплект]=$G$135)*T$135)+
((Комплекты[Комплект]=$G$134)*T$134)+
((Комплекты[Комплект]=$G$133)*T$133)+
((Комплекты[Комплект]=$G$132)*T$132)+
((Комплекты[Комплект]=$G$131)*T$131)+
((Комплекты[Комплект]=$G$130)*T$130)+
((Комплекты[Комплект]=$G$129)*T$129)))</f>
        <v>0</v>
      </c>
      <c r="U192" s="307">
        <f>SUMPRODUCT((Комплекты[Пр]=$F192)*(Комплекты[Обозначение]=$G192)*Комплекты[Кол-во]*(
((Комплекты[Комплект]=$G$148)*U$148)+
((Комплекты[Комплект]=$G$147)*U$147)+
((Комплекты[Комплект]=$G$146)*U$146)+
((Комплекты[Комплект]=$G$145)*U$145)+
((Комплекты[Комплект]=$G$144)*U$144)+
((Комплекты[Комплект]=$G$143)*U$143)+
((Комплекты[Комплект]=$G$142)*U$142)+
((Комплекты[Комплект]=$G$141)*U$141)+
((Комплекты[Комплект]=$G$140)*U$140)+
((Комплекты[Комплект]=$G$139)*U$139)+
((Комплекты[Комплект]=$G$138)*U$138)+
((Комплекты[Комплект]=$G$137)*U$137)+
((Комплекты[Комплект]=$G$136)*U$136)+
((Комплекты[Комплект]=$G$135)*U$135)+
((Комплекты[Комплект]=$G$134)*U$134)+
((Комплекты[Комплект]=$G$133)*U$133)+
((Комплекты[Комплект]=$G$132)*U$132)+
((Комплекты[Комплект]=$G$131)*U$131)+
((Комплекты[Комплект]=$G$130)*U$130)+
((Комплекты[Комплект]=$G$129)*U$129)))</f>
        <v>0</v>
      </c>
      <c r="V192" s="408"/>
      <c r="W192" s="322"/>
      <c r="X192" s="408">
        <f>SUMPRODUCT((Комплекты[Пр]=$F192)*(Комплекты[Обозначение]=$G192)*Комплекты[Кол-во]*(
((Комплекты[Комплект]=$G$148)*X$148)+
((Комплекты[Комплект]=$G$147)*X$147)+
((Комплекты[Комплект]=$G$146)*X$146)+
((Комплекты[Комплект]=$G$145)*X$145)+
((Комплекты[Комплект]=$G$144)*X$144)+
((Комплекты[Комплект]=$G$143)*X$143)+
((Комплекты[Комплект]=$G$142)*X$142)+
((Комплекты[Комплект]=$G$141)*X$141)+
((Комплекты[Комплект]=$G$140)*X$140)+
((Комплекты[Комплект]=$G$139)*X$139)+
((Комплекты[Комплект]=$G$138)*X$138)+
((Комплекты[Комплект]=$G$137)*X$137)+
((Комплекты[Комплект]=$G$136)*X$136)+
((Комплекты[Комплект]=$G$135)*X$135)+
((Комплекты[Комплект]=$G$134)*X$134)+
((Комплекты[Комплект]=$G$133)*X$133)+
((Комплекты[Комплект]=$G$132)*X$132)+
((Комплекты[Комплект]=$G$131)*X$131)+
((Комплекты[Комплект]=$G$130)*X$130)+
((Комплекты[Комплект]=$G$129)*X$129)))</f>
        <v>0</v>
      </c>
      <c r="Y192" s="307">
        <f>SUMPRODUCT((Комплекты[Пр]=$F192)*(Комплекты[Обозначение]=$G192)*Комплекты[Кол-во]*(
((Комплекты[Комплект]=$G$148)*Y$148)+
((Комплекты[Комплект]=$G$147)*Y$147)+
((Комплекты[Комплект]=$G$146)*Y$146)+
((Комплекты[Комплект]=$G$145)*Y$145)+
((Комплекты[Комплект]=$G$144)*Y$144)+
((Комплекты[Комплект]=$G$143)*Y$143)+
((Комплекты[Комплект]=$G$142)*Y$142)+
((Комплекты[Комплект]=$G$141)*Y$141)+
((Комплекты[Комплект]=$G$140)*Y$140)+
((Комплекты[Комплект]=$G$139)*Y$139)+
((Комплекты[Комплект]=$G$138)*Y$138)+
((Комплекты[Комплект]=$G$137)*Y$137)+
((Комплекты[Комплект]=$G$136)*Y$136)+
((Комплекты[Комплект]=$G$135)*Y$135)+
((Комплекты[Комплект]=$G$134)*Y$134)+
((Комплекты[Комплект]=$G$133)*Y$133)+
((Комплекты[Комплект]=$G$132)*Y$132)+
((Комплекты[Комплект]=$G$131)*Y$131)+
((Комплекты[Комплект]=$G$130)*Y$130)+
((Комплекты[Комплект]=$G$129)*Y$129)))</f>
        <v>0</v>
      </c>
      <c r="Z192" s="408"/>
      <c r="AA192" s="322"/>
      <c r="AB192" s="408">
        <f>SUMPRODUCT((Комплекты[Пр]=$F192)*(Комплекты[Обозначение]=$G192)*Комплекты[Кол-во]*(
((Комплекты[Комплект]=$G$148)*AB$148)+
((Комплекты[Комплект]=$G$147)*AB$147)+
((Комплекты[Комплект]=$G$146)*AB$146)+
((Комплекты[Комплект]=$G$145)*AB$145)+
((Комплекты[Комплект]=$G$144)*AB$144)+
((Комплекты[Комплект]=$G$143)*AB$143)+
((Комплекты[Комплект]=$G$142)*AB$142)+
((Комплекты[Комплект]=$G$141)*AB$141)+
((Комплекты[Комплект]=$G$140)*AB$140)+
((Комплекты[Комплект]=$G$139)*AB$139)+
((Комплекты[Комплект]=$G$138)*AB$138)+
((Комплекты[Комплект]=$G$137)*AB$137)+
((Комплекты[Комплект]=$G$136)*AB$136)+
((Комплекты[Комплект]=$G$135)*AB$135)+
((Комплекты[Комплект]=$G$134)*AB$134)+
((Комплекты[Комплект]=$G$133)*AB$133)+
((Комплекты[Комплект]=$G$132)*AB$132)+
((Комплекты[Комплект]=$G$131)*AB$131)+
((Комплекты[Комплект]=$G$130)*AB$130)+
((Комплекты[Комплект]=$G$129)*AB$129)))</f>
        <v>1</v>
      </c>
      <c r="AC192" s="307"/>
      <c r="AD192" s="408"/>
      <c r="AE192" s="322"/>
      <c r="AF192" s="408">
        <f>SUMPRODUCT((Комплекты[Пр]=$F192)*(Комплекты[Обозначение]=$G192)*Комплекты[Кол-во]*(
((Комплекты[Комплект]=$G$148)*AF$148)+
((Комплекты[Комплект]=$G$147)*AF$147)+
((Комплекты[Комплект]=$G$146)*AF$146)+
((Комплекты[Комплект]=$G$145)*AF$145)+
((Комплекты[Комплект]=$G$144)*AF$144)+
((Комплекты[Комплект]=$G$143)*AF$143)+
((Комплекты[Комплект]=$G$142)*AF$142)+
((Комплекты[Комплект]=$G$141)*AF$141)+
((Комплекты[Комплект]=$G$140)*AF$140)+
((Комплекты[Комплект]=$G$139)*AF$139)+
((Комплекты[Комплект]=$G$138)*AF$138)+
((Комплекты[Комплект]=$G$137)*AF$137)+
((Комплекты[Комплект]=$G$136)*AF$136)+
((Комплекты[Комплект]=$G$135)*AF$135)+
((Комплекты[Комплект]=$G$134)*AF$134)+
((Комплекты[Комплект]=$G$133)*AF$133)+
((Комплекты[Комплект]=$G$132)*AF$132)+
((Комплекты[Комплект]=$G$131)*AF$131)+
((Комплекты[Комплект]=$G$130)*AF$130)+
((Комплекты[Комплект]=$G$129)*AF$129)))</f>
        <v>0</v>
      </c>
      <c r="AG192" s="307">
        <f>SUMPRODUCT((Комплекты[Пр]=$F192)*(Комплекты[Обозначение]=$G192)*Комплекты[Кол-во]*(
((Комплекты[Комплект]=$G$148)*AG$148)+
((Комплекты[Комплект]=$G$147)*AG$147)+
((Комплекты[Комплект]=$G$146)*AG$146)+
((Комплекты[Комплект]=$G$145)*AG$145)+
((Комплекты[Комплект]=$G$144)*AG$144)+
((Комплекты[Комплект]=$G$143)*AG$143)+
((Комплекты[Комплект]=$G$142)*AG$142)+
((Комплекты[Комплект]=$G$141)*AG$141)+
((Комплекты[Комплект]=$G$140)*AG$140)+
((Комплекты[Комплект]=$G$139)*AG$139)+
((Комплекты[Комплект]=$G$138)*AG$138)+
((Комплекты[Комплект]=$G$137)*AG$137)+
((Комплекты[Комплект]=$G$136)*AG$136)+
((Комплекты[Комплект]=$G$135)*AG$135)+
((Комплекты[Комплект]=$G$134)*AG$134)+
((Комплекты[Комплект]=$G$133)*AG$133)+
((Комплекты[Комплект]=$G$132)*AG$132)+
((Комплекты[Комплект]=$G$131)*AG$131)+
((Комплекты[Комплект]=$G$130)*AG$130)+
((Комплекты[Комплект]=$G$129)*AG$129)))</f>
        <v>0</v>
      </c>
      <c r="AH192" s="408"/>
      <c r="AI192" s="322"/>
      <c r="AJ192" s="408">
        <f>SUMPRODUCT((Комплекты[Пр]=$F192)*(Комплекты[Обозначение]=$G192)*Комплекты[Кол-во]*(
((Комплекты[Комплект]=$G$148)*AJ$148)+
((Комплекты[Комплект]=$G$147)*AJ$147)+
((Комплекты[Комплект]=$G$146)*AJ$146)+
((Комплекты[Комплект]=$G$145)*AJ$145)+
((Комплекты[Комплект]=$G$144)*AJ$144)+
((Комплекты[Комплект]=$G$143)*AJ$143)+
((Комплекты[Комплект]=$G$142)*AJ$142)+
((Комплекты[Комплект]=$G$141)*AJ$141)+
((Комплекты[Комплект]=$G$140)*AJ$140)+
((Комплекты[Комплект]=$G$139)*AJ$139)+
((Комплекты[Комплект]=$G$138)*AJ$138)+
((Комплекты[Комплект]=$G$137)*AJ$137)+
((Комплекты[Комплект]=$G$136)*AJ$136)+
((Комплекты[Комплект]=$G$135)*AJ$135)+
((Комплекты[Комплект]=$G$134)*AJ$134)+
((Комплекты[Комплект]=$G$133)*AJ$133)+
((Комплекты[Комплект]=$G$132)*AJ$132)+
((Комплекты[Комплект]=$G$131)*AJ$131)+
((Комплекты[Комплект]=$G$130)*AJ$130)+
((Комплекты[Комплект]=$G$129)*AJ$129)))</f>
        <v>0</v>
      </c>
      <c r="AK192" s="307"/>
      <c r="AL192" s="408"/>
      <c r="AM192" s="322"/>
      <c r="AN192" s="408">
        <f>SUMPRODUCT((Комплекты[Пр]=$F192)*(Комплекты[Обозначение]=$G192)*Комплекты[Кол-во]*(
((Комплекты[Комплект]=$G$148)*AN$148)+
((Комплекты[Комплект]=$G$147)*AN$147)+
((Комплекты[Комплект]=$G$146)*AN$146)+
((Комплекты[Комплект]=$G$145)*AN$145)+
((Комплекты[Комплект]=$G$144)*AN$144)+
((Комплекты[Комплект]=$G$143)*AN$143)+
((Комплекты[Комплект]=$G$142)*AN$142)+
((Комплекты[Комплект]=$G$141)*AN$141)+
((Комплекты[Комплект]=$G$140)*AN$140)+
((Комплекты[Комплект]=$G$139)*AN$139)+
((Комплекты[Комплект]=$G$138)*AN$138)+
((Комплекты[Комплект]=$G$137)*AN$137)+
((Комплекты[Комплект]=$G$136)*AN$136)+
((Комплекты[Комплект]=$G$135)*AN$135)+
((Комплекты[Комплект]=$G$134)*AN$134)+
((Комплекты[Комплект]=$G$133)*AN$133)+
((Комплекты[Комплект]=$G$132)*AN$132)+
((Комплекты[Комплект]=$G$131)*AN$131)+
((Комплекты[Комплект]=$G$130)*AN$130)+
((Комплекты[Комплект]=$G$129)*AN$129)))</f>
        <v>0</v>
      </c>
      <c r="AO192" s="307"/>
      <c r="AP192" s="408"/>
      <c r="AQ192" s="322"/>
      <c r="AR192" s="408">
        <f>SUMPRODUCT((Комплекты[Пр]=$F192)*(Комплекты[Обозначение]=$G192)*Комплекты[Кол-во]*(
((Комплекты[Комплект]=$G$148)*AR$148)+
((Комплекты[Комплект]=$G$147)*AR$147)+
((Комплекты[Комплект]=$G$146)*AR$146)+
((Комплекты[Комплект]=$G$145)*AR$145)+
((Комплекты[Комплект]=$G$144)*AR$144)+
((Комплекты[Комплект]=$G$143)*AR$143)+
((Комплекты[Комплект]=$G$142)*AR$142)+
((Комплекты[Комплект]=$G$141)*AR$141)+
((Комплекты[Комплект]=$G$140)*AR$140)+
((Комплекты[Комплект]=$G$139)*AR$139)+
((Комплекты[Комплект]=$G$138)*AR$138)+
((Комплекты[Комплект]=$G$137)*AR$137)+
((Комплекты[Комплект]=$G$136)*AR$136)+
((Комплекты[Комплект]=$G$135)*AR$135)+
((Комплекты[Комплект]=$G$134)*AR$134)+
((Комплекты[Комплект]=$G$133)*AR$133)+
((Комплекты[Комплект]=$G$132)*AR$132)+
((Комплекты[Комплект]=$G$131)*AR$131)+
((Комплекты[Комплект]=$G$130)*AR$130)+
((Комплекты[Комплект]=$G$129)*AR$129)))</f>
        <v>0</v>
      </c>
      <c r="AS192" s="307"/>
      <c r="AT192" s="408"/>
      <c r="AU192" s="322"/>
      <c r="AV192" s="408">
        <f>SUMPRODUCT((Комплекты[Пр]=$F192)*(Комплекты[Обозначение]=$G192)*Комплекты[Кол-во]*(
((Комплекты[Комплект]=$G$148)*AV$148)+
((Комплекты[Комплект]=$G$147)*AV$147)+
((Комплекты[Комплект]=$G$146)*AV$146)+
((Комплекты[Комплект]=$G$145)*AV$145)+
((Комплекты[Комплект]=$G$144)*AV$144)+
((Комплекты[Комплект]=$G$143)*AV$143)+
((Комплекты[Комплект]=$G$142)*AV$142)+
((Комплекты[Комплект]=$G$141)*AV$141)+
((Комплекты[Комплект]=$G$140)*AV$140)+
((Комплекты[Комплект]=$G$139)*AV$139)+
((Комплекты[Комплект]=$G$138)*AV$138)+
((Комплекты[Комплект]=$G$137)*AV$137)+
((Комплекты[Комплект]=$G$136)*AV$136)+
((Комплекты[Комплект]=$G$135)*AV$135)+
((Комплекты[Комплект]=$G$134)*AV$134)+
((Комплекты[Комплект]=$G$133)*AV$133)+
((Комплекты[Комплект]=$G$132)*AV$132)+
((Комплекты[Комплект]=$G$131)*AV$131)+
((Комплекты[Комплект]=$G$130)*AV$130)+
((Комплекты[Комплект]=$G$129)*AV$129)))</f>
        <v>0</v>
      </c>
      <c r="AW192" s="307"/>
      <c r="AX192" s="408"/>
      <c r="AY192" s="322"/>
      <c r="AZ192" s="408">
        <f>SUMPRODUCT((Комплекты[Пр]=$F192)*(Комплекты[Обозначение]=$G192)*Комплекты[Кол-во]*(
((Комплекты[Комплект]=$G$148)*AZ$148)+
((Комплекты[Комплект]=$G$147)*AZ$147)+
((Комплекты[Комплект]=$G$146)*AZ$146)+
((Комплекты[Комплект]=$G$145)*AZ$145)+
((Комплекты[Комплект]=$G$144)*AZ$144)+
((Комплекты[Комплект]=$G$143)*AZ$143)+
((Комплекты[Комплект]=$G$142)*AZ$142)+
((Комплекты[Комплект]=$G$141)*AZ$141)+
((Комплекты[Комплект]=$G$140)*AZ$140)+
((Комплекты[Комплект]=$G$139)*AZ$139)+
((Комплекты[Комплект]=$G$138)*AZ$138)+
((Комплекты[Комплект]=$G$137)*AZ$137)+
((Комплекты[Комплект]=$G$136)*AZ$136)+
((Комплекты[Комплект]=$G$135)*AZ$135)+
((Комплекты[Комплект]=$G$134)*AZ$134)+
((Комплекты[Комплект]=$G$133)*AZ$133)+
((Комплекты[Комплект]=$G$132)*AZ$132)+
((Комплекты[Комплект]=$G$131)*AZ$131)+
((Комплекты[Комплект]=$G$130)*AZ$130)+
((Комплекты[Комплект]=$G$129)*AZ$129)))</f>
        <v>0</v>
      </c>
      <c r="BA192" s="307"/>
      <c r="BB192" s="408"/>
      <c r="BC192" s="322"/>
      <c r="BD192" s="408">
        <f>SUMPRODUCT((Комплекты[Пр]=$F192)*(Комплекты[Обозначение]=$G192)*Комплекты[Кол-во]*(
((Комплекты[Комплект]=$G$148)*BD$148)+
((Комплекты[Комплект]=$G$147)*BD$147)+
((Комплекты[Комплект]=$G$146)*BD$146)+
((Комплекты[Комплект]=$G$145)*BD$145)+
((Комплекты[Комплект]=$G$144)*BD$144)+
((Комплекты[Комплект]=$G$143)*BD$143)+
((Комплекты[Комплект]=$G$142)*BD$142)+
((Комплекты[Комплект]=$G$141)*BD$141)+
((Комплекты[Комплект]=$G$140)*BD$140)+
((Комплекты[Комплект]=$G$139)*BD$139)+
((Комплекты[Комплект]=$G$138)*BD$138)+
((Комплекты[Комплект]=$G$137)*BD$137)+
((Комплекты[Комплект]=$G$136)*BD$136)+
((Комплекты[Комплект]=$G$135)*BD$135)+
((Комплекты[Комплект]=$G$134)*BD$134)+
((Комплекты[Комплект]=$G$133)*BD$133)+
((Комплекты[Комплект]=$G$132)*BD$132)+
((Комплекты[Комплект]=$G$131)*BD$131)+
((Комплекты[Комплект]=$G$130)*BD$130)+
((Комплекты[Комплект]=$G$129)*BD$129)))</f>
        <v>0</v>
      </c>
      <c r="BE192" s="307"/>
      <c r="BF192" s="408"/>
      <c r="BG192" s="322"/>
      <c r="BH192" s="408">
        <f>SUMPRODUCT((Комплекты[Пр]=$F192)*(Комплекты[Обозначение]=$G192)*Комплекты[Кол-во]*(
((Комплекты[Комплект]=$G$148)*BH$148)+
((Комплекты[Комплект]=$G$147)*BH$147)+
((Комплекты[Комплект]=$G$146)*BH$146)+
((Комплекты[Комплект]=$G$145)*BH$145)+
((Комплекты[Комплект]=$G$144)*BH$144)+
((Комплекты[Комплект]=$G$143)*BH$143)+
((Комплекты[Комплект]=$G$142)*BH$142)+
((Комплекты[Комплект]=$G$141)*BH$141)+
((Комплекты[Комплект]=$G$140)*BH$140)+
((Комплекты[Комплект]=$G$139)*BH$139)+
((Комплекты[Комплект]=$G$138)*BH$138)+
((Комплекты[Комплект]=$G$137)*BH$137)+
((Комплекты[Комплект]=$G$136)*BH$136)+
((Комплекты[Комплект]=$G$135)*BH$135)+
((Комплекты[Комплект]=$G$134)*BH$134)+
((Комплекты[Комплект]=$G$133)*BH$133)+
((Комплекты[Комплект]=$G$132)*BH$132)+
((Комплекты[Комплект]=$G$131)*BH$131)+
((Комплекты[Комплект]=$G$130)*BH$130)+
((Комплекты[Комплект]=$G$129)*BH$129)))</f>
        <v>0</v>
      </c>
      <c r="BI192" s="307"/>
      <c r="BJ192" s="408"/>
      <c r="BK192" s="340"/>
      <c r="BL192" s="328">
        <f t="shared" si="47"/>
        <v>0</v>
      </c>
      <c r="BM192" s="328">
        <f t="shared" si="48"/>
        <v>0</v>
      </c>
      <c r="BN192" s="324">
        <f t="shared" si="49"/>
        <v>3</v>
      </c>
      <c r="BO192" s="325">
        <f t="shared" si="50"/>
        <v>0</v>
      </c>
      <c r="BP192" s="326">
        <f t="shared" si="51"/>
        <v>2</v>
      </c>
      <c r="BQ192" s="327">
        <f t="shared" si="52"/>
        <v>0</v>
      </c>
      <c r="BR192" s="329"/>
      <c r="BS192" s="329"/>
      <c r="BT192" s="322"/>
      <c r="BU192" s="408"/>
      <c r="BV192" s="307"/>
      <c r="BW192" s="408"/>
      <c r="BX192" s="322"/>
      <c r="BY192" s="408"/>
      <c r="BZ192" s="307"/>
      <c r="CA192" s="408"/>
      <c r="CB192" s="322"/>
      <c r="CC192" s="408"/>
      <c r="CD192" s="307"/>
      <c r="CE192" s="408"/>
      <c r="CF192" s="322"/>
      <c r="CG192" s="408"/>
      <c r="CH192" s="307"/>
      <c r="CI192" s="408"/>
      <c r="CJ192" s="322"/>
      <c r="CK192" s="408"/>
      <c r="CL192" s="307"/>
      <c r="CM192" s="408"/>
      <c r="CN192" s="322"/>
      <c r="CO192" s="408"/>
      <c r="CP192" s="307"/>
      <c r="CQ192" s="408"/>
      <c r="CR192" s="322"/>
      <c r="CS192" s="408"/>
      <c r="CT192" s="307"/>
      <c r="CU192" s="408"/>
      <c r="CV192" s="322"/>
      <c r="CW192" s="408"/>
      <c r="CX192" s="307"/>
      <c r="CY192" s="408"/>
      <c r="CZ192" s="322"/>
      <c r="DA192" s="408"/>
      <c r="DB192" s="307"/>
      <c r="DC192" s="408"/>
      <c r="DD192" s="322"/>
      <c r="DE192" s="408"/>
      <c r="DF192" s="307"/>
      <c r="DG192" s="408"/>
      <c r="DH192" s="322"/>
      <c r="DI192" s="408"/>
      <c r="DJ192" s="307"/>
      <c r="DK192" s="408"/>
      <c r="DL192" s="322"/>
      <c r="DM192" s="408"/>
      <c r="DN192" s="307"/>
      <c r="DO192" s="408"/>
      <c r="DP192" s="340"/>
      <c r="DQ192" s="328"/>
      <c r="DR192" s="328">
        <f t="shared" si="62"/>
        <v>0</v>
      </c>
      <c r="DS192" s="329"/>
      <c r="DT192" s="329"/>
      <c r="DU192" s="322"/>
      <c r="DV192" s="408"/>
      <c r="DW192" s="307"/>
      <c r="DX192" s="408"/>
      <c r="DY192" s="322"/>
      <c r="DZ192" s="408"/>
      <c r="EA192" s="307"/>
      <c r="EB192" s="408"/>
      <c r="EC192" s="322"/>
      <c r="ED192" s="408"/>
      <c r="EE192" s="307"/>
      <c r="EF192" s="408"/>
      <c r="EG192" s="322"/>
      <c r="EH192" s="408"/>
      <c r="EI192" s="307"/>
      <c r="EJ192" s="408"/>
      <c r="EK192" s="322"/>
      <c r="EL192" s="408"/>
      <c r="EM192" s="307"/>
      <c r="EN192" s="408"/>
      <c r="EO192" s="322"/>
      <c r="EP192" s="408"/>
      <c r="EQ192" s="307"/>
      <c r="ER192" s="408"/>
      <c r="ES192" s="322"/>
      <c r="ET192" s="408"/>
      <c r="EU192" s="307"/>
      <c r="EV192" s="408"/>
      <c r="EW192" s="322"/>
      <c r="EX192" s="408"/>
      <c r="EY192" s="307"/>
      <c r="EZ192" s="408"/>
      <c r="FA192" s="322"/>
      <c r="FB192" s="408"/>
      <c r="FC192" s="307"/>
      <c r="FD192" s="408"/>
      <c r="FE192" s="322"/>
      <c r="FF192" s="408"/>
      <c r="FG192" s="307"/>
      <c r="FH192" s="408"/>
      <c r="FI192" s="322"/>
      <c r="FJ192" s="408"/>
      <c r="FK192" s="307"/>
      <c r="FL192" s="408"/>
      <c r="FM192" s="322"/>
      <c r="FN192" s="408"/>
      <c r="FO192" s="307"/>
      <c r="FP192" s="408"/>
      <c r="FQ192" s="340"/>
      <c r="FR192" s="328"/>
      <c r="FS192" s="328">
        <f t="shared" si="64"/>
        <v>0</v>
      </c>
      <c r="FT192" s="361"/>
    </row>
    <row r="193" spans="1:176" outlineLevel="2">
      <c r="A193" s="56" t="s">
        <v>469</v>
      </c>
      <c r="B193" s="387"/>
      <c r="C193" s="541"/>
      <c r="D193" s="565"/>
      <c r="E193" s="13" t="str">
        <f>IF(ISBLANK(G193),"",IF($A$6:$A$330=$A193,COUNTIF($A$6:A193,$A193),""))</f>
        <v/>
      </c>
      <c r="F193" s="13"/>
      <c r="G193" s="111"/>
      <c r="H193" s="607" t="s">
        <v>43</v>
      </c>
      <c r="I193" s="617"/>
      <c r="J193" s="617"/>
      <c r="K193" s="113"/>
      <c r="L193" s="617" t="str">
        <f t="shared" ref="L193:L219" si="65">IF(K193="RUB",J193/ЮАНЬ,IF(K193="EUR",J193*ЕВРО/ЮАНЬ,""))</f>
        <v/>
      </c>
      <c r="M193" s="102"/>
      <c r="N193" s="305">
        <f t="shared" si="46"/>
        <v>0</v>
      </c>
      <c r="O193" s="40"/>
      <c r="P193" s="41"/>
      <c r="Q193" s="42"/>
      <c r="R193" s="41"/>
      <c r="S193" s="40"/>
      <c r="T193" s="41"/>
      <c r="U193" s="42"/>
      <c r="V193" s="41"/>
      <c r="W193" s="40"/>
      <c r="X193" s="41"/>
      <c r="Y193" s="42"/>
      <c r="Z193" s="41"/>
      <c r="AA193" s="40"/>
      <c r="AB193" s="41"/>
      <c r="AC193" s="42"/>
      <c r="AD193" s="41"/>
      <c r="AE193" s="40"/>
      <c r="AF193" s="41"/>
      <c r="AG193" s="42"/>
      <c r="AH193" s="41"/>
      <c r="AI193" s="40"/>
      <c r="AJ193" s="41"/>
      <c r="AK193" s="42"/>
      <c r="AL193" s="41"/>
      <c r="AM193" s="40"/>
      <c r="AN193" s="41"/>
      <c r="AO193" s="42"/>
      <c r="AP193" s="41"/>
      <c r="AQ193" s="40"/>
      <c r="AR193" s="41"/>
      <c r="AS193" s="42"/>
      <c r="AT193" s="41"/>
      <c r="AU193" s="40"/>
      <c r="AV193" s="41"/>
      <c r="AW193" s="42"/>
      <c r="AX193" s="41"/>
      <c r="AY193" s="40"/>
      <c r="AZ193" s="41"/>
      <c r="BA193" s="42"/>
      <c r="BB193" s="41"/>
      <c r="BC193" s="40"/>
      <c r="BD193" s="41"/>
      <c r="BE193" s="42"/>
      <c r="BF193" s="41"/>
      <c r="BG193" s="40"/>
      <c r="BH193" s="41"/>
      <c r="BI193" s="42"/>
      <c r="BJ193" s="43"/>
      <c r="BK193" s="341"/>
      <c r="BL193" s="27">
        <f t="shared" si="47"/>
        <v>0</v>
      </c>
      <c r="BM193" s="27">
        <f t="shared" si="48"/>
        <v>0</v>
      </c>
      <c r="BN193" s="28">
        <f t="shared" si="49"/>
        <v>0</v>
      </c>
      <c r="BO193" s="29">
        <f t="shared" si="50"/>
        <v>0</v>
      </c>
      <c r="BP193" s="30">
        <f t="shared" si="51"/>
        <v>0</v>
      </c>
      <c r="BQ193" s="31">
        <f t="shared" si="52"/>
        <v>0</v>
      </c>
      <c r="BR193" s="11"/>
      <c r="BS193" s="329"/>
      <c r="BT193" s="40"/>
      <c r="BU193" s="41"/>
      <c r="BV193" s="42"/>
      <c r="BW193" s="41"/>
      <c r="BX193" s="40"/>
      <c r="BY193" s="41"/>
      <c r="BZ193" s="42"/>
      <c r="CA193" s="41"/>
      <c r="CB193" s="40"/>
      <c r="CC193" s="41"/>
      <c r="CD193" s="42"/>
      <c r="CE193" s="41"/>
      <c r="CF193" s="40"/>
      <c r="CG193" s="41"/>
      <c r="CH193" s="42"/>
      <c r="CI193" s="41"/>
      <c r="CJ193" s="40"/>
      <c r="CK193" s="41"/>
      <c r="CL193" s="42"/>
      <c r="CM193" s="41"/>
      <c r="CN193" s="40"/>
      <c r="CO193" s="41"/>
      <c r="CP193" s="42"/>
      <c r="CQ193" s="41"/>
      <c r="CR193" s="40"/>
      <c r="CS193" s="41"/>
      <c r="CT193" s="42"/>
      <c r="CU193" s="41"/>
      <c r="CV193" s="40"/>
      <c r="CW193" s="41"/>
      <c r="CX193" s="42"/>
      <c r="CY193" s="41"/>
      <c r="CZ193" s="40"/>
      <c r="DA193" s="41"/>
      <c r="DB193" s="42"/>
      <c r="DC193" s="41"/>
      <c r="DD193" s="40"/>
      <c r="DE193" s="41"/>
      <c r="DF193" s="42"/>
      <c r="DG193" s="41"/>
      <c r="DH193" s="40"/>
      <c r="DI193" s="41"/>
      <c r="DJ193" s="42"/>
      <c r="DK193" s="41"/>
      <c r="DL193" s="40"/>
      <c r="DM193" s="41"/>
      <c r="DN193" s="42"/>
      <c r="DO193" s="43"/>
      <c r="DP193" s="341"/>
      <c r="DQ193" s="27">
        <f t="shared" ref="DQ193:DQ219" si="66">SUMPRODUCT(--(MOD(COLUMN(BT193:CQ193),4)=MOD(COLUMN(BT193),4)),BT193:CQ193)+SUMPRODUCT(--(MOD(COLUMN(CR193:DO193),4)=MOD(COLUMN(CR193),4)),CR193:DO193)</f>
        <v>0</v>
      </c>
      <c r="DR193" s="27">
        <f t="shared" si="62"/>
        <v>0</v>
      </c>
      <c r="DS193" s="11"/>
      <c r="DT193" s="329"/>
      <c r="DU193" s="40"/>
      <c r="DV193" s="41"/>
      <c r="DW193" s="42"/>
      <c r="DX193" s="41"/>
      <c r="DY193" s="40"/>
      <c r="DZ193" s="41"/>
      <c r="EA193" s="42"/>
      <c r="EB193" s="41"/>
      <c r="EC193" s="40"/>
      <c r="ED193" s="41"/>
      <c r="EE193" s="42"/>
      <c r="EF193" s="41"/>
      <c r="EG193" s="40"/>
      <c r="EH193" s="41"/>
      <c r="EI193" s="42"/>
      <c r="EJ193" s="41"/>
      <c r="EK193" s="40"/>
      <c r="EL193" s="41"/>
      <c r="EM193" s="42"/>
      <c r="EN193" s="41"/>
      <c r="EO193" s="40"/>
      <c r="EP193" s="41"/>
      <c r="EQ193" s="42"/>
      <c r="ER193" s="41"/>
      <c r="ES193" s="40"/>
      <c r="ET193" s="41"/>
      <c r="EU193" s="42"/>
      <c r="EV193" s="41"/>
      <c r="EW193" s="40"/>
      <c r="EX193" s="41"/>
      <c r="EY193" s="42"/>
      <c r="EZ193" s="41"/>
      <c r="FA193" s="40"/>
      <c r="FB193" s="41"/>
      <c r="FC193" s="42"/>
      <c r="FD193" s="41"/>
      <c r="FE193" s="40"/>
      <c r="FF193" s="41"/>
      <c r="FG193" s="42"/>
      <c r="FH193" s="41"/>
      <c r="FI193" s="40"/>
      <c r="FJ193" s="41"/>
      <c r="FK193" s="42"/>
      <c r="FL193" s="41"/>
      <c r="FM193" s="40"/>
      <c r="FN193" s="41"/>
      <c r="FO193" s="42"/>
      <c r="FP193" s="43"/>
      <c r="FQ193" s="341"/>
      <c r="FR193" s="27">
        <f t="shared" ref="FR193:FR219" si="67">SUMPRODUCT(--(MOD(COLUMN(DU193:ER193),4)=MOD(COLUMN(DU193),4)),DU193:ER193)+SUMPRODUCT(--(MOD(COLUMN(ES193:FP193),4)=MOD(COLUMN(ES193),4)),ES193:FP193)</f>
        <v>0</v>
      </c>
      <c r="FS193" s="27">
        <f t="shared" si="64"/>
        <v>0</v>
      </c>
      <c r="FT193" s="361"/>
    </row>
    <row r="194" spans="1:176" s="116" customFormat="1" outlineLevel="1">
      <c r="A194" s="46" t="s">
        <v>469</v>
      </c>
      <c r="B194" s="388"/>
      <c r="C194" s="650"/>
      <c r="D194" s="651"/>
      <c r="E194" s="118" t="str">
        <f>IF(ISBLANK(G194),"",IF($A$6:$A$330=$A194,COUNTIF($A$6:A194,$A194),""))</f>
        <v/>
      </c>
      <c r="F194" s="117"/>
      <c r="G194" s="119"/>
      <c r="H194" s="608"/>
      <c r="I194" s="620"/>
      <c r="J194" s="620"/>
      <c r="K194" s="120"/>
      <c r="L194" s="620" t="str">
        <f t="shared" si="65"/>
        <v/>
      </c>
      <c r="M194" s="102"/>
      <c r="N194" s="305">
        <f t="shared" si="46"/>
        <v>0</v>
      </c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  <c r="AA194" s="121"/>
      <c r="AB194" s="121"/>
      <c r="AC194" s="121"/>
      <c r="AD194" s="121"/>
      <c r="AE194" s="121"/>
      <c r="AF194" s="121"/>
      <c r="AG194" s="121"/>
      <c r="AH194" s="121"/>
      <c r="AI194" s="121"/>
      <c r="AJ194" s="121"/>
      <c r="AK194" s="121"/>
      <c r="AL194" s="121"/>
      <c r="AM194" s="121"/>
      <c r="AN194" s="121"/>
      <c r="AO194" s="121"/>
      <c r="AP194" s="121"/>
      <c r="AQ194" s="121"/>
      <c r="AR194" s="121"/>
      <c r="AS194" s="121"/>
      <c r="AT194" s="121"/>
      <c r="AU194" s="121"/>
      <c r="AV194" s="121"/>
      <c r="AW194" s="121"/>
      <c r="AX194" s="121"/>
      <c r="AY194" s="121"/>
      <c r="AZ194" s="121"/>
      <c r="BA194" s="121"/>
      <c r="BB194" s="121"/>
      <c r="BC194" s="121"/>
      <c r="BD194" s="121"/>
      <c r="BE194" s="121"/>
      <c r="BF194" s="121"/>
      <c r="BG194" s="121"/>
      <c r="BH194" s="121"/>
      <c r="BI194" s="121"/>
      <c r="BJ194" s="121"/>
      <c r="BK194" s="356"/>
      <c r="BL194" s="52">
        <f t="shared" si="47"/>
        <v>0</v>
      </c>
      <c r="BM194" s="52">
        <f t="shared" si="48"/>
        <v>0</v>
      </c>
      <c r="BN194" s="52">
        <f t="shared" si="49"/>
        <v>0</v>
      </c>
      <c r="BO194" s="52">
        <f t="shared" si="50"/>
        <v>0</v>
      </c>
      <c r="BP194" s="52">
        <f t="shared" si="51"/>
        <v>0</v>
      </c>
      <c r="BQ194" s="52">
        <f t="shared" si="52"/>
        <v>0</v>
      </c>
      <c r="BR194" s="51"/>
      <c r="BS194" s="335"/>
      <c r="BT194" s="121"/>
      <c r="BU194" s="121"/>
      <c r="BV194" s="121"/>
      <c r="BW194" s="121"/>
      <c r="BX194" s="121"/>
      <c r="BY194" s="121"/>
      <c r="BZ194" s="121"/>
      <c r="CA194" s="121"/>
      <c r="CB194" s="121"/>
      <c r="CC194" s="121"/>
      <c r="CD194" s="121"/>
      <c r="CE194" s="121"/>
      <c r="CF194" s="121"/>
      <c r="CG194" s="121"/>
      <c r="CH194" s="121"/>
      <c r="CI194" s="121"/>
      <c r="CJ194" s="121"/>
      <c r="CK194" s="121"/>
      <c r="CL194" s="121"/>
      <c r="CM194" s="121"/>
      <c r="CN194" s="121"/>
      <c r="CO194" s="121"/>
      <c r="CP194" s="121"/>
      <c r="CQ194" s="121"/>
      <c r="CR194" s="121"/>
      <c r="CS194" s="121"/>
      <c r="CT194" s="121"/>
      <c r="CU194" s="121"/>
      <c r="CV194" s="121"/>
      <c r="CW194" s="121"/>
      <c r="CX194" s="121"/>
      <c r="CY194" s="121"/>
      <c r="CZ194" s="121"/>
      <c r="DA194" s="121"/>
      <c r="DB194" s="121"/>
      <c r="DC194" s="121"/>
      <c r="DD194" s="121"/>
      <c r="DE194" s="121"/>
      <c r="DF194" s="121"/>
      <c r="DG194" s="121"/>
      <c r="DH194" s="121"/>
      <c r="DI194" s="121"/>
      <c r="DJ194" s="121"/>
      <c r="DK194" s="121"/>
      <c r="DL194" s="121"/>
      <c r="DM194" s="121"/>
      <c r="DN194" s="121"/>
      <c r="DO194" s="121"/>
      <c r="DP194" s="356"/>
      <c r="DQ194" s="52">
        <f t="shared" si="66"/>
        <v>0</v>
      </c>
      <c r="DR194" s="52">
        <f t="shared" si="62"/>
        <v>0</v>
      </c>
      <c r="DS194" s="51"/>
      <c r="DT194" s="335"/>
      <c r="DU194" s="121"/>
      <c r="DV194" s="121"/>
      <c r="DW194" s="121"/>
      <c r="DX194" s="121"/>
      <c r="DY194" s="121"/>
      <c r="DZ194" s="121"/>
      <c r="EA194" s="121"/>
      <c r="EB194" s="121"/>
      <c r="EC194" s="121"/>
      <c r="ED194" s="121"/>
      <c r="EE194" s="121"/>
      <c r="EF194" s="121"/>
      <c r="EG194" s="121"/>
      <c r="EH194" s="121"/>
      <c r="EI194" s="121"/>
      <c r="EJ194" s="121"/>
      <c r="EK194" s="121"/>
      <c r="EL194" s="121"/>
      <c r="EM194" s="121"/>
      <c r="EN194" s="121"/>
      <c r="EO194" s="121"/>
      <c r="EP194" s="121"/>
      <c r="EQ194" s="121"/>
      <c r="ER194" s="121"/>
      <c r="ES194" s="121"/>
      <c r="ET194" s="121"/>
      <c r="EU194" s="121"/>
      <c r="EV194" s="121"/>
      <c r="EW194" s="121"/>
      <c r="EX194" s="121"/>
      <c r="EY194" s="121"/>
      <c r="EZ194" s="121"/>
      <c r="FA194" s="121"/>
      <c r="FB194" s="121"/>
      <c r="FC194" s="121"/>
      <c r="FD194" s="121"/>
      <c r="FE194" s="121"/>
      <c r="FF194" s="121"/>
      <c r="FG194" s="121"/>
      <c r="FH194" s="121"/>
      <c r="FI194" s="121"/>
      <c r="FJ194" s="121"/>
      <c r="FK194" s="121"/>
      <c r="FL194" s="121"/>
      <c r="FM194" s="121"/>
      <c r="FN194" s="121"/>
      <c r="FO194" s="121"/>
      <c r="FP194" s="121"/>
      <c r="FQ194" s="356"/>
      <c r="FR194" s="52">
        <f t="shared" si="67"/>
        <v>0</v>
      </c>
      <c r="FS194" s="52">
        <f t="shared" si="64"/>
        <v>0</v>
      </c>
      <c r="FT194" s="343"/>
    </row>
    <row r="195" spans="1:176" outlineLevel="2">
      <c r="A195" s="56" t="s">
        <v>470</v>
      </c>
      <c r="B195" s="387" t="s">
        <v>134</v>
      </c>
      <c r="C195" s="173" t="s">
        <v>31</v>
      </c>
      <c r="D195" s="565" t="s">
        <v>32</v>
      </c>
      <c r="E195" s="10">
        <f>IF(ISBLANK(G195),"",IF($A$6:$A$330=$A195,COUNTIF($A$6:A195,$A195),""))</f>
        <v>1</v>
      </c>
      <c r="F195" s="10">
        <v>1</v>
      </c>
      <c r="G195" s="55">
        <v>4231069000</v>
      </c>
      <c r="H195" s="54" t="s">
        <v>52</v>
      </c>
      <c r="I195" s="617">
        <f>145/НДС_20</f>
        <v>120.83333333333334</v>
      </c>
      <c r="J195" s="617"/>
      <c r="K195" s="113"/>
      <c r="L195" s="617" t="str">
        <f t="shared" si="65"/>
        <v/>
      </c>
      <c r="M195" s="102"/>
      <c r="N195" s="305">
        <f t="shared" si="46"/>
        <v>0</v>
      </c>
      <c r="O195" s="23"/>
      <c r="P195" s="24"/>
      <c r="Q195" s="25"/>
      <c r="R195" s="24"/>
      <c r="S195" s="23"/>
      <c r="T195" s="24"/>
      <c r="U195" s="25"/>
      <c r="V195" s="24"/>
      <c r="W195" s="23"/>
      <c r="X195" s="24"/>
      <c r="Y195" s="25"/>
      <c r="Z195" s="24"/>
      <c r="AA195" s="23"/>
      <c r="AB195" s="24"/>
      <c r="AC195" s="25"/>
      <c r="AD195" s="24"/>
      <c r="AE195" s="23"/>
      <c r="AF195" s="24"/>
      <c r="AG195" s="25"/>
      <c r="AH195" s="24"/>
      <c r="AI195" s="23"/>
      <c r="AJ195" s="24"/>
      <c r="AK195" s="25"/>
      <c r="AL195" s="24"/>
      <c r="AM195" s="23"/>
      <c r="AN195" s="24"/>
      <c r="AO195" s="25"/>
      <c r="AP195" s="24"/>
      <c r="AQ195" s="23"/>
      <c r="AR195" s="24"/>
      <c r="AS195" s="25"/>
      <c r="AT195" s="24"/>
      <c r="AU195" s="23"/>
      <c r="AV195" s="24"/>
      <c r="AW195" s="25"/>
      <c r="AX195" s="24"/>
      <c r="AY195" s="23"/>
      <c r="AZ195" s="24"/>
      <c r="BA195" s="25"/>
      <c r="BB195" s="24"/>
      <c r="BC195" s="23"/>
      <c r="BD195" s="24"/>
      <c r="BE195" s="25"/>
      <c r="BF195" s="24"/>
      <c r="BG195" s="23"/>
      <c r="BH195" s="24"/>
      <c r="BI195" s="25"/>
      <c r="BJ195" s="24"/>
      <c r="BK195" s="340"/>
      <c r="BL195" s="32">
        <f t="shared" si="47"/>
        <v>0</v>
      </c>
      <c r="BM195" s="32">
        <f t="shared" si="48"/>
        <v>0</v>
      </c>
      <c r="BN195" s="28">
        <f t="shared" si="49"/>
        <v>0</v>
      </c>
      <c r="BO195" s="29">
        <f t="shared" si="50"/>
        <v>0</v>
      </c>
      <c r="BP195" s="30">
        <f t="shared" si="51"/>
        <v>0</v>
      </c>
      <c r="BQ195" s="31">
        <f t="shared" si="52"/>
        <v>0</v>
      </c>
      <c r="BR195" s="11"/>
      <c r="BS195" s="329"/>
      <c r="BT195" s="23"/>
      <c r="BU195" s="24"/>
      <c r="BV195" s="25"/>
      <c r="BW195" s="24"/>
      <c r="BX195" s="23"/>
      <c r="BY195" s="24"/>
      <c r="BZ195" s="25"/>
      <c r="CA195" s="24"/>
      <c r="CB195" s="23"/>
      <c r="CC195" s="24"/>
      <c r="CD195" s="25"/>
      <c r="CE195" s="24"/>
      <c r="CF195" s="23"/>
      <c r="CG195" s="24"/>
      <c r="CH195" s="25"/>
      <c r="CI195" s="24"/>
      <c r="CJ195" s="23"/>
      <c r="CK195" s="24"/>
      <c r="CL195" s="25"/>
      <c r="CM195" s="24"/>
      <c r="CN195" s="23"/>
      <c r="CO195" s="24"/>
      <c r="CP195" s="25"/>
      <c r="CQ195" s="24"/>
      <c r="CR195" s="23"/>
      <c r="CS195" s="24"/>
      <c r="CT195" s="25"/>
      <c r="CU195" s="24"/>
      <c r="CV195" s="23"/>
      <c r="CW195" s="24"/>
      <c r="CX195" s="25"/>
      <c r="CY195" s="24"/>
      <c r="CZ195" s="23"/>
      <c r="DA195" s="24"/>
      <c r="DB195" s="25"/>
      <c r="DC195" s="24"/>
      <c r="DD195" s="23"/>
      <c r="DE195" s="24"/>
      <c r="DF195" s="25"/>
      <c r="DG195" s="24"/>
      <c r="DH195" s="23"/>
      <c r="DI195" s="24"/>
      <c r="DJ195" s="25"/>
      <c r="DK195" s="24"/>
      <c r="DL195" s="23"/>
      <c r="DM195" s="24"/>
      <c r="DN195" s="25"/>
      <c r="DO195" s="24"/>
      <c r="DP195" s="340"/>
      <c r="DQ195" s="32">
        <f t="shared" si="66"/>
        <v>0</v>
      </c>
      <c r="DR195" s="32">
        <f t="shared" si="62"/>
        <v>0</v>
      </c>
      <c r="DS195" s="11"/>
      <c r="DT195" s="329"/>
      <c r="DU195" s="23"/>
      <c r="DV195" s="24"/>
      <c r="DW195" s="25"/>
      <c r="DX195" s="24"/>
      <c r="DY195" s="23"/>
      <c r="DZ195" s="24"/>
      <c r="EA195" s="25"/>
      <c r="EB195" s="24"/>
      <c r="EC195" s="23"/>
      <c r="ED195" s="24"/>
      <c r="EE195" s="25"/>
      <c r="EF195" s="24"/>
      <c r="EG195" s="23"/>
      <c r="EH195" s="24"/>
      <c r="EI195" s="25"/>
      <c r="EJ195" s="24"/>
      <c r="EK195" s="23"/>
      <c r="EL195" s="24"/>
      <c r="EM195" s="25"/>
      <c r="EN195" s="24"/>
      <c r="EO195" s="23"/>
      <c r="EP195" s="24"/>
      <c r="EQ195" s="25"/>
      <c r="ER195" s="24"/>
      <c r="ES195" s="23"/>
      <c r="ET195" s="24"/>
      <c r="EU195" s="25"/>
      <c r="EV195" s="24"/>
      <c r="EW195" s="23"/>
      <c r="EX195" s="24"/>
      <c r="EY195" s="25"/>
      <c r="EZ195" s="24"/>
      <c r="FA195" s="23"/>
      <c r="FB195" s="24"/>
      <c r="FC195" s="25"/>
      <c r="FD195" s="24"/>
      <c r="FE195" s="23"/>
      <c r="FF195" s="24"/>
      <c r="FG195" s="25"/>
      <c r="FH195" s="24"/>
      <c r="FI195" s="23"/>
      <c r="FJ195" s="24"/>
      <c r="FK195" s="25"/>
      <c r="FL195" s="24"/>
      <c r="FM195" s="23"/>
      <c r="FN195" s="24"/>
      <c r="FO195" s="25"/>
      <c r="FP195" s="24"/>
      <c r="FQ195" s="340"/>
      <c r="FR195" s="32">
        <f t="shared" si="67"/>
        <v>0</v>
      </c>
      <c r="FS195" s="32">
        <f t="shared" si="64"/>
        <v>0</v>
      </c>
      <c r="FT195" s="361"/>
    </row>
    <row r="196" spans="1:176" outlineLevel="2">
      <c r="A196" s="56" t="s">
        <v>470</v>
      </c>
      <c r="B196" s="387" t="s">
        <v>134</v>
      </c>
      <c r="C196" s="173" t="s">
        <v>31</v>
      </c>
      <c r="D196" s="565" t="s">
        <v>32</v>
      </c>
      <c r="E196" s="10">
        <f>IF(ISBLANK(G196),"",IF($A$6:$A$330=$A196,COUNTIF($A$6:A196,$A196),""))</f>
        <v>2</v>
      </c>
      <c r="F196" s="10">
        <v>1</v>
      </c>
      <c r="G196" s="55">
        <v>4231079000</v>
      </c>
      <c r="H196" s="54" t="s">
        <v>53</v>
      </c>
      <c r="I196" s="617">
        <f>153/НДС_20</f>
        <v>127.5</v>
      </c>
      <c r="J196" s="617"/>
      <c r="K196" s="113"/>
      <c r="L196" s="617" t="str">
        <f t="shared" si="65"/>
        <v/>
      </c>
      <c r="M196" s="102"/>
      <c r="N196" s="305">
        <f t="shared" si="46"/>
        <v>0</v>
      </c>
      <c r="O196" s="23"/>
      <c r="P196" s="24"/>
      <c r="Q196" s="25"/>
      <c r="R196" s="24"/>
      <c r="S196" s="23"/>
      <c r="T196" s="24"/>
      <c r="U196" s="25"/>
      <c r="V196" s="24"/>
      <c r="W196" s="23"/>
      <c r="X196" s="24"/>
      <c r="Y196" s="25"/>
      <c r="Z196" s="24"/>
      <c r="AA196" s="23"/>
      <c r="AB196" s="24"/>
      <c r="AC196" s="25"/>
      <c r="AD196" s="24"/>
      <c r="AE196" s="23"/>
      <c r="AF196" s="24"/>
      <c r="AG196" s="25"/>
      <c r="AH196" s="24"/>
      <c r="AI196" s="23"/>
      <c r="AJ196" s="24"/>
      <c r="AK196" s="25"/>
      <c r="AL196" s="24"/>
      <c r="AM196" s="23"/>
      <c r="AN196" s="24"/>
      <c r="AO196" s="25"/>
      <c r="AP196" s="24"/>
      <c r="AQ196" s="23"/>
      <c r="AR196" s="24"/>
      <c r="AS196" s="25"/>
      <c r="AT196" s="24"/>
      <c r="AU196" s="23"/>
      <c r="AV196" s="24"/>
      <c r="AW196" s="25"/>
      <c r="AX196" s="24"/>
      <c r="AY196" s="23"/>
      <c r="AZ196" s="24"/>
      <c r="BA196" s="25"/>
      <c r="BB196" s="24"/>
      <c r="BC196" s="23"/>
      <c r="BD196" s="24"/>
      <c r="BE196" s="25"/>
      <c r="BF196" s="24"/>
      <c r="BG196" s="23"/>
      <c r="BH196" s="24"/>
      <c r="BI196" s="25"/>
      <c r="BJ196" s="24"/>
      <c r="BK196" s="340"/>
      <c r="BL196" s="32">
        <f t="shared" si="47"/>
        <v>0</v>
      </c>
      <c r="BM196" s="32">
        <f t="shared" si="48"/>
        <v>0</v>
      </c>
      <c r="BN196" s="28">
        <f t="shared" si="49"/>
        <v>0</v>
      </c>
      <c r="BO196" s="29">
        <f t="shared" si="50"/>
        <v>0</v>
      </c>
      <c r="BP196" s="30">
        <f t="shared" si="51"/>
        <v>0</v>
      </c>
      <c r="BQ196" s="31">
        <f t="shared" si="52"/>
        <v>0</v>
      </c>
      <c r="BR196" s="11"/>
      <c r="BS196" s="329"/>
      <c r="BT196" s="23"/>
      <c r="BU196" s="24"/>
      <c r="BV196" s="25"/>
      <c r="BW196" s="24"/>
      <c r="BX196" s="23"/>
      <c r="BY196" s="24"/>
      <c r="BZ196" s="25"/>
      <c r="CA196" s="24"/>
      <c r="CB196" s="23"/>
      <c r="CC196" s="24"/>
      <c r="CD196" s="25"/>
      <c r="CE196" s="24"/>
      <c r="CF196" s="23"/>
      <c r="CG196" s="24"/>
      <c r="CH196" s="25"/>
      <c r="CI196" s="24"/>
      <c r="CJ196" s="23"/>
      <c r="CK196" s="24"/>
      <c r="CL196" s="25"/>
      <c r="CM196" s="24"/>
      <c r="CN196" s="23"/>
      <c r="CO196" s="24"/>
      <c r="CP196" s="25"/>
      <c r="CQ196" s="24"/>
      <c r="CR196" s="23"/>
      <c r="CS196" s="24"/>
      <c r="CT196" s="25"/>
      <c r="CU196" s="24"/>
      <c r="CV196" s="23"/>
      <c r="CW196" s="24"/>
      <c r="CX196" s="25"/>
      <c r="CY196" s="24"/>
      <c r="CZ196" s="23"/>
      <c r="DA196" s="24"/>
      <c r="DB196" s="25"/>
      <c r="DC196" s="24"/>
      <c r="DD196" s="23"/>
      <c r="DE196" s="24"/>
      <c r="DF196" s="25"/>
      <c r="DG196" s="24"/>
      <c r="DH196" s="23"/>
      <c r="DI196" s="24"/>
      <c r="DJ196" s="25"/>
      <c r="DK196" s="24"/>
      <c r="DL196" s="23"/>
      <c r="DM196" s="24"/>
      <c r="DN196" s="25"/>
      <c r="DO196" s="24"/>
      <c r="DP196" s="340"/>
      <c r="DQ196" s="32">
        <f t="shared" si="66"/>
        <v>0</v>
      </c>
      <c r="DR196" s="32">
        <f t="shared" si="62"/>
        <v>0</v>
      </c>
      <c r="DS196" s="11"/>
      <c r="DT196" s="329"/>
      <c r="DU196" s="23"/>
      <c r="DV196" s="24"/>
      <c r="DW196" s="25"/>
      <c r="DX196" s="24"/>
      <c r="DY196" s="23"/>
      <c r="DZ196" s="24"/>
      <c r="EA196" s="25"/>
      <c r="EB196" s="24"/>
      <c r="EC196" s="23"/>
      <c r="ED196" s="24"/>
      <c r="EE196" s="25"/>
      <c r="EF196" s="24"/>
      <c r="EG196" s="23"/>
      <c r="EH196" s="24"/>
      <c r="EI196" s="25"/>
      <c r="EJ196" s="24"/>
      <c r="EK196" s="23"/>
      <c r="EL196" s="24"/>
      <c r="EM196" s="25"/>
      <c r="EN196" s="24"/>
      <c r="EO196" s="23"/>
      <c r="EP196" s="24"/>
      <c r="EQ196" s="25"/>
      <c r="ER196" s="24"/>
      <c r="ES196" s="23"/>
      <c r="ET196" s="24"/>
      <c r="EU196" s="25"/>
      <c r="EV196" s="24"/>
      <c r="EW196" s="23"/>
      <c r="EX196" s="24"/>
      <c r="EY196" s="25"/>
      <c r="EZ196" s="24"/>
      <c r="FA196" s="23"/>
      <c r="FB196" s="24"/>
      <c r="FC196" s="25"/>
      <c r="FD196" s="24"/>
      <c r="FE196" s="23"/>
      <c r="FF196" s="24"/>
      <c r="FG196" s="25"/>
      <c r="FH196" s="24"/>
      <c r="FI196" s="23"/>
      <c r="FJ196" s="24"/>
      <c r="FK196" s="25"/>
      <c r="FL196" s="24"/>
      <c r="FM196" s="23"/>
      <c r="FN196" s="24"/>
      <c r="FO196" s="25"/>
      <c r="FP196" s="24"/>
      <c r="FQ196" s="340"/>
      <c r="FR196" s="32">
        <f t="shared" si="67"/>
        <v>0</v>
      </c>
      <c r="FS196" s="32">
        <f t="shared" si="64"/>
        <v>0</v>
      </c>
      <c r="FT196" s="361"/>
    </row>
    <row r="197" spans="1:176" outlineLevel="2">
      <c r="A197" s="56" t="s">
        <v>470</v>
      </c>
      <c r="B197" s="387" t="s">
        <v>134</v>
      </c>
      <c r="C197" s="173" t="s">
        <v>31</v>
      </c>
      <c r="D197" s="565" t="s">
        <v>32</v>
      </c>
      <c r="E197" s="10">
        <f>IF(ISBLANK(G197),"",IF($A$6:$A$330=$A197,COUNTIF($A$6:A197,$A197),""))</f>
        <v>3</v>
      </c>
      <c r="F197" s="10">
        <v>1</v>
      </c>
      <c r="G197" s="55">
        <v>9253761210</v>
      </c>
      <c r="H197" s="54" t="s">
        <v>54</v>
      </c>
      <c r="I197" s="617">
        <f>306/НДС</f>
        <v>250.81967213114754</v>
      </c>
      <c r="J197" s="617"/>
      <c r="K197" s="113"/>
      <c r="L197" s="617" t="str">
        <f t="shared" si="65"/>
        <v/>
      </c>
      <c r="M197" s="102"/>
      <c r="N197" s="305">
        <f t="shared" si="46"/>
        <v>1</v>
      </c>
      <c r="O197" s="23">
        <v>80</v>
      </c>
      <c r="P197" s="24"/>
      <c r="Q197" s="25"/>
      <c r="R197" s="24"/>
      <c r="S197" s="23">
        <v>80</v>
      </c>
      <c r="T197" s="24">
        <f>80</f>
        <v>80</v>
      </c>
      <c r="U197" s="25">
        <v>80</v>
      </c>
      <c r="V197" s="24"/>
      <c r="W197" s="23">
        <v>40</v>
      </c>
      <c r="X197" s="24"/>
      <c r="Y197" s="25"/>
      <c r="Z197" s="24"/>
      <c r="AA197" s="23">
        <v>80</v>
      </c>
      <c r="AB197" s="24">
        <f>80</f>
        <v>80</v>
      </c>
      <c r="AC197" s="25">
        <v>80</v>
      </c>
      <c r="AD197" s="24"/>
      <c r="AE197" s="23"/>
      <c r="AF197" s="24"/>
      <c r="AG197" s="25"/>
      <c r="AH197" s="24"/>
      <c r="AI197" s="23">
        <v>80</v>
      </c>
      <c r="AJ197" s="24">
        <v>80</v>
      </c>
      <c r="AK197" s="25"/>
      <c r="AL197" s="24">
        <v>80</v>
      </c>
      <c r="AM197" s="23"/>
      <c r="AN197" s="24"/>
      <c r="AO197" s="25"/>
      <c r="AP197" s="24"/>
      <c r="AQ197" s="23">
        <v>80</v>
      </c>
      <c r="AR197" s="24">
        <v>80</v>
      </c>
      <c r="AS197" s="25"/>
      <c r="AT197" s="24"/>
      <c r="AU197" s="23"/>
      <c r="AV197" s="24"/>
      <c r="AW197" s="25"/>
      <c r="AX197" s="24"/>
      <c r="AY197" s="23">
        <v>80</v>
      </c>
      <c r="AZ197" s="24">
        <v>80</v>
      </c>
      <c r="BA197" s="25"/>
      <c r="BB197" s="24"/>
      <c r="BC197" s="23"/>
      <c r="BD197" s="24"/>
      <c r="BE197" s="25"/>
      <c r="BF197" s="24"/>
      <c r="BG197" s="23">
        <v>80</v>
      </c>
      <c r="BH197" s="24">
        <v>80</v>
      </c>
      <c r="BI197" s="25"/>
      <c r="BJ197" s="24"/>
      <c r="BK197" s="340"/>
      <c r="BL197" s="32">
        <f t="shared" si="47"/>
        <v>600</v>
      </c>
      <c r="BM197" s="32">
        <f t="shared" si="48"/>
        <v>150491.80327868852</v>
      </c>
      <c r="BN197" s="28">
        <f t="shared" si="49"/>
        <v>480</v>
      </c>
      <c r="BO197" s="29">
        <f t="shared" si="50"/>
        <v>120393.44262295082</v>
      </c>
      <c r="BP197" s="30">
        <f t="shared" si="51"/>
        <v>160</v>
      </c>
      <c r="BQ197" s="31">
        <f t="shared" si="52"/>
        <v>40131.147540983606</v>
      </c>
      <c r="BR197" s="11"/>
      <c r="BS197" s="329"/>
      <c r="BT197" s="23">
        <v>60</v>
      </c>
      <c r="BU197" s="24"/>
      <c r="BV197" s="25"/>
      <c r="BW197" s="24"/>
      <c r="BX197" s="23">
        <v>60</v>
      </c>
      <c r="BY197" s="24"/>
      <c r="BZ197" s="25"/>
      <c r="CA197" s="24"/>
      <c r="CB197" s="23">
        <v>60</v>
      </c>
      <c r="CC197" s="24"/>
      <c r="CD197" s="25"/>
      <c r="CE197" s="24"/>
      <c r="CF197" s="23">
        <v>60</v>
      </c>
      <c r="CG197" s="24"/>
      <c r="CH197" s="25"/>
      <c r="CI197" s="24"/>
      <c r="CJ197" s="23">
        <v>60</v>
      </c>
      <c r="CK197" s="24"/>
      <c r="CL197" s="25"/>
      <c r="CM197" s="24"/>
      <c r="CN197" s="23">
        <v>60</v>
      </c>
      <c r="CO197" s="24"/>
      <c r="CP197" s="25"/>
      <c r="CQ197" s="24"/>
      <c r="CR197" s="23">
        <v>60</v>
      </c>
      <c r="CS197" s="24"/>
      <c r="CT197" s="25"/>
      <c r="CU197" s="24"/>
      <c r="CV197" s="23">
        <v>60</v>
      </c>
      <c r="CW197" s="24"/>
      <c r="CX197" s="25"/>
      <c r="CY197" s="24"/>
      <c r="CZ197" s="23">
        <v>60</v>
      </c>
      <c r="DA197" s="24"/>
      <c r="DB197" s="25"/>
      <c r="DC197" s="24"/>
      <c r="DD197" s="23">
        <v>60</v>
      </c>
      <c r="DE197" s="24"/>
      <c r="DF197" s="25"/>
      <c r="DG197" s="24"/>
      <c r="DH197" s="23">
        <v>60</v>
      </c>
      <c r="DI197" s="24"/>
      <c r="DJ197" s="25"/>
      <c r="DK197" s="24"/>
      <c r="DL197" s="23">
        <v>60</v>
      </c>
      <c r="DM197" s="24"/>
      <c r="DN197" s="25"/>
      <c r="DO197" s="24"/>
      <c r="DP197" s="340"/>
      <c r="DQ197" s="32">
        <f t="shared" si="66"/>
        <v>720</v>
      </c>
      <c r="DR197" s="32">
        <f t="shared" si="62"/>
        <v>180590.16393442624</v>
      </c>
      <c r="DS197" s="11"/>
      <c r="DT197" s="329"/>
      <c r="DU197" s="23">
        <v>70</v>
      </c>
      <c r="DV197" s="24"/>
      <c r="DW197" s="25"/>
      <c r="DX197" s="24"/>
      <c r="DY197" s="23">
        <v>70</v>
      </c>
      <c r="DZ197" s="24"/>
      <c r="EA197" s="25"/>
      <c r="EB197" s="24"/>
      <c r="EC197" s="23">
        <v>70</v>
      </c>
      <c r="ED197" s="24"/>
      <c r="EE197" s="25"/>
      <c r="EF197" s="24"/>
      <c r="EG197" s="23">
        <v>70</v>
      </c>
      <c r="EH197" s="24"/>
      <c r="EI197" s="25"/>
      <c r="EJ197" s="24"/>
      <c r="EK197" s="23">
        <v>70</v>
      </c>
      <c r="EL197" s="24"/>
      <c r="EM197" s="25"/>
      <c r="EN197" s="24"/>
      <c r="EO197" s="23">
        <v>70</v>
      </c>
      <c r="EP197" s="24"/>
      <c r="EQ197" s="25"/>
      <c r="ER197" s="24"/>
      <c r="ES197" s="23">
        <v>70</v>
      </c>
      <c r="ET197" s="24"/>
      <c r="EU197" s="25"/>
      <c r="EV197" s="24"/>
      <c r="EW197" s="23">
        <v>70</v>
      </c>
      <c r="EX197" s="24"/>
      <c r="EY197" s="25"/>
      <c r="EZ197" s="24"/>
      <c r="FA197" s="23">
        <v>70</v>
      </c>
      <c r="FB197" s="24"/>
      <c r="FC197" s="25"/>
      <c r="FD197" s="24"/>
      <c r="FE197" s="23">
        <v>70</v>
      </c>
      <c r="FF197" s="24"/>
      <c r="FG197" s="25"/>
      <c r="FH197" s="24"/>
      <c r="FI197" s="23">
        <v>70</v>
      </c>
      <c r="FJ197" s="24"/>
      <c r="FK197" s="25"/>
      <c r="FL197" s="24"/>
      <c r="FM197" s="23">
        <v>70</v>
      </c>
      <c r="FN197" s="24"/>
      <c r="FO197" s="25"/>
      <c r="FP197" s="24"/>
      <c r="FQ197" s="340"/>
      <c r="FR197" s="32">
        <f t="shared" si="67"/>
        <v>840</v>
      </c>
      <c r="FS197" s="32">
        <f t="shared" si="64"/>
        <v>210688.52459016393</v>
      </c>
      <c r="FT197" s="361"/>
    </row>
    <row r="198" spans="1:176" outlineLevel="2">
      <c r="A198" s="56" t="s">
        <v>470</v>
      </c>
      <c r="B198" s="387" t="s">
        <v>134</v>
      </c>
      <c r="C198" s="173" t="s">
        <v>31</v>
      </c>
      <c r="D198" s="565" t="s">
        <v>32</v>
      </c>
      <c r="E198" s="10">
        <f>IF(ISBLANK(G198),"",IF($A$6:$A$330=$A198,COUNTIF($A$6:A198,$A198),""))</f>
        <v>4</v>
      </c>
      <c r="F198" s="10">
        <v>1</v>
      </c>
      <c r="G198" s="55">
        <v>9253771100</v>
      </c>
      <c r="H198" s="54" t="s">
        <v>55</v>
      </c>
      <c r="I198" s="617">
        <f>310/НДС</f>
        <v>254.09836065573771</v>
      </c>
      <c r="J198" s="617"/>
      <c r="K198" s="113"/>
      <c r="L198" s="617" t="str">
        <f t="shared" si="65"/>
        <v/>
      </c>
      <c r="M198" s="102"/>
      <c r="N198" s="305">
        <f t="shared" si="46"/>
        <v>1</v>
      </c>
      <c r="O198" s="23">
        <v>40</v>
      </c>
      <c r="P198" s="24"/>
      <c r="Q198" s="25"/>
      <c r="R198" s="24"/>
      <c r="S198" s="23">
        <v>40</v>
      </c>
      <c r="T198" s="24">
        <f>80</f>
        <v>80</v>
      </c>
      <c r="U198" s="25">
        <v>80</v>
      </c>
      <c r="V198" s="24"/>
      <c r="W198" s="23">
        <v>40</v>
      </c>
      <c r="X198" s="24"/>
      <c r="Y198" s="25"/>
      <c r="Z198" s="24"/>
      <c r="AA198" s="23">
        <v>40</v>
      </c>
      <c r="AB198" s="24">
        <f>40+80</f>
        <v>120</v>
      </c>
      <c r="AC198" s="25">
        <v>120</v>
      </c>
      <c r="AD198" s="24"/>
      <c r="AE198" s="23"/>
      <c r="AF198" s="24"/>
      <c r="AG198" s="25"/>
      <c r="AH198" s="24"/>
      <c r="AI198" s="23">
        <v>40</v>
      </c>
      <c r="AJ198" s="24">
        <v>40</v>
      </c>
      <c r="AK198" s="25"/>
      <c r="AL198" s="24">
        <v>40</v>
      </c>
      <c r="AM198" s="23"/>
      <c r="AN198" s="24"/>
      <c r="AO198" s="25"/>
      <c r="AP198" s="24"/>
      <c r="AQ198" s="23">
        <v>40</v>
      </c>
      <c r="AR198" s="24">
        <v>40</v>
      </c>
      <c r="AS198" s="25"/>
      <c r="AT198" s="24"/>
      <c r="AU198" s="23"/>
      <c r="AV198" s="24"/>
      <c r="AW198" s="25"/>
      <c r="AX198" s="24"/>
      <c r="AY198" s="23">
        <v>40</v>
      </c>
      <c r="AZ198" s="24">
        <v>40</v>
      </c>
      <c r="BA198" s="25"/>
      <c r="BB198" s="24"/>
      <c r="BC198" s="23"/>
      <c r="BD198" s="24"/>
      <c r="BE198" s="25"/>
      <c r="BF198" s="24"/>
      <c r="BG198" s="23">
        <v>40</v>
      </c>
      <c r="BH198" s="24">
        <v>40</v>
      </c>
      <c r="BI198" s="25"/>
      <c r="BJ198" s="24"/>
      <c r="BK198" s="340"/>
      <c r="BL198" s="32">
        <f t="shared" si="47"/>
        <v>320</v>
      </c>
      <c r="BM198" s="32">
        <f t="shared" si="48"/>
        <v>81311.475409836072</v>
      </c>
      <c r="BN198" s="28">
        <f t="shared" si="49"/>
        <v>360</v>
      </c>
      <c r="BO198" s="29">
        <f t="shared" si="50"/>
        <v>91475.409836065577</v>
      </c>
      <c r="BP198" s="30">
        <f t="shared" si="51"/>
        <v>200</v>
      </c>
      <c r="BQ198" s="31">
        <f t="shared" si="52"/>
        <v>50819.672131147541</v>
      </c>
      <c r="BR198" s="11"/>
      <c r="BS198" s="329"/>
      <c r="BT198" s="23">
        <v>60</v>
      </c>
      <c r="BU198" s="24"/>
      <c r="BV198" s="25"/>
      <c r="BW198" s="24"/>
      <c r="BX198" s="23">
        <v>60</v>
      </c>
      <c r="BY198" s="24"/>
      <c r="BZ198" s="25"/>
      <c r="CA198" s="24"/>
      <c r="CB198" s="23">
        <v>60</v>
      </c>
      <c r="CC198" s="24"/>
      <c r="CD198" s="25"/>
      <c r="CE198" s="24"/>
      <c r="CF198" s="23">
        <v>60</v>
      </c>
      <c r="CG198" s="24"/>
      <c r="CH198" s="25"/>
      <c r="CI198" s="24"/>
      <c r="CJ198" s="23">
        <v>60</v>
      </c>
      <c r="CK198" s="24"/>
      <c r="CL198" s="25"/>
      <c r="CM198" s="24"/>
      <c r="CN198" s="23">
        <v>60</v>
      </c>
      <c r="CO198" s="24"/>
      <c r="CP198" s="25"/>
      <c r="CQ198" s="24"/>
      <c r="CR198" s="23">
        <v>60</v>
      </c>
      <c r="CS198" s="24"/>
      <c r="CT198" s="25"/>
      <c r="CU198" s="24"/>
      <c r="CV198" s="23">
        <v>60</v>
      </c>
      <c r="CW198" s="24"/>
      <c r="CX198" s="25"/>
      <c r="CY198" s="24"/>
      <c r="CZ198" s="23">
        <v>60</v>
      </c>
      <c r="DA198" s="24"/>
      <c r="DB198" s="25"/>
      <c r="DC198" s="24"/>
      <c r="DD198" s="23">
        <v>60</v>
      </c>
      <c r="DE198" s="24"/>
      <c r="DF198" s="25"/>
      <c r="DG198" s="24"/>
      <c r="DH198" s="23">
        <v>60</v>
      </c>
      <c r="DI198" s="24"/>
      <c r="DJ198" s="25"/>
      <c r="DK198" s="24"/>
      <c r="DL198" s="23">
        <v>60</v>
      </c>
      <c r="DM198" s="24"/>
      <c r="DN198" s="25"/>
      <c r="DO198" s="24"/>
      <c r="DP198" s="340"/>
      <c r="DQ198" s="32">
        <f t="shared" si="66"/>
        <v>720</v>
      </c>
      <c r="DR198" s="32">
        <f t="shared" si="62"/>
        <v>182950.81967213115</v>
      </c>
      <c r="DS198" s="11"/>
      <c r="DT198" s="329"/>
      <c r="DU198" s="23">
        <v>70</v>
      </c>
      <c r="DV198" s="24"/>
      <c r="DW198" s="25"/>
      <c r="DX198" s="24"/>
      <c r="DY198" s="23">
        <v>70</v>
      </c>
      <c r="DZ198" s="24"/>
      <c r="EA198" s="25"/>
      <c r="EB198" s="24"/>
      <c r="EC198" s="23">
        <v>70</v>
      </c>
      <c r="ED198" s="24"/>
      <c r="EE198" s="25"/>
      <c r="EF198" s="24"/>
      <c r="EG198" s="23">
        <v>70</v>
      </c>
      <c r="EH198" s="24"/>
      <c r="EI198" s="25"/>
      <c r="EJ198" s="24"/>
      <c r="EK198" s="23">
        <v>70</v>
      </c>
      <c r="EL198" s="24"/>
      <c r="EM198" s="25"/>
      <c r="EN198" s="24"/>
      <c r="EO198" s="23">
        <v>70</v>
      </c>
      <c r="EP198" s="24"/>
      <c r="EQ198" s="25"/>
      <c r="ER198" s="24"/>
      <c r="ES198" s="23">
        <v>70</v>
      </c>
      <c r="ET198" s="24"/>
      <c r="EU198" s="25"/>
      <c r="EV198" s="24"/>
      <c r="EW198" s="23">
        <v>70</v>
      </c>
      <c r="EX198" s="24"/>
      <c r="EY198" s="25"/>
      <c r="EZ198" s="24"/>
      <c r="FA198" s="23">
        <v>70</v>
      </c>
      <c r="FB198" s="24"/>
      <c r="FC198" s="25"/>
      <c r="FD198" s="24"/>
      <c r="FE198" s="23">
        <v>70</v>
      </c>
      <c r="FF198" s="24"/>
      <c r="FG198" s="25"/>
      <c r="FH198" s="24"/>
      <c r="FI198" s="23">
        <v>70</v>
      </c>
      <c r="FJ198" s="24"/>
      <c r="FK198" s="25"/>
      <c r="FL198" s="24"/>
      <c r="FM198" s="23">
        <v>70</v>
      </c>
      <c r="FN198" s="24"/>
      <c r="FO198" s="25"/>
      <c r="FP198" s="24"/>
      <c r="FQ198" s="340"/>
      <c r="FR198" s="32">
        <f t="shared" si="67"/>
        <v>840</v>
      </c>
      <c r="FS198" s="32">
        <f t="shared" si="64"/>
        <v>213442.62295081967</v>
      </c>
      <c r="FT198" s="361"/>
    </row>
    <row r="199" spans="1:176" outlineLevel="2">
      <c r="A199" s="56" t="s">
        <v>470</v>
      </c>
      <c r="B199" s="387" t="s">
        <v>134</v>
      </c>
      <c r="C199" s="173" t="s">
        <v>72</v>
      </c>
      <c r="D199" s="565" t="s">
        <v>32</v>
      </c>
      <c r="E199" s="10">
        <f>IF(ISBLANK(G199),"",IF($A$6:$A$330=$A199,COUNTIF($A$6:A199,$A199),""))</f>
        <v>5</v>
      </c>
      <c r="F199" s="10">
        <v>2</v>
      </c>
      <c r="G199" s="55">
        <v>4497120300</v>
      </c>
      <c r="H199" s="54" t="s">
        <v>100</v>
      </c>
      <c r="I199" s="617">
        <f>82/НДС_20</f>
        <v>68.333333333333343</v>
      </c>
      <c r="J199" s="617"/>
      <c r="K199" s="113"/>
      <c r="L199" s="617" t="str">
        <f t="shared" si="65"/>
        <v/>
      </c>
      <c r="M199" s="102"/>
      <c r="N199" s="305">
        <f t="shared" si="46"/>
        <v>0</v>
      </c>
      <c r="O199" s="23"/>
      <c r="P199" s="24"/>
      <c r="Q199" s="25"/>
      <c r="R199" s="24"/>
      <c r="S199" s="23"/>
      <c r="T199" s="24"/>
      <c r="U199" s="25"/>
      <c r="V199" s="24"/>
      <c r="W199" s="23"/>
      <c r="X199" s="24"/>
      <c r="Y199" s="25"/>
      <c r="Z199" s="24"/>
      <c r="AA199" s="23"/>
      <c r="AB199" s="24"/>
      <c r="AC199" s="25"/>
      <c r="AD199" s="24"/>
      <c r="AE199" s="23"/>
      <c r="AF199" s="24"/>
      <c r="AG199" s="25"/>
      <c r="AH199" s="24"/>
      <c r="AI199" s="23"/>
      <c r="AJ199" s="24"/>
      <c r="AK199" s="25"/>
      <c r="AL199" s="24"/>
      <c r="AM199" s="23"/>
      <c r="AN199" s="24"/>
      <c r="AO199" s="25"/>
      <c r="AP199" s="24"/>
      <c r="AQ199" s="23"/>
      <c r="AR199" s="24"/>
      <c r="AS199" s="25"/>
      <c r="AT199" s="24"/>
      <c r="AU199" s="23"/>
      <c r="AV199" s="24"/>
      <c r="AW199" s="25"/>
      <c r="AX199" s="24"/>
      <c r="AY199" s="23"/>
      <c r="AZ199" s="24"/>
      <c r="BA199" s="25"/>
      <c r="BB199" s="24"/>
      <c r="BC199" s="23"/>
      <c r="BD199" s="24"/>
      <c r="BE199" s="25"/>
      <c r="BF199" s="24"/>
      <c r="BG199" s="23"/>
      <c r="BH199" s="24"/>
      <c r="BI199" s="25"/>
      <c r="BJ199" s="24"/>
      <c r="BK199" s="340"/>
      <c r="BL199" s="32">
        <f t="shared" si="47"/>
        <v>0</v>
      </c>
      <c r="BM199" s="32">
        <f t="shared" si="48"/>
        <v>0</v>
      </c>
      <c r="BN199" s="28">
        <f t="shared" si="49"/>
        <v>0</v>
      </c>
      <c r="BO199" s="29">
        <f t="shared" si="50"/>
        <v>0</v>
      </c>
      <c r="BP199" s="30">
        <f t="shared" si="51"/>
        <v>0</v>
      </c>
      <c r="BQ199" s="31">
        <f t="shared" si="52"/>
        <v>0</v>
      </c>
      <c r="BR199" s="11"/>
      <c r="BS199" s="329"/>
      <c r="BT199" s="23"/>
      <c r="BU199" s="24"/>
      <c r="BV199" s="25"/>
      <c r="BW199" s="24"/>
      <c r="BX199" s="23"/>
      <c r="BY199" s="24"/>
      <c r="BZ199" s="25"/>
      <c r="CA199" s="24"/>
      <c r="CB199" s="23"/>
      <c r="CC199" s="24"/>
      <c r="CD199" s="25"/>
      <c r="CE199" s="108"/>
      <c r="CF199" s="23"/>
      <c r="CG199" s="24"/>
      <c r="CH199" s="25"/>
      <c r="CI199" s="24"/>
      <c r="CJ199" s="23"/>
      <c r="CK199" s="24"/>
      <c r="CL199" s="25"/>
      <c r="CM199" s="24"/>
      <c r="CN199" s="23"/>
      <c r="CO199" s="24"/>
      <c r="CP199" s="25"/>
      <c r="CQ199" s="24"/>
      <c r="CR199" s="23"/>
      <c r="CS199" s="24"/>
      <c r="CT199" s="25"/>
      <c r="CU199" s="24"/>
      <c r="CV199" s="23"/>
      <c r="CW199" s="24"/>
      <c r="CX199" s="25"/>
      <c r="CY199" s="24"/>
      <c r="CZ199" s="23"/>
      <c r="DA199" s="24"/>
      <c r="DB199" s="25"/>
      <c r="DC199" s="24"/>
      <c r="DD199" s="23"/>
      <c r="DE199" s="24"/>
      <c r="DF199" s="25"/>
      <c r="DG199" s="24"/>
      <c r="DH199" s="23"/>
      <c r="DI199" s="24"/>
      <c r="DJ199" s="25"/>
      <c r="DK199" s="24"/>
      <c r="DL199" s="23"/>
      <c r="DM199" s="24"/>
      <c r="DN199" s="25"/>
      <c r="DO199" s="24"/>
      <c r="DP199" s="340"/>
      <c r="DQ199" s="32">
        <f t="shared" si="66"/>
        <v>0</v>
      </c>
      <c r="DR199" s="32">
        <f t="shared" si="62"/>
        <v>0</v>
      </c>
      <c r="DS199" s="11"/>
      <c r="DT199" s="329"/>
      <c r="DU199" s="23"/>
      <c r="DV199" s="24"/>
      <c r="DW199" s="25"/>
      <c r="DX199" s="24"/>
      <c r="DY199" s="23"/>
      <c r="DZ199" s="24"/>
      <c r="EA199" s="25"/>
      <c r="EB199" s="24"/>
      <c r="EC199" s="23"/>
      <c r="ED199" s="24"/>
      <c r="EE199" s="25"/>
      <c r="EF199" s="108"/>
      <c r="EG199" s="23"/>
      <c r="EH199" s="24"/>
      <c r="EI199" s="25"/>
      <c r="EJ199" s="24"/>
      <c r="EK199" s="23"/>
      <c r="EL199" s="24"/>
      <c r="EM199" s="25"/>
      <c r="EN199" s="24"/>
      <c r="EO199" s="23"/>
      <c r="EP199" s="24"/>
      <c r="EQ199" s="25"/>
      <c r="ER199" s="24"/>
      <c r="ES199" s="23"/>
      <c r="ET199" s="24"/>
      <c r="EU199" s="25"/>
      <c r="EV199" s="24"/>
      <c r="EW199" s="23"/>
      <c r="EX199" s="24"/>
      <c r="EY199" s="25"/>
      <c r="EZ199" s="24"/>
      <c r="FA199" s="23"/>
      <c r="FB199" s="24"/>
      <c r="FC199" s="25"/>
      <c r="FD199" s="24"/>
      <c r="FE199" s="23"/>
      <c r="FF199" s="24"/>
      <c r="FG199" s="25"/>
      <c r="FH199" s="24"/>
      <c r="FI199" s="23"/>
      <c r="FJ199" s="24"/>
      <c r="FK199" s="25"/>
      <c r="FL199" s="24"/>
      <c r="FM199" s="23"/>
      <c r="FN199" s="24"/>
      <c r="FO199" s="25"/>
      <c r="FP199" s="24"/>
      <c r="FQ199" s="340"/>
      <c r="FR199" s="32">
        <f t="shared" si="67"/>
        <v>0</v>
      </c>
      <c r="FS199" s="32">
        <f t="shared" si="64"/>
        <v>0</v>
      </c>
      <c r="FT199" s="361"/>
    </row>
    <row r="200" spans="1:176" outlineLevel="2">
      <c r="A200" s="56" t="s">
        <v>470</v>
      </c>
      <c r="B200" s="387" t="s">
        <v>134</v>
      </c>
      <c r="C200" s="173" t="s">
        <v>72</v>
      </c>
      <c r="D200" s="565" t="s">
        <v>32</v>
      </c>
      <c r="E200" s="10">
        <f>IF(ISBLANK(G200),"",IF($A$6:$A$330=$A200,COUNTIF($A$6:A200,$A200),""))</f>
        <v>6</v>
      </c>
      <c r="F200" s="10">
        <v>2</v>
      </c>
      <c r="G200" s="55">
        <v>4497490300</v>
      </c>
      <c r="H200" s="54" t="s">
        <v>100</v>
      </c>
      <c r="I200" s="617">
        <f>82/НДС_20</f>
        <v>68.333333333333343</v>
      </c>
      <c r="J200" s="617"/>
      <c r="K200" s="113"/>
      <c r="L200" s="617" t="str">
        <f t="shared" si="65"/>
        <v/>
      </c>
      <c r="M200" s="102"/>
      <c r="N200" s="305">
        <f t="shared" si="46"/>
        <v>0</v>
      </c>
      <c r="O200" s="23"/>
      <c r="P200" s="24"/>
      <c r="Q200" s="25"/>
      <c r="R200" s="24"/>
      <c r="S200" s="23"/>
      <c r="T200" s="24"/>
      <c r="U200" s="25"/>
      <c r="V200" s="24"/>
      <c r="W200" s="23"/>
      <c r="X200" s="24"/>
      <c r="Y200" s="25"/>
      <c r="Z200" s="108"/>
      <c r="AA200" s="23"/>
      <c r="AB200" s="24"/>
      <c r="AC200" s="25"/>
      <c r="AD200" s="24"/>
      <c r="AE200" s="23"/>
      <c r="AF200" s="24"/>
      <c r="AG200" s="25"/>
      <c r="AH200" s="24"/>
      <c r="AI200" s="23"/>
      <c r="AJ200" s="24"/>
      <c r="AK200" s="25"/>
      <c r="AL200" s="24"/>
      <c r="AM200" s="23"/>
      <c r="AN200" s="24"/>
      <c r="AO200" s="25"/>
      <c r="AP200" s="24"/>
      <c r="AQ200" s="23"/>
      <c r="AR200" s="24"/>
      <c r="AS200" s="25"/>
      <c r="AT200" s="24"/>
      <c r="AU200" s="23"/>
      <c r="AV200" s="24"/>
      <c r="AW200" s="25"/>
      <c r="AX200" s="24"/>
      <c r="AY200" s="23"/>
      <c r="AZ200" s="24"/>
      <c r="BA200" s="25"/>
      <c r="BB200" s="24"/>
      <c r="BC200" s="23"/>
      <c r="BD200" s="24"/>
      <c r="BE200" s="25"/>
      <c r="BF200" s="24"/>
      <c r="BG200" s="23"/>
      <c r="BH200" s="24"/>
      <c r="BI200" s="25"/>
      <c r="BJ200" s="24"/>
      <c r="BK200" s="340"/>
      <c r="BL200" s="32">
        <f t="shared" si="47"/>
        <v>0</v>
      </c>
      <c r="BM200" s="32">
        <f t="shared" si="48"/>
        <v>0</v>
      </c>
      <c r="BN200" s="28">
        <f t="shared" si="49"/>
        <v>0</v>
      </c>
      <c r="BO200" s="29">
        <f t="shared" si="50"/>
        <v>0</v>
      </c>
      <c r="BP200" s="30">
        <f t="shared" si="51"/>
        <v>0</v>
      </c>
      <c r="BQ200" s="31">
        <f t="shared" si="52"/>
        <v>0</v>
      </c>
      <c r="BR200" s="11"/>
      <c r="BS200" s="329"/>
      <c r="BT200" s="23"/>
      <c r="BU200" s="24"/>
      <c r="BV200" s="25"/>
      <c r="BW200" s="24"/>
      <c r="BX200" s="23"/>
      <c r="BY200" s="24"/>
      <c r="BZ200" s="25"/>
      <c r="CA200" s="24"/>
      <c r="CB200" s="23"/>
      <c r="CC200" s="24"/>
      <c r="CD200" s="25"/>
      <c r="CE200" s="108"/>
      <c r="CF200" s="23"/>
      <c r="CG200" s="24"/>
      <c r="CH200" s="25"/>
      <c r="CI200" s="24"/>
      <c r="CJ200" s="23"/>
      <c r="CK200" s="24"/>
      <c r="CL200" s="25"/>
      <c r="CM200" s="24"/>
      <c r="CN200" s="23"/>
      <c r="CO200" s="24"/>
      <c r="CP200" s="25"/>
      <c r="CQ200" s="24"/>
      <c r="CR200" s="23"/>
      <c r="CS200" s="24"/>
      <c r="CT200" s="25"/>
      <c r="CU200" s="24"/>
      <c r="CV200" s="23"/>
      <c r="CW200" s="24"/>
      <c r="CX200" s="25"/>
      <c r="CY200" s="24"/>
      <c r="CZ200" s="23"/>
      <c r="DA200" s="24"/>
      <c r="DB200" s="25"/>
      <c r="DC200" s="24"/>
      <c r="DD200" s="23"/>
      <c r="DE200" s="24"/>
      <c r="DF200" s="25"/>
      <c r="DG200" s="24"/>
      <c r="DH200" s="23"/>
      <c r="DI200" s="24"/>
      <c r="DJ200" s="25"/>
      <c r="DK200" s="24"/>
      <c r="DL200" s="23"/>
      <c r="DM200" s="24"/>
      <c r="DN200" s="25"/>
      <c r="DO200" s="24"/>
      <c r="DP200" s="340"/>
      <c r="DQ200" s="32">
        <f t="shared" si="66"/>
        <v>0</v>
      </c>
      <c r="DR200" s="32">
        <f t="shared" si="62"/>
        <v>0</v>
      </c>
      <c r="DS200" s="11"/>
      <c r="DT200" s="329"/>
      <c r="DU200" s="23"/>
      <c r="DV200" s="24"/>
      <c r="DW200" s="25"/>
      <c r="DX200" s="24"/>
      <c r="DY200" s="23"/>
      <c r="DZ200" s="24"/>
      <c r="EA200" s="25"/>
      <c r="EB200" s="24"/>
      <c r="EC200" s="23"/>
      <c r="ED200" s="24"/>
      <c r="EE200" s="25"/>
      <c r="EF200" s="108"/>
      <c r="EG200" s="23"/>
      <c r="EH200" s="24"/>
      <c r="EI200" s="25"/>
      <c r="EJ200" s="24"/>
      <c r="EK200" s="23"/>
      <c r="EL200" s="24"/>
      <c r="EM200" s="25"/>
      <c r="EN200" s="24"/>
      <c r="EO200" s="23"/>
      <c r="EP200" s="24"/>
      <c r="EQ200" s="25"/>
      <c r="ER200" s="24"/>
      <c r="ES200" s="23"/>
      <c r="ET200" s="24"/>
      <c r="EU200" s="25"/>
      <c r="EV200" s="24"/>
      <c r="EW200" s="23"/>
      <c r="EX200" s="24"/>
      <c r="EY200" s="25"/>
      <c r="EZ200" s="24"/>
      <c r="FA200" s="23"/>
      <c r="FB200" s="24"/>
      <c r="FC200" s="25"/>
      <c r="FD200" s="24"/>
      <c r="FE200" s="23"/>
      <c r="FF200" s="24"/>
      <c r="FG200" s="25"/>
      <c r="FH200" s="24"/>
      <c r="FI200" s="23"/>
      <c r="FJ200" s="24"/>
      <c r="FK200" s="25"/>
      <c r="FL200" s="24"/>
      <c r="FM200" s="23"/>
      <c r="FN200" s="24"/>
      <c r="FO200" s="25"/>
      <c r="FP200" s="24"/>
      <c r="FQ200" s="340"/>
      <c r="FR200" s="32">
        <f t="shared" si="67"/>
        <v>0</v>
      </c>
      <c r="FS200" s="32">
        <f t="shared" si="64"/>
        <v>0</v>
      </c>
      <c r="FT200" s="361"/>
    </row>
    <row r="201" spans="1:176" outlineLevel="2">
      <c r="A201" s="375" t="s">
        <v>470</v>
      </c>
      <c r="B201" s="389" t="s">
        <v>134</v>
      </c>
      <c r="C201" s="311" t="s">
        <v>72</v>
      </c>
      <c r="D201" s="575" t="s">
        <v>32</v>
      </c>
      <c r="E201" s="284">
        <f>IF(ISBLANK(G201),"",IF($A$6:$A$330=$A201,COUNTIF($A$6:A201,$A201),""))</f>
        <v>7</v>
      </c>
      <c r="F201" s="284">
        <v>1</v>
      </c>
      <c r="G201" s="304">
        <v>4497120000</v>
      </c>
      <c r="H201" s="602" t="s">
        <v>100</v>
      </c>
      <c r="I201" s="616">
        <f>82/НДС_20</f>
        <v>68.333333333333343</v>
      </c>
      <c r="J201" s="616"/>
      <c r="K201" s="333"/>
      <c r="L201" s="616" t="str">
        <f t="shared" si="65"/>
        <v/>
      </c>
      <c r="M201" s="305"/>
      <c r="N201" s="305">
        <f t="shared" si="46"/>
        <v>0</v>
      </c>
      <c r="O201" s="322"/>
      <c r="P201" s="408"/>
      <c r="Q201" s="307"/>
      <c r="R201" s="408"/>
      <c r="S201" s="322"/>
      <c r="T201" s="408"/>
      <c r="U201" s="307"/>
      <c r="V201" s="408"/>
      <c r="W201" s="322"/>
      <c r="X201" s="408"/>
      <c r="Y201" s="307"/>
      <c r="Z201" s="334"/>
      <c r="AA201" s="322"/>
      <c r="AB201" s="408"/>
      <c r="AC201" s="307"/>
      <c r="AD201" s="408"/>
      <c r="AE201" s="322"/>
      <c r="AF201" s="408"/>
      <c r="AG201" s="307"/>
      <c r="AH201" s="408"/>
      <c r="AI201" s="322"/>
      <c r="AJ201" s="408"/>
      <c r="AK201" s="307"/>
      <c r="AL201" s="408"/>
      <c r="AM201" s="322"/>
      <c r="AN201" s="408"/>
      <c r="AO201" s="307"/>
      <c r="AP201" s="408"/>
      <c r="AQ201" s="322"/>
      <c r="AR201" s="408"/>
      <c r="AS201" s="307"/>
      <c r="AT201" s="408"/>
      <c r="AU201" s="322"/>
      <c r="AV201" s="408"/>
      <c r="AW201" s="307"/>
      <c r="AX201" s="408"/>
      <c r="AY201" s="322"/>
      <c r="AZ201" s="408"/>
      <c r="BA201" s="307"/>
      <c r="BB201" s="408"/>
      <c r="BC201" s="322"/>
      <c r="BD201" s="408"/>
      <c r="BE201" s="307"/>
      <c r="BF201" s="408"/>
      <c r="BG201" s="322"/>
      <c r="BH201" s="408"/>
      <c r="BI201" s="307"/>
      <c r="BJ201" s="408"/>
      <c r="BK201" s="340"/>
      <c r="BL201" s="328">
        <f t="shared" si="47"/>
        <v>0</v>
      </c>
      <c r="BM201" s="328">
        <f t="shared" si="48"/>
        <v>0</v>
      </c>
      <c r="BN201" s="324">
        <f t="shared" si="49"/>
        <v>0</v>
      </c>
      <c r="BO201" s="325">
        <f t="shared" si="50"/>
        <v>0</v>
      </c>
      <c r="BP201" s="326">
        <f t="shared" si="51"/>
        <v>0</v>
      </c>
      <c r="BQ201" s="327">
        <f t="shared" si="52"/>
        <v>0</v>
      </c>
      <c r="BR201" s="329"/>
      <c r="BS201" s="329"/>
      <c r="BT201" s="322"/>
      <c r="BU201" s="408"/>
      <c r="BV201" s="307"/>
      <c r="BW201" s="408"/>
      <c r="BX201" s="322"/>
      <c r="BY201" s="408"/>
      <c r="BZ201" s="307"/>
      <c r="CA201" s="408"/>
      <c r="CB201" s="322"/>
      <c r="CC201" s="408"/>
      <c r="CD201" s="307"/>
      <c r="CE201" s="334"/>
      <c r="CF201" s="322"/>
      <c r="CG201" s="408"/>
      <c r="CH201" s="307"/>
      <c r="CI201" s="408"/>
      <c r="CJ201" s="322"/>
      <c r="CK201" s="408"/>
      <c r="CL201" s="307"/>
      <c r="CM201" s="408"/>
      <c r="CN201" s="322"/>
      <c r="CO201" s="408"/>
      <c r="CP201" s="307"/>
      <c r="CQ201" s="408"/>
      <c r="CR201" s="322"/>
      <c r="CS201" s="408"/>
      <c r="CT201" s="307"/>
      <c r="CU201" s="408"/>
      <c r="CV201" s="322"/>
      <c r="CW201" s="408"/>
      <c r="CX201" s="307"/>
      <c r="CY201" s="408"/>
      <c r="CZ201" s="322"/>
      <c r="DA201" s="408"/>
      <c r="DB201" s="307"/>
      <c r="DC201" s="408"/>
      <c r="DD201" s="322"/>
      <c r="DE201" s="408"/>
      <c r="DF201" s="307"/>
      <c r="DG201" s="408"/>
      <c r="DH201" s="322"/>
      <c r="DI201" s="408"/>
      <c r="DJ201" s="307"/>
      <c r="DK201" s="408"/>
      <c r="DL201" s="322"/>
      <c r="DM201" s="408"/>
      <c r="DN201" s="307"/>
      <c r="DO201" s="408"/>
      <c r="DP201" s="340"/>
      <c r="DQ201" s="328">
        <f t="shared" si="66"/>
        <v>0</v>
      </c>
      <c r="DR201" s="328">
        <f t="shared" si="62"/>
        <v>0</v>
      </c>
      <c r="DS201" s="329"/>
      <c r="DT201" s="329"/>
      <c r="DU201" s="322"/>
      <c r="DV201" s="408"/>
      <c r="DW201" s="307"/>
      <c r="DX201" s="408"/>
      <c r="DY201" s="322"/>
      <c r="DZ201" s="408"/>
      <c r="EA201" s="307"/>
      <c r="EB201" s="408"/>
      <c r="EC201" s="322"/>
      <c r="ED201" s="408"/>
      <c r="EE201" s="307"/>
      <c r="EF201" s="334"/>
      <c r="EG201" s="322"/>
      <c r="EH201" s="408"/>
      <c r="EI201" s="307"/>
      <c r="EJ201" s="408"/>
      <c r="EK201" s="322"/>
      <c r="EL201" s="408"/>
      <c r="EM201" s="307"/>
      <c r="EN201" s="408"/>
      <c r="EO201" s="322"/>
      <c r="EP201" s="408"/>
      <c r="EQ201" s="307"/>
      <c r="ER201" s="408"/>
      <c r="ES201" s="322"/>
      <c r="ET201" s="408"/>
      <c r="EU201" s="307"/>
      <c r="EV201" s="408"/>
      <c r="EW201" s="322"/>
      <c r="EX201" s="408"/>
      <c r="EY201" s="307"/>
      <c r="EZ201" s="408"/>
      <c r="FA201" s="322"/>
      <c r="FB201" s="408"/>
      <c r="FC201" s="307"/>
      <c r="FD201" s="408"/>
      <c r="FE201" s="322"/>
      <c r="FF201" s="408"/>
      <c r="FG201" s="307"/>
      <c r="FH201" s="408"/>
      <c r="FI201" s="322"/>
      <c r="FJ201" s="408"/>
      <c r="FK201" s="307"/>
      <c r="FL201" s="408"/>
      <c r="FM201" s="322"/>
      <c r="FN201" s="408"/>
      <c r="FO201" s="307"/>
      <c r="FP201" s="408"/>
      <c r="FQ201" s="340"/>
      <c r="FR201" s="328">
        <f t="shared" si="67"/>
        <v>0</v>
      </c>
      <c r="FS201" s="328">
        <f t="shared" si="64"/>
        <v>0</v>
      </c>
      <c r="FT201" s="361"/>
    </row>
    <row r="202" spans="1:176" outlineLevel="2">
      <c r="A202" s="413" t="s">
        <v>470</v>
      </c>
      <c r="B202" s="444" t="s">
        <v>134</v>
      </c>
      <c r="C202" s="592" t="s">
        <v>72</v>
      </c>
      <c r="D202" s="580" t="s">
        <v>32</v>
      </c>
      <c r="E202" s="414">
        <f>IF(ISBLANK(G202),"",IF($A$6:$A$330=$A202,COUNTIF($A$6:A202,$A202),""))</f>
        <v>8</v>
      </c>
      <c r="F202" s="284">
        <v>1</v>
      </c>
      <c r="G202" s="304">
        <v>4630840310</v>
      </c>
      <c r="H202" s="602" t="s">
        <v>135</v>
      </c>
      <c r="I202" s="616">
        <f>643.7/НДС</f>
        <v>527.62295081967216</v>
      </c>
      <c r="J202" s="616"/>
      <c r="K202" s="333"/>
      <c r="L202" s="616"/>
      <c r="M202" s="305"/>
      <c r="N202" s="305">
        <f t="shared" si="46"/>
        <v>2</v>
      </c>
      <c r="O202" s="322"/>
      <c r="P202" s="408"/>
      <c r="Q202" s="307"/>
      <c r="R202" s="408"/>
      <c r="S202" s="322"/>
      <c r="T202" s="408"/>
      <c r="U202" s="307"/>
      <c r="V202" s="408"/>
      <c r="W202" s="322"/>
      <c r="X202" s="408"/>
      <c r="Y202" s="307"/>
      <c r="Z202" s="334"/>
      <c r="AA202" s="322"/>
      <c r="AB202" s="408"/>
      <c r="AC202" s="307"/>
      <c r="AD202" s="408"/>
      <c r="AE202" s="322"/>
      <c r="AF202" s="408"/>
      <c r="AG202" s="307"/>
      <c r="AH202" s="408"/>
      <c r="AI202" s="322"/>
      <c r="AJ202" s="408">
        <f>10</f>
        <v>10</v>
      </c>
      <c r="AK202" s="307"/>
      <c r="AL202" s="408"/>
      <c r="AM202" s="322"/>
      <c r="AN202" s="408"/>
      <c r="AO202" s="307"/>
      <c r="AP202" s="408"/>
      <c r="AQ202" s="322"/>
      <c r="AR202" s="408"/>
      <c r="AS202" s="307"/>
      <c r="AT202" s="408"/>
      <c r="AU202" s="322"/>
      <c r="AV202" s="408"/>
      <c r="AW202" s="307"/>
      <c r="AX202" s="408"/>
      <c r="AY202" s="322"/>
      <c r="AZ202" s="408"/>
      <c r="BA202" s="307"/>
      <c r="BB202" s="408"/>
      <c r="BC202" s="322"/>
      <c r="BD202" s="408"/>
      <c r="BE202" s="307"/>
      <c r="BF202" s="408"/>
      <c r="BG202" s="322"/>
      <c r="BH202" s="408"/>
      <c r="BI202" s="307"/>
      <c r="BJ202" s="408"/>
      <c r="BK202" s="340"/>
      <c r="BL202" s="328">
        <f t="shared" si="47"/>
        <v>0</v>
      </c>
      <c r="BM202" s="328">
        <f t="shared" si="48"/>
        <v>0</v>
      </c>
      <c r="BN202" s="324">
        <f t="shared" si="49"/>
        <v>10</v>
      </c>
      <c r="BO202" s="325">
        <f t="shared" si="50"/>
        <v>5276.2295081967213</v>
      </c>
      <c r="BP202" s="326">
        <f t="shared" si="51"/>
        <v>0</v>
      </c>
      <c r="BQ202" s="327">
        <f t="shared" si="52"/>
        <v>0</v>
      </c>
      <c r="BR202" s="329"/>
      <c r="BS202" s="329"/>
      <c r="BT202" s="322"/>
      <c r="BU202" s="408"/>
      <c r="BV202" s="307"/>
      <c r="BW202" s="408"/>
      <c r="BX202" s="322"/>
      <c r="BY202" s="408"/>
      <c r="BZ202" s="307"/>
      <c r="CA202" s="408"/>
      <c r="CB202" s="322"/>
      <c r="CC202" s="408"/>
      <c r="CD202" s="307"/>
      <c r="CE202" s="334"/>
      <c r="CF202" s="322"/>
      <c r="CG202" s="408"/>
      <c r="CH202" s="307"/>
      <c r="CI202" s="408"/>
      <c r="CJ202" s="322"/>
      <c r="CK202" s="408"/>
      <c r="CL202" s="307"/>
      <c r="CM202" s="408"/>
      <c r="CN202" s="322"/>
      <c r="CO202" s="408"/>
      <c r="CP202" s="307"/>
      <c r="CQ202" s="408"/>
      <c r="CR202" s="322"/>
      <c r="CS202" s="408"/>
      <c r="CT202" s="307"/>
      <c r="CU202" s="408"/>
      <c r="CV202" s="322"/>
      <c r="CW202" s="408"/>
      <c r="CX202" s="307"/>
      <c r="CY202" s="408"/>
      <c r="CZ202" s="322"/>
      <c r="DA202" s="408"/>
      <c r="DB202" s="307"/>
      <c r="DC202" s="408"/>
      <c r="DD202" s="322"/>
      <c r="DE202" s="408"/>
      <c r="DF202" s="307"/>
      <c r="DG202" s="408"/>
      <c r="DH202" s="322"/>
      <c r="DI202" s="408"/>
      <c r="DJ202" s="307"/>
      <c r="DK202" s="408"/>
      <c r="DL202" s="322"/>
      <c r="DM202" s="408"/>
      <c r="DN202" s="307"/>
      <c r="DO202" s="408"/>
      <c r="DP202" s="340"/>
      <c r="DQ202" s="328"/>
      <c r="DR202" s="328"/>
      <c r="DS202" s="329"/>
      <c r="DT202" s="329"/>
      <c r="DU202" s="322"/>
      <c r="DV202" s="408"/>
      <c r="DW202" s="307"/>
      <c r="DX202" s="408"/>
      <c r="DY202" s="322"/>
      <c r="DZ202" s="408"/>
      <c r="EA202" s="307"/>
      <c r="EB202" s="408"/>
      <c r="EC202" s="322"/>
      <c r="ED202" s="408"/>
      <c r="EE202" s="307"/>
      <c r="EF202" s="334"/>
      <c r="EG202" s="322"/>
      <c r="EH202" s="408"/>
      <c r="EI202" s="307"/>
      <c r="EJ202" s="408"/>
      <c r="EK202" s="322"/>
      <c r="EL202" s="408"/>
      <c r="EM202" s="307"/>
      <c r="EN202" s="408"/>
      <c r="EO202" s="322"/>
      <c r="EP202" s="408"/>
      <c r="EQ202" s="307"/>
      <c r="ER202" s="408"/>
      <c r="ES202" s="322"/>
      <c r="ET202" s="408"/>
      <c r="EU202" s="307"/>
      <c r="EV202" s="408"/>
      <c r="EW202" s="322"/>
      <c r="EX202" s="408"/>
      <c r="EY202" s="307"/>
      <c r="EZ202" s="408"/>
      <c r="FA202" s="322"/>
      <c r="FB202" s="408"/>
      <c r="FC202" s="307"/>
      <c r="FD202" s="408"/>
      <c r="FE202" s="322"/>
      <c r="FF202" s="408"/>
      <c r="FG202" s="307"/>
      <c r="FH202" s="408"/>
      <c r="FI202" s="322"/>
      <c r="FJ202" s="408"/>
      <c r="FK202" s="307"/>
      <c r="FL202" s="408"/>
      <c r="FM202" s="322"/>
      <c r="FN202" s="408"/>
      <c r="FO202" s="307"/>
      <c r="FP202" s="408"/>
      <c r="FQ202" s="340"/>
      <c r="FR202" s="328"/>
      <c r="FS202" s="328"/>
      <c r="FT202" s="361"/>
    </row>
    <row r="203" spans="1:176" outlineLevel="2">
      <c r="A203" s="411" t="s">
        <v>470</v>
      </c>
      <c r="B203" s="448" t="s">
        <v>134</v>
      </c>
      <c r="C203" s="594" t="s">
        <v>72</v>
      </c>
      <c r="D203" s="589" t="s">
        <v>32</v>
      </c>
      <c r="E203" s="412">
        <f>IF(ISBLANK(G203),"",IF($A$6:$A$330=$A203,COUNTIF($A$6:A203,$A203),""))</f>
        <v>9</v>
      </c>
      <c r="F203" s="10">
        <v>1</v>
      </c>
      <c r="G203" s="55">
        <v>4640061000</v>
      </c>
      <c r="H203" s="54" t="s">
        <v>93</v>
      </c>
      <c r="I203" s="617">
        <f>364/НДС_20</f>
        <v>303.33333333333337</v>
      </c>
      <c r="J203" s="617"/>
      <c r="K203" s="113"/>
      <c r="L203" s="617" t="str">
        <f t="shared" si="65"/>
        <v/>
      </c>
      <c r="M203" s="102"/>
      <c r="N203" s="305">
        <f t="shared" si="46"/>
        <v>2</v>
      </c>
      <c r="O203" s="23">
        <v>10</v>
      </c>
      <c r="P203" s="24"/>
      <c r="Q203" s="25"/>
      <c r="R203" s="24"/>
      <c r="S203" s="23">
        <v>10</v>
      </c>
      <c r="T203" s="24"/>
      <c r="U203" s="25"/>
      <c r="V203" s="24"/>
      <c r="W203" s="23">
        <v>10</v>
      </c>
      <c r="X203" s="24"/>
      <c r="Y203" s="25"/>
      <c r="Z203" s="24"/>
      <c r="AA203" s="23">
        <v>10</v>
      </c>
      <c r="AB203" s="24"/>
      <c r="AC203" s="25"/>
      <c r="AD203" s="24"/>
      <c r="AE203" s="23">
        <v>10</v>
      </c>
      <c r="AF203" s="24"/>
      <c r="AG203" s="25"/>
      <c r="AH203" s="24"/>
      <c r="AI203" s="23">
        <v>10</v>
      </c>
      <c r="AJ203" s="24"/>
      <c r="AK203" s="25"/>
      <c r="AL203" s="24"/>
      <c r="AM203" s="23">
        <v>10</v>
      </c>
      <c r="AN203" s="24">
        <v>10</v>
      </c>
      <c r="AO203" s="25"/>
      <c r="AP203" s="24"/>
      <c r="AQ203" s="23">
        <v>10</v>
      </c>
      <c r="AR203" s="24">
        <v>10</v>
      </c>
      <c r="AS203" s="25"/>
      <c r="AT203" s="24"/>
      <c r="AU203" s="23">
        <v>10</v>
      </c>
      <c r="AV203" s="24">
        <v>10</v>
      </c>
      <c r="AW203" s="25"/>
      <c r="AX203" s="24"/>
      <c r="AY203" s="23">
        <v>10</v>
      </c>
      <c r="AZ203" s="24">
        <v>10</v>
      </c>
      <c r="BA203" s="25"/>
      <c r="BB203" s="24"/>
      <c r="BC203" s="23">
        <v>10</v>
      </c>
      <c r="BD203" s="24">
        <v>10</v>
      </c>
      <c r="BE203" s="25"/>
      <c r="BF203" s="24"/>
      <c r="BG203" s="23">
        <v>10</v>
      </c>
      <c r="BH203" s="24">
        <v>10</v>
      </c>
      <c r="BI203" s="25"/>
      <c r="BJ203" s="24"/>
      <c r="BK203" s="340"/>
      <c r="BL203" s="32">
        <f t="shared" si="47"/>
        <v>120</v>
      </c>
      <c r="BM203" s="32">
        <f t="shared" si="48"/>
        <v>36400.000000000007</v>
      </c>
      <c r="BN203" s="28">
        <f t="shared" si="49"/>
        <v>60</v>
      </c>
      <c r="BO203" s="29">
        <f t="shared" si="50"/>
        <v>18200.000000000004</v>
      </c>
      <c r="BP203" s="30">
        <f t="shared" si="51"/>
        <v>0</v>
      </c>
      <c r="BQ203" s="31">
        <f t="shared" si="52"/>
        <v>0</v>
      </c>
      <c r="BR203" s="11"/>
      <c r="BS203" s="329"/>
      <c r="BT203" s="23">
        <v>10</v>
      </c>
      <c r="BU203" s="24"/>
      <c r="BV203" s="25"/>
      <c r="BW203" s="24"/>
      <c r="BX203" s="23">
        <v>10</v>
      </c>
      <c r="BY203" s="24"/>
      <c r="BZ203" s="25"/>
      <c r="CA203" s="24"/>
      <c r="CB203" s="23">
        <v>10</v>
      </c>
      <c r="CC203" s="24"/>
      <c r="CD203" s="25"/>
      <c r="CE203" s="24"/>
      <c r="CF203" s="23">
        <v>10</v>
      </c>
      <c r="CG203" s="24"/>
      <c r="CH203" s="25"/>
      <c r="CI203" s="24"/>
      <c r="CJ203" s="23">
        <v>10</v>
      </c>
      <c r="CK203" s="24"/>
      <c r="CL203" s="25"/>
      <c r="CM203" s="24"/>
      <c r="CN203" s="23">
        <v>10</v>
      </c>
      <c r="CO203" s="24"/>
      <c r="CP203" s="25"/>
      <c r="CQ203" s="24"/>
      <c r="CR203" s="23">
        <v>10</v>
      </c>
      <c r="CS203" s="24"/>
      <c r="CT203" s="25"/>
      <c r="CU203" s="24"/>
      <c r="CV203" s="23">
        <v>10</v>
      </c>
      <c r="CW203" s="24"/>
      <c r="CX203" s="25"/>
      <c r="CY203" s="24"/>
      <c r="CZ203" s="23">
        <v>10</v>
      </c>
      <c r="DA203" s="24"/>
      <c r="DB203" s="25"/>
      <c r="DC203" s="24"/>
      <c r="DD203" s="23">
        <v>10</v>
      </c>
      <c r="DE203" s="24"/>
      <c r="DF203" s="25"/>
      <c r="DG203" s="24"/>
      <c r="DH203" s="23">
        <v>10</v>
      </c>
      <c r="DI203" s="24"/>
      <c r="DJ203" s="25"/>
      <c r="DK203" s="24"/>
      <c r="DL203" s="23">
        <v>10</v>
      </c>
      <c r="DM203" s="24"/>
      <c r="DN203" s="25"/>
      <c r="DO203" s="24"/>
      <c r="DP203" s="340"/>
      <c r="DQ203" s="32">
        <f t="shared" si="66"/>
        <v>120</v>
      </c>
      <c r="DR203" s="32">
        <f t="shared" si="62"/>
        <v>36400.000000000007</v>
      </c>
      <c r="DS203" s="11"/>
      <c r="DT203" s="329"/>
      <c r="DU203" s="23">
        <v>10</v>
      </c>
      <c r="DV203" s="24"/>
      <c r="DW203" s="25"/>
      <c r="DX203" s="24"/>
      <c r="DY203" s="23">
        <v>10</v>
      </c>
      <c r="DZ203" s="24"/>
      <c r="EA203" s="25"/>
      <c r="EB203" s="24"/>
      <c r="EC203" s="23">
        <v>10</v>
      </c>
      <c r="ED203" s="24"/>
      <c r="EE203" s="25"/>
      <c r="EF203" s="24"/>
      <c r="EG203" s="23">
        <v>10</v>
      </c>
      <c r="EH203" s="24"/>
      <c r="EI203" s="25"/>
      <c r="EJ203" s="24"/>
      <c r="EK203" s="23">
        <v>10</v>
      </c>
      <c r="EL203" s="24"/>
      <c r="EM203" s="25"/>
      <c r="EN203" s="24"/>
      <c r="EO203" s="23">
        <v>10</v>
      </c>
      <c r="EP203" s="24"/>
      <c r="EQ203" s="25"/>
      <c r="ER203" s="24"/>
      <c r="ES203" s="23">
        <v>10</v>
      </c>
      <c r="ET203" s="24"/>
      <c r="EU203" s="25"/>
      <c r="EV203" s="24"/>
      <c r="EW203" s="23">
        <v>10</v>
      </c>
      <c r="EX203" s="24"/>
      <c r="EY203" s="25"/>
      <c r="EZ203" s="24"/>
      <c r="FA203" s="23">
        <v>10</v>
      </c>
      <c r="FB203" s="24"/>
      <c r="FC203" s="25"/>
      <c r="FD203" s="24"/>
      <c r="FE203" s="23">
        <v>10</v>
      </c>
      <c r="FF203" s="24"/>
      <c r="FG203" s="25"/>
      <c r="FH203" s="24"/>
      <c r="FI203" s="23">
        <v>10</v>
      </c>
      <c r="FJ203" s="24"/>
      <c r="FK203" s="25"/>
      <c r="FL203" s="24"/>
      <c r="FM203" s="23">
        <v>10</v>
      </c>
      <c r="FN203" s="24"/>
      <c r="FO203" s="25"/>
      <c r="FP203" s="24"/>
      <c r="FQ203" s="340"/>
      <c r="FR203" s="32">
        <f t="shared" si="67"/>
        <v>120</v>
      </c>
      <c r="FS203" s="32">
        <f t="shared" si="64"/>
        <v>36400.000000000007</v>
      </c>
      <c r="FT203" s="361"/>
    </row>
    <row r="204" spans="1:176" outlineLevel="2">
      <c r="A204" s="411" t="s">
        <v>470</v>
      </c>
      <c r="B204" s="448" t="s">
        <v>134</v>
      </c>
      <c r="C204" s="594" t="s">
        <v>72</v>
      </c>
      <c r="D204" s="589" t="s">
        <v>32</v>
      </c>
      <c r="E204" s="412">
        <f>IF(ISBLANK(G204),"",IF($A$6:$A$330=$A204,COUNTIF($A$6:A204,$A204),""))</f>
        <v>10</v>
      </c>
      <c r="F204" s="10">
        <v>1</v>
      </c>
      <c r="G204" s="55">
        <v>4630320200</v>
      </c>
      <c r="H204" s="54" t="s">
        <v>80</v>
      </c>
      <c r="I204" s="617">
        <f>301.19/НДС_20</f>
        <v>250.99166666666667</v>
      </c>
      <c r="J204" s="617"/>
      <c r="K204" s="113"/>
      <c r="L204" s="617" t="str">
        <f t="shared" si="65"/>
        <v/>
      </c>
      <c r="M204" s="102"/>
      <c r="N204" s="305">
        <f t="shared" si="46"/>
        <v>2</v>
      </c>
      <c r="O204" s="23">
        <v>10</v>
      </c>
      <c r="P204" s="24"/>
      <c r="Q204" s="25"/>
      <c r="R204" s="24"/>
      <c r="S204" s="23">
        <v>10</v>
      </c>
      <c r="T204" s="24"/>
      <c r="U204" s="25"/>
      <c r="V204" s="24"/>
      <c r="W204" s="23">
        <v>10</v>
      </c>
      <c r="X204" s="24"/>
      <c r="Y204" s="25"/>
      <c r="Z204" s="24"/>
      <c r="AA204" s="23">
        <v>10</v>
      </c>
      <c r="AB204" s="24"/>
      <c r="AC204" s="25"/>
      <c r="AD204" s="24"/>
      <c r="AE204" s="23">
        <v>10</v>
      </c>
      <c r="AF204" s="24"/>
      <c r="AG204" s="25"/>
      <c r="AH204" s="24"/>
      <c r="AI204" s="23">
        <v>10</v>
      </c>
      <c r="AJ204" s="24"/>
      <c r="AK204" s="25"/>
      <c r="AL204" s="24"/>
      <c r="AM204" s="23">
        <v>10</v>
      </c>
      <c r="AN204" s="24">
        <v>10</v>
      </c>
      <c r="AO204" s="25"/>
      <c r="AP204" s="24"/>
      <c r="AQ204" s="23">
        <v>10</v>
      </c>
      <c r="AR204" s="24">
        <v>10</v>
      </c>
      <c r="AS204" s="25"/>
      <c r="AT204" s="24"/>
      <c r="AU204" s="23">
        <v>10</v>
      </c>
      <c r="AV204" s="24">
        <v>10</v>
      </c>
      <c r="AW204" s="25"/>
      <c r="AX204" s="24"/>
      <c r="AY204" s="23">
        <v>10</v>
      </c>
      <c r="AZ204" s="24">
        <v>10</v>
      </c>
      <c r="BA204" s="25"/>
      <c r="BB204" s="24"/>
      <c r="BC204" s="23">
        <v>10</v>
      </c>
      <c r="BD204" s="24">
        <v>10</v>
      </c>
      <c r="BE204" s="25"/>
      <c r="BF204" s="24"/>
      <c r="BG204" s="23">
        <v>10</v>
      </c>
      <c r="BH204" s="24">
        <v>10</v>
      </c>
      <c r="BI204" s="25"/>
      <c r="BJ204" s="24"/>
      <c r="BK204" s="340"/>
      <c r="BL204" s="32">
        <f t="shared" si="47"/>
        <v>120</v>
      </c>
      <c r="BM204" s="32">
        <f t="shared" si="48"/>
        <v>30119</v>
      </c>
      <c r="BN204" s="28">
        <f t="shared" si="49"/>
        <v>60</v>
      </c>
      <c r="BO204" s="29">
        <f t="shared" si="50"/>
        <v>15059.5</v>
      </c>
      <c r="BP204" s="30">
        <f t="shared" si="51"/>
        <v>0</v>
      </c>
      <c r="BQ204" s="31">
        <f t="shared" si="52"/>
        <v>0</v>
      </c>
      <c r="BR204" s="11"/>
      <c r="BS204" s="329"/>
      <c r="BT204" s="23">
        <v>10</v>
      </c>
      <c r="BU204" s="24"/>
      <c r="BV204" s="25"/>
      <c r="BW204" s="24"/>
      <c r="BX204" s="23">
        <v>10</v>
      </c>
      <c r="BY204" s="24"/>
      <c r="BZ204" s="25"/>
      <c r="CA204" s="24"/>
      <c r="CB204" s="23">
        <v>10</v>
      </c>
      <c r="CC204" s="24"/>
      <c r="CD204" s="25"/>
      <c r="CE204" s="24"/>
      <c r="CF204" s="23">
        <v>10</v>
      </c>
      <c r="CG204" s="24"/>
      <c r="CH204" s="25"/>
      <c r="CI204" s="24"/>
      <c r="CJ204" s="23">
        <v>10</v>
      </c>
      <c r="CK204" s="24"/>
      <c r="CL204" s="25"/>
      <c r="CM204" s="24"/>
      <c r="CN204" s="23">
        <v>10</v>
      </c>
      <c r="CO204" s="24"/>
      <c r="CP204" s="25"/>
      <c r="CQ204" s="24"/>
      <c r="CR204" s="23">
        <v>10</v>
      </c>
      <c r="CS204" s="24"/>
      <c r="CT204" s="25"/>
      <c r="CU204" s="24"/>
      <c r="CV204" s="23">
        <v>10</v>
      </c>
      <c r="CW204" s="24"/>
      <c r="CX204" s="25"/>
      <c r="CY204" s="24"/>
      <c r="CZ204" s="23">
        <v>10</v>
      </c>
      <c r="DA204" s="24"/>
      <c r="DB204" s="25"/>
      <c r="DC204" s="24"/>
      <c r="DD204" s="23">
        <v>10</v>
      </c>
      <c r="DE204" s="24"/>
      <c r="DF204" s="25"/>
      <c r="DG204" s="24"/>
      <c r="DH204" s="23">
        <v>10</v>
      </c>
      <c r="DI204" s="24"/>
      <c r="DJ204" s="25"/>
      <c r="DK204" s="24"/>
      <c r="DL204" s="23">
        <v>10</v>
      </c>
      <c r="DM204" s="24"/>
      <c r="DN204" s="25"/>
      <c r="DO204" s="24"/>
      <c r="DP204" s="340"/>
      <c r="DQ204" s="32">
        <f t="shared" si="66"/>
        <v>120</v>
      </c>
      <c r="DR204" s="32">
        <f t="shared" si="62"/>
        <v>30119</v>
      </c>
      <c r="DS204" s="11"/>
      <c r="DT204" s="329"/>
      <c r="DU204" s="23">
        <v>10</v>
      </c>
      <c r="DV204" s="24"/>
      <c r="DW204" s="25"/>
      <c r="DX204" s="24"/>
      <c r="DY204" s="23">
        <v>10</v>
      </c>
      <c r="DZ204" s="24"/>
      <c r="EA204" s="25"/>
      <c r="EB204" s="24"/>
      <c r="EC204" s="23">
        <v>10</v>
      </c>
      <c r="ED204" s="24"/>
      <c r="EE204" s="25"/>
      <c r="EF204" s="24"/>
      <c r="EG204" s="23">
        <v>10</v>
      </c>
      <c r="EH204" s="24"/>
      <c r="EI204" s="25"/>
      <c r="EJ204" s="24"/>
      <c r="EK204" s="23">
        <v>10</v>
      </c>
      <c r="EL204" s="24"/>
      <c r="EM204" s="25"/>
      <c r="EN204" s="24"/>
      <c r="EO204" s="23">
        <v>10</v>
      </c>
      <c r="EP204" s="24"/>
      <c r="EQ204" s="25"/>
      <c r="ER204" s="24"/>
      <c r="ES204" s="23">
        <v>10</v>
      </c>
      <c r="ET204" s="24"/>
      <c r="EU204" s="25"/>
      <c r="EV204" s="24"/>
      <c r="EW204" s="23">
        <v>10</v>
      </c>
      <c r="EX204" s="24"/>
      <c r="EY204" s="25"/>
      <c r="EZ204" s="24"/>
      <c r="FA204" s="23">
        <v>10</v>
      </c>
      <c r="FB204" s="24"/>
      <c r="FC204" s="25"/>
      <c r="FD204" s="24"/>
      <c r="FE204" s="23">
        <v>10</v>
      </c>
      <c r="FF204" s="24"/>
      <c r="FG204" s="25"/>
      <c r="FH204" s="24"/>
      <c r="FI204" s="23">
        <v>10</v>
      </c>
      <c r="FJ204" s="24"/>
      <c r="FK204" s="25"/>
      <c r="FL204" s="24"/>
      <c r="FM204" s="23">
        <v>10</v>
      </c>
      <c r="FN204" s="24"/>
      <c r="FO204" s="25"/>
      <c r="FP204" s="24"/>
      <c r="FQ204" s="340"/>
      <c r="FR204" s="32">
        <f t="shared" si="67"/>
        <v>120</v>
      </c>
      <c r="FS204" s="32">
        <f t="shared" si="64"/>
        <v>30119</v>
      </c>
      <c r="FT204" s="361"/>
    </row>
    <row r="205" spans="1:176" outlineLevel="2">
      <c r="A205" s="411" t="s">
        <v>470</v>
      </c>
      <c r="B205" s="448" t="s">
        <v>134</v>
      </c>
      <c r="C205" s="594" t="s">
        <v>72</v>
      </c>
      <c r="D205" s="589" t="s">
        <v>32</v>
      </c>
      <c r="E205" s="412">
        <f>IF(ISBLANK(G205),"",IF($A$6:$A$330=$A205,COUNTIF($A$6:A205,$A205),""))</f>
        <v>11</v>
      </c>
      <c r="F205" s="10">
        <v>1</v>
      </c>
      <c r="G205" s="55">
        <v>4334010030</v>
      </c>
      <c r="H205" s="54" t="s">
        <v>81</v>
      </c>
      <c r="I205" s="617">
        <f>47.33/НДС_20</f>
        <v>39.44166666666667</v>
      </c>
      <c r="J205" s="617"/>
      <c r="K205" s="113"/>
      <c r="L205" s="617" t="str">
        <f t="shared" si="65"/>
        <v/>
      </c>
      <c r="M205" s="102"/>
      <c r="N205" s="305">
        <f t="shared" si="46"/>
        <v>2</v>
      </c>
      <c r="O205" s="23">
        <v>10</v>
      </c>
      <c r="P205" s="24"/>
      <c r="Q205" s="25"/>
      <c r="R205" s="24"/>
      <c r="S205" s="23">
        <v>10</v>
      </c>
      <c r="T205" s="24"/>
      <c r="U205" s="25"/>
      <c r="V205" s="24"/>
      <c r="W205" s="23">
        <v>10</v>
      </c>
      <c r="X205" s="24"/>
      <c r="Y205" s="25"/>
      <c r="Z205" s="24"/>
      <c r="AA205" s="23">
        <v>10</v>
      </c>
      <c r="AB205" s="24"/>
      <c r="AC205" s="25"/>
      <c r="AD205" s="24"/>
      <c r="AE205" s="23">
        <v>10</v>
      </c>
      <c r="AF205" s="24"/>
      <c r="AG205" s="25"/>
      <c r="AH205" s="24"/>
      <c r="AI205" s="23">
        <v>10</v>
      </c>
      <c r="AJ205" s="24"/>
      <c r="AK205" s="25"/>
      <c r="AL205" s="24"/>
      <c r="AM205" s="23">
        <v>10</v>
      </c>
      <c r="AN205" s="24">
        <v>10</v>
      </c>
      <c r="AO205" s="25"/>
      <c r="AP205" s="24"/>
      <c r="AQ205" s="23">
        <v>10</v>
      </c>
      <c r="AR205" s="24">
        <v>10</v>
      </c>
      <c r="AS205" s="25"/>
      <c r="AT205" s="24"/>
      <c r="AU205" s="23">
        <v>10</v>
      </c>
      <c r="AV205" s="24">
        <v>10</v>
      </c>
      <c r="AW205" s="25"/>
      <c r="AX205" s="24"/>
      <c r="AY205" s="23">
        <v>10</v>
      </c>
      <c r="AZ205" s="24">
        <v>10</v>
      </c>
      <c r="BA205" s="25"/>
      <c r="BB205" s="24"/>
      <c r="BC205" s="23">
        <v>10</v>
      </c>
      <c r="BD205" s="24">
        <v>10</v>
      </c>
      <c r="BE205" s="25"/>
      <c r="BF205" s="24"/>
      <c r="BG205" s="23">
        <v>10</v>
      </c>
      <c r="BH205" s="24">
        <v>10</v>
      </c>
      <c r="BI205" s="25"/>
      <c r="BJ205" s="24"/>
      <c r="BK205" s="340"/>
      <c r="BL205" s="32">
        <f t="shared" si="47"/>
        <v>120</v>
      </c>
      <c r="BM205" s="32">
        <f t="shared" si="48"/>
        <v>4733</v>
      </c>
      <c r="BN205" s="28">
        <f t="shared" si="49"/>
        <v>60</v>
      </c>
      <c r="BO205" s="29">
        <f t="shared" si="50"/>
        <v>2366.5</v>
      </c>
      <c r="BP205" s="30">
        <f t="shared" si="51"/>
        <v>0</v>
      </c>
      <c r="BQ205" s="31">
        <f t="shared" si="52"/>
        <v>0</v>
      </c>
      <c r="BR205" s="11"/>
      <c r="BS205" s="329"/>
      <c r="BT205" s="23">
        <v>10</v>
      </c>
      <c r="BU205" s="24"/>
      <c r="BV205" s="25"/>
      <c r="BW205" s="24"/>
      <c r="BX205" s="23">
        <v>10</v>
      </c>
      <c r="BY205" s="24"/>
      <c r="BZ205" s="25"/>
      <c r="CA205" s="24"/>
      <c r="CB205" s="23">
        <v>10</v>
      </c>
      <c r="CC205" s="24"/>
      <c r="CD205" s="25"/>
      <c r="CE205" s="24"/>
      <c r="CF205" s="23">
        <v>10</v>
      </c>
      <c r="CG205" s="24"/>
      <c r="CH205" s="25"/>
      <c r="CI205" s="24"/>
      <c r="CJ205" s="23">
        <v>10</v>
      </c>
      <c r="CK205" s="24"/>
      <c r="CL205" s="25"/>
      <c r="CM205" s="24"/>
      <c r="CN205" s="23">
        <v>10</v>
      </c>
      <c r="CO205" s="24"/>
      <c r="CP205" s="25"/>
      <c r="CQ205" s="24"/>
      <c r="CR205" s="23">
        <v>10</v>
      </c>
      <c r="CS205" s="24"/>
      <c r="CT205" s="25"/>
      <c r="CU205" s="24"/>
      <c r="CV205" s="23">
        <v>10</v>
      </c>
      <c r="CW205" s="24"/>
      <c r="CX205" s="25"/>
      <c r="CY205" s="24"/>
      <c r="CZ205" s="23">
        <v>10</v>
      </c>
      <c r="DA205" s="24"/>
      <c r="DB205" s="25"/>
      <c r="DC205" s="24"/>
      <c r="DD205" s="23">
        <v>10</v>
      </c>
      <c r="DE205" s="24"/>
      <c r="DF205" s="25"/>
      <c r="DG205" s="24"/>
      <c r="DH205" s="23">
        <v>10</v>
      </c>
      <c r="DI205" s="24"/>
      <c r="DJ205" s="25"/>
      <c r="DK205" s="24"/>
      <c r="DL205" s="23">
        <v>10</v>
      </c>
      <c r="DM205" s="24"/>
      <c r="DN205" s="25"/>
      <c r="DO205" s="24"/>
      <c r="DP205" s="340"/>
      <c r="DQ205" s="32">
        <f t="shared" si="66"/>
        <v>120</v>
      </c>
      <c r="DR205" s="32">
        <f t="shared" si="62"/>
        <v>4733</v>
      </c>
      <c r="DS205" s="11"/>
      <c r="DT205" s="329"/>
      <c r="DU205" s="23">
        <v>10</v>
      </c>
      <c r="DV205" s="24"/>
      <c r="DW205" s="25"/>
      <c r="DX205" s="24"/>
      <c r="DY205" s="23">
        <v>10</v>
      </c>
      <c r="DZ205" s="24"/>
      <c r="EA205" s="25"/>
      <c r="EB205" s="24"/>
      <c r="EC205" s="23">
        <v>10</v>
      </c>
      <c r="ED205" s="24"/>
      <c r="EE205" s="25"/>
      <c r="EF205" s="24"/>
      <c r="EG205" s="23">
        <v>10</v>
      </c>
      <c r="EH205" s="24"/>
      <c r="EI205" s="25"/>
      <c r="EJ205" s="24"/>
      <c r="EK205" s="23">
        <v>10</v>
      </c>
      <c r="EL205" s="24"/>
      <c r="EM205" s="25"/>
      <c r="EN205" s="24"/>
      <c r="EO205" s="23">
        <v>10</v>
      </c>
      <c r="EP205" s="24"/>
      <c r="EQ205" s="25"/>
      <c r="ER205" s="24"/>
      <c r="ES205" s="23">
        <v>10</v>
      </c>
      <c r="ET205" s="24"/>
      <c r="EU205" s="25"/>
      <c r="EV205" s="24"/>
      <c r="EW205" s="23">
        <v>10</v>
      </c>
      <c r="EX205" s="24"/>
      <c r="EY205" s="25"/>
      <c r="EZ205" s="24"/>
      <c r="FA205" s="23">
        <v>10</v>
      </c>
      <c r="FB205" s="24"/>
      <c r="FC205" s="25"/>
      <c r="FD205" s="24"/>
      <c r="FE205" s="23">
        <v>10</v>
      </c>
      <c r="FF205" s="24"/>
      <c r="FG205" s="25"/>
      <c r="FH205" s="24"/>
      <c r="FI205" s="23">
        <v>10</v>
      </c>
      <c r="FJ205" s="24"/>
      <c r="FK205" s="25"/>
      <c r="FL205" s="24"/>
      <c r="FM205" s="23">
        <v>10</v>
      </c>
      <c r="FN205" s="24"/>
      <c r="FO205" s="25"/>
      <c r="FP205" s="24"/>
      <c r="FQ205" s="340"/>
      <c r="FR205" s="32">
        <f t="shared" si="67"/>
        <v>120</v>
      </c>
      <c r="FS205" s="32">
        <f t="shared" si="64"/>
        <v>4733</v>
      </c>
      <c r="FT205" s="361"/>
    </row>
    <row r="206" spans="1:176" outlineLevel="2">
      <c r="A206" s="411" t="s">
        <v>470</v>
      </c>
      <c r="B206" s="448" t="s">
        <v>134</v>
      </c>
      <c r="C206" s="594" t="s">
        <v>72</v>
      </c>
      <c r="D206" s="589" t="s">
        <v>32</v>
      </c>
      <c r="E206" s="412">
        <f>IF(ISBLANK(G206),"",IF($A$6:$A$330=$A206,COUNTIF($A$6:A206,$A206),""))</f>
        <v>12</v>
      </c>
      <c r="F206" s="10">
        <v>1</v>
      </c>
      <c r="G206" s="55">
        <v>4341001250</v>
      </c>
      <c r="H206" s="54" t="s">
        <v>92</v>
      </c>
      <c r="I206" s="617">
        <f>111.65/НДС_20</f>
        <v>93.041666666666671</v>
      </c>
      <c r="J206" s="617"/>
      <c r="K206" s="113"/>
      <c r="L206" s="617" t="str">
        <f t="shared" si="65"/>
        <v/>
      </c>
      <c r="M206" s="102"/>
      <c r="N206" s="305">
        <f t="shared" si="46"/>
        <v>2</v>
      </c>
      <c r="O206" s="23">
        <v>10</v>
      </c>
      <c r="P206" s="24"/>
      <c r="Q206" s="25"/>
      <c r="R206" s="24"/>
      <c r="S206" s="23">
        <v>10</v>
      </c>
      <c r="T206" s="24"/>
      <c r="U206" s="25"/>
      <c r="V206" s="24"/>
      <c r="W206" s="23">
        <v>10</v>
      </c>
      <c r="X206" s="24"/>
      <c r="Y206" s="25"/>
      <c r="Z206" s="24"/>
      <c r="AA206" s="23">
        <v>10</v>
      </c>
      <c r="AB206" s="24"/>
      <c r="AC206" s="25"/>
      <c r="AD206" s="24"/>
      <c r="AE206" s="23">
        <v>10</v>
      </c>
      <c r="AF206" s="24"/>
      <c r="AG206" s="25"/>
      <c r="AH206" s="24"/>
      <c r="AI206" s="23">
        <v>10</v>
      </c>
      <c r="AJ206" s="24"/>
      <c r="AK206" s="25"/>
      <c r="AL206" s="24"/>
      <c r="AM206" s="23">
        <v>10</v>
      </c>
      <c r="AN206" s="24">
        <v>10</v>
      </c>
      <c r="AO206" s="25"/>
      <c r="AP206" s="24"/>
      <c r="AQ206" s="23">
        <v>10</v>
      </c>
      <c r="AR206" s="24">
        <v>10</v>
      </c>
      <c r="AS206" s="25"/>
      <c r="AT206" s="24"/>
      <c r="AU206" s="23">
        <v>10</v>
      </c>
      <c r="AV206" s="24">
        <v>10</v>
      </c>
      <c r="AW206" s="25"/>
      <c r="AX206" s="24"/>
      <c r="AY206" s="23">
        <v>10</v>
      </c>
      <c r="AZ206" s="24">
        <v>10</v>
      </c>
      <c r="BA206" s="25"/>
      <c r="BB206" s="24"/>
      <c r="BC206" s="23">
        <v>10</v>
      </c>
      <c r="BD206" s="24">
        <v>10</v>
      </c>
      <c r="BE206" s="25"/>
      <c r="BF206" s="24"/>
      <c r="BG206" s="23">
        <v>10</v>
      </c>
      <c r="BH206" s="24">
        <v>10</v>
      </c>
      <c r="BI206" s="25"/>
      <c r="BJ206" s="24"/>
      <c r="BK206" s="340"/>
      <c r="BL206" s="32">
        <f t="shared" si="47"/>
        <v>120</v>
      </c>
      <c r="BM206" s="32">
        <f t="shared" si="48"/>
        <v>11165</v>
      </c>
      <c r="BN206" s="28">
        <f t="shared" si="49"/>
        <v>60</v>
      </c>
      <c r="BO206" s="29">
        <f t="shared" si="50"/>
        <v>5582.5</v>
      </c>
      <c r="BP206" s="30">
        <f t="shared" si="51"/>
        <v>0</v>
      </c>
      <c r="BQ206" s="31">
        <f t="shared" si="52"/>
        <v>0</v>
      </c>
      <c r="BR206" s="11"/>
      <c r="BS206" s="329"/>
      <c r="BT206" s="23">
        <v>10</v>
      </c>
      <c r="BU206" s="24"/>
      <c r="BV206" s="25"/>
      <c r="BW206" s="24"/>
      <c r="BX206" s="23">
        <v>10</v>
      </c>
      <c r="BY206" s="24"/>
      <c r="BZ206" s="25"/>
      <c r="CA206" s="24"/>
      <c r="CB206" s="23">
        <v>10</v>
      </c>
      <c r="CC206" s="24"/>
      <c r="CD206" s="25"/>
      <c r="CE206" s="24"/>
      <c r="CF206" s="23">
        <v>10</v>
      </c>
      <c r="CG206" s="24"/>
      <c r="CH206" s="25"/>
      <c r="CI206" s="24"/>
      <c r="CJ206" s="23">
        <v>10</v>
      </c>
      <c r="CK206" s="24"/>
      <c r="CL206" s="25"/>
      <c r="CM206" s="24"/>
      <c r="CN206" s="23">
        <v>10</v>
      </c>
      <c r="CO206" s="24"/>
      <c r="CP206" s="25"/>
      <c r="CQ206" s="24"/>
      <c r="CR206" s="23">
        <v>10</v>
      </c>
      <c r="CS206" s="24"/>
      <c r="CT206" s="25"/>
      <c r="CU206" s="24"/>
      <c r="CV206" s="23">
        <v>10</v>
      </c>
      <c r="CW206" s="24"/>
      <c r="CX206" s="25"/>
      <c r="CY206" s="24"/>
      <c r="CZ206" s="23">
        <v>10</v>
      </c>
      <c r="DA206" s="24"/>
      <c r="DB206" s="25"/>
      <c r="DC206" s="24"/>
      <c r="DD206" s="23">
        <v>10</v>
      </c>
      <c r="DE206" s="24"/>
      <c r="DF206" s="25"/>
      <c r="DG206" s="24"/>
      <c r="DH206" s="23">
        <v>10</v>
      </c>
      <c r="DI206" s="24"/>
      <c r="DJ206" s="25"/>
      <c r="DK206" s="24"/>
      <c r="DL206" s="23">
        <v>10</v>
      </c>
      <c r="DM206" s="24"/>
      <c r="DN206" s="25"/>
      <c r="DO206" s="24"/>
      <c r="DP206" s="340"/>
      <c r="DQ206" s="32">
        <f t="shared" si="66"/>
        <v>120</v>
      </c>
      <c r="DR206" s="32">
        <f t="shared" si="62"/>
        <v>11165</v>
      </c>
      <c r="DS206" s="11"/>
      <c r="DT206" s="329"/>
      <c r="DU206" s="23">
        <v>10</v>
      </c>
      <c r="DV206" s="24"/>
      <c r="DW206" s="25"/>
      <c r="DX206" s="24"/>
      <c r="DY206" s="23">
        <v>10</v>
      </c>
      <c r="DZ206" s="24"/>
      <c r="EA206" s="25"/>
      <c r="EB206" s="24"/>
      <c r="EC206" s="23">
        <v>10</v>
      </c>
      <c r="ED206" s="24"/>
      <c r="EE206" s="25"/>
      <c r="EF206" s="24"/>
      <c r="EG206" s="23">
        <v>10</v>
      </c>
      <c r="EH206" s="24"/>
      <c r="EI206" s="25"/>
      <c r="EJ206" s="24"/>
      <c r="EK206" s="23">
        <v>10</v>
      </c>
      <c r="EL206" s="24"/>
      <c r="EM206" s="25"/>
      <c r="EN206" s="24"/>
      <c r="EO206" s="23">
        <v>10</v>
      </c>
      <c r="EP206" s="24"/>
      <c r="EQ206" s="25"/>
      <c r="ER206" s="24"/>
      <c r="ES206" s="23">
        <v>10</v>
      </c>
      <c r="ET206" s="24"/>
      <c r="EU206" s="25"/>
      <c r="EV206" s="24"/>
      <c r="EW206" s="23">
        <v>10</v>
      </c>
      <c r="EX206" s="24"/>
      <c r="EY206" s="25"/>
      <c r="EZ206" s="24"/>
      <c r="FA206" s="23">
        <v>10</v>
      </c>
      <c r="FB206" s="24"/>
      <c r="FC206" s="25"/>
      <c r="FD206" s="24"/>
      <c r="FE206" s="23">
        <v>10</v>
      </c>
      <c r="FF206" s="24"/>
      <c r="FG206" s="25"/>
      <c r="FH206" s="24"/>
      <c r="FI206" s="23">
        <v>10</v>
      </c>
      <c r="FJ206" s="24"/>
      <c r="FK206" s="25"/>
      <c r="FL206" s="24"/>
      <c r="FM206" s="23">
        <v>10</v>
      </c>
      <c r="FN206" s="24"/>
      <c r="FO206" s="25"/>
      <c r="FP206" s="24"/>
      <c r="FQ206" s="340"/>
      <c r="FR206" s="32">
        <f t="shared" si="67"/>
        <v>120</v>
      </c>
      <c r="FS206" s="32">
        <f t="shared" si="64"/>
        <v>11165</v>
      </c>
      <c r="FT206" s="361"/>
    </row>
    <row r="207" spans="1:176" outlineLevel="2">
      <c r="A207" s="411" t="s">
        <v>470</v>
      </c>
      <c r="B207" s="448" t="s">
        <v>134</v>
      </c>
      <c r="C207" s="594" t="s">
        <v>72</v>
      </c>
      <c r="D207" s="589" t="s">
        <v>32</v>
      </c>
      <c r="E207" s="412">
        <f>IF(ISBLANK(G207),"",IF($A$6:$A$330=$A207,COUNTIF($A$6:A207,$A207),""))</f>
        <v>13</v>
      </c>
      <c r="F207" s="10">
        <v>1</v>
      </c>
      <c r="G207" s="55">
        <v>4757145000</v>
      </c>
      <c r="H207" s="54" t="s">
        <v>94</v>
      </c>
      <c r="I207" s="617">
        <f>652.86/НДС_20</f>
        <v>544.05000000000007</v>
      </c>
      <c r="J207" s="617"/>
      <c r="K207" s="113"/>
      <c r="L207" s="617" t="str">
        <f t="shared" si="65"/>
        <v/>
      </c>
      <c r="M207" s="102"/>
      <c r="N207" s="305">
        <f t="shared" si="46"/>
        <v>2</v>
      </c>
      <c r="O207" s="23">
        <v>10</v>
      </c>
      <c r="P207" s="24"/>
      <c r="Q207" s="25"/>
      <c r="R207" s="24"/>
      <c r="S207" s="23">
        <v>10</v>
      </c>
      <c r="T207" s="24"/>
      <c r="U207" s="25"/>
      <c r="V207" s="24"/>
      <c r="W207" s="23">
        <v>10</v>
      </c>
      <c r="X207" s="24"/>
      <c r="Y207" s="25"/>
      <c r="Z207" s="24"/>
      <c r="AA207" s="23">
        <v>10</v>
      </c>
      <c r="AB207" s="24"/>
      <c r="AC207" s="25"/>
      <c r="AD207" s="24"/>
      <c r="AE207" s="23">
        <v>10</v>
      </c>
      <c r="AF207" s="24"/>
      <c r="AG207" s="25"/>
      <c r="AH207" s="24"/>
      <c r="AI207" s="23">
        <v>10</v>
      </c>
      <c r="AJ207" s="24"/>
      <c r="AK207" s="25"/>
      <c r="AL207" s="24"/>
      <c r="AM207" s="23">
        <v>10</v>
      </c>
      <c r="AN207" s="24">
        <v>10</v>
      </c>
      <c r="AO207" s="25"/>
      <c r="AP207" s="24"/>
      <c r="AQ207" s="23">
        <v>10</v>
      </c>
      <c r="AR207" s="24">
        <v>10</v>
      </c>
      <c r="AS207" s="25"/>
      <c r="AT207" s="24"/>
      <c r="AU207" s="23">
        <v>10</v>
      </c>
      <c r="AV207" s="24">
        <v>10</v>
      </c>
      <c r="AW207" s="25"/>
      <c r="AX207" s="24"/>
      <c r="AY207" s="23">
        <v>10</v>
      </c>
      <c r="AZ207" s="24">
        <v>10</v>
      </c>
      <c r="BA207" s="25"/>
      <c r="BB207" s="24"/>
      <c r="BC207" s="23">
        <v>10</v>
      </c>
      <c r="BD207" s="24">
        <v>10</v>
      </c>
      <c r="BE207" s="25"/>
      <c r="BF207" s="24"/>
      <c r="BG207" s="23">
        <v>10</v>
      </c>
      <c r="BH207" s="24">
        <v>10</v>
      </c>
      <c r="BI207" s="25"/>
      <c r="BJ207" s="24"/>
      <c r="BK207" s="340"/>
      <c r="BL207" s="32">
        <f t="shared" si="47"/>
        <v>120</v>
      </c>
      <c r="BM207" s="32">
        <f t="shared" si="48"/>
        <v>65286.000000000007</v>
      </c>
      <c r="BN207" s="28">
        <f t="shared" si="49"/>
        <v>60</v>
      </c>
      <c r="BO207" s="29">
        <f t="shared" si="50"/>
        <v>32643.000000000004</v>
      </c>
      <c r="BP207" s="30">
        <f t="shared" si="51"/>
        <v>0</v>
      </c>
      <c r="BQ207" s="31">
        <f t="shared" si="52"/>
        <v>0</v>
      </c>
      <c r="BR207" s="11"/>
      <c r="BS207" s="329"/>
      <c r="BT207" s="23">
        <v>10</v>
      </c>
      <c r="BU207" s="24"/>
      <c r="BV207" s="25"/>
      <c r="BW207" s="24"/>
      <c r="BX207" s="23">
        <v>10</v>
      </c>
      <c r="BY207" s="24"/>
      <c r="BZ207" s="25"/>
      <c r="CA207" s="24"/>
      <c r="CB207" s="23">
        <v>10</v>
      </c>
      <c r="CC207" s="24"/>
      <c r="CD207" s="25"/>
      <c r="CE207" s="24"/>
      <c r="CF207" s="23">
        <v>10</v>
      </c>
      <c r="CG207" s="24"/>
      <c r="CH207" s="25"/>
      <c r="CI207" s="24"/>
      <c r="CJ207" s="23">
        <v>10</v>
      </c>
      <c r="CK207" s="24"/>
      <c r="CL207" s="25"/>
      <c r="CM207" s="24"/>
      <c r="CN207" s="23">
        <v>10</v>
      </c>
      <c r="CO207" s="24"/>
      <c r="CP207" s="25"/>
      <c r="CQ207" s="24"/>
      <c r="CR207" s="23">
        <v>10</v>
      </c>
      <c r="CS207" s="24"/>
      <c r="CT207" s="25"/>
      <c r="CU207" s="24"/>
      <c r="CV207" s="23">
        <v>10</v>
      </c>
      <c r="CW207" s="24"/>
      <c r="CX207" s="25"/>
      <c r="CY207" s="24"/>
      <c r="CZ207" s="23">
        <v>10</v>
      </c>
      <c r="DA207" s="24"/>
      <c r="DB207" s="25"/>
      <c r="DC207" s="24"/>
      <c r="DD207" s="23">
        <v>10</v>
      </c>
      <c r="DE207" s="24"/>
      <c r="DF207" s="25"/>
      <c r="DG207" s="24"/>
      <c r="DH207" s="23">
        <v>10</v>
      </c>
      <c r="DI207" s="24"/>
      <c r="DJ207" s="25"/>
      <c r="DK207" s="24"/>
      <c r="DL207" s="23">
        <v>10</v>
      </c>
      <c r="DM207" s="24"/>
      <c r="DN207" s="25"/>
      <c r="DO207" s="24"/>
      <c r="DP207" s="340"/>
      <c r="DQ207" s="32">
        <f t="shared" si="66"/>
        <v>120</v>
      </c>
      <c r="DR207" s="32">
        <f t="shared" si="62"/>
        <v>65286.000000000007</v>
      </c>
      <c r="DS207" s="11"/>
      <c r="DT207" s="329"/>
      <c r="DU207" s="23">
        <v>10</v>
      </c>
      <c r="DV207" s="24"/>
      <c r="DW207" s="25"/>
      <c r="DX207" s="24"/>
      <c r="DY207" s="23">
        <v>10</v>
      </c>
      <c r="DZ207" s="24"/>
      <c r="EA207" s="25"/>
      <c r="EB207" s="24"/>
      <c r="EC207" s="23">
        <v>10</v>
      </c>
      <c r="ED207" s="24"/>
      <c r="EE207" s="25"/>
      <c r="EF207" s="24"/>
      <c r="EG207" s="23">
        <v>10</v>
      </c>
      <c r="EH207" s="24"/>
      <c r="EI207" s="25"/>
      <c r="EJ207" s="24"/>
      <c r="EK207" s="23">
        <v>10</v>
      </c>
      <c r="EL207" s="24"/>
      <c r="EM207" s="25"/>
      <c r="EN207" s="24"/>
      <c r="EO207" s="23">
        <v>10</v>
      </c>
      <c r="EP207" s="24"/>
      <c r="EQ207" s="25"/>
      <c r="ER207" s="24"/>
      <c r="ES207" s="23">
        <v>10</v>
      </c>
      <c r="ET207" s="24"/>
      <c r="EU207" s="25"/>
      <c r="EV207" s="24"/>
      <c r="EW207" s="23">
        <v>10</v>
      </c>
      <c r="EX207" s="24"/>
      <c r="EY207" s="25"/>
      <c r="EZ207" s="24"/>
      <c r="FA207" s="23">
        <v>10</v>
      </c>
      <c r="FB207" s="24"/>
      <c r="FC207" s="25"/>
      <c r="FD207" s="24"/>
      <c r="FE207" s="23">
        <v>10</v>
      </c>
      <c r="FF207" s="24"/>
      <c r="FG207" s="25"/>
      <c r="FH207" s="24"/>
      <c r="FI207" s="23">
        <v>10</v>
      </c>
      <c r="FJ207" s="24"/>
      <c r="FK207" s="25"/>
      <c r="FL207" s="24"/>
      <c r="FM207" s="23">
        <v>10</v>
      </c>
      <c r="FN207" s="24"/>
      <c r="FO207" s="25"/>
      <c r="FP207" s="24"/>
      <c r="FQ207" s="340"/>
      <c r="FR207" s="32">
        <f t="shared" si="67"/>
        <v>120</v>
      </c>
      <c r="FS207" s="32">
        <f t="shared" si="64"/>
        <v>65286.000000000007</v>
      </c>
      <c r="FT207" s="361"/>
    </row>
    <row r="208" spans="1:176" outlineLevel="2">
      <c r="A208" s="411" t="s">
        <v>470</v>
      </c>
      <c r="B208" s="448" t="s">
        <v>134</v>
      </c>
      <c r="C208" s="594" t="s">
        <v>72</v>
      </c>
      <c r="D208" s="589" t="s">
        <v>32</v>
      </c>
      <c r="E208" s="412">
        <f>IF(ISBLANK(G208),"",IF($A$6:$A$330=$A208,COUNTIF($A$6:A208,$A208),""))</f>
        <v>14</v>
      </c>
      <c r="F208" s="10">
        <v>1</v>
      </c>
      <c r="G208" s="55">
        <v>9630010510</v>
      </c>
      <c r="H208" s="54" t="s">
        <v>91</v>
      </c>
      <c r="I208" s="617">
        <f>316.18/НДС</f>
        <v>259.1639344262295</v>
      </c>
      <c r="J208" s="617"/>
      <c r="K208" s="113"/>
      <c r="L208" s="617" t="str">
        <f t="shared" si="65"/>
        <v/>
      </c>
      <c r="M208" s="102"/>
      <c r="N208" s="305">
        <f t="shared" ref="N208:N215" si="68">IF(BP208&gt;0,1,IF(BN208&gt;0,2,))</f>
        <v>1</v>
      </c>
      <c r="O208" s="23">
        <v>10</v>
      </c>
      <c r="P208" s="24"/>
      <c r="Q208" s="25"/>
      <c r="R208" s="24"/>
      <c r="S208" s="23">
        <v>10</v>
      </c>
      <c r="T208" s="24"/>
      <c r="U208" s="25"/>
      <c r="V208" s="24"/>
      <c r="W208" s="23">
        <v>10</v>
      </c>
      <c r="X208" s="24">
        <f>16+20</f>
        <v>36</v>
      </c>
      <c r="Y208" s="25">
        <v>36</v>
      </c>
      <c r="Z208" s="24"/>
      <c r="AA208" s="23">
        <v>10</v>
      </c>
      <c r="AB208" s="24"/>
      <c r="AC208" s="25"/>
      <c r="AD208" s="24"/>
      <c r="AE208" s="23">
        <v>10</v>
      </c>
      <c r="AF208" s="24"/>
      <c r="AG208" s="25"/>
      <c r="AH208" s="24"/>
      <c r="AI208" s="23">
        <v>10</v>
      </c>
      <c r="AJ208" s="24"/>
      <c r="AK208" s="25"/>
      <c r="AL208" s="24"/>
      <c r="AM208" s="23">
        <v>10</v>
      </c>
      <c r="AN208" s="24">
        <v>10</v>
      </c>
      <c r="AO208" s="25"/>
      <c r="AP208" s="24"/>
      <c r="AQ208" s="23">
        <v>10</v>
      </c>
      <c r="AR208" s="24">
        <v>10</v>
      </c>
      <c r="AS208" s="25"/>
      <c r="AT208" s="24"/>
      <c r="AU208" s="23">
        <v>10</v>
      </c>
      <c r="AV208" s="24">
        <v>10</v>
      </c>
      <c r="AW208" s="25"/>
      <c r="AX208" s="24"/>
      <c r="AY208" s="23">
        <v>10</v>
      </c>
      <c r="AZ208" s="24">
        <v>10</v>
      </c>
      <c r="BA208" s="25"/>
      <c r="BB208" s="24"/>
      <c r="BC208" s="23">
        <v>10</v>
      </c>
      <c r="BD208" s="24">
        <v>10</v>
      </c>
      <c r="BE208" s="25"/>
      <c r="BF208" s="24"/>
      <c r="BG208" s="23">
        <v>10</v>
      </c>
      <c r="BH208" s="24">
        <v>10</v>
      </c>
      <c r="BI208" s="25"/>
      <c r="BJ208" s="24"/>
      <c r="BK208" s="340"/>
      <c r="BL208" s="32">
        <f t="shared" ref="BL208:BL215" si="69">SUMPRODUCT(--(MOD(COLUMN($O208:$AL208),4)=MOD(COLUMN($O208)+0,4)),$O208:$AL208)
+SUMPRODUCT(--(MOD(COLUMN($AM208:$BJ208),4)=MOD(COLUMN($AM208)+0,4)),$AM208:$BJ208)</f>
        <v>120</v>
      </c>
      <c r="BM208" s="32">
        <f t="shared" ref="BM208:BM215" si="70">SUMPRODUCT(--(MOD(COLUMN($O208:$AL208),4)=MOD(COLUMN($O208)+0,4)),$O208:$AL208)*$I208
+SUMPRODUCT(--(MOD(COLUMN($AM208:$BJ208),4)=MOD(COLUMN($AM208)+0,4)),$AM208:$BJ208)*$I208</f>
        <v>31099.672131147541</v>
      </c>
      <c r="BN208" s="28">
        <f t="shared" ref="BN208:BN215" si="71">SUMPRODUCT(--(MOD(COLUMN($O208:$AL208),4)=MOD(COLUMN($O208)+1,4)),$O208:$AL208)
+SUMPRODUCT(--(MOD(COLUMN($AM208:$BJ208),4)=MOD(COLUMN($AM208)+1,4)),$AM208:$BJ208)</f>
        <v>96</v>
      </c>
      <c r="BO208" s="29">
        <f t="shared" ref="BO208:BO215" si="72">SUMPRODUCT(--(MOD(COLUMN($O208:$AL208),4)=MOD(COLUMN($O208)+1,4)),$O208:$AL208)*$I208
+SUMPRODUCT(--(MOD(COLUMN($AM208:$BJ208),4)=MOD(COLUMN($AM208)+1,4)),$AM208:$BJ208)*$I208</f>
        <v>24879.737704918032</v>
      </c>
      <c r="BP208" s="30">
        <f t="shared" ref="BP208:BP215" si="73">SUMPRODUCT(--(MOD(COLUMN($O208:$AL208),4)=MOD(COLUMN($O208)+2,4)),$O208:$AL208)
+SUMPRODUCT(--(MOD(COLUMN($AM208:$BJ208),4)=MOD(COLUMN($AM208)+2,4)),$AM208:$BJ208)</f>
        <v>36</v>
      </c>
      <c r="BQ208" s="31">
        <f t="shared" ref="BQ208:BQ215" si="74">SUMPRODUCT(--(MOD(COLUMN($O208:$AL208),4)=MOD(COLUMN($O208)+2,4)),$O208:$AL208)*$I208
+SUMPRODUCT(--(MOD(COLUMN($AM208:$BJ208),4)=MOD(COLUMN($AM208)+2,4)),$AM208:$BJ208)*$I208</f>
        <v>9329.9016393442616</v>
      </c>
      <c r="BR208" s="11"/>
      <c r="BS208" s="329"/>
      <c r="BT208" s="23">
        <v>20</v>
      </c>
      <c r="BU208" s="24"/>
      <c r="BV208" s="25"/>
      <c r="BW208" s="24"/>
      <c r="BX208" s="23">
        <v>20</v>
      </c>
      <c r="BY208" s="24"/>
      <c r="BZ208" s="25"/>
      <c r="CA208" s="24"/>
      <c r="CB208" s="23">
        <v>20</v>
      </c>
      <c r="CC208" s="24"/>
      <c r="CD208" s="25"/>
      <c r="CE208" s="24"/>
      <c r="CF208" s="23">
        <v>20</v>
      </c>
      <c r="CG208" s="24"/>
      <c r="CH208" s="25"/>
      <c r="CI208" s="24"/>
      <c r="CJ208" s="23">
        <v>20</v>
      </c>
      <c r="CK208" s="24"/>
      <c r="CL208" s="25"/>
      <c r="CM208" s="24"/>
      <c r="CN208" s="23">
        <v>20</v>
      </c>
      <c r="CO208" s="24"/>
      <c r="CP208" s="25"/>
      <c r="CQ208" s="24"/>
      <c r="CR208" s="23">
        <v>20</v>
      </c>
      <c r="CS208" s="24"/>
      <c r="CT208" s="25"/>
      <c r="CU208" s="24"/>
      <c r="CV208" s="23">
        <v>20</v>
      </c>
      <c r="CW208" s="24"/>
      <c r="CX208" s="25"/>
      <c r="CY208" s="24"/>
      <c r="CZ208" s="23">
        <v>20</v>
      </c>
      <c r="DA208" s="24"/>
      <c r="DB208" s="25"/>
      <c r="DC208" s="24"/>
      <c r="DD208" s="23">
        <v>20</v>
      </c>
      <c r="DE208" s="24"/>
      <c r="DF208" s="25"/>
      <c r="DG208" s="24"/>
      <c r="DH208" s="23">
        <v>20</v>
      </c>
      <c r="DI208" s="24"/>
      <c r="DJ208" s="25"/>
      <c r="DK208" s="24"/>
      <c r="DL208" s="23">
        <v>20</v>
      </c>
      <c r="DM208" s="24"/>
      <c r="DN208" s="25"/>
      <c r="DO208" s="24"/>
      <c r="DP208" s="340"/>
      <c r="DQ208" s="32">
        <f t="shared" si="66"/>
        <v>240</v>
      </c>
      <c r="DR208" s="32">
        <f t="shared" si="62"/>
        <v>62199.344262295082</v>
      </c>
      <c r="DS208" s="11"/>
      <c r="DT208" s="329"/>
      <c r="DU208" s="23">
        <v>20</v>
      </c>
      <c r="DV208" s="24"/>
      <c r="DW208" s="25"/>
      <c r="DX208" s="24"/>
      <c r="DY208" s="23">
        <v>20</v>
      </c>
      <c r="DZ208" s="24"/>
      <c r="EA208" s="25"/>
      <c r="EB208" s="24"/>
      <c r="EC208" s="23">
        <v>20</v>
      </c>
      <c r="ED208" s="24"/>
      <c r="EE208" s="25"/>
      <c r="EF208" s="24"/>
      <c r="EG208" s="23">
        <v>20</v>
      </c>
      <c r="EH208" s="24"/>
      <c r="EI208" s="25"/>
      <c r="EJ208" s="24"/>
      <c r="EK208" s="23">
        <v>20</v>
      </c>
      <c r="EL208" s="24"/>
      <c r="EM208" s="25"/>
      <c r="EN208" s="24"/>
      <c r="EO208" s="23">
        <v>20</v>
      </c>
      <c r="EP208" s="24"/>
      <c r="EQ208" s="25"/>
      <c r="ER208" s="24"/>
      <c r="ES208" s="23">
        <v>20</v>
      </c>
      <c r="ET208" s="24"/>
      <c r="EU208" s="25"/>
      <c r="EV208" s="24"/>
      <c r="EW208" s="23">
        <v>20</v>
      </c>
      <c r="EX208" s="24"/>
      <c r="EY208" s="25"/>
      <c r="EZ208" s="24"/>
      <c r="FA208" s="23">
        <v>20</v>
      </c>
      <c r="FB208" s="24"/>
      <c r="FC208" s="25"/>
      <c r="FD208" s="24"/>
      <c r="FE208" s="23">
        <v>20</v>
      </c>
      <c r="FF208" s="24"/>
      <c r="FG208" s="25"/>
      <c r="FH208" s="24"/>
      <c r="FI208" s="23">
        <v>20</v>
      </c>
      <c r="FJ208" s="24"/>
      <c r="FK208" s="25"/>
      <c r="FL208" s="24"/>
      <c r="FM208" s="23">
        <v>20</v>
      </c>
      <c r="FN208" s="24"/>
      <c r="FO208" s="25"/>
      <c r="FP208" s="24"/>
      <c r="FQ208" s="340"/>
      <c r="FR208" s="32">
        <f t="shared" si="67"/>
        <v>240</v>
      </c>
      <c r="FS208" s="32">
        <f t="shared" si="64"/>
        <v>62199.344262295082</v>
      </c>
      <c r="FT208" s="361"/>
    </row>
    <row r="209" spans="1:176" outlineLevel="2">
      <c r="A209" s="411" t="s">
        <v>470</v>
      </c>
      <c r="B209" s="448" t="s">
        <v>134</v>
      </c>
      <c r="C209" s="594" t="s">
        <v>72</v>
      </c>
      <c r="D209" s="589" t="s">
        <v>32</v>
      </c>
      <c r="E209" s="412">
        <f>IF(ISBLANK(G209),"",IF($A$6:$A$330=$A209,COUNTIF($A$6:A209,$A209),""))</f>
        <v>15</v>
      </c>
      <c r="F209" s="10">
        <v>1</v>
      </c>
      <c r="G209" s="55">
        <v>9735000510</v>
      </c>
      <c r="H209" s="54" t="s">
        <v>137</v>
      </c>
      <c r="I209" s="617">
        <f>122.61/НДС</f>
        <v>100.5</v>
      </c>
      <c r="J209" s="617"/>
      <c r="K209" s="113"/>
      <c r="L209" s="617" t="str">
        <f t="shared" si="65"/>
        <v/>
      </c>
      <c r="M209" s="102"/>
      <c r="N209" s="305">
        <f t="shared" si="68"/>
        <v>1</v>
      </c>
      <c r="O209" s="23">
        <v>10</v>
      </c>
      <c r="P209" s="24"/>
      <c r="Q209" s="25"/>
      <c r="R209" s="24"/>
      <c r="S209" s="23">
        <v>10</v>
      </c>
      <c r="T209" s="24"/>
      <c r="U209" s="25"/>
      <c r="V209" s="24"/>
      <c r="W209" s="23">
        <v>10</v>
      </c>
      <c r="X209" s="24">
        <f>16+20</f>
        <v>36</v>
      </c>
      <c r="Y209" s="25">
        <v>36</v>
      </c>
      <c r="Z209" s="24"/>
      <c r="AA209" s="23">
        <v>10</v>
      </c>
      <c r="AB209" s="24"/>
      <c r="AC209" s="25"/>
      <c r="AD209" s="24"/>
      <c r="AE209" s="23">
        <v>10</v>
      </c>
      <c r="AF209" s="24"/>
      <c r="AG209" s="25"/>
      <c r="AH209" s="24"/>
      <c r="AI209" s="23">
        <v>10</v>
      </c>
      <c r="AJ209" s="24"/>
      <c r="AK209" s="25"/>
      <c r="AL209" s="24"/>
      <c r="AM209" s="23">
        <v>10</v>
      </c>
      <c r="AN209" s="24">
        <v>10</v>
      </c>
      <c r="AO209" s="25"/>
      <c r="AP209" s="24"/>
      <c r="AQ209" s="23">
        <v>10</v>
      </c>
      <c r="AR209" s="24">
        <v>10</v>
      </c>
      <c r="AS209" s="25"/>
      <c r="AT209" s="24"/>
      <c r="AU209" s="23">
        <v>10</v>
      </c>
      <c r="AV209" s="24">
        <v>10</v>
      </c>
      <c r="AW209" s="25"/>
      <c r="AX209" s="24"/>
      <c r="AY209" s="23">
        <v>10</v>
      </c>
      <c r="AZ209" s="24">
        <v>10</v>
      </c>
      <c r="BA209" s="25"/>
      <c r="BB209" s="24"/>
      <c r="BC209" s="23">
        <v>10</v>
      </c>
      <c r="BD209" s="24">
        <v>10</v>
      </c>
      <c r="BE209" s="25"/>
      <c r="BF209" s="24"/>
      <c r="BG209" s="23">
        <v>10</v>
      </c>
      <c r="BH209" s="24">
        <v>10</v>
      </c>
      <c r="BI209" s="25"/>
      <c r="BJ209" s="24"/>
      <c r="BK209" s="340"/>
      <c r="BL209" s="32">
        <f t="shared" si="69"/>
        <v>120</v>
      </c>
      <c r="BM209" s="32">
        <f t="shared" si="70"/>
        <v>12060</v>
      </c>
      <c r="BN209" s="28">
        <f t="shared" si="71"/>
        <v>96</v>
      </c>
      <c r="BO209" s="29">
        <f t="shared" si="72"/>
        <v>9648</v>
      </c>
      <c r="BP209" s="30">
        <f t="shared" si="73"/>
        <v>36</v>
      </c>
      <c r="BQ209" s="31">
        <f t="shared" si="74"/>
        <v>3618</v>
      </c>
      <c r="BR209" s="11"/>
      <c r="BS209" s="329"/>
      <c r="BT209" s="23">
        <v>20</v>
      </c>
      <c r="BU209" s="24"/>
      <c r="BV209" s="25"/>
      <c r="BW209" s="24"/>
      <c r="BX209" s="23">
        <v>20</v>
      </c>
      <c r="BY209" s="24"/>
      <c r="BZ209" s="25"/>
      <c r="CA209" s="24"/>
      <c r="CB209" s="23">
        <v>20</v>
      </c>
      <c r="CC209" s="24"/>
      <c r="CD209" s="25"/>
      <c r="CE209" s="24"/>
      <c r="CF209" s="23">
        <v>20</v>
      </c>
      <c r="CG209" s="24"/>
      <c r="CH209" s="25"/>
      <c r="CI209" s="24"/>
      <c r="CJ209" s="23">
        <v>20</v>
      </c>
      <c r="CK209" s="24"/>
      <c r="CL209" s="25"/>
      <c r="CM209" s="24"/>
      <c r="CN209" s="23">
        <v>20</v>
      </c>
      <c r="CO209" s="24"/>
      <c r="CP209" s="25"/>
      <c r="CQ209" s="24"/>
      <c r="CR209" s="23">
        <v>20</v>
      </c>
      <c r="CS209" s="24"/>
      <c r="CT209" s="25"/>
      <c r="CU209" s="24"/>
      <c r="CV209" s="23">
        <v>20</v>
      </c>
      <c r="CW209" s="24"/>
      <c r="CX209" s="25"/>
      <c r="CY209" s="24"/>
      <c r="CZ209" s="23">
        <v>20</v>
      </c>
      <c r="DA209" s="24"/>
      <c r="DB209" s="25"/>
      <c r="DC209" s="24"/>
      <c r="DD209" s="23">
        <v>20</v>
      </c>
      <c r="DE209" s="24"/>
      <c r="DF209" s="25"/>
      <c r="DG209" s="24"/>
      <c r="DH209" s="23">
        <v>20</v>
      </c>
      <c r="DI209" s="24"/>
      <c r="DJ209" s="25"/>
      <c r="DK209" s="24"/>
      <c r="DL209" s="23">
        <v>20</v>
      </c>
      <c r="DM209" s="24"/>
      <c r="DN209" s="25"/>
      <c r="DO209" s="24"/>
      <c r="DP209" s="340"/>
      <c r="DQ209" s="32">
        <f t="shared" si="66"/>
        <v>240</v>
      </c>
      <c r="DR209" s="32">
        <f t="shared" si="62"/>
        <v>24120</v>
      </c>
      <c r="DS209" s="11"/>
      <c r="DT209" s="329"/>
      <c r="DU209" s="23">
        <v>20</v>
      </c>
      <c r="DV209" s="24"/>
      <c r="DW209" s="25"/>
      <c r="DX209" s="24"/>
      <c r="DY209" s="23">
        <v>20</v>
      </c>
      <c r="DZ209" s="24"/>
      <c r="EA209" s="25"/>
      <c r="EB209" s="24"/>
      <c r="EC209" s="23">
        <v>20</v>
      </c>
      <c r="ED209" s="24"/>
      <c r="EE209" s="25"/>
      <c r="EF209" s="24"/>
      <c r="EG209" s="23">
        <v>20</v>
      </c>
      <c r="EH209" s="24"/>
      <c r="EI209" s="25"/>
      <c r="EJ209" s="24"/>
      <c r="EK209" s="23">
        <v>20</v>
      </c>
      <c r="EL209" s="24"/>
      <c r="EM209" s="25"/>
      <c r="EN209" s="24"/>
      <c r="EO209" s="23">
        <v>20</v>
      </c>
      <c r="EP209" s="24"/>
      <c r="EQ209" s="25"/>
      <c r="ER209" s="24"/>
      <c r="ES209" s="23">
        <v>20</v>
      </c>
      <c r="ET209" s="24"/>
      <c r="EU209" s="25"/>
      <c r="EV209" s="24"/>
      <c r="EW209" s="23">
        <v>20</v>
      </c>
      <c r="EX209" s="24"/>
      <c r="EY209" s="25"/>
      <c r="EZ209" s="24"/>
      <c r="FA209" s="23">
        <v>20</v>
      </c>
      <c r="FB209" s="24"/>
      <c r="FC209" s="25"/>
      <c r="FD209" s="24"/>
      <c r="FE209" s="23">
        <v>20</v>
      </c>
      <c r="FF209" s="24"/>
      <c r="FG209" s="25"/>
      <c r="FH209" s="24"/>
      <c r="FI209" s="23">
        <v>20</v>
      </c>
      <c r="FJ209" s="24"/>
      <c r="FK209" s="25"/>
      <c r="FL209" s="24"/>
      <c r="FM209" s="23">
        <v>20</v>
      </c>
      <c r="FN209" s="24"/>
      <c r="FO209" s="25"/>
      <c r="FP209" s="24"/>
      <c r="FQ209" s="340"/>
      <c r="FR209" s="32">
        <f t="shared" si="67"/>
        <v>240</v>
      </c>
      <c r="FS209" s="32">
        <f t="shared" si="64"/>
        <v>24120</v>
      </c>
      <c r="FT209" s="361"/>
    </row>
    <row r="210" spans="1:176" outlineLevel="2">
      <c r="A210" s="411" t="s">
        <v>470</v>
      </c>
      <c r="B210" s="448" t="s">
        <v>134</v>
      </c>
      <c r="C210" s="594" t="s">
        <v>72</v>
      </c>
      <c r="D210" s="589" t="s">
        <v>32</v>
      </c>
      <c r="E210" s="412">
        <f>IF(ISBLANK(G210),"",IF($A$6:$A$330=$A210,COUNTIF($A$6:A210,$A210),""))</f>
        <v>16</v>
      </c>
      <c r="F210" s="10">
        <v>1</v>
      </c>
      <c r="G210" s="55">
        <v>9522010010</v>
      </c>
      <c r="H210" s="54" t="s">
        <v>73</v>
      </c>
      <c r="I210" s="617">
        <f>89.64/НДС_20</f>
        <v>74.7</v>
      </c>
      <c r="J210" s="617"/>
      <c r="K210" s="113"/>
      <c r="L210" s="617" t="str">
        <f t="shared" si="65"/>
        <v/>
      </c>
      <c r="M210" s="102"/>
      <c r="N210" s="305">
        <f t="shared" si="68"/>
        <v>0</v>
      </c>
      <c r="O210" s="23"/>
      <c r="P210" s="24"/>
      <c r="Q210" s="25"/>
      <c r="R210" s="24"/>
      <c r="S210" s="23"/>
      <c r="T210" s="24"/>
      <c r="U210" s="25"/>
      <c r="V210" s="24"/>
      <c r="W210" s="23"/>
      <c r="X210" s="24"/>
      <c r="Y210" s="25"/>
      <c r="Z210" s="24"/>
      <c r="AA210" s="23"/>
      <c r="AB210" s="24"/>
      <c r="AC210" s="25"/>
      <c r="AD210" s="24"/>
      <c r="AE210" s="23"/>
      <c r="AF210" s="24"/>
      <c r="AG210" s="25"/>
      <c r="AH210" s="24"/>
      <c r="AI210" s="23"/>
      <c r="AJ210" s="24"/>
      <c r="AK210" s="25"/>
      <c r="AL210" s="24"/>
      <c r="AM210" s="23"/>
      <c r="AN210" s="24"/>
      <c r="AO210" s="25"/>
      <c r="AP210" s="24"/>
      <c r="AQ210" s="23"/>
      <c r="AR210" s="24"/>
      <c r="AS210" s="25"/>
      <c r="AT210" s="24"/>
      <c r="AU210" s="23"/>
      <c r="AV210" s="24"/>
      <c r="AW210" s="25"/>
      <c r="AX210" s="24"/>
      <c r="AY210" s="23"/>
      <c r="AZ210" s="24"/>
      <c r="BA210" s="25"/>
      <c r="BB210" s="24"/>
      <c r="BC210" s="23"/>
      <c r="BD210" s="24"/>
      <c r="BE210" s="25"/>
      <c r="BF210" s="24"/>
      <c r="BG210" s="23"/>
      <c r="BH210" s="24"/>
      <c r="BI210" s="25"/>
      <c r="BJ210" s="24"/>
      <c r="BK210" s="340"/>
      <c r="BL210" s="32">
        <f t="shared" si="69"/>
        <v>0</v>
      </c>
      <c r="BM210" s="32">
        <f t="shared" si="70"/>
        <v>0</v>
      </c>
      <c r="BN210" s="28">
        <f t="shared" si="71"/>
        <v>0</v>
      </c>
      <c r="BO210" s="29">
        <f t="shared" si="72"/>
        <v>0</v>
      </c>
      <c r="BP210" s="30">
        <f t="shared" si="73"/>
        <v>0</v>
      </c>
      <c r="BQ210" s="31">
        <f t="shared" si="74"/>
        <v>0</v>
      </c>
      <c r="BR210" s="11"/>
      <c r="BS210" s="329"/>
      <c r="BT210" s="23"/>
      <c r="BU210" s="24"/>
      <c r="BV210" s="25"/>
      <c r="BW210" s="24"/>
      <c r="BX210" s="23"/>
      <c r="BY210" s="24"/>
      <c r="BZ210" s="25"/>
      <c r="CA210" s="24"/>
      <c r="CB210" s="23"/>
      <c r="CC210" s="24"/>
      <c r="CD210" s="25"/>
      <c r="CE210" s="24"/>
      <c r="CF210" s="23"/>
      <c r="CG210" s="24"/>
      <c r="CH210" s="25"/>
      <c r="CI210" s="24"/>
      <c r="CJ210" s="23"/>
      <c r="CK210" s="24"/>
      <c r="CL210" s="25"/>
      <c r="CM210" s="24"/>
      <c r="CN210" s="23"/>
      <c r="CO210" s="24"/>
      <c r="CP210" s="25"/>
      <c r="CQ210" s="24"/>
      <c r="CR210" s="23"/>
      <c r="CS210" s="24"/>
      <c r="CT210" s="25"/>
      <c r="CU210" s="24"/>
      <c r="CV210" s="23"/>
      <c r="CW210" s="24"/>
      <c r="CX210" s="25"/>
      <c r="CY210" s="24"/>
      <c r="CZ210" s="23"/>
      <c r="DA210" s="24"/>
      <c r="DB210" s="25"/>
      <c r="DC210" s="24"/>
      <c r="DD210" s="23"/>
      <c r="DE210" s="24"/>
      <c r="DF210" s="25"/>
      <c r="DG210" s="24"/>
      <c r="DH210" s="23"/>
      <c r="DI210" s="24"/>
      <c r="DJ210" s="25"/>
      <c r="DK210" s="24"/>
      <c r="DL210" s="23"/>
      <c r="DM210" s="24"/>
      <c r="DN210" s="25"/>
      <c r="DO210" s="24"/>
      <c r="DP210" s="340"/>
      <c r="DQ210" s="32">
        <f t="shared" si="66"/>
        <v>0</v>
      </c>
      <c r="DR210" s="32">
        <f t="shared" si="62"/>
        <v>0</v>
      </c>
      <c r="DS210" s="11"/>
      <c r="DT210" s="329"/>
      <c r="DU210" s="23"/>
      <c r="DV210" s="24"/>
      <c r="DW210" s="25"/>
      <c r="DX210" s="24"/>
      <c r="DY210" s="23"/>
      <c r="DZ210" s="24"/>
      <c r="EA210" s="25"/>
      <c r="EB210" s="24"/>
      <c r="EC210" s="23"/>
      <c r="ED210" s="24"/>
      <c r="EE210" s="25"/>
      <c r="EF210" s="24"/>
      <c r="EG210" s="23"/>
      <c r="EH210" s="24"/>
      <c r="EI210" s="25"/>
      <c r="EJ210" s="24"/>
      <c r="EK210" s="23"/>
      <c r="EL210" s="24"/>
      <c r="EM210" s="25"/>
      <c r="EN210" s="24"/>
      <c r="EO210" s="23"/>
      <c r="EP210" s="24"/>
      <c r="EQ210" s="25"/>
      <c r="ER210" s="24"/>
      <c r="ES210" s="23"/>
      <c r="ET210" s="24"/>
      <c r="EU210" s="25"/>
      <c r="EV210" s="24"/>
      <c r="EW210" s="23"/>
      <c r="EX210" s="24"/>
      <c r="EY210" s="25"/>
      <c r="EZ210" s="24"/>
      <c r="FA210" s="23"/>
      <c r="FB210" s="24"/>
      <c r="FC210" s="25"/>
      <c r="FD210" s="24"/>
      <c r="FE210" s="23"/>
      <c r="FF210" s="24"/>
      <c r="FG210" s="25"/>
      <c r="FH210" s="24"/>
      <c r="FI210" s="23"/>
      <c r="FJ210" s="24"/>
      <c r="FK210" s="25"/>
      <c r="FL210" s="24"/>
      <c r="FM210" s="23"/>
      <c r="FN210" s="24"/>
      <c r="FO210" s="25"/>
      <c r="FP210" s="24"/>
      <c r="FQ210" s="340"/>
      <c r="FR210" s="32">
        <f t="shared" si="67"/>
        <v>0</v>
      </c>
      <c r="FS210" s="32">
        <f t="shared" si="64"/>
        <v>0</v>
      </c>
      <c r="FT210" s="361"/>
    </row>
    <row r="211" spans="1:176" outlineLevel="2">
      <c r="A211" s="411" t="s">
        <v>470</v>
      </c>
      <c r="B211" s="448" t="s">
        <v>134</v>
      </c>
      <c r="C211" s="594" t="s">
        <v>72</v>
      </c>
      <c r="D211" s="589" t="s">
        <v>32</v>
      </c>
      <c r="E211" s="412">
        <f>IF(ISBLANK(G211),"",IF($A$6:$A$330=$A211,COUNTIF($A$6:A211,$A211),""))</f>
        <v>17</v>
      </c>
      <c r="F211" s="10">
        <v>1</v>
      </c>
      <c r="G211" s="55">
        <v>9522010020</v>
      </c>
      <c r="H211" s="54" t="s">
        <v>74</v>
      </c>
      <c r="I211" s="617">
        <f>89.64/НДС_20</f>
        <v>74.7</v>
      </c>
      <c r="J211" s="617"/>
      <c r="K211" s="113"/>
      <c r="L211" s="617" t="str">
        <f t="shared" si="65"/>
        <v/>
      </c>
      <c r="M211" s="102"/>
      <c r="N211" s="305">
        <f t="shared" si="68"/>
        <v>0</v>
      </c>
      <c r="O211" s="23"/>
      <c r="P211" s="24"/>
      <c r="Q211" s="25"/>
      <c r="R211" s="24"/>
      <c r="S211" s="23"/>
      <c r="T211" s="24"/>
      <c r="U211" s="25"/>
      <c r="V211" s="24"/>
      <c r="W211" s="23"/>
      <c r="X211" s="24"/>
      <c r="Y211" s="25"/>
      <c r="Z211" s="24"/>
      <c r="AA211" s="23"/>
      <c r="AB211" s="24"/>
      <c r="AC211" s="25"/>
      <c r="AD211" s="24"/>
      <c r="AE211" s="23"/>
      <c r="AF211" s="24"/>
      <c r="AG211" s="25"/>
      <c r="AH211" s="24"/>
      <c r="AI211" s="23"/>
      <c r="AJ211" s="24"/>
      <c r="AK211" s="25"/>
      <c r="AL211" s="24"/>
      <c r="AM211" s="23"/>
      <c r="AN211" s="24"/>
      <c r="AO211" s="25"/>
      <c r="AP211" s="24"/>
      <c r="AQ211" s="23"/>
      <c r="AR211" s="24"/>
      <c r="AS211" s="25"/>
      <c r="AT211" s="24"/>
      <c r="AU211" s="23"/>
      <c r="AV211" s="24"/>
      <c r="AW211" s="25"/>
      <c r="AX211" s="24"/>
      <c r="AY211" s="23"/>
      <c r="AZ211" s="24"/>
      <c r="BA211" s="25"/>
      <c r="BB211" s="24"/>
      <c r="BC211" s="23"/>
      <c r="BD211" s="24"/>
      <c r="BE211" s="25"/>
      <c r="BF211" s="24"/>
      <c r="BG211" s="23"/>
      <c r="BH211" s="24"/>
      <c r="BI211" s="25"/>
      <c r="BJ211" s="24"/>
      <c r="BK211" s="340"/>
      <c r="BL211" s="32">
        <f t="shared" si="69"/>
        <v>0</v>
      </c>
      <c r="BM211" s="32">
        <f t="shared" si="70"/>
        <v>0</v>
      </c>
      <c r="BN211" s="28">
        <f t="shared" si="71"/>
        <v>0</v>
      </c>
      <c r="BO211" s="29">
        <f t="shared" si="72"/>
        <v>0</v>
      </c>
      <c r="BP211" s="30">
        <f t="shared" si="73"/>
        <v>0</v>
      </c>
      <c r="BQ211" s="31">
        <f t="shared" si="74"/>
        <v>0</v>
      </c>
      <c r="BR211" s="11"/>
      <c r="BS211" s="329"/>
      <c r="BT211" s="23"/>
      <c r="BU211" s="24"/>
      <c r="BV211" s="25"/>
      <c r="BW211" s="24"/>
      <c r="BX211" s="23"/>
      <c r="BY211" s="24"/>
      <c r="BZ211" s="25"/>
      <c r="CA211" s="24"/>
      <c r="CB211" s="23"/>
      <c r="CC211" s="24"/>
      <c r="CD211" s="25"/>
      <c r="CE211" s="24"/>
      <c r="CF211" s="23"/>
      <c r="CG211" s="24"/>
      <c r="CH211" s="25"/>
      <c r="CI211" s="24"/>
      <c r="CJ211" s="23"/>
      <c r="CK211" s="24"/>
      <c r="CL211" s="25"/>
      <c r="CM211" s="24"/>
      <c r="CN211" s="23"/>
      <c r="CO211" s="24"/>
      <c r="CP211" s="25"/>
      <c r="CQ211" s="24"/>
      <c r="CR211" s="23"/>
      <c r="CS211" s="24"/>
      <c r="CT211" s="25"/>
      <c r="CU211" s="24"/>
      <c r="CV211" s="23"/>
      <c r="CW211" s="24"/>
      <c r="CX211" s="25"/>
      <c r="CY211" s="24"/>
      <c r="CZ211" s="23"/>
      <c r="DA211" s="24"/>
      <c r="DB211" s="25"/>
      <c r="DC211" s="24"/>
      <c r="DD211" s="23"/>
      <c r="DE211" s="24"/>
      <c r="DF211" s="25"/>
      <c r="DG211" s="24"/>
      <c r="DH211" s="23"/>
      <c r="DI211" s="24"/>
      <c r="DJ211" s="25"/>
      <c r="DK211" s="24"/>
      <c r="DL211" s="23"/>
      <c r="DM211" s="24"/>
      <c r="DN211" s="25"/>
      <c r="DO211" s="24"/>
      <c r="DP211" s="340"/>
      <c r="DQ211" s="32">
        <f t="shared" si="66"/>
        <v>0</v>
      </c>
      <c r="DR211" s="32">
        <f t="shared" si="62"/>
        <v>0</v>
      </c>
      <c r="DS211" s="11"/>
      <c r="DT211" s="329"/>
      <c r="DU211" s="23"/>
      <c r="DV211" s="24"/>
      <c r="DW211" s="25"/>
      <c r="DX211" s="24"/>
      <c r="DY211" s="23"/>
      <c r="DZ211" s="24"/>
      <c r="EA211" s="25"/>
      <c r="EB211" s="24"/>
      <c r="EC211" s="23"/>
      <c r="ED211" s="24"/>
      <c r="EE211" s="25"/>
      <c r="EF211" s="24"/>
      <c r="EG211" s="23"/>
      <c r="EH211" s="24"/>
      <c r="EI211" s="25"/>
      <c r="EJ211" s="24"/>
      <c r="EK211" s="23"/>
      <c r="EL211" s="24"/>
      <c r="EM211" s="25"/>
      <c r="EN211" s="24"/>
      <c r="EO211" s="23"/>
      <c r="EP211" s="24"/>
      <c r="EQ211" s="25"/>
      <c r="ER211" s="24"/>
      <c r="ES211" s="23"/>
      <c r="ET211" s="24"/>
      <c r="EU211" s="25"/>
      <c r="EV211" s="24"/>
      <c r="EW211" s="23"/>
      <c r="EX211" s="24"/>
      <c r="EY211" s="25"/>
      <c r="EZ211" s="24"/>
      <c r="FA211" s="23"/>
      <c r="FB211" s="24"/>
      <c r="FC211" s="25"/>
      <c r="FD211" s="24"/>
      <c r="FE211" s="23"/>
      <c r="FF211" s="24"/>
      <c r="FG211" s="25"/>
      <c r="FH211" s="24"/>
      <c r="FI211" s="23"/>
      <c r="FJ211" s="24"/>
      <c r="FK211" s="25"/>
      <c r="FL211" s="24"/>
      <c r="FM211" s="23"/>
      <c r="FN211" s="24"/>
      <c r="FO211" s="25"/>
      <c r="FP211" s="24"/>
      <c r="FQ211" s="340"/>
      <c r="FR211" s="32">
        <f t="shared" si="67"/>
        <v>0</v>
      </c>
      <c r="FS211" s="32">
        <f t="shared" si="64"/>
        <v>0</v>
      </c>
      <c r="FT211" s="361"/>
    </row>
    <row r="212" spans="1:176" outlineLevel="2">
      <c r="A212" s="411" t="s">
        <v>470</v>
      </c>
      <c r="B212" s="448" t="s">
        <v>134</v>
      </c>
      <c r="C212" s="594" t="s">
        <v>72</v>
      </c>
      <c r="D212" s="589" t="s">
        <v>32</v>
      </c>
      <c r="E212" s="412">
        <f>IF(ISBLANK(G212),"",IF($A$6:$A$330=$A212,COUNTIF($A$6:A212,$A212),""))</f>
        <v>18</v>
      </c>
      <c r="F212" s="10">
        <v>1</v>
      </c>
      <c r="G212" s="55">
        <v>4527110560</v>
      </c>
      <c r="H212" s="54" t="s">
        <v>138</v>
      </c>
      <c r="I212" s="617">
        <f>133.2/НДС_20</f>
        <v>111</v>
      </c>
      <c r="J212" s="617"/>
      <c r="K212" s="113"/>
      <c r="L212" s="617" t="str">
        <f t="shared" si="65"/>
        <v/>
      </c>
      <c r="M212" s="102"/>
      <c r="N212" s="305">
        <f t="shared" si="68"/>
        <v>0</v>
      </c>
      <c r="O212" s="23"/>
      <c r="P212" s="24"/>
      <c r="Q212" s="25"/>
      <c r="R212" s="24"/>
      <c r="S212" s="23"/>
      <c r="T212" s="24"/>
      <c r="U212" s="25"/>
      <c r="V212" s="24"/>
      <c r="W212" s="23"/>
      <c r="X212" s="24"/>
      <c r="Y212" s="25"/>
      <c r="Z212" s="24"/>
      <c r="AA212" s="23"/>
      <c r="AB212" s="24"/>
      <c r="AC212" s="25"/>
      <c r="AD212" s="24"/>
      <c r="AE212" s="23"/>
      <c r="AF212" s="24"/>
      <c r="AG212" s="25"/>
      <c r="AH212" s="24"/>
      <c r="AI212" s="23"/>
      <c r="AJ212" s="24"/>
      <c r="AK212" s="25"/>
      <c r="AL212" s="24"/>
      <c r="AM212" s="23"/>
      <c r="AN212" s="24"/>
      <c r="AO212" s="25"/>
      <c r="AP212" s="24"/>
      <c r="AQ212" s="23"/>
      <c r="AR212" s="24"/>
      <c r="AS212" s="25"/>
      <c r="AT212" s="24"/>
      <c r="AU212" s="23"/>
      <c r="AV212" s="24"/>
      <c r="AW212" s="25"/>
      <c r="AX212" s="24"/>
      <c r="AY212" s="23"/>
      <c r="AZ212" s="24"/>
      <c r="BA212" s="25"/>
      <c r="BB212" s="24"/>
      <c r="BC212" s="23"/>
      <c r="BD212" s="24"/>
      <c r="BE212" s="25"/>
      <c r="BF212" s="24"/>
      <c r="BG212" s="23"/>
      <c r="BH212" s="24"/>
      <c r="BI212" s="25"/>
      <c r="BJ212" s="24"/>
      <c r="BK212" s="340"/>
      <c r="BL212" s="32">
        <f t="shared" si="69"/>
        <v>0</v>
      </c>
      <c r="BM212" s="32">
        <f t="shared" si="70"/>
        <v>0</v>
      </c>
      <c r="BN212" s="28">
        <f t="shared" si="71"/>
        <v>0</v>
      </c>
      <c r="BO212" s="29">
        <f t="shared" si="72"/>
        <v>0</v>
      </c>
      <c r="BP212" s="30">
        <f t="shared" si="73"/>
        <v>0</v>
      </c>
      <c r="BQ212" s="31">
        <f t="shared" si="74"/>
        <v>0</v>
      </c>
      <c r="BR212" s="11"/>
      <c r="BS212" s="329"/>
      <c r="BT212" s="23"/>
      <c r="BU212" s="24"/>
      <c r="BV212" s="25"/>
      <c r="BW212" s="24"/>
      <c r="BX212" s="23"/>
      <c r="BY212" s="24"/>
      <c r="BZ212" s="25"/>
      <c r="CA212" s="24"/>
      <c r="CB212" s="23"/>
      <c r="CC212" s="24"/>
      <c r="CD212" s="25"/>
      <c r="CE212" s="24"/>
      <c r="CF212" s="23"/>
      <c r="CG212" s="24"/>
      <c r="CH212" s="25"/>
      <c r="CI212" s="24"/>
      <c r="CJ212" s="23"/>
      <c r="CK212" s="24"/>
      <c r="CL212" s="25"/>
      <c r="CM212" s="24"/>
      <c r="CN212" s="23"/>
      <c r="CO212" s="24"/>
      <c r="CP212" s="25"/>
      <c r="CQ212" s="24"/>
      <c r="CR212" s="23"/>
      <c r="CS212" s="24"/>
      <c r="CT212" s="25"/>
      <c r="CU212" s="24"/>
      <c r="CV212" s="23"/>
      <c r="CW212" s="24"/>
      <c r="CX212" s="25"/>
      <c r="CY212" s="24"/>
      <c r="CZ212" s="23"/>
      <c r="DA212" s="24"/>
      <c r="DB212" s="25"/>
      <c r="DC212" s="24"/>
      <c r="DD212" s="23"/>
      <c r="DE212" s="24"/>
      <c r="DF212" s="25"/>
      <c r="DG212" s="24"/>
      <c r="DH212" s="23"/>
      <c r="DI212" s="24"/>
      <c r="DJ212" s="25"/>
      <c r="DK212" s="24"/>
      <c r="DL212" s="23"/>
      <c r="DM212" s="24"/>
      <c r="DN212" s="25"/>
      <c r="DO212" s="24"/>
      <c r="DP212" s="340"/>
      <c r="DQ212" s="32">
        <f t="shared" si="66"/>
        <v>0</v>
      </c>
      <c r="DR212" s="32">
        <f t="shared" si="62"/>
        <v>0</v>
      </c>
      <c r="DS212" s="11"/>
      <c r="DT212" s="329"/>
      <c r="DU212" s="23"/>
      <c r="DV212" s="24"/>
      <c r="DW212" s="25"/>
      <c r="DX212" s="24"/>
      <c r="DY212" s="23"/>
      <c r="DZ212" s="24"/>
      <c r="EA212" s="25"/>
      <c r="EB212" s="24"/>
      <c r="EC212" s="23"/>
      <c r="ED212" s="24"/>
      <c r="EE212" s="25"/>
      <c r="EF212" s="24"/>
      <c r="EG212" s="23"/>
      <c r="EH212" s="24"/>
      <c r="EI212" s="25"/>
      <c r="EJ212" s="24"/>
      <c r="EK212" s="23"/>
      <c r="EL212" s="24"/>
      <c r="EM212" s="25"/>
      <c r="EN212" s="24"/>
      <c r="EO212" s="23"/>
      <c r="EP212" s="24"/>
      <c r="EQ212" s="25"/>
      <c r="ER212" s="24"/>
      <c r="ES212" s="23"/>
      <c r="ET212" s="24"/>
      <c r="EU212" s="25"/>
      <c r="EV212" s="24"/>
      <c r="EW212" s="23"/>
      <c r="EX212" s="24"/>
      <c r="EY212" s="25"/>
      <c r="EZ212" s="24"/>
      <c r="FA212" s="23"/>
      <c r="FB212" s="24"/>
      <c r="FC212" s="25"/>
      <c r="FD212" s="24"/>
      <c r="FE212" s="23"/>
      <c r="FF212" s="24"/>
      <c r="FG212" s="25"/>
      <c r="FH212" s="24"/>
      <c r="FI212" s="23"/>
      <c r="FJ212" s="24"/>
      <c r="FK212" s="25"/>
      <c r="FL212" s="24"/>
      <c r="FM212" s="23"/>
      <c r="FN212" s="24"/>
      <c r="FO212" s="25"/>
      <c r="FP212" s="24"/>
      <c r="FQ212" s="340"/>
      <c r="FR212" s="32">
        <f t="shared" si="67"/>
        <v>0</v>
      </c>
      <c r="FS212" s="32">
        <f t="shared" si="64"/>
        <v>0</v>
      </c>
      <c r="FT212" s="361"/>
    </row>
    <row r="213" spans="1:176" outlineLevel="2">
      <c r="A213" s="411" t="s">
        <v>470</v>
      </c>
      <c r="B213" s="448" t="s">
        <v>134</v>
      </c>
      <c r="C213" s="594" t="s">
        <v>72</v>
      </c>
      <c r="D213" s="589" t="s">
        <v>32</v>
      </c>
      <c r="E213" s="412">
        <f>IF(ISBLANK(G213),"",IF($A$6:$A$330=$A213,COUNTIF($A$6:A213,$A213),""))</f>
        <v>19</v>
      </c>
      <c r="F213" s="10">
        <v>1</v>
      </c>
      <c r="G213" s="55">
        <v>4527110570</v>
      </c>
      <c r="H213" s="54" t="s">
        <v>139</v>
      </c>
      <c r="I213" s="617">
        <f>133.2/НДС_20</f>
        <v>111</v>
      </c>
      <c r="J213" s="617"/>
      <c r="K213" s="113"/>
      <c r="L213" s="617" t="str">
        <f t="shared" si="65"/>
        <v/>
      </c>
      <c r="M213" s="102"/>
      <c r="N213" s="305">
        <f t="shared" si="68"/>
        <v>0</v>
      </c>
      <c r="O213" s="23"/>
      <c r="P213" s="24"/>
      <c r="Q213" s="25"/>
      <c r="R213" s="24"/>
      <c r="S213" s="23"/>
      <c r="T213" s="24"/>
      <c r="U213" s="25"/>
      <c r="V213" s="24"/>
      <c r="W213" s="23"/>
      <c r="X213" s="24"/>
      <c r="Y213" s="25"/>
      <c r="Z213" s="24"/>
      <c r="AA213" s="23"/>
      <c r="AB213" s="24"/>
      <c r="AC213" s="25"/>
      <c r="AD213" s="24"/>
      <c r="AE213" s="23"/>
      <c r="AF213" s="24"/>
      <c r="AG213" s="25"/>
      <c r="AH213" s="24"/>
      <c r="AI213" s="23"/>
      <c r="AJ213" s="24"/>
      <c r="AK213" s="25"/>
      <c r="AL213" s="24"/>
      <c r="AM213" s="23"/>
      <c r="AN213" s="24"/>
      <c r="AO213" s="25"/>
      <c r="AP213" s="24"/>
      <c r="AQ213" s="23"/>
      <c r="AR213" s="24"/>
      <c r="AS213" s="25"/>
      <c r="AT213" s="24"/>
      <c r="AU213" s="23"/>
      <c r="AV213" s="24"/>
      <c r="AW213" s="25"/>
      <c r="AX213" s="24"/>
      <c r="AY213" s="23"/>
      <c r="AZ213" s="24"/>
      <c r="BA213" s="25"/>
      <c r="BB213" s="24"/>
      <c r="BC213" s="23"/>
      <c r="BD213" s="24"/>
      <c r="BE213" s="25"/>
      <c r="BF213" s="24"/>
      <c r="BG213" s="23"/>
      <c r="BH213" s="24"/>
      <c r="BI213" s="25"/>
      <c r="BJ213" s="24"/>
      <c r="BK213" s="340"/>
      <c r="BL213" s="32">
        <f t="shared" si="69"/>
        <v>0</v>
      </c>
      <c r="BM213" s="32">
        <f t="shared" si="70"/>
        <v>0</v>
      </c>
      <c r="BN213" s="28">
        <f t="shared" si="71"/>
        <v>0</v>
      </c>
      <c r="BO213" s="29">
        <f t="shared" si="72"/>
        <v>0</v>
      </c>
      <c r="BP213" s="30">
        <f t="shared" si="73"/>
        <v>0</v>
      </c>
      <c r="BQ213" s="31">
        <f t="shared" si="74"/>
        <v>0</v>
      </c>
      <c r="BR213" s="11"/>
      <c r="BS213" s="329"/>
      <c r="BT213" s="23"/>
      <c r="BU213" s="24"/>
      <c r="BV213" s="25"/>
      <c r="BW213" s="24"/>
      <c r="BX213" s="23"/>
      <c r="BY213" s="24"/>
      <c r="BZ213" s="25"/>
      <c r="CA213" s="24"/>
      <c r="CB213" s="23"/>
      <c r="CC213" s="24"/>
      <c r="CD213" s="25"/>
      <c r="CE213" s="24"/>
      <c r="CF213" s="23"/>
      <c r="CG213" s="24"/>
      <c r="CH213" s="25"/>
      <c r="CI213" s="24"/>
      <c r="CJ213" s="23"/>
      <c r="CK213" s="24"/>
      <c r="CL213" s="25"/>
      <c r="CM213" s="24"/>
      <c r="CN213" s="23"/>
      <c r="CO213" s="24"/>
      <c r="CP213" s="25"/>
      <c r="CQ213" s="24"/>
      <c r="CR213" s="23"/>
      <c r="CS213" s="24"/>
      <c r="CT213" s="25"/>
      <c r="CU213" s="24"/>
      <c r="CV213" s="23"/>
      <c r="CW213" s="24"/>
      <c r="CX213" s="25"/>
      <c r="CY213" s="24"/>
      <c r="CZ213" s="23"/>
      <c r="DA213" s="24"/>
      <c r="DB213" s="25"/>
      <c r="DC213" s="24"/>
      <c r="DD213" s="23"/>
      <c r="DE213" s="24"/>
      <c r="DF213" s="25"/>
      <c r="DG213" s="24"/>
      <c r="DH213" s="23"/>
      <c r="DI213" s="24"/>
      <c r="DJ213" s="25"/>
      <c r="DK213" s="24"/>
      <c r="DL213" s="23"/>
      <c r="DM213" s="24"/>
      <c r="DN213" s="25"/>
      <c r="DO213" s="24"/>
      <c r="DP213" s="340"/>
      <c r="DQ213" s="32">
        <f t="shared" si="66"/>
        <v>0</v>
      </c>
      <c r="DR213" s="32">
        <f t="shared" si="62"/>
        <v>0</v>
      </c>
      <c r="DS213" s="11"/>
      <c r="DT213" s="329"/>
      <c r="DU213" s="23"/>
      <c r="DV213" s="24"/>
      <c r="DW213" s="25"/>
      <c r="DX213" s="24"/>
      <c r="DY213" s="23"/>
      <c r="DZ213" s="24"/>
      <c r="EA213" s="25"/>
      <c r="EB213" s="24"/>
      <c r="EC213" s="23"/>
      <c r="ED213" s="24"/>
      <c r="EE213" s="25"/>
      <c r="EF213" s="24"/>
      <c r="EG213" s="23"/>
      <c r="EH213" s="24"/>
      <c r="EI213" s="25"/>
      <c r="EJ213" s="24"/>
      <c r="EK213" s="23"/>
      <c r="EL213" s="24"/>
      <c r="EM213" s="25"/>
      <c r="EN213" s="24"/>
      <c r="EO213" s="23"/>
      <c r="EP213" s="24"/>
      <c r="EQ213" s="25"/>
      <c r="ER213" s="24"/>
      <c r="ES213" s="23"/>
      <c r="ET213" s="24"/>
      <c r="EU213" s="25"/>
      <c r="EV213" s="24"/>
      <c r="EW213" s="23"/>
      <c r="EX213" s="24"/>
      <c r="EY213" s="25"/>
      <c r="EZ213" s="24"/>
      <c r="FA213" s="23"/>
      <c r="FB213" s="24"/>
      <c r="FC213" s="25"/>
      <c r="FD213" s="24"/>
      <c r="FE213" s="23"/>
      <c r="FF213" s="24"/>
      <c r="FG213" s="25"/>
      <c r="FH213" s="24"/>
      <c r="FI213" s="23"/>
      <c r="FJ213" s="24"/>
      <c r="FK213" s="25"/>
      <c r="FL213" s="24"/>
      <c r="FM213" s="23"/>
      <c r="FN213" s="24"/>
      <c r="FO213" s="25"/>
      <c r="FP213" s="24"/>
      <c r="FQ213" s="340"/>
      <c r="FR213" s="32">
        <f t="shared" si="67"/>
        <v>0</v>
      </c>
      <c r="FS213" s="32">
        <f t="shared" si="64"/>
        <v>0</v>
      </c>
      <c r="FT213" s="361"/>
    </row>
    <row r="214" spans="1:176" outlineLevel="2">
      <c r="A214" s="413" t="s">
        <v>470</v>
      </c>
      <c r="B214" s="444" t="s">
        <v>134</v>
      </c>
      <c r="C214" s="592" t="s">
        <v>72</v>
      </c>
      <c r="D214" s="580" t="s">
        <v>32</v>
      </c>
      <c r="E214" s="414">
        <f>IF(ISBLANK(G214),"",IF($A$6:$A$330=$A214,COUNTIF($A$6:A214,$A214),""))</f>
        <v>20</v>
      </c>
      <c r="F214" s="284">
        <v>1</v>
      </c>
      <c r="G214" s="304">
        <v>4006043270</v>
      </c>
      <c r="H214" s="602" t="s">
        <v>492</v>
      </c>
      <c r="I214" s="616">
        <f>118.34/НДС</f>
        <v>97</v>
      </c>
      <c r="J214" s="616"/>
      <c r="K214" s="333"/>
      <c r="L214" s="616"/>
      <c r="M214" s="305"/>
      <c r="N214" s="305">
        <f t="shared" si="68"/>
        <v>2</v>
      </c>
      <c r="O214" s="322"/>
      <c r="P214" s="408"/>
      <c r="Q214" s="307"/>
      <c r="R214" s="408"/>
      <c r="S214" s="322"/>
      <c r="T214" s="408"/>
      <c r="U214" s="307"/>
      <c r="V214" s="408"/>
      <c r="W214" s="322"/>
      <c r="X214" s="408"/>
      <c r="Y214" s="307"/>
      <c r="Z214" s="408"/>
      <c r="AA214" s="322"/>
      <c r="AB214" s="408"/>
      <c r="AC214" s="307"/>
      <c r="AD214" s="408"/>
      <c r="AE214" s="322"/>
      <c r="AF214" s="408"/>
      <c r="AG214" s="307"/>
      <c r="AH214" s="408"/>
      <c r="AI214" s="322"/>
      <c r="AJ214" s="408">
        <f>4</f>
        <v>4</v>
      </c>
      <c r="AK214" s="307"/>
      <c r="AL214" s="408"/>
      <c r="AM214" s="322"/>
      <c r="AN214" s="408"/>
      <c r="AO214" s="307"/>
      <c r="AP214" s="408"/>
      <c r="AQ214" s="322"/>
      <c r="AR214" s="408"/>
      <c r="AS214" s="307"/>
      <c r="AT214" s="408"/>
      <c r="AU214" s="322"/>
      <c r="AV214" s="408"/>
      <c r="AW214" s="307"/>
      <c r="AX214" s="408"/>
      <c r="AY214" s="322"/>
      <c r="AZ214" s="408"/>
      <c r="BA214" s="307"/>
      <c r="BB214" s="408"/>
      <c r="BC214" s="322"/>
      <c r="BD214" s="408"/>
      <c r="BE214" s="307"/>
      <c r="BF214" s="408"/>
      <c r="BG214" s="322"/>
      <c r="BH214" s="408"/>
      <c r="BI214" s="307"/>
      <c r="BJ214" s="408"/>
      <c r="BK214" s="340"/>
      <c r="BL214" s="328">
        <f t="shared" si="69"/>
        <v>0</v>
      </c>
      <c r="BM214" s="328">
        <f t="shared" si="70"/>
        <v>0</v>
      </c>
      <c r="BN214" s="324">
        <f t="shared" si="71"/>
        <v>4</v>
      </c>
      <c r="BO214" s="325">
        <f t="shared" si="72"/>
        <v>388</v>
      </c>
      <c r="BP214" s="326">
        <f t="shared" si="73"/>
        <v>0</v>
      </c>
      <c r="BQ214" s="327">
        <f t="shared" si="74"/>
        <v>0</v>
      </c>
      <c r="BR214" s="329"/>
      <c r="BS214" s="329"/>
      <c r="BT214" s="322"/>
      <c r="BU214" s="408"/>
      <c r="BV214" s="307"/>
      <c r="BW214" s="408"/>
      <c r="BX214" s="322"/>
      <c r="BY214" s="408"/>
      <c r="BZ214" s="307"/>
      <c r="CA214" s="408"/>
      <c r="CB214" s="322"/>
      <c r="CC214" s="408"/>
      <c r="CD214" s="307"/>
      <c r="CE214" s="408"/>
      <c r="CF214" s="322"/>
      <c r="CG214" s="408"/>
      <c r="CH214" s="307"/>
      <c r="CI214" s="408"/>
      <c r="CJ214" s="322"/>
      <c r="CK214" s="408"/>
      <c r="CL214" s="307"/>
      <c r="CM214" s="408"/>
      <c r="CN214" s="322"/>
      <c r="CO214" s="408"/>
      <c r="CP214" s="307"/>
      <c r="CQ214" s="408"/>
      <c r="CR214" s="322"/>
      <c r="CS214" s="408"/>
      <c r="CT214" s="307"/>
      <c r="CU214" s="408"/>
      <c r="CV214" s="322"/>
      <c r="CW214" s="408"/>
      <c r="CX214" s="307"/>
      <c r="CY214" s="408"/>
      <c r="CZ214" s="322"/>
      <c r="DA214" s="408"/>
      <c r="DB214" s="307"/>
      <c r="DC214" s="408"/>
      <c r="DD214" s="322"/>
      <c r="DE214" s="408"/>
      <c r="DF214" s="307"/>
      <c r="DG214" s="408"/>
      <c r="DH214" s="322"/>
      <c r="DI214" s="408"/>
      <c r="DJ214" s="307"/>
      <c r="DK214" s="408"/>
      <c r="DL214" s="322"/>
      <c r="DM214" s="408"/>
      <c r="DN214" s="307"/>
      <c r="DO214" s="408"/>
      <c r="DP214" s="340"/>
      <c r="DQ214" s="328"/>
      <c r="DR214" s="328"/>
      <c r="DS214" s="329"/>
      <c r="DT214" s="329"/>
      <c r="DU214" s="322"/>
      <c r="DV214" s="408"/>
      <c r="DW214" s="307"/>
      <c r="DX214" s="408"/>
      <c r="DY214" s="322"/>
      <c r="DZ214" s="408"/>
      <c r="EA214" s="307"/>
      <c r="EB214" s="408"/>
      <c r="EC214" s="322"/>
      <c r="ED214" s="408"/>
      <c r="EE214" s="307"/>
      <c r="EF214" s="408"/>
      <c r="EG214" s="322"/>
      <c r="EH214" s="408"/>
      <c r="EI214" s="307"/>
      <c r="EJ214" s="408"/>
      <c r="EK214" s="322"/>
      <c r="EL214" s="408"/>
      <c r="EM214" s="307"/>
      <c r="EN214" s="408"/>
      <c r="EO214" s="322"/>
      <c r="EP214" s="408"/>
      <c r="EQ214" s="307"/>
      <c r="ER214" s="408"/>
      <c r="ES214" s="322"/>
      <c r="ET214" s="408"/>
      <c r="EU214" s="307"/>
      <c r="EV214" s="408"/>
      <c r="EW214" s="322"/>
      <c r="EX214" s="408"/>
      <c r="EY214" s="307"/>
      <c r="EZ214" s="408"/>
      <c r="FA214" s="322"/>
      <c r="FB214" s="408"/>
      <c r="FC214" s="307"/>
      <c r="FD214" s="408"/>
      <c r="FE214" s="322"/>
      <c r="FF214" s="408"/>
      <c r="FG214" s="307"/>
      <c r="FH214" s="408"/>
      <c r="FI214" s="322"/>
      <c r="FJ214" s="408"/>
      <c r="FK214" s="307"/>
      <c r="FL214" s="408"/>
      <c r="FM214" s="322"/>
      <c r="FN214" s="408"/>
      <c r="FO214" s="307"/>
      <c r="FP214" s="408"/>
      <c r="FQ214" s="340"/>
      <c r="FR214" s="328"/>
      <c r="FS214" s="328"/>
      <c r="FT214" s="361"/>
    </row>
    <row r="215" spans="1:176" outlineLevel="2">
      <c r="A215" s="413" t="s">
        <v>470</v>
      </c>
      <c r="B215" s="444" t="s">
        <v>134</v>
      </c>
      <c r="C215" s="592" t="s">
        <v>72</v>
      </c>
      <c r="D215" s="580" t="s">
        <v>32</v>
      </c>
      <c r="E215" s="414">
        <f>IF(ISBLANK(G215),"",IF($A$6:$A$330=$A215,COUNTIF($A$6:A215,$A215),""))</f>
        <v>21</v>
      </c>
      <c r="F215" s="284">
        <v>1</v>
      </c>
      <c r="G215" s="304">
        <v>4006043280</v>
      </c>
      <c r="H215" s="602" t="s">
        <v>493</v>
      </c>
      <c r="I215" s="616">
        <f>118.34/НДС</f>
        <v>97</v>
      </c>
      <c r="J215" s="616"/>
      <c r="K215" s="333"/>
      <c r="L215" s="616"/>
      <c r="M215" s="305"/>
      <c r="N215" s="305">
        <f t="shared" si="68"/>
        <v>2</v>
      </c>
      <c r="O215" s="322"/>
      <c r="P215" s="408"/>
      <c r="Q215" s="307"/>
      <c r="R215" s="408"/>
      <c r="S215" s="322"/>
      <c r="T215" s="408"/>
      <c r="U215" s="307"/>
      <c r="V215" s="408"/>
      <c r="W215" s="322"/>
      <c r="X215" s="408"/>
      <c r="Y215" s="307"/>
      <c r="Z215" s="408"/>
      <c r="AA215" s="322"/>
      <c r="AB215" s="408"/>
      <c r="AC215" s="307"/>
      <c r="AD215" s="408"/>
      <c r="AE215" s="322"/>
      <c r="AF215" s="408"/>
      <c r="AG215" s="307"/>
      <c r="AH215" s="408"/>
      <c r="AI215" s="322"/>
      <c r="AJ215" s="408">
        <f>4</f>
        <v>4</v>
      </c>
      <c r="AK215" s="307"/>
      <c r="AL215" s="408"/>
      <c r="AM215" s="322"/>
      <c r="AN215" s="408"/>
      <c r="AO215" s="307"/>
      <c r="AP215" s="408"/>
      <c r="AQ215" s="322"/>
      <c r="AR215" s="408"/>
      <c r="AS215" s="307"/>
      <c r="AT215" s="408"/>
      <c r="AU215" s="322"/>
      <c r="AV215" s="408"/>
      <c r="AW215" s="307"/>
      <c r="AX215" s="408"/>
      <c r="AY215" s="322"/>
      <c r="AZ215" s="408"/>
      <c r="BA215" s="307"/>
      <c r="BB215" s="408"/>
      <c r="BC215" s="322"/>
      <c r="BD215" s="408"/>
      <c r="BE215" s="307"/>
      <c r="BF215" s="408"/>
      <c r="BG215" s="322"/>
      <c r="BH215" s="408"/>
      <c r="BI215" s="307"/>
      <c r="BJ215" s="408"/>
      <c r="BK215" s="340"/>
      <c r="BL215" s="328">
        <f t="shared" si="69"/>
        <v>0</v>
      </c>
      <c r="BM215" s="328">
        <f t="shared" si="70"/>
        <v>0</v>
      </c>
      <c r="BN215" s="324">
        <f t="shared" si="71"/>
        <v>4</v>
      </c>
      <c r="BO215" s="325">
        <f t="shared" si="72"/>
        <v>388</v>
      </c>
      <c r="BP215" s="326">
        <f t="shared" si="73"/>
        <v>0</v>
      </c>
      <c r="BQ215" s="327">
        <f t="shared" si="74"/>
        <v>0</v>
      </c>
      <c r="BR215" s="329"/>
      <c r="BS215" s="329"/>
      <c r="BT215" s="322"/>
      <c r="BU215" s="408"/>
      <c r="BV215" s="307"/>
      <c r="BW215" s="408"/>
      <c r="BX215" s="322"/>
      <c r="BY215" s="408"/>
      <c r="BZ215" s="307"/>
      <c r="CA215" s="408"/>
      <c r="CB215" s="322"/>
      <c r="CC215" s="408"/>
      <c r="CD215" s="307"/>
      <c r="CE215" s="408"/>
      <c r="CF215" s="322"/>
      <c r="CG215" s="408"/>
      <c r="CH215" s="307"/>
      <c r="CI215" s="408"/>
      <c r="CJ215" s="322"/>
      <c r="CK215" s="408"/>
      <c r="CL215" s="307"/>
      <c r="CM215" s="408"/>
      <c r="CN215" s="322"/>
      <c r="CO215" s="408"/>
      <c r="CP215" s="307"/>
      <c r="CQ215" s="408"/>
      <c r="CR215" s="322"/>
      <c r="CS215" s="408"/>
      <c r="CT215" s="307"/>
      <c r="CU215" s="408"/>
      <c r="CV215" s="322"/>
      <c r="CW215" s="408"/>
      <c r="CX215" s="307"/>
      <c r="CY215" s="408"/>
      <c r="CZ215" s="322"/>
      <c r="DA215" s="408"/>
      <c r="DB215" s="307"/>
      <c r="DC215" s="408"/>
      <c r="DD215" s="322"/>
      <c r="DE215" s="408"/>
      <c r="DF215" s="307"/>
      <c r="DG215" s="408"/>
      <c r="DH215" s="322"/>
      <c r="DI215" s="408"/>
      <c r="DJ215" s="307"/>
      <c r="DK215" s="408"/>
      <c r="DL215" s="322"/>
      <c r="DM215" s="408"/>
      <c r="DN215" s="307"/>
      <c r="DO215" s="408"/>
      <c r="DP215" s="340"/>
      <c r="DQ215" s="328"/>
      <c r="DR215" s="328"/>
      <c r="DS215" s="329"/>
      <c r="DT215" s="329"/>
      <c r="DU215" s="322"/>
      <c r="DV215" s="408"/>
      <c r="DW215" s="307"/>
      <c r="DX215" s="408"/>
      <c r="DY215" s="322"/>
      <c r="DZ215" s="408"/>
      <c r="EA215" s="307"/>
      <c r="EB215" s="408"/>
      <c r="EC215" s="322"/>
      <c r="ED215" s="408"/>
      <c r="EE215" s="307"/>
      <c r="EF215" s="408"/>
      <c r="EG215" s="322"/>
      <c r="EH215" s="408"/>
      <c r="EI215" s="307"/>
      <c r="EJ215" s="408"/>
      <c r="EK215" s="322"/>
      <c r="EL215" s="408"/>
      <c r="EM215" s="307"/>
      <c r="EN215" s="408"/>
      <c r="EO215" s="322"/>
      <c r="EP215" s="408"/>
      <c r="EQ215" s="307"/>
      <c r="ER215" s="408"/>
      <c r="ES215" s="322"/>
      <c r="ET215" s="408"/>
      <c r="EU215" s="307"/>
      <c r="EV215" s="408"/>
      <c r="EW215" s="322"/>
      <c r="EX215" s="408"/>
      <c r="EY215" s="307"/>
      <c r="EZ215" s="408"/>
      <c r="FA215" s="322"/>
      <c r="FB215" s="408"/>
      <c r="FC215" s="307"/>
      <c r="FD215" s="408"/>
      <c r="FE215" s="322"/>
      <c r="FF215" s="408"/>
      <c r="FG215" s="307"/>
      <c r="FH215" s="408"/>
      <c r="FI215" s="322"/>
      <c r="FJ215" s="408"/>
      <c r="FK215" s="307"/>
      <c r="FL215" s="408"/>
      <c r="FM215" s="322"/>
      <c r="FN215" s="408"/>
      <c r="FO215" s="307"/>
      <c r="FP215" s="408"/>
      <c r="FQ215" s="340"/>
      <c r="FR215" s="328"/>
      <c r="FS215" s="328"/>
      <c r="FT215" s="361"/>
    </row>
    <row r="216" spans="1:176" outlineLevel="2">
      <c r="A216" s="56" t="s">
        <v>470</v>
      </c>
      <c r="B216" s="387" t="s">
        <v>134</v>
      </c>
      <c r="C216" s="173" t="s">
        <v>72</v>
      </c>
      <c r="D216" s="565" t="s">
        <v>32</v>
      </c>
      <c r="E216" s="10">
        <f>IF(ISBLANK(G216),"",IF($A$6:$A$330=$A216,COUNTIF($A$6:A216,$A216),""))</f>
        <v>22</v>
      </c>
      <c r="F216" s="10">
        <v>1</v>
      </c>
      <c r="G216" s="55">
        <v>4006043290</v>
      </c>
      <c r="H216" s="409" t="s">
        <v>494</v>
      </c>
      <c r="I216" s="617">
        <f>116.4/НДС_20</f>
        <v>97.000000000000014</v>
      </c>
      <c r="J216" s="617"/>
      <c r="K216" s="113"/>
      <c r="L216" s="617" t="str">
        <f t="shared" si="65"/>
        <v/>
      </c>
      <c r="M216" s="102"/>
      <c r="N216" s="305">
        <f t="shared" ref="N216:N274" si="75">IF(BP216&gt;0,1,IF(BN216&gt;0,2,))</f>
        <v>0</v>
      </c>
      <c r="O216" s="23"/>
      <c r="P216" s="24"/>
      <c r="Q216" s="25"/>
      <c r="R216" s="24"/>
      <c r="S216" s="23"/>
      <c r="T216" s="24"/>
      <c r="U216" s="25"/>
      <c r="V216" s="24"/>
      <c r="W216" s="23"/>
      <c r="X216" s="24"/>
      <c r="Y216" s="25"/>
      <c r="Z216" s="24"/>
      <c r="AA216" s="23"/>
      <c r="AB216" s="24"/>
      <c r="AC216" s="25"/>
      <c r="AD216" s="24"/>
      <c r="AE216" s="23"/>
      <c r="AF216" s="24"/>
      <c r="AG216" s="25"/>
      <c r="AH216" s="24"/>
      <c r="AI216" s="23"/>
      <c r="AJ216" s="24"/>
      <c r="AK216" s="25"/>
      <c r="AL216" s="24"/>
      <c r="AM216" s="23"/>
      <c r="AN216" s="24"/>
      <c r="AO216" s="25"/>
      <c r="AP216" s="24"/>
      <c r="AQ216" s="23"/>
      <c r="AR216" s="24"/>
      <c r="AS216" s="25"/>
      <c r="AT216" s="24"/>
      <c r="AU216" s="23"/>
      <c r="AV216" s="24"/>
      <c r="AW216" s="25"/>
      <c r="AX216" s="24"/>
      <c r="AY216" s="23"/>
      <c r="AZ216" s="24"/>
      <c r="BA216" s="25"/>
      <c r="BB216" s="24"/>
      <c r="BC216" s="23"/>
      <c r="BD216" s="24"/>
      <c r="BE216" s="25"/>
      <c r="BF216" s="24"/>
      <c r="BG216" s="23"/>
      <c r="BH216" s="24"/>
      <c r="BI216" s="25"/>
      <c r="BJ216" s="24"/>
      <c r="BK216" s="340"/>
      <c r="BL216" s="32">
        <f t="shared" ref="BL216:BL274" si="76">SUMPRODUCT(--(MOD(COLUMN($O216:$AL216),4)=MOD(COLUMN($O216)+0,4)),$O216:$AL216)
+SUMPRODUCT(--(MOD(COLUMN($AM216:$BJ216),4)=MOD(COLUMN($AM216)+0,4)),$AM216:$BJ216)</f>
        <v>0</v>
      </c>
      <c r="BM216" s="32">
        <f t="shared" ref="BM216:BM274" si="77">SUMPRODUCT(--(MOD(COLUMN($O216:$AL216),4)=MOD(COLUMN($O216)+0,4)),$O216:$AL216)*$I216
+SUMPRODUCT(--(MOD(COLUMN($AM216:$BJ216),4)=MOD(COLUMN($AM216)+0,4)),$AM216:$BJ216)*$I216</f>
        <v>0</v>
      </c>
      <c r="BN216" s="28">
        <f t="shared" ref="BN216:BN274" si="78">SUMPRODUCT(--(MOD(COLUMN($O216:$AL216),4)=MOD(COLUMN($O216)+1,4)),$O216:$AL216)
+SUMPRODUCT(--(MOD(COLUMN($AM216:$BJ216),4)=MOD(COLUMN($AM216)+1,4)),$AM216:$BJ216)</f>
        <v>0</v>
      </c>
      <c r="BO216" s="29">
        <f t="shared" ref="BO216:BO274" si="79">SUMPRODUCT(--(MOD(COLUMN($O216:$AL216),4)=MOD(COLUMN($O216)+1,4)),$O216:$AL216)*$I216
+SUMPRODUCT(--(MOD(COLUMN($AM216:$BJ216),4)=MOD(COLUMN($AM216)+1,4)),$AM216:$BJ216)*$I216</f>
        <v>0</v>
      </c>
      <c r="BP216" s="30">
        <f t="shared" ref="BP216:BP274" si="80">SUMPRODUCT(--(MOD(COLUMN($O216:$AL216),4)=MOD(COLUMN($O216)+2,4)),$O216:$AL216)
+SUMPRODUCT(--(MOD(COLUMN($AM216:$BJ216),4)=MOD(COLUMN($AM216)+2,4)),$AM216:$BJ216)</f>
        <v>0</v>
      </c>
      <c r="BQ216" s="31">
        <f t="shared" ref="BQ216:BQ274" si="81">SUMPRODUCT(--(MOD(COLUMN($O216:$AL216),4)=MOD(COLUMN($O216)+2,4)),$O216:$AL216)*$I216
+SUMPRODUCT(--(MOD(COLUMN($AM216:$BJ216),4)=MOD(COLUMN($AM216)+2,4)),$AM216:$BJ216)*$I216</f>
        <v>0</v>
      </c>
      <c r="BR216" s="11"/>
      <c r="BS216" s="329"/>
      <c r="BT216" s="23"/>
      <c r="BU216" s="24"/>
      <c r="BV216" s="25"/>
      <c r="BW216" s="24"/>
      <c r="BX216" s="23"/>
      <c r="BY216" s="24"/>
      <c r="BZ216" s="25"/>
      <c r="CA216" s="24"/>
      <c r="CB216" s="23"/>
      <c r="CC216" s="24"/>
      <c r="CD216" s="25"/>
      <c r="CE216" s="24"/>
      <c r="CF216" s="23"/>
      <c r="CG216" s="24"/>
      <c r="CH216" s="25"/>
      <c r="CI216" s="24"/>
      <c r="CJ216" s="23"/>
      <c r="CK216" s="24"/>
      <c r="CL216" s="25"/>
      <c r="CM216" s="24"/>
      <c r="CN216" s="23"/>
      <c r="CO216" s="24"/>
      <c r="CP216" s="25"/>
      <c r="CQ216" s="24"/>
      <c r="CR216" s="23"/>
      <c r="CS216" s="24"/>
      <c r="CT216" s="25"/>
      <c r="CU216" s="24"/>
      <c r="CV216" s="23"/>
      <c r="CW216" s="24"/>
      <c r="CX216" s="25"/>
      <c r="CY216" s="24"/>
      <c r="CZ216" s="23"/>
      <c r="DA216" s="24"/>
      <c r="DB216" s="25"/>
      <c r="DC216" s="24"/>
      <c r="DD216" s="23"/>
      <c r="DE216" s="24"/>
      <c r="DF216" s="25"/>
      <c r="DG216" s="24"/>
      <c r="DH216" s="23"/>
      <c r="DI216" s="24"/>
      <c r="DJ216" s="25"/>
      <c r="DK216" s="24"/>
      <c r="DL216" s="23"/>
      <c r="DM216" s="24"/>
      <c r="DN216" s="25"/>
      <c r="DO216" s="24"/>
      <c r="DP216" s="340"/>
      <c r="DQ216" s="32">
        <f t="shared" si="66"/>
        <v>0</v>
      </c>
      <c r="DR216" s="32">
        <f t="shared" si="62"/>
        <v>0</v>
      </c>
      <c r="DS216" s="11"/>
      <c r="DT216" s="329"/>
      <c r="DU216" s="23"/>
      <c r="DV216" s="24"/>
      <c r="DW216" s="25"/>
      <c r="DX216" s="24"/>
      <c r="DY216" s="23"/>
      <c r="DZ216" s="24"/>
      <c r="EA216" s="25"/>
      <c r="EB216" s="24"/>
      <c r="EC216" s="23"/>
      <c r="ED216" s="24"/>
      <c r="EE216" s="25"/>
      <c r="EF216" s="24"/>
      <c r="EG216" s="23"/>
      <c r="EH216" s="24"/>
      <c r="EI216" s="25"/>
      <c r="EJ216" s="24"/>
      <c r="EK216" s="23"/>
      <c r="EL216" s="24"/>
      <c r="EM216" s="25"/>
      <c r="EN216" s="24"/>
      <c r="EO216" s="23"/>
      <c r="EP216" s="24"/>
      <c r="EQ216" s="25"/>
      <c r="ER216" s="24"/>
      <c r="ES216" s="23"/>
      <c r="ET216" s="24"/>
      <c r="EU216" s="25"/>
      <c r="EV216" s="24"/>
      <c r="EW216" s="23"/>
      <c r="EX216" s="24"/>
      <c r="EY216" s="25"/>
      <c r="EZ216" s="24"/>
      <c r="FA216" s="23"/>
      <c r="FB216" s="24"/>
      <c r="FC216" s="25"/>
      <c r="FD216" s="24"/>
      <c r="FE216" s="23"/>
      <c r="FF216" s="24"/>
      <c r="FG216" s="25"/>
      <c r="FH216" s="24"/>
      <c r="FI216" s="23"/>
      <c r="FJ216" s="24"/>
      <c r="FK216" s="25"/>
      <c r="FL216" s="24"/>
      <c r="FM216" s="23"/>
      <c r="FN216" s="24"/>
      <c r="FO216" s="25"/>
      <c r="FP216" s="24"/>
      <c r="FQ216" s="340"/>
      <c r="FR216" s="32">
        <f t="shared" si="67"/>
        <v>0</v>
      </c>
      <c r="FS216" s="32">
        <f t="shared" si="64"/>
        <v>0</v>
      </c>
      <c r="FT216" s="361"/>
    </row>
    <row r="217" spans="1:176" outlineLevel="2">
      <c r="A217" s="56" t="s">
        <v>470</v>
      </c>
      <c r="B217" s="387" t="s">
        <v>134</v>
      </c>
      <c r="C217" s="173" t="s">
        <v>72</v>
      </c>
      <c r="D217" s="565" t="s">
        <v>32</v>
      </c>
      <c r="E217" s="10">
        <f>IF(ISBLANK(G217),"",IF($A$6:$A$330=$A217,COUNTIF($A$6:A217,$A217),""))</f>
        <v>23</v>
      </c>
      <c r="F217" s="10">
        <v>1</v>
      </c>
      <c r="G217" s="55">
        <v>4006043300</v>
      </c>
      <c r="H217" s="409" t="s">
        <v>495</v>
      </c>
      <c r="I217" s="617">
        <f>116.4/НДС_20</f>
        <v>97.000000000000014</v>
      </c>
      <c r="J217" s="617"/>
      <c r="K217" s="113"/>
      <c r="L217" s="617" t="str">
        <f t="shared" si="65"/>
        <v/>
      </c>
      <c r="M217" s="102"/>
      <c r="N217" s="305">
        <f t="shared" si="75"/>
        <v>0</v>
      </c>
      <c r="O217" s="23"/>
      <c r="P217" s="24"/>
      <c r="Q217" s="25"/>
      <c r="R217" s="24"/>
      <c r="S217" s="23"/>
      <c r="T217" s="24"/>
      <c r="U217" s="25"/>
      <c r="V217" s="24"/>
      <c r="W217" s="23"/>
      <c r="X217" s="24"/>
      <c r="Y217" s="25"/>
      <c r="Z217" s="24"/>
      <c r="AA217" s="23"/>
      <c r="AB217" s="24"/>
      <c r="AC217" s="25"/>
      <c r="AD217" s="24"/>
      <c r="AE217" s="23"/>
      <c r="AF217" s="24"/>
      <c r="AG217" s="25"/>
      <c r="AH217" s="24"/>
      <c r="AI217" s="23"/>
      <c r="AJ217" s="24"/>
      <c r="AK217" s="25"/>
      <c r="AL217" s="24"/>
      <c r="AM217" s="23"/>
      <c r="AN217" s="24"/>
      <c r="AO217" s="25"/>
      <c r="AP217" s="24"/>
      <c r="AQ217" s="23"/>
      <c r="AR217" s="24"/>
      <c r="AS217" s="25"/>
      <c r="AT217" s="24"/>
      <c r="AU217" s="23"/>
      <c r="AV217" s="24"/>
      <c r="AW217" s="25"/>
      <c r="AX217" s="24"/>
      <c r="AY217" s="23"/>
      <c r="AZ217" s="24"/>
      <c r="BA217" s="25"/>
      <c r="BB217" s="24"/>
      <c r="BC217" s="23"/>
      <c r="BD217" s="24"/>
      <c r="BE217" s="25"/>
      <c r="BF217" s="24"/>
      <c r="BG217" s="23"/>
      <c r="BH217" s="24"/>
      <c r="BI217" s="25"/>
      <c r="BJ217" s="24"/>
      <c r="BK217" s="340"/>
      <c r="BL217" s="32">
        <f t="shared" si="76"/>
        <v>0</v>
      </c>
      <c r="BM217" s="32">
        <f t="shared" si="77"/>
        <v>0</v>
      </c>
      <c r="BN217" s="28">
        <f t="shared" si="78"/>
        <v>0</v>
      </c>
      <c r="BO217" s="29">
        <f t="shared" si="79"/>
        <v>0</v>
      </c>
      <c r="BP217" s="30">
        <f t="shared" si="80"/>
        <v>0</v>
      </c>
      <c r="BQ217" s="31">
        <f t="shared" si="81"/>
        <v>0</v>
      </c>
      <c r="BR217" s="11"/>
      <c r="BS217" s="329"/>
      <c r="BT217" s="23"/>
      <c r="BU217" s="24"/>
      <c r="BV217" s="25"/>
      <c r="BW217" s="24"/>
      <c r="BX217" s="23"/>
      <c r="BY217" s="24"/>
      <c r="BZ217" s="25"/>
      <c r="CA217" s="24"/>
      <c r="CB217" s="23"/>
      <c r="CC217" s="24"/>
      <c r="CD217" s="25"/>
      <c r="CE217" s="24"/>
      <c r="CF217" s="23"/>
      <c r="CG217" s="24"/>
      <c r="CH217" s="25"/>
      <c r="CI217" s="24"/>
      <c r="CJ217" s="23"/>
      <c r="CK217" s="24"/>
      <c r="CL217" s="25"/>
      <c r="CM217" s="24"/>
      <c r="CN217" s="23"/>
      <c r="CO217" s="24"/>
      <c r="CP217" s="25"/>
      <c r="CQ217" s="24"/>
      <c r="CR217" s="23"/>
      <c r="CS217" s="24"/>
      <c r="CT217" s="25"/>
      <c r="CU217" s="24"/>
      <c r="CV217" s="23"/>
      <c r="CW217" s="24"/>
      <c r="CX217" s="25"/>
      <c r="CY217" s="24"/>
      <c r="CZ217" s="23"/>
      <c r="DA217" s="24"/>
      <c r="DB217" s="25"/>
      <c r="DC217" s="24"/>
      <c r="DD217" s="23"/>
      <c r="DE217" s="24"/>
      <c r="DF217" s="25"/>
      <c r="DG217" s="24"/>
      <c r="DH217" s="23"/>
      <c r="DI217" s="24"/>
      <c r="DJ217" s="25"/>
      <c r="DK217" s="24"/>
      <c r="DL217" s="23"/>
      <c r="DM217" s="24"/>
      <c r="DN217" s="25"/>
      <c r="DO217" s="24"/>
      <c r="DP217" s="340"/>
      <c r="DQ217" s="32">
        <f t="shared" si="66"/>
        <v>0</v>
      </c>
      <c r="DR217" s="32">
        <f t="shared" si="62"/>
        <v>0</v>
      </c>
      <c r="DS217" s="11"/>
      <c r="DT217" s="329"/>
      <c r="DU217" s="23"/>
      <c r="DV217" s="24"/>
      <c r="DW217" s="25"/>
      <c r="DX217" s="24"/>
      <c r="DY217" s="23"/>
      <c r="DZ217" s="24"/>
      <c r="EA217" s="25"/>
      <c r="EB217" s="24"/>
      <c r="EC217" s="23"/>
      <c r="ED217" s="24"/>
      <c r="EE217" s="25"/>
      <c r="EF217" s="24"/>
      <c r="EG217" s="23"/>
      <c r="EH217" s="24"/>
      <c r="EI217" s="25"/>
      <c r="EJ217" s="24"/>
      <c r="EK217" s="23"/>
      <c r="EL217" s="24"/>
      <c r="EM217" s="25"/>
      <c r="EN217" s="24"/>
      <c r="EO217" s="23"/>
      <c r="EP217" s="24"/>
      <c r="EQ217" s="25"/>
      <c r="ER217" s="24"/>
      <c r="ES217" s="23"/>
      <c r="ET217" s="24"/>
      <c r="EU217" s="25"/>
      <c r="EV217" s="24"/>
      <c r="EW217" s="23"/>
      <c r="EX217" s="24"/>
      <c r="EY217" s="25"/>
      <c r="EZ217" s="24"/>
      <c r="FA217" s="23"/>
      <c r="FB217" s="24"/>
      <c r="FC217" s="25"/>
      <c r="FD217" s="24"/>
      <c r="FE217" s="23"/>
      <c r="FF217" s="24"/>
      <c r="FG217" s="25"/>
      <c r="FH217" s="24"/>
      <c r="FI217" s="23"/>
      <c r="FJ217" s="24"/>
      <c r="FK217" s="25"/>
      <c r="FL217" s="24"/>
      <c r="FM217" s="23"/>
      <c r="FN217" s="24"/>
      <c r="FO217" s="25"/>
      <c r="FP217" s="24"/>
      <c r="FQ217" s="340"/>
      <c r="FR217" s="32">
        <f t="shared" si="67"/>
        <v>0</v>
      </c>
      <c r="FS217" s="32">
        <f t="shared" si="64"/>
        <v>0</v>
      </c>
      <c r="FT217" s="361"/>
    </row>
    <row r="218" spans="1:176" outlineLevel="2">
      <c r="A218" s="56" t="s">
        <v>470</v>
      </c>
      <c r="B218" s="387" t="s">
        <v>134</v>
      </c>
      <c r="C218" s="173" t="s">
        <v>72</v>
      </c>
      <c r="D218" s="565" t="s">
        <v>32</v>
      </c>
      <c r="E218" s="10">
        <f>IF(ISBLANK(G218),"",IF($A$6:$A$330=$A218,COUNTIF($A$6:A218,$A218),""))</f>
        <v>24</v>
      </c>
      <c r="F218" s="10">
        <v>1</v>
      </c>
      <c r="G218" s="55">
        <v>4460087000</v>
      </c>
      <c r="H218" s="54" t="s">
        <v>140</v>
      </c>
      <c r="I218" s="617">
        <f>495/НДС_20</f>
        <v>412.5</v>
      </c>
      <c r="J218" s="617"/>
      <c r="K218" s="113"/>
      <c r="L218" s="617" t="str">
        <f t="shared" si="65"/>
        <v/>
      </c>
      <c r="M218" s="102"/>
      <c r="N218" s="305">
        <f t="shared" si="75"/>
        <v>0</v>
      </c>
      <c r="O218" s="23"/>
      <c r="P218" s="24"/>
      <c r="Q218" s="25"/>
      <c r="R218" s="24"/>
      <c r="S218" s="23"/>
      <c r="T218" s="24"/>
      <c r="U218" s="25"/>
      <c r="V218" s="24"/>
      <c r="W218" s="23"/>
      <c r="X218" s="24"/>
      <c r="Y218" s="25"/>
      <c r="Z218" s="24"/>
      <c r="AA218" s="23"/>
      <c r="AB218" s="24"/>
      <c r="AC218" s="25"/>
      <c r="AD218" s="24"/>
      <c r="AE218" s="23"/>
      <c r="AF218" s="24"/>
      <c r="AG218" s="25"/>
      <c r="AH218" s="24"/>
      <c r="AI218" s="23"/>
      <c r="AJ218" s="24"/>
      <c r="AK218" s="25"/>
      <c r="AL218" s="24"/>
      <c r="AM218" s="23"/>
      <c r="AN218" s="24"/>
      <c r="AO218" s="25"/>
      <c r="AP218" s="24"/>
      <c r="AQ218" s="23"/>
      <c r="AR218" s="24"/>
      <c r="AS218" s="25"/>
      <c r="AT218" s="24"/>
      <c r="AU218" s="23"/>
      <c r="AV218" s="24"/>
      <c r="AW218" s="25"/>
      <c r="AX218" s="24"/>
      <c r="AY218" s="23"/>
      <c r="AZ218" s="24"/>
      <c r="BA218" s="25"/>
      <c r="BB218" s="24"/>
      <c r="BC218" s="23"/>
      <c r="BD218" s="24"/>
      <c r="BE218" s="25"/>
      <c r="BF218" s="24"/>
      <c r="BG218" s="23"/>
      <c r="BH218" s="24"/>
      <c r="BI218" s="25"/>
      <c r="BJ218" s="24"/>
      <c r="BK218" s="340"/>
      <c r="BL218" s="32">
        <f t="shared" si="76"/>
        <v>0</v>
      </c>
      <c r="BM218" s="32">
        <f t="shared" si="77"/>
        <v>0</v>
      </c>
      <c r="BN218" s="28">
        <f t="shared" si="78"/>
        <v>0</v>
      </c>
      <c r="BO218" s="29">
        <f t="shared" si="79"/>
        <v>0</v>
      </c>
      <c r="BP218" s="30">
        <f t="shared" si="80"/>
        <v>0</v>
      </c>
      <c r="BQ218" s="31">
        <f t="shared" si="81"/>
        <v>0</v>
      </c>
      <c r="BR218" s="11"/>
      <c r="BS218" s="329"/>
      <c r="BT218" s="23"/>
      <c r="BU218" s="24"/>
      <c r="BV218" s="25"/>
      <c r="BW218" s="24"/>
      <c r="BX218" s="23"/>
      <c r="BY218" s="24"/>
      <c r="BZ218" s="25"/>
      <c r="CA218" s="24"/>
      <c r="CB218" s="23"/>
      <c r="CC218" s="24"/>
      <c r="CD218" s="25"/>
      <c r="CE218" s="24"/>
      <c r="CF218" s="23"/>
      <c r="CG218" s="24"/>
      <c r="CH218" s="25"/>
      <c r="CI218" s="24"/>
      <c r="CJ218" s="23"/>
      <c r="CK218" s="24"/>
      <c r="CL218" s="25"/>
      <c r="CM218" s="24"/>
      <c r="CN218" s="23"/>
      <c r="CO218" s="24"/>
      <c r="CP218" s="25"/>
      <c r="CQ218" s="24"/>
      <c r="CR218" s="23"/>
      <c r="CS218" s="24"/>
      <c r="CT218" s="25"/>
      <c r="CU218" s="24"/>
      <c r="CV218" s="23"/>
      <c r="CW218" s="24"/>
      <c r="CX218" s="25"/>
      <c r="CY218" s="24"/>
      <c r="CZ218" s="23"/>
      <c r="DA218" s="24"/>
      <c r="DB218" s="25"/>
      <c r="DC218" s="24"/>
      <c r="DD218" s="23"/>
      <c r="DE218" s="24"/>
      <c r="DF218" s="25"/>
      <c r="DG218" s="24"/>
      <c r="DH218" s="23"/>
      <c r="DI218" s="24"/>
      <c r="DJ218" s="25"/>
      <c r="DK218" s="24"/>
      <c r="DL218" s="23"/>
      <c r="DM218" s="24"/>
      <c r="DN218" s="25"/>
      <c r="DO218" s="24"/>
      <c r="DP218" s="340"/>
      <c r="DQ218" s="32">
        <f t="shared" si="66"/>
        <v>0</v>
      </c>
      <c r="DR218" s="32">
        <f t="shared" si="62"/>
        <v>0</v>
      </c>
      <c r="DS218" s="11"/>
      <c r="DT218" s="329"/>
      <c r="DU218" s="23"/>
      <c r="DV218" s="24"/>
      <c r="DW218" s="25"/>
      <c r="DX218" s="24"/>
      <c r="DY218" s="23"/>
      <c r="DZ218" s="24"/>
      <c r="EA218" s="25"/>
      <c r="EB218" s="24"/>
      <c r="EC218" s="23"/>
      <c r="ED218" s="24"/>
      <c r="EE218" s="25"/>
      <c r="EF218" s="24"/>
      <c r="EG218" s="23"/>
      <c r="EH218" s="24"/>
      <c r="EI218" s="25"/>
      <c r="EJ218" s="24"/>
      <c r="EK218" s="23"/>
      <c r="EL218" s="24"/>
      <c r="EM218" s="25"/>
      <c r="EN218" s="24"/>
      <c r="EO218" s="23"/>
      <c r="EP218" s="24"/>
      <c r="EQ218" s="25"/>
      <c r="ER218" s="24"/>
      <c r="ES218" s="23"/>
      <c r="ET218" s="24"/>
      <c r="EU218" s="25"/>
      <c r="EV218" s="24"/>
      <c r="EW218" s="23"/>
      <c r="EX218" s="24"/>
      <c r="EY218" s="25"/>
      <c r="EZ218" s="24"/>
      <c r="FA218" s="23"/>
      <c r="FB218" s="24"/>
      <c r="FC218" s="25"/>
      <c r="FD218" s="24"/>
      <c r="FE218" s="23"/>
      <c r="FF218" s="24"/>
      <c r="FG218" s="25"/>
      <c r="FH218" s="24"/>
      <c r="FI218" s="23"/>
      <c r="FJ218" s="24"/>
      <c r="FK218" s="25"/>
      <c r="FL218" s="24"/>
      <c r="FM218" s="23"/>
      <c r="FN218" s="24"/>
      <c r="FO218" s="25"/>
      <c r="FP218" s="24"/>
      <c r="FQ218" s="340"/>
      <c r="FR218" s="32">
        <f t="shared" si="67"/>
        <v>0</v>
      </c>
      <c r="FS218" s="32">
        <f t="shared" si="64"/>
        <v>0</v>
      </c>
      <c r="FT218" s="361"/>
    </row>
    <row r="219" spans="1:176" outlineLevel="2">
      <c r="A219" s="56" t="s">
        <v>470</v>
      </c>
      <c r="B219" s="387" t="s">
        <v>134</v>
      </c>
      <c r="C219" s="173" t="s">
        <v>72</v>
      </c>
      <c r="D219" s="565" t="s">
        <v>32</v>
      </c>
      <c r="E219" s="10">
        <f>IF(ISBLANK(G219),"",IF($A$6:$A$330=$A219,COUNTIF($A$6:A219,$A219),""))</f>
        <v>25</v>
      </c>
      <c r="F219" s="10">
        <v>1</v>
      </c>
      <c r="G219" s="55">
        <v>9730010100</v>
      </c>
      <c r="H219" s="54" t="s">
        <v>129</v>
      </c>
      <c r="I219" s="617">
        <f>125.05/НДС</f>
        <v>102.5</v>
      </c>
      <c r="J219" s="617"/>
      <c r="K219" s="113"/>
      <c r="L219" s="617" t="str">
        <f t="shared" si="65"/>
        <v/>
      </c>
      <c r="M219" s="102"/>
      <c r="N219" s="305">
        <f t="shared" si="75"/>
        <v>1</v>
      </c>
      <c r="O219" s="23"/>
      <c r="P219" s="24"/>
      <c r="Q219" s="25"/>
      <c r="R219" s="24"/>
      <c r="S219" s="23"/>
      <c r="T219" s="24"/>
      <c r="U219" s="25"/>
      <c r="V219" s="24"/>
      <c r="W219" s="23"/>
      <c r="X219" s="24">
        <f>20</f>
        <v>20</v>
      </c>
      <c r="Y219" s="25">
        <v>20</v>
      </c>
      <c r="Z219" s="24"/>
      <c r="AA219" s="23"/>
      <c r="AB219" s="24"/>
      <c r="AC219" s="25"/>
      <c r="AD219" s="24"/>
      <c r="AE219" s="23"/>
      <c r="AF219" s="24"/>
      <c r="AG219" s="25"/>
      <c r="AH219" s="24"/>
      <c r="AI219" s="23"/>
      <c r="AJ219" s="24"/>
      <c r="AK219" s="25"/>
      <c r="AL219" s="24"/>
      <c r="AM219" s="23"/>
      <c r="AN219" s="24"/>
      <c r="AO219" s="25"/>
      <c r="AP219" s="24"/>
      <c r="AQ219" s="23"/>
      <c r="AR219" s="24"/>
      <c r="AS219" s="25"/>
      <c r="AT219" s="24"/>
      <c r="AU219" s="23"/>
      <c r="AV219" s="24"/>
      <c r="AW219" s="25"/>
      <c r="AX219" s="24"/>
      <c r="AY219" s="23"/>
      <c r="AZ219" s="24"/>
      <c r="BA219" s="25"/>
      <c r="BB219" s="24"/>
      <c r="BC219" s="23"/>
      <c r="BD219" s="24"/>
      <c r="BE219" s="25"/>
      <c r="BF219" s="24"/>
      <c r="BG219" s="23"/>
      <c r="BH219" s="24"/>
      <c r="BI219" s="25"/>
      <c r="BJ219" s="24"/>
      <c r="BK219" s="340"/>
      <c r="BL219" s="32">
        <f t="shared" si="76"/>
        <v>0</v>
      </c>
      <c r="BM219" s="32">
        <f t="shared" si="77"/>
        <v>0</v>
      </c>
      <c r="BN219" s="28">
        <f t="shared" si="78"/>
        <v>20</v>
      </c>
      <c r="BO219" s="29">
        <f t="shared" si="79"/>
        <v>2050</v>
      </c>
      <c r="BP219" s="30">
        <f t="shared" si="80"/>
        <v>20</v>
      </c>
      <c r="BQ219" s="31">
        <f t="shared" si="81"/>
        <v>2050</v>
      </c>
      <c r="BR219" s="11"/>
      <c r="BS219" s="329"/>
      <c r="BT219" s="23"/>
      <c r="BU219" s="24"/>
      <c r="BV219" s="25"/>
      <c r="BW219" s="24"/>
      <c r="BX219" s="23"/>
      <c r="BY219" s="24"/>
      <c r="BZ219" s="25"/>
      <c r="CA219" s="24"/>
      <c r="CB219" s="23"/>
      <c r="CC219" s="24"/>
      <c r="CD219" s="25"/>
      <c r="CE219" s="24"/>
      <c r="CF219" s="23"/>
      <c r="CG219" s="24"/>
      <c r="CH219" s="25"/>
      <c r="CI219" s="24"/>
      <c r="CJ219" s="23"/>
      <c r="CK219" s="24"/>
      <c r="CL219" s="25"/>
      <c r="CM219" s="24"/>
      <c r="CN219" s="23"/>
      <c r="CO219" s="24"/>
      <c r="CP219" s="25"/>
      <c r="CQ219" s="24"/>
      <c r="CR219" s="23"/>
      <c r="CS219" s="24"/>
      <c r="CT219" s="25"/>
      <c r="CU219" s="24"/>
      <c r="CV219" s="23"/>
      <c r="CW219" s="24"/>
      <c r="CX219" s="25"/>
      <c r="CY219" s="24"/>
      <c r="CZ219" s="23"/>
      <c r="DA219" s="24"/>
      <c r="DB219" s="25"/>
      <c r="DC219" s="24"/>
      <c r="DD219" s="23"/>
      <c r="DE219" s="24"/>
      <c r="DF219" s="25"/>
      <c r="DG219" s="24"/>
      <c r="DH219" s="23"/>
      <c r="DI219" s="24"/>
      <c r="DJ219" s="25"/>
      <c r="DK219" s="24"/>
      <c r="DL219" s="23"/>
      <c r="DM219" s="24"/>
      <c r="DN219" s="25"/>
      <c r="DO219" s="24"/>
      <c r="DP219" s="340"/>
      <c r="DQ219" s="32">
        <f t="shared" si="66"/>
        <v>0</v>
      </c>
      <c r="DR219" s="32">
        <f t="shared" si="62"/>
        <v>0</v>
      </c>
      <c r="DS219" s="11"/>
      <c r="DT219" s="329"/>
      <c r="DU219" s="23"/>
      <c r="DV219" s="24"/>
      <c r="DW219" s="25"/>
      <c r="DX219" s="24"/>
      <c r="DY219" s="23"/>
      <c r="DZ219" s="24"/>
      <c r="EA219" s="25"/>
      <c r="EB219" s="24"/>
      <c r="EC219" s="23"/>
      <c r="ED219" s="24"/>
      <c r="EE219" s="25"/>
      <c r="EF219" s="24"/>
      <c r="EG219" s="23"/>
      <c r="EH219" s="24"/>
      <c r="EI219" s="25"/>
      <c r="EJ219" s="24"/>
      <c r="EK219" s="23"/>
      <c r="EL219" s="24"/>
      <c r="EM219" s="25"/>
      <c r="EN219" s="24"/>
      <c r="EO219" s="23"/>
      <c r="EP219" s="24"/>
      <c r="EQ219" s="25"/>
      <c r="ER219" s="24"/>
      <c r="ES219" s="23"/>
      <c r="ET219" s="24"/>
      <c r="EU219" s="25"/>
      <c r="EV219" s="24"/>
      <c r="EW219" s="23"/>
      <c r="EX219" s="24"/>
      <c r="EY219" s="25"/>
      <c r="EZ219" s="24"/>
      <c r="FA219" s="23"/>
      <c r="FB219" s="24"/>
      <c r="FC219" s="25"/>
      <c r="FD219" s="24"/>
      <c r="FE219" s="23"/>
      <c r="FF219" s="24"/>
      <c r="FG219" s="25"/>
      <c r="FH219" s="24"/>
      <c r="FI219" s="23"/>
      <c r="FJ219" s="24"/>
      <c r="FK219" s="25"/>
      <c r="FL219" s="24"/>
      <c r="FM219" s="23"/>
      <c r="FN219" s="24"/>
      <c r="FO219" s="25"/>
      <c r="FP219" s="24"/>
      <c r="FQ219" s="340"/>
      <c r="FR219" s="32">
        <f t="shared" si="67"/>
        <v>0</v>
      </c>
      <c r="FS219" s="32">
        <f t="shared" si="64"/>
        <v>0</v>
      </c>
      <c r="FT219" s="361"/>
    </row>
    <row r="220" spans="1:176" outlineLevel="2">
      <c r="A220" s="375" t="s">
        <v>470</v>
      </c>
      <c r="B220" s="389" t="s">
        <v>134</v>
      </c>
      <c r="C220" s="311" t="s">
        <v>72</v>
      </c>
      <c r="D220" s="575" t="s">
        <v>32</v>
      </c>
      <c r="E220" s="284">
        <f>IF(ISBLANK(G220),"",IF($A$6:$A$330=$A220,COUNTIF($A$6:A220,$A220),""))</f>
        <v>26</v>
      </c>
      <c r="F220" s="284">
        <v>1</v>
      </c>
      <c r="G220" s="304">
        <v>4494430600</v>
      </c>
      <c r="H220" s="602" t="s">
        <v>136</v>
      </c>
      <c r="I220" s="617">
        <f>204.2/НДС</f>
        <v>167.37704918032787</v>
      </c>
      <c r="J220" s="616"/>
      <c r="K220" s="333"/>
      <c r="L220" s="616"/>
      <c r="M220" s="305"/>
      <c r="N220" s="305">
        <f t="shared" si="75"/>
        <v>1</v>
      </c>
      <c r="O220" s="322"/>
      <c r="P220" s="408"/>
      <c r="Q220" s="307"/>
      <c r="R220" s="408"/>
      <c r="S220" s="322"/>
      <c r="T220" s="408"/>
      <c r="U220" s="307"/>
      <c r="V220" s="408"/>
      <c r="W220" s="322"/>
      <c r="X220" s="408"/>
      <c r="Y220" s="307"/>
      <c r="Z220" s="408"/>
      <c r="AA220" s="322"/>
      <c r="AB220" s="408">
        <f>25+10</f>
        <v>35</v>
      </c>
      <c r="AC220" s="307">
        <v>35</v>
      </c>
      <c r="AD220" s="408"/>
      <c r="AE220" s="322"/>
      <c r="AF220" s="408"/>
      <c r="AG220" s="307"/>
      <c r="AH220" s="408"/>
      <c r="AI220" s="322"/>
      <c r="AJ220" s="408"/>
      <c r="AK220" s="307"/>
      <c r="AL220" s="408"/>
      <c r="AM220" s="322"/>
      <c r="AN220" s="408"/>
      <c r="AO220" s="307"/>
      <c r="AP220" s="408"/>
      <c r="AQ220" s="322"/>
      <c r="AR220" s="408"/>
      <c r="AS220" s="307"/>
      <c r="AT220" s="408"/>
      <c r="AU220" s="322"/>
      <c r="AV220" s="408"/>
      <c r="AW220" s="307"/>
      <c r="AX220" s="408"/>
      <c r="AY220" s="322"/>
      <c r="AZ220" s="408"/>
      <c r="BA220" s="307"/>
      <c r="BB220" s="408"/>
      <c r="BC220" s="322"/>
      <c r="BD220" s="408"/>
      <c r="BE220" s="307"/>
      <c r="BF220" s="408"/>
      <c r="BG220" s="322"/>
      <c r="BH220" s="408"/>
      <c r="BI220" s="307"/>
      <c r="BJ220" s="408"/>
      <c r="BK220" s="340"/>
      <c r="BL220" s="328">
        <f t="shared" si="76"/>
        <v>0</v>
      </c>
      <c r="BM220" s="328">
        <f t="shared" si="77"/>
        <v>0</v>
      </c>
      <c r="BN220" s="324">
        <f t="shared" si="78"/>
        <v>35</v>
      </c>
      <c r="BO220" s="325">
        <f t="shared" si="79"/>
        <v>5858.1967213114758</v>
      </c>
      <c r="BP220" s="326">
        <f t="shared" si="80"/>
        <v>35</v>
      </c>
      <c r="BQ220" s="327">
        <f t="shared" si="81"/>
        <v>5858.1967213114758</v>
      </c>
      <c r="BR220" s="329"/>
      <c r="BS220" s="329"/>
      <c r="BT220" s="322"/>
      <c r="BU220" s="408"/>
      <c r="BV220" s="307"/>
      <c r="BW220" s="408"/>
      <c r="BX220" s="322"/>
      <c r="BY220" s="408"/>
      <c r="BZ220" s="307"/>
      <c r="CA220" s="408"/>
      <c r="CB220" s="322"/>
      <c r="CC220" s="408"/>
      <c r="CD220" s="307"/>
      <c r="CE220" s="408"/>
      <c r="CF220" s="322"/>
      <c r="CG220" s="408"/>
      <c r="CH220" s="307"/>
      <c r="CI220" s="408"/>
      <c r="CJ220" s="322"/>
      <c r="CK220" s="408"/>
      <c r="CL220" s="307"/>
      <c r="CM220" s="408"/>
      <c r="CN220" s="322"/>
      <c r="CO220" s="408"/>
      <c r="CP220" s="307"/>
      <c r="CQ220" s="408"/>
      <c r="CR220" s="322"/>
      <c r="CS220" s="408"/>
      <c r="CT220" s="307"/>
      <c r="CU220" s="408"/>
      <c r="CV220" s="322"/>
      <c r="CW220" s="408"/>
      <c r="CX220" s="307"/>
      <c r="CY220" s="408"/>
      <c r="CZ220" s="322"/>
      <c r="DA220" s="408"/>
      <c r="DB220" s="307"/>
      <c r="DC220" s="408"/>
      <c r="DD220" s="322"/>
      <c r="DE220" s="408"/>
      <c r="DF220" s="307"/>
      <c r="DG220" s="408"/>
      <c r="DH220" s="322"/>
      <c r="DI220" s="408"/>
      <c r="DJ220" s="307"/>
      <c r="DK220" s="408"/>
      <c r="DL220" s="322"/>
      <c r="DM220" s="408"/>
      <c r="DN220" s="307"/>
      <c r="DO220" s="408"/>
      <c r="DP220" s="340"/>
      <c r="DQ220" s="328"/>
      <c r="DR220" s="328"/>
      <c r="DS220" s="329"/>
      <c r="DT220" s="329"/>
      <c r="DU220" s="322"/>
      <c r="DV220" s="408"/>
      <c r="DW220" s="307"/>
      <c r="DX220" s="408"/>
      <c r="DY220" s="322"/>
      <c r="DZ220" s="408"/>
      <c r="EA220" s="307"/>
      <c r="EB220" s="408"/>
      <c r="EC220" s="322"/>
      <c r="ED220" s="408"/>
      <c r="EE220" s="307"/>
      <c r="EF220" s="408"/>
      <c r="EG220" s="322"/>
      <c r="EH220" s="408"/>
      <c r="EI220" s="307"/>
      <c r="EJ220" s="408"/>
      <c r="EK220" s="322"/>
      <c r="EL220" s="408"/>
      <c r="EM220" s="307"/>
      <c r="EN220" s="408"/>
      <c r="EO220" s="322"/>
      <c r="EP220" s="408"/>
      <c r="EQ220" s="307"/>
      <c r="ER220" s="408"/>
      <c r="ES220" s="322"/>
      <c r="ET220" s="408"/>
      <c r="EU220" s="307"/>
      <c r="EV220" s="408"/>
      <c r="EW220" s="322"/>
      <c r="EX220" s="408"/>
      <c r="EY220" s="307"/>
      <c r="EZ220" s="408"/>
      <c r="FA220" s="322"/>
      <c r="FB220" s="408"/>
      <c r="FC220" s="307"/>
      <c r="FD220" s="408"/>
      <c r="FE220" s="322"/>
      <c r="FF220" s="408"/>
      <c r="FG220" s="307"/>
      <c r="FH220" s="408"/>
      <c r="FI220" s="322"/>
      <c r="FJ220" s="408"/>
      <c r="FK220" s="307"/>
      <c r="FL220" s="408"/>
      <c r="FM220" s="322"/>
      <c r="FN220" s="408"/>
      <c r="FO220" s="307"/>
      <c r="FP220" s="408"/>
      <c r="FQ220" s="340"/>
      <c r="FR220" s="328"/>
      <c r="FS220" s="328"/>
      <c r="FT220" s="361"/>
    </row>
    <row r="221" spans="1:176" outlineLevel="2">
      <c r="A221" s="56" t="s">
        <v>470</v>
      </c>
      <c r="B221" s="387" t="s">
        <v>134</v>
      </c>
      <c r="C221" s="173" t="s">
        <v>72</v>
      </c>
      <c r="D221" s="565" t="s">
        <v>32</v>
      </c>
      <c r="E221" s="10">
        <f>IF(ISBLANK(G221),"",IF($A$6:$A$330=$A221,COUNTIF($A$6:A221,$A221),""))</f>
        <v>27</v>
      </c>
      <c r="F221" s="10">
        <v>1</v>
      </c>
      <c r="G221" s="55">
        <v>4497230500</v>
      </c>
      <c r="H221" s="54" t="s">
        <v>357</v>
      </c>
      <c r="I221" s="617">
        <f>154/НДС</f>
        <v>126.22950819672131</v>
      </c>
      <c r="J221" s="617"/>
      <c r="K221" s="113"/>
      <c r="L221" s="617" t="str">
        <f>IF(K221="RUB",J221/ЮАНЬ,IF(K221="EUR",J221*ЕВРО/ЮАНЬ,""))</f>
        <v/>
      </c>
      <c r="M221" s="102"/>
      <c r="N221" s="305">
        <f t="shared" si="75"/>
        <v>1</v>
      </c>
      <c r="O221" s="23"/>
      <c r="P221" s="24"/>
      <c r="Q221" s="25"/>
      <c r="R221" s="24"/>
      <c r="S221" s="23"/>
      <c r="T221" s="24"/>
      <c r="U221" s="25"/>
      <c r="V221" s="24"/>
      <c r="W221" s="23"/>
      <c r="X221" s="24">
        <f>14</f>
        <v>14</v>
      </c>
      <c r="Y221" s="25">
        <v>14</v>
      </c>
      <c r="Z221" s="24"/>
      <c r="AA221" s="23"/>
      <c r="AB221" s="24"/>
      <c r="AC221" s="25"/>
      <c r="AD221" s="24"/>
      <c r="AE221" s="23"/>
      <c r="AF221" s="24"/>
      <c r="AG221" s="25"/>
      <c r="AH221" s="24"/>
      <c r="AI221" s="23"/>
      <c r="AJ221" s="24"/>
      <c r="AK221" s="25"/>
      <c r="AL221" s="24"/>
      <c r="AM221" s="23"/>
      <c r="AN221" s="24"/>
      <c r="AO221" s="25"/>
      <c r="AP221" s="24"/>
      <c r="AQ221" s="23"/>
      <c r="AR221" s="24"/>
      <c r="AS221" s="25"/>
      <c r="AT221" s="24"/>
      <c r="AU221" s="23"/>
      <c r="AV221" s="24"/>
      <c r="AW221" s="25"/>
      <c r="AX221" s="24"/>
      <c r="AY221" s="23"/>
      <c r="AZ221" s="24"/>
      <c r="BA221" s="25"/>
      <c r="BB221" s="24"/>
      <c r="BC221" s="23"/>
      <c r="BD221" s="24"/>
      <c r="BE221" s="25"/>
      <c r="BF221" s="24"/>
      <c r="BG221" s="23"/>
      <c r="BH221" s="24"/>
      <c r="BI221" s="25"/>
      <c r="BJ221" s="24"/>
      <c r="BK221" s="340"/>
      <c r="BL221" s="32">
        <f t="shared" si="76"/>
        <v>0</v>
      </c>
      <c r="BM221" s="32">
        <f t="shared" si="77"/>
        <v>0</v>
      </c>
      <c r="BN221" s="28">
        <f t="shared" si="78"/>
        <v>14</v>
      </c>
      <c r="BO221" s="29">
        <f t="shared" si="79"/>
        <v>1767.2131147540983</v>
      </c>
      <c r="BP221" s="30">
        <f t="shared" si="80"/>
        <v>14</v>
      </c>
      <c r="BQ221" s="31">
        <f t="shared" si="81"/>
        <v>1767.2131147540983</v>
      </c>
      <c r="BR221" s="11"/>
      <c r="BS221" s="329"/>
      <c r="BT221" s="23"/>
      <c r="BU221" s="24"/>
      <c r="BV221" s="25"/>
      <c r="BW221" s="24"/>
      <c r="BX221" s="23"/>
      <c r="BY221" s="24"/>
      <c r="BZ221" s="25"/>
      <c r="CA221" s="24"/>
      <c r="CB221" s="23"/>
      <c r="CC221" s="24"/>
      <c r="CD221" s="25"/>
      <c r="CE221" s="24"/>
      <c r="CF221" s="23"/>
      <c r="CG221" s="24"/>
      <c r="CH221" s="25"/>
      <c r="CI221" s="24"/>
      <c r="CJ221" s="23"/>
      <c r="CK221" s="24"/>
      <c r="CL221" s="25"/>
      <c r="CM221" s="24"/>
      <c r="CN221" s="23"/>
      <c r="CO221" s="24"/>
      <c r="CP221" s="25"/>
      <c r="CQ221" s="24"/>
      <c r="CR221" s="23"/>
      <c r="CS221" s="24"/>
      <c r="CT221" s="25"/>
      <c r="CU221" s="24"/>
      <c r="CV221" s="23"/>
      <c r="CW221" s="24"/>
      <c r="CX221" s="25"/>
      <c r="CY221" s="24"/>
      <c r="CZ221" s="23"/>
      <c r="DA221" s="24"/>
      <c r="DB221" s="25"/>
      <c r="DC221" s="24"/>
      <c r="DD221" s="23"/>
      <c r="DE221" s="24"/>
      <c r="DF221" s="25"/>
      <c r="DG221" s="24"/>
      <c r="DH221" s="23"/>
      <c r="DI221" s="24"/>
      <c r="DJ221" s="25"/>
      <c r="DK221" s="24"/>
      <c r="DL221" s="23"/>
      <c r="DM221" s="24"/>
      <c r="DN221" s="25"/>
      <c r="DO221" s="24"/>
      <c r="DP221" s="340"/>
      <c r="DQ221" s="32">
        <f>SUMPRODUCT(--(MOD(COLUMN(BT221:CQ221),4)=MOD(COLUMN(BT221),4)),BT221:CQ221)+SUMPRODUCT(--(MOD(COLUMN(CR221:DO221),4)=MOD(COLUMN(CR221),4)),CR221:DO221)</f>
        <v>0</v>
      </c>
      <c r="DR221" s="32">
        <f>SUMPRODUCT(--(MOD(COLUMN(BT221:CQ221),4)=MOD(COLUMN(BT221),4)),BT221:CQ221)*$I221+SUMPRODUCT(--(MOD(COLUMN(CR221:DO221),4)=MOD(COLUMN(CR221),4)),CR221:DO221)*$I221</f>
        <v>0</v>
      </c>
      <c r="DS221" s="11"/>
      <c r="DT221" s="329"/>
      <c r="DU221" s="23"/>
      <c r="DV221" s="24"/>
      <c r="DW221" s="25"/>
      <c r="DX221" s="24"/>
      <c r="DY221" s="23"/>
      <c r="DZ221" s="24"/>
      <c r="EA221" s="25"/>
      <c r="EB221" s="24"/>
      <c r="EC221" s="23"/>
      <c r="ED221" s="24"/>
      <c r="EE221" s="25"/>
      <c r="EF221" s="24"/>
      <c r="EG221" s="23"/>
      <c r="EH221" s="24"/>
      <c r="EI221" s="25"/>
      <c r="EJ221" s="24"/>
      <c r="EK221" s="23"/>
      <c r="EL221" s="24"/>
      <c r="EM221" s="25"/>
      <c r="EN221" s="24"/>
      <c r="EO221" s="23"/>
      <c r="EP221" s="24"/>
      <c r="EQ221" s="25"/>
      <c r="ER221" s="24"/>
      <c r="ES221" s="23"/>
      <c r="ET221" s="24"/>
      <c r="EU221" s="25"/>
      <c r="EV221" s="24"/>
      <c r="EW221" s="23"/>
      <c r="EX221" s="24"/>
      <c r="EY221" s="25"/>
      <c r="EZ221" s="24"/>
      <c r="FA221" s="23"/>
      <c r="FB221" s="24"/>
      <c r="FC221" s="25"/>
      <c r="FD221" s="24"/>
      <c r="FE221" s="23"/>
      <c r="FF221" s="24"/>
      <c r="FG221" s="25"/>
      <c r="FH221" s="24"/>
      <c r="FI221" s="23"/>
      <c r="FJ221" s="24"/>
      <c r="FK221" s="25"/>
      <c r="FL221" s="24"/>
      <c r="FM221" s="23"/>
      <c r="FN221" s="24"/>
      <c r="FO221" s="25"/>
      <c r="FP221" s="24"/>
      <c r="FQ221" s="340"/>
      <c r="FR221" s="32">
        <f>SUMPRODUCT(--(MOD(COLUMN(DU221:ER221),4)=MOD(COLUMN(DU221),4)),DU221:ER221)+SUMPRODUCT(--(MOD(COLUMN(ES221:FP221),4)=MOD(COLUMN(ES221),4)),ES221:FP221)</f>
        <v>0</v>
      </c>
      <c r="FS221" s="32">
        <f>SUMPRODUCT(--(MOD(COLUMN(DU221:ER221),4)=MOD(COLUMN(DU221),4)),DU221:ER221)*$I221+SUMPRODUCT(--(MOD(COLUMN(ES221:FP221),4)=MOD(COLUMN(ES221),4)),ES221:FP221)*$I221</f>
        <v>0</v>
      </c>
      <c r="FT221" s="361"/>
    </row>
    <row r="222" spans="1:176" outlineLevel="2">
      <c r="A222" s="56" t="s">
        <v>470</v>
      </c>
      <c r="B222" s="387" t="s">
        <v>134</v>
      </c>
      <c r="C222" s="173" t="s">
        <v>72</v>
      </c>
      <c r="D222" s="565" t="s">
        <v>32</v>
      </c>
      <c r="E222" s="10">
        <f>IF(ISBLANK(G222),"",IF($A$6:$A$330=$A222,COUNTIF($A$6:A222,$A222),""))</f>
        <v>28</v>
      </c>
      <c r="F222" s="10">
        <v>1</v>
      </c>
      <c r="G222" s="55">
        <v>4497230800</v>
      </c>
      <c r="H222" s="54" t="s">
        <v>141</v>
      </c>
      <c r="I222" s="617">
        <f>252/НДС_20</f>
        <v>210</v>
      </c>
      <c r="J222" s="617"/>
      <c r="K222" s="113"/>
      <c r="L222" s="617" t="str">
        <f>IF(K222="RUB",J222/ЮАНЬ,IF(K222="EUR",J222*ЕВРО/ЮАНЬ,""))</f>
        <v/>
      </c>
      <c r="M222" s="102"/>
      <c r="N222" s="305">
        <f t="shared" si="75"/>
        <v>0</v>
      </c>
      <c r="O222" s="23"/>
      <c r="P222" s="24"/>
      <c r="Q222" s="25"/>
      <c r="R222" s="24"/>
      <c r="S222" s="23"/>
      <c r="T222" s="24"/>
      <c r="U222" s="25"/>
      <c r="V222" s="24"/>
      <c r="W222" s="23"/>
      <c r="X222" s="24"/>
      <c r="Y222" s="25"/>
      <c r="Z222" s="24"/>
      <c r="AA222" s="23"/>
      <c r="AB222" s="24"/>
      <c r="AC222" s="25"/>
      <c r="AD222" s="24"/>
      <c r="AE222" s="23"/>
      <c r="AF222" s="24"/>
      <c r="AG222" s="25"/>
      <c r="AH222" s="24"/>
      <c r="AI222" s="23"/>
      <c r="AJ222" s="24"/>
      <c r="AK222" s="25"/>
      <c r="AL222" s="24"/>
      <c r="AM222" s="23"/>
      <c r="AN222" s="24"/>
      <c r="AO222" s="25"/>
      <c r="AP222" s="24"/>
      <c r="AQ222" s="23"/>
      <c r="AR222" s="24"/>
      <c r="AS222" s="25"/>
      <c r="AT222" s="24"/>
      <c r="AU222" s="23"/>
      <c r="AV222" s="24"/>
      <c r="AW222" s="25"/>
      <c r="AX222" s="24"/>
      <c r="AY222" s="23"/>
      <c r="AZ222" s="24"/>
      <c r="BA222" s="25"/>
      <c r="BB222" s="24"/>
      <c r="BC222" s="23"/>
      <c r="BD222" s="24"/>
      <c r="BE222" s="25"/>
      <c r="BF222" s="24"/>
      <c r="BG222" s="23"/>
      <c r="BH222" s="24"/>
      <c r="BI222" s="25"/>
      <c r="BJ222" s="24"/>
      <c r="BK222" s="340"/>
      <c r="BL222" s="32">
        <f t="shared" si="76"/>
        <v>0</v>
      </c>
      <c r="BM222" s="32">
        <f t="shared" si="77"/>
        <v>0</v>
      </c>
      <c r="BN222" s="28">
        <f t="shared" si="78"/>
        <v>0</v>
      </c>
      <c r="BO222" s="29">
        <f t="shared" si="79"/>
        <v>0</v>
      </c>
      <c r="BP222" s="30">
        <f t="shared" si="80"/>
        <v>0</v>
      </c>
      <c r="BQ222" s="31">
        <f t="shared" si="81"/>
        <v>0</v>
      </c>
      <c r="BR222" s="11"/>
      <c r="BS222" s="329"/>
      <c r="BT222" s="23"/>
      <c r="BU222" s="24"/>
      <c r="BV222" s="25"/>
      <c r="BW222" s="24"/>
      <c r="BX222" s="23"/>
      <c r="BY222" s="24"/>
      <c r="BZ222" s="25"/>
      <c r="CA222" s="24"/>
      <c r="CB222" s="23"/>
      <c r="CC222" s="24"/>
      <c r="CD222" s="25"/>
      <c r="CE222" s="24"/>
      <c r="CF222" s="23"/>
      <c r="CG222" s="24"/>
      <c r="CH222" s="25"/>
      <c r="CI222" s="24"/>
      <c r="CJ222" s="23"/>
      <c r="CK222" s="24"/>
      <c r="CL222" s="25"/>
      <c r="CM222" s="24"/>
      <c r="CN222" s="23"/>
      <c r="CO222" s="24"/>
      <c r="CP222" s="25"/>
      <c r="CQ222" s="24"/>
      <c r="CR222" s="23"/>
      <c r="CS222" s="24"/>
      <c r="CT222" s="25"/>
      <c r="CU222" s="24"/>
      <c r="CV222" s="23"/>
      <c r="CW222" s="24"/>
      <c r="CX222" s="25"/>
      <c r="CY222" s="24"/>
      <c r="CZ222" s="23"/>
      <c r="DA222" s="24"/>
      <c r="DB222" s="25"/>
      <c r="DC222" s="24"/>
      <c r="DD222" s="23"/>
      <c r="DE222" s="24"/>
      <c r="DF222" s="25"/>
      <c r="DG222" s="24"/>
      <c r="DH222" s="23"/>
      <c r="DI222" s="24"/>
      <c r="DJ222" s="25"/>
      <c r="DK222" s="24"/>
      <c r="DL222" s="23"/>
      <c r="DM222" s="24"/>
      <c r="DN222" s="25"/>
      <c r="DO222" s="24"/>
      <c r="DP222" s="340"/>
      <c r="DQ222" s="32">
        <f>SUMPRODUCT(--(MOD(COLUMN(BT222:CQ222),4)=MOD(COLUMN(BT222),4)),BT222:CQ222)+SUMPRODUCT(--(MOD(COLUMN(CR222:DO222),4)=MOD(COLUMN(CR222),4)),CR222:DO222)</f>
        <v>0</v>
      </c>
      <c r="DR222" s="32">
        <f>SUMPRODUCT(--(MOD(COLUMN(BT222:CQ222),4)=MOD(COLUMN(BT222),4)),BT222:CQ222)*$I222+SUMPRODUCT(--(MOD(COLUMN(CR222:DO222),4)=MOD(COLUMN(CR222),4)),CR222:DO222)*$I222</f>
        <v>0</v>
      </c>
      <c r="DS222" s="11"/>
      <c r="DT222" s="329"/>
      <c r="DU222" s="23"/>
      <c r="DV222" s="24"/>
      <c r="DW222" s="25"/>
      <c r="DX222" s="24"/>
      <c r="DY222" s="23"/>
      <c r="DZ222" s="24"/>
      <c r="EA222" s="25"/>
      <c r="EB222" s="24"/>
      <c r="EC222" s="23"/>
      <c r="ED222" s="24"/>
      <c r="EE222" s="25"/>
      <c r="EF222" s="24"/>
      <c r="EG222" s="23"/>
      <c r="EH222" s="24"/>
      <c r="EI222" s="25"/>
      <c r="EJ222" s="24"/>
      <c r="EK222" s="23"/>
      <c r="EL222" s="24"/>
      <c r="EM222" s="25"/>
      <c r="EN222" s="24"/>
      <c r="EO222" s="23"/>
      <c r="EP222" s="24"/>
      <c r="EQ222" s="25"/>
      <c r="ER222" s="24"/>
      <c r="ES222" s="23"/>
      <c r="ET222" s="24"/>
      <c r="EU222" s="25"/>
      <c r="EV222" s="24"/>
      <c r="EW222" s="23"/>
      <c r="EX222" s="24"/>
      <c r="EY222" s="25"/>
      <c r="EZ222" s="24"/>
      <c r="FA222" s="23"/>
      <c r="FB222" s="24"/>
      <c r="FC222" s="25"/>
      <c r="FD222" s="24"/>
      <c r="FE222" s="23"/>
      <c r="FF222" s="24"/>
      <c r="FG222" s="25"/>
      <c r="FH222" s="24"/>
      <c r="FI222" s="23"/>
      <c r="FJ222" s="24"/>
      <c r="FK222" s="25"/>
      <c r="FL222" s="24"/>
      <c r="FM222" s="23"/>
      <c r="FN222" s="24"/>
      <c r="FO222" s="25"/>
      <c r="FP222" s="24"/>
      <c r="FQ222" s="340"/>
      <c r="FR222" s="32">
        <f>SUMPRODUCT(--(MOD(COLUMN(DU222:ER222),4)=MOD(COLUMN(DU222),4)),DU222:ER222)+SUMPRODUCT(--(MOD(COLUMN(ES222:FP222),4)=MOD(COLUMN(ES222),4)),ES222:FP222)</f>
        <v>0</v>
      </c>
      <c r="FS222" s="32">
        <f>SUMPRODUCT(--(MOD(COLUMN(DU222:ER222),4)=MOD(COLUMN(DU222),4)),DU222:ER222)*$I222+SUMPRODUCT(--(MOD(COLUMN(ES222:FP222),4)=MOD(COLUMN(ES222),4)),ES222:FP222)*$I222</f>
        <v>0</v>
      </c>
      <c r="FT222" s="361"/>
    </row>
    <row r="223" spans="1:176" outlineLevel="2">
      <c r="A223" s="56" t="s">
        <v>470</v>
      </c>
      <c r="B223" s="387" t="s">
        <v>134</v>
      </c>
      <c r="C223" s="173" t="s">
        <v>72</v>
      </c>
      <c r="D223" s="565" t="s">
        <v>32</v>
      </c>
      <c r="E223" s="10">
        <f>IF(ISBLANK(G223),"",IF($A$6:$A$330=$A223,COUNTIF($A$6:A223,$A223),""))</f>
        <v>29</v>
      </c>
      <c r="F223" s="10">
        <v>1</v>
      </c>
      <c r="G223" s="55">
        <v>4491731500</v>
      </c>
      <c r="H223" s="54" t="s">
        <v>77</v>
      </c>
      <c r="I223" s="617">
        <f>1176/НДС_20</f>
        <v>980</v>
      </c>
      <c r="J223" s="617"/>
      <c r="K223" s="113"/>
      <c r="L223" s="617" t="str">
        <f>IF(K223="RUB",J223/ЮАНЬ,IF(K223="EUR",J223*ЕВРО/ЮАНЬ,""))</f>
        <v/>
      </c>
      <c r="M223" s="102"/>
      <c r="N223" s="305">
        <f t="shared" si="75"/>
        <v>0</v>
      </c>
      <c r="O223" s="23"/>
      <c r="P223" s="24"/>
      <c r="Q223" s="25"/>
      <c r="R223" s="24"/>
      <c r="S223" s="23"/>
      <c r="T223" s="24"/>
      <c r="U223" s="25"/>
      <c r="V223" s="24"/>
      <c r="W223" s="23"/>
      <c r="X223" s="24"/>
      <c r="Y223" s="25"/>
      <c r="Z223" s="24"/>
      <c r="AA223" s="23"/>
      <c r="AB223" s="24"/>
      <c r="AC223" s="25"/>
      <c r="AD223" s="24"/>
      <c r="AE223" s="23"/>
      <c r="AF223" s="24"/>
      <c r="AG223" s="25"/>
      <c r="AH223" s="24"/>
      <c r="AI223" s="23"/>
      <c r="AJ223" s="24"/>
      <c r="AK223" s="25"/>
      <c r="AL223" s="24"/>
      <c r="AM223" s="23"/>
      <c r="AN223" s="24"/>
      <c r="AO223" s="25"/>
      <c r="AP223" s="24"/>
      <c r="AQ223" s="23"/>
      <c r="AR223" s="24"/>
      <c r="AS223" s="25"/>
      <c r="AT223" s="24"/>
      <c r="AU223" s="23"/>
      <c r="AV223" s="24"/>
      <c r="AW223" s="25"/>
      <c r="AX223" s="24"/>
      <c r="AY223" s="23"/>
      <c r="AZ223" s="24"/>
      <c r="BA223" s="25"/>
      <c r="BB223" s="24"/>
      <c r="BC223" s="23"/>
      <c r="BD223" s="24"/>
      <c r="BE223" s="25"/>
      <c r="BF223" s="24"/>
      <c r="BG223" s="23"/>
      <c r="BH223" s="24"/>
      <c r="BI223" s="25"/>
      <c r="BJ223" s="24"/>
      <c r="BK223" s="340"/>
      <c r="BL223" s="32">
        <f t="shared" si="76"/>
        <v>0</v>
      </c>
      <c r="BM223" s="32">
        <f t="shared" si="77"/>
        <v>0</v>
      </c>
      <c r="BN223" s="28">
        <f t="shared" si="78"/>
        <v>0</v>
      </c>
      <c r="BO223" s="29">
        <f t="shared" si="79"/>
        <v>0</v>
      </c>
      <c r="BP223" s="30">
        <f t="shared" si="80"/>
        <v>0</v>
      </c>
      <c r="BQ223" s="31">
        <f t="shared" si="81"/>
        <v>0</v>
      </c>
      <c r="BR223" s="11"/>
      <c r="BS223" s="329"/>
      <c r="BT223" s="23"/>
      <c r="BU223" s="24"/>
      <c r="BV223" s="25"/>
      <c r="BW223" s="24"/>
      <c r="BX223" s="23"/>
      <c r="BY223" s="24"/>
      <c r="BZ223" s="25"/>
      <c r="CA223" s="24"/>
      <c r="CB223" s="23"/>
      <c r="CC223" s="24"/>
      <c r="CD223" s="25"/>
      <c r="CE223" s="24"/>
      <c r="CF223" s="23"/>
      <c r="CG223" s="24"/>
      <c r="CH223" s="25"/>
      <c r="CI223" s="24"/>
      <c r="CJ223" s="23"/>
      <c r="CK223" s="24"/>
      <c r="CL223" s="25"/>
      <c r="CM223" s="24"/>
      <c r="CN223" s="23"/>
      <c r="CO223" s="24"/>
      <c r="CP223" s="25"/>
      <c r="CQ223" s="24"/>
      <c r="CR223" s="23"/>
      <c r="CS223" s="24"/>
      <c r="CT223" s="25"/>
      <c r="CU223" s="24"/>
      <c r="CV223" s="23"/>
      <c r="CW223" s="24"/>
      <c r="CX223" s="25"/>
      <c r="CY223" s="24"/>
      <c r="CZ223" s="23"/>
      <c r="DA223" s="24"/>
      <c r="DB223" s="25"/>
      <c r="DC223" s="24"/>
      <c r="DD223" s="23"/>
      <c r="DE223" s="24"/>
      <c r="DF223" s="25"/>
      <c r="DG223" s="24"/>
      <c r="DH223" s="23"/>
      <c r="DI223" s="24"/>
      <c r="DJ223" s="25"/>
      <c r="DK223" s="24"/>
      <c r="DL223" s="23"/>
      <c r="DM223" s="24"/>
      <c r="DN223" s="25"/>
      <c r="DO223" s="24"/>
      <c r="DP223" s="340"/>
      <c r="DQ223" s="32">
        <f>SUMPRODUCT(--(MOD(COLUMN(BT223:CQ223),4)=MOD(COLUMN(BT223),4)),BT223:CQ223)+SUMPRODUCT(--(MOD(COLUMN(CR223:DO223),4)=MOD(COLUMN(CR223),4)),CR223:DO223)</f>
        <v>0</v>
      </c>
      <c r="DR223" s="32">
        <f>SUMPRODUCT(--(MOD(COLUMN(BT223:CQ223),4)=MOD(COLUMN(BT223),4)),BT223:CQ223)*$I223+SUMPRODUCT(--(MOD(COLUMN(CR223:DO223),4)=MOD(COLUMN(CR223),4)),CR223:DO223)*$I223</f>
        <v>0</v>
      </c>
      <c r="DS223" s="11"/>
      <c r="DT223" s="329"/>
      <c r="DU223" s="23"/>
      <c r="DV223" s="24"/>
      <c r="DW223" s="25"/>
      <c r="DX223" s="24"/>
      <c r="DY223" s="23"/>
      <c r="DZ223" s="24"/>
      <c r="EA223" s="25"/>
      <c r="EB223" s="24"/>
      <c r="EC223" s="23"/>
      <c r="ED223" s="24"/>
      <c r="EE223" s="25"/>
      <c r="EF223" s="24"/>
      <c r="EG223" s="23"/>
      <c r="EH223" s="24"/>
      <c r="EI223" s="25"/>
      <c r="EJ223" s="24"/>
      <c r="EK223" s="23"/>
      <c r="EL223" s="24"/>
      <c r="EM223" s="25"/>
      <c r="EN223" s="24"/>
      <c r="EO223" s="23"/>
      <c r="EP223" s="24"/>
      <c r="EQ223" s="25"/>
      <c r="ER223" s="24"/>
      <c r="ES223" s="23"/>
      <c r="ET223" s="24"/>
      <c r="EU223" s="25"/>
      <c r="EV223" s="24"/>
      <c r="EW223" s="23"/>
      <c r="EX223" s="24"/>
      <c r="EY223" s="25"/>
      <c r="EZ223" s="24"/>
      <c r="FA223" s="23"/>
      <c r="FB223" s="24"/>
      <c r="FC223" s="25"/>
      <c r="FD223" s="24"/>
      <c r="FE223" s="23"/>
      <c r="FF223" s="24"/>
      <c r="FG223" s="25"/>
      <c r="FH223" s="24"/>
      <c r="FI223" s="23"/>
      <c r="FJ223" s="24"/>
      <c r="FK223" s="25"/>
      <c r="FL223" s="24"/>
      <c r="FM223" s="23"/>
      <c r="FN223" s="24"/>
      <c r="FO223" s="25"/>
      <c r="FP223" s="24"/>
      <c r="FQ223" s="340"/>
      <c r="FR223" s="32">
        <f>SUMPRODUCT(--(MOD(COLUMN(DU223:ER223),4)=MOD(COLUMN(DU223),4)),DU223:ER223)+SUMPRODUCT(--(MOD(COLUMN(ES223:FP223),4)=MOD(COLUMN(ES223),4)),ES223:FP223)</f>
        <v>0</v>
      </c>
      <c r="FS223" s="32">
        <f>SUMPRODUCT(--(MOD(COLUMN(DU223:ER223),4)=MOD(COLUMN(DU223),4)),DU223:ER223)*$I223+SUMPRODUCT(--(MOD(COLUMN(ES223:FP223),4)=MOD(COLUMN(ES223),4)),ES223:FP223)*$I223</f>
        <v>0</v>
      </c>
      <c r="FT223" s="361"/>
    </row>
    <row r="224" spans="1:176" outlineLevel="2">
      <c r="A224" s="413" t="s">
        <v>470</v>
      </c>
      <c r="B224" s="444" t="s">
        <v>134</v>
      </c>
      <c r="C224" s="592" t="s">
        <v>72</v>
      </c>
      <c r="D224" s="580" t="s">
        <v>32</v>
      </c>
      <c r="E224" s="414">
        <f>IF(ISBLANK(G224),"",IF($A$6:$A$330=$A224,COUNTIF($A$6:A224,$A224),""))</f>
        <v>30</v>
      </c>
      <c r="F224" s="284">
        <v>1</v>
      </c>
      <c r="G224" s="304">
        <v>4750103050</v>
      </c>
      <c r="H224" s="602" t="s">
        <v>88</v>
      </c>
      <c r="I224" s="616">
        <f>108/НДС_20</f>
        <v>90</v>
      </c>
      <c r="J224" s="616"/>
      <c r="K224" s="333"/>
      <c r="L224" s="616"/>
      <c r="M224" s="305"/>
      <c r="N224" s="305">
        <f t="shared" si="75"/>
        <v>1</v>
      </c>
      <c r="O224" s="322"/>
      <c r="P224" s="408"/>
      <c r="Q224" s="307"/>
      <c r="R224" s="408"/>
      <c r="S224" s="322"/>
      <c r="T224" s="408"/>
      <c r="U224" s="307"/>
      <c r="V224" s="408"/>
      <c r="W224" s="322"/>
      <c r="X224" s="408"/>
      <c r="Y224" s="307"/>
      <c r="Z224" s="408"/>
      <c r="AA224" s="322"/>
      <c r="AB224" s="408">
        <f>3</f>
        <v>3</v>
      </c>
      <c r="AC224" s="307">
        <v>3</v>
      </c>
      <c r="AD224" s="408"/>
      <c r="AE224" s="322"/>
      <c r="AF224" s="408"/>
      <c r="AG224" s="307"/>
      <c r="AH224" s="408"/>
      <c r="AI224" s="322"/>
      <c r="AJ224" s="408"/>
      <c r="AK224" s="307"/>
      <c r="AL224" s="408"/>
      <c r="AM224" s="322"/>
      <c r="AN224" s="408"/>
      <c r="AO224" s="307"/>
      <c r="AP224" s="408"/>
      <c r="AQ224" s="322"/>
      <c r="AR224" s="408"/>
      <c r="AS224" s="307"/>
      <c r="AT224" s="408"/>
      <c r="AU224" s="322"/>
      <c r="AV224" s="408"/>
      <c r="AW224" s="307"/>
      <c r="AX224" s="408"/>
      <c r="AY224" s="322"/>
      <c r="AZ224" s="408"/>
      <c r="BA224" s="307"/>
      <c r="BB224" s="408"/>
      <c r="BC224" s="322"/>
      <c r="BD224" s="408"/>
      <c r="BE224" s="307"/>
      <c r="BF224" s="408"/>
      <c r="BG224" s="322"/>
      <c r="BH224" s="408"/>
      <c r="BI224" s="307"/>
      <c r="BJ224" s="408"/>
      <c r="BK224" s="340"/>
      <c r="BL224" s="328">
        <f t="shared" si="76"/>
        <v>0</v>
      </c>
      <c r="BM224" s="328">
        <f t="shared" si="77"/>
        <v>0</v>
      </c>
      <c r="BN224" s="324">
        <f t="shared" si="78"/>
        <v>3</v>
      </c>
      <c r="BO224" s="325">
        <f t="shared" si="79"/>
        <v>270</v>
      </c>
      <c r="BP224" s="326">
        <f t="shared" si="80"/>
        <v>3</v>
      </c>
      <c r="BQ224" s="327">
        <f t="shared" si="81"/>
        <v>270</v>
      </c>
      <c r="BR224" s="329"/>
      <c r="BS224" s="329"/>
      <c r="BT224" s="322"/>
      <c r="BU224" s="408"/>
      <c r="BV224" s="307"/>
      <c r="BW224" s="408"/>
      <c r="BX224" s="322"/>
      <c r="BY224" s="408"/>
      <c r="BZ224" s="307"/>
      <c r="CA224" s="408"/>
      <c r="CB224" s="322"/>
      <c r="CC224" s="408"/>
      <c r="CD224" s="307"/>
      <c r="CE224" s="408"/>
      <c r="CF224" s="322"/>
      <c r="CG224" s="408"/>
      <c r="CH224" s="307"/>
      <c r="CI224" s="408"/>
      <c r="CJ224" s="322"/>
      <c r="CK224" s="408"/>
      <c r="CL224" s="307"/>
      <c r="CM224" s="408"/>
      <c r="CN224" s="322"/>
      <c r="CO224" s="408"/>
      <c r="CP224" s="307"/>
      <c r="CQ224" s="408"/>
      <c r="CR224" s="322"/>
      <c r="CS224" s="408"/>
      <c r="CT224" s="307"/>
      <c r="CU224" s="408"/>
      <c r="CV224" s="322"/>
      <c r="CW224" s="408"/>
      <c r="CX224" s="307"/>
      <c r="CY224" s="408"/>
      <c r="CZ224" s="322"/>
      <c r="DA224" s="408"/>
      <c r="DB224" s="307"/>
      <c r="DC224" s="408"/>
      <c r="DD224" s="322"/>
      <c r="DE224" s="408"/>
      <c r="DF224" s="307"/>
      <c r="DG224" s="408"/>
      <c r="DH224" s="322"/>
      <c r="DI224" s="408"/>
      <c r="DJ224" s="307"/>
      <c r="DK224" s="408"/>
      <c r="DL224" s="322"/>
      <c r="DM224" s="408"/>
      <c r="DN224" s="307"/>
      <c r="DO224" s="408"/>
      <c r="DP224" s="340"/>
      <c r="DQ224" s="328">
        <f>SUMPRODUCT(--(MOD(COLUMN(BT224:CQ224),4)=MOD(COLUMN(BT224),4)),BT224:CQ224)+SUMPRODUCT(--(MOD(COLUMN(CR224:DO224),4)=MOD(COLUMN(CR224),4)),CR224:DO224)</f>
        <v>0</v>
      </c>
      <c r="DR224" s="328">
        <f>SUMPRODUCT(--(MOD(COLUMN(BT224:CQ224),4)=MOD(COLUMN(BT224),4)),BT224:CQ224)*$I224+SUMPRODUCT(--(MOD(COLUMN(CR224:DO224),4)=MOD(COLUMN(CR224),4)),CR224:DO224)*$I224</f>
        <v>0</v>
      </c>
      <c r="DS224" s="329"/>
      <c r="DT224" s="329"/>
      <c r="DU224" s="322"/>
      <c r="DV224" s="408"/>
      <c r="DW224" s="307"/>
      <c r="DX224" s="408"/>
      <c r="DY224" s="322"/>
      <c r="DZ224" s="408"/>
      <c r="EA224" s="307"/>
      <c r="EB224" s="408"/>
      <c r="EC224" s="322"/>
      <c r="ED224" s="408"/>
      <c r="EE224" s="307"/>
      <c r="EF224" s="408"/>
      <c r="EG224" s="322"/>
      <c r="EH224" s="408"/>
      <c r="EI224" s="307"/>
      <c r="EJ224" s="408"/>
      <c r="EK224" s="322"/>
      <c r="EL224" s="408"/>
      <c r="EM224" s="307"/>
      <c r="EN224" s="408"/>
      <c r="EO224" s="322"/>
      <c r="EP224" s="408"/>
      <c r="EQ224" s="307"/>
      <c r="ER224" s="408"/>
      <c r="ES224" s="322"/>
      <c r="ET224" s="408"/>
      <c r="EU224" s="307"/>
      <c r="EV224" s="408"/>
      <c r="EW224" s="322"/>
      <c r="EX224" s="408"/>
      <c r="EY224" s="307"/>
      <c r="EZ224" s="408"/>
      <c r="FA224" s="322"/>
      <c r="FB224" s="408"/>
      <c r="FC224" s="307"/>
      <c r="FD224" s="408"/>
      <c r="FE224" s="322"/>
      <c r="FF224" s="408"/>
      <c r="FG224" s="307"/>
      <c r="FH224" s="408"/>
      <c r="FI224" s="322"/>
      <c r="FJ224" s="408"/>
      <c r="FK224" s="307"/>
      <c r="FL224" s="408"/>
      <c r="FM224" s="322"/>
      <c r="FN224" s="408"/>
      <c r="FO224" s="307"/>
      <c r="FP224" s="408"/>
      <c r="FQ224" s="340"/>
      <c r="FR224" s="328">
        <f>SUMPRODUCT(--(MOD(COLUMN(DU224:ER224),4)=MOD(COLUMN(DU224),4)),DU224:ER224)+SUMPRODUCT(--(MOD(COLUMN(ES224:FP224),4)=MOD(COLUMN(ES224),4)),ES224:FP224)</f>
        <v>0</v>
      </c>
      <c r="FS224" s="328">
        <f>SUMPRODUCT(--(MOD(COLUMN(DU224:ER224),4)=MOD(COLUMN(DU224),4)),DU224:ER224)*$I224+SUMPRODUCT(--(MOD(COLUMN(ES224:FP224),4)=MOD(COLUMN(ES224),4)),ES224:FP224)*$I224</f>
        <v>0</v>
      </c>
      <c r="FT224" s="361"/>
    </row>
    <row r="225" spans="1:176" outlineLevel="2">
      <c r="A225" s="375" t="s">
        <v>470</v>
      </c>
      <c r="B225" s="389" t="s">
        <v>134</v>
      </c>
      <c r="C225" s="311" t="s">
        <v>72</v>
      </c>
      <c r="D225" s="575" t="s">
        <v>32</v>
      </c>
      <c r="E225" s="284">
        <f>IF(ISBLANK(G225),"",IF($A$6:$A$330=$A225,COUNTIF($A$6:A225,$A225),""))</f>
        <v>31</v>
      </c>
      <c r="F225" s="284">
        <v>2</v>
      </c>
      <c r="G225" s="304">
        <v>9710020400</v>
      </c>
      <c r="H225" s="602" t="s">
        <v>101</v>
      </c>
      <c r="I225" s="616">
        <f>560/НДС</f>
        <v>459.01639344262298</v>
      </c>
      <c r="J225" s="616"/>
      <c r="K225" s="333"/>
      <c r="L225" s="616"/>
      <c r="M225" s="305"/>
      <c r="N225" s="305">
        <f t="shared" si="75"/>
        <v>1</v>
      </c>
      <c r="O225" s="322"/>
      <c r="P225" s="408"/>
      <c r="Q225" s="307"/>
      <c r="R225" s="408"/>
      <c r="S225" s="322"/>
      <c r="T225" s="408"/>
      <c r="U225" s="307"/>
      <c r="V225" s="408"/>
      <c r="W225" s="322"/>
      <c r="X225" s="408">
        <f>2</f>
        <v>2</v>
      </c>
      <c r="Y225" s="307">
        <v>2</v>
      </c>
      <c r="Z225" s="408"/>
      <c r="AA225" s="322"/>
      <c r="AB225" s="408"/>
      <c r="AC225" s="307"/>
      <c r="AD225" s="408"/>
      <c r="AE225" s="322"/>
      <c r="AF225" s="408">
        <f>1</f>
        <v>1</v>
      </c>
      <c r="AG225" s="307">
        <v>1</v>
      </c>
      <c r="AH225" s="408"/>
      <c r="AI225" s="322"/>
      <c r="AJ225" s="408"/>
      <c r="AK225" s="307"/>
      <c r="AL225" s="408"/>
      <c r="AM225" s="322"/>
      <c r="AN225" s="408"/>
      <c r="AO225" s="307"/>
      <c r="AP225" s="408"/>
      <c r="AQ225" s="322"/>
      <c r="AR225" s="408"/>
      <c r="AS225" s="307"/>
      <c r="AT225" s="408"/>
      <c r="AU225" s="322"/>
      <c r="AV225" s="408"/>
      <c r="AW225" s="307"/>
      <c r="AX225" s="408"/>
      <c r="AY225" s="322"/>
      <c r="AZ225" s="408"/>
      <c r="BA225" s="307"/>
      <c r="BB225" s="408"/>
      <c r="BC225" s="322"/>
      <c r="BD225" s="408"/>
      <c r="BE225" s="307"/>
      <c r="BF225" s="408"/>
      <c r="BG225" s="322"/>
      <c r="BH225" s="408"/>
      <c r="BI225" s="307"/>
      <c r="BJ225" s="408"/>
      <c r="BK225" s="340"/>
      <c r="BL225" s="328">
        <f t="shared" si="76"/>
        <v>0</v>
      </c>
      <c r="BM225" s="328">
        <f t="shared" si="77"/>
        <v>0</v>
      </c>
      <c r="BN225" s="324">
        <f t="shared" si="78"/>
        <v>3</v>
      </c>
      <c r="BO225" s="325">
        <f t="shared" si="79"/>
        <v>1377.049180327869</v>
      </c>
      <c r="BP225" s="326">
        <f t="shared" si="80"/>
        <v>3</v>
      </c>
      <c r="BQ225" s="327">
        <f t="shared" si="81"/>
        <v>1377.049180327869</v>
      </c>
      <c r="BR225" s="329"/>
      <c r="BS225" s="329"/>
      <c r="BT225" s="322"/>
      <c r="BU225" s="408"/>
      <c r="BV225" s="307"/>
      <c r="BW225" s="408"/>
      <c r="BX225" s="322"/>
      <c r="BY225" s="408"/>
      <c r="BZ225" s="307"/>
      <c r="CA225" s="408"/>
      <c r="CB225" s="322"/>
      <c r="CC225" s="408"/>
      <c r="CD225" s="307"/>
      <c r="CE225" s="408"/>
      <c r="CF225" s="322"/>
      <c r="CG225" s="408"/>
      <c r="CH225" s="307"/>
      <c r="CI225" s="408"/>
      <c r="CJ225" s="322"/>
      <c r="CK225" s="408"/>
      <c r="CL225" s="307"/>
      <c r="CM225" s="408"/>
      <c r="CN225" s="322"/>
      <c r="CO225" s="408"/>
      <c r="CP225" s="307"/>
      <c r="CQ225" s="408"/>
      <c r="CR225" s="322"/>
      <c r="CS225" s="408"/>
      <c r="CT225" s="307"/>
      <c r="CU225" s="408"/>
      <c r="CV225" s="322"/>
      <c r="CW225" s="408"/>
      <c r="CX225" s="307"/>
      <c r="CY225" s="408"/>
      <c r="CZ225" s="322"/>
      <c r="DA225" s="408"/>
      <c r="DB225" s="307"/>
      <c r="DC225" s="408"/>
      <c r="DD225" s="322"/>
      <c r="DE225" s="408"/>
      <c r="DF225" s="307"/>
      <c r="DG225" s="408"/>
      <c r="DH225" s="322"/>
      <c r="DI225" s="408"/>
      <c r="DJ225" s="307"/>
      <c r="DK225" s="408"/>
      <c r="DL225" s="322"/>
      <c r="DM225" s="408"/>
      <c r="DN225" s="307"/>
      <c r="DO225" s="408"/>
      <c r="DP225" s="340"/>
      <c r="DQ225" s="328"/>
      <c r="DR225" s="328"/>
      <c r="DS225" s="329"/>
      <c r="DT225" s="329"/>
      <c r="DU225" s="322"/>
      <c r="DV225" s="408"/>
      <c r="DW225" s="307"/>
      <c r="DX225" s="408"/>
      <c r="DY225" s="322"/>
      <c r="DZ225" s="408"/>
      <c r="EA225" s="307"/>
      <c r="EB225" s="408"/>
      <c r="EC225" s="322"/>
      <c r="ED225" s="408"/>
      <c r="EE225" s="307"/>
      <c r="EF225" s="408"/>
      <c r="EG225" s="322"/>
      <c r="EH225" s="408"/>
      <c r="EI225" s="307"/>
      <c r="EJ225" s="408"/>
      <c r="EK225" s="322"/>
      <c r="EL225" s="408"/>
      <c r="EM225" s="307"/>
      <c r="EN225" s="408"/>
      <c r="EO225" s="322"/>
      <c r="EP225" s="408"/>
      <c r="EQ225" s="307"/>
      <c r="ER225" s="408"/>
      <c r="ES225" s="322"/>
      <c r="ET225" s="408"/>
      <c r="EU225" s="307"/>
      <c r="EV225" s="408"/>
      <c r="EW225" s="322"/>
      <c r="EX225" s="408"/>
      <c r="EY225" s="307"/>
      <c r="EZ225" s="408"/>
      <c r="FA225" s="322"/>
      <c r="FB225" s="408"/>
      <c r="FC225" s="307"/>
      <c r="FD225" s="408"/>
      <c r="FE225" s="322"/>
      <c r="FF225" s="408"/>
      <c r="FG225" s="307"/>
      <c r="FH225" s="408"/>
      <c r="FI225" s="322"/>
      <c r="FJ225" s="408"/>
      <c r="FK225" s="307"/>
      <c r="FL225" s="408"/>
      <c r="FM225" s="322"/>
      <c r="FN225" s="408"/>
      <c r="FO225" s="307"/>
      <c r="FP225" s="408"/>
      <c r="FQ225" s="340"/>
      <c r="FR225" s="328"/>
      <c r="FS225" s="328"/>
      <c r="FT225" s="361"/>
    </row>
    <row r="226" spans="1:176" outlineLevel="2">
      <c r="A226" s="413" t="s">
        <v>470</v>
      </c>
      <c r="B226" s="444" t="s">
        <v>134</v>
      </c>
      <c r="C226" s="592" t="s">
        <v>72</v>
      </c>
      <c r="D226" s="580" t="s">
        <v>32</v>
      </c>
      <c r="E226" s="414">
        <f>IF(ISBLANK(G226),"",IF($A$6:$A$330=$A226,COUNTIF($A$6:A226,$A226),""))</f>
        <v>32</v>
      </c>
      <c r="F226" s="284">
        <v>2</v>
      </c>
      <c r="G226" s="304">
        <v>4493702820</v>
      </c>
      <c r="H226" s="602" t="s">
        <v>97</v>
      </c>
      <c r="I226" s="616">
        <f>228.12/НДС_20</f>
        <v>190.10000000000002</v>
      </c>
      <c r="J226" s="616"/>
      <c r="K226" s="333"/>
      <c r="L226" s="616"/>
      <c r="M226" s="305"/>
      <c r="N226" s="305">
        <f t="shared" si="75"/>
        <v>0</v>
      </c>
      <c r="O226" s="322"/>
      <c r="P226" s="408"/>
      <c r="Q226" s="307"/>
      <c r="R226" s="408"/>
      <c r="S226" s="322"/>
      <c r="T226" s="408"/>
      <c r="U226" s="307"/>
      <c r="V226" s="408"/>
      <c r="W226" s="322"/>
      <c r="X226" s="408"/>
      <c r="Y226" s="307"/>
      <c r="Z226" s="408"/>
      <c r="AA226" s="322"/>
      <c r="AB226" s="408"/>
      <c r="AC226" s="307"/>
      <c r="AD226" s="408"/>
      <c r="AE226" s="322"/>
      <c r="AF226" s="408"/>
      <c r="AG226" s="307"/>
      <c r="AH226" s="408"/>
      <c r="AI226" s="322"/>
      <c r="AJ226" s="408"/>
      <c r="AK226" s="307"/>
      <c r="AL226" s="408"/>
      <c r="AM226" s="322"/>
      <c r="AN226" s="408"/>
      <c r="AO226" s="307"/>
      <c r="AP226" s="408"/>
      <c r="AQ226" s="322"/>
      <c r="AR226" s="408"/>
      <c r="AS226" s="307"/>
      <c r="AT226" s="408"/>
      <c r="AU226" s="322"/>
      <c r="AV226" s="408"/>
      <c r="AW226" s="307"/>
      <c r="AX226" s="408"/>
      <c r="AY226" s="322"/>
      <c r="AZ226" s="408"/>
      <c r="BA226" s="307"/>
      <c r="BB226" s="408"/>
      <c r="BC226" s="322"/>
      <c r="BD226" s="408"/>
      <c r="BE226" s="307"/>
      <c r="BF226" s="408"/>
      <c r="BG226" s="322"/>
      <c r="BH226" s="408"/>
      <c r="BI226" s="307"/>
      <c r="BJ226" s="408"/>
      <c r="BK226" s="340"/>
      <c r="BL226" s="328">
        <f t="shared" si="76"/>
        <v>0</v>
      </c>
      <c r="BM226" s="328">
        <f t="shared" si="77"/>
        <v>0</v>
      </c>
      <c r="BN226" s="324">
        <f t="shared" si="78"/>
        <v>0</v>
      </c>
      <c r="BO226" s="325">
        <f t="shared" si="79"/>
        <v>0</v>
      </c>
      <c r="BP226" s="326">
        <f t="shared" si="80"/>
        <v>0</v>
      </c>
      <c r="BQ226" s="327">
        <f t="shared" si="81"/>
        <v>0</v>
      </c>
      <c r="BR226" s="329"/>
      <c r="BS226" s="329"/>
      <c r="BT226" s="322"/>
      <c r="BU226" s="408"/>
      <c r="BV226" s="307"/>
      <c r="BW226" s="408"/>
      <c r="BX226" s="322"/>
      <c r="BY226" s="408"/>
      <c r="BZ226" s="307"/>
      <c r="CA226" s="408"/>
      <c r="CB226" s="322"/>
      <c r="CC226" s="408"/>
      <c r="CD226" s="307"/>
      <c r="CE226" s="408"/>
      <c r="CF226" s="322"/>
      <c r="CG226" s="408"/>
      <c r="CH226" s="307"/>
      <c r="CI226" s="408"/>
      <c r="CJ226" s="322"/>
      <c r="CK226" s="408"/>
      <c r="CL226" s="307"/>
      <c r="CM226" s="408"/>
      <c r="CN226" s="322"/>
      <c r="CO226" s="408"/>
      <c r="CP226" s="307"/>
      <c r="CQ226" s="408"/>
      <c r="CR226" s="322"/>
      <c r="CS226" s="408"/>
      <c r="CT226" s="307"/>
      <c r="CU226" s="408"/>
      <c r="CV226" s="322"/>
      <c r="CW226" s="408"/>
      <c r="CX226" s="307"/>
      <c r="CY226" s="408"/>
      <c r="CZ226" s="322"/>
      <c r="DA226" s="408"/>
      <c r="DB226" s="307"/>
      <c r="DC226" s="408"/>
      <c r="DD226" s="322"/>
      <c r="DE226" s="408"/>
      <c r="DF226" s="307"/>
      <c r="DG226" s="408"/>
      <c r="DH226" s="322"/>
      <c r="DI226" s="408"/>
      <c r="DJ226" s="307"/>
      <c r="DK226" s="408"/>
      <c r="DL226" s="322"/>
      <c r="DM226" s="408"/>
      <c r="DN226" s="307"/>
      <c r="DO226" s="408"/>
      <c r="DP226" s="340"/>
      <c r="DQ226" s="328">
        <f>SUMPRODUCT(--(MOD(COLUMN(BT226:CQ226),4)=MOD(COLUMN(BT226),4)),BT226:CQ226)+SUMPRODUCT(--(MOD(COLUMN(CR226:DO226),4)=MOD(COLUMN(CR226),4)),CR226:DO226)</f>
        <v>0</v>
      </c>
      <c r="DR226" s="328">
        <f t="shared" ref="DR226:DR234" si="82">SUMPRODUCT(--(MOD(COLUMN(BT226:CQ226),4)=MOD(COLUMN(BT226),4)),BT226:CQ226)*$I226+SUMPRODUCT(--(MOD(COLUMN(CR226:DO226),4)=MOD(COLUMN(CR226),4)),CR226:DO226)*$I226</f>
        <v>0</v>
      </c>
      <c r="DS226" s="329"/>
      <c r="DT226" s="329"/>
      <c r="DU226" s="322"/>
      <c r="DV226" s="408"/>
      <c r="DW226" s="307"/>
      <c r="DX226" s="408"/>
      <c r="DY226" s="322"/>
      <c r="DZ226" s="408"/>
      <c r="EA226" s="307"/>
      <c r="EB226" s="408"/>
      <c r="EC226" s="322"/>
      <c r="ED226" s="408"/>
      <c r="EE226" s="307"/>
      <c r="EF226" s="408"/>
      <c r="EG226" s="322"/>
      <c r="EH226" s="408"/>
      <c r="EI226" s="307"/>
      <c r="EJ226" s="408"/>
      <c r="EK226" s="322"/>
      <c r="EL226" s="408"/>
      <c r="EM226" s="307"/>
      <c r="EN226" s="408"/>
      <c r="EO226" s="322"/>
      <c r="EP226" s="408"/>
      <c r="EQ226" s="307"/>
      <c r="ER226" s="408"/>
      <c r="ES226" s="322"/>
      <c r="ET226" s="408"/>
      <c r="EU226" s="307"/>
      <c r="EV226" s="408"/>
      <c r="EW226" s="322"/>
      <c r="EX226" s="408"/>
      <c r="EY226" s="307"/>
      <c r="EZ226" s="408"/>
      <c r="FA226" s="322"/>
      <c r="FB226" s="408"/>
      <c r="FC226" s="307"/>
      <c r="FD226" s="408"/>
      <c r="FE226" s="322"/>
      <c r="FF226" s="408"/>
      <c r="FG226" s="307"/>
      <c r="FH226" s="408"/>
      <c r="FI226" s="322"/>
      <c r="FJ226" s="408"/>
      <c r="FK226" s="307"/>
      <c r="FL226" s="408"/>
      <c r="FM226" s="322"/>
      <c r="FN226" s="408"/>
      <c r="FO226" s="307"/>
      <c r="FP226" s="408"/>
      <c r="FQ226" s="340"/>
      <c r="FR226" s="328">
        <f>SUMPRODUCT(--(MOD(COLUMN(DU226:ER226),4)=MOD(COLUMN(DU226),4)),DU226:ER226)+SUMPRODUCT(--(MOD(COLUMN(ES226:FP226),4)=MOD(COLUMN(ES226),4)),ES226:FP226)</f>
        <v>0</v>
      </c>
      <c r="FS226" s="328">
        <f t="shared" ref="FS226:FS234" si="83">SUMPRODUCT(--(MOD(COLUMN(DU226:ER226),4)=MOD(COLUMN(DU226),4)),DU226:ER226)*$I226+SUMPRODUCT(--(MOD(COLUMN(ES226:FP226),4)=MOD(COLUMN(ES226),4)),ES226:FP226)*$I226</f>
        <v>0</v>
      </c>
      <c r="FT226" s="361"/>
    </row>
    <row r="227" spans="1:176" outlineLevel="2">
      <c r="A227" s="413" t="s">
        <v>470</v>
      </c>
      <c r="B227" s="444" t="s">
        <v>134</v>
      </c>
      <c r="C227" s="592" t="s">
        <v>72</v>
      </c>
      <c r="D227" s="580" t="s">
        <v>32</v>
      </c>
      <c r="E227" s="414">
        <f>IF(ISBLANK(G227),"",IF($A$6:$A$330=$A227,COUNTIF($A$6:A227,$A227),""))</f>
        <v>33</v>
      </c>
      <c r="F227" s="284">
        <v>2</v>
      </c>
      <c r="G227" s="304">
        <v>4491301500</v>
      </c>
      <c r="H227" s="602" t="s">
        <v>99</v>
      </c>
      <c r="I227" s="616">
        <f>684.36/НДС_20</f>
        <v>570.30000000000007</v>
      </c>
      <c r="J227" s="616"/>
      <c r="K227" s="333"/>
      <c r="L227" s="616"/>
      <c r="M227" s="305"/>
      <c r="N227" s="305">
        <f t="shared" si="75"/>
        <v>0</v>
      </c>
      <c r="O227" s="322"/>
      <c r="P227" s="408"/>
      <c r="Q227" s="307"/>
      <c r="R227" s="408"/>
      <c r="S227" s="322"/>
      <c r="T227" s="408"/>
      <c r="U227" s="307"/>
      <c r="V227" s="408"/>
      <c r="W227" s="322"/>
      <c r="X227" s="408"/>
      <c r="Y227" s="307"/>
      <c r="Z227" s="408"/>
      <c r="AA227" s="322"/>
      <c r="AB227" s="408"/>
      <c r="AC227" s="307"/>
      <c r="AD227" s="408"/>
      <c r="AE227" s="322"/>
      <c r="AF227" s="408"/>
      <c r="AG227" s="307"/>
      <c r="AH227" s="408"/>
      <c r="AI227" s="322"/>
      <c r="AJ227" s="408"/>
      <c r="AK227" s="307"/>
      <c r="AL227" s="408"/>
      <c r="AM227" s="322"/>
      <c r="AN227" s="408"/>
      <c r="AO227" s="307"/>
      <c r="AP227" s="408"/>
      <c r="AQ227" s="322"/>
      <c r="AR227" s="408"/>
      <c r="AS227" s="307"/>
      <c r="AT227" s="408"/>
      <c r="AU227" s="322"/>
      <c r="AV227" s="408"/>
      <c r="AW227" s="307"/>
      <c r="AX227" s="408"/>
      <c r="AY227" s="322"/>
      <c r="AZ227" s="408"/>
      <c r="BA227" s="307"/>
      <c r="BB227" s="408"/>
      <c r="BC227" s="322"/>
      <c r="BD227" s="408"/>
      <c r="BE227" s="307"/>
      <c r="BF227" s="408"/>
      <c r="BG227" s="322"/>
      <c r="BH227" s="408"/>
      <c r="BI227" s="307"/>
      <c r="BJ227" s="408"/>
      <c r="BK227" s="340"/>
      <c r="BL227" s="328">
        <f t="shared" si="76"/>
        <v>0</v>
      </c>
      <c r="BM227" s="328">
        <f t="shared" si="77"/>
        <v>0</v>
      </c>
      <c r="BN227" s="324">
        <f t="shared" si="78"/>
        <v>0</v>
      </c>
      <c r="BO227" s="325">
        <f t="shared" si="79"/>
        <v>0</v>
      </c>
      <c r="BP227" s="326">
        <f t="shared" si="80"/>
        <v>0</v>
      </c>
      <c r="BQ227" s="327">
        <f t="shared" si="81"/>
        <v>0</v>
      </c>
      <c r="BR227" s="329"/>
      <c r="BS227" s="329"/>
      <c r="BT227" s="322"/>
      <c r="BU227" s="408"/>
      <c r="BV227" s="307"/>
      <c r="BW227" s="408"/>
      <c r="BX227" s="322"/>
      <c r="BY227" s="408"/>
      <c r="BZ227" s="307"/>
      <c r="CA227" s="408"/>
      <c r="CB227" s="322"/>
      <c r="CC227" s="408"/>
      <c r="CD227" s="307"/>
      <c r="CE227" s="408"/>
      <c r="CF227" s="322"/>
      <c r="CG227" s="408"/>
      <c r="CH227" s="307"/>
      <c r="CI227" s="408"/>
      <c r="CJ227" s="322"/>
      <c r="CK227" s="408"/>
      <c r="CL227" s="307"/>
      <c r="CM227" s="408"/>
      <c r="CN227" s="322"/>
      <c r="CO227" s="408"/>
      <c r="CP227" s="307"/>
      <c r="CQ227" s="408"/>
      <c r="CR227" s="322"/>
      <c r="CS227" s="408"/>
      <c r="CT227" s="307"/>
      <c r="CU227" s="408"/>
      <c r="CV227" s="322"/>
      <c r="CW227" s="408"/>
      <c r="CX227" s="307"/>
      <c r="CY227" s="408"/>
      <c r="CZ227" s="322"/>
      <c r="DA227" s="408"/>
      <c r="DB227" s="307"/>
      <c r="DC227" s="408"/>
      <c r="DD227" s="322"/>
      <c r="DE227" s="408"/>
      <c r="DF227" s="307"/>
      <c r="DG227" s="408"/>
      <c r="DH227" s="322"/>
      <c r="DI227" s="408"/>
      <c r="DJ227" s="307"/>
      <c r="DK227" s="408"/>
      <c r="DL227" s="322"/>
      <c r="DM227" s="408"/>
      <c r="DN227" s="307"/>
      <c r="DO227" s="408"/>
      <c r="DP227" s="340"/>
      <c r="DQ227" s="328">
        <f>SUMPRODUCT(--(MOD(COLUMN(BT227:CQ227),4)=MOD(COLUMN(BT227),4)),BT227:CQ227)+SUMPRODUCT(--(MOD(COLUMN(CR227:DO227),4)=MOD(COLUMN(CR227),4)),CR227:DO227)</f>
        <v>0</v>
      </c>
      <c r="DR227" s="328">
        <f t="shared" si="82"/>
        <v>0</v>
      </c>
      <c r="DS227" s="329"/>
      <c r="DT227" s="329"/>
      <c r="DU227" s="322"/>
      <c r="DV227" s="408"/>
      <c r="DW227" s="307"/>
      <c r="DX227" s="408"/>
      <c r="DY227" s="322"/>
      <c r="DZ227" s="408"/>
      <c r="EA227" s="307"/>
      <c r="EB227" s="408"/>
      <c r="EC227" s="322"/>
      <c r="ED227" s="408"/>
      <c r="EE227" s="307"/>
      <c r="EF227" s="408"/>
      <c r="EG227" s="322"/>
      <c r="EH227" s="408"/>
      <c r="EI227" s="307"/>
      <c r="EJ227" s="408"/>
      <c r="EK227" s="322"/>
      <c r="EL227" s="408"/>
      <c r="EM227" s="307"/>
      <c r="EN227" s="408"/>
      <c r="EO227" s="322"/>
      <c r="EP227" s="408"/>
      <c r="EQ227" s="307"/>
      <c r="ER227" s="408"/>
      <c r="ES227" s="322"/>
      <c r="ET227" s="408"/>
      <c r="EU227" s="307"/>
      <c r="EV227" s="408"/>
      <c r="EW227" s="322"/>
      <c r="EX227" s="408"/>
      <c r="EY227" s="307"/>
      <c r="EZ227" s="408"/>
      <c r="FA227" s="322"/>
      <c r="FB227" s="408"/>
      <c r="FC227" s="307"/>
      <c r="FD227" s="408"/>
      <c r="FE227" s="322"/>
      <c r="FF227" s="408"/>
      <c r="FG227" s="307"/>
      <c r="FH227" s="408"/>
      <c r="FI227" s="322"/>
      <c r="FJ227" s="408"/>
      <c r="FK227" s="307"/>
      <c r="FL227" s="408"/>
      <c r="FM227" s="322"/>
      <c r="FN227" s="408"/>
      <c r="FO227" s="307"/>
      <c r="FP227" s="408"/>
      <c r="FQ227" s="340"/>
      <c r="FR227" s="328">
        <f>SUMPRODUCT(--(MOD(COLUMN(DU227:ER227),4)=MOD(COLUMN(DU227),4)),DU227:ER227)+SUMPRODUCT(--(MOD(COLUMN(ES227:FP227),4)=MOD(COLUMN(ES227),4)),ES227:FP227)</f>
        <v>0</v>
      </c>
      <c r="FS227" s="328">
        <f t="shared" si="83"/>
        <v>0</v>
      </c>
      <c r="FT227" s="361"/>
    </row>
    <row r="228" spans="1:176" s="574" customFormat="1" outlineLevel="2">
      <c r="A228" s="565" t="s">
        <v>470</v>
      </c>
      <c r="B228" s="565" t="s">
        <v>134</v>
      </c>
      <c r="C228" s="173" t="s">
        <v>72</v>
      </c>
      <c r="D228" s="565" t="s">
        <v>32</v>
      </c>
      <c r="E228" s="566">
        <f>IF(ISBLANK(G228),"",IF($A$6:$A$330=$A228,COUNTIF($A$6:A228,$A228),""))</f>
        <v>34</v>
      </c>
      <c r="F228" s="567" t="s">
        <v>89</v>
      </c>
      <c r="G228" s="664" t="s">
        <v>130</v>
      </c>
      <c r="H228" s="665" t="s">
        <v>131</v>
      </c>
      <c r="I228" s="618">
        <f>4900/НДС</f>
        <v>4016.3934426229507</v>
      </c>
      <c r="J228" s="618"/>
      <c r="K228" s="126"/>
      <c r="L228" s="618" t="str">
        <f>IF(K228="RUB",J228/ЮАНЬ,IF(K228="EUR",J228*ЕВРО/ЮАНЬ,""))</f>
        <v/>
      </c>
      <c r="M228" s="568"/>
      <c r="N228" s="353">
        <f t="shared" si="75"/>
        <v>2</v>
      </c>
      <c r="O228" s="569">
        <v>10</v>
      </c>
      <c r="P228" s="570"/>
      <c r="Q228" s="571"/>
      <c r="R228" s="570"/>
      <c r="S228" s="569">
        <v>10</v>
      </c>
      <c r="T228" s="570"/>
      <c r="U228" s="571"/>
      <c r="V228" s="570"/>
      <c r="W228" s="569">
        <v>10</v>
      </c>
      <c r="X228" s="570"/>
      <c r="Y228" s="571"/>
      <c r="Z228" s="570"/>
      <c r="AA228" s="569">
        <v>10</v>
      </c>
      <c r="AB228" s="570"/>
      <c r="AC228" s="571"/>
      <c r="AD228" s="570"/>
      <c r="AE228" s="569">
        <v>10</v>
      </c>
      <c r="AF228" s="570"/>
      <c r="AG228" s="571"/>
      <c r="AH228" s="570"/>
      <c r="AI228" s="569">
        <v>10</v>
      </c>
      <c r="AJ228" s="570"/>
      <c r="AK228" s="571"/>
      <c r="AL228" s="570"/>
      <c r="AM228" s="569">
        <v>10</v>
      </c>
      <c r="AN228" s="570"/>
      <c r="AO228" s="571"/>
      <c r="AP228" s="570"/>
      <c r="AQ228" s="569">
        <v>10</v>
      </c>
      <c r="AR228" s="570"/>
      <c r="AS228" s="571"/>
      <c r="AT228" s="570"/>
      <c r="AU228" s="569">
        <v>10</v>
      </c>
      <c r="AV228" s="570"/>
      <c r="AW228" s="571"/>
      <c r="AX228" s="570"/>
      <c r="AY228" s="569">
        <v>10</v>
      </c>
      <c r="AZ228" s="570">
        <v>10</v>
      </c>
      <c r="BA228" s="571"/>
      <c r="BB228" s="570"/>
      <c r="BC228" s="569">
        <v>10</v>
      </c>
      <c r="BD228" s="570">
        <v>10</v>
      </c>
      <c r="BE228" s="571"/>
      <c r="BF228" s="570"/>
      <c r="BG228" s="569">
        <v>10</v>
      </c>
      <c r="BH228" s="570">
        <v>10</v>
      </c>
      <c r="BI228" s="571"/>
      <c r="BJ228" s="570"/>
      <c r="BK228" s="572"/>
      <c r="BL228" s="32">
        <f t="shared" si="76"/>
        <v>120</v>
      </c>
      <c r="BM228" s="32">
        <f t="shared" si="77"/>
        <v>481967.21311475406</v>
      </c>
      <c r="BN228" s="28">
        <f t="shared" si="78"/>
        <v>30</v>
      </c>
      <c r="BO228" s="29">
        <f t="shared" si="79"/>
        <v>120491.80327868852</v>
      </c>
      <c r="BP228" s="30">
        <f t="shared" si="80"/>
        <v>0</v>
      </c>
      <c r="BQ228" s="31">
        <f t="shared" si="81"/>
        <v>0</v>
      </c>
      <c r="BR228" s="11"/>
      <c r="BS228" s="329"/>
      <c r="BT228" s="569">
        <v>10</v>
      </c>
      <c r="BU228" s="570"/>
      <c r="BV228" s="571"/>
      <c r="BW228" s="570"/>
      <c r="BX228" s="569">
        <v>10</v>
      </c>
      <c r="BY228" s="570"/>
      <c r="BZ228" s="571"/>
      <c r="CA228" s="570"/>
      <c r="CB228" s="569">
        <v>10</v>
      </c>
      <c r="CC228" s="570"/>
      <c r="CD228" s="571"/>
      <c r="CE228" s="570"/>
      <c r="CF228" s="569">
        <v>10</v>
      </c>
      <c r="CG228" s="570"/>
      <c r="CH228" s="571"/>
      <c r="CI228" s="570"/>
      <c r="CJ228" s="569">
        <v>10</v>
      </c>
      <c r="CK228" s="570"/>
      <c r="CL228" s="571"/>
      <c r="CM228" s="570"/>
      <c r="CN228" s="569">
        <v>10</v>
      </c>
      <c r="CO228" s="570"/>
      <c r="CP228" s="571"/>
      <c r="CQ228" s="570"/>
      <c r="CR228" s="569">
        <v>10</v>
      </c>
      <c r="CS228" s="570"/>
      <c r="CT228" s="571"/>
      <c r="CU228" s="570"/>
      <c r="CV228" s="569">
        <v>10</v>
      </c>
      <c r="CW228" s="570"/>
      <c r="CX228" s="571"/>
      <c r="CY228" s="570"/>
      <c r="CZ228" s="569">
        <v>10</v>
      </c>
      <c r="DA228" s="570"/>
      <c r="DB228" s="571"/>
      <c r="DC228" s="570"/>
      <c r="DD228" s="569">
        <v>10</v>
      </c>
      <c r="DE228" s="570"/>
      <c r="DF228" s="571"/>
      <c r="DG228" s="570"/>
      <c r="DH228" s="569">
        <v>10</v>
      </c>
      <c r="DI228" s="570"/>
      <c r="DJ228" s="571"/>
      <c r="DK228" s="570"/>
      <c r="DL228" s="569">
        <v>10</v>
      </c>
      <c r="DM228" s="570"/>
      <c r="DN228" s="571"/>
      <c r="DO228" s="570"/>
      <c r="DP228" s="572"/>
      <c r="DQ228" s="32">
        <f>SUMPRODUCT(--(MOD(COLUMN(BT228:CQ228),4)=MOD(COLUMN(BT228),4)),BT228:CQ228)+SUMPRODUCT(--(MOD(COLUMN(CR228:DO228),4)=MOD(COLUMN(CR228),4)),CR228:DO228)</f>
        <v>120</v>
      </c>
      <c r="DR228" s="32">
        <f t="shared" si="82"/>
        <v>481967.21311475406</v>
      </c>
      <c r="DS228" s="11"/>
      <c r="DT228" s="329"/>
      <c r="DU228" s="569">
        <v>10</v>
      </c>
      <c r="DV228" s="570"/>
      <c r="DW228" s="571"/>
      <c r="DX228" s="570"/>
      <c r="DY228" s="569">
        <v>10</v>
      </c>
      <c r="DZ228" s="570"/>
      <c r="EA228" s="571"/>
      <c r="EB228" s="570"/>
      <c r="EC228" s="569">
        <v>10</v>
      </c>
      <c r="ED228" s="570"/>
      <c r="EE228" s="571"/>
      <c r="EF228" s="570"/>
      <c r="EG228" s="569">
        <v>10</v>
      </c>
      <c r="EH228" s="570"/>
      <c r="EI228" s="571"/>
      <c r="EJ228" s="570"/>
      <c r="EK228" s="569">
        <v>10</v>
      </c>
      <c r="EL228" s="570"/>
      <c r="EM228" s="571"/>
      <c r="EN228" s="570"/>
      <c r="EO228" s="569">
        <v>10</v>
      </c>
      <c r="EP228" s="570"/>
      <c r="EQ228" s="571"/>
      <c r="ER228" s="570"/>
      <c r="ES228" s="569">
        <v>10</v>
      </c>
      <c r="ET228" s="570"/>
      <c r="EU228" s="571"/>
      <c r="EV228" s="570"/>
      <c r="EW228" s="569">
        <v>10</v>
      </c>
      <c r="EX228" s="570"/>
      <c r="EY228" s="571"/>
      <c r="EZ228" s="570"/>
      <c r="FA228" s="569">
        <v>10</v>
      </c>
      <c r="FB228" s="570"/>
      <c r="FC228" s="571"/>
      <c r="FD228" s="570"/>
      <c r="FE228" s="569">
        <v>10</v>
      </c>
      <c r="FF228" s="570"/>
      <c r="FG228" s="571"/>
      <c r="FH228" s="570"/>
      <c r="FI228" s="569">
        <v>10</v>
      </c>
      <c r="FJ228" s="570"/>
      <c r="FK228" s="571"/>
      <c r="FL228" s="570"/>
      <c r="FM228" s="569">
        <v>10</v>
      </c>
      <c r="FN228" s="570"/>
      <c r="FO228" s="571"/>
      <c r="FP228" s="570"/>
      <c r="FQ228" s="572"/>
      <c r="FR228" s="32">
        <f>SUMPRODUCT(--(MOD(COLUMN(DU228:ER228),4)=MOD(COLUMN(DU228),4)),DU228:ER228)+SUMPRODUCT(--(MOD(COLUMN(ES228:FP228),4)=MOD(COLUMN(ES228),4)),ES228:FP228)</f>
        <v>120</v>
      </c>
      <c r="FS228" s="32">
        <f t="shared" si="83"/>
        <v>481967.21311475406</v>
      </c>
      <c r="FT228" s="573"/>
    </row>
    <row r="229" spans="1:176" s="574" customFormat="1" outlineLevel="2">
      <c r="A229" s="580" t="s">
        <v>470</v>
      </c>
      <c r="B229" s="580" t="s">
        <v>134</v>
      </c>
      <c r="C229" s="592" t="s">
        <v>72</v>
      </c>
      <c r="D229" s="580" t="s">
        <v>32</v>
      </c>
      <c r="E229" s="588">
        <f>IF(ISBLANK(G229),"",IF($A$6:$A$330=$A229,COUNTIF($A$6:A229,$A229),""))</f>
        <v>35</v>
      </c>
      <c r="F229" s="577" t="s">
        <v>89</v>
      </c>
      <c r="G229" s="593">
        <v>4441000120</v>
      </c>
      <c r="H229" s="603" t="s">
        <v>435</v>
      </c>
      <c r="I229" s="618">
        <f>4900/НДС</f>
        <v>4016.3934426229507</v>
      </c>
      <c r="J229" s="619"/>
      <c r="K229" s="321"/>
      <c r="L229" s="619"/>
      <c r="M229" s="353"/>
      <c r="N229" s="353">
        <f t="shared" si="75"/>
        <v>1</v>
      </c>
      <c r="O229" s="578"/>
      <c r="P229" s="498"/>
      <c r="Q229" s="579"/>
      <c r="R229" s="498"/>
      <c r="S229" s="578"/>
      <c r="T229" s="498">
        <f>5</f>
        <v>5</v>
      </c>
      <c r="U229" s="579">
        <v>5</v>
      </c>
      <c r="V229" s="498"/>
      <c r="W229" s="578"/>
      <c r="X229" s="498">
        <f>16</f>
        <v>16</v>
      </c>
      <c r="Y229" s="579">
        <v>16</v>
      </c>
      <c r="Z229" s="498"/>
      <c r="AA229" s="578"/>
      <c r="AB229" s="498"/>
      <c r="AC229" s="579"/>
      <c r="AD229" s="498"/>
      <c r="AE229" s="578"/>
      <c r="AF229" s="498"/>
      <c r="AG229" s="579"/>
      <c r="AH229" s="498"/>
      <c r="AI229" s="578"/>
      <c r="AJ229" s="498"/>
      <c r="AK229" s="579"/>
      <c r="AL229" s="498"/>
      <c r="AM229" s="578"/>
      <c r="AN229" s="498"/>
      <c r="AO229" s="579"/>
      <c r="AP229" s="498"/>
      <c r="AQ229" s="578"/>
      <c r="AR229" s="498"/>
      <c r="AS229" s="579"/>
      <c r="AT229" s="498"/>
      <c r="AU229" s="578"/>
      <c r="AV229" s="498"/>
      <c r="AW229" s="579"/>
      <c r="AX229" s="498"/>
      <c r="AY229" s="578"/>
      <c r="AZ229" s="498"/>
      <c r="BA229" s="579"/>
      <c r="BB229" s="498"/>
      <c r="BC229" s="578"/>
      <c r="BD229" s="498"/>
      <c r="BE229" s="579"/>
      <c r="BF229" s="498"/>
      <c r="BG229" s="578"/>
      <c r="BH229" s="498"/>
      <c r="BI229" s="579"/>
      <c r="BJ229" s="498"/>
      <c r="BK229" s="572"/>
      <c r="BL229" s="328">
        <f t="shared" si="76"/>
        <v>0</v>
      </c>
      <c r="BM229" s="328">
        <f t="shared" si="77"/>
        <v>0</v>
      </c>
      <c r="BN229" s="324">
        <f t="shared" si="78"/>
        <v>21</v>
      </c>
      <c r="BO229" s="325">
        <f t="shared" si="79"/>
        <v>84344.262295081964</v>
      </c>
      <c r="BP229" s="326">
        <f t="shared" si="80"/>
        <v>21</v>
      </c>
      <c r="BQ229" s="327">
        <f t="shared" si="81"/>
        <v>84344.262295081964</v>
      </c>
      <c r="BR229" s="329"/>
      <c r="BS229" s="329"/>
      <c r="BT229" s="578"/>
      <c r="BU229" s="498"/>
      <c r="BV229" s="579"/>
      <c r="BW229" s="498"/>
      <c r="BX229" s="578"/>
      <c r="BY229" s="498"/>
      <c r="BZ229" s="579"/>
      <c r="CA229" s="498"/>
      <c r="CB229" s="578"/>
      <c r="CC229" s="498"/>
      <c r="CD229" s="579"/>
      <c r="CE229" s="498"/>
      <c r="CF229" s="578"/>
      <c r="CG229" s="498"/>
      <c r="CH229" s="579"/>
      <c r="CI229" s="498"/>
      <c r="CJ229" s="578"/>
      <c r="CK229" s="498"/>
      <c r="CL229" s="579"/>
      <c r="CM229" s="498"/>
      <c r="CN229" s="578"/>
      <c r="CO229" s="498"/>
      <c r="CP229" s="579"/>
      <c r="CQ229" s="498"/>
      <c r="CR229" s="578"/>
      <c r="CS229" s="498"/>
      <c r="CT229" s="579"/>
      <c r="CU229" s="498"/>
      <c r="CV229" s="578"/>
      <c r="CW229" s="498"/>
      <c r="CX229" s="579"/>
      <c r="CY229" s="498"/>
      <c r="CZ229" s="578"/>
      <c r="DA229" s="498"/>
      <c r="DB229" s="579"/>
      <c r="DC229" s="498"/>
      <c r="DD229" s="578"/>
      <c r="DE229" s="498"/>
      <c r="DF229" s="579"/>
      <c r="DG229" s="498"/>
      <c r="DH229" s="578"/>
      <c r="DI229" s="498"/>
      <c r="DJ229" s="579"/>
      <c r="DK229" s="498"/>
      <c r="DL229" s="578"/>
      <c r="DM229" s="498"/>
      <c r="DN229" s="579"/>
      <c r="DO229" s="498"/>
      <c r="DP229" s="572"/>
      <c r="DQ229" s="328"/>
      <c r="DR229" s="328">
        <f t="shared" si="82"/>
        <v>0</v>
      </c>
      <c r="DS229" s="329"/>
      <c r="DT229" s="329"/>
      <c r="DU229" s="578"/>
      <c r="DV229" s="498"/>
      <c r="DW229" s="579"/>
      <c r="DX229" s="498"/>
      <c r="DY229" s="578"/>
      <c r="DZ229" s="498"/>
      <c r="EA229" s="579"/>
      <c r="EB229" s="498"/>
      <c r="EC229" s="578"/>
      <c r="ED229" s="498"/>
      <c r="EE229" s="579"/>
      <c r="EF229" s="498"/>
      <c r="EG229" s="578"/>
      <c r="EH229" s="498"/>
      <c r="EI229" s="579"/>
      <c r="EJ229" s="498"/>
      <c r="EK229" s="578"/>
      <c r="EL229" s="498"/>
      <c r="EM229" s="579"/>
      <c r="EN229" s="498"/>
      <c r="EO229" s="578"/>
      <c r="EP229" s="498"/>
      <c r="EQ229" s="579"/>
      <c r="ER229" s="498"/>
      <c r="ES229" s="578"/>
      <c r="ET229" s="498"/>
      <c r="EU229" s="579"/>
      <c r="EV229" s="498"/>
      <c r="EW229" s="578"/>
      <c r="EX229" s="498"/>
      <c r="EY229" s="579"/>
      <c r="EZ229" s="498"/>
      <c r="FA229" s="578"/>
      <c r="FB229" s="498"/>
      <c r="FC229" s="579"/>
      <c r="FD229" s="498"/>
      <c r="FE229" s="578"/>
      <c r="FF229" s="498"/>
      <c r="FG229" s="579"/>
      <c r="FH229" s="498"/>
      <c r="FI229" s="578"/>
      <c r="FJ229" s="498"/>
      <c r="FK229" s="579"/>
      <c r="FL229" s="498"/>
      <c r="FM229" s="578"/>
      <c r="FN229" s="498"/>
      <c r="FO229" s="579"/>
      <c r="FP229" s="498"/>
      <c r="FQ229" s="572"/>
      <c r="FR229" s="328"/>
      <c r="FS229" s="328">
        <f t="shared" si="83"/>
        <v>0</v>
      </c>
      <c r="FT229" s="573"/>
    </row>
    <row r="230" spans="1:176" s="574" customFormat="1" outlineLevel="2">
      <c r="A230" s="580" t="s">
        <v>470</v>
      </c>
      <c r="B230" s="580" t="s">
        <v>134</v>
      </c>
      <c r="C230" s="592" t="s">
        <v>72</v>
      </c>
      <c r="D230" s="580" t="s">
        <v>32</v>
      </c>
      <c r="E230" s="588">
        <f>IF(ISBLANK(G230),"",IF($A$6:$A$330=$A230,COUNTIF($A$6:A230,$A230),""))</f>
        <v>36</v>
      </c>
      <c r="F230" s="577" t="s">
        <v>89</v>
      </c>
      <c r="G230" s="593">
        <v>4441000480</v>
      </c>
      <c r="H230" s="603" t="s">
        <v>435</v>
      </c>
      <c r="I230" s="618">
        <f>4900/НДС</f>
        <v>4016.3934426229507</v>
      </c>
      <c r="J230" s="619"/>
      <c r="K230" s="321"/>
      <c r="L230" s="619"/>
      <c r="M230" s="353"/>
      <c r="N230" s="353">
        <f t="shared" si="75"/>
        <v>0</v>
      </c>
      <c r="O230" s="578"/>
      <c r="P230" s="498"/>
      <c r="Q230" s="579"/>
      <c r="R230" s="498"/>
      <c r="S230" s="578"/>
      <c r="T230" s="498"/>
      <c r="U230" s="579"/>
      <c r="V230" s="498"/>
      <c r="W230" s="578"/>
      <c r="X230" s="498"/>
      <c r="Y230" s="579"/>
      <c r="Z230" s="498"/>
      <c r="AA230" s="578"/>
      <c r="AB230" s="498"/>
      <c r="AC230" s="579"/>
      <c r="AD230" s="498"/>
      <c r="AE230" s="578"/>
      <c r="AF230" s="498"/>
      <c r="AG230" s="579"/>
      <c r="AH230" s="498"/>
      <c r="AI230" s="578"/>
      <c r="AJ230" s="498"/>
      <c r="AK230" s="579"/>
      <c r="AL230" s="498"/>
      <c r="AM230" s="578"/>
      <c r="AN230" s="498"/>
      <c r="AO230" s="579"/>
      <c r="AP230" s="498"/>
      <c r="AQ230" s="578"/>
      <c r="AR230" s="498"/>
      <c r="AS230" s="579"/>
      <c r="AT230" s="498"/>
      <c r="AU230" s="578"/>
      <c r="AV230" s="498"/>
      <c r="AW230" s="579"/>
      <c r="AX230" s="498"/>
      <c r="AY230" s="578"/>
      <c r="AZ230" s="498"/>
      <c r="BA230" s="579"/>
      <c r="BB230" s="498"/>
      <c r="BC230" s="578"/>
      <c r="BD230" s="498"/>
      <c r="BE230" s="579"/>
      <c r="BF230" s="498"/>
      <c r="BG230" s="578"/>
      <c r="BH230" s="498"/>
      <c r="BI230" s="579"/>
      <c r="BJ230" s="498"/>
      <c r="BK230" s="572"/>
      <c r="BL230" s="328">
        <f t="shared" si="76"/>
        <v>0</v>
      </c>
      <c r="BM230" s="328">
        <f t="shared" si="77"/>
        <v>0</v>
      </c>
      <c r="BN230" s="324">
        <f t="shared" si="78"/>
        <v>0</v>
      </c>
      <c r="BO230" s="325">
        <f t="shared" si="79"/>
        <v>0</v>
      </c>
      <c r="BP230" s="326">
        <f t="shared" si="80"/>
        <v>0</v>
      </c>
      <c r="BQ230" s="327">
        <f t="shared" si="81"/>
        <v>0</v>
      </c>
      <c r="BR230" s="329"/>
      <c r="BS230" s="329"/>
      <c r="BT230" s="578"/>
      <c r="BU230" s="498"/>
      <c r="BV230" s="579"/>
      <c r="BW230" s="498"/>
      <c r="BX230" s="578"/>
      <c r="BY230" s="498"/>
      <c r="BZ230" s="579"/>
      <c r="CA230" s="498"/>
      <c r="CB230" s="578"/>
      <c r="CC230" s="498"/>
      <c r="CD230" s="579"/>
      <c r="CE230" s="498"/>
      <c r="CF230" s="578"/>
      <c r="CG230" s="498"/>
      <c r="CH230" s="579"/>
      <c r="CI230" s="498"/>
      <c r="CJ230" s="578"/>
      <c r="CK230" s="498"/>
      <c r="CL230" s="579"/>
      <c r="CM230" s="498"/>
      <c r="CN230" s="578"/>
      <c r="CO230" s="498"/>
      <c r="CP230" s="579"/>
      <c r="CQ230" s="498"/>
      <c r="CR230" s="578"/>
      <c r="CS230" s="498"/>
      <c r="CT230" s="579"/>
      <c r="CU230" s="498"/>
      <c r="CV230" s="578"/>
      <c r="CW230" s="498"/>
      <c r="CX230" s="579"/>
      <c r="CY230" s="498"/>
      <c r="CZ230" s="578"/>
      <c r="DA230" s="498"/>
      <c r="DB230" s="579"/>
      <c r="DC230" s="498"/>
      <c r="DD230" s="578"/>
      <c r="DE230" s="498"/>
      <c r="DF230" s="579"/>
      <c r="DG230" s="498"/>
      <c r="DH230" s="578"/>
      <c r="DI230" s="498"/>
      <c r="DJ230" s="579"/>
      <c r="DK230" s="498"/>
      <c r="DL230" s="578"/>
      <c r="DM230" s="498"/>
      <c r="DN230" s="579"/>
      <c r="DO230" s="498"/>
      <c r="DP230" s="572"/>
      <c r="DQ230" s="328"/>
      <c r="DR230" s="328">
        <f t="shared" si="82"/>
        <v>0</v>
      </c>
      <c r="DS230" s="329"/>
      <c r="DT230" s="329"/>
      <c r="DU230" s="578"/>
      <c r="DV230" s="498"/>
      <c r="DW230" s="579"/>
      <c r="DX230" s="498"/>
      <c r="DY230" s="578"/>
      <c r="DZ230" s="498"/>
      <c r="EA230" s="579"/>
      <c r="EB230" s="498"/>
      <c r="EC230" s="578"/>
      <c r="ED230" s="498"/>
      <c r="EE230" s="579"/>
      <c r="EF230" s="498"/>
      <c r="EG230" s="578"/>
      <c r="EH230" s="498"/>
      <c r="EI230" s="579"/>
      <c r="EJ230" s="498"/>
      <c r="EK230" s="578"/>
      <c r="EL230" s="498"/>
      <c r="EM230" s="579"/>
      <c r="EN230" s="498"/>
      <c r="EO230" s="578"/>
      <c r="EP230" s="498"/>
      <c r="EQ230" s="579"/>
      <c r="ER230" s="498"/>
      <c r="ES230" s="578"/>
      <c r="ET230" s="498"/>
      <c r="EU230" s="579"/>
      <c r="EV230" s="498"/>
      <c r="EW230" s="578"/>
      <c r="EX230" s="498"/>
      <c r="EY230" s="579"/>
      <c r="EZ230" s="498"/>
      <c r="FA230" s="578"/>
      <c r="FB230" s="498"/>
      <c r="FC230" s="579"/>
      <c r="FD230" s="498"/>
      <c r="FE230" s="578"/>
      <c r="FF230" s="498"/>
      <c r="FG230" s="579"/>
      <c r="FH230" s="498"/>
      <c r="FI230" s="578"/>
      <c r="FJ230" s="498"/>
      <c r="FK230" s="579"/>
      <c r="FL230" s="498"/>
      <c r="FM230" s="578"/>
      <c r="FN230" s="498"/>
      <c r="FO230" s="579"/>
      <c r="FP230" s="498"/>
      <c r="FQ230" s="572"/>
      <c r="FR230" s="328"/>
      <c r="FS230" s="328">
        <f t="shared" si="83"/>
        <v>0</v>
      </c>
      <c r="FT230" s="573"/>
    </row>
    <row r="231" spans="1:176" s="574" customFormat="1" outlineLevel="2">
      <c r="A231" s="589" t="s">
        <v>470</v>
      </c>
      <c r="B231" s="589" t="s">
        <v>134</v>
      </c>
      <c r="C231" s="594" t="s">
        <v>72</v>
      </c>
      <c r="D231" s="589" t="s">
        <v>32</v>
      </c>
      <c r="E231" s="584">
        <f>IF(ISBLANK(G231),"",IF($A$6:$A$330=$A231,COUNTIF($A$6:A231,$A231),""))</f>
        <v>37</v>
      </c>
      <c r="F231" s="567" t="s">
        <v>89</v>
      </c>
      <c r="G231" s="664" t="s">
        <v>407</v>
      </c>
      <c r="H231" s="666" t="s">
        <v>132</v>
      </c>
      <c r="I231" s="667">
        <f>5380/НДС_20</f>
        <v>4483.3333333333339</v>
      </c>
      <c r="J231" s="618"/>
      <c r="K231" s="126"/>
      <c r="L231" s="618" t="str">
        <f>IF(K231="RUB",J231/ЮАНЬ,IF(K231="EUR",J231*ЕВРО/ЮАНЬ,""))</f>
        <v/>
      </c>
      <c r="M231" s="568"/>
      <c r="N231" s="353">
        <f t="shared" si="75"/>
        <v>2</v>
      </c>
      <c r="O231" s="569">
        <v>5</v>
      </c>
      <c r="P231" s="570"/>
      <c r="Q231" s="571"/>
      <c r="R231" s="570"/>
      <c r="S231" s="569">
        <v>5</v>
      </c>
      <c r="T231" s="570"/>
      <c r="U231" s="571"/>
      <c r="V231" s="570"/>
      <c r="W231" s="569">
        <v>5</v>
      </c>
      <c r="X231" s="570"/>
      <c r="Y231" s="571"/>
      <c r="Z231" s="570"/>
      <c r="AA231" s="569">
        <v>5</v>
      </c>
      <c r="AB231" s="570"/>
      <c r="AC231" s="571"/>
      <c r="AD231" s="570"/>
      <c r="AE231" s="569">
        <v>5</v>
      </c>
      <c r="AF231" s="570"/>
      <c r="AG231" s="571"/>
      <c r="AH231" s="570"/>
      <c r="AI231" s="569">
        <v>5</v>
      </c>
      <c r="AJ231" s="570"/>
      <c r="AK231" s="571"/>
      <c r="AL231" s="570"/>
      <c r="AM231" s="569">
        <v>5</v>
      </c>
      <c r="AN231" s="570"/>
      <c r="AO231" s="571"/>
      <c r="AP231" s="570"/>
      <c r="AQ231" s="569">
        <v>5</v>
      </c>
      <c r="AR231" s="570"/>
      <c r="AS231" s="571"/>
      <c r="AT231" s="570"/>
      <c r="AU231" s="569">
        <v>5</v>
      </c>
      <c r="AV231" s="570"/>
      <c r="AW231" s="571"/>
      <c r="AX231" s="570"/>
      <c r="AY231" s="569">
        <v>5</v>
      </c>
      <c r="AZ231" s="570">
        <v>5</v>
      </c>
      <c r="BA231" s="571"/>
      <c r="BB231" s="570"/>
      <c r="BC231" s="569">
        <v>5</v>
      </c>
      <c r="BD231" s="570">
        <v>5</v>
      </c>
      <c r="BE231" s="571"/>
      <c r="BF231" s="570"/>
      <c r="BG231" s="569">
        <v>5</v>
      </c>
      <c r="BH231" s="570">
        <v>5</v>
      </c>
      <c r="BI231" s="571"/>
      <c r="BJ231" s="570"/>
      <c r="BK231" s="572"/>
      <c r="BL231" s="32">
        <f t="shared" si="76"/>
        <v>60</v>
      </c>
      <c r="BM231" s="32">
        <f t="shared" si="77"/>
        <v>269000.00000000006</v>
      </c>
      <c r="BN231" s="28">
        <f t="shared" si="78"/>
        <v>15</v>
      </c>
      <c r="BO231" s="29">
        <f t="shared" si="79"/>
        <v>67250.000000000015</v>
      </c>
      <c r="BP231" s="30">
        <f t="shared" si="80"/>
        <v>0</v>
      </c>
      <c r="BQ231" s="31">
        <f t="shared" si="81"/>
        <v>0</v>
      </c>
      <c r="BR231" s="11"/>
      <c r="BS231" s="329"/>
      <c r="BT231" s="569">
        <v>10</v>
      </c>
      <c r="BU231" s="570"/>
      <c r="BV231" s="571"/>
      <c r="BW231" s="570"/>
      <c r="BX231" s="569">
        <v>10</v>
      </c>
      <c r="BY231" s="570"/>
      <c r="BZ231" s="571"/>
      <c r="CA231" s="570"/>
      <c r="CB231" s="569">
        <v>10</v>
      </c>
      <c r="CC231" s="570"/>
      <c r="CD231" s="571"/>
      <c r="CE231" s="570"/>
      <c r="CF231" s="569">
        <v>10</v>
      </c>
      <c r="CG231" s="570"/>
      <c r="CH231" s="571"/>
      <c r="CI231" s="570"/>
      <c r="CJ231" s="569">
        <v>10</v>
      </c>
      <c r="CK231" s="570"/>
      <c r="CL231" s="571"/>
      <c r="CM231" s="570"/>
      <c r="CN231" s="569">
        <v>10</v>
      </c>
      <c r="CO231" s="570"/>
      <c r="CP231" s="571"/>
      <c r="CQ231" s="570"/>
      <c r="CR231" s="569">
        <v>10</v>
      </c>
      <c r="CS231" s="570"/>
      <c r="CT231" s="571"/>
      <c r="CU231" s="570"/>
      <c r="CV231" s="569">
        <v>10</v>
      </c>
      <c r="CW231" s="570"/>
      <c r="CX231" s="571"/>
      <c r="CY231" s="570"/>
      <c r="CZ231" s="569">
        <v>10</v>
      </c>
      <c r="DA231" s="570"/>
      <c r="DB231" s="571"/>
      <c r="DC231" s="570"/>
      <c r="DD231" s="569">
        <v>10</v>
      </c>
      <c r="DE231" s="570"/>
      <c r="DF231" s="571"/>
      <c r="DG231" s="570"/>
      <c r="DH231" s="569">
        <v>10</v>
      </c>
      <c r="DI231" s="570"/>
      <c r="DJ231" s="571"/>
      <c r="DK231" s="570"/>
      <c r="DL231" s="569">
        <v>10</v>
      </c>
      <c r="DM231" s="570"/>
      <c r="DN231" s="571"/>
      <c r="DO231" s="570"/>
      <c r="DP231" s="572"/>
      <c r="DQ231" s="32">
        <f>SUMPRODUCT(--(MOD(COLUMN(BT231:CQ231),4)=MOD(COLUMN(BT231),4)),BT231:CQ231)+SUMPRODUCT(--(MOD(COLUMN(CR231:DO231),4)=MOD(COLUMN(CR231),4)),CR231:DO231)</f>
        <v>120</v>
      </c>
      <c r="DR231" s="32">
        <f t="shared" si="82"/>
        <v>538000.00000000012</v>
      </c>
      <c r="DS231" s="11"/>
      <c r="DT231" s="329"/>
      <c r="DU231" s="569">
        <v>10</v>
      </c>
      <c r="DV231" s="570"/>
      <c r="DW231" s="571"/>
      <c r="DX231" s="570"/>
      <c r="DY231" s="569">
        <v>10</v>
      </c>
      <c r="DZ231" s="570"/>
      <c r="EA231" s="571"/>
      <c r="EB231" s="570"/>
      <c r="EC231" s="569">
        <v>10</v>
      </c>
      <c r="ED231" s="570"/>
      <c r="EE231" s="571"/>
      <c r="EF231" s="570"/>
      <c r="EG231" s="569">
        <v>10</v>
      </c>
      <c r="EH231" s="570"/>
      <c r="EI231" s="571"/>
      <c r="EJ231" s="570"/>
      <c r="EK231" s="569">
        <v>10</v>
      </c>
      <c r="EL231" s="570"/>
      <c r="EM231" s="571"/>
      <c r="EN231" s="570"/>
      <c r="EO231" s="569">
        <v>10</v>
      </c>
      <c r="EP231" s="570"/>
      <c r="EQ231" s="571"/>
      <c r="ER231" s="570"/>
      <c r="ES231" s="569">
        <v>10</v>
      </c>
      <c r="ET231" s="570"/>
      <c r="EU231" s="571"/>
      <c r="EV231" s="570"/>
      <c r="EW231" s="569">
        <v>10</v>
      </c>
      <c r="EX231" s="570"/>
      <c r="EY231" s="571"/>
      <c r="EZ231" s="570"/>
      <c r="FA231" s="569">
        <v>10</v>
      </c>
      <c r="FB231" s="570"/>
      <c r="FC231" s="571"/>
      <c r="FD231" s="570"/>
      <c r="FE231" s="569">
        <v>10</v>
      </c>
      <c r="FF231" s="570"/>
      <c r="FG231" s="571"/>
      <c r="FH231" s="570"/>
      <c r="FI231" s="569">
        <v>10</v>
      </c>
      <c r="FJ231" s="570"/>
      <c r="FK231" s="571"/>
      <c r="FL231" s="570"/>
      <c r="FM231" s="569">
        <v>10</v>
      </c>
      <c r="FN231" s="570"/>
      <c r="FO231" s="571"/>
      <c r="FP231" s="570"/>
      <c r="FQ231" s="572"/>
      <c r="FR231" s="32">
        <f>SUMPRODUCT(--(MOD(COLUMN(DU231:ER231),4)=MOD(COLUMN(DU231),4)),DU231:ER231)+SUMPRODUCT(--(MOD(COLUMN(ES231:FP231),4)=MOD(COLUMN(ES231),4)),ES231:FP231)</f>
        <v>120</v>
      </c>
      <c r="FS231" s="32">
        <f t="shared" si="83"/>
        <v>538000.00000000012</v>
      </c>
      <c r="FT231" s="573"/>
    </row>
    <row r="232" spans="1:176" s="574" customFormat="1" outlineLevel="2">
      <c r="A232" s="580" t="s">
        <v>470</v>
      </c>
      <c r="B232" s="580" t="s">
        <v>134</v>
      </c>
      <c r="C232" s="592" t="s">
        <v>72</v>
      </c>
      <c r="D232" s="580" t="s">
        <v>32</v>
      </c>
      <c r="E232" s="588">
        <f>IF(ISBLANK(G232),"",IF($A$6:$A$330=$A232,COUNTIF($A$6:A232,$A232),""))</f>
        <v>38</v>
      </c>
      <c r="F232" s="577" t="s">
        <v>89</v>
      </c>
      <c r="G232" s="593">
        <v>4441000160</v>
      </c>
      <c r="H232" s="613" t="s">
        <v>437</v>
      </c>
      <c r="I232" s="667">
        <f>5380/НДС_20</f>
        <v>4483.3333333333339</v>
      </c>
      <c r="J232" s="619"/>
      <c r="K232" s="321"/>
      <c r="L232" s="619"/>
      <c r="M232" s="353"/>
      <c r="N232" s="353">
        <f t="shared" si="75"/>
        <v>2</v>
      </c>
      <c r="O232" s="578"/>
      <c r="P232" s="498"/>
      <c r="Q232" s="579"/>
      <c r="R232" s="498"/>
      <c r="S232" s="578"/>
      <c r="T232" s="498"/>
      <c r="U232" s="579"/>
      <c r="V232" s="498"/>
      <c r="W232" s="578"/>
      <c r="X232" s="498"/>
      <c r="Y232" s="579"/>
      <c r="Z232" s="498"/>
      <c r="AA232" s="578"/>
      <c r="AB232" s="498"/>
      <c r="AC232" s="579"/>
      <c r="AD232" s="498"/>
      <c r="AE232" s="578"/>
      <c r="AF232" s="498"/>
      <c r="AG232" s="579"/>
      <c r="AH232" s="498"/>
      <c r="AI232" s="578"/>
      <c r="AJ232" s="498">
        <v>5</v>
      </c>
      <c r="AK232" s="579"/>
      <c r="AL232" s="498"/>
      <c r="AM232" s="578"/>
      <c r="AN232" s="498">
        <v>5</v>
      </c>
      <c r="AO232" s="579"/>
      <c r="AP232" s="498"/>
      <c r="AQ232" s="578"/>
      <c r="AR232" s="498">
        <v>5</v>
      </c>
      <c r="AS232" s="579"/>
      <c r="AT232" s="498"/>
      <c r="AU232" s="578"/>
      <c r="AV232" s="498">
        <v>5</v>
      </c>
      <c r="AW232" s="579"/>
      <c r="AX232" s="498"/>
      <c r="AY232" s="578"/>
      <c r="AZ232" s="498"/>
      <c r="BA232" s="579"/>
      <c r="BB232" s="498"/>
      <c r="BC232" s="578"/>
      <c r="BD232" s="498"/>
      <c r="BE232" s="579"/>
      <c r="BF232" s="498"/>
      <c r="BG232" s="578"/>
      <c r="BH232" s="498"/>
      <c r="BI232" s="579"/>
      <c r="BJ232" s="498"/>
      <c r="BK232" s="572"/>
      <c r="BL232" s="328">
        <f t="shared" si="76"/>
        <v>0</v>
      </c>
      <c r="BM232" s="328">
        <f t="shared" si="77"/>
        <v>0</v>
      </c>
      <c r="BN232" s="324">
        <f t="shared" si="78"/>
        <v>20</v>
      </c>
      <c r="BO232" s="325">
        <f t="shared" si="79"/>
        <v>89666.666666666686</v>
      </c>
      <c r="BP232" s="326">
        <f t="shared" si="80"/>
        <v>0</v>
      </c>
      <c r="BQ232" s="327">
        <f t="shared" si="81"/>
        <v>0</v>
      </c>
      <c r="BR232" s="329"/>
      <c r="BS232" s="329"/>
      <c r="BT232" s="578"/>
      <c r="BU232" s="498"/>
      <c r="BV232" s="579"/>
      <c r="BW232" s="498"/>
      <c r="BX232" s="578"/>
      <c r="BY232" s="498"/>
      <c r="BZ232" s="579"/>
      <c r="CA232" s="498"/>
      <c r="CB232" s="578"/>
      <c r="CC232" s="498"/>
      <c r="CD232" s="579"/>
      <c r="CE232" s="498"/>
      <c r="CF232" s="578"/>
      <c r="CG232" s="498"/>
      <c r="CH232" s="579"/>
      <c r="CI232" s="498"/>
      <c r="CJ232" s="578"/>
      <c r="CK232" s="498"/>
      <c r="CL232" s="579"/>
      <c r="CM232" s="498"/>
      <c r="CN232" s="578"/>
      <c r="CO232" s="498"/>
      <c r="CP232" s="579"/>
      <c r="CQ232" s="498"/>
      <c r="CR232" s="578"/>
      <c r="CS232" s="498"/>
      <c r="CT232" s="579"/>
      <c r="CU232" s="498"/>
      <c r="CV232" s="578"/>
      <c r="CW232" s="498"/>
      <c r="CX232" s="579"/>
      <c r="CY232" s="498"/>
      <c r="CZ232" s="578"/>
      <c r="DA232" s="498"/>
      <c r="DB232" s="579"/>
      <c r="DC232" s="498"/>
      <c r="DD232" s="578"/>
      <c r="DE232" s="498"/>
      <c r="DF232" s="579"/>
      <c r="DG232" s="498"/>
      <c r="DH232" s="578"/>
      <c r="DI232" s="498"/>
      <c r="DJ232" s="579"/>
      <c r="DK232" s="498"/>
      <c r="DL232" s="578"/>
      <c r="DM232" s="498"/>
      <c r="DN232" s="579"/>
      <c r="DO232" s="498"/>
      <c r="DP232" s="572"/>
      <c r="DQ232" s="328"/>
      <c r="DR232" s="328">
        <f t="shared" si="82"/>
        <v>0</v>
      </c>
      <c r="DS232" s="329"/>
      <c r="DT232" s="329"/>
      <c r="DU232" s="578"/>
      <c r="DV232" s="498"/>
      <c r="DW232" s="579"/>
      <c r="DX232" s="498"/>
      <c r="DY232" s="578"/>
      <c r="DZ232" s="498"/>
      <c r="EA232" s="579"/>
      <c r="EB232" s="498"/>
      <c r="EC232" s="578"/>
      <c r="ED232" s="498"/>
      <c r="EE232" s="579"/>
      <c r="EF232" s="498"/>
      <c r="EG232" s="578"/>
      <c r="EH232" s="498"/>
      <c r="EI232" s="579"/>
      <c r="EJ232" s="498"/>
      <c r="EK232" s="578"/>
      <c r="EL232" s="498"/>
      <c r="EM232" s="579"/>
      <c r="EN232" s="498"/>
      <c r="EO232" s="578"/>
      <c r="EP232" s="498"/>
      <c r="EQ232" s="579"/>
      <c r="ER232" s="498"/>
      <c r="ES232" s="578"/>
      <c r="ET232" s="498"/>
      <c r="EU232" s="579"/>
      <c r="EV232" s="498"/>
      <c r="EW232" s="578"/>
      <c r="EX232" s="498"/>
      <c r="EY232" s="579"/>
      <c r="EZ232" s="498"/>
      <c r="FA232" s="578"/>
      <c r="FB232" s="498"/>
      <c r="FC232" s="579"/>
      <c r="FD232" s="498"/>
      <c r="FE232" s="578"/>
      <c r="FF232" s="498"/>
      <c r="FG232" s="579"/>
      <c r="FH232" s="498"/>
      <c r="FI232" s="578"/>
      <c r="FJ232" s="498"/>
      <c r="FK232" s="579"/>
      <c r="FL232" s="498"/>
      <c r="FM232" s="578"/>
      <c r="FN232" s="498"/>
      <c r="FO232" s="579"/>
      <c r="FP232" s="498"/>
      <c r="FQ232" s="572"/>
      <c r="FR232" s="328"/>
      <c r="FS232" s="328">
        <f t="shared" si="83"/>
        <v>0</v>
      </c>
      <c r="FT232" s="573"/>
    </row>
    <row r="233" spans="1:176" s="574" customFormat="1" outlineLevel="2">
      <c r="A233" s="580" t="s">
        <v>470</v>
      </c>
      <c r="B233" s="580" t="s">
        <v>134</v>
      </c>
      <c r="C233" s="592" t="s">
        <v>72</v>
      </c>
      <c r="D233" s="580" t="s">
        <v>32</v>
      </c>
      <c r="E233" s="588">
        <f>IF(ISBLANK(G233),"",IF($A$6:$A$330=$A233,COUNTIF($A$6:A233,$A233),""))</f>
        <v>39</v>
      </c>
      <c r="F233" s="577" t="s">
        <v>89</v>
      </c>
      <c r="G233" s="593">
        <v>4441000500</v>
      </c>
      <c r="H233" s="613" t="s">
        <v>437</v>
      </c>
      <c r="I233" s="667">
        <f>5380/НДС_20</f>
        <v>4483.3333333333339</v>
      </c>
      <c r="J233" s="619"/>
      <c r="K233" s="321"/>
      <c r="L233" s="619"/>
      <c r="M233" s="353"/>
      <c r="N233" s="353">
        <f t="shared" si="75"/>
        <v>0</v>
      </c>
      <c r="O233" s="578"/>
      <c r="P233" s="498"/>
      <c r="Q233" s="579"/>
      <c r="R233" s="498"/>
      <c r="S233" s="578"/>
      <c r="T233" s="498"/>
      <c r="U233" s="579"/>
      <c r="V233" s="498"/>
      <c r="W233" s="578"/>
      <c r="X233" s="498"/>
      <c r="Y233" s="579"/>
      <c r="Z233" s="498"/>
      <c r="AA233" s="578"/>
      <c r="AB233" s="498"/>
      <c r="AC233" s="579"/>
      <c r="AD233" s="498"/>
      <c r="AE233" s="578"/>
      <c r="AF233" s="498"/>
      <c r="AG233" s="579"/>
      <c r="AH233" s="498"/>
      <c r="AI233" s="578"/>
      <c r="AJ233" s="498"/>
      <c r="AK233" s="579"/>
      <c r="AL233" s="498"/>
      <c r="AM233" s="578"/>
      <c r="AN233" s="498"/>
      <c r="AO233" s="579"/>
      <c r="AP233" s="498"/>
      <c r="AQ233" s="578"/>
      <c r="AR233" s="498"/>
      <c r="AS233" s="579"/>
      <c r="AT233" s="498"/>
      <c r="AU233" s="578"/>
      <c r="AV233" s="498"/>
      <c r="AW233" s="579"/>
      <c r="AX233" s="498"/>
      <c r="AY233" s="578"/>
      <c r="AZ233" s="498"/>
      <c r="BA233" s="579"/>
      <c r="BB233" s="498"/>
      <c r="BC233" s="578"/>
      <c r="BD233" s="498"/>
      <c r="BE233" s="579"/>
      <c r="BF233" s="498"/>
      <c r="BG233" s="578"/>
      <c r="BH233" s="498"/>
      <c r="BI233" s="579"/>
      <c r="BJ233" s="498"/>
      <c r="BK233" s="572"/>
      <c r="BL233" s="328">
        <f t="shared" si="76"/>
        <v>0</v>
      </c>
      <c r="BM233" s="328">
        <f t="shared" si="77"/>
        <v>0</v>
      </c>
      <c r="BN233" s="324">
        <f t="shared" si="78"/>
        <v>0</v>
      </c>
      <c r="BO233" s="325">
        <f t="shared" si="79"/>
        <v>0</v>
      </c>
      <c r="BP233" s="326">
        <f t="shared" si="80"/>
        <v>0</v>
      </c>
      <c r="BQ233" s="327">
        <f t="shared" si="81"/>
        <v>0</v>
      </c>
      <c r="BR233" s="329"/>
      <c r="BS233" s="329"/>
      <c r="BT233" s="578"/>
      <c r="BU233" s="498"/>
      <c r="BV233" s="579"/>
      <c r="BW233" s="498"/>
      <c r="BX233" s="578"/>
      <c r="BY233" s="498"/>
      <c r="BZ233" s="579"/>
      <c r="CA233" s="498"/>
      <c r="CB233" s="578"/>
      <c r="CC233" s="498"/>
      <c r="CD233" s="579"/>
      <c r="CE233" s="498"/>
      <c r="CF233" s="578"/>
      <c r="CG233" s="498"/>
      <c r="CH233" s="579"/>
      <c r="CI233" s="498"/>
      <c r="CJ233" s="578"/>
      <c r="CK233" s="498"/>
      <c r="CL233" s="579"/>
      <c r="CM233" s="498"/>
      <c r="CN233" s="578"/>
      <c r="CO233" s="498"/>
      <c r="CP233" s="579"/>
      <c r="CQ233" s="498"/>
      <c r="CR233" s="578"/>
      <c r="CS233" s="498"/>
      <c r="CT233" s="579"/>
      <c r="CU233" s="498"/>
      <c r="CV233" s="578"/>
      <c r="CW233" s="498"/>
      <c r="CX233" s="579"/>
      <c r="CY233" s="498"/>
      <c r="CZ233" s="578"/>
      <c r="DA233" s="498"/>
      <c r="DB233" s="579"/>
      <c r="DC233" s="498"/>
      <c r="DD233" s="578"/>
      <c r="DE233" s="498"/>
      <c r="DF233" s="579"/>
      <c r="DG233" s="498"/>
      <c r="DH233" s="578"/>
      <c r="DI233" s="498"/>
      <c r="DJ233" s="579"/>
      <c r="DK233" s="498"/>
      <c r="DL233" s="578"/>
      <c r="DM233" s="498"/>
      <c r="DN233" s="579"/>
      <c r="DO233" s="498"/>
      <c r="DP233" s="572"/>
      <c r="DQ233" s="328"/>
      <c r="DR233" s="328">
        <f t="shared" si="82"/>
        <v>0</v>
      </c>
      <c r="DS233" s="329"/>
      <c r="DT233" s="329"/>
      <c r="DU233" s="578"/>
      <c r="DV233" s="498"/>
      <c r="DW233" s="579"/>
      <c r="DX233" s="498"/>
      <c r="DY233" s="578"/>
      <c r="DZ233" s="498"/>
      <c r="EA233" s="579"/>
      <c r="EB233" s="498"/>
      <c r="EC233" s="578"/>
      <c r="ED233" s="498"/>
      <c r="EE233" s="579"/>
      <c r="EF233" s="498"/>
      <c r="EG233" s="578"/>
      <c r="EH233" s="498"/>
      <c r="EI233" s="579"/>
      <c r="EJ233" s="498"/>
      <c r="EK233" s="578"/>
      <c r="EL233" s="498"/>
      <c r="EM233" s="579"/>
      <c r="EN233" s="498"/>
      <c r="EO233" s="578"/>
      <c r="EP233" s="498"/>
      <c r="EQ233" s="579"/>
      <c r="ER233" s="498"/>
      <c r="ES233" s="578"/>
      <c r="ET233" s="498"/>
      <c r="EU233" s="579"/>
      <c r="EV233" s="498"/>
      <c r="EW233" s="578"/>
      <c r="EX233" s="498"/>
      <c r="EY233" s="579"/>
      <c r="EZ233" s="498"/>
      <c r="FA233" s="578"/>
      <c r="FB233" s="498"/>
      <c r="FC233" s="579"/>
      <c r="FD233" s="498"/>
      <c r="FE233" s="578"/>
      <c r="FF233" s="498"/>
      <c r="FG233" s="579"/>
      <c r="FH233" s="498"/>
      <c r="FI233" s="578"/>
      <c r="FJ233" s="498"/>
      <c r="FK233" s="579"/>
      <c r="FL233" s="498"/>
      <c r="FM233" s="578"/>
      <c r="FN233" s="498"/>
      <c r="FO233" s="579"/>
      <c r="FP233" s="498"/>
      <c r="FQ233" s="572"/>
      <c r="FR233" s="328"/>
      <c r="FS233" s="328">
        <f t="shared" si="83"/>
        <v>0</v>
      </c>
      <c r="FT233" s="573"/>
    </row>
    <row r="234" spans="1:176" s="574" customFormat="1" outlineLevel="2">
      <c r="A234" s="589" t="s">
        <v>470</v>
      </c>
      <c r="B234" s="589" t="s">
        <v>134</v>
      </c>
      <c r="C234" s="594" t="s">
        <v>72</v>
      </c>
      <c r="D234" s="589" t="s">
        <v>32</v>
      </c>
      <c r="E234" s="584">
        <f>IF(ISBLANK(G234),"",IF($A$6:$A$330=$A234,COUNTIF($A$6:A234,$A234),""))</f>
        <v>40</v>
      </c>
      <c r="F234" s="567" t="s">
        <v>89</v>
      </c>
      <c r="G234" s="128">
        <v>4441000380</v>
      </c>
      <c r="H234" s="611" t="s">
        <v>450</v>
      </c>
      <c r="I234" s="662">
        <f>8402/НДС</f>
        <v>6886.8852459016398</v>
      </c>
      <c r="J234" s="618"/>
      <c r="K234" s="126"/>
      <c r="L234" s="618" t="str">
        <f>IF(K234="RUB",J234/ЮАНЬ,IF(K234="EUR",J234*ЕВРО/ЮАНЬ,""))</f>
        <v/>
      </c>
      <c r="M234" s="568"/>
      <c r="N234" s="353">
        <f t="shared" si="75"/>
        <v>1</v>
      </c>
      <c r="O234" s="569">
        <v>20</v>
      </c>
      <c r="P234" s="570"/>
      <c r="Q234" s="571"/>
      <c r="R234" s="570"/>
      <c r="S234" s="569">
        <v>20</v>
      </c>
      <c r="T234" s="570">
        <f>16+5+5</f>
        <v>26</v>
      </c>
      <c r="U234" s="571">
        <v>26</v>
      </c>
      <c r="V234" s="570"/>
      <c r="W234" s="569">
        <v>20</v>
      </c>
      <c r="X234" s="570">
        <f>5+5+8</f>
        <v>18</v>
      </c>
      <c r="Y234" s="571">
        <v>18</v>
      </c>
      <c r="Z234" s="570"/>
      <c r="AA234" s="569">
        <v>20</v>
      </c>
      <c r="AB234" s="570">
        <f>10+8+14+6</f>
        <v>38</v>
      </c>
      <c r="AC234" s="571">
        <v>38</v>
      </c>
      <c r="AD234" s="570"/>
      <c r="AE234" s="569">
        <v>20</v>
      </c>
      <c r="AF234" s="570">
        <f>2</f>
        <v>2</v>
      </c>
      <c r="AG234" s="571">
        <v>2</v>
      </c>
      <c r="AH234" s="570"/>
      <c r="AI234" s="569">
        <v>20</v>
      </c>
      <c r="AJ234" s="570">
        <v>5</v>
      </c>
      <c r="AK234" s="571"/>
      <c r="AL234" s="570"/>
      <c r="AM234" s="569">
        <v>20</v>
      </c>
      <c r="AN234" s="570">
        <v>5</v>
      </c>
      <c r="AO234" s="571"/>
      <c r="AP234" s="570"/>
      <c r="AQ234" s="569">
        <v>20</v>
      </c>
      <c r="AR234" s="570">
        <v>20</v>
      </c>
      <c r="AS234" s="571"/>
      <c r="AT234" s="570"/>
      <c r="AU234" s="569">
        <v>25</v>
      </c>
      <c r="AV234" s="570">
        <v>25</v>
      </c>
      <c r="AW234" s="571"/>
      <c r="AX234" s="570"/>
      <c r="AY234" s="569">
        <v>25</v>
      </c>
      <c r="AZ234" s="570">
        <v>25</v>
      </c>
      <c r="BA234" s="571"/>
      <c r="BB234" s="570"/>
      <c r="BC234" s="569">
        <v>25</v>
      </c>
      <c r="BD234" s="570">
        <v>25</v>
      </c>
      <c r="BE234" s="571"/>
      <c r="BF234" s="570"/>
      <c r="BG234" s="569">
        <v>25</v>
      </c>
      <c r="BH234" s="570">
        <v>25</v>
      </c>
      <c r="BI234" s="571"/>
      <c r="BJ234" s="570"/>
      <c r="BK234" s="572"/>
      <c r="BL234" s="32">
        <f t="shared" si="76"/>
        <v>260</v>
      </c>
      <c r="BM234" s="32">
        <f t="shared" si="77"/>
        <v>1790590.1639344264</v>
      </c>
      <c r="BN234" s="28">
        <f t="shared" si="78"/>
        <v>214</v>
      </c>
      <c r="BO234" s="29">
        <f t="shared" si="79"/>
        <v>1473793.4426229508</v>
      </c>
      <c r="BP234" s="30">
        <f t="shared" si="80"/>
        <v>84</v>
      </c>
      <c r="BQ234" s="31">
        <f t="shared" si="81"/>
        <v>578498.36065573769</v>
      </c>
      <c r="BR234" s="11"/>
      <c r="BS234" s="329"/>
      <c r="BT234" s="569">
        <v>10</v>
      </c>
      <c r="BU234" s="570"/>
      <c r="BV234" s="571"/>
      <c r="BW234" s="570"/>
      <c r="BX234" s="569">
        <v>10</v>
      </c>
      <c r="BY234" s="570"/>
      <c r="BZ234" s="571"/>
      <c r="CA234" s="570"/>
      <c r="CB234" s="569">
        <v>10</v>
      </c>
      <c r="CC234" s="570"/>
      <c r="CD234" s="571"/>
      <c r="CE234" s="570"/>
      <c r="CF234" s="569">
        <v>10</v>
      </c>
      <c r="CG234" s="570"/>
      <c r="CH234" s="571"/>
      <c r="CI234" s="570"/>
      <c r="CJ234" s="569">
        <v>10</v>
      </c>
      <c r="CK234" s="570"/>
      <c r="CL234" s="571"/>
      <c r="CM234" s="570"/>
      <c r="CN234" s="569">
        <v>10</v>
      </c>
      <c r="CO234" s="570"/>
      <c r="CP234" s="571"/>
      <c r="CQ234" s="570"/>
      <c r="CR234" s="569">
        <v>10</v>
      </c>
      <c r="CS234" s="570"/>
      <c r="CT234" s="571"/>
      <c r="CU234" s="570"/>
      <c r="CV234" s="569">
        <v>10</v>
      </c>
      <c r="CW234" s="570"/>
      <c r="CX234" s="571"/>
      <c r="CY234" s="570"/>
      <c r="CZ234" s="569">
        <v>10</v>
      </c>
      <c r="DA234" s="570"/>
      <c r="DB234" s="571"/>
      <c r="DC234" s="570"/>
      <c r="DD234" s="569">
        <v>10</v>
      </c>
      <c r="DE234" s="570"/>
      <c r="DF234" s="571"/>
      <c r="DG234" s="570"/>
      <c r="DH234" s="569">
        <v>10</v>
      </c>
      <c r="DI234" s="570"/>
      <c r="DJ234" s="571"/>
      <c r="DK234" s="570"/>
      <c r="DL234" s="569">
        <v>10</v>
      </c>
      <c r="DM234" s="570"/>
      <c r="DN234" s="571"/>
      <c r="DO234" s="570"/>
      <c r="DP234" s="572"/>
      <c r="DQ234" s="32">
        <f>SUMPRODUCT(--(MOD(COLUMN(BT234:CQ234),4)=MOD(COLUMN(BT234),4)),BT234:CQ234)+SUMPRODUCT(--(MOD(COLUMN(CR234:DO234),4)=MOD(COLUMN(CR234),4)),CR234:DO234)</f>
        <v>120</v>
      </c>
      <c r="DR234" s="32">
        <f t="shared" si="82"/>
        <v>826426.22950819682</v>
      </c>
      <c r="DS234" s="11"/>
      <c r="DT234" s="329"/>
      <c r="DU234" s="569">
        <v>15</v>
      </c>
      <c r="DV234" s="570"/>
      <c r="DW234" s="571"/>
      <c r="DX234" s="570"/>
      <c r="DY234" s="569">
        <v>15</v>
      </c>
      <c r="DZ234" s="570"/>
      <c r="EA234" s="571"/>
      <c r="EB234" s="570"/>
      <c r="EC234" s="569">
        <v>15</v>
      </c>
      <c r="ED234" s="570"/>
      <c r="EE234" s="571"/>
      <c r="EF234" s="570"/>
      <c r="EG234" s="569">
        <v>15</v>
      </c>
      <c r="EH234" s="570"/>
      <c r="EI234" s="571"/>
      <c r="EJ234" s="570"/>
      <c r="EK234" s="569">
        <v>15</v>
      </c>
      <c r="EL234" s="570"/>
      <c r="EM234" s="571"/>
      <c r="EN234" s="570"/>
      <c r="EO234" s="569">
        <v>15</v>
      </c>
      <c r="EP234" s="570"/>
      <c r="EQ234" s="571"/>
      <c r="ER234" s="570"/>
      <c r="ES234" s="569">
        <v>15</v>
      </c>
      <c r="ET234" s="570"/>
      <c r="EU234" s="571"/>
      <c r="EV234" s="570"/>
      <c r="EW234" s="569">
        <v>15</v>
      </c>
      <c r="EX234" s="570"/>
      <c r="EY234" s="571"/>
      <c r="EZ234" s="570"/>
      <c r="FA234" s="569">
        <v>15</v>
      </c>
      <c r="FB234" s="570"/>
      <c r="FC234" s="571"/>
      <c r="FD234" s="570"/>
      <c r="FE234" s="569">
        <v>15</v>
      </c>
      <c r="FF234" s="570"/>
      <c r="FG234" s="571"/>
      <c r="FH234" s="570"/>
      <c r="FI234" s="569">
        <v>15</v>
      </c>
      <c r="FJ234" s="570"/>
      <c r="FK234" s="571"/>
      <c r="FL234" s="570"/>
      <c r="FM234" s="569">
        <v>15</v>
      </c>
      <c r="FN234" s="570"/>
      <c r="FO234" s="571"/>
      <c r="FP234" s="570"/>
      <c r="FQ234" s="572"/>
      <c r="FR234" s="32">
        <f>SUMPRODUCT(--(MOD(COLUMN(DU234:ER234),4)=MOD(COLUMN(DU234),4)),DU234:ER234)+SUMPRODUCT(--(MOD(COLUMN(ES234:FP234),4)=MOD(COLUMN(ES234),4)),ES234:FP234)</f>
        <v>180</v>
      </c>
      <c r="FS234" s="32">
        <f t="shared" si="83"/>
        <v>1239639.3442622952</v>
      </c>
      <c r="FT234" s="573"/>
    </row>
    <row r="235" spans="1:176" s="574" customFormat="1" outlineLevel="2">
      <c r="A235" s="575" t="s">
        <v>470</v>
      </c>
      <c r="B235" s="575" t="s">
        <v>134</v>
      </c>
      <c r="C235" s="311" t="s">
        <v>72</v>
      </c>
      <c r="D235" s="575" t="s">
        <v>32</v>
      </c>
      <c r="E235" s="576">
        <f>IF(ISBLANK(G235),"",IF($A$6:$A$330=$A235,COUNTIF($A$6:A235,$A235),""))</f>
        <v>41</v>
      </c>
      <c r="F235" s="577" t="s">
        <v>89</v>
      </c>
      <c r="G235" s="403">
        <v>4441000400</v>
      </c>
      <c r="H235" s="611" t="s">
        <v>465</v>
      </c>
      <c r="I235" s="683">
        <f>7678/НДС</f>
        <v>6293.4426229508199</v>
      </c>
      <c r="J235" s="619"/>
      <c r="K235" s="321"/>
      <c r="L235" s="619"/>
      <c r="M235" s="353"/>
      <c r="N235" s="353">
        <f t="shared" si="75"/>
        <v>1</v>
      </c>
      <c r="O235" s="578"/>
      <c r="P235" s="498"/>
      <c r="Q235" s="579"/>
      <c r="R235" s="498"/>
      <c r="S235" s="578"/>
      <c r="T235" s="498"/>
      <c r="U235" s="579"/>
      <c r="V235" s="498"/>
      <c r="W235" s="578"/>
      <c r="X235" s="498">
        <f>16</f>
        <v>16</v>
      </c>
      <c r="Y235" s="579">
        <v>16</v>
      </c>
      <c r="Z235" s="498"/>
      <c r="AA235" s="578"/>
      <c r="AB235" s="498"/>
      <c r="AC235" s="579"/>
      <c r="AD235" s="498"/>
      <c r="AE235" s="578"/>
      <c r="AF235" s="498">
        <f>10+4+4</f>
        <v>18</v>
      </c>
      <c r="AG235" s="579">
        <v>18</v>
      </c>
      <c r="AH235" s="498"/>
      <c r="AI235" s="578"/>
      <c r="AJ235" s="498">
        <f>10+10+N(5)</f>
        <v>25</v>
      </c>
      <c r="AK235" s="579"/>
      <c r="AL235" s="498"/>
      <c r="AM235" s="578"/>
      <c r="AN235" s="498">
        <v>20</v>
      </c>
      <c r="AO235" s="579"/>
      <c r="AP235" s="498"/>
      <c r="AQ235" s="578"/>
      <c r="AR235" s="498"/>
      <c r="AS235" s="579"/>
      <c r="AT235" s="498"/>
      <c r="AU235" s="578"/>
      <c r="AV235" s="498"/>
      <c r="AW235" s="579"/>
      <c r="AX235" s="498"/>
      <c r="AY235" s="578"/>
      <c r="AZ235" s="498"/>
      <c r="BA235" s="579"/>
      <c r="BB235" s="498"/>
      <c r="BC235" s="578"/>
      <c r="BD235" s="498"/>
      <c r="BE235" s="579"/>
      <c r="BF235" s="498"/>
      <c r="BG235" s="578"/>
      <c r="BH235" s="498"/>
      <c r="BI235" s="579"/>
      <c r="BJ235" s="498"/>
      <c r="BK235" s="572"/>
      <c r="BL235" s="328">
        <f t="shared" si="76"/>
        <v>0</v>
      </c>
      <c r="BM235" s="328">
        <f t="shared" si="77"/>
        <v>0</v>
      </c>
      <c r="BN235" s="324">
        <f t="shared" si="78"/>
        <v>79</v>
      </c>
      <c r="BO235" s="325">
        <f t="shared" si="79"/>
        <v>497181.96721311472</v>
      </c>
      <c r="BP235" s="326">
        <f t="shared" si="80"/>
        <v>34</v>
      </c>
      <c r="BQ235" s="327">
        <f t="shared" si="81"/>
        <v>213977.04918032789</v>
      </c>
      <c r="BR235" s="329"/>
      <c r="BS235" s="329"/>
      <c r="BT235" s="578"/>
      <c r="BU235" s="498"/>
      <c r="BV235" s="579"/>
      <c r="BW235" s="498"/>
      <c r="BX235" s="578"/>
      <c r="BY235" s="498"/>
      <c r="BZ235" s="579"/>
      <c r="CA235" s="498"/>
      <c r="CB235" s="578"/>
      <c r="CC235" s="498"/>
      <c r="CD235" s="579"/>
      <c r="CE235" s="498"/>
      <c r="CF235" s="578"/>
      <c r="CG235" s="498"/>
      <c r="CH235" s="579"/>
      <c r="CI235" s="498"/>
      <c r="CJ235" s="578"/>
      <c r="CK235" s="498"/>
      <c r="CL235" s="579"/>
      <c r="CM235" s="498"/>
      <c r="CN235" s="578"/>
      <c r="CO235" s="498"/>
      <c r="CP235" s="579"/>
      <c r="CQ235" s="498"/>
      <c r="CR235" s="578"/>
      <c r="CS235" s="498"/>
      <c r="CT235" s="579"/>
      <c r="CU235" s="498"/>
      <c r="CV235" s="578"/>
      <c r="CW235" s="498"/>
      <c r="CX235" s="579"/>
      <c r="CY235" s="498"/>
      <c r="CZ235" s="578"/>
      <c r="DA235" s="498"/>
      <c r="DB235" s="579"/>
      <c r="DC235" s="498"/>
      <c r="DD235" s="578"/>
      <c r="DE235" s="498"/>
      <c r="DF235" s="579"/>
      <c r="DG235" s="498"/>
      <c r="DH235" s="578"/>
      <c r="DI235" s="498"/>
      <c r="DJ235" s="579"/>
      <c r="DK235" s="498"/>
      <c r="DL235" s="578"/>
      <c r="DM235" s="498"/>
      <c r="DN235" s="579"/>
      <c r="DO235" s="498"/>
      <c r="DP235" s="572"/>
      <c r="DQ235" s="328"/>
      <c r="DR235" s="328"/>
      <c r="DS235" s="329"/>
      <c r="DT235" s="329"/>
      <c r="DU235" s="578"/>
      <c r="DV235" s="498"/>
      <c r="DW235" s="579"/>
      <c r="DX235" s="498"/>
      <c r="DY235" s="578"/>
      <c r="DZ235" s="498"/>
      <c r="EA235" s="579"/>
      <c r="EB235" s="498"/>
      <c r="EC235" s="578"/>
      <c r="ED235" s="498"/>
      <c r="EE235" s="579"/>
      <c r="EF235" s="498"/>
      <c r="EG235" s="578"/>
      <c r="EH235" s="498"/>
      <c r="EI235" s="579"/>
      <c r="EJ235" s="498"/>
      <c r="EK235" s="578"/>
      <c r="EL235" s="498"/>
      <c r="EM235" s="579"/>
      <c r="EN235" s="498"/>
      <c r="EO235" s="578"/>
      <c r="EP235" s="498"/>
      <c r="EQ235" s="579"/>
      <c r="ER235" s="498"/>
      <c r="ES235" s="578"/>
      <c r="ET235" s="498"/>
      <c r="EU235" s="579"/>
      <c r="EV235" s="498"/>
      <c r="EW235" s="578"/>
      <c r="EX235" s="498"/>
      <c r="EY235" s="579"/>
      <c r="EZ235" s="498"/>
      <c r="FA235" s="578"/>
      <c r="FB235" s="498"/>
      <c r="FC235" s="579"/>
      <c r="FD235" s="498"/>
      <c r="FE235" s="578"/>
      <c r="FF235" s="498"/>
      <c r="FG235" s="579"/>
      <c r="FH235" s="498"/>
      <c r="FI235" s="578"/>
      <c r="FJ235" s="498"/>
      <c r="FK235" s="579"/>
      <c r="FL235" s="498"/>
      <c r="FM235" s="578"/>
      <c r="FN235" s="498"/>
      <c r="FO235" s="579"/>
      <c r="FP235" s="498"/>
      <c r="FQ235" s="572"/>
      <c r="FR235" s="328"/>
      <c r="FS235" s="328"/>
      <c r="FT235" s="573"/>
    </row>
    <row r="236" spans="1:176" s="574" customFormat="1" outlineLevel="2">
      <c r="A236" s="575" t="s">
        <v>470</v>
      </c>
      <c r="B236" s="575" t="s">
        <v>134</v>
      </c>
      <c r="C236" s="311" t="s">
        <v>72</v>
      </c>
      <c r="D236" s="575" t="s">
        <v>32</v>
      </c>
      <c r="E236" s="576">
        <f>IF(ISBLANK(G236),"",IF($A$6:$A$330=$A236,COUNTIF($A$6:A236,$A236),""))</f>
        <v>42</v>
      </c>
      <c r="F236" s="577" t="s">
        <v>89</v>
      </c>
      <c r="G236" s="403">
        <v>4441000220</v>
      </c>
      <c r="H236" s="611" t="s">
        <v>415</v>
      </c>
      <c r="I236" s="683">
        <f>2221/НДС</f>
        <v>1820.4918032786886</v>
      </c>
      <c r="J236" s="619"/>
      <c r="K236" s="321"/>
      <c r="L236" s="619"/>
      <c r="M236" s="353"/>
      <c r="N236" s="353">
        <f t="shared" si="75"/>
        <v>0</v>
      </c>
      <c r="O236" s="578"/>
      <c r="P236" s="498"/>
      <c r="Q236" s="579"/>
      <c r="R236" s="498"/>
      <c r="S236" s="578"/>
      <c r="T236" s="498"/>
      <c r="U236" s="579"/>
      <c r="V236" s="498"/>
      <c r="W236" s="578"/>
      <c r="X236" s="498"/>
      <c r="Y236" s="579"/>
      <c r="Z236" s="498"/>
      <c r="AA236" s="578"/>
      <c r="AB236" s="498"/>
      <c r="AC236" s="579"/>
      <c r="AD236" s="498"/>
      <c r="AE236" s="578"/>
      <c r="AF236" s="498"/>
      <c r="AG236" s="579"/>
      <c r="AH236" s="498"/>
      <c r="AI236" s="578"/>
      <c r="AJ236" s="498"/>
      <c r="AK236" s="579"/>
      <c r="AL236" s="498"/>
      <c r="AM236" s="578"/>
      <c r="AN236" s="498"/>
      <c r="AO236" s="579"/>
      <c r="AP236" s="498"/>
      <c r="AQ236" s="578"/>
      <c r="AR236" s="498"/>
      <c r="AS236" s="579"/>
      <c r="AT236" s="498"/>
      <c r="AU236" s="578"/>
      <c r="AV236" s="498"/>
      <c r="AW236" s="579"/>
      <c r="AX236" s="498"/>
      <c r="AY236" s="578"/>
      <c r="AZ236" s="498"/>
      <c r="BA236" s="579"/>
      <c r="BB236" s="498"/>
      <c r="BC236" s="578"/>
      <c r="BD236" s="498"/>
      <c r="BE236" s="579"/>
      <c r="BF236" s="498"/>
      <c r="BG236" s="578"/>
      <c r="BH236" s="498"/>
      <c r="BI236" s="579"/>
      <c r="BJ236" s="498"/>
      <c r="BK236" s="572"/>
      <c r="BL236" s="328">
        <f t="shared" si="76"/>
        <v>0</v>
      </c>
      <c r="BM236" s="328">
        <f t="shared" si="77"/>
        <v>0</v>
      </c>
      <c r="BN236" s="324">
        <f t="shared" si="78"/>
        <v>0</v>
      </c>
      <c r="BO236" s="325">
        <f t="shared" si="79"/>
        <v>0</v>
      </c>
      <c r="BP236" s="326">
        <f t="shared" si="80"/>
        <v>0</v>
      </c>
      <c r="BQ236" s="327">
        <f t="shared" si="81"/>
        <v>0</v>
      </c>
      <c r="BR236" s="329"/>
      <c r="BS236" s="329"/>
      <c r="BT236" s="578"/>
      <c r="BU236" s="498"/>
      <c r="BV236" s="579"/>
      <c r="BW236" s="498"/>
      <c r="BX236" s="578"/>
      <c r="BY236" s="498"/>
      <c r="BZ236" s="579"/>
      <c r="CA236" s="498"/>
      <c r="CB236" s="578"/>
      <c r="CC236" s="498"/>
      <c r="CD236" s="579"/>
      <c r="CE236" s="498"/>
      <c r="CF236" s="578"/>
      <c r="CG236" s="498"/>
      <c r="CH236" s="579"/>
      <c r="CI236" s="498"/>
      <c r="CJ236" s="578"/>
      <c r="CK236" s="498"/>
      <c r="CL236" s="579"/>
      <c r="CM236" s="498"/>
      <c r="CN236" s="578"/>
      <c r="CO236" s="498"/>
      <c r="CP236" s="579"/>
      <c r="CQ236" s="498"/>
      <c r="CR236" s="578"/>
      <c r="CS236" s="498"/>
      <c r="CT236" s="579"/>
      <c r="CU236" s="498"/>
      <c r="CV236" s="578"/>
      <c r="CW236" s="498"/>
      <c r="CX236" s="579"/>
      <c r="CY236" s="498"/>
      <c r="CZ236" s="578"/>
      <c r="DA236" s="498"/>
      <c r="DB236" s="579"/>
      <c r="DC236" s="498"/>
      <c r="DD236" s="578"/>
      <c r="DE236" s="498"/>
      <c r="DF236" s="579"/>
      <c r="DG236" s="498"/>
      <c r="DH236" s="578"/>
      <c r="DI236" s="498"/>
      <c r="DJ236" s="579"/>
      <c r="DK236" s="498"/>
      <c r="DL236" s="578"/>
      <c r="DM236" s="498"/>
      <c r="DN236" s="579"/>
      <c r="DO236" s="498"/>
      <c r="DP236" s="572"/>
      <c r="DQ236" s="328"/>
      <c r="DR236" s="328"/>
      <c r="DS236" s="329"/>
      <c r="DT236" s="329"/>
      <c r="DU236" s="578"/>
      <c r="DV236" s="498"/>
      <c r="DW236" s="579"/>
      <c r="DX236" s="498"/>
      <c r="DY236" s="578"/>
      <c r="DZ236" s="498"/>
      <c r="EA236" s="579"/>
      <c r="EB236" s="498"/>
      <c r="EC236" s="578"/>
      <c r="ED236" s="498"/>
      <c r="EE236" s="579"/>
      <c r="EF236" s="498"/>
      <c r="EG236" s="578"/>
      <c r="EH236" s="498"/>
      <c r="EI236" s="579"/>
      <c r="EJ236" s="498"/>
      <c r="EK236" s="578"/>
      <c r="EL236" s="498"/>
      <c r="EM236" s="579"/>
      <c r="EN236" s="498"/>
      <c r="EO236" s="578"/>
      <c r="EP236" s="498"/>
      <c r="EQ236" s="579"/>
      <c r="ER236" s="498"/>
      <c r="ES236" s="578"/>
      <c r="ET236" s="498"/>
      <c r="EU236" s="579"/>
      <c r="EV236" s="498"/>
      <c r="EW236" s="578"/>
      <c r="EX236" s="498"/>
      <c r="EY236" s="579"/>
      <c r="EZ236" s="498"/>
      <c r="FA236" s="578"/>
      <c r="FB236" s="498"/>
      <c r="FC236" s="579"/>
      <c r="FD236" s="498"/>
      <c r="FE236" s="578"/>
      <c r="FF236" s="498"/>
      <c r="FG236" s="579"/>
      <c r="FH236" s="498"/>
      <c r="FI236" s="578"/>
      <c r="FJ236" s="498"/>
      <c r="FK236" s="579"/>
      <c r="FL236" s="498"/>
      <c r="FM236" s="578"/>
      <c r="FN236" s="498"/>
      <c r="FO236" s="579"/>
      <c r="FP236" s="498"/>
      <c r="FQ236" s="572"/>
      <c r="FR236" s="328"/>
      <c r="FS236" s="328"/>
      <c r="FT236" s="573"/>
    </row>
    <row r="237" spans="1:176" s="574" customFormat="1" outlineLevel="2">
      <c r="A237" s="575" t="s">
        <v>470</v>
      </c>
      <c r="B237" s="575" t="s">
        <v>134</v>
      </c>
      <c r="C237" s="311" t="s">
        <v>72</v>
      </c>
      <c r="D237" s="575" t="s">
        <v>32</v>
      </c>
      <c r="E237" s="576">
        <f>IF(ISBLANK(G237),"",IF($A$6:$A$330=$A237,COUNTIF($A$6:A237,$A237),""))</f>
        <v>43</v>
      </c>
      <c r="F237" s="577" t="s">
        <v>89</v>
      </c>
      <c r="G237" s="403">
        <v>4441000230</v>
      </c>
      <c r="H237" s="611" t="s">
        <v>491</v>
      </c>
      <c r="I237" s="683">
        <f>2545/НДС</f>
        <v>2086.0655737704919</v>
      </c>
      <c r="J237" s="619"/>
      <c r="K237" s="321"/>
      <c r="L237" s="619"/>
      <c r="M237" s="353"/>
      <c r="N237" s="353">
        <f t="shared" ref="N237" si="84">IF(BP237&gt;0,1,IF(BN237&gt;0,2,))</f>
        <v>1</v>
      </c>
      <c r="O237" s="578"/>
      <c r="P237" s="498"/>
      <c r="Q237" s="579"/>
      <c r="R237" s="498"/>
      <c r="S237" s="578"/>
      <c r="T237" s="498"/>
      <c r="U237" s="579"/>
      <c r="V237" s="498"/>
      <c r="W237" s="578"/>
      <c r="X237" s="498"/>
      <c r="Y237" s="579"/>
      <c r="Z237" s="498"/>
      <c r="AA237" s="578"/>
      <c r="AB237" s="498"/>
      <c r="AC237" s="579"/>
      <c r="AD237" s="498"/>
      <c r="AE237" s="578"/>
      <c r="AF237" s="498">
        <f>1</f>
        <v>1</v>
      </c>
      <c r="AG237" s="579">
        <v>1</v>
      </c>
      <c r="AH237" s="498"/>
      <c r="AI237" s="578"/>
      <c r="AJ237" s="498"/>
      <c r="AK237" s="579"/>
      <c r="AL237" s="498"/>
      <c r="AM237" s="578"/>
      <c r="AN237" s="498"/>
      <c r="AO237" s="579"/>
      <c r="AP237" s="498"/>
      <c r="AQ237" s="578"/>
      <c r="AR237" s="498"/>
      <c r="AS237" s="579"/>
      <c r="AT237" s="498"/>
      <c r="AU237" s="578"/>
      <c r="AV237" s="498"/>
      <c r="AW237" s="579"/>
      <c r="AX237" s="498"/>
      <c r="AY237" s="578"/>
      <c r="AZ237" s="498"/>
      <c r="BA237" s="579"/>
      <c r="BB237" s="498"/>
      <c r="BC237" s="578"/>
      <c r="BD237" s="498"/>
      <c r="BE237" s="579"/>
      <c r="BF237" s="498"/>
      <c r="BG237" s="578"/>
      <c r="BH237" s="498"/>
      <c r="BI237" s="579"/>
      <c r="BJ237" s="498"/>
      <c r="BK237" s="572"/>
      <c r="BL237" s="328">
        <f t="shared" si="76"/>
        <v>0</v>
      </c>
      <c r="BM237" s="328">
        <f t="shared" si="77"/>
        <v>0</v>
      </c>
      <c r="BN237" s="324">
        <f t="shared" si="78"/>
        <v>1</v>
      </c>
      <c r="BO237" s="325">
        <f t="shared" si="79"/>
        <v>2086.0655737704919</v>
      </c>
      <c r="BP237" s="326">
        <f t="shared" si="80"/>
        <v>1</v>
      </c>
      <c r="BQ237" s="327">
        <f t="shared" si="81"/>
        <v>2086.0655737704919</v>
      </c>
      <c r="BR237" s="329"/>
      <c r="BS237" s="329"/>
      <c r="BT237" s="578"/>
      <c r="BU237" s="498"/>
      <c r="BV237" s="579"/>
      <c r="BW237" s="498"/>
      <c r="BX237" s="578"/>
      <c r="BY237" s="498"/>
      <c r="BZ237" s="579"/>
      <c r="CA237" s="498"/>
      <c r="CB237" s="578"/>
      <c r="CC237" s="498"/>
      <c r="CD237" s="579"/>
      <c r="CE237" s="498"/>
      <c r="CF237" s="578"/>
      <c r="CG237" s="498"/>
      <c r="CH237" s="579"/>
      <c r="CI237" s="498"/>
      <c r="CJ237" s="578"/>
      <c r="CK237" s="498"/>
      <c r="CL237" s="579"/>
      <c r="CM237" s="498"/>
      <c r="CN237" s="578"/>
      <c r="CO237" s="498"/>
      <c r="CP237" s="579"/>
      <c r="CQ237" s="498"/>
      <c r="CR237" s="578"/>
      <c r="CS237" s="498"/>
      <c r="CT237" s="579"/>
      <c r="CU237" s="498"/>
      <c r="CV237" s="578"/>
      <c r="CW237" s="498"/>
      <c r="CX237" s="579"/>
      <c r="CY237" s="498"/>
      <c r="CZ237" s="578"/>
      <c r="DA237" s="498"/>
      <c r="DB237" s="579"/>
      <c r="DC237" s="498"/>
      <c r="DD237" s="578"/>
      <c r="DE237" s="498"/>
      <c r="DF237" s="579"/>
      <c r="DG237" s="498"/>
      <c r="DH237" s="578"/>
      <c r="DI237" s="498"/>
      <c r="DJ237" s="579"/>
      <c r="DK237" s="498"/>
      <c r="DL237" s="578"/>
      <c r="DM237" s="498"/>
      <c r="DN237" s="579"/>
      <c r="DO237" s="498"/>
      <c r="DP237" s="572"/>
      <c r="DQ237" s="328"/>
      <c r="DR237" s="328"/>
      <c r="DS237" s="329"/>
      <c r="DT237" s="329"/>
      <c r="DU237" s="578"/>
      <c r="DV237" s="498"/>
      <c r="DW237" s="579"/>
      <c r="DX237" s="498"/>
      <c r="DY237" s="578"/>
      <c r="DZ237" s="498"/>
      <c r="EA237" s="579"/>
      <c r="EB237" s="498"/>
      <c r="EC237" s="578"/>
      <c r="ED237" s="498"/>
      <c r="EE237" s="579"/>
      <c r="EF237" s="498"/>
      <c r="EG237" s="578"/>
      <c r="EH237" s="498"/>
      <c r="EI237" s="579"/>
      <c r="EJ237" s="498"/>
      <c r="EK237" s="578"/>
      <c r="EL237" s="498"/>
      <c r="EM237" s="579"/>
      <c r="EN237" s="498"/>
      <c r="EO237" s="578"/>
      <c r="EP237" s="498"/>
      <c r="EQ237" s="579"/>
      <c r="ER237" s="498"/>
      <c r="ES237" s="578"/>
      <c r="ET237" s="498"/>
      <c r="EU237" s="579"/>
      <c r="EV237" s="498"/>
      <c r="EW237" s="578"/>
      <c r="EX237" s="498"/>
      <c r="EY237" s="579"/>
      <c r="EZ237" s="498"/>
      <c r="FA237" s="578"/>
      <c r="FB237" s="498"/>
      <c r="FC237" s="579"/>
      <c r="FD237" s="498"/>
      <c r="FE237" s="578"/>
      <c r="FF237" s="498"/>
      <c r="FG237" s="579"/>
      <c r="FH237" s="498"/>
      <c r="FI237" s="578"/>
      <c r="FJ237" s="498"/>
      <c r="FK237" s="579"/>
      <c r="FL237" s="498"/>
      <c r="FM237" s="578"/>
      <c r="FN237" s="498"/>
      <c r="FO237" s="579"/>
      <c r="FP237" s="498"/>
      <c r="FQ237" s="572"/>
      <c r="FR237" s="328"/>
      <c r="FS237" s="328"/>
      <c r="FT237" s="573"/>
    </row>
    <row r="238" spans="1:176" s="574" customFormat="1" outlineLevel="2">
      <c r="A238" s="589" t="s">
        <v>470</v>
      </c>
      <c r="B238" s="589" t="s">
        <v>134</v>
      </c>
      <c r="C238" s="594" t="s">
        <v>72</v>
      </c>
      <c r="D238" s="589" t="s">
        <v>32</v>
      </c>
      <c r="E238" s="584">
        <f>IF(ISBLANK(G238),"",IF($A$6:$A$330=$A238,COUNTIF($A$6:A238,$A238),""))</f>
        <v>44</v>
      </c>
      <c r="F238" s="567" t="s">
        <v>89</v>
      </c>
      <c r="G238" s="128">
        <v>4441000210</v>
      </c>
      <c r="H238" s="603" t="s">
        <v>443</v>
      </c>
      <c r="I238" s="618">
        <f>847.9/НДС</f>
        <v>695</v>
      </c>
      <c r="J238" s="618"/>
      <c r="K238" s="126"/>
      <c r="L238" s="618" t="str">
        <f>IF(K238="RUB",J238/ЮАНЬ,IF(K238="EUR",J238*ЕВРО/ЮАНЬ,""))</f>
        <v/>
      </c>
      <c r="M238" s="568"/>
      <c r="N238" s="353">
        <f t="shared" si="75"/>
        <v>1</v>
      </c>
      <c r="O238" s="569"/>
      <c r="P238" s="570"/>
      <c r="Q238" s="571"/>
      <c r="R238" s="570"/>
      <c r="S238" s="569"/>
      <c r="T238" s="570"/>
      <c r="U238" s="571"/>
      <c r="V238" s="570"/>
      <c r="W238" s="569"/>
      <c r="X238" s="570">
        <f>10</f>
        <v>10</v>
      </c>
      <c r="Y238" s="571">
        <v>10</v>
      </c>
      <c r="Z238" s="570"/>
      <c r="AA238" s="569"/>
      <c r="AB238" s="570">
        <f>25+5</f>
        <v>30</v>
      </c>
      <c r="AC238" s="571">
        <v>30</v>
      </c>
      <c r="AD238" s="570"/>
      <c r="AE238" s="569"/>
      <c r="AF238" s="570"/>
      <c r="AG238" s="571"/>
      <c r="AH238" s="570"/>
      <c r="AI238" s="569"/>
      <c r="AJ238" s="570"/>
      <c r="AK238" s="571"/>
      <c r="AL238" s="570"/>
      <c r="AM238" s="569"/>
      <c r="AN238" s="570"/>
      <c r="AO238" s="571"/>
      <c r="AP238" s="570"/>
      <c r="AQ238" s="569"/>
      <c r="AR238" s="570"/>
      <c r="AS238" s="571"/>
      <c r="AT238" s="570"/>
      <c r="AU238" s="569"/>
      <c r="AV238" s="570"/>
      <c r="AW238" s="571"/>
      <c r="AX238" s="570"/>
      <c r="AY238" s="569"/>
      <c r="AZ238" s="570"/>
      <c r="BA238" s="571"/>
      <c r="BB238" s="570"/>
      <c r="BC238" s="569"/>
      <c r="BD238" s="570"/>
      <c r="BE238" s="571"/>
      <c r="BF238" s="570"/>
      <c r="BG238" s="569"/>
      <c r="BH238" s="570"/>
      <c r="BI238" s="571"/>
      <c r="BJ238" s="570"/>
      <c r="BK238" s="572"/>
      <c r="BL238" s="32">
        <f t="shared" si="76"/>
        <v>0</v>
      </c>
      <c r="BM238" s="32">
        <f t="shared" si="77"/>
        <v>0</v>
      </c>
      <c r="BN238" s="28">
        <f t="shared" si="78"/>
        <v>40</v>
      </c>
      <c r="BO238" s="29">
        <f t="shared" si="79"/>
        <v>27800</v>
      </c>
      <c r="BP238" s="30">
        <f t="shared" si="80"/>
        <v>40</v>
      </c>
      <c r="BQ238" s="31">
        <f t="shared" si="81"/>
        <v>27800</v>
      </c>
      <c r="BR238" s="11"/>
      <c r="BS238" s="329"/>
      <c r="BT238" s="569">
        <v>2</v>
      </c>
      <c r="BU238" s="570"/>
      <c r="BV238" s="571"/>
      <c r="BW238" s="570"/>
      <c r="BX238" s="569">
        <v>2</v>
      </c>
      <c r="BY238" s="570"/>
      <c r="BZ238" s="571"/>
      <c r="CA238" s="570"/>
      <c r="CB238" s="569">
        <v>2</v>
      </c>
      <c r="CC238" s="570"/>
      <c r="CD238" s="571"/>
      <c r="CE238" s="570"/>
      <c r="CF238" s="569">
        <v>2</v>
      </c>
      <c r="CG238" s="570"/>
      <c r="CH238" s="571"/>
      <c r="CI238" s="570"/>
      <c r="CJ238" s="569">
        <v>2</v>
      </c>
      <c r="CK238" s="570"/>
      <c r="CL238" s="571"/>
      <c r="CM238" s="570"/>
      <c r="CN238" s="569">
        <v>2</v>
      </c>
      <c r="CO238" s="570"/>
      <c r="CP238" s="571"/>
      <c r="CQ238" s="570"/>
      <c r="CR238" s="569">
        <v>2</v>
      </c>
      <c r="CS238" s="570"/>
      <c r="CT238" s="571"/>
      <c r="CU238" s="570"/>
      <c r="CV238" s="569">
        <v>2</v>
      </c>
      <c r="CW238" s="570"/>
      <c r="CX238" s="571"/>
      <c r="CY238" s="570"/>
      <c r="CZ238" s="569">
        <v>2</v>
      </c>
      <c r="DA238" s="570"/>
      <c r="DB238" s="571"/>
      <c r="DC238" s="570"/>
      <c r="DD238" s="569">
        <v>2</v>
      </c>
      <c r="DE238" s="570"/>
      <c r="DF238" s="571"/>
      <c r="DG238" s="570"/>
      <c r="DH238" s="569">
        <v>2</v>
      </c>
      <c r="DI238" s="570"/>
      <c r="DJ238" s="571"/>
      <c r="DK238" s="570"/>
      <c r="DL238" s="569">
        <v>2</v>
      </c>
      <c r="DM238" s="570"/>
      <c r="DN238" s="571"/>
      <c r="DO238" s="570"/>
      <c r="DP238" s="572"/>
      <c r="DQ238" s="32">
        <f>SUMPRODUCT(--(MOD(COLUMN(BT238:CQ238),4)=MOD(COLUMN(BT238),4)),BT238:CQ238)+SUMPRODUCT(--(MOD(COLUMN(CR238:DO238),4)=MOD(COLUMN(CR238),4)),CR238:DO238)</f>
        <v>24</v>
      </c>
      <c r="DR238" s="32">
        <f t="shared" ref="DR238:DR258" si="85">SUMPRODUCT(--(MOD(COLUMN(BT238:CQ238),4)=MOD(COLUMN(BT238),4)),BT238:CQ238)*$I238+SUMPRODUCT(--(MOD(COLUMN(CR238:DO238),4)=MOD(COLUMN(CR238),4)),CR238:DO238)*$I238</f>
        <v>16680</v>
      </c>
      <c r="DS238" s="11"/>
      <c r="DT238" s="329"/>
      <c r="DU238" s="569">
        <v>3</v>
      </c>
      <c r="DV238" s="570"/>
      <c r="DW238" s="571"/>
      <c r="DX238" s="570"/>
      <c r="DY238" s="569">
        <v>3</v>
      </c>
      <c r="DZ238" s="570"/>
      <c r="EA238" s="571"/>
      <c r="EB238" s="570"/>
      <c r="EC238" s="569">
        <v>3</v>
      </c>
      <c r="ED238" s="570"/>
      <c r="EE238" s="571"/>
      <c r="EF238" s="570"/>
      <c r="EG238" s="569">
        <v>3</v>
      </c>
      <c r="EH238" s="570"/>
      <c r="EI238" s="571"/>
      <c r="EJ238" s="570"/>
      <c r="EK238" s="569">
        <v>3</v>
      </c>
      <c r="EL238" s="570"/>
      <c r="EM238" s="571"/>
      <c r="EN238" s="570"/>
      <c r="EO238" s="569">
        <v>3</v>
      </c>
      <c r="EP238" s="570"/>
      <c r="EQ238" s="571"/>
      <c r="ER238" s="570"/>
      <c r="ES238" s="569">
        <v>3</v>
      </c>
      <c r="ET238" s="570"/>
      <c r="EU238" s="571"/>
      <c r="EV238" s="570"/>
      <c r="EW238" s="569">
        <v>3</v>
      </c>
      <c r="EX238" s="570"/>
      <c r="EY238" s="571"/>
      <c r="EZ238" s="570"/>
      <c r="FA238" s="569">
        <v>3</v>
      </c>
      <c r="FB238" s="570"/>
      <c r="FC238" s="571"/>
      <c r="FD238" s="570"/>
      <c r="FE238" s="569">
        <v>3</v>
      </c>
      <c r="FF238" s="570"/>
      <c r="FG238" s="571"/>
      <c r="FH238" s="570"/>
      <c r="FI238" s="569">
        <v>3</v>
      </c>
      <c r="FJ238" s="570"/>
      <c r="FK238" s="571"/>
      <c r="FL238" s="570"/>
      <c r="FM238" s="569">
        <v>3</v>
      </c>
      <c r="FN238" s="570"/>
      <c r="FO238" s="571"/>
      <c r="FP238" s="570"/>
      <c r="FQ238" s="572"/>
      <c r="FR238" s="32">
        <f>SUMPRODUCT(--(MOD(COLUMN(DU238:ER238),4)=MOD(COLUMN(DU238),4)),DU238:ER238)+SUMPRODUCT(--(MOD(COLUMN(ES238:FP238),4)=MOD(COLUMN(ES238),4)),ES238:FP238)</f>
        <v>36</v>
      </c>
      <c r="FS238" s="32">
        <f t="shared" ref="FS238:FS258" si="86">SUMPRODUCT(--(MOD(COLUMN(DU238:ER238),4)=MOD(COLUMN(DU238),4)),DU238:ER238)*$I238+SUMPRODUCT(--(MOD(COLUMN(ES238:FP238),4)=MOD(COLUMN(ES238),4)),ES238:FP238)*$I238</f>
        <v>25020</v>
      </c>
      <c r="FT238" s="573"/>
    </row>
    <row r="239" spans="1:176" outlineLevel="2">
      <c r="A239" s="411" t="s">
        <v>470</v>
      </c>
      <c r="B239" s="448" t="s">
        <v>134</v>
      </c>
      <c r="C239" s="594" t="s">
        <v>72</v>
      </c>
      <c r="D239" s="589" t="s">
        <v>32</v>
      </c>
      <c r="E239" s="412">
        <f>IF(ISBLANK(G239),"",IF($A$6:$A$330=$A239,COUNTIF($A$6:A239,$A239),""))</f>
        <v>45</v>
      </c>
      <c r="F239" s="669">
        <v>2</v>
      </c>
      <c r="G239" s="128">
        <v>4005000880</v>
      </c>
      <c r="H239" s="612" t="s">
        <v>96</v>
      </c>
      <c r="I239" s="618">
        <v>0</v>
      </c>
      <c r="J239" s="618"/>
      <c r="K239" s="126"/>
      <c r="L239" s="618" t="str">
        <f>IF(K239="RUB",J239/ЮАНЬ,IF(K239="EUR",J239*ЕВРО/ЮАНЬ,""))</f>
        <v/>
      </c>
      <c r="M239" s="102"/>
      <c r="N239" s="305">
        <f t="shared" si="75"/>
        <v>2</v>
      </c>
      <c r="O239" s="23">
        <v>15</v>
      </c>
      <c r="P239" s="24"/>
      <c r="Q239" s="25"/>
      <c r="R239" s="24"/>
      <c r="S239" s="23">
        <v>15</v>
      </c>
      <c r="T239" s="24">
        <f>SUMPRODUCT((Комплекты[Пр]=$F239)*(Комплекты[Обозначение]=$G239)*Комплекты[Кол-во]*(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0</v>
      </c>
      <c r="U239" s="25">
        <f>SUMPRODUCT((Комплекты[Пр]=$F239)*(Комплекты[Обозначение]=$G239)*Комплекты[Кол-во]*(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0</v>
      </c>
      <c r="V239" s="24"/>
      <c r="W239" s="23">
        <v>15</v>
      </c>
      <c r="X239" s="24">
        <f>SUMPRODUCT((Комплекты[Пр]=$F239)*(Комплекты[Обозначение]=$G239)*Комплекты[Кол-во]*(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0</v>
      </c>
      <c r="Y239" s="25">
        <f>SUMPRODUCT((Комплекты[Пр]=$F239)*(Комплекты[Обозначение]=$G239)*Комплекты[Кол-во]*(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0</v>
      </c>
      <c r="Z239" s="24"/>
      <c r="AA239" s="23">
        <v>15</v>
      </c>
      <c r="AB239" s="24">
        <f>SUMPRODUCT((Комплекты[Пр]=$F239)*(Комплекты[Обозначение]=$G239)*Комплекты[Кол-во]*(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39" s="25"/>
      <c r="AD239" s="24"/>
      <c r="AE239" s="23">
        <v>15</v>
      </c>
      <c r="AF239" s="24">
        <f>SUMPRODUCT((Комплекты[Пр]=$F239)*(Комплекты[Обозначение]=$G239)*Комплекты[Кол-во]*(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39" s="25">
        <f>SUMPRODUCT((Комплекты[Пр]=$F239)*(Комплекты[Обозначение]=$G239)*Комплекты[Кол-во]*(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39" s="24"/>
      <c r="AI239" s="23">
        <v>15</v>
      </c>
      <c r="AJ239" s="24">
        <f>SUMPRODUCT((Комплекты[Пр]=$F239)*(Комплекты[Обозначение]=$G239)*Комплекты[Кол-во]*(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0</v>
      </c>
      <c r="AK239" s="25"/>
      <c r="AL239" s="24"/>
      <c r="AM239" s="23">
        <v>15</v>
      </c>
      <c r="AN239" s="24">
        <f>SUMPRODUCT((Комплекты[Пр]=$F239)*(Комплекты[Обозначение]=$G239)*Комплекты[Кол-во]*(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0</v>
      </c>
      <c r="AO239" s="25"/>
      <c r="AP239" s="24"/>
      <c r="AQ239" s="23">
        <v>15</v>
      </c>
      <c r="AR239" s="24">
        <f>SUMPRODUCT((Комплекты[Пр]=$F239)*(Комплекты[Обозначение]=$G239)*Комплекты[Кол-во]*(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0</v>
      </c>
      <c r="AS239" s="25"/>
      <c r="AT239" s="24"/>
      <c r="AU239" s="23">
        <v>15</v>
      </c>
      <c r="AV239" s="24">
        <f>SUMPRODUCT((Комплекты[Пр]=$F239)*(Комплекты[Обозначение]=$G239)*Комплекты[Кол-во]*(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0</v>
      </c>
      <c r="AW239" s="25"/>
      <c r="AX239" s="24"/>
      <c r="AY239" s="23">
        <v>15</v>
      </c>
      <c r="AZ239" s="24">
        <f>SUMPRODUCT((Комплекты[Пр]=$F239)*(Комплекты[Обозначение]=$G239)*Комплекты[Кол-во]*(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15</v>
      </c>
      <c r="BA239" s="25"/>
      <c r="BB239" s="24"/>
      <c r="BC239" s="23">
        <v>15</v>
      </c>
      <c r="BD239" s="24">
        <f>SUMPRODUCT((Комплекты[Пр]=$F239)*(Комплекты[Обозначение]=$G239)*Комплекты[Кол-во]*(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15</v>
      </c>
      <c r="BE239" s="25"/>
      <c r="BF239" s="24"/>
      <c r="BG239" s="23">
        <v>15</v>
      </c>
      <c r="BH239" s="24">
        <f>SUMPRODUCT((Комплекты[Пр]=$F239)*(Комплекты[Обозначение]=$G239)*Комплекты[Кол-во]*(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15</v>
      </c>
      <c r="BI239" s="25"/>
      <c r="BJ239" s="24"/>
      <c r="BK239" s="340"/>
      <c r="BL239" s="32">
        <f t="shared" si="76"/>
        <v>180</v>
      </c>
      <c r="BM239" s="32">
        <f t="shared" si="77"/>
        <v>0</v>
      </c>
      <c r="BN239" s="28">
        <f t="shared" si="78"/>
        <v>45</v>
      </c>
      <c r="BO239" s="29">
        <f t="shared" si="79"/>
        <v>0</v>
      </c>
      <c r="BP239" s="30">
        <f t="shared" si="80"/>
        <v>0</v>
      </c>
      <c r="BQ239" s="31">
        <f t="shared" si="81"/>
        <v>0</v>
      </c>
      <c r="BR239" s="11"/>
      <c r="BS239" s="329"/>
      <c r="BT239" s="23">
        <v>20</v>
      </c>
      <c r="BU239" s="24"/>
      <c r="BV239" s="25"/>
      <c r="BW239" s="24"/>
      <c r="BX239" s="23">
        <v>20</v>
      </c>
      <c r="BY239" s="24"/>
      <c r="BZ239" s="25"/>
      <c r="CA239" s="24"/>
      <c r="CB239" s="23">
        <v>20</v>
      </c>
      <c r="CC239" s="24"/>
      <c r="CD239" s="25"/>
      <c r="CE239" s="24"/>
      <c r="CF239" s="23">
        <v>20</v>
      </c>
      <c r="CG239" s="24"/>
      <c r="CH239" s="25"/>
      <c r="CI239" s="24"/>
      <c r="CJ239" s="23">
        <v>20</v>
      </c>
      <c r="CK239" s="24"/>
      <c r="CL239" s="25"/>
      <c r="CM239" s="24"/>
      <c r="CN239" s="23">
        <v>20</v>
      </c>
      <c r="CO239" s="24"/>
      <c r="CP239" s="25"/>
      <c r="CQ239" s="24"/>
      <c r="CR239" s="23">
        <v>20</v>
      </c>
      <c r="CS239" s="24"/>
      <c r="CT239" s="25"/>
      <c r="CU239" s="24"/>
      <c r="CV239" s="23">
        <v>20</v>
      </c>
      <c r="CW239" s="24"/>
      <c r="CX239" s="25"/>
      <c r="CY239" s="24"/>
      <c r="CZ239" s="23">
        <v>20</v>
      </c>
      <c r="DA239" s="24"/>
      <c r="DB239" s="25"/>
      <c r="DC239" s="24"/>
      <c r="DD239" s="23">
        <v>20</v>
      </c>
      <c r="DE239" s="24"/>
      <c r="DF239" s="25"/>
      <c r="DG239" s="24"/>
      <c r="DH239" s="23">
        <v>20</v>
      </c>
      <c r="DI239" s="24"/>
      <c r="DJ239" s="25"/>
      <c r="DK239" s="24"/>
      <c r="DL239" s="23">
        <v>20</v>
      </c>
      <c r="DM239" s="24"/>
      <c r="DN239" s="25"/>
      <c r="DO239" s="24"/>
      <c r="DP239" s="340"/>
      <c r="DQ239" s="32">
        <f>SUMPRODUCT(--(MOD(COLUMN(BT239:CQ239),4)=MOD(COLUMN(BT239),4)),BT239:CQ239)+SUMPRODUCT(--(MOD(COLUMN(CR239:DO239),4)=MOD(COLUMN(CR239),4)),CR239:DO239)</f>
        <v>240</v>
      </c>
      <c r="DR239" s="32">
        <f t="shared" si="85"/>
        <v>0</v>
      </c>
      <c r="DS239" s="11"/>
      <c r="DT239" s="329"/>
      <c r="DU239" s="23">
        <v>20</v>
      </c>
      <c r="DV239" s="24"/>
      <c r="DW239" s="25"/>
      <c r="DX239" s="24"/>
      <c r="DY239" s="23">
        <v>20</v>
      </c>
      <c r="DZ239" s="24"/>
      <c r="EA239" s="25"/>
      <c r="EB239" s="24"/>
      <c r="EC239" s="23">
        <v>20</v>
      </c>
      <c r="ED239" s="24"/>
      <c r="EE239" s="25"/>
      <c r="EF239" s="24"/>
      <c r="EG239" s="23">
        <v>20</v>
      </c>
      <c r="EH239" s="24"/>
      <c r="EI239" s="25"/>
      <c r="EJ239" s="24"/>
      <c r="EK239" s="23">
        <v>20</v>
      </c>
      <c r="EL239" s="24"/>
      <c r="EM239" s="25"/>
      <c r="EN239" s="24"/>
      <c r="EO239" s="23">
        <v>20</v>
      </c>
      <c r="EP239" s="24"/>
      <c r="EQ239" s="25"/>
      <c r="ER239" s="24"/>
      <c r="ES239" s="23">
        <v>20</v>
      </c>
      <c r="ET239" s="24"/>
      <c r="EU239" s="25"/>
      <c r="EV239" s="24"/>
      <c r="EW239" s="23">
        <v>20</v>
      </c>
      <c r="EX239" s="24"/>
      <c r="EY239" s="25"/>
      <c r="EZ239" s="24"/>
      <c r="FA239" s="23">
        <v>20</v>
      </c>
      <c r="FB239" s="24"/>
      <c r="FC239" s="25"/>
      <c r="FD239" s="24"/>
      <c r="FE239" s="23">
        <v>20</v>
      </c>
      <c r="FF239" s="24"/>
      <c r="FG239" s="25"/>
      <c r="FH239" s="24"/>
      <c r="FI239" s="23">
        <v>20</v>
      </c>
      <c r="FJ239" s="24"/>
      <c r="FK239" s="25"/>
      <c r="FL239" s="24"/>
      <c r="FM239" s="23">
        <v>20</v>
      </c>
      <c r="FN239" s="24"/>
      <c r="FO239" s="25"/>
      <c r="FP239" s="24"/>
      <c r="FQ239" s="340"/>
      <c r="FR239" s="32">
        <f>SUMPRODUCT(--(MOD(COLUMN(DU239:ER239),4)=MOD(COLUMN(DU239),4)),DU239:ER239)+SUMPRODUCT(--(MOD(COLUMN(ES239:FP239),4)=MOD(COLUMN(ES239),4)),ES239:FP239)</f>
        <v>240</v>
      </c>
      <c r="FS239" s="32">
        <f t="shared" si="86"/>
        <v>0</v>
      </c>
      <c r="FT239" s="361"/>
    </row>
    <row r="240" spans="1:176" outlineLevel="2">
      <c r="A240" s="411" t="s">
        <v>470</v>
      </c>
      <c r="B240" s="448" t="s">
        <v>134</v>
      </c>
      <c r="C240" s="594" t="s">
        <v>72</v>
      </c>
      <c r="D240" s="589" t="s">
        <v>32</v>
      </c>
      <c r="E240" s="412">
        <f>IF(ISBLANK(G240),"",IF($A$6:$A$330=$A240,COUNTIF($A$6:A240,$A240),""))</f>
        <v>46</v>
      </c>
      <c r="F240" s="669">
        <v>2</v>
      </c>
      <c r="G240" s="128">
        <v>4493702820</v>
      </c>
      <c r="H240" s="612" t="s">
        <v>97</v>
      </c>
      <c r="I240" s="618">
        <v>0</v>
      </c>
      <c r="J240" s="618"/>
      <c r="K240" s="126"/>
      <c r="L240" s="618" t="str">
        <f>IF(K240="RUB",J240/ЮАНЬ,IF(K240="EUR",J240*ЕВРО/ЮАНЬ,""))</f>
        <v/>
      </c>
      <c r="M240" s="102"/>
      <c r="N240" s="305">
        <f t="shared" si="75"/>
        <v>2</v>
      </c>
      <c r="O240" s="23">
        <v>15</v>
      </c>
      <c r="P240" s="24"/>
      <c r="Q240" s="25"/>
      <c r="R240" s="24"/>
      <c r="S240" s="23">
        <v>15</v>
      </c>
      <c r="T240" s="24">
        <f>SUMPRODUCT((Комплекты[Пр]=$F240)*(Комплекты[Обозначение]=$G240)*Комплекты[Кол-во]*(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0</v>
      </c>
      <c r="U240" s="25">
        <f>SUMPRODUCT((Комплекты[Пр]=$F240)*(Комплекты[Обозначение]=$G240)*Комплекты[Кол-во]*(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0</v>
      </c>
      <c r="V240" s="24"/>
      <c r="W240" s="23">
        <v>15</v>
      </c>
      <c r="X240" s="24">
        <f>SUMPRODUCT((Комплекты[Пр]=$F240)*(Комплекты[Обозначение]=$G240)*Комплекты[Кол-во]*(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0</v>
      </c>
      <c r="Y240" s="25">
        <f>SUMPRODUCT((Комплекты[Пр]=$F240)*(Комплекты[Обозначение]=$G240)*Комплекты[Кол-во]*(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0</v>
      </c>
      <c r="Z240" s="24"/>
      <c r="AA240" s="23">
        <v>15</v>
      </c>
      <c r="AB240" s="24">
        <f>SUMPRODUCT((Комплекты[Пр]=$F240)*(Комплекты[Обозначение]=$G240)*Комплекты[Кол-во]*(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40" s="25"/>
      <c r="AD240" s="24"/>
      <c r="AE240" s="23">
        <v>15</v>
      </c>
      <c r="AF240" s="24">
        <f>SUMPRODUCT((Комплекты[Пр]=$F240)*(Комплекты[Обозначение]=$G240)*Комплекты[Кол-во]*(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40" s="25">
        <f>SUMPRODUCT((Комплекты[Пр]=$F240)*(Комплекты[Обозначение]=$G240)*Комплекты[Кол-во]*(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40" s="24"/>
      <c r="AI240" s="23">
        <v>15</v>
      </c>
      <c r="AJ240" s="24">
        <f>SUMPRODUCT((Комплекты[Пр]=$F240)*(Комплекты[Обозначение]=$G240)*Комплекты[Кол-во]*(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0</v>
      </c>
      <c r="AK240" s="25"/>
      <c r="AL240" s="24"/>
      <c r="AM240" s="23">
        <v>15</v>
      </c>
      <c r="AN240" s="24">
        <f>SUMPRODUCT((Комплекты[Пр]=$F240)*(Комплекты[Обозначение]=$G240)*Комплекты[Кол-во]*(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0</v>
      </c>
      <c r="AO240" s="25"/>
      <c r="AP240" s="24"/>
      <c r="AQ240" s="23">
        <v>15</v>
      </c>
      <c r="AR240" s="24">
        <f>SUMPRODUCT((Комплекты[Пр]=$F240)*(Комплекты[Обозначение]=$G240)*Комплекты[Кол-во]*(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0</v>
      </c>
      <c r="AS240" s="25"/>
      <c r="AT240" s="24"/>
      <c r="AU240" s="23">
        <v>15</v>
      </c>
      <c r="AV240" s="24">
        <f>SUMPRODUCT((Комплекты[Пр]=$F240)*(Комплекты[Обозначение]=$G240)*Комплекты[Кол-во]*(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0</v>
      </c>
      <c r="AW240" s="25"/>
      <c r="AX240" s="24"/>
      <c r="AY240" s="23">
        <v>15</v>
      </c>
      <c r="AZ240" s="24">
        <f>SUMPRODUCT((Комплекты[Пр]=$F240)*(Комплекты[Обозначение]=$G240)*Комплекты[Кол-во]*(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15</v>
      </c>
      <c r="BA240" s="25"/>
      <c r="BB240" s="24"/>
      <c r="BC240" s="23">
        <v>15</v>
      </c>
      <c r="BD240" s="24">
        <f>SUMPRODUCT((Комплекты[Пр]=$F240)*(Комплекты[Обозначение]=$G240)*Комплекты[Кол-во]*(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15</v>
      </c>
      <c r="BE240" s="25"/>
      <c r="BF240" s="24"/>
      <c r="BG240" s="23">
        <v>15</v>
      </c>
      <c r="BH240" s="24">
        <f>SUMPRODUCT((Комплекты[Пр]=$F240)*(Комплекты[Обозначение]=$G240)*Комплекты[Кол-во]*(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15</v>
      </c>
      <c r="BI240" s="25"/>
      <c r="BJ240" s="24"/>
      <c r="BK240" s="340"/>
      <c r="BL240" s="32">
        <f t="shared" si="76"/>
        <v>180</v>
      </c>
      <c r="BM240" s="32">
        <f t="shared" si="77"/>
        <v>0</v>
      </c>
      <c r="BN240" s="28">
        <f t="shared" si="78"/>
        <v>45</v>
      </c>
      <c r="BO240" s="29">
        <f t="shared" si="79"/>
        <v>0</v>
      </c>
      <c r="BP240" s="30">
        <f t="shared" si="80"/>
        <v>0</v>
      </c>
      <c r="BQ240" s="31">
        <f t="shared" si="81"/>
        <v>0</v>
      </c>
      <c r="BR240" s="11"/>
      <c r="BS240" s="329"/>
      <c r="BT240" s="23">
        <v>20</v>
      </c>
      <c r="BU240" s="24"/>
      <c r="BV240" s="25"/>
      <c r="BW240" s="24"/>
      <c r="BX240" s="23">
        <v>20</v>
      </c>
      <c r="BY240" s="24"/>
      <c r="BZ240" s="25"/>
      <c r="CA240" s="24"/>
      <c r="CB240" s="23">
        <v>20</v>
      </c>
      <c r="CC240" s="24"/>
      <c r="CD240" s="25"/>
      <c r="CE240" s="24"/>
      <c r="CF240" s="23">
        <v>20</v>
      </c>
      <c r="CG240" s="24"/>
      <c r="CH240" s="25"/>
      <c r="CI240" s="24"/>
      <c r="CJ240" s="23">
        <v>20</v>
      </c>
      <c r="CK240" s="24"/>
      <c r="CL240" s="25"/>
      <c r="CM240" s="24"/>
      <c r="CN240" s="23">
        <v>20</v>
      </c>
      <c r="CO240" s="24"/>
      <c r="CP240" s="25"/>
      <c r="CQ240" s="24"/>
      <c r="CR240" s="23">
        <v>20</v>
      </c>
      <c r="CS240" s="24"/>
      <c r="CT240" s="25"/>
      <c r="CU240" s="24"/>
      <c r="CV240" s="23">
        <v>20</v>
      </c>
      <c r="CW240" s="24"/>
      <c r="CX240" s="25"/>
      <c r="CY240" s="24"/>
      <c r="CZ240" s="23">
        <v>20</v>
      </c>
      <c r="DA240" s="24"/>
      <c r="DB240" s="25"/>
      <c r="DC240" s="24"/>
      <c r="DD240" s="23">
        <v>20</v>
      </c>
      <c r="DE240" s="24"/>
      <c r="DF240" s="25"/>
      <c r="DG240" s="24"/>
      <c r="DH240" s="23">
        <v>20</v>
      </c>
      <c r="DI240" s="24"/>
      <c r="DJ240" s="25"/>
      <c r="DK240" s="24"/>
      <c r="DL240" s="23">
        <v>20</v>
      </c>
      <c r="DM240" s="24"/>
      <c r="DN240" s="25"/>
      <c r="DO240" s="24"/>
      <c r="DP240" s="340"/>
      <c r="DQ240" s="32">
        <f>SUMPRODUCT(--(MOD(COLUMN(BT240:CQ240),4)=MOD(COLUMN(BT240),4)),BT240:CQ240)+SUMPRODUCT(--(MOD(COLUMN(CR240:DO240),4)=MOD(COLUMN(CR240),4)),CR240:DO240)</f>
        <v>240</v>
      </c>
      <c r="DR240" s="32">
        <f t="shared" si="85"/>
        <v>0</v>
      </c>
      <c r="DS240" s="11"/>
      <c r="DT240" s="329"/>
      <c r="DU240" s="23">
        <v>20</v>
      </c>
      <c r="DV240" s="24"/>
      <c r="DW240" s="25"/>
      <c r="DX240" s="24"/>
      <c r="DY240" s="23">
        <v>20</v>
      </c>
      <c r="DZ240" s="24"/>
      <c r="EA240" s="25"/>
      <c r="EB240" s="24"/>
      <c r="EC240" s="23">
        <v>20</v>
      </c>
      <c r="ED240" s="24"/>
      <c r="EE240" s="25"/>
      <c r="EF240" s="24"/>
      <c r="EG240" s="23">
        <v>20</v>
      </c>
      <c r="EH240" s="24"/>
      <c r="EI240" s="25"/>
      <c r="EJ240" s="24"/>
      <c r="EK240" s="23">
        <v>20</v>
      </c>
      <c r="EL240" s="24"/>
      <c r="EM240" s="25"/>
      <c r="EN240" s="24"/>
      <c r="EO240" s="23">
        <v>20</v>
      </c>
      <c r="EP240" s="24"/>
      <c r="EQ240" s="25"/>
      <c r="ER240" s="24"/>
      <c r="ES240" s="23">
        <v>20</v>
      </c>
      <c r="ET240" s="24"/>
      <c r="EU240" s="25"/>
      <c r="EV240" s="24"/>
      <c r="EW240" s="23">
        <v>20</v>
      </c>
      <c r="EX240" s="24"/>
      <c r="EY240" s="25"/>
      <c r="EZ240" s="24"/>
      <c r="FA240" s="23">
        <v>20</v>
      </c>
      <c r="FB240" s="24"/>
      <c r="FC240" s="25"/>
      <c r="FD240" s="24"/>
      <c r="FE240" s="23">
        <v>20</v>
      </c>
      <c r="FF240" s="24"/>
      <c r="FG240" s="25"/>
      <c r="FH240" s="24"/>
      <c r="FI240" s="23">
        <v>20</v>
      </c>
      <c r="FJ240" s="24"/>
      <c r="FK240" s="25"/>
      <c r="FL240" s="24"/>
      <c r="FM240" s="23">
        <v>20</v>
      </c>
      <c r="FN240" s="24"/>
      <c r="FO240" s="25"/>
      <c r="FP240" s="24"/>
      <c r="FQ240" s="340"/>
      <c r="FR240" s="32">
        <f>SUMPRODUCT(--(MOD(COLUMN(DU240:ER240),4)=MOD(COLUMN(DU240),4)),DU240:ER240)+SUMPRODUCT(--(MOD(COLUMN(ES240:FP240),4)=MOD(COLUMN(ES240),4)),ES240:FP240)</f>
        <v>240</v>
      </c>
      <c r="FS240" s="32">
        <f t="shared" si="86"/>
        <v>0</v>
      </c>
      <c r="FT240" s="361"/>
    </row>
    <row r="241" spans="1:176" outlineLevel="2">
      <c r="A241" s="413" t="s">
        <v>470</v>
      </c>
      <c r="B241" s="444" t="s">
        <v>134</v>
      </c>
      <c r="C241" s="592" t="s">
        <v>72</v>
      </c>
      <c r="D241" s="580" t="s">
        <v>32</v>
      </c>
      <c r="E241" s="414">
        <f>IF(ISBLANK(G241),"",IF($A$6:$A$330=$A241,COUNTIF($A$6:A241,$A241),""))</f>
        <v>47</v>
      </c>
      <c r="F241" s="318">
        <v>2</v>
      </c>
      <c r="G241" s="403">
        <v>4005000810</v>
      </c>
      <c r="H241" s="613" t="s">
        <v>96</v>
      </c>
      <c r="I241" s="619">
        <v>0</v>
      </c>
      <c r="J241" s="619"/>
      <c r="K241" s="321"/>
      <c r="L241" s="619"/>
      <c r="M241" s="305"/>
      <c r="N241" s="305">
        <f t="shared" si="75"/>
        <v>1</v>
      </c>
      <c r="O241" s="322"/>
      <c r="P241" s="408"/>
      <c r="Q241" s="307"/>
      <c r="R241" s="408"/>
      <c r="S241" s="322"/>
      <c r="T241" s="408">
        <f>SUMPRODUCT((Комплекты[Пр]=$F241)*(Комплекты[Обозначение]=$G241)*Комплекты[Кол-во]*(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5</v>
      </c>
      <c r="U241" s="307">
        <f>SUMPRODUCT((Комплекты[Пр]=$F241)*(Комплекты[Обозначение]=$G241)*Комплекты[Кол-во]*(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5</v>
      </c>
      <c r="V241" s="408"/>
      <c r="W241" s="322"/>
      <c r="X241" s="408">
        <f>SUMPRODUCT((Комплекты[Пр]=$F241)*(Комплекты[Обозначение]=$G241)*Комплекты[Кол-во]*(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16</v>
      </c>
      <c r="Y241" s="307">
        <f>SUMPRODUCT((Комплекты[Пр]=$F241)*(Комплекты[Обозначение]=$G241)*Комплекты[Кол-во]*(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16</v>
      </c>
      <c r="Z241" s="408"/>
      <c r="AA241" s="322"/>
      <c r="AB241" s="408">
        <f>SUMPRODUCT((Комплекты[Пр]=$F241)*(Комплекты[Обозначение]=$G241)*Комплекты[Кол-во]*(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41" s="307"/>
      <c r="AD241" s="408"/>
      <c r="AE241" s="322"/>
      <c r="AF241" s="408">
        <f>SUMPRODUCT((Комплекты[Пр]=$F241)*(Комплекты[Обозначение]=$G241)*Комплекты[Кол-во]*(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41" s="307">
        <f>SUMPRODUCT((Комплекты[Пр]=$F241)*(Комплекты[Обозначение]=$G241)*Комплекты[Кол-во]*(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41" s="408"/>
      <c r="AI241" s="322"/>
      <c r="AJ241" s="408">
        <f>SUMPRODUCT((Комплекты[Пр]=$F241)*(Комплекты[Обозначение]=$G241)*Комплекты[Кол-во]*(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5</v>
      </c>
      <c r="AK241" s="307"/>
      <c r="AL241" s="408"/>
      <c r="AM241" s="322"/>
      <c r="AN241" s="408">
        <f>SUMPRODUCT((Комплекты[Пр]=$F241)*(Комплекты[Обозначение]=$G241)*Комплекты[Кол-во]*(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</v>
      </c>
      <c r="AO241" s="307"/>
      <c r="AP241" s="408"/>
      <c r="AQ241" s="322"/>
      <c r="AR241" s="408">
        <f>SUMPRODUCT((Комплекты[Пр]=$F241)*(Комплекты[Обозначение]=$G241)*Комплекты[Кол-во]*(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5</v>
      </c>
      <c r="AS241" s="307"/>
      <c r="AT241" s="408"/>
      <c r="AU241" s="322"/>
      <c r="AV241" s="408">
        <f>SUMPRODUCT((Комплекты[Пр]=$F241)*(Комплекты[Обозначение]=$G241)*Комплекты[Кол-во]*(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5</v>
      </c>
      <c r="AW241" s="307"/>
      <c r="AX241" s="408"/>
      <c r="AY241" s="322"/>
      <c r="AZ241" s="408">
        <f>SUMPRODUCT((Комплекты[Пр]=$F241)*(Комплекты[Обозначение]=$G241)*Комплекты[Кол-во]*(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0</v>
      </c>
      <c r="BA241" s="307"/>
      <c r="BB241" s="408"/>
      <c r="BC241" s="322"/>
      <c r="BD241" s="408">
        <f>SUMPRODUCT((Комплекты[Пр]=$F241)*(Комплекты[Обозначение]=$G241)*Комплекты[Кол-во]*(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0</v>
      </c>
      <c r="BE241" s="307"/>
      <c r="BF241" s="408"/>
      <c r="BG241" s="322"/>
      <c r="BH241" s="408">
        <f>SUMPRODUCT((Комплекты[Пр]=$F241)*(Комплекты[Обозначение]=$G241)*Комплекты[Кол-во]*(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0</v>
      </c>
      <c r="BI241" s="307"/>
      <c r="BJ241" s="408"/>
      <c r="BK241" s="340"/>
      <c r="BL241" s="328">
        <f t="shared" si="76"/>
        <v>0</v>
      </c>
      <c r="BM241" s="328">
        <f t="shared" si="77"/>
        <v>0</v>
      </c>
      <c r="BN241" s="324">
        <f t="shared" si="78"/>
        <v>41</v>
      </c>
      <c r="BO241" s="325">
        <f t="shared" si="79"/>
        <v>0</v>
      </c>
      <c r="BP241" s="326">
        <f t="shared" si="80"/>
        <v>21</v>
      </c>
      <c r="BQ241" s="327">
        <f t="shared" si="81"/>
        <v>0</v>
      </c>
      <c r="BR241" s="329"/>
      <c r="BS241" s="329"/>
      <c r="BT241" s="322"/>
      <c r="BU241" s="408"/>
      <c r="BV241" s="307"/>
      <c r="BW241" s="408"/>
      <c r="BX241" s="322"/>
      <c r="BY241" s="408"/>
      <c r="BZ241" s="307"/>
      <c r="CA241" s="408"/>
      <c r="CB241" s="322"/>
      <c r="CC241" s="408"/>
      <c r="CD241" s="307"/>
      <c r="CE241" s="408"/>
      <c r="CF241" s="322"/>
      <c r="CG241" s="408"/>
      <c r="CH241" s="307"/>
      <c r="CI241" s="408"/>
      <c r="CJ241" s="322"/>
      <c r="CK241" s="408"/>
      <c r="CL241" s="307"/>
      <c r="CM241" s="408"/>
      <c r="CN241" s="322"/>
      <c r="CO241" s="408"/>
      <c r="CP241" s="307"/>
      <c r="CQ241" s="408"/>
      <c r="CR241" s="322"/>
      <c r="CS241" s="408"/>
      <c r="CT241" s="307"/>
      <c r="CU241" s="408"/>
      <c r="CV241" s="322"/>
      <c r="CW241" s="408"/>
      <c r="CX241" s="307"/>
      <c r="CY241" s="408"/>
      <c r="CZ241" s="322"/>
      <c r="DA241" s="408"/>
      <c r="DB241" s="307"/>
      <c r="DC241" s="408"/>
      <c r="DD241" s="322"/>
      <c r="DE241" s="408"/>
      <c r="DF241" s="307"/>
      <c r="DG241" s="408"/>
      <c r="DH241" s="322"/>
      <c r="DI241" s="408"/>
      <c r="DJ241" s="307"/>
      <c r="DK241" s="408"/>
      <c r="DL241" s="322"/>
      <c r="DM241" s="408"/>
      <c r="DN241" s="307"/>
      <c r="DO241" s="408"/>
      <c r="DP241" s="340"/>
      <c r="DQ241" s="328"/>
      <c r="DR241" s="328">
        <f t="shared" si="85"/>
        <v>0</v>
      </c>
      <c r="DS241" s="329"/>
      <c r="DT241" s="329"/>
      <c r="DU241" s="322"/>
      <c r="DV241" s="408"/>
      <c r="DW241" s="307"/>
      <c r="DX241" s="408"/>
      <c r="DY241" s="322"/>
      <c r="DZ241" s="408"/>
      <c r="EA241" s="307"/>
      <c r="EB241" s="408"/>
      <c r="EC241" s="322"/>
      <c r="ED241" s="408"/>
      <c r="EE241" s="307"/>
      <c r="EF241" s="408"/>
      <c r="EG241" s="322"/>
      <c r="EH241" s="408"/>
      <c r="EI241" s="307"/>
      <c r="EJ241" s="408"/>
      <c r="EK241" s="322"/>
      <c r="EL241" s="408"/>
      <c r="EM241" s="307"/>
      <c r="EN241" s="408"/>
      <c r="EO241" s="322"/>
      <c r="EP241" s="408"/>
      <c r="EQ241" s="307"/>
      <c r="ER241" s="408"/>
      <c r="ES241" s="322"/>
      <c r="ET241" s="408"/>
      <c r="EU241" s="307"/>
      <c r="EV241" s="408"/>
      <c r="EW241" s="322"/>
      <c r="EX241" s="408"/>
      <c r="EY241" s="307"/>
      <c r="EZ241" s="408"/>
      <c r="FA241" s="322"/>
      <c r="FB241" s="408"/>
      <c r="FC241" s="307"/>
      <c r="FD241" s="408"/>
      <c r="FE241" s="322"/>
      <c r="FF241" s="408"/>
      <c r="FG241" s="307"/>
      <c r="FH241" s="408"/>
      <c r="FI241" s="322"/>
      <c r="FJ241" s="408"/>
      <c r="FK241" s="307"/>
      <c r="FL241" s="408"/>
      <c r="FM241" s="322"/>
      <c r="FN241" s="408"/>
      <c r="FO241" s="307"/>
      <c r="FP241" s="408"/>
      <c r="FQ241" s="340"/>
      <c r="FR241" s="328"/>
      <c r="FS241" s="328">
        <f t="shared" si="86"/>
        <v>0</v>
      </c>
      <c r="FT241" s="361"/>
    </row>
    <row r="242" spans="1:176" outlineLevel="2">
      <c r="A242" s="413" t="s">
        <v>470</v>
      </c>
      <c r="B242" s="444" t="s">
        <v>134</v>
      </c>
      <c r="C242" s="592" t="s">
        <v>72</v>
      </c>
      <c r="D242" s="580" t="s">
        <v>32</v>
      </c>
      <c r="E242" s="414">
        <f>IF(ISBLANK(G242),"",IF($A$6:$A$330=$A242,COUNTIF($A$6:A242,$A242),""))</f>
        <v>48</v>
      </c>
      <c r="F242" s="318">
        <v>2</v>
      </c>
      <c r="G242" s="403">
        <v>4493792810</v>
      </c>
      <c r="H242" s="613" t="s">
        <v>97</v>
      </c>
      <c r="I242" s="619">
        <v>0</v>
      </c>
      <c r="J242" s="619"/>
      <c r="K242" s="321"/>
      <c r="L242" s="619"/>
      <c r="M242" s="305"/>
      <c r="N242" s="305">
        <f t="shared" si="75"/>
        <v>1</v>
      </c>
      <c r="O242" s="322"/>
      <c r="P242" s="408"/>
      <c r="Q242" s="307"/>
      <c r="R242" s="408"/>
      <c r="S242" s="322"/>
      <c r="T242" s="408">
        <f>SUMPRODUCT((Комплекты[Пр]=$F242)*(Комплекты[Обозначение]=$G242)*Комплекты[Кол-во]*(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5</v>
      </c>
      <c r="U242" s="307">
        <f>SUMPRODUCT((Комплекты[Пр]=$F242)*(Комплекты[Обозначение]=$G242)*Комплекты[Кол-во]*(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5</v>
      </c>
      <c r="V242" s="408"/>
      <c r="W242" s="322"/>
      <c r="X242" s="408">
        <f>SUMPRODUCT((Комплекты[Пр]=$F242)*(Комплекты[Обозначение]=$G242)*Комплекты[Кол-во]*(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16</v>
      </c>
      <c r="Y242" s="307">
        <f>SUMPRODUCT((Комплекты[Пр]=$F242)*(Комплекты[Обозначение]=$G242)*Комплекты[Кол-во]*(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16</v>
      </c>
      <c r="Z242" s="408"/>
      <c r="AA242" s="322"/>
      <c r="AB242" s="408">
        <f>SUMPRODUCT((Комплекты[Пр]=$F242)*(Комплекты[Обозначение]=$G242)*Комплекты[Кол-во]*(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42" s="307"/>
      <c r="AD242" s="408"/>
      <c r="AE242" s="322"/>
      <c r="AF242" s="408">
        <f>SUMPRODUCT((Комплекты[Пр]=$F242)*(Комплекты[Обозначение]=$G242)*Комплекты[Кол-во]*(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42" s="307">
        <f>SUMPRODUCT((Комплекты[Пр]=$F242)*(Комплекты[Обозначение]=$G242)*Комплекты[Кол-во]*(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42" s="408"/>
      <c r="AI242" s="322"/>
      <c r="AJ242" s="408">
        <f>SUMPRODUCT((Комплекты[Пр]=$F242)*(Комплекты[Обозначение]=$G242)*Комплекты[Кол-во]*(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5</v>
      </c>
      <c r="AK242" s="307"/>
      <c r="AL242" s="408"/>
      <c r="AM242" s="322"/>
      <c r="AN242" s="408">
        <f>SUMPRODUCT((Комплекты[Пр]=$F242)*(Комплекты[Обозначение]=$G242)*Комплекты[Кол-во]*(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</v>
      </c>
      <c r="AO242" s="307"/>
      <c r="AP242" s="408"/>
      <c r="AQ242" s="322"/>
      <c r="AR242" s="408">
        <f>SUMPRODUCT((Комплекты[Пр]=$F242)*(Комплекты[Обозначение]=$G242)*Комплекты[Кол-во]*(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5</v>
      </c>
      <c r="AS242" s="307"/>
      <c r="AT242" s="408"/>
      <c r="AU242" s="322"/>
      <c r="AV242" s="408">
        <f>SUMPRODUCT((Комплекты[Пр]=$F242)*(Комплекты[Обозначение]=$G242)*Комплекты[Кол-во]*(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5</v>
      </c>
      <c r="AW242" s="307"/>
      <c r="AX242" s="408"/>
      <c r="AY242" s="322"/>
      <c r="AZ242" s="408">
        <f>SUMPRODUCT((Комплекты[Пр]=$F242)*(Комплекты[Обозначение]=$G242)*Комплекты[Кол-во]*(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0</v>
      </c>
      <c r="BA242" s="307"/>
      <c r="BB242" s="408"/>
      <c r="BC242" s="322"/>
      <c r="BD242" s="408">
        <f>SUMPRODUCT((Комплекты[Пр]=$F242)*(Комплекты[Обозначение]=$G242)*Комплекты[Кол-во]*(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0</v>
      </c>
      <c r="BE242" s="307"/>
      <c r="BF242" s="408"/>
      <c r="BG242" s="322"/>
      <c r="BH242" s="408">
        <f>SUMPRODUCT((Комплекты[Пр]=$F242)*(Комплекты[Обозначение]=$G242)*Комплекты[Кол-во]*(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0</v>
      </c>
      <c r="BI242" s="307"/>
      <c r="BJ242" s="408"/>
      <c r="BK242" s="340"/>
      <c r="BL242" s="328">
        <f t="shared" si="76"/>
        <v>0</v>
      </c>
      <c r="BM242" s="328">
        <f t="shared" si="77"/>
        <v>0</v>
      </c>
      <c r="BN242" s="324">
        <f t="shared" si="78"/>
        <v>41</v>
      </c>
      <c r="BO242" s="325">
        <f t="shared" si="79"/>
        <v>0</v>
      </c>
      <c r="BP242" s="326">
        <f t="shared" si="80"/>
        <v>21</v>
      </c>
      <c r="BQ242" s="327">
        <f t="shared" si="81"/>
        <v>0</v>
      </c>
      <c r="BR242" s="329"/>
      <c r="BS242" s="329"/>
      <c r="BT242" s="322"/>
      <c r="BU242" s="408"/>
      <c r="BV242" s="307"/>
      <c r="BW242" s="408"/>
      <c r="BX242" s="322"/>
      <c r="BY242" s="408"/>
      <c r="BZ242" s="307"/>
      <c r="CA242" s="408"/>
      <c r="CB242" s="322"/>
      <c r="CC242" s="408"/>
      <c r="CD242" s="307"/>
      <c r="CE242" s="408"/>
      <c r="CF242" s="322"/>
      <c r="CG242" s="408"/>
      <c r="CH242" s="307"/>
      <c r="CI242" s="408"/>
      <c r="CJ242" s="322"/>
      <c r="CK242" s="408"/>
      <c r="CL242" s="307"/>
      <c r="CM242" s="408"/>
      <c r="CN242" s="322"/>
      <c r="CO242" s="408"/>
      <c r="CP242" s="307"/>
      <c r="CQ242" s="408"/>
      <c r="CR242" s="322"/>
      <c r="CS242" s="408"/>
      <c r="CT242" s="307"/>
      <c r="CU242" s="408"/>
      <c r="CV242" s="322"/>
      <c r="CW242" s="408"/>
      <c r="CX242" s="307"/>
      <c r="CY242" s="408"/>
      <c r="CZ242" s="322"/>
      <c r="DA242" s="408"/>
      <c r="DB242" s="307"/>
      <c r="DC242" s="408"/>
      <c r="DD242" s="322"/>
      <c r="DE242" s="408"/>
      <c r="DF242" s="307"/>
      <c r="DG242" s="408"/>
      <c r="DH242" s="322"/>
      <c r="DI242" s="408"/>
      <c r="DJ242" s="307"/>
      <c r="DK242" s="408"/>
      <c r="DL242" s="322"/>
      <c r="DM242" s="408"/>
      <c r="DN242" s="307"/>
      <c r="DO242" s="408"/>
      <c r="DP242" s="340"/>
      <c r="DQ242" s="328"/>
      <c r="DR242" s="328">
        <f t="shared" si="85"/>
        <v>0</v>
      </c>
      <c r="DS242" s="329"/>
      <c r="DT242" s="329"/>
      <c r="DU242" s="322"/>
      <c r="DV242" s="408"/>
      <c r="DW242" s="307"/>
      <c r="DX242" s="408"/>
      <c r="DY242" s="322"/>
      <c r="DZ242" s="408"/>
      <c r="EA242" s="307"/>
      <c r="EB242" s="408"/>
      <c r="EC242" s="322"/>
      <c r="ED242" s="408"/>
      <c r="EE242" s="307"/>
      <c r="EF242" s="408"/>
      <c r="EG242" s="322"/>
      <c r="EH242" s="408"/>
      <c r="EI242" s="307"/>
      <c r="EJ242" s="408"/>
      <c r="EK242" s="322"/>
      <c r="EL242" s="408"/>
      <c r="EM242" s="307"/>
      <c r="EN242" s="408"/>
      <c r="EO242" s="322"/>
      <c r="EP242" s="408"/>
      <c r="EQ242" s="307"/>
      <c r="ER242" s="408"/>
      <c r="ES242" s="322"/>
      <c r="ET242" s="408"/>
      <c r="EU242" s="307"/>
      <c r="EV242" s="408"/>
      <c r="EW242" s="322"/>
      <c r="EX242" s="408"/>
      <c r="EY242" s="307"/>
      <c r="EZ242" s="408"/>
      <c r="FA242" s="322"/>
      <c r="FB242" s="408"/>
      <c r="FC242" s="307"/>
      <c r="FD242" s="408"/>
      <c r="FE242" s="322"/>
      <c r="FF242" s="408"/>
      <c r="FG242" s="307"/>
      <c r="FH242" s="408"/>
      <c r="FI242" s="322"/>
      <c r="FJ242" s="408"/>
      <c r="FK242" s="307"/>
      <c r="FL242" s="408"/>
      <c r="FM242" s="322"/>
      <c r="FN242" s="408"/>
      <c r="FO242" s="307"/>
      <c r="FP242" s="408"/>
      <c r="FQ242" s="340"/>
      <c r="FR242" s="328"/>
      <c r="FS242" s="328">
        <f t="shared" si="86"/>
        <v>0</v>
      </c>
      <c r="FT242" s="361"/>
    </row>
    <row r="243" spans="1:176" outlineLevel="2">
      <c r="A243" s="56" t="s">
        <v>470</v>
      </c>
      <c r="B243" s="387" t="s">
        <v>134</v>
      </c>
      <c r="C243" s="173" t="s">
        <v>72</v>
      </c>
      <c r="D243" s="565" t="s">
        <v>32</v>
      </c>
      <c r="E243" s="10">
        <f>IF(ISBLANK(G243),"",IF($A$6:$A$330=$A243,COUNTIF($A$6:A243,$A243),""))</f>
        <v>49</v>
      </c>
      <c r="F243" s="669">
        <v>2</v>
      </c>
      <c r="G243" s="128">
        <v>4491301500</v>
      </c>
      <c r="H243" s="612" t="s">
        <v>99</v>
      </c>
      <c r="I243" s="618">
        <v>0</v>
      </c>
      <c r="J243" s="618"/>
      <c r="K243" s="126"/>
      <c r="L243" s="618" t="str">
        <f t="shared" ref="L243:L258" si="87">IF(K243="RUB",J243/ЮАНЬ,IF(K243="EUR",J243*ЕВРО/ЮАНЬ,""))</f>
        <v/>
      </c>
      <c r="M243" s="102"/>
      <c r="N243" s="305">
        <f t="shared" si="75"/>
        <v>1</v>
      </c>
      <c r="O243" s="23">
        <v>15</v>
      </c>
      <c r="P243" s="24"/>
      <c r="Q243" s="25"/>
      <c r="R243" s="24"/>
      <c r="S243" s="23">
        <v>15</v>
      </c>
      <c r="T243" s="24">
        <f>SUMPRODUCT((Комплекты[Пр]=$F243)*(Комплекты[Обозначение]=$G243)*Комплекты[Кол-во]*(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5</v>
      </c>
      <c r="U243" s="25">
        <f>SUMPRODUCT((Комплекты[Пр]=$F243)*(Комплекты[Обозначение]=$G243)*Комплекты[Кол-во]*(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5</v>
      </c>
      <c r="V243" s="24"/>
      <c r="W243" s="23">
        <v>15</v>
      </c>
      <c r="X243" s="24">
        <f>SUMPRODUCT((Комплекты[Пр]=$F243)*(Комплекты[Обозначение]=$G243)*Комплекты[Кол-во]*(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16</v>
      </c>
      <c r="Y243" s="25">
        <f>SUMPRODUCT((Комплекты[Пр]=$F243)*(Комплекты[Обозначение]=$G243)*Комплекты[Кол-во]*(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16</v>
      </c>
      <c r="Z243" s="24"/>
      <c r="AA243" s="23">
        <v>15</v>
      </c>
      <c r="AB243" s="24">
        <f>SUMPRODUCT((Комплекты[Пр]=$F243)*(Комплекты[Обозначение]=$G243)*Комплекты[Кол-во]*(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43" s="25"/>
      <c r="AD243" s="24"/>
      <c r="AE243" s="23">
        <v>15</v>
      </c>
      <c r="AF243" s="24">
        <f>SUMPRODUCT((Комплекты[Пр]=$F243)*(Комплекты[Обозначение]=$G243)*Комплекты[Кол-во]*(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43" s="25">
        <f>SUMPRODUCT((Комплекты[Пр]=$F243)*(Комплекты[Обозначение]=$G243)*Комплекты[Кол-во]*(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43" s="24"/>
      <c r="AI243" s="23">
        <v>15</v>
      </c>
      <c r="AJ243" s="24">
        <f>SUMPRODUCT((Комплекты[Пр]=$F243)*(Комплекты[Обозначение]=$G243)*Комплекты[Кол-во]*(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5</v>
      </c>
      <c r="AK243" s="25"/>
      <c r="AL243" s="24"/>
      <c r="AM243" s="23">
        <v>15</v>
      </c>
      <c r="AN243" s="24">
        <f>SUMPRODUCT((Комплекты[Пр]=$F243)*(Комплекты[Обозначение]=$G243)*Комплекты[Кол-во]*(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</v>
      </c>
      <c r="AO243" s="25"/>
      <c r="AP243" s="24"/>
      <c r="AQ243" s="23">
        <v>15</v>
      </c>
      <c r="AR243" s="24">
        <f>SUMPRODUCT((Комплекты[Пр]=$F243)*(Комплекты[Обозначение]=$G243)*Комплекты[Кол-во]*(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5</v>
      </c>
      <c r="AS243" s="25"/>
      <c r="AT243" s="24"/>
      <c r="AU243" s="23">
        <v>15</v>
      </c>
      <c r="AV243" s="24">
        <f>SUMPRODUCT((Комплекты[Пр]=$F243)*(Комплекты[Обозначение]=$G243)*Комплекты[Кол-во]*(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5</v>
      </c>
      <c r="AW243" s="25"/>
      <c r="AX243" s="24"/>
      <c r="AY243" s="23">
        <v>15</v>
      </c>
      <c r="AZ243" s="24">
        <f>SUMPRODUCT((Комплекты[Пр]=$F243)*(Комплекты[Обозначение]=$G243)*Комплекты[Кол-во]*(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15</v>
      </c>
      <c r="BA243" s="25"/>
      <c r="BB243" s="24"/>
      <c r="BC243" s="23">
        <v>15</v>
      </c>
      <c r="BD243" s="24">
        <f>SUMPRODUCT((Комплекты[Пр]=$F243)*(Комплекты[Обозначение]=$G243)*Комплекты[Кол-во]*(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15</v>
      </c>
      <c r="BE243" s="25"/>
      <c r="BF243" s="24"/>
      <c r="BG243" s="23">
        <v>15</v>
      </c>
      <c r="BH243" s="24">
        <f>SUMPRODUCT((Комплекты[Пр]=$F243)*(Комплекты[Обозначение]=$G243)*Комплекты[Кол-во]*(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15</v>
      </c>
      <c r="BI243" s="25"/>
      <c r="BJ243" s="24"/>
      <c r="BK243" s="340"/>
      <c r="BL243" s="32">
        <f t="shared" si="76"/>
        <v>180</v>
      </c>
      <c r="BM243" s="32">
        <f t="shared" si="77"/>
        <v>0</v>
      </c>
      <c r="BN243" s="28">
        <f t="shared" si="78"/>
        <v>86</v>
      </c>
      <c r="BO243" s="29">
        <f t="shared" si="79"/>
        <v>0</v>
      </c>
      <c r="BP243" s="30">
        <f t="shared" si="80"/>
        <v>21</v>
      </c>
      <c r="BQ243" s="31">
        <f t="shared" si="81"/>
        <v>0</v>
      </c>
      <c r="BR243" s="11"/>
      <c r="BS243" s="329"/>
      <c r="BT243" s="23">
        <v>20</v>
      </c>
      <c r="BU243" s="24"/>
      <c r="BV243" s="25"/>
      <c r="BW243" s="24"/>
      <c r="BX243" s="23">
        <v>20</v>
      </c>
      <c r="BY243" s="24"/>
      <c r="BZ243" s="25"/>
      <c r="CA243" s="24"/>
      <c r="CB243" s="23">
        <v>20</v>
      </c>
      <c r="CC243" s="24"/>
      <c r="CD243" s="25"/>
      <c r="CE243" s="24"/>
      <c r="CF243" s="23">
        <v>20</v>
      </c>
      <c r="CG243" s="24"/>
      <c r="CH243" s="25"/>
      <c r="CI243" s="24"/>
      <c r="CJ243" s="23">
        <v>20</v>
      </c>
      <c r="CK243" s="24"/>
      <c r="CL243" s="25"/>
      <c r="CM243" s="24"/>
      <c r="CN243" s="23">
        <v>20</v>
      </c>
      <c r="CO243" s="24"/>
      <c r="CP243" s="25"/>
      <c r="CQ243" s="24"/>
      <c r="CR243" s="23">
        <v>20</v>
      </c>
      <c r="CS243" s="24"/>
      <c r="CT243" s="25"/>
      <c r="CU243" s="24"/>
      <c r="CV243" s="23">
        <v>20</v>
      </c>
      <c r="CW243" s="24"/>
      <c r="CX243" s="25"/>
      <c r="CY243" s="24"/>
      <c r="CZ243" s="23">
        <v>20</v>
      </c>
      <c r="DA243" s="24"/>
      <c r="DB243" s="25"/>
      <c r="DC243" s="24"/>
      <c r="DD243" s="23">
        <v>20</v>
      </c>
      <c r="DE243" s="24"/>
      <c r="DF243" s="25"/>
      <c r="DG243" s="24"/>
      <c r="DH243" s="23">
        <v>20</v>
      </c>
      <c r="DI243" s="24"/>
      <c r="DJ243" s="25"/>
      <c r="DK243" s="24"/>
      <c r="DL243" s="23">
        <v>20</v>
      </c>
      <c r="DM243" s="24"/>
      <c r="DN243" s="25"/>
      <c r="DO243" s="24"/>
      <c r="DP243" s="340"/>
      <c r="DQ243" s="32">
        <f t="shared" ref="DQ243:DQ258" si="88">SUMPRODUCT(--(MOD(COLUMN(BT243:CQ243),4)=MOD(COLUMN(BT243),4)),BT243:CQ243)+SUMPRODUCT(--(MOD(COLUMN(CR243:DO243),4)=MOD(COLUMN(CR243),4)),CR243:DO243)</f>
        <v>240</v>
      </c>
      <c r="DR243" s="32">
        <f t="shared" si="85"/>
        <v>0</v>
      </c>
      <c r="DS243" s="11"/>
      <c r="DT243" s="329"/>
      <c r="DU243" s="23">
        <v>20</v>
      </c>
      <c r="DV243" s="24"/>
      <c r="DW243" s="25"/>
      <c r="DX243" s="24"/>
      <c r="DY243" s="23">
        <v>20</v>
      </c>
      <c r="DZ243" s="24"/>
      <c r="EA243" s="25"/>
      <c r="EB243" s="24"/>
      <c r="EC243" s="23">
        <v>20</v>
      </c>
      <c r="ED243" s="24"/>
      <c r="EE243" s="25"/>
      <c r="EF243" s="24"/>
      <c r="EG243" s="23">
        <v>20</v>
      </c>
      <c r="EH243" s="24"/>
      <c r="EI243" s="25"/>
      <c r="EJ243" s="24"/>
      <c r="EK243" s="23">
        <v>20</v>
      </c>
      <c r="EL243" s="24"/>
      <c r="EM243" s="25"/>
      <c r="EN243" s="24"/>
      <c r="EO243" s="23">
        <v>20</v>
      </c>
      <c r="EP243" s="24"/>
      <c r="EQ243" s="25"/>
      <c r="ER243" s="24"/>
      <c r="ES243" s="23">
        <v>20</v>
      </c>
      <c r="ET243" s="24"/>
      <c r="EU243" s="25"/>
      <c r="EV243" s="24"/>
      <c r="EW243" s="23">
        <v>20</v>
      </c>
      <c r="EX243" s="24"/>
      <c r="EY243" s="25"/>
      <c r="EZ243" s="24"/>
      <c r="FA243" s="23">
        <v>20</v>
      </c>
      <c r="FB243" s="24"/>
      <c r="FC243" s="25"/>
      <c r="FD243" s="24"/>
      <c r="FE243" s="23">
        <v>20</v>
      </c>
      <c r="FF243" s="24"/>
      <c r="FG243" s="25"/>
      <c r="FH243" s="24"/>
      <c r="FI243" s="23">
        <v>20</v>
      </c>
      <c r="FJ243" s="24"/>
      <c r="FK243" s="25"/>
      <c r="FL243" s="24"/>
      <c r="FM243" s="23">
        <v>20</v>
      </c>
      <c r="FN243" s="24"/>
      <c r="FO243" s="25"/>
      <c r="FP243" s="24"/>
      <c r="FQ243" s="340"/>
      <c r="FR243" s="32">
        <f t="shared" ref="FR243:FR258" si="89">SUMPRODUCT(--(MOD(COLUMN(DU243:ER243),4)=MOD(COLUMN(DU243),4)),DU243:ER243)+SUMPRODUCT(--(MOD(COLUMN(ES243:FP243),4)=MOD(COLUMN(ES243),4)),ES243:FP243)</f>
        <v>240</v>
      </c>
      <c r="FS243" s="32">
        <f t="shared" si="86"/>
        <v>0</v>
      </c>
      <c r="FT243" s="361"/>
    </row>
    <row r="244" spans="1:176" outlineLevel="2">
      <c r="A244" s="56" t="s">
        <v>470</v>
      </c>
      <c r="B244" s="387" t="s">
        <v>134</v>
      </c>
      <c r="C244" s="173" t="s">
        <v>72</v>
      </c>
      <c r="D244" s="565" t="s">
        <v>32</v>
      </c>
      <c r="E244" s="10">
        <f>IF(ISBLANK(G244),"",IF($A$6:$A$330=$A244,COUNTIF($A$6:A244,$A244),""))</f>
        <v>50</v>
      </c>
      <c r="F244" s="669">
        <v>2</v>
      </c>
      <c r="G244" s="128">
        <v>4497490300</v>
      </c>
      <c r="H244" s="612" t="s">
        <v>100</v>
      </c>
      <c r="I244" s="618">
        <v>0</v>
      </c>
      <c r="J244" s="618"/>
      <c r="K244" s="126"/>
      <c r="L244" s="618" t="str">
        <f t="shared" si="87"/>
        <v/>
      </c>
      <c r="M244" s="102"/>
      <c r="N244" s="305">
        <f t="shared" si="75"/>
        <v>1</v>
      </c>
      <c r="O244" s="23">
        <v>40</v>
      </c>
      <c r="P244" s="24"/>
      <c r="Q244" s="25"/>
      <c r="R244" s="24"/>
      <c r="S244" s="23">
        <v>40</v>
      </c>
      <c r="T244" s="24">
        <f>SUMPRODUCT((Комплекты[Пр]=$F244)*(Комплекты[Обозначение]=$G244)*Комплекты[Кол-во]*(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10</v>
      </c>
      <c r="U244" s="25">
        <f>SUMPRODUCT((Комплекты[Пр]=$F244)*(Комплекты[Обозначение]=$G244)*Комплекты[Кол-во]*(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10</v>
      </c>
      <c r="V244" s="24"/>
      <c r="W244" s="23">
        <v>40</v>
      </c>
      <c r="X244" s="24">
        <f>SUMPRODUCT((Комплекты[Пр]=$F244)*(Комплекты[Обозначение]=$G244)*Комплекты[Кол-во]*(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32</v>
      </c>
      <c r="Y244" s="25">
        <f>SUMPRODUCT((Комплекты[Пр]=$F244)*(Комплекты[Обозначение]=$G244)*Комплекты[Кол-во]*(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32</v>
      </c>
      <c r="Z244" s="24"/>
      <c r="AA244" s="23">
        <v>40</v>
      </c>
      <c r="AB244" s="24">
        <f>SUMPRODUCT((Комплекты[Пр]=$F244)*(Комплекты[Обозначение]=$G244)*Комплекты[Кол-во]*(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44" s="25"/>
      <c r="AD244" s="24"/>
      <c r="AE244" s="23">
        <v>40</v>
      </c>
      <c r="AF244" s="24">
        <f>SUMPRODUCT((Комплекты[Пр]=$F244)*(Комплекты[Обозначение]=$G244)*Комплекты[Кол-во]*(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44" s="25">
        <f>SUMPRODUCT((Комплекты[Пр]=$F244)*(Комплекты[Обозначение]=$G244)*Комплекты[Кол-во]*(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44" s="24"/>
      <c r="AI244" s="23">
        <v>40</v>
      </c>
      <c r="AJ244" s="24">
        <f>SUMPRODUCT((Комплекты[Пр]=$F244)*(Комплекты[Обозначение]=$G244)*Комплекты[Кол-во]*(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20</v>
      </c>
      <c r="AK244" s="25"/>
      <c r="AL244" s="24"/>
      <c r="AM244" s="23">
        <v>40</v>
      </c>
      <c r="AN244" s="24">
        <f>SUMPRODUCT((Комплекты[Пр]=$F244)*(Комплекты[Обозначение]=$G244)*Комплекты[Кол-во]*(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20</v>
      </c>
      <c r="AO244" s="25"/>
      <c r="AP244" s="24"/>
      <c r="AQ244" s="23">
        <v>40</v>
      </c>
      <c r="AR244" s="24">
        <f>SUMPRODUCT((Комплекты[Пр]=$F244)*(Комплекты[Обозначение]=$G244)*Комплекты[Кол-во]*(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20</v>
      </c>
      <c r="AS244" s="25"/>
      <c r="AT244" s="24"/>
      <c r="AU244" s="23">
        <v>40</v>
      </c>
      <c r="AV244" s="24">
        <f>SUMPRODUCT((Комплекты[Пр]=$F244)*(Комплекты[Обозначение]=$G244)*Комплекты[Кол-во]*(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20</v>
      </c>
      <c r="AW244" s="25"/>
      <c r="AX244" s="24"/>
      <c r="AY244" s="23">
        <v>40</v>
      </c>
      <c r="AZ244" s="24">
        <f>SUMPRODUCT((Комплекты[Пр]=$F244)*(Комплекты[Обозначение]=$G244)*Комплекты[Кол-во]*(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40</v>
      </c>
      <c r="BA244" s="25"/>
      <c r="BB244" s="24"/>
      <c r="BC244" s="23">
        <v>40</v>
      </c>
      <c r="BD244" s="24">
        <f>SUMPRODUCT((Комплекты[Пр]=$F244)*(Комплекты[Обозначение]=$G244)*Комплекты[Кол-во]*(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40</v>
      </c>
      <c r="BE244" s="25"/>
      <c r="BF244" s="24"/>
      <c r="BG244" s="23">
        <v>40</v>
      </c>
      <c r="BH244" s="24">
        <f>SUMPRODUCT((Комплекты[Пр]=$F244)*(Комплекты[Обозначение]=$G244)*Комплекты[Кол-во]*(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40</v>
      </c>
      <c r="BI244" s="25"/>
      <c r="BJ244" s="24"/>
      <c r="BK244" s="340"/>
      <c r="BL244" s="32">
        <f t="shared" si="76"/>
        <v>480</v>
      </c>
      <c r="BM244" s="32">
        <f t="shared" si="77"/>
        <v>0</v>
      </c>
      <c r="BN244" s="28">
        <f t="shared" si="78"/>
        <v>242</v>
      </c>
      <c r="BO244" s="29">
        <f t="shared" si="79"/>
        <v>0</v>
      </c>
      <c r="BP244" s="30">
        <f t="shared" si="80"/>
        <v>42</v>
      </c>
      <c r="BQ244" s="31">
        <f t="shared" si="81"/>
        <v>0</v>
      </c>
      <c r="BR244" s="11"/>
      <c r="BS244" s="329"/>
      <c r="BT244" s="23">
        <v>60</v>
      </c>
      <c r="BU244" s="24"/>
      <c r="BV244" s="25"/>
      <c r="BW244" s="24"/>
      <c r="BX244" s="23">
        <v>60</v>
      </c>
      <c r="BY244" s="24"/>
      <c r="BZ244" s="25"/>
      <c r="CA244" s="24"/>
      <c r="CB244" s="23">
        <v>60</v>
      </c>
      <c r="CC244" s="24"/>
      <c r="CD244" s="25"/>
      <c r="CE244" s="24"/>
      <c r="CF244" s="23">
        <v>60</v>
      </c>
      <c r="CG244" s="24"/>
      <c r="CH244" s="25"/>
      <c r="CI244" s="24"/>
      <c r="CJ244" s="23">
        <v>60</v>
      </c>
      <c r="CK244" s="24"/>
      <c r="CL244" s="25"/>
      <c r="CM244" s="24"/>
      <c r="CN244" s="23">
        <v>60</v>
      </c>
      <c r="CO244" s="24"/>
      <c r="CP244" s="25"/>
      <c r="CQ244" s="24"/>
      <c r="CR244" s="23">
        <v>60</v>
      </c>
      <c r="CS244" s="24"/>
      <c r="CT244" s="25"/>
      <c r="CU244" s="24"/>
      <c r="CV244" s="23">
        <v>60</v>
      </c>
      <c r="CW244" s="24"/>
      <c r="CX244" s="25"/>
      <c r="CY244" s="24"/>
      <c r="CZ244" s="23">
        <v>60</v>
      </c>
      <c r="DA244" s="24"/>
      <c r="DB244" s="25"/>
      <c r="DC244" s="24"/>
      <c r="DD244" s="23">
        <v>60</v>
      </c>
      <c r="DE244" s="24"/>
      <c r="DF244" s="25"/>
      <c r="DG244" s="24"/>
      <c r="DH244" s="23">
        <v>60</v>
      </c>
      <c r="DI244" s="24"/>
      <c r="DJ244" s="25"/>
      <c r="DK244" s="24"/>
      <c r="DL244" s="23">
        <v>60</v>
      </c>
      <c r="DM244" s="24"/>
      <c r="DN244" s="25"/>
      <c r="DO244" s="24"/>
      <c r="DP244" s="340"/>
      <c r="DQ244" s="32">
        <f t="shared" si="88"/>
        <v>720</v>
      </c>
      <c r="DR244" s="32">
        <f t="shared" si="85"/>
        <v>0</v>
      </c>
      <c r="DS244" s="11"/>
      <c r="DT244" s="329"/>
      <c r="DU244" s="23">
        <v>60</v>
      </c>
      <c r="DV244" s="24"/>
      <c r="DW244" s="25"/>
      <c r="DX244" s="24"/>
      <c r="DY244" s="23">
        <v>60</v>
      </c>
      <c r="DZ244" s="24"/>
      <c r="EA244" s="25"/>
      <c r="EB244" s="24"/>
      <c r="EC244" s="23">
        <v>60</v>
      </c>
      <c r="ED244" s="24"/>
      <c r="EE244" s="25"/>
      <c r="EF244" s="24"/>
      <c r="EG244" s="23">
        <v>60</v>
      </c>
      <c r="EH244" s="24"/>
      <c r="EI244" s="25"/>
      <c r="EJ244" s="24"/>
      <c r="EK244" s="23">
        <v>60</v>
      </c>
      <c r="EL244" s="24"/>
      <c r="EM244" s="25"/>
      <c r="EN244" s="24"/>
      <c r="EO244" s="23">
        <v>60</v>
      </c>
      <c r="EP244" s="24"/>
      <c r="EQ244" s="25"/>
      <c r="ER244" s="24"/>
      <c r="ES244" s="23">
        <v>60</v>
      </c>
      <c r="ET244" s="24"/>
      <c r="EU244" s="25"/>
      <c r="EV244" s="24"/>
      <c r="EW244" s="23">
        <v>60</v>
      </c>
      <c r="EX244" s="24"/>
      <c r="EY244" s="25"/>
      <c r="EZ244" s="24"/>
      <c r="FA244" s="23">
        <v>60</v>
      </c>
      <c r="FB244" s="24"/>
      <c r="FC244" s="25"/>
      <c r="FD244" s="24"/>
      <c r="FE244" s="23">
        <v>60</v>
      </c>
      <c r="FF244" s="24"/>
      <c r="FG244" s="25"/>
      <c r="FH244" s="24"/>
      <c r="FI244" s="23">
        <v>60</v>
      </c>
      <c r="FJ244" s="24"/>
      <c r="FK244" s="25"/>
      <c r="FL244" s="24"/>
      <c r="FM244" s="23">
        <v>60</v>
      </c>
      <c r="FN244" s="24"/>
      <c r="FO244" s="25"/>
      <c r="FP244" s="24"/>
      <c r="FQ244" s="340"/>
      <c r="FR244" s="32">
        <f t="shared" si="89"/>
        <v>720</v>
      </c>
      <c r="FS244" s="32">
        <f t="shared" si="86"/>
        <v>0</v>
      </c>
      <c r="FT244" s="361"/>
    </row>
    <row r="245" spans="1:176" outlineLevel="2">
      <c r="A245" s="56" t="s">
        <v>470</v>
      </c>
      <c r="B245" s="387" t="s">
        <v>134</v>
      </c>
      <c r="C245" s="173" t="s">
        <v>72</v>
      </c>
      <c r="D245" s="565" t="s">
        <v>32</v>
      </c>
      <c r="E245" s="10">
        <f>IF(ISBLANK(G245),"",IF($A$6:$A$330=$A245,COUNTIF($A$6:A245,$A245),""))</f>
        <v>51</v>
      </c>
      <c r="F245" s="669">
        <v>2</v>
      </c>
      <c r="G245" s="128">
        <v>9522010010</v>
      </c>
      <c r="H245" s="612" t="s">
        <v>73</v>
      </c>
      <c r="I245" s="618">
        <v>0</v>
      </c>
      <c r="J245" s="618"/>
      <c r="K245" s="126"/>
      <c r="L245" s="618" t="str">
        <f t="shared" si="87"/>
        <v/>
      </c>
      <c r="M245" s="102"/>
      <c r="N245" s="305">
        <f t="shared" si="75"/>
        <v>1</v>
      </c>
      <c r="O245" s="23">
        <v>15</v>
      </c>
      <c r="P245" s="24"/>
      <c r="Q245" s="25"/>
      <c r="R245" s="24"/>
      <c r="S245" s="23">
        <v>15</v>
      </c>
      <c r="T245" s="24">
        <f>SUMPRODUCT((Комплекты[Пр]=$F245)*(Комплекты[Обозначение]=$G245)*Комплекты[Кол-во]*(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5</v>
      </c>
      <c r="U245" s="25">
        <f>SUMPRODUCT((Комплекты[Пр]=$F245)*(Комплекты[Обозначение]=$G245)*Комплекты[Кол-во]*(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5</v>
      </c>
      <c r="V245" s="24"/>
      <c r="W245" s="23">
        <v>15</v>
      </c>
      <c r="X245" s="24">
        <f>SUMPRODUCT((Комплекты[Пр]=$F245)*(Комплекты[Обозначение]=$G245)*Комплекты[Кол-во]*(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16</v>
      </c>
      <c r="Y245" s="25">
        <f>SUMPRODUCT((Комплекты[Пр]=$F245)*(Комплекты[Обозначение]=$G245)*Комплекты[Кол-во]*(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16</v>
      </c>
      <c r="Z245" s="24"/>
      <c r="AA245" s="23">
        <v>15</v>
      </c>
      <c r="AB245" s="24">
        <f>SUMPRODUCT((Комплекты[Пр]=$F245)*(Комплекты[Обозначение]=$G245)*Комплекты[Кол-во]*(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45" s="25"/>
      <c r="AD245" s="24"/>
      <c r="AE245" s="23">
        <v>15</v>
      </c>
      <c r="AF245" s="24">
        <f>SUMPRODUCT((Комплекты[Пр]=$F245)*(Комплекты[Обозначение]=$G245)*Комплекты[Кол-во]*(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45" s="25">
        <f>SUMPRODUCT((Комплекты[Пр]=$F245)*(Комплекты[Обозначение]=$G245)*Комплекты[Кол-во]*(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45" s="24"/>
      <c r="AI245" s="23">
        <v>15</v>
      </c>
      <c r="AJ245" s="24">
        <f>SUMPRODUCT((Комплекты[Пр]=$F245)*(Комплекты[Обозначение]=$G245)*Комплекты[Кол-во]*(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5</v>
      </c>
      <c r="AK245" s="25"/>
      <c r="AL245" s="24"/>
      <c r="AM245" s="23">
        <v>15</v>
      </c>
      <c r="AN245" s="24">
        <f>SUMPRODUCT((Комплекты[Пр]=$F245)*(Комплекты[Обозначение]=$G245)*Комплекты[Кол-во]*(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</v>
      </c>
      <c r="AO245" s="25"/>
      <c r="AP245" s="24"/>
      <c r="AQ245" s="23">
        <v>15</v>
      </c>
      <c r="AR245" s="24">
        <f>SUMPRODUCT((Комплекты[Пр]=$F245)*(Комплекты[Обозначение]=$G245)*Комплекты[Кол-во]*(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5</v>
      </c>
      <c r="AS245" s="25"/>
      <c r="AT245" s="24"/>
      <c r="AU245" s="23">
        <v>15</v>
      </c>
      <c r="AV245" s="24">
        <f>SUMPRODUCT((Комплекты[Пр]=$F245)*(Комплекты[Обозначение]=$G245)*Комплекты[Кол-во]*(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5</v>
      </c>
      <c r="AW245" s="25"/>
      <c r="AX245" s="24"/>
      <c r="AY245" s="23">
        <v>15</v>
      </c>
      <c r="AZ245" s="24">
        <f>SUMPRODUCT((Комплекты[Пр]=$F245)*(Комплекты[Обозначение]=$G245)*Комплекты[Кол-во]*(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15</v>
      </c>
      <c r="BA245" s="25"/>
      <c r="BB245" s="24"/>
      <c r="BC245" s="23">
        <v>15</v>
      </c>
      <c r="BD245" s="24">
        <f>SUMPRODUCT((Комплекты[Пр]=$F245)*(Комплекты[Обозначение]=$G245)*Комплекты[Кол-во]*(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15</v>
      </c>
      <c r="BE245" s="25"/>
      <c r="BF245" s="24"/>
      <c r="BG245" s="23">
        <v>15</v>
      </c>
      <c r="BH245" s="24">
        <f>SUMPRODUCT((Комплекты[Пр]=$F245)*(Комплекты[Обозначение]=$G245)*Комплекты[Кол-во]*(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15</v>
      </c>
      <c r="BI245" s="25"/>
      <c r="BJ245" s="24"/>
      <c r="BK245" s="340"/>
      <c r="BL245" s="32">
        <f t="shared" si="76"/>
        <v>180</v>
      </c>
      <c r="BM245" s="32">
        <f t="shared" si="77"/>
        <v>0</v>
      </c>
      <c r="BN245" s="28">
        <f t="shared" si="78"/>
        <v>86</v>
      </c>
      <c r="BO245" s="29">
        <f t="shared" si="79"/>
        <v>0</v>
      </c>
      <c r="BP245" s="30">
        <f t="shared" si="80"/>
        <v>21</v>
      </c>
      <c r="BQ245" s="31">
        <f t="shared" si="81"/>
        <v>0</v>
      </c>
      <c r="BR245" s="11"/>
      <c r="BS245" s="329"/>
      <c r="BT245" s="23">
        <v>20</v>
      </c>
      <c r="BU245" s="24"/>
      <c r="BV245" s="25"/>
      <c r="BW245" s="24"/>
      <c r="BX245" s="23">
        <v>20</v>
      </c>
      <c r="BY245" s="24"/>
      <c r="BZ245" s="25"/>
      <c r="CA245" s="24"/>
      <c r="CB245" s="23">
        <v>20</v>
      </c>
      <c r="CC245" s="24"/>
      <c r="CD245" s="25"/>
      <c r="CE245" s="24"/>
      <c r="CF245" s="23">
        <v>20</v>
      </c>
      <c r="CG245" s="24"/>
      <c r="CH245" s="25"/>
      <c r="CI245" s="24"/>
      <c r="CJ245" s="23">
        <v>20</v>
      </c>
      <c r="CK245" s="24"/>
      <c r="CL245" s="25"/>
      <c r="CM245" s="24"/>
      <c r="CN245" s="23">
        <v>20</v>
      </c>
      <c r="CO245" s="24"/>
      <c r="CP245" s="25"/>
      <c r="CQ245" s="24"/>
      <c r="CR245" s="23">
        <v>20</v>
      </c>
      <c r="CS245" s="24"/>
      <c r="CT245" s="25"/>
      <c r="CU245" s="24"/>
      <c r="CV245" s="23">
        <v>20</v>
      </c>
      <c r="CW245" s="24"/>
      <c r="CX245" s="25"/>
      <c r="CY245" s="24"/>
      <c r="CZ245" s="23">
        <v>20</v>
      </c>
      <c r="DA245" s="24"/>
      <c r="DB245" s="25"/>
      <c r="DC245" s="24"/>
      <c r="DD245" s="23">
        <v>20</v>
      </c>
      <c r="DE245" s="24"/>
      <c r="DF245" s="25"/>
      <c r="DG245" s="24"/>
      <c r="DH245" s="23">
        <v>20</v>
      </c>
      <c r="DI245" s="24"/>
      <c r="DJ245" s="25"/>
      <c r="DK245" s="24"/>
      <c r="DL245" s="23">
        <v>20</v>
      </c>
      <c r="DM245" s="24"/>
      <c r="DN245" s="25"/>
      <c r="DO245" s="24"/>
      <c r="DP245" s="340"/>
      <c r="DQ245" s="32">
        <f t="shared" si="88"/>
        <v>240</v>
      </c>
      <c r="DR245" s="32">
        <f t="shared" si="85"/>
        <v>0</v>
      </c>
      <c r="DS245" s="11"/>
      <c r="DT245" s="329"/>
      <c r="DU245" s="23">
        <v>20</v>
      </c>
      <c r="DV245" s="24"/>
      <c r="DW245" s="25"/>
      <c r="DX245" s="24"/>
      <c r="DY245" s="23">
        <v>20</v>
      </c>
      <c r="DZ245" s="24"/>
      <c r="EA245" s="25"/>
      <c r="EB245" s="24"/>
      <c r="EC245" s="23">
        <v>20</v>
      </c>
      <c r="ED245" s="24"/>
      <c r="EE245" s="25"/>
      <c r="EF245" s="24"/>
      <c r="EG245" s="23">
        <v>20</v>
      </c>
      <c r="EH245" s="24"/>
      <c r="EI245" s="25"/>
      <c r="EJ245" s="24"/>
      <c r="EK245" s="23">
        <v>20</v>
      </c>
      <c r="EL245" s="24"/>
      <c r="EM245" s="25"/>
      <c r="EN245" s="24"/>
      <c r="EO245" s="23">
        <v>20</v>
      </c>
      <c r="EP245" s="24"/>
      <c r="EQ245" s="25"/>
      <c r="ER245" s="24"/>
      <c r="ES245" s="23">
        <v>20</v>
      </c>
      <c r="ET245" s="24"/>
      <c r="EU245" s="25"/>
      <c r="EV245" s="24"/>
      <c r="EW245" s="23">
        <v>20</v>
      </c>
      <c r="EX245" s="24"/>
      <c r="EY245" s="25"/>
      <c r="EZ245" s="24"/>
      <c r="FA245" s="23">
        <v>20</v>
      </c>
      <c r="FB245" s="24"/>
      <c r="FC245" s="25"/>
      <c r="FD245" s="24"/>
      <c r="FE245" s="23">
        <v>20</v>
      </c>
      <c r="FF245" s="24"/>
      <c r="FG245" s="25"/>
      <c r="FH245" s="24"/>
      <c r="FI245" s="23">
        <v>20</v>
      </c>
      <c r="FJ245" s="24"/>
      <c r="FK245" s="25"/>
      <c r="FL245" s="24"/>
      <c r="FM245" s="23">
        <v>20</v>
      </c>
      <c r="FN245" s="24"/>
      <c r="FO245" s="25"/>
      <c r="FP245" s="24"/>
      <c r="FQ245" s="340"/>
      <c r="FR245" s="32">
        <f t="shared" si="89"/>
        <v>240</v>
      </c>
      <c r="FS245" s="32">
        <f t="shared" si="86"/>
        <v>0</v>
      </c>
      <c r="FT245" s="361"/>
    </row>
    <row r="246" spans="1:176" outlineLevel="2">
      <c r="A246" s="56" t="s">
        <v>470</v>
      </c>
      <c r="B246" s="387" t="s">
        <v>134</v>
      </c>
      <c r="C246" s="173" t="s">
        <v>72</v>
      </c>
      <c r="D246" s="565" t="s">
        <v>32</v>
      </c>
      <c r="E246" s="10">
        <f>IF(ISBLANK(G246),"",IF($A$6:$A$330=$A246,COUNTIF($A$6:A246,$A246),""))</f>
        <v>52</v>
      </c>
      <c r="F246" s="669">
        <v>2</v>
      </c>
      <c r="G246" s="128">
        <v>9522010020</v>
      </c>
      <c r="H246" s="612" t="s">
        <v>74</v>
      </c>
      <c r="I246" s="618">
        <v>0</v>
      </c>
      <c r="J246" s="618"/>
      <c r="K246" s="126"/>
      <c r="L246" s="618" t="str">
        <f t="shared" si="87"/>
        <v/>
      </c>
      <c r="M246" s="102"/>
      <c r="N246" s="305">
        <f t="shared" si="75"/>
        <v>1</v>
      </c>
      <c r="O246" s="23">
        <v>15</v>
      </c>
      <c r="P246" s="24"/>
      <c r="Q246" s="25"/>
      <c r="R246" s="24"/>
      <c r="S246" s="23">
        <v>15</v>
      </c>
      <c r="T246" s="24">
        <f>SUMPRODUCT((Комплекты[Пр]=$F246)*(Комплекты[Обозначение]=$G246)*Комплекты[Кол-во]*(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5</v>
      </c>
      <c r="U246" s="25">
        <f>SUMPRODUCT((Комплекты[Пр]=$F246)*(Комплекты[Обозначение]=$G246)*Комплекты[Кол-во]*(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5</v>
      </c>
      <c r="V246" s="24"/>
      <c r="W246" s="23">
        <v>15</v>
      </c>
      <c r="X246" s="24">
        <f>SUMPRODUCT((Комплекты[Пр]=$F246)*(Комплекты[Обозначение]=$G246)*Комплекты[Кол-во]*(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16</v>
      </c>
      <c r="Y246" s="25">
        <f>SUMPRODUCT((Комплекты[Пр]=$F246)*(Комплекты[Обозначение]=$G246)*Комплекты[Кол-во]*(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16</v>
      </c>
      <c r="Z246" s="24"/>
      <c r="AA246" s="23">
        <v>15</v>
      </c>
      <c r="AB246" s="24">
        <f>SUMPRODUCT((Комплекты[Пр]=$F246)*(Комплекты[Обозначение]=$G246)*Комплекты[Кол-во]*(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46" s="25"/>
      <c r="AD246" s="24"/>
      <c r="AE246" s="23">
        <v>15</v>
      </c>
      <c r="AF246" s="24">
        <f>SUMPRODUCT((Комплекты[Пр]=$F246)*(Комплекты[Обозначение]=$G246)*Комплекты[Кол-во]*(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46" s="25">
        <f>SUMPRODUCT((Комплекты[Пр]=$F246)*(Комплекты[Обозначение]=$G246)*Комплекты[Кол-во]*(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46" s="24"/>
      <c r="AI246" s="23">
        <v>15</v>
      </c>
      <c r="AJ246" s="24">
        <f>SUMPRODUCT((Комплекты[Пр]=$F246)*(Комплекты[Обозначение]=$G246)*Комплекты[Кол-во]*(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5</v>
      </c>
      <c r="AK246" s="25"/>
      <c r="AL246" s="24"/>
      <c r="AM246" s="23">
        <v>15</v>
      </c>
      <c r="AN246" s="24">
        <f>SUMPRODUCT((Комплекты[Пр]=$F246)*(Комплекты[Обозначение]=$G246)*Комплекты[Кол-во]*(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</v>
      </c>
      <c r="AO246" s="25"/>
      <c r="AP246" s="24"/>
      <c r="AQ246" s="23">
        <v>15</v>
      </c>
      <c r="AR246" s="24">
        <f>SUMPRODUCT((Комплекты[Пр]=$F246)*(Комплекты[Обозначение]=$G246)*Комплекты[Кол-во]*(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5</v>
      </c>
      <c r="AS246" s="25"/>
      <c r="AT246" s="24"/>
      <c r="AU246" s="23">
        <v>15</v>
      </c>
      <c r="AV246" s="24">
        <f>SUMPRODUCT((Комплекты[Пр]=$F246)*(Комплекты[Обозначение]=$G246)*Комплекты[Кол-во]*(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5</v>
      </c>
      <c r="AW246" s="25"/>
      <c r="AX246" s="24"/>
      <c r="AY246" s="23">
        <v>15</v>
      </c>
      <c r="AZ246" s="24">
        <f>SUMPRODUCT((Комплекты[Пр]=$F246)*(Комплекты[Обозначение]=$G246)*Комплекты[Кол-во]*(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15</v>
      </c>
      <c r="BA246" s="25"/>
      <c r="BB246" s="24"/>
      <c r="BC246" s="23">
        <v>15</v>
      </c>
      <c r="BD246" s="24">
        <f>SUMPRODUCT((Комплекты[Пр]=$F246)*(Комплекты[Обозначение]=$G246)*Комплекты[Кол-во]*(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15</v>
      </c>
      <c r="BE246" s="25"/>
      <c r="BF246" s="24"/>
      <c r="BG246" s="23">
        <v>15</v>
      </c>
      <c r="BH246" s="24">
        <f>SUMPRODUCT((Комплекты[Пр]=$F246)*(Комплекты[Обозначение]=$G246)*Комплекты[Кол-во]*(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15</v>
      </c>
      <c r="BI246" s="25"/>
      <c r="BJ246" s="24"/>
      <c r="BK246" s="340"/>
      <c r="BL246" s="32">
        <f t="shared" si="76"/>
        <v>180</v>
      </c>
      <c r="BM246" s="32">
        <f t="shared" si="77"/>
        <v>0</v>
      </c>
      <c r="BN246" s="28">
        <f t="shared" si="78"/>
        <v>86</v>
      </c>
      <c r="BO246" s="29">
        <f t="shared" si="79"/>
        <v>0</v>
      </c>
      <c r="BP246" s="30">
        <f t="shared" si="80"/>
        <v>21</v>
      </c>
      <c r="BQ246" s="31">
        <f t="shared" si="81"/>
        <v>0</v>
      </c>
      <c r="BR246" s="11"/>
      <c r="BS246" s="329"/>
      <c r="BT246" s="23">
        <v>20</v>
      </c>
      <c r="BU246" s="24"/>
      <c r="BV246" s="25"/>
      <c r="BW246" s="24"/>
      <c r="BX246" s="23">
        <v>20</v>
      </c>
      <c r="BY246" s="24"/>
      <c r="BZ246" s="25"/>
      <c r="CA246" s="24"/>
      <c r="CB246" s="23">
        <v>20</v>
      </c>
      <c r="CC246" s="24"/>
      <c r="CD246" s="25"/>
      <c r="CE246" s="24"/>
      <c r="CF246" s="23">
        <v>20</v>
      </c>
      <c r="CG246" s="24"/>
      <c r="CH246" s="25"/>
      <c r="CI246" s="24"/>
      <c r="CJ246" s="23">
        <v>20</v>
      </c>
      <c r="CK246" s="24"/>
      <c r="CL246" s="25"/>
      <c r="CM246" s="24"/>
      <c r="CN246" s="23">
        <v>20</v>
      </c>
      <c r="CO246" s="24"/>
      <c r="CP246" s="25"/>
      <c r="CQ246" s="24"/>
      <c r="CR246" s="23">
        <v>20</v>
      </c>
      <c r="CS246" s="24"/>
      <c r="CT246" s="25"/>
      <c r="CU246" s="24"/>
      <c r="CV246" s="23">
        <v>20</v>
      </c>
      <c r="CW246" s="24"/>
      <c r="CX246" s="25"/>
      <c r="CY246" s="24"/>
      <c r="CZ246" s="23">
        <v>20</v>
      </c>
      <c r="DA246" s="24"/>
      <c r="DB246" s="25"/>
      <c r="DC246" s="24"/>
      <c r="DD246" s="23">
        <v>20</v>
      </c>
      <c r="DE246" s="24"/>
      <c r="DF246" s="25"/>
      <c r="DG246" s="24"/>
      <c r="DH246" s="23">
        <v>20</v>
      </c>
      <c r="DI246" s="24"/>
      <c r="DJ246" s="25"/>
      <c r="DK246" s="24"/>
      <c r="DL246" s="23">
        <v>20</v>
      </c>
      <c r="DM246" s="24"/>
      <c r="DN246" s="25"/>
      <c r="DO246" s="24"/>
      <c r="DP246" s="340"/>
      <c r="DQ246" s="32">
        <f t="shared" si="88"/>
        <v>240</v>
      </c>
      <c r="DR246" s="32">
        <f t="shared" si="85"/>
        <v>0</v>
      </c>
      <c r="DS246" s="11"/>
      <c r="DT246" s="329"/>
      <c r="DU246" s="23">
        <v>20</v>
      </c>
      <c r="DV246" s="24"/>
      <c r="DW246" s="25"/>
      <c r="DX246" s="24"/>
      <c r="DY246" s="23">
        <v>20</v>
      </c>
      <c r="DZ246" s="24"/>
      <c r="EA246" s="25"/>
      <c r="EB246" s="24"/>
      <c r="EC246" s="23">
        <v>20</v>
      </c>
      <c r="ED246" s="24"/>
      <c r="EE246" s="25"/>
      <c r="EF246" s="24"/>
      <c r="EG246" s="23">
        <v>20</v>
      </c>
      <c r="EH246" s="24"/>
      <c r="EI246" s="25"/>
      <c r="EJ246" s="24"/>
      <c r="EK246" s="23">
        <v>20</v>
      </c>
      <c r="EL246" s="24"/>
      <c r="EM246" s="25"/>
      <c r="EN246" s="24"/>
      <c r="EO246" s="23">
        <v>20</v>
      </c>
      <c r="EP246" s="24"/>
      <c r="EQ246" s="25"/>
      <c r="ER246" s="24"/>
      <c r="ES246" s="23">
        <v>20</v>
      </c>
      <c r="ET246" s="24"/>
      <c r="EU246" s="25"/>
      <c r="EV246" s="24"/>
      <c r="EW246" s="23">
        <v>20</v>
      </c>
      <c r="EX246" s="24"/>
      <c r="EY246" s="25"/>
      <c r="EZ246" s="24"/>
      <c r="FA246" s="23">
        <v>20</v>
      </c>
      <c r="FB246" s="24"/>
      <c r="FC246" s="25"/>
      <c r="FD246" s="24"/>
      <c r="FE246" s="23">
        <v>20</v>
      </c>
      <c r="FF246" s="24"/>
      <c r="FG246" s="25"/>
      <c r="FH246" s="24"/>
      <c r="FI246" s="23">
        <v>20</v>
      </c>
      <c r="FJ246" s="24"/>
      <c r="FK246" s="25"/>
      <c r="FL246" s="24"/>
      <c r="FM246" s="23">
        <v>20</v>
      </c>
      <c r="FN246" s="24"/>
      <c r="FO246" s="25"/>
      <c r="FP246" s="24"/>
      <c r="FQ246" s="340"/>
      <c r="FR246" s="32">
        <f t="shared" si="89"/>
        <v>240</v>
      </c>
      <c r="FS246" s="32">
        <f t="shared" si="86"/>
        <v>0</v>
      </c>
      <c r="FT246" s="361"/>
    </row>
    <row r="247" spans="1:176" outlineLevel="2">
      <c r="A247" s="56" t="s">
        <v>470</v>
      </c>
      <c r="B247" s="387" t="s">
        <v>134</v>
      </c>
      <c r="C247" s="173" t="s">
        <v>72</v>
      </c>
      <c r="D247" s="565" t="s">
        <v>32</v>
      </c>
      <c r="E247" s="10">
        <f>IF(ISBLANK(G247),"",IF($A$6:$A$330=$A247,COUNTIF($A$6:A247,$A247),""))</f>
        <v>53</v>
      </c>
      <c r="F247" s="669">
        <v>2</v>
      </c>
      <c r="G247" s="128">
        <v>9710020400</v>
      </c>
      <c r="H247" s="612" t="s">
        <v>101</v>
      </c>
      <c r="I247" s="618">
        <v>0</v>
      </c>
      <c r="J247" s="618"/>
      <c r="K247" s="126"/>
      <c r="L247" s="618" t="str">
        <f t="shared" si="87"/>
        <v/>
      </c>
      <c r="M247" s="102"/>
      <c r="N247" s="305">
        <f t="shared" si="75"/>
        <v>1</v>
      </c>
      <c r="O247" s="23">
        <v>15</v>
      </c>
      <c r="P247" s="24"/>
      <c r="Q247" s="25"/>
      <c r="R247" s="24"/>
      <c r="S247" s="23">
        <v>15</v>
      </c>
      <c r="T247" s="24">
        <f>SUMPRODUCT((Комплекты[Пр]=$F247)*(Комплекты[Обозначение]=$G247)*Комплекты[Кол-во]*(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5</v>
      </c>
      <c r="U247" s="25">
        <f>SUMPRODUCT((Комплекты[Пр]=$F247)*(Комплекты[Обозначение]=$G247)*Комплекты[Кол-во]*(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5</v>
      </c>
      <c r="V247" s="24"/>
      <c r="W247" s="23">
        <v>15</v>
      </c>
      <c r="X247" s="24">
        <f>SUMPRODUCT((Комплекты[Пр]=$F247)*(Комплекты[Обозначение]=$G247)*Комплекты[Кол-во]*(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16</v>
      </c>
      <c r="Y247" s="25">
        <f>SUMPRODUCT((Комплекты[Пр]=$F247)*(Комплекты[Обозначение]=$G247)*Комплекты[Кол-во]*(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16</v>
      </c>
      <c r="Z247" s="24"/>
      <c r="AA247" s="23">
        <v>15</v>
      </c>
      <c r="AB247" s="24">
        <f>SUMPRODUCT((Комплекты[Пр]=$F247)*(Комплекты[Обозначение]=$G247)*Комплекты[Кол-во]*(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47" s="25"/>
      <c r="AD247" s="24"/>
      <c r="AE247" s="23">
        <v>15</v>
      </c>
      <c r="AF247" s="24">
        <f>SUMPRODUCT((Комплекты[Пр]=$F247)*(Комплекты[Обозначение]=$G247)*Комплекты[Кол-во]*(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47" s="25">
        <f>SUMPRODUCT((Комплекты[Пр]=$F247)*(Комплекты[Обозначение]=$G247)*Комплекты[Кол-во]*(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47" s="24"/>
      <c r="AI247" s="23">
        <v>15</v>
      </c>
      <c r="AJ247" s="24">
        <f>SUMPRODUCT((Комплекты[Пр]=$F247)*(Комплекты[Обозначение]=$G247)*Комплекты[Кол-во]*(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5</v>
      </c>
      <c r="AK247" s="25"/>
      <c r="AL247" s="24"/>
      <c r="AM247" s="23">
        <v>15</v>
      </c>
      <c r="AN247" s="24">
        <f>SUMPRODUCT((Комплекты[Пр]=$F247)*(Комплекты[Обозначение]=$G247)*Комплекты[Кол-во]*(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</v>
      </c>
      <c r="AO247" s="25"/>
      <c r="AP247" s="24"/>
      <c r="AQ247" s="23">
        <v>15</v>
      </c>
      <c r="AR247" s="24">
        <f>SUMPRODUCT((Комплекты[Пр]=$F247)*(Комплекты[Обозначение]=$G247)*Комплекты[Кол-во]*(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5</v>
      </c>
      <c r="AS247" s="25"/>
      <c r="AT247" s="24"/>
      <c r="AU247" s="23">
        <v>15</v>
      </c>
      <c r="AV247" s="24">
        <f>SUMPRODUCT((Комплекты[Пр]=$F247)*(Комплекты[Обозначение]=$G247)*Комплекты[Кол-во]*(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5</v>
      </c>
      <c r="AW247" s="25"/>
      <c r="AX247" s="24"/>
      <c r="AY247" s="23">
        <v>15</v>
      </c>
      <c r="AZ247" s="24">
        <f>SUMPRODUCT((Комплекты[Пр]=$F247)*(Комплекты[Обозначение]=$G247)*Комплекты[Кол-во]*(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15</v>
      </c>
      <c r="BA247" s="25"/>
      <c r="BB247" s="24"/>
      <c r="BC247" s="23">
        <v>15</v>
      </c>
      <c r="BD247" s="24">
        <f>SUMPRODUCT((Комплекты[Пр]=$F247)*(Комплекты[Обозначение]=$G247)*Комплекты[Кол-во]*(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15</v>
      </c>
      <c r="BE247" s="25"/>
      <c r="BF247" s="24"/>
      <c r="BG247" s="23">
        <v>15</v>
      </c>
      <c r="BH247" s="24">
        <f>SUMPRODUCT((Комплекты[Пр]=$F247)*(Комплекты[Обозначение]=$G247)*Комплекты[Кол-во]*(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15</v>
      </c>
      <c r="BI247" s="25"/>
      <c r="BJ247" s="24"/>
      <c r="BK247" s="340"/>
      <c r="BL247" s="32">
        <f t="shared" si="76"/>
        <v>180</v>
      </c>
      <c r="BM247" s="32">
        <f t="shared" si="77"/>
        <v>0</v>
      </c>
      <c r="BN247" s="28">
        <f t="shared" si="78"/>
        <v>86</v>
      </c>
      <c r="BO247" s="29">
        <f t="shared" si="79"/>
        <v>0</v>
      </c>
      <c r="BP247" s="30">
        <f t="shared" si="80"/>
        <v>21</v>
      </c>
      <c r="BQ247" s="31">
        <f t="shared" si="81"/>
        <v>0</v>
      </c>
      <c r="BR247" s="11"/>
      <c r="BS247" s="329"/>
      <c r="BT247" s="23">
        <v>20</v>
      </c>
      <c r="BU247" s="24"/>
      <c r="BV247" s="25"/>
      <c r="BW247" s="24"/>
      <c r="BX247" s="23">
        <v>20</v>
      </c>
      <c r="BY247" s="24"/>
      <c r="BZ247" s="25"/>
      <c r="CA247" s="24"/>
      <c r="CB247" s="23">
        <v>20</v>
      </c>
      <c r="CC247" s="24"/>
      <c r="CD247" s="25"/>
      <c r="CE247" s="24"/>
      <c r="CF247" s="23">
        <v>20</v>
      </c>
      <c r="CG247" s="24"/>
      <c r="CH247" s="25"/>
      <c r="CI247" s="24"/>
      <c r="CJ247" s="23">
        <v>20</v>
      </c>
      <c r="CK247" s="24"/>
      <c r="CL247" s="25"/>
      <c r="CM247" s="24"/>
      <c r="CN247" s="23">
        <v>20</v>
      </c>
      <c r="CO247" s="24"/>
      <c r="CP247" s="25"/>
      <c r="CQ247" s="24"/>
      <c r="CR247" s="23">
        <v>20</v>
      </c>
      <c r="CS247" s="24"/>
      <c r="CT247" s="25"/>
      <c r="CU247" s="24"/>
      <c r="CV247" s="23">
        <v>20</v>
      </c>
      <c r="CW247" s="24"/>
      <c r="CX247" s="25"/>
      <c r="CY247" s="24"/>
      <c r="CZ247" s="23">
        <v>20</v>
      </c>
      <c r="DA247" s="24"/>
      <c r="DB247" s="25"/>
      <c r="DC247" s="24"/>
      <c r="DD247" s="23">
        <v>20</v>
      </c>
      <c r="DE247" s="24"/>
      <c r="DF247" s="25"/>
      <c r="DG247" s="24"/>
      <c r="DH247" s="23">
        <v>20</v>
      </c>
      <c r="DI247" s="24"/>
      <c r="DJ247" s="25"/>
      <c r="DK247" s="24"/>
      <c r="DL247" s="23">
        <v>20</v>
      </c>
      <c r="DM247" s="24"/>
      <c r="DN247" s="25"/>
      <c r="DO247" s="24"/>
      <c r="DP247" s="340"/>
      <c r="DQ247" s="32">
        <f t="shared" si="88"/>
        <v>240</v>
      </c>
      <c r="DR247" s="32">
        <f t="shared" si="85"/>
        <v>0</v>
      </c>
      <c r="DS247" s="11"/>
      <c r="DT247" s="329"/>
      <c r="DU247" s="23">
        <v>20</v>
      </c>
      <c r="DV247" s="24"/>
      <c r="DW247" s="25"/>
      <c r="DX247" s="24"/>
      <c r="DY247" s="23">
        <v>20</v>
      </c>
      <c r="DZ247" s="24"/>
      <c r="EA247" s="25"/>
      <c r="EB247" s="24"/>
      <c r="EC247" s="23">
        <v>20</v>
      </c>
      <c r="ED247" s="24"/>
      <c r="EE247" s="25"/>
      <c r="EF247" s="24"/>
      <c r="EG247" s="23">
        <v>20</v>
      </c>
      <c r="EH247" s="24"/>
      <c r="EI247" s="25"/>
      <c r="EJ247" s="24"/>
      <c r="EK247" s="23">
        <v>20</v>
      </c>
      <c r="EL247" s="24"/>
      <c r="EM247" s="25"/>
      <c r="EN247" s="24"/>
      <c r="EO247" s="23">
        <v>20</v>
      </c>
      <c r="EP247" s="24"/>
      <c r="EQ247" s="25"/>
      <c r="ER247" s="24"/>
      <c r="ES247" s="23">
        <v>20</v>
      </c>
      <c r="ET247" s="24"/>
      <c r="EU247" s="25"/>
      <c r="EV247" s="24"/>
      <c r="EW247" s="23">
        <v>20</v>
      </c>
      <c r="EX247" s="24"/>
      <c r="EY247" s="25"/>
      <c r="EZ247" s="24"/>
      <c r="FA247" s="23">
        <v>20</v>
      </c>
      <c r="FB247" s="24"/>
      <c r="FC247" s="25"/>
      <c r="FD247" s="24"/>
      <c r="FE247" s="23">
        <v>20</v>
      </c>
      <c r="FF247" s="24"/>
      <c r="FG247" s="25"/>
      <c r="FH247" s="24"/>
      <c r="FI247" s="23">
        <v>20</v>
      </c>
      <c r="FJ247" s="24"/>
      <c r="FK247" s="25"/>
      <c r="FL247" s="24"/>
      <c r="FM247" s="23">
        <v>20</v>
      </c>
      <c r="FN247" s="24"/>
      <c r="FO247" s="25"/>
      <c r="FP247" s="24"/>
      <c r="FQ247" s="340"/>
      <c r="FR247" s="32">
        <f t="shared" si="89"/>
        <v>240</v>
      </c>
      <c r="FS247" s="32">
        <f t="shared" si="86"/>
        <v>0</v>
      </c>
      <c r="FT247" s="361"/>
    </row>
    <row r="248" spans="1:176" outlineLevel="2">
      <c r="A248" s="56" t="s">
        <v>470</v>
      </c>
      <c r="B248" s="387" t="s">
        <v>134</v>
      </c>
      <c r="C248" s="173" t="s">
        <v>72</v>
      </c>
      <c r="D248" s="565" t="s">
        <v>32</v>
      </c>
      <c r="E248" s="10">
        <f>IF(ISBLANK(G248),"",IF($A$6:$A$330=$A248,COUNTIF($A$6:A248,$A248),""))</f>
        <v>54</v>
      </c>
      <c r="F248" s="123">
        <v>1</v>
      </c>
      <c r="G248" s="128">
        <v>4721950310</v>
      </c>
      <c r="H248" s="612" t="s">
        <v>102</v>
      </c>
      <c r="I248" s="618">
        <v>0</v>
      </c>
      <c r="J248" s="618"/>
      <c r="K248" s="126"/>
      <c r="L248" s="618" t="str">
        <f t="shared" si="87"/>
        <v/>
      </c>
      <c r="M248" s="102"/>
      <c r="N248" s="305">
        <f t="shared" si="75"/>
        <v>2</v>
      </c>
      <c r="O248" s="23">
        <v>5</v>
      </c>
      <c r="P248" s="24"/>
      <c r="Q248" s="25"/>
      <c r="R248" s="24"/>
      <c r="S248" s="23">
        <v>5</v>
      </c>
      <c r="T248" s="24">
        <f>SUMPRODUCT((Комплекты[Пр]=$F248)*(Комплекты[Обозначение]=$G248)*Комплекты[Кол-во]*(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0</v>
      </c>
      <c r="U248" s="25">
        <f>SUMPRODUCT((Комплекты[Пр]=$F248)*(Комплекты[Обозначение]=$G248)*Комплекты[Кол-во]*(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0</v>
      </c>
      <c r="V248" s="24"/>
      <c r="W248" s="23">
        <v>5</v>
      </c>
      <c r="X248" s="24">
        <f>SUMPRODUCT((Комплекты[Пр]=$F248)*(Комплекты[Обозначение]=$G248)*Комплекты[Кол-во]*(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0</v>
      </c>
      <c r="Y248" s="25">
        <f>SUMPRODUCT((Комплекты[Пр]=$F248)*(Комплекты[Обозначение]=$G248)*Комплекты[Кол-во]*(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0</v>
      </c>
      <c r="Z248" s="24"/>
      <c r="AA248" s="23">
        <v>5</v>
      </c>
      <c r="AB248" s="24">
        <f>SUMPRODUCT((Комплекты[Пр]=$F248)*(Комплекты[Обозначение]=$G248)*Комплекты[Кол-во]*(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48" s="25"/>
      <c r="AD248" s="24"/>
      <c r="AE248" s="23">
        <v>5</v>
      </c>
      <c r="AF248" s="24">
        <f>SUMPRODUCT((Комплекты[Пр]=$F248)*(Комплекты[Обозначение]=$G248)*Комплекты[Кол-во]*(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48" s="25">
        <f>SUMPRODUCT((Комплекты[Пр]=$F248)*(Комплекты[Обозначение]=$G248)*Комплекты[Кол-во]*(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48" s="24"/>
      <c r="AI248" s="23">
        <v>5</v>
      </c>
      <c r="AJ248" s="24">
        <f>SUMPRODUCT((Комплекты[Пр]=$F248)*(Комплекты[Обозначение]=$G248)*Комплекты[Кол-во]*(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5</v>
      </c>
      <c r="AK248" s="25"/>
      <c r="AL248" s="24"/>
      <c r="AM248" s="23">
        <v>5</v>
      </c>
      <c r="AN248" s="24">
        <f>SUMPRODUCT((Комплекты[Пр]=$F248)*(Комплекты[Обозначение]=$G248)*Комплекты[Кол-во]*(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</v>
      </c>
      <c r="AO248" s="25"/>
      <c r="AP248" s="24"/>
      <c r="AQ248" s="23">
        <v>5</v>
      </c>
      <c r="AR248" s="24">
        <f>SUMPRODUCT((Комплекты[Пр]=$F248)*(Комплекты[Обозначение]=$G248)*Комплекты[Кол-во]*(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5</v>
      </c>
      <c r="AS248" s="25"/>
      <c r="AT248" s="24"/>
      <c r="AU248" s="23">
        <v>5</v>
      </c>
      <c r="AV248" s="24">
        <f>SUMPRODUCT((Комплекты[Пр]=$F248)*(Комплекты[Обозначение]=$G248)*Комплекты[Кол-во]*(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5</v>
      </c>
      <c r="AW248" s="25"/>
      <c r="AX248" s="24"/>
      <c r="AY248" s="23">
        <v>5</v>
      </c>
      <c r="AZ248" s="24">
        <f>SUMPRODUCT((Комплекты[Пр]=$F248)*(Комплекты[Обозначение]=$G248)*Комплекты[Кол-во]*(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5</v>
      </c>
      <c r="BA248" s="25"/>
      <c r="BB248" s="24"/>
      <c r="BC248" s="23">
        <v>5</v>
      </c>
      <c r="BD248" s="24">
        <f>SUMPRODUCT((Комплекты[Пр]=$F248)*(Комплекты[Обозначение]=$G248)*Комплекты[Кол-во]*(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5</v>
      </c>
      <c r="BE248" s="25"/>
      <c r="BF248" s="24"/>
      <c r="BG248" s="23">
        <v>5</v>
      </c>
      <c r="BH248" s="24">
        <f>SUMPRODUCT((Комплекты[Пр]=$F248)*(Комплекты[Обозначение]=$G248)*Комплекты[Кол-во]*(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5</v>
      </c>
      <c r="BI248" s="25"/>
      <c r="BJ248" s="24"/>
      <c r="BK248" s="340"/>
      <c r="BL248" s="32">
        <f t="shared" si="76"/>
        <v>60</v>
      </c>
      <c r="BM248" s="32">
        <f t="shared" si="77"/>
        <v>0</v>
      </c>
      <c r="BN248" s="28">
        <f t="shared" si="78"/>
        <v>35</v>
      </c>
      <c r="BO248" s="29">
        <f t="shared" si="79"/>
        <v>0</v>
      </c>
      <c r="BP248" s="30">
        <f t="shared" si="80"/>
        <v>0</v>
      </c>
      <c r="BQ248" s="31">
        <f t="shared" si="81"/>
        <v>0</v>
      </c>
      <c r="BR248" s="11"/>
      <c r="BS248" s="329"/>
      <c r="BT248" s="23">
        <v>10</v>
      </c>
      <c r="BU248" s="24"/>
      <c r="BV248" s="25"/>
      <c r="BW248" s="24"/>
      <c r="BX248" s="23">
        <v>10</v>
      </c>
      <c r="BY248" s="24"/>
      <c r="BZ248" s="25"/>
      <c r="CA248" s="24"/>
      <c r="CB248" s="23">
        <v>10</v>
      </c>
      <c r="CC248" s="24"/>
      <c r="CD248" s="25"/>
      <c r="CE248" s="24"/>
      <c r="CF248" s="23">
        <v>10</v>
      </c>
      <c r="CG248" s="24"/>
      <c r="CH248" s="25"/>
      <c r="CI248" s="24"/>
      <c r="CJ248" s="23">
        <v>10</v>
      </c>
      <c r="CK248" s="24"/>
      <c r="CL248" s="25"/>
      <c r="CM248" s="24"/>
      <c r="CN248" s="23">
        <v>10</v>
      </c>
      <c r="CO248" s="24"/>
      <c r="CP248" s="25"/>
      <c r="CQ248" s="24"/>
      <c r="CR248" s="23">
        <v>10</v>
      </c>
      <c r="CS248" s="24"/>
      <c r="CT248" s="25"/>
      <c r="CU248" s="24"/>
      <c r="CV248" s="23">
        <v>10</v>
      </c>
      <c r="CW248" s="24"/>
      <c r="CX248" s="25"/>
      <c r="CY248" s="24"/>
      <c r="CZ248" s="23">
        <v>10</v>
      </c>
      <c r="DA248" s="24"/>
      <c r="DB248" s="25"/>
      <c r="DC248" s="24"/>
      <c r="DD248" s="23">
        <v>10</v>
      </c>
      <c r="DE248" s="24"/>
      <c r="DF248" s="25"/>
      <c r="DG248" s="24"/>
      <c r="DH248" s="23">
        <v>10</v>
      </c>
      <c r="DI248" s="24"/>
      <c r="DJ248" s="25"/>
      <c r="DK248" s="24"/>
      <c r="DL248" s="23">
        <v>10</v>
      </c>
      <c r="DM248" s="24"/>
      <c r="DN248" s="25"/>
      <c r="DO248" s="24"/>
      <c r="DP248" s="340"/>
      <c r="DQ248" s="32">
        <f t="shared" si="88"/>
        <v>120</v>
      </c>
      <c r="DR248" s="32">
        <f t="shared" si="85"/>
        <v>0</v>
      </c>
      <c r="DS248" s="11"/>
      <c r="DT248" s="329"/>
      <c r="DU248" s="23">
        <v>10</v>
      </c>
      <c r="DV248" s="24"/>
      <c r="DW248" s="25"/>
      <c r="DX248" s="24"/>
      <c r="DY248" s="23">
        <v>10</v>
      </c>
      <c r="DZ248" s="24"/>
      <c r="EA248" s="25"/>
      <c r="EB248" s="24"/>
      <c r="EC248" s="23">
        <v>10</v>
      </c>
      <c r="ED248" s="24"/>
      <c r="EE248" s="25"/>
      <c r="EF248" s="24"/>
      <c r="EG248" s="23">
        <v>10</v>
      </c>
      <c r="EH248" s="24"/>
      <c r="EI248" s="25"/>
      <c r="EJ248" s="24"/>
      <c r="EK248" s="23">
        <v>10</v>
      </c>
      <c r="EL248" s="24"/>
      <c r="EM248" s="25"/>
      <c r="EN248" s="24"/>
      <c r="EO248" s="23">
        <v>10</v>
      </c>
      <c r="EP248" s="24"/>
      <c r="EQ248" s="25"/>
      <c r="ER248" s="24"/>
      <c r="ES248" s="23">
        <v>10</v>
      </c>
      <c r="ET248" s="24"/>
      <c r="EU248" s="25"/>
      <c r="EV248" s="24"/>
      <c r="EW248" s="23">
        <v>10</v>
      </c>
      <c r="EX248" s="24"/>
      <c r="EY248" s="25"/>
      <c r="EZ248" s="24"/>
      <c r="FA248" s="23">
        <v>10</v>
      </c>
      <c r="FB248" s="24"/>
      <c r="FC248" s="25"/>
      <c r="FD248" s="24"/>
      <c r="FE248" s="23">
        <v>10</v>
      </c>
      <c r="FF248" s="24"/>
      <c r="FG248" s="25"/>
      <c r="FH248" s="24"/>
      <c r="FI248" s="23">
        <v>10</v>
      </c>
      <c r="FJ248" s="24"/>
      <c r="FK248" s="25"/>
      <c r="FL248" s="24"/>
      <c r="FM248" s="23">
        <v>10</v>
      </c>
      <c r="FN248" s="24"/>
      <c r="FO248" s="25"/>
      <c r="FP248" s="24"/>
      <c r="FQ248" s="340"/>
      <c r="FR248" s="32">
        <f t="shared" si="89"/>
        <v>120</v>
      </c>
      <c r="FS248" s="32">
        <f t="shared" si="86"/>
        <v>0</v>
      </c>
      <c r="FT248" s="361"/>
    </row>
    <row r="249" spans="1:176" outlineLevel="2">
      <c r="A249" s="56" t="s">
        <v>470</v>
      </c>
      <c r="B249" s="387" t="s">
        <v>134</v>
      </c>
      <c r="C249" s="173" t="s">
        <v>72</v>
      </c>
      <c r="D249" s="565" t="s">
        <v>32</v>
      </c>
      <c r="E249" s="10">
        <f>IF(ISBLANK(G249),"",IF($A$6:$A$330=$A249,COUNTIF($A$6:A249,$A249),""))</f>
        <v>55</v>
      </c>
      <c r="F249" s="123">
        <v>1</v>
      </c>
      <c r="G249" s="128">
        <v>4496161560</v>
      </c>
      <c r="H249" s="612" t="s">
        <v>103</v>
      </c>
      <c r="I249" s="618">
        <v>0</v>
      </c>
      <c r="J249" s="618"/>
      <c r="K249" s="126"/>
      <c r="L249" s="618" t="str">
        <f t="shared" si="87"/>
        <v/>
      </c>
      <c r="M249" s="102"/>
      <c r="N249" s="305">
        <f t="shared" si="75"/>
        <v>2</v>
      </c>
      <c r="O249" s="23">
        <v>5</v>
      </c>
      <c r="P249" s="24"/>
      <c r="Q249" s="25"/>
      <c r="R249" s="24"/>
      <c r="S249" s="23">
        <v>5</v>
      </c>
      <c r="T249" s="24">
        <f>SUMPRODUCT((Комплекты[Пр]=$F249)*(Комплекты[Обозначение]=$G249)*Комплекты[Кол-во]*(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0</v>
      </c>
      <c r="U249" s="25">
        <f>SUMPRODUCT((Комплекты[Пр]=$F249)*(Комплекты[Обозначение]=$G249)*Комплекты[Кол-во]*(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0</v>
      </c>
      <c r="V249" s="24"/>
      <c r="W249" s="23">
        <v>5</v>
      </c>
      <c r="X249" s="24">
        <f>SUMPRODUCT((Комплекты[Пр]=$F249)*(Комплекты[Обозначение]=$G249)*Комплекты[Кол-во]*(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0</v>
      </c>
      <c r="Y249" s="25">
        <f>SUMPRODUCT((Комплекты[Пр]=$F249)*(Комплекты[Обозначение]=$G249)*Комплекты[Кол-во]*(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0</v>
      </c>
      <c r="Z249" s="24"/>
      <c r="AA249" s="23">
        <v>5</v>
      </c>
      <c r="AB249" s="24">
        <f>SUMPRODUCT((Комплекты[Пр]=$F249)*(Комплекты[Обозначение]=$G249)*Комплекты[Кол-во]*(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49" s="25"/>
      <c r="AD249" s="24"/>
      <c r="AE249" s="23">
        <v>5</v>
      </c>
      <c r="AF249" s="24">
        <f>SUMPRODUCT((Комплекты[Пр]=$F249)*(Комплекты[Обозначение]=$G249)*Комплекты[Кол-во]*(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49" s="25">
        <f>SUMPRODUCT((Комплекты[Пр]=$F249)*(Комплекты[Обозначение]=$G249)*Комплекты[Кол-во]*(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49" s="24"/>
      <c r="AI249" s="23">
        <v>5</v>
      </c>
      <c r="AJ249" s="24">
        <f>SUMPRODUCT((Комплекты[Пр]=$F249)*(Комплекты[Обозначение]=$G249)*Комплекты[Кол-во]*(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5</v>
      </c>
      <c r="AK249" s="25"/>
      <c r="AL249" s="24"/>
      <c r="AM249" s="23">
        <v>5</v>
      </c>
      <c r="AN249" s="24">
        <f>SUMPRODUCT((Комплекты[Пр]=$F249)*(Комплекты[Обозначение]=$G249)*Комплекты[Кол-во]*(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</v>
      </c>
      <c r="AO249" s="25"/>
      <c r="AP249" s="24"/>
      <c r="AQ249" s="23">
        <v>5</v>
      </c>
      <c r="AR249" s="24">
        <f>SUMPRODUCT((Комплекты[Пр]=$F249)*(Комплекты[Обозначение]=$G249)*Комплекты[Кол-во]*(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5</v>
      </c>
      <c r="AS249" s="25"/>
      <c r="AT249" s="24"/>
      <c r="AU249" s="23">
        <v>5</v>
      </c>
      <c r="AV249" s="24">
        <f>SUMPRODUCT((Комплекты[Пр]=$F249)*(Комплекты[Обозначение]=$G249)*Комплекты[Кол-во]*(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5</v>
      </c>
      <c r="AW249" s="25"/>
      <c r="AX249" s="24"/>
      <c r="AY249" s="23">
        <v>5</v>
      </c>
      <c r="AZ249" s="24">
        <f>SUMPRODUCT((Комплекты[Пр]=$F249)*(Комплекты[Обозначение]=$G249)*Комплекты[Кол-во]*(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5</v>
      </c>
      <c r="BA249" s="25"/>
      <c r="BB249" s="24"/>
      <c r="BC249" s="23">
        <v>5</v>
      </c>
      <c r="BD249" s="24">
        <f>SUMPRODUCT((Комплекты[Пр]=$F249)*(Комплекты[Обозначение]=$G249)*Комплекты[Кол-во]*(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5</v>
      </c>
      <c r="BE249" s="25"/>
      <c r="BF249" s="24"/>
      <c r="BG249" s="23">
        <v>5</v>
      </c>
      <c r="BH249" s="24">
        <f>SUMPRODUCT((Комплекты[Пр]=$F249)*(Комплекты[Обозначение]=$G249)*Комплекты[Кол-во]*(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5</v>
      </c>
      <c r="BI249" s="25"/>
      <c r="BJ249" s="24"/>
      <c r="BK249" s="340"/>
      <c r="BL249" s="32">
        <f t="shared" si="76"/>
        <v>60</v>
      </c>
      <c r="BM249" s="32">
        <f t="shared" si="77"/>
        <v>0</v>
      </c>
      <c r="BN249" s="28">
        <f t="shared" si="78"/>
        <v>35</v>
      </c>
      <c r="BO249" s="29">
        <f t="shared" si="79"/>
        <v>0</v>
      </c>
      <c r="BP249" s="30">
        <f t="shared" si="80"/>
        <v>0</v>
      </c>
      <c r="BQ249" s="31">
        <f t="shared" si="81"/>
        <v>0</v>
      </c>
      <c r="BR249" s="11"/>
      <c r="BS249" s="329"/>
      <c r="BT249" s="23">
        <v>10</v>
      </c>
      <c r="BU249" s="24"/>
      <c r="BV249" s="25"/>
      <c r="BW249" s="24"/>
      <c r="BX249" s="23">
        <v>10</v>
      </c>
      <c r="BY249" s="24"/>
      <c r="BZ249" s="25"/>
      <c r="CA249" s="24"/>
      <c r="CB249" s="23">
        <v>10</v>
      </c>
      <c r="CC249" s="24"/>
      <c r="CD249" s="25"/>
      <c r="CE249" s="24"/>
      <c r="CF249" s="23">
        <v>10</v>
      </c>
      <c r="CG249" s="24"/>
      <c r="CH249" s="25"/>
      <c r="CI249" s="24"/>
      <c r="CJ249" s="23">
        <v>10</v>
      </c>
      <c r="CK249" s="24"/>
      <c r="CL249" s="25"/>
      <c r="CM249" s="24"/>
      <c r="CN249" s="23">
        <v>10</v>
      </c>
      <c r="CO249" s="24"/>
      <c r="CP249" s="25"/>
      <c r="CQ249" s="24"/>
      <c r="CR249" s="23">
        <v>10</v>
      </c>
      <c r="CS249" s="24"/>
      <c r="CT249" s="25"/>
      <c r="CU249" s="24"/>
      <c r="CV249" s="23">
        <v>10</v>
      </c>
      <c r="CW249" s="24"/>
      <c r="CX249" s="25"/>
      <c r="CY249" s="24"/>
      <c r="CZ249" s="23">
        <v>10</v>
      </c>
      <c r="DA249" s="24"/>
      <c r="DB249" s="25"/>
      <c r="DC249" s="24"/>
      <c r="DD249" s="23">
        <v>10</v>
      </c>
      <c r="DE249" s="24"/>
      <c r="DF249" s="25"/>
      <c r="DG249" s="24"/>
      <c r="DH249" s="23">
        <v>10</v>
      </c>
      <c r="DI249" s="24"/>
      <c r="DJ249" s="25"/>
      <c r="DK249" s="24"/>
      <c r="DL249" s="23">
        <v>10</v>
      </c>
      <c r="DM249" s="24"/>
      <c r="DN249" s="25"/>
      <c r="DO249" s="24"/>
      <c r="DP249" s="340"/>
      <c r="DQ249" s="32">
        <f t="shared" si="88"/>
        <v>120</v>
      </c>
      <c r="DR249" s="32">
        <f t="shared" si="85"/>
        <v>0</v>
      </c>
      <c r="DS249" s="11"/>
      <c r="DT249" s="329"/>
      <c r="DU249" s="23">
        <v>10</v>
      </c>
      <c r="DV249" s="24"/>
      <c r="DW249" s="25"/>
      <c r="DX249" s="24"/>
      <c r="DY249" s="23">
        <v>10</v>
      </c>
      <c r="DZ249" s="24"/>
      <c r="EA249" s="25"/>
      <c r="EB249" s="24"/>
      <c r="EC249" s="23">
        <v>10</v>
      </c>
      <c r="ED249" s="24"/>
      <c r="EE249" s="25"/>
      <c r="EF249" s="24"/>
      <c r="EG249" s="23">
        <v>10</v>
      </c>
      <c r="EH249" s="24"/>
      <c r="EI249" s="25"/>
      <c r="EJ249" s="24"/>
      <c r="EK249" s="23">
        <v>10</v>
      </c>
      <c r="EL249" s="24"/>
      <c r="EM249" s="25"/>
      <c r="EN249" s="24"/>
      <c r="EO249" s="23">
        <v>10</v>
      </c>
      <c r="EP249" s="24"/>
      <c r="EQ249" s="25"/>
      <c r="ER249" s="24"/>
      <c r="ES249" s="23">
        <v>10</v>
      </c>
      <c r="ET249" s="24"/>
      <c r="EU249" s="25"/>
      <c r="EV249" s="24"/>
      <c r="EW249" s="23">
        <v>10</v>
      </c>
      <c r="EX249" s="24"/>
      <c r="EY249" s="25"/>
      <c r="EZ249" s="24"/>
      <c r="FA249" s="23">
        <v>10</v>
      </c>
      <c r="FB249" s="24"/>
      <c r="FC249" s="25"/>
      <c r="FD249" s="24"/>
      <c r="FE249" s="23">
        <v>10</v>
      </c>
      <c r="FF249" s="24"/>
      <c r="FG249" s="25"/>
      <c r="FH249" s="24"/>
      <c r="FI249" s="23">
        <v>10</v>
      </c>
      <c r="FJ249" s="24"/>
      <c r="FK249" s="25"/>
      <c r="FL249" s="24"/>
      <c r="FM249" s="23">
        <v>10</v>
      </c>
      <c r="FN249" s="24"/>
      <c r="FO249" s="25"/>
      <c r="FP249" s="24"/>
      <c r="FQ249" s="340"/>
      <c r="FR249" s="32">
        <f t="shared" si="89"/>
        <v>120</v>
      </c>
      <c r="FS249" s="32">
        <f t="shared" si="86"/>
        <v>0</v>
      </c>
      <c r="FT249" s="361"/>
    </row>
    <row r="250" spans="1:176" outlineLevel="2">
      <c r="A250" s="56" t="s">
        <v>470</v>
      </c>
      <c r="B250" s="387" t="s">
        <v>134</v>
      </c>
      <c r="C250" s="173" t="s">
        <v>72</v>
      </c>
      <c r="D250" s="565" t="s">
        <v>32</v>
      </c>
      <c r="E250" s="10">
        <f>IF(ISBLANK(G250),"",IF($A$6:$A$330=$A250,COUNTIF($A$6:A250,$A250),""))</f>
        <v>56</v>
      </c>
      <c r="F250" s="123">
        <v>1</v>
      </c>
      <c r="G250" s="128">
        <v>9522010010</v>
      </c>
      <c r="H250" s="612" t="s">
        <v>73</v>
      </c>
      <c r="I250" s="618">
        <v>0</v>
      </c>
      <c r="J250" s="618"/>
      <c r="K250" s="126"/>
      <c r="L250" s="618" t="str">
        <f t="shared" si="87"/>
        <v/>
      </c>
      <c r="M250" s="102"/>
      <c r="N250" s="305">
        <f t="shared" si="75"/>
        <v>1</v>
      </c>
      <c r="O250" s="23">
        <v>20</v>
      </c>
      <c r="P250" s="24"/>
      <c r="Q250" s="25"/>
      <c r="R250" s="24"/>
      <c r="S250" s="23">
        <v>20</v>
      </c>
      <c r="T250" s="24">
        <f>SUMPRODUCT((Комплекты[Пр]=$F250)*(Комплекты[Обозначение]=$G250)*Комплекты[Кол-во]*(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26</v>
      </c>
      <c r="U250" s="25">
        <f>SUMPRODUCT((Комплекты[Пр]=$F250)*(Комплекты[Обозначение]=$G250)*Комплекты[Кол-во]*(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26</v>
      </c>
      <c r="V250" s="24"/>
      <c r="W250" s="23">
        <v>20</v>
      </c>
      <c r="X250" s="24">
        <f>SUMPRODUCT((Комплекты[Пр]=$F250)*(Комплекты[Обозначение]=$G250)*Комплекты[Кол-во]*(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34</v>
      </c>
      <c r="Y250" s="25">
        <f>SUMPRODUCT((Комплекты[Пр]=$F250)*(Комплекты[Обозначение]=$G250)*Комплекты[Кол-во]*(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34</v>
      </c>
      <c r="Z250" s="24"/>
      <c r="AA250" s="23">
        <v>20</v>
      </c>
      <c r="AB250" s="24">
        <f>SUMPRODUCT((Комплекты[Пр]=$F250)*(Комплекты[Обозначение]=$G250)*Комплекты[Кол-во]*(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38</v>
      </c>
      <c r="AC250" s="25"/>
      <c r="AD250" s="24"/>
      <c r="AE250" s="23">
        <v>20</v>
      </c>
      <c r="AF250" s="24">
        <f>SUMPRODUCT((Комплекты[Пр]=$F250)*(Комплекты[Обозначение]=$G250)*Комплекты[Кол-во]*(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20</v>
      </c>
      <c r="AG250" s="25">
        <f>SUMPRODUCT((Комплекты[Пр]=$F250)*(Комплекты[Обозначение]=$G250)*Комплекты[Кол-во]*(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20</v>
      </c>
      <c r="AH250" s="24"/>
      <c r="AI250" s="23">
        <v>20</v>
      </c>
      <c r="AJ250" s="24">
        <f>SUMPRODUCT((Комплекты[Пр]=$F250)*(Комплекты[Обозначение]=$G250)*Комплекты[Кол-во]*(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30</v>
      </c>
      <c r="AK250" s="25"/>
      <c r="AL250" s="24"/>
      <c r="AM250" s="23">
        <v>20</v>
      </c>
      <c r="AN250" s="24">
        <f>SUMPRODUCT((Комплекты[Пр]=$F250)*(Комплекты[Обозначение]=$G250)*Комплекты[Кол-во]*(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25</v>
      </c>
      <c r="AO250" s="25"/>
      <c r="AP250" s="24"/>
      <c r="AQ250" s="23">
        <v>20</v>
      </c>
      <c r="AR250" s="24">
        <f>SUMPRODUCT((Комплекты[Пр]=$F250)*(Комплекты[Обозначение]=$G250)*Комплекты[Кол-во]*(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20</v>
      </c>
      <c r="AS250" s="25"/>
      <c r="AT250" s="24"/>
      <c r="AU250" s="23">
        <v>25</v>
      </c>
      <c r="AV250" s="24">
        <f>SUMPRODUCT((Комплекты[Пр]=$F250)*(Комплекты[Обозначение]=$G250)*Комплекты[Кол-во]*(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25</v>
      </c>
      <c r="AW250" s="25"/>
      <c r="AX250" s="24"/>
      <c r="AY250" s="23">
        <v>25</v>
      </c>
      <c r="AZ250" s="24">
        <f>SUMPRODUCT((Комплекты[Пр]=$F250)*(Комплекты[Обозначение]=$G250)*Комплекты[Кол-во]*(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25</v>
      </c>
      <c r="BA250" s="25"/>
      <c r="BB250" s="24"/>
      <c r="BC250" s="23">
        <v>25</v>
      </c>
      <c r="BD250" s="24">
        <f>SUMPRODUCT((Комплекты[Пр]=$F250)*(Комплекты[Обозначение]=$G250)*Комплекты[Кол-во]*(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25</v>
      </c>
      <c r="BE250" s="25"/>
      <c r="BF250" s="24"/>
      <c r="BG250" s="23">
        <v>25</v>
      </c>
      <c r="BH250" s="24">
        <f>SUMPRODUCT((Комплекты[Пр]=$F250)*(Комплекты[Обозначение]=$G250)*Комплекты[Кол-во]*(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25</v>
      </c>
      <c r="BI250" s="25"/>
      <c r="BJ250" s="24"/>
      <c r="BK250" s="340"/>
      <c r="BL250" s="32">
        <f t="shared" si="76"/>
        <v>260</v>
      </c>
      <c r="BM250" s="32">
        <f t="shared" si="77"/>
        <v>0</v>
      </c>
      <c r="BN250" s="28">
        <f t="shared" si="78"/>
        <v>293</v>
      </c>
      <c r="BO250" s="29">
        <f t="shared" si="79"/>
        <v>0</v>
      </c>
      <c r="BP250" s="30">
        <f t="shared" si="80"/>
        <v>80</v>
      </c>
      <c r="BQ250" s="31">
        <f t="shared" si="81"/>
        <v>0</v>
      </c>
      <c r="BR250" s="11"/>
      <c r="BS250" s="329"/>
      <c r="BT250" s="23">
        <v>10</v>
      </c>
      <c r="BU250" s="24"/>
      <c r="BV250" s="25"/>
      <c r="BW250" s="24"/>
      <c r="BX250" s="23">
        <v>10</v>
      </c>
      <c r="BY250" s="24"/>
      <c r="BZ250" s="25"/>
      <c r="CA250" s="24"/>
      <c r="CB250" s="23">
        <v>10</v>
      </c>
      <c r="CC250" s="24"/>
      <c r="CD250" s="25"/>
      <c r="CE250" s="24"/>
      <c r="CF250" s="23">
        <v>10</v>
      </c>
      <c r="CG250" s="24"/>
      <c r="CH250" s="25"/>
      <c r="CI250" s="24"/>
      <c r="CJ250" s="23">
        <v>10</v>
      </c>
      <c r="CK250" s="24"/>
      <c r="CL250" s="25"/>
      <c r="CM250" s="24"/>
      <c r="CN250" s="23">
        <v>10</v>
      </c>
      <c r="CO250" s="24"/>
      <c r="CP250" s="25"/>
      <c r="CQ250" s="24"/>
      <c r="CR250" s="23">
        <v>10</v>
      </c>
      <c r="CS250" s="24"/>
      <c r="CT250" s="25"/>
      <c r="CU250" s="24"/>
      <c r="CV250" s="23">
        <v>10</v>
      </c>
      <c r="CW250" s="24"/>
      <c r="CX250" s="25"/>
      <c r="CY250" s="24"/>
      <c r="CZ250" s="23">
        <v>10</v>
      </c>
      <c r="DA250" s="24"/>
      <c r="DB250" s="25"/>
      <c r="DC250" s="24"/>
      <c r="DD250" s="23">
        <v>10</v>
      </c>
      <c r="DE250" s="24"/>
      <c r="DF250" s="25"/>
      <c r="DG250" s="24"/>
      <c r="DH250" s="23">
        <v>10</v>
      </c>
      <c r="DI250" s="24"/>
      <c r="DJ250" s="25"/>
      <c r="DK250" s="24"/>
      <c r="DL250" s="23">
        <v>10</v>
      </c>
      <c r="DM250" s="24"/>
      <c r="DN250" s="25"/>
      <c r="DO250" s="24"/>
      <c r="DP250" s="340"/>
      <c r="DQ250" s="32">
        <f t="shared" si="88"/>
        <v>120</v>
      </c>
      <c r="DR250" s="32">
        <f t="shared" si="85"/>
        <v>0</v>
      </c>
      <c r="DS250" s="11"/>
      <c r="DT250" s="329"/>
      <c r="DU250" s="23">
        <v>15</v>
      </c>
      <c r="DV250" s="24"/>
      <c r="DW250" s="25"/>
      <c r="DX250" s="24"/>
      <c r="DY250" s="23">
        <v>15</v>
      </c>
      <c r="DZ250" s="24"/>
      <c r="EA250" s="25"/>
      <c r="EB250" s="24"/>
      <c r="EC250" s="23">
        <v>15</v>
      </c>
      <c r="ED250" s="24"/>
      <c r="EE250" s="25"/>
      <c r="EF250" s="24"/>
      <c r="EG250" s="23">
        <v>15</v>
      </c>
      <c r="EH250" s="24"/>
      <c r="EI250" s="25"/>
      <c r="EJ250" s="24"/>
      <c r="EK250" s="23">
        <v>15</v>
      </c>
      <c r="EL250" s="24"/>
      <c r="EM250" s="25"/>
      <c r="EN250" s="24"/>
      <c r="EO250" s="23">
        <v>15</v>
      </c>
      <c r="EP250" s="24"/>
      <c r="EQ250" s="25"/>
      <c r="ER250" s="24"/>
      <c r="ES250" s="23">
        <v>15</v>
      </c>
      <c r="ET250" s="24"/>
      <c r="EU250" s="25"/>
      <c r="EV250" s="24"/>
      <c r="EW250" s="23">
        <v>15</v>
      </c>
      <c r="EX250" s="24"/>
      <c r="EY250" s="25"/>
      <c r="EZ250" s="24"/>
      <c r="FA250" s="23">
        <v>15</v>
      </c>
      <c r="FB250" s="24"/>
      <c r="FC250" s="25"/>
      <c r="FD250" s="24"/>
      <c r="FE250" s="23">
        <v>15</v>
      </c>
      <c r="FF250" s="24"/>
      <c r="FG250" s="25"/>
      <c r="FH250" s="24"/>
      <c r="FI250" s="23">
        <v>15</v>
      </c>
      <c r="FJ250" s="24"/>
      <c r="FK250" s="25"/>
      <c r="FL250" s="24"/>
      <c r="FM250" s="23">
        <v>15</v>
      </c>
      <c r="FN250" s="24"/>
      <c r="FO250" s="25"/>
      <c r="FP250" s="24"/>
      <c r="FQ250" s="340"/>
      <c r="FR250" s="32">
        <f t="shared" si="89"/>
        <v>180</v>
      </c>
      <c r="FS250" s="32">
        <f t="shared" si="86"/>
        <v>0</v>
      </c>
      <c r="FT250" s="361"/>
    </row>
    <row r="251" spans="1:176" outlineLevel="2">
      <c r="A251" s="56" t="s">
        <v>470</v>
      </c>
      <c r="B251" s="387" t="s">
        <v>134</v>
      </c>
      <c r="C251" s="173" t="s">
        <v>72</v>
      </c>
      <c r="D251" s="565" t="s">
        <v>32</v>
      </c>
      <c r="E251" s="10">
        <f>IF(ISBLANK(G251),"",IF($A$6:$A$330=$A251,COUNTIF($A$6:A251,$A251),""))</f>
        <v>57</v>
      </c>
      <c r="F251" s="123">
        <v>1</v>
      </c>
      <c r="G251" s="128">
        <v>9522010020</v>
      </c>
      <c r="H251" s="612" t="s">
        <v>74</v>
      </c>
      <c r="I251" s="618">
        <v>0</v>
      </c>
      <c r="J251" s="618"/>
      <c r="K251" s="126"/>
      <c r="L251" s="618" t="str">
        <f t="shared" si="87"/>
        <v/>
      </c>
      <c r="M251" s="102"/>
      <c r="N251" s="305">
        <f t="shared" si="75"/>
        <v>1</v>
      </c>
      <c r="O251" s="23">
        <v>20</v>
      </c>
      <c r="P251" s="24"/>
      <c r="Q251" s="25"/>
      <c r="R251" s="24"/>
      <c r="S251" s="23">
        <v>20</v>
      </c>
      <c r="T251" s="24">
        <f>SUMPRODUCT((Комплекты[Пр]=$F251)*(Комплекты[Обозначение]=$G251)*Комплекты[Кол-во]*(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26</v>
      </c>
      <c r="U251" s="25">
        <f>SUMPRODUCT((Комплекты[Пр]=$F251)*(Комплекты[Обозначение]=$G251)*Комплекты[Кол-во]*(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26</v>
      </c>
      <c r="V251" s="24"/>
      <c r="W251" s="23">
        <v>20</v>
      </c>
      <c r="X251" s="24">
        <f>SUMPRODUCT((Комплекты[Пр]=$F251)*(Комплекты[Обозначение]=$G251)*Комплекты[Кол-во]*(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34</v>
      </c>
      <c r="Y251" s="25">
        <f>SUMPRODUCT((Комплекты[Пр]=$F251)*(Комплекты[Обозначение]=$G251)*Комплекты[Кол-во]*(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34</v>
      </c>
      <c r="Z251" s="24"/>
      <c r="AA251" s="23">
        <v>20</v>
      </c>
      <c r="AB251" s="24">
        <f>SUMPRODUCT((Комплекты[Пр]=$F251)*(Комплекты[Обозначение]=$G251)*Комплекты[Кол-во]*(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38</v>
      </c>
      <c r="AC251" s="25"/>
      <c r="AD251" s="24"/>
      <c r="AE251" s="23">
        <v>20</v>
      </c>
      <c r="AF251" s="24">
        <f>SUMPRODUCT((Комплекты[Пр]=$F251)*(Комплекты[Обозначение]=$G251)*Комплекты[Кол-во]*(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20</v>
      </c>
      <c r="AG251" s="25">
        <f>SUMPRODUCT((Комплекты[Пр]=$F251)*(Комплекты[Обозначение]=$G251)*Комплекты[Кол-во]*(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20</v>
      </c>
      <c r="AH251" s="24"/>
      <c r="AI251" s="23">
        <v>20</v>
      </c>
      <c r="AJ251" s="24">
        <f>SUMPRODUCT((Комплекты[Пр]=$F251)*(Комплекты[Обозначение]=$G251)*Комплекты[Кол-во]*(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30</v>
      </c>
      <c r="AK251" s="25"/>
      <c r="AL251" s="24"/>
      <c r="AM251" s="23">
        <v>20</v>
      </c>
      <c r="AN251" s="24">
        <f>SUMPRODUCT((Комплекты[Пр]=$F251)*(Комплекты[Обозначение]=$G251)*Комплекты[Кол-во]*(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25</v>
      </c>
      <c r="AO251" s="25"/>
      <c r="AP251" s="24"/>
      <c r="AQ251" s="23">
        <v>20</v>
      </c>
      <c r="AR251" s="24">
        <f>SUMPRODUCT((Комплекты[Пр]=$F251)*(Комплекты[Обозначение]=$G251)*Комплекты[Кол-во]*(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20</v>
      </c>
      <c r="AS251" s="25"/>
      <c r="AT251" s="24"/>
      <c r="AU251" s="23">
        <v>25</v>
      </c>
      <c r="AV251" s="24">
        <f>SUMPRODUCT((Комплекты[Пр]=$F251)*(Комплекты[Обозначение]=$G251)*Комплекты[Кол-во]*(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25</v>
      </c>
      <c r="AW251" s="25"/>
      <c r="AX251" s="24"/>
      <c r="AY251" s="23">
        <v>25</v>
      </c>
      <c r="AZ251" s="24">
        <f>SUMPRODUCT((Комплекты[Пр]=$F251)*(Комплекты[Обозначение]=$G251)*Комплекты[Кол-во]*(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25</v>
      </c>
      <c r="BA251" s="25"/>
      <c r="BB251" s="24"/>
      <c r="BC251" s="23">
        <v>25</v>
      </c>
      <c r="BD251" s="24">
        <f>SUMPRODUCT((Комплекты[Пр]=$F251)*(Комплекты[Обозначение]=$G251)*Комплекты[Кол-во]*(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25</v>
      </c>
      <c r="BE251" s="25"/>
      <c r="BF251" s="24"/>
      <c r="BG251" s="23">
        <v>25</v>
      </c>
      <c r="BH251" s="24">
        <f>SUMPRODUCT((Комплекты[Пр]=$F251)*(Комплекты[Обозначение]=$G251)*Комплекты[Кол-во]*(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25</v>
      </c>
      <c r="BI251" s="25"/>
      <c r="BJ251" s="24"/>
      <c r="BK251" s="340"/>
      <c r="BL251" s="32">
        <f t="shared" si="76"/>
        <v>260</v>
      </c>
      <c r="BM251" s="32">
        <f t="shared" si="77"/>
        <v>0</v>
      </c>
      <c r="BN251" s="28">
        <f t="shared" si="78"/>
        <v>293</v>
      </c>
      <c r="BO251" s="29">
        <f t="shared" si="79"/>
        <v>0</v>
      </c>
      <c r="BP251" s="30">
        <f t="shared" si="80"/>
        <v>80</v>
      </c>
      <c r="BQ251" s="31">
        <f t="shared" si="81"/>
        <v>0</v>
      </c>
      <c r="BR251" s="11"/>
      <c r="BS251" s="329"/>
      <c r="BT251" s="23">
        <v>10</v>
      </c>
      <c r="BU251" s="24"/>
      <c r="BV251" s="25"/>
      <c r="BW251" s="24"/>
      <c r="BX251" s="23">
        <v>10</v>
      </c>
      <c r="BY251" s="24"/>
      <c r="BZ251" s="25"/>
      <c r="CA251" s="24"/>
      <c r="CB251" s="23">
        <v>10</v>
      </c>
      <c r="CC251" s="24"/>
      <c r="CD251" s="25"/>
      <c r="CE251" s="24"/>
      <c r="CF251" s="23">
        <v>10</v>
      </c>
      <c r="CG251" s="24"/>
      <c r="CH251" s="25"/>
      <c r="CI251" s="24"/>
      <c r="CJ251" s="23">
        <v>10</v>
      </c>
      <c r="CK251" s="24"/>
      <c r="CL251" s="25"/>
      <c r="CM251" s="24"/>
      <c r="CN251" s="23">
        <v>10</v>
      </c>
      <c r="CO251" s="24"/>
      <c r="CP251" s="25"/>
      <c r="CQ251" s="24"/>
      <c r="CR251" s="23">
        <v>10</v>
      </c>
      <c r="CS251" s="24"/>
      <c r="CT251" s="25"/>
      <c r="CU251" s="24"/>
      <c r="CV251" s="23">
        <v>10</v>
      </c>
      <c r="CW251" s="24"/>
      <c r="CX251" s="25"/>
      <c r="CY251" s="24"/>
      <c r="CZ251" s="23">
        <v>10</v>
      </c>
      <c r="DA251" s="24"/>
      <c r="DB251" s="25"/>
      <c r="DC251" s="24"/>
      <c r="DD251" s="23">
        <v>10</v>
      </c>
      <c r="DE251" s="24"/>
      <c r="DF251" s="25"/>
      <c r="DG251" s="24"/>
      <c r="DH251" s="23">
        <v>10</v>
      </c>
      <c r="DI251" s="24"/>
      <c r="DJ251" s="25"/>
      <c r="DK251" s="24"/>
      <c r="DL251" s="23">
        <v>10</v>
      </c>
      <c r="DM251" s="24"/>
      <c r="DN251" s="25"/>
      <c r="DO251" s="24"/>
      <c r="DP251" s="340"/>
      <c r="DQ251" s="32">
        <f t="shared" si="88"/>
        <v>120</v>
      </c>
      <c r="DR251" s="32">
        <f t="shared" si="85"/>
        <v>0</v>
      </c>
      <c r="DS251" s="11"/>
      <c r="DT251" s="329"/>
      <c r="DU251" s="23">
        <v>15</v>
      </c>
      <c r="DV251" s="24"/>
      <c r="DW251" s="25"/>
      <c r="DX251" s="24"/>
      <c r="DY251" s="23">
        <v>15</v>
      </c>
      <c r="DZ251" s="24"/>
      <c r="EA251" s="25"/>
      <c r="EB251" s="24"/>
      <c r="EC251" s="23">
        <v>15</v>
      </c>
      <c r="ED251" s="24"/>
      <c r="EE251" s="25"/>
      <c r="EF251" s="24"/>
      <c r="EG251" s="23">
        <v>15</v>
      </c>
      <c r="EH251" s="24"/>
      <c r="EI251" s="25"/>
      <c r="EJ251" s="24"/>
      <c r="EK251" s="23">
        <v>15</v>
      </c>
      <c r="EL251" s="24"/>
      <c r="EM251" s="25"/>
      <c r="EN251" s="24"/>
      <c r="EO251" s="23">
        <v>15</v>
      </c>
      <c r="EP251" s="24"/>
      <c r="EQ251" s="25"/>
      <c r="ER251" s="24"/>
      <c r="ES251" s="23">
        <v>15</v>
      </c>
      <c r="ET251" s="24"/>
      <c r="EU251" s="25"/>
      <c r="EV251" s="24"/>
      <c r="EW251" s="23">
        <v>15</v>
      </c>
      <c r="EX251" s="24"/>
      <c r="EY251" s="25"/>
      <c r="EZ251" s="24"/>
      <c r="FA251" s="23">
        <v>15</v>
      </c>
      <c r="FB251" s="24"/>
      <c r="FC251" s="25"/>
      <c r="FD251" s="24"/>
      <c r="FE251" s="23">
        <v>15</v>
      </c>
      <c r="FF251" s="24"/>
      <c r="FG251" s="25"/>
      <c r="FH251" s="24"/>
      <c r="FI251" s="23">
        <v>15</v>
      </c>
      <c r="FJ251" s="24"/>
      <c r="FK251" s="25"/>
      <c r="FL251" s="24"/>
      <c r="FM251" s="23">
        <v>15</v>
      </c>
      <c r="FN251" s="24"/>
      <c r="FO251" s="25"/>
      <c r="FP251" s="24"/>
      <c r="FQ251" s="340"/>
      <c r="FR251" s="32">
        <f t="shared" si="89"/>
        <v>180</v>
      </c>
      <c r="FS251" s="32">
        <f t="shared" si="86"/>
        <v>0</v>
      </c>
      <c r="FT251" s="361"/>
    </row>
    <row r="252" spans="1:176" outlineLevel="2">
      <c r="A252" s="56" t="s">
        <v>470</v>
      </c>
      <c r="B252" s="387" t="s">
        <v>134</v>
      </c>
      <c r="C252" s="173" t="s">
        <v>72</v>
      </c>
      <c r="D252" s="565" t="s">
        <v>32</v>
      </c>
      <c r="E252" s="10">
        <f>IF(ISBLANK(G252),"",IF($A$6:$A$330=$A252,COUNTIF($A$6:A252,$A252),""))</f>
        <v>58</v>
      </c>
      <c r="F252" s="123">
        <v>1</v>
      </c>
      <c r="G252" s="128">
        <v>9710029000</v>
      </c>
      <c r="H252" s="612" t="s">
        <v>75</v>
      </c>
      <c r="I252" s="618">
        <v>0</v>
      </c>
      <c r="J252" s="618"/>
      <c r="K252" s="126"/>
      <c r="L252" s="618" t="str">
        <f t="shared" si="87"/>
        <v/>
      </c>
      <c r="M252" s="102"/>
      <c r="N252" s="305">
        <f t="shared" si="75"/>
        <v>1</v>
      </c>
      <c r="O252" s="23">
        <v>20</v>
      </c>
      <c r="P252" s="24"/>
      <c r="Q252" s="25"/>
      <c r="R252" s="24"/>
      <c r="S252" s="23">
        <v>20</v>
      </c>
      <c r="T252" s="24">
        <f>SUMPRODUCT((Комплекты[Пр]=$F252)*(Комплекты[Обозначение]=$G252)*Комплекты[Кол-во]*(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26</v>
      </c>
      <c r="U252" s="25">
        <f>SUMPRODUCT((Комплекты[Пр]=$F252)*(Комплекты[Обозначение]=$G252)*Комплекты[Кол-во]*(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26</v>
      </c>
      <c r="V252" s="24"/>
      <c r="W252" s="23">
        <v>20</v>
      </c>
      <c r="X252" s="24">
        <f>SUMPRODUCT((Комплекты[Пр]=$F252)*(Комплекты[Обозначение]=$G252)*Комплекты[Кол-во]*(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34</v>
      </c>
      <c r="Y252" s="25">
        <f>SUMPRODUCT((Комплекты[Пр]=$F252)*(Комплекты[Обозначение]=$G252)*Комплекты[Кол-во]*(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34</v>
      </c>
      <c r="Z252" s="24"/>
      <c r="AA252" s="23">
        <v>20</v>
      </c>
      <c r="AB252" s="24">
        <f>SUMPRODUCT((Комплекты[Пр]=$F252)*(Комплекты[Обозначение]=$G252)*Комплекты[Кол-во]*(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38</v>
      </c>
      <c r="AC252" s="25"/>
      <c r="AD252" s="24"/>
      <c r="AE252" s="23">
        <v>20</v>
      </c>
      <c r="AF252" s="24">
        <f>SUMPRODUCT((Комплекты[Пр]=$F252)*(Комплекты[Обозначение]=$G252)*Комплекты[Кол-во]*(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20</v>
      </c>
      <c r="AG252" s="25">
        <f>SUMPRODUCT((Комплекты[Пр]=$F252)*(Комплекты[Обозначение]=$G252)*Комплекты[Кол-во]*(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20</v>
      </c>
      <c r="AH252" s="24"/>
      <c r="AI252" s="23">
        <v>20</v>
      </c>
      <c r="AJ252" s="24">
        <f>SUMPRODUCT((Комплекты[Пр]=$F252)*(Комплекты[Обозначение]=$G252)*Комплекты[Кол-во]*(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30</v>
      </c>
      <c r="AK252" s="25"/>
      <c r="AL252" s="24"/>
      <c r="AM252" s="23">
        <v>20</v>
      </c>
      <c r="AN252" s="24">
        <f>SUMPRODUCT((Комплекты[Пр]=$F252)*(Комплекты[Обозначение]=$G252)*Комплекты[Кол-во]*(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25</v>
      </c>
      <c r="AO252" s="25"/>
      <c r="AP252" s="24"/>
      <c r="AQ252" s="23">
        <v>20</v>
      </c>
      <c r="AR252" s="24">
        <f>SUMPRODUCT((Комплекты[Пр]=$F252)*(Комплекты[Обозначение]=$G252)*Комплекты[Кол-во]*(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20</v>
      </c>
      <c r="AS252" s="25"/>
      <c r="AT252" s="24"/>
      <c r="AU252" s="23">
        <v>25</v>
      </c>
      <c r="AV252" s="24">
        <f>SUMPRODUCT((Комплекты[Пр]=$F252)*(Комплекты[Обозначение]=$G252)*Комплекты[Кол-во]*(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25</v>
      </c>
      <c r="AW252" s="25"/>
      <c r="AX252" s="24"/>
      <c r="AY252" s="23">
        <v>25</v>
      </c>
      <c r="AZ252" s="24">
        <f>SUMPRODUCT((Комплекты[Пр]=$F252)*(Комплекты[Обозначение]=$G252)*Комплекты[Кол-во]*(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25</v>
      </c>
      <c r="BA252" s="25"/>
      <c r="BB252" s="24"/>
      <c r="BC252" s="23">
        <v>25</v>
      </c>
      <c r="BD252" s="24">
        <f>SUMPRODUCT((Комплекты[Пр]=$F252)*(Комплекты[Обозначение]=$G252)*Комплекты[Кол-во]*(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25</v>
      </c>
      <c r="BE252" s="25"/>
      <c r="BF252" s="24"/>
      <c r="BG252" s="23">
        <v>25</v>
      </c>
      <c r="BH252" s="24">
        <f>SUMPRODUCT((Комплекты[Пр]=$F252)*(Комплекты[Обозначение]=$G252)*Комплекты[Кол-во]*(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25</v>
      </c>
      <c r="BI252" s="25"/>
      <c r="BJ252" s="24"/>
      <c r="BK252" s="340"/>
      <c r="BL252" s="32">
        <f t="shared" si="76"/>
        <v>260</v>
      </c>
      <c r="BM252" s="32">
        <f t="shared" si="77"/>
        <v>0</v>
      </c>
      <c r="BN252" s="28">
        <f t="shared" si="78"/>
        <v>293</v>
      </c>
      <c r="BO252" s="29">
        <f t="shared" si="79"/>
        <v>0</v>
      </c>
      <c r="BP252" s="30">
        <f t="shared" si="80"/>
        <v>80</v>
      </c>
      <c r="BQ252" s="31">
        <f t="shared" si="81"/>
        <v>0</v>
      </c>
      <c r="BR252" s="11"/>
      <c r="BS252" s="329"/>
      <c r="BT252" s="23">
        <v>10</v>
      </c>
      <c r="BU252" s="24"/>
      <c r="BV252" s="25"/>
      <c r="BW252" s="24"/>
      <c r="BX252" s="23">
        <v>10</v>
      </c>
      <c r="BY252" s="24"/>
      <c r="BZ252" s="25"/>
      <c r="CA252" s="24"/>
      <c r="CB252" s="23">
        <v>10</v>
      </c>
      <c r="CC252" s="24"/>
      <c r="CD252" s="25"/>
      <c r="CE252" s="24"/>
      <c r="CF252" s="23">
        <v>10</v>
      </c>
      <c r="CG252" s="24"/>
      <c r="CH252" s="25"/>
      <c r="CI252" s="24"/>
      <c r="CJ252" s="23">
        <v>10</v>
      </c>
      <c r="CK252" s="24"/>
      <c r="CL252" s="25"/>
      <c r="CM252" s="24"/>
      <c r="CN252" s="23">
        <v>10</v>
      </c>
      <c r="CO252" s="24"/>
      <c r="CP252" s="25"/>
      <c r="CQ252" s="24"/>
      <c r="CR252" s="23">
        <v>10</v>
      </c>
      <c r="CS252" s="24"/>
      <c r="CT252" s="25"/>
      <c r="CU252" s="24"/>
      <c r="CV252" s="23">
        <v>10</v>
      </c>
      <c r="CW252" s="24"/>
      <c r="CX252" s="25"/>
      <c r="CY252" s="24"/>
      <c r="CZ252" s="23">
        <v>10</v>
      </c>
      <c r="DA252" s="24"/>
      <c r="DB252" s="25"/>
      <c r="DC252" s="24"/>
      <c r="DD252" s="23">
        <v>10</v>
      </c>
      <c r="DE252" s="24"/>
      <c r="DF252" s="25"/>
      <c r="DG252" s="24"/>
      <c r="DH252" s="23">
        <v>10</v>
      </c>
      <c r="DI252" s="24"/>
      <c r="DJ252" s="25"/>
      <c r="DK252" s="24"/>
      <c r="DL252" s="23">
        <v>10</v>
      </c>
      <c r="DM252" s="24"/>
      <c r="DN252" s="25"/>
      <c r="DO252" s="24"/>
      <c r="DP252" s="340"/>
      <c r="DQ252" s="32">
        <f t="shared" si="88"/>
        <v>120</v>
      </c>
      <c r="DR252" s="32">
        <f t="shared" si="85"/>
        <v>0</v>
      </c>
      <c r="DS252" s="11"/>
      <c r="DT252" s="329"/>
      <c r="DU252" s="23">
        <v>15</v>
      </c>
      <c r="DV252" s="24"/>
      <c r="DW252" s="25"/>
      <c r="DX252" s="24"/>
      <c r="DY252" s="23">
        <v>15</v>
      </c>
      <c r="DZ252" s="24"/>
      <c r="EA252" s="25"/>
      <c r="EB252" s="24"/>
      <c r="EC252" s="23">
        <v>15</v>
      </c>
      <c r="ED252" s="24"/>
      <c r="EE252" s="25"/>
      <c r="EF252" s="24"/>
      <c r="EG252" s="23">
        <v>15</v>
      </c>
      <c r="EH252" s="24"/>
      <c r="EI252" s="25"/>
      <c r="EJ252" s="24"/>
      <c r="EK252" s="23">
        <v>15</v>
      </c>
      <c r="EL252" s="24"/>
      <c r="EM252" s="25"/>
      <c r="EN252" s="24"/>
      <c r="EO252" s="23">
        <v>15</v>
      </c>
      <c r="EP252" s="24"/>
      <c r="EQ252" s="25"/>
      <c r="ER252" s="24"/>
      <c r="ES252" s="23">
        <v>15</v>
      </c>
      <c r="ET252" s="24"/>
      <c r="EU252" s="25"/>
      <c r="EV252" s="24"/>
      <c r="EW252" s="23">
        <v>15</v>
      </c>
      <c r="EX252" s="24"/>
      <c r="EY252" s="25"/>
      <c r="EZ252" s="24"/>
      <c r="FA252" s="23">
        <v>15</v>
      </c>
      <c r="FB252" s="24"/>
      <c r="FC252" s="25"/>
      <c r="FD252" s="24"/>
      <c r="FE252" s="23">
        <v>15</v>
      </c>
      <c r="FF252" s="24"/>
      <c r="FG252" s="25"/>
      <c r="FH252" s="24"/>
      <c r="FI252" s="23">
        <v>15</v>
      </c>
      <c r="FJ252" s="24"/>
      <c r="FK252" s="25"/>
      <c r="FL252" s="24"/>
      <c r="FM252" s="23">
        <v>15</v>
      </c>
      <c r="FN252" s="24"/>
      <c r="FO252" s="25"/>
      <c r="FP252" s="24"/>
      <c r="FQ252" s="340"/>
      <c r="FR252" s="32">
        <f t="shared" si="89"/>
        <v>180</v>
      </c>
      <c r="FS252" s="32">
        <f t="shared" si="86"/>
        <v>0</v>
      </c>
      <c r="FT252" s="361"/>
    </row>
    <row r="253" spans="1:176" outlineLevel="2">
      <c r="A253" s="56" t="s">
        <v>470</v>
      </c>
      <c r="B253" s="387" t="s">
        <v>134</v>
      </c>
      <c r="C253" s="173" t="s">
        <v>72</v>
      </c>
      <c r="D253" s="565" t="s">
        <v>32</v>
      </c>
      <c r="E253" s="10">
        <f>IF(ISBLANK(G253),"",IF($A$6:$A$330=$A253,COUNTIF($A$6:A253,$A253),""))</f>
        <v>59</v>
      </c>
      <c r="F253" s="123">
        <v>1</v>
      </c>
      <c r="G253" s="128">
        <v>4801020640</v>
      </c>
      <c r="H253" s="612" t="s">
        <v>124</v>
      </c>
      <c r="I253" s="618">
        <v>0</v>
      </c>
      <c r="J253" s="618"/>
      <c r="K253" s="126"/>
      <c r="L253" s="618" t="str">
        <f t="shared" si="87"/>
        <v/>
      </c>
      <c r="M253" s="102"/>
      <c r="N253" s="305">
        <f t="shared" si="75"/>
        <v>1</v>
      </c>
      <c r="O253" s="23">
        <v>20</v>
      </c>
      <c r="P253" s="24"/>
      <c r="Q253" s="25"/>
      <c r="R253" s="24"/>
      <c r="S253" s="23">
        <v>20</v>
      </c>
      <c r="T253" s="24">
        <f>SUMPRODUCT((Комплекты[Пр]=$F253)*(Комплекты[Обозначение]=$G253)*Комплекты[Кол-во]*(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26</v>
      </c>
      <c r="U253" s="25">
        <f>SUMPRODUCT((Комплекты[Пр]=$F253)*(Комплекты[Обозначение]=$G253)*Комплекты[Кол-во]*(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26</v>
      </c>
      <c r="V253" s="24"/>
      <c r="W253" s="23">
        <v>20</v>
      </c>
      <c r="X253" s="24">
        <f>SUMPRODUCT((Комплекты[Пр]=$F253)*(Комплекты[Обозначение]=$G253)*Комплекты[Кол-во]*(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34</v>
      </c>
      <c r="Y253" s="25">
        <f>SUMPRODUCT((Комплекты[Пр]=$F253)*(Комплекты[Обозначение]=$G253)*Комплекты[Кол-во]*(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34</v>
      </c>
      <c r="Z253" s="24"/>
      <c r="AA253" s="23">
        <v>20</v>
      </c>
      <c r="AB253" s="24">
        <f>SUMPRODUCT((Комплекты[Пр]=$F253)*(Комплекты[Обозначение]=$G253)*Комплекты[Кол-во]*(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38</v>
      </c>
      <c r="AC253" s="25"/>
      <c r="AD253" s="24"/>
      <c r="AE253" s="23">
        <v>20</v>
      </c>
      <c r="AF253" s="24">
        <f>SUMPRODUCT((Комплекты[Пр]=$F253)*(Комплекты[Обозначение]=$G253)*Комплекты[Кол-во]*(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20</v>
      </c>
      <c r="AG253" s="25">
        <f>SUMPRODUCT((Комплекты[Пр]=$F253)*(Комплекты[Обозначение]=$G253)*Комплекты[Кол-во]*(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20</v>
      </c>
      <c r="AH253" s="24"/>
      <c r="AI253" s="23">
        <v>20</v>
      </c>
      <c r="AJ253" s="24">
        <f>SUMPRODUCT((Комплекты[Пр]=$F253)*(Комплекты[Обозначение]=$G253)*Комплекты[Кол-во]*(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30</v>
      </c>
      <c r="AK253" s="25"/>
      <c r="AL253" s="24"/>
      <c r="AM253" s="23">
        <v>20</v>
      </c>
      <c r="AN253" s="24">
        <f>SUMPRODUCT((Комплекты[Пр]=$F253)*(Комплекты[Обозначение]=$G253)*Комплекты[Кол-во]*(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25</v>
      </c>
      <c r="AO253" s="25"/>
      <c r="AP253" s="24"/>
      <c r="AQ253" s="23">
        <v>20</v>
      </c>
      <c r="AR253" s="24">
        <f>SUMPRODUCT((Комплекты[Пр]=$F253)*(Комплекты[Обозначение]=$G253)*Комплекты[Кол-во]*(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20</v>
      </c>
      <c r="AS253" s="25"/>
      <c r="AT253" s="24"/>
      <c r="AU253" s="23">
        <v>25</v>
      </c>
      <c r="AV253" s="24">
        <f>SUMPRODUCT((Комплекты[Пр]=$F253)*(Комплекты[Обозначение]=$G253)*Комплекты[Кол-во]*(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25</v>
      </c>
      <c r="AW253" s="25"/>
      <c r="AX253" s="24"/>
      <c r="AY253" s="23">
        <v>25</v>
      </c>
      <c r="AZ253" s="24">
        <f>SUMPRODUCT((Комплекты[Пр]=$F253)*(Комплекты[Обозначение]=$G253)*Комплекты[Кол-во]*(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25</v>
      </c>
      <c r="BA253" s="25"/>
      <c r="BB253" s="24"/>
      <c r="BC253" s="23">
        <v>25</v>
      </c>
      <c r="BD253" s="24">
        <f>SUMPRODUCT((Комплекты[Пр]=$F253)*(Комплекты[Обозначение]=$G253)*Комплекты[Кол-во]*(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25</v>
      </c>
      <c r="BE253" s="25"/>
      <c r="BF253" s="24"/>
      <c r="BG253" s="23">
        <v>25</v>
      </c>
      <c r="BH253" s="24">
        <f>SUMPRODUCT((Комплекты[Пр]=$F253)*(Комплекты[Обозначение]=$G253)*Комплекты[Кол-во]*(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25</v>
      </c>
      <c r="BI253" s="25"/>
      <c r="BJ253" s="24"/>
      <c r="BK253" s="340"/>
      <c r="BL253" s="32">
        <f t="shared" si="76"/>
        <v>260</v>
      </c>
      <c r="BM253" s="32">
        <f t="shared" si="77"/>
        <v>0</v>
      </c>
      <c r="BN253" s="28">
        <f t="shared" si="78"/>
        <v>293</v>
      </c>
      <c r="BO253" s="29">
        <f t="shared" si="79"/>
        <v>0</v>
      </c>
      <c r="BP253" s="30">
        <f t="shared" si="80"/>
        <v>80</v>
      </c>
      <c r="BQ253" s="31">
        <f t="shared" si="81"/>
        <v>0</v>
      </c>
      <c r="BR253" s="11"/>
      <c r="BS253" s="329"/>
      <c r="BT253" s="23">
        <v>10</v>
      </c>
      <c r="BU253" s="24"/>
      <c r="BV253" s="25"/>
      <c r="BW253" s="24"/>
      <c r="BX253" s="23">
        <v>10</v>
      </c>
      <c r="BY253" s="24"/>
      <c r="BZ253" s="25"/>
      <c r="CA253" s="24"/>
      <c r="CB253" s="23">
        <v>10</v>
      </c>
      <c r="CC253" s="24"/>
      <c r="CD253" s="25"/>
      <c r="CE253" s="24"/>
      <c r="CF253" s="23">
        <v>10</v>
      </c>
      <c r="CG253" s="24"/>
      <c r="CH253" s="25"/>
      <c r="CI253" s="24"/>
      <c r="CJ253" s="23">
        <v>10</v>
      </c>
      <c r="CK253" s="24"/>
      <c r="CL253" s="25"/>
      <c r="CM253" s="24"/>
      <c r="CN253" s="23">
        <v>10</v>
      </c>
      <c r="CO253" s="24"/>
      <c r="CP253" s="25"/>
      <c r="CQ253" s="24"/>
      <c r="CR253" s="23">
        <v>10</v>
      </c>
      <c r="CS253" s="24"/>
      <c r="CT253" s="25"/>
      <c r="CU253" s="24"/>
      <c r="CV253" s="23">
        <v>10</v>
      </c>
      <c r="CW253" s="24"/>
      <c r="CX253" s="25"/>
      <c r="CY253" s="24"/>
      <c r="CZ253" s="23">
        <v>10</v>
      </c>
      <c r="DA253" s="24"/>
      <c r="DB253" s="25"/>
      <c r="DC253" s="24"/>
      <c r="DD253" s="23">
        <v>10</v>
      </c>
      <c r="DE253" s="24"/>
      <c r="DF253" s="25"/>
      <c r="DG253" s="24"/>
      <c r="DH253" s="23">
        <v>10</v>
      </c>
      <c r="DI253" s="24"/>
      <c r="DJ253" s="25"/>
      <c r="DK253" s="24"/>
      <c r="DL253" s="23">
        <v>10</v>
      </c>
      <c r="DM253" s="24"/>
      <c r="DN253" s="25"/>
      <c r="DO253" s="24"/>
      <c r="DP253" s="340"/>
      <c r="DQ253" s="32">
        <f t="shared" si="88"/>
        <v>120</v>
      </c>
      <c r="DR253" s="32">
        <f t="shared" si="85"/>
        <v>0</v>
      </c>
      <c r="DS253" s="11"/>
      <c r="DT253" s="329"/>
      <c r="DU253" s="23">
        <v>15</v>
      </c>
      <c r="DV253" s="24"/>
      <c r="DW253" s="25"/>
      <c r="DX253" s="24"/>
      <c r="DY253" s="23">
        <v>15</v>
      </c>
      <c r="DZ253" s="24"/>
      <c r="EA253" s="25"/>
      <c r="EB253" s="24"/>
      <c r="EC253" s="23">
        <v>15</v>
      </c>
      <c r="ED253" s="24"/>
      <c r="EE253" s="25"/>
      <c r="EF253" s="24"/>
      <c r="EG253" s="23">
        <v>15</v>
      </c>
      <c r="EH253" s="24"/>
      <c r="EI253" s="25"/>
      <c r="EJ253" s="24"/>
      <c r="EK253" s="23">
        <v>15</v>
      </c>
      <c r="EL253" s="24"/>
      <c r="EM253" s="25"/>
      <c r="EN253" s="24"/>
      <c r="EO253" s="23">
        <v>15</v>
      </c>
      <c r="EP253" s="24"/>
      <c r="EQ253" s="25"/>
      <c r="ER253" s="24"/>
      <c r="ES253" s="23">
        <v>15</v>
      </c>
      <c r="ET253" s="24"/>
      <c r="EU253" s="25"/>
      <c r="EV253" s="24"/>
      <c r="EW253" s="23">
        <v>15</v>
      </c>
      <c r="EX253" s="24"/>
      <c r="EY253" s="25"/>
      <c r="EZ253" s="24"/>
      <c r="FA253" s="23">
        <v>15</v>
      </c>
      <c r="FB253" s="24"/>
      <c r="FC253" s="25"/>
      <c r="FD253" s="24"/>
      <c r="FE253" s="23">
        <v>15</v>
      </c>
      <c r="FF253" s="24"/>
      <c r="FG253" s="25"/>
      <c r="FH253" s="24"/>
      <c r="FI253" s="23">
        <v>15</v>
      </c>
      <c r="FJ253" s="24"/>
      <c r="FK253" s="25"/>
      <c r="FL253" s="24"/>
      <c r="FM253" s="23">
        <v>15</v>
      </c>
      <c r="FN253" s="24"/>
      <c r="FO253" s="25"/>
      <c r="FP253" s="24"/>
      <c r="FQ253" s="340"/>
      <c r="FR253" s="32">
        <f t="shared" si="89"/>
        <v>180</v>
      </c>
      <c r="FS253" s="32">
        <f t="shared" si="86"/>
        <v>0</v>
      </c>
      <c r="FT253" s="361"/>
    </row>
    <row r="254" spans="1:176" outlineLevel="2">
      <c r="A254" s="56" t="s">
        <v>470</v>
      </c>
      <c r="B254" s="387" t="s">
        <v>134</v>
      </c>
      <c r="C254" s="173" t="s">
        <v>72</v>
      </c>
      <c r="D254" s="565" t="s">
        <v>32</v>
      </c>
      <c r="E254" s="10">
        <f>IF(ISBLANK(G254),"",IF($A$6:$A$330=$A254,COUNTIF($A$6:A254,$A254),""))</f>
        <v>60</v>
      </c>
      <c r="F254" s="123">
        <v>1</v>
      </c>
      <c r="G254" s="128">
        <v>4491731500</v>
      </c>
      <c r="H254" s="612" t="s">
        <v>77</v>
      </c>
      <c r="I254" s="618">
        <v>0</v>
      </c>
      <c r="J254" s="618"/>
      <c r="K254" s="126"/>
      <c r="L254" s="618" t="str">
        <f t="shared" si="87"/>
        <v/>
      </c>
      <c r="M254" s="102"/>
      <c r="N254" s="305">
        <f t="shared" si="75"/>
        <v>1</v>
      </c>
      <c r="O254" s="23">
        <v>20</v>
      </c>
      <c r="P254" s="24"/>
      <c r="Q254" s="25"/>
      <c r="R254" s="24"/>
      <c r="S254" s="23">
        <v>20</v>
      </c>
      <c r="T254" s="24">
        <f>SUMPRODUCT((Комплекты[Пр]=$F254)*(Комплекты[Обозначение]=$G254)*Комплекты[Кол-во]*(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26</v>
      </c>
      <c r="U254" s="25">
        <f>SUMPRODUCT((Комплекты[Пр]=$F254)*(Комплекты[Обозначение]=$G254)*Комплекты[Кол-во]*(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26</v>
      </c>
      <c r="V254" s="24"/>
      <c r="W254" s="23">
        <v>20</v>
      </c>
      <c r="X254" s="24">
        <f>SUMPRODUCT((Комплекты[Пр]=$F254)*(Комплекты[Обозначение]=$G254)*Комплекты[Кол-во]*(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34</v>
      </c>
      <c r="Y254" s="25">
        <f>SUMPRODUCT((Комплекты[Пр]=$F254)*(Комплекты[Обозначение]=$G254)*Комплекты[Кол-во]*(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34</v>
      </c>
      <c r="Z254" s="24"/>
      <c r="AA254" s="23">
        <v>20</v>
      </c>
      <c r="AB254" s="24">
        <f>SUMPRODUCT((Комплекты[Пр]=$F254)*(Комплекты[Обозначение]=$G254)*Комплекты[Кол-во]*(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38</v>
      </c>
      <c r="AC254" s="25"/>
      <c r="AD254" s="24"/>
      <c r="AE254" s="23">
        <v>20</v>
      </c>
      <c r="AF254" s="24">
        <f>SUMPRODUCT((Комплекты[Пр]=$F254)*(Комплекты[Обозначение]=$G254)*Комплекты[Кол-во]*(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20</v>
      </c>
      <c r="AG254" s="25">
        <f>SUMPRODUCT((Комплекты[Пр]=$F254)*(Комплекты[Обозначение]=$G254)*Комплекты[Кол-во]*(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20</v>
      </c>
      <c r="AH254" s="24"/>
      <c r="AI254" s="23">
        <v>20</v>
      </c>
      <c r="AJ254" s="24">
        <f>SUMPRODUCT((Комплекты[Пр]=$F254)*(Комплекты[Обозначение]=$G254)*Комплекты[Кол-во]*(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30</v>
      </c>
      <c r="AK254" s="25"/>
      <c r="AL254" s="24"/>
      <c r="AM254" s="23">
        <v>20</v>
      </c>
      <c r="AN254" s="24">
        <f>SUMPRODUCT((Комплекты[Пр]=$F254)*(Комплекты[Обозначение]=$G254)*Комплекты[Кол-во]*(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25</v>
      </c>
      <c r="AO254" s="25"/>
      <c r="AP254" s="24"/>
      <c r="AQ254" s="23">
        <v>20</v>
      </c>
      <c r="AR254" s="24">
        <f>SUMPRODUCT((Комплекты[Пр]=$F254)*(Комплекты[Обозначение]=$G254)*Комплекты[Кол-во]*(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20</v>
      </c>
      <c r="AS254" s="25"/>
      <c r="AT254" s="24"/>
      <c r="AU254" s="23">
        <v>25</v>
      </c>
      <c r="AV254" s="24">
        <f>SUMPRODUCT((Комплекты[Пр]=$F254)*(Комплекты[Обозначение]=$G254)*Комплекты[Кол-во]*(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25</v>
      </c>
      <c r="AW254" s="25"/>
      <c r="AX254" s="24"/>
      <c r="AY254" s="23">
        <v>25</v>
      </c>
      <c r="AZ254" s="24">
        <f>SUMPRODUCT((Комплекты[Пр]=$F254)*(Комплекты[Обозначение]=$G254)*Комплекты[Кол-во]*(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25</v>
      </c>
      <c r="BA254" s="25"/>
      <c r="BB254" s="24"/>
      <c r="BC254" s="23">
        <v>25</v>
      </c>
      <c r="BD254" s="24">
        <f>SUMPRODUCT((Комплекты[Пр]=$F254)*(Комплекты[Обозначение]=$G254)*Комплекты[Кол-во]*(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25</v>
      </c>
      <c r="BE254" s="25"/>
      <c r="BF254" s="24"/>
      <c r="BG254" s="23">
        <v>25</v>
      </c>
      <c r="BH254" s="24">
        <f>SUMPRODUCT((Комплекты[Пр]=$F254)*(Комплекты[Обозначение]=$G254)*Комплекты[Кол-во]*(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25</v>
      </c>
      <c r="BI254" s="25"/>
      <c r="BJ254" s="24"/>
      <c r="BK254" s="340"/>
      <c r="BL254" s="32">
        <f t="shared" si="76"/>
        <v>260</v>
      </c>
      <c r="BM254" s="32">
        <f t="shared" si="77"/>
        <v>0</v>
      </c>
      <c r="BN254" s="28">
        <f t="shared" si="78"/>
        <v>293</v>
      </c>
      <c r="BO254" s="29">
        <f t="shared" si="79"/>
        <v>0</v>
      </c>
      <c r="BP254" s="30">
        <f t="shared" si="80"/>
        <v>80</v>
      </c>
      <c r="BQ254" s="31">
        <f t="shared" si="81"/>
        <v>0</v>
      </c>
      <c r="BR254" s="11"/>
      <c r="BS254" s="329"/>
      <c r="BT254" s="23">
        <v>10</v>
      </c>
      <c r="BU254" s="24"/>
      <c r="BV254" s="25"/>
      <c r="BW254" s="24"/>
      <c r="BX254" s="23">
        <v>10</v>
      </c>
      <c r="BY254" s="24"/>
      <c r="BZ254" s="25"/>
      <c r="CA254" s="24"/>
      <c r="CB254" s="23">
        <v>10</v>
      </c>
      <c r="CC254" s="24"/>
      <c r="CD254" s="25"/>
      <c r="CE254" s="24"/>
      <c r="CF254" s="23">
        <v>10</v>
      </c>
      <c r="CG254" s="24"/>
      <c r="CH254" s="25"/>
      <c r="CI254" s="24"/>
      <c r="CJ254" s="23">
        <v>10</v>
      </c>
      <c r="CK254" s="24"/>
      <c r="CL254" s="25"/>
      <c r="CM254" s="24"/>
      <c r="CN254" s="23">
        <v>10</v>
      </c>
      <c r="CO254" s="24"/>
      <c r="CP254" s="25"/>
      <c r="CQ254" s="24"/>
      <c r="CR254" s="23">
        <v>10</v>
      </c>
      <c r="CS254" s="24"/>
      <c r="CT254" s="25"/>
      <c r="CU254" s="24"/>
      <c r="CV254" s="23">
        <v>10</v>
      </c>
      <c r="CW254" s="24"/>
      <c r="CX254" s="25"/>
      <c r="CY254" s="24"/>
      <c r="CZ254" s="23">
        <v>10</v>
      </c>
      <c r="DA254" s="24"/>
      <c r="DB254" s="25"/>
      <c r="DC254" s="24"/>
      <c r="DD254" s="23">
        <v>10</v>
      </c>
      <c r="DE254" s="24"/>
      <c r="DF254" s="25"/>
      <c r="DG254" s="24"/>
      <c r="DH254" s="23">
        <v>10</v>
      </c>
      <c r="DI254" s="24"/>
      <c r="DJ254" s="25"/>
      <c r="DK254" s="24"/>
      <c r="DL254" s="23">
        <v>10</v>
      </c>
      <c r="DM254" s="24"/>
      <c r="DN254" s="25"/>
      <c r="DO254" s="24"/>
      <c r="DP254" s="340"/>
      <c r="DQ254" s="32">
        <f t="shared" si="88"/>
        <v>120</v>
      </c>
      <c r="DR254" s="32">
        <f t="shared" si="85"/>
        <v>0</v>
      </c>
      <c r="DS254" s="11"/>
      <c r="DT254" s="329"/>
      <c r="DU254" s="23">
        <v>15</v>
      </c>
      <c r="DV254" s="24"/>
      <c r="DW254" s="25"/>
      <c r="DX254" s="24"/>
      <c r="DY254" s="23">
        <v>15</v>
      </c>
      <c r="DZ254" s="24"/>
      <c r="EA254" s="25"/>
      <c r="EB254" s="24"/>
      <c r="EC254" s="23">
        <v>15</v>
      </c>
      <c r="ED254" s="24"/>
      <c r="EE254" s="25"/>
      <c r="EF254" s="24"/>
      <c r="EG254" s="23">
        <v>15</v>
      </c>
      <c r="EH254" s="24"/>
      <c r="EI254" s="25"/>
      <c r="EJ254" s="24"/>
      <c r="EK254" s="23">
        <v>15</v>
      </c>
      <c r="EL254" s="24"/>
      <c r="EM254" s="25"/>
      <c r="EN254" s="24"/>
      <c r="EO254" s="23">
        <v>15</v>
      </c>
      <c r="EP254" s="24"/>
      <c r="EQ254" s="25"/>
      <c r="ER254" s="24"/>
      <c r="ES254" s="23">
        <v>15</v>
      </c>
      <c r="ET254" s="24"/>
      <c r="EU254" s="25"/>
      <c r="EV254" s="24"/>
      <c r="EW254" s="23">
        <v>15</v>
      </c>
      <c r="EX254" s="24"/>
      <c r="EY254" s="25"/>
      <c r="EZ254" s="24"/>
      <c r="FA254" s="23">
        <v>15</v>
      </c>
      <c r="FB254" s="24"/>
      <c r="FC254" s="25"/>
      <c r="FD254" s="24"/>
      <c r="FE254" s="23">
        <v>15</v>
      </c>
      <c r="FF254" s="24"/>
      <c r="FG254" s="25"/>
      <c r="FH254" s="24"/>
      <c r="FI254" s="23">
        <v>15</v>
      </c>
      <c r="FJ254" s="24"/>
      <c r="FK254" s="25"/>
      <c r="FL254" s="24"/>
      <c r="FM254" s="23">
        <v>15</v>
      </c>
      <c r="FN254" s="24"/>
      <c r="FO254" s="25"/>
      <c r="FP254" s="24"/>
      <c r="FQ254" s="340"/>
      <c r="FR254" s="32">
        <f t="shared" si="89"/>
        <v>180</v>
      </c>
      <c r="FS254" s="32">
        <f t="shared" si="86"/>
        <v>0</v>
      </c>
      <c r="FT254" s="361"/>
    </row>
    <row r="255" spans="1:176" outlineLevel="2">
      <c r="A255" s="56" t="s">
        <v>470</v>
      </c>
      <c r="B255" s="387" t="s">
        <v>134</v>
      </c>
      <c r="C255" s="173" t="s">
        <v>72</v>
      </c>
      <c r="D255" s="565" t="s">
        <v>32</v>
      </c>
      <c r="E255" s="10">
        <f>IF(ISBLANK(G255),"",IF($A$6:$A$330=$A255,COUNTIF($A$6:A255,$A255),""))</f>
        <v>61</v>
      </c>
      <c r="F255" s="123">
        <v>1</v>
      </c>
      <c r="G255" s="128">
        <v>4497230500</v>
      </c>
      <c r="H255" s="612" t="s">
        <v>78</v>
      </c>
      <c r="I255" s="618">
        <v>0</v>
      </c>
      <c r="J255" s="618"/>
      <c r="K255" s="126"/>
      <c r="L255" s="618" t="str">
        <f t="shared" si="87"/>
        <v/>
      </c>
      <c r="M255" s="102"/>
      <c r="N255" s="305">
        <f t="shared" si="75"/>
        <v>1</v>
      </c>
      <c r="O255" s="23">
        <v>40</v>
      </c>
      <c r="P255" s="24"/>
      <c r="Q255" s="25"/>
      <c r="R255" s="24"/>
      <c r="S255" s="23">
        <v>40</v>
      </c>
      <c r="T255" s="24">
        <f>SUMPRODUCT((Комплекты[Пр]=$F255)*(Комплекты[Обозначение]=$G255)*Комплекты[Кол-во]*(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52</v>
      </c>
      <c r="U255" s="25">
        <f>SUMPRODUCT((Комплекты[Пр]=$F255)*(Комплекты[Обозначение]=$G255)*Комплекты[Кол-во]*(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52</v>
      </c>
      <c r="V255" s="24"/>
      <c r="W255" s="23">
        <v>40</v>
      </c>
      <c r="X255" s="24">
        <f>SUMPRODUCT((Комплекты[Пр]=$F255)*(Комплекты[Обозначение]=$G255)*Комплекты[Кол-во]*(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68</v>
      </c>
      <c r="Y255" s="25">
        <f>SUMPRODUCT((Комплекты[Пр]=$F255)*(Комплекты[Обозначение]=$G255)*Комплекты[Кол-во]*(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68</v>
      </c>
      <c r="Z255" s="24"/>
      <c r="AA255" s="23">
        <v>40</v>
      </c>
      <c r="AB255" s="24">
        <f>SUMPRODUCT((Комплекты[Пр]=$F255)*(Комплекты[Обозначение]=$G255)*Комплекты[Кол-во]*(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76</v>
      </c>
      <c r="AC255" s="25"/>
      <c r="AD255" s="24"/>
      <c r="AE255" s="23">
        <v>40</v>
      </c>
      <c r="AF255" s="24">
        <f>SUMPRODUCT((Комплекты[Пр]=$F255)*(Комплекты[Обозначение]=$G255)*Комплекты[Кол-во]*(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40</v>
      </c>
      <c r="AG255" s="25">
        <f>SUMPRODUCT((Комплекты[Пр]=$F255)*(Комплекты[Обозначение]=$G255)*Комплекты[Кол-во]*(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40</v>
      </c>
      <c r="AH255" s="24"/>
      <c r="AI255" s="23">
        <v>40</v>
      </c>
      <c r="AJ255" s="24">
        <f>SUMPRODUCT((Комплекты[Пр]=$F255)*(Комплекты[Обозначение]=$G255)*Комплекты[Кол-во]*(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60</v>
      </c>
      <c r="AK255" s="25"/>
      <c r="AL255" s="24"/>
      <c r="AM255" s="23">
        <v>40</v>
      </c>
      <c r="AN255" s="24">
        <f>SUMPRODUCT((Комплекты[Пр]=$F255)*(Комплекты[Обозначение]=$G255)*Комплекты[Кол-во]*(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50</v>
      </c>
      <c r="AO255" s="25"/>
      <c r="AP255" s="24"/>
      <c r="AQ255" s="23">
        <v>40</v>
      </c>
      <c r="AR255" s="24">
        <f>SUMPRODUCT((Комплекты[Пр]=$F255)*(Комплекты[Обозначение]=$G255)*Комплекты[Кол-во]*(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40</v>
      </c>
      <c r="AS255" s="25"/>
      <c r="AT255" s="24"/>
      <c r="AU255" s="23">
        <v>50</v>
      </c>
      <c r="AV255" s="24">
        <f>SUMPRODUCT((Комплекты[Пр]=$F255)*(Комплекты[Обозначение]=$G255)*Комплекты[Кол-во]*(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50</v>
      </c>
      <c r="AW255" s="25"/>
      <c r="AX255" s="24"/>
      <c r="AY255" s="23">
        <v>50</v>
      </c>
      <c r="AZ255" s="24">
        <f>SUMPRODUCT((Комплекты[Пр]=$F255)*(Комплекты[Обозначение]=$G255)*Комплекты[Кол-во]*(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50</v>
      </c>
      <c r="BA255" s="25"/>
      <c r="BB255" s="24"/>
      <c r="BC255" s="23">
        <v>50</v>
      </c>
      <c r="BD255" s="24">
        <f>SUMPRODUCT((Комплекты[Пр]=$F255)*(Комплекты[Обозначение]=$G255)*Комплекты[Кол-во]*(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50</v>
      </c>
      <c r="BE255" s="25"/>
      <c r="BF255" s="24"/>
      <c r="BG255" s="23">
        <v>50</v>
      </c>
      <c r="BH255" s="24">
        <f>SUMPRODUCT((Комплекты[Пр]=$F255)*(Комплекты[Обозначение]=$G255)*Комплекты[Кол-во]*(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50</v>
      </c>
      <c r="BI255" s="25"/>
      <c r="BJ255" s="24"/>
      <c r="BK255" s="340"/>
      <c r="BL255" s="32">
        <f t="shared" si="76"/>
        <v>520</v>
      </c>
      <c r="BM255" s="32">
        <f t="shared" si="77"/>
        <v>0</v>
      </c>
      <c r="BN255" s="28">
        <f t="shared" si="78"/>
        <v>586</v>
      </c>
      <c r="BO255" s="29">
        <f t="shared" si="79"/>
        <v>0</v>
      </c>
      <c r="BP255" s="30">
        <f t="shared" si="80"/>
        <v>160</v>
      </c>
      <c r="BQ255" s="31">
        <f t="shared" si="81"/>
        <v>0</v>
      </c>
      <c r="BR255" s="11"/>
      <c r="BS255" s="329"/>
      <c r="BT255" s="23">
        <v>20</v>
      </c>
      <c r="BU255" s="24"/>
      <c r="BV255" s="25"/>
      <c r="BW255" s="24"/>
      <c r="BX255" s="23">
        <v>20</v>
      </c>
      <c r="BY255" s="24"/>
      <c r="BZ255" s="25"/>
      <c r="CA255" s="24"/>
      <c r="CB255" s="23">
        <v>20</v>
      </c>
      <c r="CC255" s="24"/>
      <c r="CD255" s="25"/>
      <c r="CE255" s="24"/>
      <c r="CF255" s="23">
        <v>20</v>
      </c>
      <c r="CG255" s="24"/>
      <c r="CH255" s="25"/>
      <c r="CI255" s="24"/>
      <c r="CJ255" s="23">
        <v>20</v>
      </c>
      <c r="CK255" s="24"/>
      <c r="CL255" s="25"/>
      <c r="CM255" s="24"/>
      <c r="CN255" s="23">
        <v>20</v>
      </c>
      <c r="CO255" s="24"/>
      <c r="CP255" s="25"/>
      <c r="CQ255" s="24"/>
      <c r="CR255" s="23">
        <v>20</v>
      </c>
      <c r="CS255" s="24"/>
      <c r="CT255" s="25"/>
      <c r="CU255" s="24"/>
      <c r="CV255" s="23">
        <v>20</v>
      </c>
      <c r="CW255" s="24"/>
      <c r="CX255" s="25"/>
      <c r="CY255" s="24"/>
      <c r="CZ255" s="23">
        <v>20</v>
      </c>
      <c r="DA255" s="24"/>
      <c r="DB255" s="25"/>
      <c r="DC255" s="24"/>
      <c r="DD255" s="23">
        <v>20</v>
      </c>
      <c r="DE255" s="24"/>
      <c r="DF255" s="25"/>
      <c r="DG255" s="24"/>
      <c r="DH255" s="23">
        <v>20</v>
      </c>
      <c r="DI255" s="24"/>
      <c r="DJ255" s="25"/>
      <c r="DK255" s="24"/>
      <c r="DL255" s="23">
        <v>20</v>
      </c>
      <c r="DM255" s="24"/>
      <c r="DN255" s="25"/>
      <c r="DO255" s="24"/>
      <c r="DP255" s="340"/>
      <c r="DQ255" s="32">
        <f t="shared" si="88"/>
        <v>240</v>
      </c>
      <c r="DR255" s="32">
        <f t="shared" si="85"/>
        <v>0</v>
      </c>
      <c r="DS255" s="11"/>
      <c r="DT255" s="329"/>
      <c r="DU255" s="23">
        <v>30</v>
      </c>
      <c r="DV255" s="24"/>
      <c r="DW255" s="25"/>
      <c r="DX255" s="24"/>
      <c r="DY255" s="23">
        <v>30</v>
      </c>
      <c r="DZ255" s="24"/>
      <c r="EA255" s="25"/>
      <c r="EB255" s="24"/>
      <c r="EC255" s="23">
        <v>30</v>
      </c>
      <c r="ED255" s="24"/>
      <c r="EE255" s="25"/>
      <c r="EF255" s="24"/>
      <c r="EG255" s="23">
        <v>30</v>
      </c>
      <c r="EH255" s="24"/>
      <c r="EI255" s="25"/>
      <c r="EJ255" s="24"/>
      <c r="EK255" s="23">
        <v>30</v>
      </c>
      <c r="EL255" s="24"/>
      <c r="EM255" s="25"/>
      <c r="EN255" s="24"/>
      <c r="EO255" s="23">
        <v>30</v>
      </c>
      <c r="EP255" s="24"/>
      <c r="EQ255" s="25"/>
      <c r="ER255" s="24"/>
      <c r="ES255" s="23">
        <v>30</v>
      </c>
      <c r="ET255" s="24"/>
      <c r="EU255" s="25"/>
      <c r="EV255" s="24"/>
      <c r="EW255" s="23">
        <v>30</v>
      </c>
      <c r="EX255" s="24"/>
      <c r="EY255" s="25"/>
      <c r="EZ255" s="24"/>
      <c r="FA255" s="23">
        <v>30</v>
      </c>
      <c r="FB255" s="24"/>
      <c r="FC255" s="25"/>
      <c r="FD255" s="24"/>
      <c r="FE255" s="23">
        <v>30</v>
      </c>
      <c r="FF255" s="24"/>
      <c r="FG255" s="25"/>
      <c r="FH255" s="24"/>
      <c r="FI255" s="23">
        <v>30</v>
      </c>
      <c r="FJ255" s="24"/>
      <c r="FK255" s="25"/>
      <c r="FL255" s="24"/>
      <c r="FM255" s="23">
        <v>30</v>
      </c>
      <c r="FN255" s="24"/>
      <c r="FO255" s="25"/>
      <c r="FP255" s="24"/>
      <c r="FQ255" s="340"/>
      <c r="FR255" s="32">
        <f t="shared" si="89"/>
        <v>360</v>
      </c>
      <c r="FS255" s="32">
        <f t="shared" si="86"/>
        <v>0</v>
      </c>
      <c r="FT255" s="361"/>
    </row>
    <row r="256" spans="1:176" outlineLevel="2">
      <c r="A256" s="56" t="s">
        <v>470</v>
      </c>
      <c r="B256" s="387" t="s">
        <v>134</v>
      </c>
      <c r="C256" s="173" t="s">
        <v>72</v>
      </c>
      <c r="D256" s="565" t="s">
        <v>32</v>
      </c>
      <c r="E256" s="10">
        <f>IF(ISBLANK(G256),"",IF($A$6:$A$330=$A256,COUNTIF($A$6:A256,$A256),""))</f>
        <v>62</v>
      </c>
      <c r="F256" s="123">
        <v>1</v>
      </c>
      <c r="G256" s="128">
        <v>4640061000</v>
      </c>
      <c r="H256" s="612" t="s">
        <v>79</v>
      </c>
      <c r="I256" s="618">
        <v>0</v>
      </c>
      <c r="J256" s="618"/>
      <c r="K256" s="126"/>
      <c r="L256" s="618" t="str">
        <f t="shared" si="87"/>
        <v/>
      </c>
      <c r="M256" s="102"/>
      <c r="N256" s="305">
        <f t="shared" si="75"/>
        <v>1</v>
      </c>
      <c r="O256" s="23">
        <v>20</v>
      </c>
      <c r="P256" s="24"/>
      <c r="Q256" s="25"/>
      <c r="R256" s="24"/>
      <c r="S256" s="23">
        <v>20</v>
      </c>
      <c r="T256" s="24">
        <f>SUMPRODUCT((Комплекты[Пр]=$F256)*(Комплекты[Обозначение]=$G256)*Комплекты[Кол-во]*(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26</v>
      </c>
      <c r="U256" s="25">
        <f>SUMPRODUCT((Комплекты[Пр]=$F256)*(Комплекты[Обозначение]=$G256)*Комплекты[Кол-во]*(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26</v>
      </c>
      <c r="V256" s="24"/>
      <c r="W256" s="23">
        <v>20</v>
      </c>
      <c r="X256" s="24">
        <f>SUMPRODUCT((Комплекты[Пр]=$F256)*(Комплекты[Обозначение]=$G256)*Комплекты[Кол-во]*(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18</v>
      </c>
      <c r="Y256" s="25">
        <f>SUMPRODUCT((Комплекты[Пр]=$F256)*(Комплекты[Обозначение]=$G256)*Комплекты[Кол-во]*(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18</v>
      </c>
      <c r="Z256" s="24"/>
      <c r="AA256" s="23">
        <v>20</v>
      </c>
      <c r="AB256" s="24">
        <f>SUMPRODUCT((Комплекты[Пр]=$F256)*(Комплекты[Обозначение]=$G256)*Комплекты[Кол-во]*(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38</v>
      </c>
      <c r="AC256" s="25"/>
      <c r="AD256" s="24"/>
      <c r="AE256" s="23">
        <v>20</v>
      </c>
      <c r="AF256" s="24">
        <f>SUMPRODUCT((Комплекты[Пр]=$F256)*(Комплекты[Обозначение]=$G256)*Комплекты[Кол-во]*(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2</v>
      </c>
      <c r="AG256" s="25">
        <f>SUMPRODUCT((Комплекты[Пр]=$F256)*(Комплекты[Обозначение]=$G256)*Комплекты[Кол-во]*(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2</v>
      </c>
      <c r="AH256" s="24"/>
      <c r="AI256" s="23">
        <v>20</v>
      </c>
      <c r="AJ256" s="24">
        <f>SUMPRODUCT((Комплекты[Пр]=$F256)*(Комплекты[Обозначение]=$G256)*Комплекты[Кол-во]*(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5</v>
      </c>
      <c r="AK256" s="25"/>
      <c r="AL256" s="24"/>
      <c r="AM256" s="23">
        <v>20</v>
      </c>
      <c r="AN256" s="24">
        <f>SUMPRODUCT((Комплекты[Пр]=$F256)*(Комплекты[Обозначение]=$G256)*Комплекты[Кол-во]*(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</v>
      </c>
      <c r="AO256" s="25"/>
      <c r="AP256" s="24"/>
      <c r="AQ256" s="23">
        <v>20</v>
      </c>
      <c r="AR256" s="24">
        <f>SUMPRODUCT((Комплекты[Пр]=$F256)*(Комплекты[Обозначение]=$G256)*Комплекты[Кол-во]*(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20</v>
      </c>
      <c r="AS256" s="25"/>
      <c r="AT256" s="24"/>
      <c r="AU256" s="23">
        <v>25</v>
      </c>
      <c r="AV256" s="24">
        <f>SUMPRODUCT((Комплекты[Пр]=$F256)*(Комплекты[Обозначение]=$G256)*Комплекты[Кол-во]*(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25</v>
      </c>
      <c r="AW256" s="25"/>
      <c r="AX256" s="24"/>
      <c r="AY256" s="23">
        <v>25</v>
      </c>
      <c r="AZ256" s="24">
        <f>SUMPRODUCT((Комплекты[Пр]=$F256)*(Комплекты[Обозначение]=$G256)*Комплекты[Кол-во]*(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25</v>
      </c>
      <c r="BA256" s="25"/>
      <c r="BB256" s="24"/>
      <c r="BC256" s="23">
        <v>25</v>
      </c>
      <c r="BD256" s="24">
        <f>SUMPRODUCT((Комплекты[Пр]=$F256)*(Комплекты[Обозначение]=$G256)*Комплекты[Кол-во]*(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25</v>
      </c>
      <c r="BE256" s="25"/>
      <c r="BF256" s="24"/>
      <c r="BG256" s="23">
        <v>25</v>
      </c>
      <c r="BH256" s="24">
        <f>SUMPRODUCT((Комплекты[Пр]=$F256)*(Комплекты[Обозначение]=$G256)*Комплекты[Кол-во]*(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25</v>
      </c>
      <c r="BI256" s="25"/>
      <c r="BJ256" s="24"/>
      <c r="BK256" s="340"/>
      <c r="BL256" s="32">
        <f t="shared" si="76"/>
        <v>260</v>
      </c>
      <c r="BM256" s="32">
        <f t="shared" si="77"/>
        <v>0</v>
      </c>
      <c r="BN256" s="28">
        <f t="shared" si="78"/>
        <v>214</v>
      </c>
      <c r="BO256" s="29">
        <f t="shared" si="79"/>
        <v>0</v>
      </c>
      <c r="BP256" s="30">
        <f t="shared" si="80"/>
        <v>46</v>
      </c>
      <c r="BQ256" s="31">
        <f t="shared" si="81"/>
        <v>0</v>
      </c>
      <c r="BR256" s="11"/>
      <c r="BS256" s="329"/>
      <c r="BT256" s="23">
        <v>10</v>
      </c>
      <c r="BU256" s="24"/>
      <c r="BV256" s="25"/>
      <c r="BW256" s="24"/>
      <c r="BX256" s="23">
        <v>10</v>
      </c>
      <c r="BY256" s="24"/>
      <c r="BZ256" s="25"/>
      <c r="CA256" s="24"/>
      <c r="CB256" s="23">
        <v>10</v>
      </c>
      <c r="CC256" s="24"/>
      <c r="CD256" s="25"/>
      <c r="CE256" s="24"/>
      <c r="CF256" s="23">
        <v>10</v>
      </c>
      <c r="CG256" s="24"/>
      <c r="CH256" s="25"/>
      <c r="CI256" s="24"/>
      <c r="CJ256" s="23">
        <v>10</v>
      </c>
      <c r="CK256" s="24"/>
      <c r="CL256" s="25"/>
      <c r="CM256" s="24"/>
      <c r="CN256" s="23">
        <v>10</v>
      </c>
      <c r="CO256" s="24"/>
      <c r="CP256" s="25"/>
      <c r="CQ256" s="24"/>
      <c r="CR256" s="23">
        <v>10</v>
      </c>
      <c r="CS256" s="24"/>
      <c r="CT256" s="25"/>
      <c r="CU256" s="24"/>
      <c r="CV256" s="23">
        <v>10</v>
      </c>
      <c r="CW256" s="24"/>
      <c r="CX256" s="25"/>
      <c r="CY256" s="24"/>
      <c r="CZ256" s="23">
        <v>10</v>
      </c>
      <c r="DA256" s="24"/>
      <c r="DB256" s="25"/>
      <c r="DC256" s="24"/>
      <c r="DD256" s="23">
        <v>10</v>
      </c>
      <c r="DE256" s="24"/>
      <c r="DF256" s="25"/>
      <c r="DG256" s="24"/>
      <c r="DH256" s="23">
        <v>10</v>
      </c>
      <c r="DI256" s="24"/>
      <c r="DJ256" s="25"/>
      <c r="DK256" s="24"/>
      <c r="DL256" s="23">
        <v>10</v>
      </c>
      <c r="DM256" s="24"/>
      <c r="DN256" s="25"/>
      <c r="DO256" s="24"/>
      <c r="DP256" s="340"/>
      <c r="DQ256" s="32">
        <f t="shared" si="88"/>
        <v>120</v>
      </c>
      <c r="DR256" s="32">
        <f t="shared" si="85"/>
        <v>0</v>
      </c>
      <c r="DS256" s="11"/>
      <c r="DT256" s="329"/>
      <c r="DU256" s="23">
        <v>15</v>
      </c>
      <c r="DV256" s="24"/>
      <c r="DW256" s="25"/>
      <c r="DX256" s="24"/>
      <c r="DY256" s="23">
        <v>15</v>
      </c>
      <c r="DZ256" s="24"/>
      <c r="EA256" s="25"/>
      <c r="EB256" s="24"/>
      <c r="EC256" s="23">
        <v>15</v>
      </c>
      <c r="ED256" s="24"/>
      <c r="EE256" s="25"/>
      <c r="EF256" s="24"/>
      <c r="EG256" s="23">
        <v>15</v>
      </c>
      <c r="EH256" s="24"/>
      <c r="EI256" s="25"/>
      <c r="EJ256" s="24"/>
      <c r="EK256" s="23">
        <v>15</v>
      </c>
      <c r="EL256" s="24"/>
      <c r="EM256" s="25"/>
      <c r="EN256" s="24"/>
      <c r="EO256" s="23">
        <v>15</v>
      </c>
      <c r="EP256" s="24"/>
      <c r="EQ256" s="25"/>
      <c r="ER256" s="24"/>
      <c r="ES256" s="23">
        <v>15</v>
      </c>
      <c r="ET256" s="24"/>
      <c r="EU256" s="25"/>
      <c r="EV256" s="24"/>
      <c r="EW256" s="23">
        <v>15</v>
      </c>
      <c r="EX256" s="24"/>
      <c r="EY256" s="25"/>
      <c r="EZ256" s="24"/>
      <c r="FA256" s="23">
        <v>15</v>
      </c>
      <c r="FB256" s="24"/>
      <c r="FC256" s="25"/>
      <c r="FD256" s="24"/>
      <c r="FE256" s="23">
        <v>15</v>
      </c>
      <c r="FF256" s="24"/>
      <c r="FG256" s="25"/>
      <c r="FH256" s="24"/>
      <c r="FI256" s="23">
        <v>15</v>
      </c>
      <c r="FJ256" s="24"/>
      <c r="FK256" s="25"/>
      <c r="FL256" s="24"/>
      <c r="FM256" s="23">
        <v>15</v>
      </c>
      <c r="FN256" s="24"/>
      <c r="FO256" s="25"/>
      <c r="FP256" s="24"/>
      <c r="FQ256" s="340"/>
      <c r="FR256" s="32">
        <f t="shared" si="89"/>
        <v>180</v>
      </c>
      <c r="FS256" s="32">
        <f t="shared" si="86"/>
        <v>0</v>
      </c>
      <c r="FT256" s="361"/>
    </row>
    <row r="257" spans="1:176" outlineLevel="2">
      <c r="A257" s="56" t="s">
        <v>470</v>
      </c>
      <c r="B257" s="387" t="s">
        <v>134</v>
      </c>
      <c r="C257" s="173" t="s">
        <v>72</v>
      </c>
      <c r="D257" s="565" t="s">
        <v>32</v>
      </c>
      <c r="E257" s="10">
        <f>IF(ISBLANK(G257),"",IF($A$6:$A$330=$A257,COUNTIF($A$6:A257,$A257),""))</f>
        <v>63</v>
      </c>
      <c r="F257" s="123">
        <v>1</v>
      </c>
      <c r="G257" s="128">
        <v>4630320200</v>
      </c>
      <c r="H257" s="612" t="s">
        <v>80</v>
      </c>
      <c r="I257" s="618">
        <v>0</v>
      </c>
      <c r="J257" s="618"/>
      <c r="K257" s="126"/>
      <c r="L257" s="618" t="str">
        <f t="shared" si="87"/>
        <v/>
      </c>
      <c r="M257" s="102"/>
      <c r="N257" s="305">
        <f t="shared" si="75"/>
        <v>1</v>
      </c>
      <c r="O257" s="23">
        <v>20</v>
      </c>
      <c r="P257" s="24"/>
      <c r="Q257" s="25"/>
      <c r="R257" s="24"/>
      <c r="S257" s="23">
        <v>20</v>
      </c>
      <c r="T257" s="24">
        <f>SUMPRODUCT((Комплекты[Пр]=$F257)*(Комплекты[Обозначение]=$G257)*Комплекты[Кол-во]*(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26</v>
      </c>
      <c r="U257" s="25">
        <f>SUMPRODUCT((Комплекты[Пр]=$F257)*(Комплекты[Обозначение]=$G257)*Комплекты[Кол-во]*(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26</v>
      </c>
      <c r="V257" s="24"/>
      <c r="W257" s="23">
        <v>20</v>
      </c>
      <c r="X257" s="24">
        <f>SUMPRODUCT((Комплекты[Пр]=$F257)*(Комплекты[Обозначение]=$G257)*Комплекты[Кол-во]*(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18</v>
      </c>
      <c r="Y257" s="25">
        <f>SUMPRODUCT((Комплекты[Пр]=$F257)*(Комплекты[Обозначение]=$G257)*Комплекты[Кол-во]*(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18</v>
      </c>
      <c r="Z257" s="24"/>
      <c r="AA257" s="23">
        <v>20</v>
      </c>
      <c r="AB257" s="24">
        <f>SUMPRODUCT((Комплекты[Пр]=$F257)*(Комплекты[Обозначение]=$G257)*Комплекты[Кол-во]*(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38</v>
      </c>
      <c r="AC257" s="25"/>
      <c r="AD257" s="24"/>
      <c r="AE257" s="23">
        <v>20</v>
      </c>
      <c r="AF257" s="24">
        <f>SUMPRODUCT((Комплекты[Пр]=$F257)*(Комплекты[Обозначение]=$G257)*Комплекты[Кол-во]*(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2</v>
      </c>
      <c r="AG257" s="25">
        <f>SUMPRODUCT((Комплекты[Пр]=$F257)*(Комплекты[Обозначение]=$G257)*Комплекты[Кол-во]*(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2</v>
      </c>
      <c r="AH257" s="24"/>
      <c r="AI257" s="23">
        <v>20</v>
      </c>
      <c r="AJ257" s="24">
        <f>SUMPRODUCT((Комплекты[Пр]=$F257)*(Комплекты[Обозначение]=$G257)*Комплекты[Кол-во]*(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5</v>
      </c>
      <c r="AK257" s="25"/>
      <c r="AL257" s="24"/>
      <c r="AM257" s="23">
        <v>20</v>
      </c>
      <c r="AN257" s="24">
        <f>SUMPRODUCT((Комплекты[Пр]=$F257)*(Комплекты[Обозначение]=$G257)*Комплекты[Кол-во]*(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</v>
      </c>
      <c r="AO257" s="25"/>
      <c r="AP257" s="24"/>
      <c r="AQ257" s="23">
        <v>20</v>
      </c>
      <c r="AR257" s="24">
        <f>SUMPRODUCT((Комплекты[Пр]=$F257)*(Комплекты[Обозначение]=$G257)*Комплекты[Кол-во]*(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20</v>
      </c>
      <c r="AS257" s="25"/>
      <c r="AT257" s="24"/>
      <c r="AU257" s="23">
        <v>25</v>
      </c>
      <c r="AV257" s="24">
        <f>SUMPRODUCT((Комплекты[Пр]=$F257)*(Комплекты[Обозначение]=$G257)*Комплекты[Кол-во]*(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25</v>
      </c>
      <c r="AW257" s="25"/>
      <c r="AX257" s="24"/>
      <c r="AY257" s="23">
        <v>25</v>
      </c>
      <c r="AZ257" s="24">
        <f>SUMPRODUCT((Комплекты[Пр]=$F257)*(Комплекты[Обозначение]=$G257)*Комплекты[Кол-во]*(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25</v>
      </c>
      <c r="BA257" s="25"/>
      <c r="BB257" s="24"/>
      <c r="BC257" s="23">
        <v>25</v>
      </c>
      <c r="BD257" s="24">
        <f>SUMPRODUCT((Комплекты[Пр]=$F257)*(Комплекты[Обозначение]=$G257)*Комплекты[Кол-во]*(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25</v>
      </c>
      <c r="BE257" s="25"/>
      <c r="BF257" s="24"/>
      <c r="BG257" s="23">
        <v>25</v>
      </c>
      <c r="BH257" s="24">
        <f>SUMPRODUCT((Комплекты[Пр]=$F257)*(Комплекты[Обозначение]=$G257)*Комплекты[Кол-во]*(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25</v>
      </c>
      <c r="BI257" s="25"/>
      <c r="BJ257" s="24"/>
      <c r="BK257" s="340"/>
      <c r="BL257" s="32">
        <f t="shared" si="76"/>
        <v>260</v>
      </c>
      <c r="BM257" s="32">
        <f t="shared" si="77"/>
        <v>0</v>
      </c>
      <c r="BN257" s="28">
        <f t="shared" si="78"/>
        <v>214</v>
      </c>
      <c r="BO257" s="29">
        <f t="shared" si="79"/>
        <v>0</v>
      </c>
      <c r="BP257" s="30">
        <f t="shared" si="80"/>
        <v>46</v>
      </c>
      <c r="BQ257" s="31">
        <f t="shared" si="81"/>
        <v>0</v>
      </c>
      <c r="BR257" s="11"/>
      <c r="BS257" s="329"/>
      <c r="BT257" s="23">
        <v>10</v>
      </c>
      <c r="BU257" s="24"/>
      <c r="BV257" s="25"/>
      <c r="BW257" s="24"/>
      <c r="BX257" s="23">
        <v>10</v>
      </c>
      <c r="BY257" s="24"/>
      <c r="BZ257" s="25"/>
      <c r="CA257" s="24"/>
      <c r="CB257" s="23">
        <v>10</v>
      </c>
      <c r="CC257" s="24"/>
      <c r="CD257" s="25"/>
      <c r="CE257" s="24"/>
      <c r="CF257" s="23">
        <v>10</v>
      </c>
      <c r="CG257" s="24"/>
      <c r="CH257" s="25"/>
      <c r="CI257" s="24"/>
      <c r="CJ257" s="23">
        <v>10</v>
      </c>
      <c r="CK257" s="24"/>
      <c r="CL257" s="25"/>
      <c r="CM257" s="24"/>
      <c r="CN257" s="23">
        <v>10</v>
      </c>
      <c r="CO257" s="24"/>
      <c r="CP257" s="25"/>
      <c r="CQ257" s="24"/>
      <c r="CR257" s="23">
        <v>10</v>
      </c>
      <c r="CS257" s="24"/>
      <c r="CT257" s="25"/>
      <c r="CU257" s="24"/>
      <c r="CV257" s="23">
        <v>10</v>
      </c>
      <c r="CW257" s="24"/>
      <c r="CX257" s="25"/>
      <c r="CY257" s="24"/>
      <c r="CZ257" s="23">
        <v>10</v>
      </c>
      <c r="DA257" s="24"/>
      <c r="DB257" s="25"/>
      <c r="DC257" s="24"/>
      <c r="DD257" s="23">
        <v>10</v>
      </c>
      <c r="DE257" s="24"/>
      <c r="DF257" s="25"/>
      <c r="DG257" s="24"/>
      <c r="DH257" s="23">
        <v>10</v>
      </c>
      <c r="DI257" s="24"/>
      <c r="DJ257" s="25"/>
      <c r="DK257" s="24"/>
      <c r="DL257" s="23">
        <v>10</v>
      </c>
      <c r="DM257" s="24"/>
      <c r="DN257" s="25"/>
      <c r="DO257" s="24"/>
      <c r="DP257" s="340"/>
      <c r="DQ257" s="32">
        <f t="shared" si="88"/>
        <v>120</v>
      </c>
      <c r="DR257" s="32">
        <f t="shared" si="85"/>
        <v>0</v>
      </c>
      <c r="DS257" s="11"/>
      <c r="DT257" s="329"/>
      <c r="DU257" s="23">
        <v>15</v>
      </c>
      <c r="DV257" s="24"/>
      <c r="DW257" s="25"/>
      <c r="DX257" s="24"/>
      <c r="DY257" s="23">
        <v>15</v>
      </c>
      <c r="DZ257" s="24"/>
      <c r="EA257" s="25"/>
      <c r="EB257" s="24"/>
      <c r="EC257" s="23">
        <v>15</v>
      </c>
      <c r="ED257" s="24"/>
      <c r="EE257" s="25"/>
      <c r="EF257" s="24"/>
      <c r="EG257" s="23">
        <v>15</v>
      </c>
      <c r="EH257" s="24"/>
      <c r="EI257" s="25"/>
      <c r="EJ257" s="24"/>
      <c r="EK257" s="23">
        <v>15</v>
      </c>
      <c r="EL257" s="24"/>
      <c r="EM257" s="25"/>
      <c r="EN257" s="24"/>
      <c r="EO257" s="23">
        <v>15</v>
      </c>
      <c r="EP257" s="24"/>
      <c r="EQ257" s="25"/>
      <c r="ER257" s="24"/>
      <c r="ES257" s="23">
        <v>15</v>
      </c>
      <c r="ET257" s="24"/>
      <c r="EU257" s="25"/>
      <c r="EV257" s="24"/>
      <c r="EW257" s="23">
        <v>15</v>
      </c>
      <c r="EX257" s="24"/>
      <c r="EY257" s="25"/>
      <c r="EZ257" s="24"/>
      <c r="FA257" s="23">
        <v>15</v>
      </c>
      <c r="FB257" s="24"/>
      <c r="FC257" s="25"/>
      <c r="FD257" s="24"/>
      <c r="FE257" s="23">
        <v>15</v>
      </c>
      <c r="FF257" s="24"/>
      <c r="FG257" s="25"/>
      <c r="FH257" s="24"/>
      <c r="FI257" s="23">
        <v>15</v>
      </c>
      <c r="FJ257" s="24"/>
      <c r="FK257" s="25"/>
      <c r="FL257" s="24"/>
      <c r="FM257" s="23">
        <v>15</v>
      </c>
      <c r="FN257" s="24"/>
      <c r="FO257" s="25"/>
      <c r="FP257" s="24"/>
      <c r="FQ257" s="340"/>
      <c r="FR257" s="32">
        <f t="shared" si="89"/>
        <v>180</v>
      </c>
      <c r="FS257" s="32">
        <f t="shared" si="86"/>
        <v>0</v>
      </c>
      <c r="FT257" s="361"/>
    </row>
    <row r="258" spans="1:176" outlineLevel="2">
      <c r="A258" s="56" t="s">
        <v>470</v>
      </c>
      <c r="B258" s="387" t="s">
        <v>134</v>
      </c>
      <c r="C258" s="173" t="s">
        <v>72</v>
      </c>
      <c r="D258" s="565" t="s">
        <v>32</v>
      </c>
      <c r="E258" s="10">
        <f>IF(ISBLANK(G258),"",IF($A$6:$A$330=$A258,COUNTIF($A$6:A258,$A258),""))</f>
        <v>64</v>
      </c>
      <c r="F258" s="123">
        <v>1</v>
      </c>
      <c r="G258" s="128">
        <v>4334010030</v>
      </c>
      <c r="H258" s="612" t="s">
        <v>81</v>
      </c>
      <c r="I258" s="618">
        <v>0</v>
      </c>
      <c r="J258" s="618"/>
      <c r="K258" s="126"/>
      <c r="L258" s="618" t="str">
        <f t="shared" si="87"/>
        <v/>
      </c>
      <c r="M258" s="102"/>
      <c r="N258" s="305">
        <f t="shared" si="75"/>
        <v>1</v>
      </c>
      <c r="O258" s="23">
        <v>20</v>
      </c>
      <c r="P258" s="24"/>
      <c r="Q258" s="25"/>
      <c r="R258" s="24"/>
      <c r="S258" s="23">
        <v>20</v>
      </c>
      <c r="T258" s="24">
        <f>SUMPRODUCT((Комплекты[Пр]=$F258)*(Комплекты[Обозначение]=$G258)*Комплекты[Кол-во]*(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26</v>
      </c>
      <c r="U258" s="25">
        <f>SUMPRODUCT((Комплекты[Пр]=$F258)*(Комплекты[Обозначение]=$G258)*Комплекты[Кол-во]*(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26</v>
      </c>
      <c r="V258" s="24"/>
      <c r="W258" s="23">
        <v>20</v>
      </c>
      <c r="X258" s="24">
        <f>SUMPRODUCT((Комплекты[Пр]=$F258)*(Комплекты[Обозначение]=$G258)*Комплекты[Кол-во]*(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18</v>
      </c>
      <c r="Y258" s="25">
        <f>SUMPRODUCT((Комплекты[Пр]=$F258)*(Комплекты[Обозначение]=$G258)*Комплекты[Кол-во]*(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18</v>
      </c>
      <c r="Z258" s="24"/>
      <c r="AA258" s="23">
        <v>20</v>
      </c>
      <c r="AB258" s="24">
        <f>SUMPRODUCT((Комплекты[Пр]=$F258)*(Комплекты[Обозначение]=$G258)*Комплекты[Кол-во]*(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38</v>
      </c>
      <c r="AC258" s="25"/>
      <c r="AD258" s="24"/>
      <c r="AE258" s="23">
        <v>20</v>
      </c>
      <c r="AF258" s="24">
        <f>SUMPRODUCT((Комплекты[Пр]=$F258)*(Комплекты[Обозначение]=$G258)*Комплекты[Кол-во]*(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2</v>
      </c>
      <c r="AG258" s="25">
        <f>SUMPRODUCT((Комплекты[Пр]=$F258)*(Комплекты[Обозначение]=$G258)*Комплекты[Кол-во]*(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2</v>
      </c>
      <c r="AH258" s="24"/>
      <c r="AI258" s="23">
        <v>20</v>
      </c>
      <c r="AJ258" s="24">
        <f>SUMPRODUCT((Комплекты[Пр]=$F258)*(Комплекты[Обозначение]=$G258)*Комплекты[Кол-во]*(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5</v>
      </c>
      <c r="AK258" s="25"/>
      <c r="AL258" s="24"/>
      <c r="AM258" s="23">
        <v>20</v>
      </c>
      <c r="AN258" s="24">
        <f>SUMPRODUCT((Комплекты[Пр]=$F258)*(Комплекты[Обозначение]=$G258)*Комплекты[Кол-во]*(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5</v>
      </c>
      <c r="AO258" s="25"/>
      <c r="AP258" s="24"/>
      <c r="AQ258" s="23">
        <v>20</v>
      </c>
      <c r="AR258" s="24">
        <f>SUMPRODUCT((Комплекты[Пр]=$F258)*(Комплекты[Обозначение]=$G258)*Комплекты[Кол-во]*(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20</v>
      </c>
      <c r="AS258" s="25"/>
      <c r="AT258" s="24"/>
      <c r="AU258" s="23">
        <v>25</v>
      </c>
      <c r="AV258" s="24">
        <f>SUMPRODUCT((Комплекты[Пр]=$F258)*(Комплекты[Обозначение]=$G258)*Комплекты[Кол-во]*(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25</v>
      </c>
      <c r="AW258" s="25"/>
      <c r="AX258" s="24"/>
      <c r="AY258" s="23">
        <v>25</v>
      </c>
      <c r="AZ258" s="24">
        <f>SUMPRODUCT((Комплекты[Пр]=$F258)*(Комплекты[Обозначение]=$G258)*Комплекты[Кол-во]*(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25</v>
      </c>
      <c r="BA258" s="25"/>
      <c r="BB258" s="24"/>
      <c r="BC258" s="23">
        <v>25</v>
      </c>
      <c r="BD258" s="24">
        <f>SUMPRODUCT((Комплекты[Пр]=$F258)*(Комплекты[Обозначение]=$G258)*Комплекты[Кол-во]*(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25</v>
      </c>
      <c r="BE258" s="25"/>
      <c r="BF258" s="24"/>
      <c r="BG258" s="23">
        <v>25</v>
      </c>
      <c r="BH258" s="24">
        <f>SUMPRODUCT((Комплекты[Пр]=$F258)*(Комплекты[Обозначение]=$G258)*Комплекты[Кол-во]*(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25</v>
      </c>
      <c r="BI258" s="25"/>
      <c r="BJ258" s="24"/>
      <c r="BK258" s="340"/>
      <c r="BL258" s="32">
        <f t="shared" si="76"/>
        <v>260</v>
      </c>
      <c r="BM258" s="32">
        <f t="shared" si="77"/>
        <v>0</v>
      </c>
      <c r="BN258" s="28">
        <f t="shared" si="78"/>
        <v>214</v>
      </c>
      <c r="BO258" s="29">
        <f t="shared" si="79"/>
        <v>0</v>
      </c>
      <c r="BP258" s="30">
        <f t="shared" si="80"/>
        <v>46</v>
      </c>
      <c r="BQ258" s="31">
        <f t="shared" si="81"/>
        <v>0</v>
      </c>
      <c r="BR258" s="11"/>
      <c r="BS258" s="329"/>
      <c r="BT258" s="23">
        <v>10</v>
      </c>
      <c r="BU258" s="24"/>
      <c r="BV258" s="25"/>
      <c r="BW258" s="24"/>
      <c r="BX258" s="23">
        <v>10</v>
      </c>
      <c r="BY258" s="24"/>
      <c r="BZ258" s="25"/>
      <c r="CA258" s="24"/>
      <c r="CB258" s="23">
        <v>10</v>
      </c>
      <c r="CC258" s="24"/>
      <c r="CD258" s="25"/>
      <c r="CE258" s="24"/>
      <c r="CF258" s="23">
        <v>10</v>
      </c>
      <c r="CG258" s="24"/>
      <c r="CH258" s="25"/>
      <c r="CI258" s="24"/>
      <c r="CJ258" s="23">
        <v>10</v>
      </c>
      <c r="CK258" s="24"/>
      <c r="CL258" s="25"/>
      <c r="CM258" s="24"/>
      <c r="CN258" s="23">
        <v>10</v>
      </c>
      <c r="CO258" s="24"/>
      <c r="CP258" s="25"/>
      <c r="CQ258" s="24"/>
      <c r="CR258" s="23">
        <v>10</v>
      </c>
      <c r="CS258" s="24"/>
      <c r="CT258" s="25"/>
      <c r="CU258" s="24"/>
      <c r="CV258" s="23">
        <v>10</v>
      </c>
      <c r="CW258" s="24"/>
      <c r="CX258" s="25"/>
      <c r="CY258" s="24"/>
      <c r="CZ258" s="23">
        <v>10</v>
      </c>
      <c r="DA258" s="24"/>
      <c r="DB258" s="25"/>
      <c r="DC258" s="24"/>
      <c r="DD258" s="23">
        <v>10</v>
      </c>
      <c r="DE258" s="24"/>
      <c r="DF258" s="25"/>
      <c r="DG258" s="24"/>
      <c r="DH258" s="23">
        <v>10</v>
      </c>
      <c r="DI258" s="24"/>
      <c r="DJ258" s="25"/>
      <c r="DK258" s="24"/>
      <c r="DL258" s="23">
        <v>10</v>
      </c>
      <c r="DM258" s="24"/>
      <c r="DN258" s="25"/>
      <c r="DO258" s="24"/>
      <c r="DP258" s="340"/>
      <c r="DQ258" s="32">
        <f t="shared" si="88"/>
        <v>120</v>
      </c>
      <c r="DR258" s="32">
        <f t="shared" si="85"/>
        <v>0</v>
      </c>
      <c r="DS258" s="11"/>
      <c r="DT258" s="329"/>
      <c r="DU258" s="23">
        <v>15</v>
      </c>
      <c r="DV258" s="24"/>
      <c r="DW258" s="25"/>
      <c r="DX258" s="24"/>
      <c r="DY258" s="23">
        <v>15</v>
      </c>
      <c r="DZ258" s="24"/>
      <c r="EA258" s="25"/>
      <c r="EB258" s="24"/>
      <c r="EC258" s="23">
        <v>15</v>
      </c>
      <c r="ED258" s="24"/>
      <c r="EE258" s="25"/>
      <c r="EF258" s="24"/>
      <c r="EG258" s="23">
        <v>15</v>
      </c>
      <c r="EH258" s="24"/>
      <c r="EI258" s="25"/>
      <c r="EJ258" s="24"/>
      <c r="EK258" s="23">
        <v>15</v>
      </c>
      <c r="EL258" s="24"/>
      <c r="EM258" s="25"/>
      <c r="EN258" s="24"/>
      <c r="EO258" s="23">
        <v>15</v>
      </c>
      <c r="EP258" s="24"/>
      <c r="EQ258" s="25"/>
      <c r="ER258" s="24"/>
      <c r="ES258" s="23">
        <v>15</v>
      </c>
      <c r="ET258" s="24"/>
      <c r="EU258" s="25"/>
      <c r="EV258" s="24"/>
      <c r="EW258" s="23">
        <v>15</v>
      </c>
      <c r="EX258" s="24"/>
      <c r="EY258" s="25"/>
      <c r="EZ258" s="24"/>
      <c r="FA258" s="23">
        <v>15</v>
      </c>
      <c r="FB258" s="24"/>
      <c r="FC258" s="25"/>
      <c r="FD258" s="24"/>
      <c r="FE258" s="23">
        <v>15</v>
      </c>
      <c r="FF258" s="24"/>
      <c r="FG258" s="25"/>
      <c r="FH258" s="24"/>
      <c r="FI258" s="23">
        <v>15</v>
      </c>
      <c r="FJ258" s="24"/>
      <c r="FK258" s="25"/>
      <c r="FL258" s="24"/>
      <c r="FM258" s="23">
        <v>15</v>
      </c>
      <c r="FN258" s="24"/>
      <c r="FO258" s="25"/>
      <c r="FP258" s="24"/>
      <c r="FQ258" s="340"/>
      <c r="FR258" s="32">
        <f t="shared" si="89"/>
        <v>180</v>
      </c>
      <c r="FS258" s="32">
        <f t="shared" si="86"/>
        <v>0</v>
      </c>
      <c r="FT258" s="361"/>
    </row>
    <row r="259" spans="1:176" outlineLevel="2">
      <c r="A259" s="375" t="s">
        <v>470</v>
      </c>
      <c r="B259" s="389" t="s">
        <v>134</v>
      </c>
      <c r="C259" s="311" t="s">
        <v>72</v>
      </c>
      <c r="D259" s="575" t="s">
        <v>32</v>
      </c>
      <c r="E259" s="284">
        <f>IF(ISBLANK(G259),"",IF($A$6:$A$330=$A259,COUNTIF($A$6:A259,$A259),""))</f>
        <v>65</v>
      </c>
      <c r="F259" s="318">
        <v>1</v>
      </c>
      <c r="G259" s="403">
        <v>4494300600</v>
      </c>
      <c r="H259" s="613" t="s">
        <v>418</v>
      </c>
      <c r="I259" s="619">
        <v>0</v>
      </c>
      <c r="J259" s="619"/>
      <c r="K259" s="321"/>
      <c r="L259" s="619"/>
      <c r="M259" s="305"/>
      <c r="N259" s="305">
        <f t="shared" si="75"/>
        <v>0</v>
      </c>
      <c r="O259" s="322"/>
      <c r="P259" s="408"/>
      <c r="Q259" s="307"/>
      <c r="R259" s="408"/>
      <c r="S259" s="322"/>
      <c r="T259" s="408"/>
      <c r="U259" s="307"/>
      <c r="V259" s="408"/>
      <c r="W259" s="322"/>
      <c r="X259" s="408">
        <f>SUMPRODUCT((Комплекты[Пр]=$F259)*(Комплекты[Обозначение]=$G259)*Комплекты[Кол-во]*(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0</v>
      </c>
      <c r="Y259" s="307">
        <f>SUMPRODUCT((Комплекты[Пр]=$F259)*(Комплекты[Обозначение]=$G259)*Комплекты[Кол-во]*(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0</v>
      </c>
      <c r="Z259" s="408"/>
      <c r="AA259" s="322"/>
      <c r="AB259" s="408">
        <f>SUMPRODUCT((Комплекты[Пр]=$F259)*(Комплекты[Обозначение]=$G259)*Комплекты[Кол-во]*(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59" s="307"/>
      <c r="AD259" s="408"/>
      <c r="AE259" s="322"/>
      <c r="AF259" s="408">
        <f>SUMPRODUCT((Комплекты[Пр]=$F259)*(Комплекты[Обозначение]=$G259)*Комплекты[Кол-во]*(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59" s="307">
        <f>SUMPRODUCT((Комплекты[Пр]=$F259)*(Комплекты[Обозначение]=$G259)*Комплекты[Кол-во]*(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59" s="408"/>
      <c r="AI259" s="322"/>
      <c r="AJ259" s="408">
        <f>SUMPRODUCT((Комплекты[Пр]=$F259)*(Комплекты[Обозначение]=$G259)*Комплекты[Кол-во]*(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0</v>
      </c>
      <c r="AK259" s="307"/>
      <c r="AL259" s="408"/>
      <c r="AM259" s="322"/>
      <c r="AN259" s="408">
        <f>SUMPRODUCT((Комплекты[Пр]=$F259)*(Комплекты[Обозначение]=$G259)*Комплекты[Кол-во]*(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0</v>
      </c>
      <c r="AO259" s="307"/>
      <c r="AP259" s="408"/>
      <c r="AQ259" s="322"/>
      <c r="AR259" s="408">
        <f>SUMPRODUCT((Комплекты[Пр]=$F259)*(Комплекты[Обозначение]=$G259)*Комплекты[Кол-во]*(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0</v>
      </c>
      <c r="AS259" s="307"/>
      <c r="AT259" s="408"/>
      <c r="AU259" s="322"/>
      <c r="AV259" s="408">
        <f>SUMPRODUCT((Комплекты[Пр]=$F259)*(Комплекты[Обозначение]=$G259)*Комплекты[Кол-во]*(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0</v>
      </c>
      <c r="AW259" s="307"/>
      <c r="AX259" s="408"/>
      <c r="AY259" s="322"/>
      <c r="AZ259" s="408">
        <f>SUMPRODUCT((Комплекты[Пр]=$F259)*(Комплекты[Обозначение]=$G259)*Комплекты[Кол-во]*(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0</v>
      </c>
      <c r="BA259" s="307"/>
      <c r="BB259" s="408"/>
      <c r="BC259" s="322"/>
      <c r="BD259" s="408">
        <f>SUMPRODUCT((Комплекты[Пр]=$F259)*(Комплекты[Обозначение]=$G259)*Комплекты[Кол-во]*(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0</v>
      </c>
      <c r="BE259" s="307"/>
      <c r="BF259" s="408"/>
      <c r="BG259" s="322"/>
      <c r="BH259" s="408">
        <f>SUMPRODUCT((Комплекты[Пр]=$F259)*(Комплекты[Обозначение]=$G259)*Комплекты[Кол-во]*(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0</v>
      </c>
      <c r="BI259" s="307"/>
      <c r="BJ259" s="408"/>
      <c r="BK259" s="340"/>
      <c r="BL259" s="328">
        <f t="shared" si="76"/>
        <v>0</v>
      </c>
      <c r="BM259" s="328">
        <f t="shared" si="77"/>
        <v>0</v>
      </c>
      <c r="BN259" s="324">
        <f t="shared" si="78"/>
        <v>0</v>
      </c>
      <c r="BO259" s="325">
        <f t="shared" si="79"/>
        <v>0</v>
      </c>
      <c r="BP259" s="326">
        <f t="shared" si="80"/>
        <v>0</v>
      </c>
      <c r="BQ259" s="327">
        <f t="shared" si="81"/>
        <v>0</v>
      </c>
      <c r="BR259" s="329"/>
      <c r="BS259" s="329"/>
      <c r="BT259" s="322"/>
      <c r="BU259" s="408"/>
      <c r="BV259" s="307"/>
      <c r="BW259" s="408"/>
      <c r="BX259" s="322"/>
      <c r="BY259" s="408"/>
      <c r="BZ259" s="307"/>
      <c r="CA259" s="408"/>
      <c r="CB259" s="322"/>
      <c r="CC259" s="408"/>
      <c r="CD259" s="307"/>
      <c r="CE259" s="408"/>
      <c r="CF259" s="322"/>
      <c r="CG259" s="408"/>
      <c r="CH259" s="307"/>
      <c r="CI259" s="408"/>
      <c r="CJ259" s="322"/>
      <c r="CK259" s="408"/>
      <c r="CL259" s="307"/>
      <c r="CM259" s="408"/>
      <c r="CN259" s="322"/>
      <c r="CO259" s="408"/>
      <c r="CP259" s="307"/>
      <c r="CQ259" s="408"/>
      <c r="CR259" s="322"/>
      <c r="CS259" s="408"/>
      <c r="CT259" s="307"/>
      <c r="CU259" s="408"/>
      <c r="CV259" s="322"/>
      <c r="CW259" s="408"/>
      <c r="CX259" s="307"/>
      <c r="CY259" s="408"/>
      <c r="CZ259" s="322"/>
      <c r="DA259" s="408"/>
      <c r="DB259" s="307"/>
      <c r="DC259" s="408"/>
      <c r="DD259" s="322"/>
      <c r="DE259" s="408"/>
      <c r="DF259" s="307"/>
      <c r="DG259" s="408"/>
      <c r="DH259" s="322"/>
      <c r="DI259" s="408"/>
      <c r="DJ259" s="307"/>
      <c r="DK259" s="408"/>
      <c r="DL259" s="322"/>
      <c r="DM259" s="408"/>
      <c r="DN259" s="307"/>
      <c r="DO259" s="408"/>
      <c r="DP259" s="340"/>
      <c r="DQ259" s="328"/>
      <c r="DR259" s="328"/>
      <c r="DS259" s="329"/>
      <c r="DT259" s="329"/>
      <c r="DU259" s="322"/>
      <c r="DV259" s="408"/>
      <c r="DW259" s="307"/>
      <c r="DX259" s="408"/>
      <c r="DY259" s="322"/>
      <c r="DZ259" s="408"/>
      <c r="EA259" s="307"/>
      <c r="EB259" s="408"/>
      <c r="EC259" s="322"/>
      <c r="ED259" s="408"/>
      <c r="EE259" s="307"/>
      <c r="EF259" s="408"/>
      <c r="EG259" s="322"/>
      <c r="EH259" s="408"/>
      <c r="EI259" s="307"/>
      <c r="EJ259" s="408"/>
      <c r="EK259" s="322"/>
      <c r="EL259" s="408"/>
      <c r="EM259" s="307"/>
      <c r="EN259" s="408"/>
      <c r="EO259" s="322"/>
      <c r="EP259" s="408"/>
      <c r="EQ259" s="307"/>
      <c r="ER259" s="408"/>
      <c r="ES259" s="322"/>
      <c r="ET259" s="408"/>
      <c r="EU259" s="307"/>
      <c r="EV259" s="408"/>
      <c r="EW259" s="322"/>
      <c r="EX259" s="408"/>
      <c r="EY259" s="307"/>
      <c r="EZ259" s="408"/>
      <c r="FA259" s="322"/>
      <c r="FB259" s="408"/>
      <c r="FC259" s="307"/>
      <c r="FD259" s="408"/>
      <c r="FE259" s="322"/>
      <c r="FF259" s="408"/>
      <c r="FG259" s="307"/>
      <c r="FH259" s="408"/>
      <c r="FI259" s="322"/>
      <c r="FJ259" s="408"/>
      <c r="FK259" s="307"/>
      <c r="FL259" s="408"/>
      <c r="FM259" s="322"/>
      <c r="FN259" s="408"/>
      <c r="FO259" s="307"/>
      <c r="FP259" s="408"/>
      <c r="FQ259" s="340"/>
      <c r="FR259" s="328"/>
      <c r="FS259" s="328"/>
      <c r="FT259" s="361"/>
    </row>
    <row r="260" spans="1:176" outlineLevel="2">
      <c r="A260" s="375" t="s">
        <v>470</v>
      </c>
      <c r="B260" s="389" t="s">
        <v>134</v>
      </c>
      <c r="C260" s="311" t="s">
        <v>72</v>
      </c>
      <c r="D260" s="575" t="s">
        <v>32</v>
      </c>
      <c r="E260" s="284">
        <f>IF(ISBLANK(G260),"",IF($A$6:$A$330=$A260,COUNTIF($A$6:A260,$A260),""))</f>
        <v>66</v>
      </c>
      <c r="F260" s="318">
        <v>1</v>
      </c>
      <c r="G260" s="403">
        <v>4497230800</v>
      </c>
      <c r="H260" s="613" t="s">
        <v>141</v>
      </c>
      <c r="I260" s="619">
        <v>0</v>
      </c>
      <c r="J260" s="619"/>
      <c r="K260" s="321"/>
      <c r="L260" s="619"/>
      <c r="M260" s="305"/>
      <c r="N260" s="305">
        <f t="shared" si="75"/>
        <v>0</v>
      </c>
      <c r="O260" s="322"/>
      <c r="P260" s="408"/>
      <c r="Q260" s="307"/>
      <c r="R260" s="408"/>
      <c r="S260" s="322"/>
      <c r="T260" s="408"/>
      <c r="U260" s="307"/>
      <c r="V260" s="408"/>
      <c r="W260" s="322"/>
      <c r="X260" s="408">
        <f>SUMPRODUCT((Комплекты[Пр]=$F260)*(Комплекты[Обозначение]=$G260)*Комплекты[Кол-во]*(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0</v>
      </c>
      <c r="Y260" s="307">
        <f>SUMPRODUCT((Комплекты[Пр]=$F260)*(Комплекты[Обозначение]=$G260)*Комплекты[Кол-во]*(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0</v>
      </c>
      <c r="Z260" s="408"/>
      <c r="AA260" s="322"/>
      <c r="AB260" s="408">
        <f>SUMPRODUCT((Комплекты[Пр]=$F260)*(Комплекты[Обозначение]=$G260)*Комплекты[Кол-во]*(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60" s="307"/>
      <c r="AD260" s="408"/>
      <c r="AE260" s="322"/>
      <c r="AF260" s="408">
        <f>SUMPRODUCT((Комплекты[Пр]=$F260)*(Комплекты[Обозначение]=$G260)*Комплекты[Кол-во]*(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60" s="307">
        <f>SUMPRODUCT((Комплекты[Пр]=$F260)*(Комплекты[Обозначение]=$G260)*Комплекты[Кол-во]*(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60" s="408"/>
      <c r="AI260" s="322"/>
      <c r="AJ260" s="408">
        <f>SUMPRODUCT((Комплекты[Пр]=$F260)*(Комплекты[Обозначение]=$G260)*Комплекты[Кол-во]*(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0</v>
      </c>
      <c r="AK260" s="307"/>
      <c r="AL260" s="408"/>
      <c r="AM260" s="322"/>
      <c r="AN260" s="408">
        <f>SUMPRODUCT((Комплекты[Пр]=$F260)*(Комплекты[Обозначение]=$G260)*Комплекты[Кол-во]*(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0</v>
      </c>
      <c r="AO260" s="307"/>
      <c r="AP260" s="408"/>
      <c r="AQ260" s="322"/>
      <c r="AR260" s="408">
        <f>SUMPRODUCT((Комплекты[Пр]=$F260)*(Комплекты[Обозначение]=$G260)*Комплекты[Кол-во]*(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0</v>
      </c>
      <c r="AS260" s="307"/>
      <c r="AT260" s="408"/>
      <c r="AU260" s="322"/>
      <c r="AV260" s="408">
        <f>SUMPRODUCT((Комплекты[Пр]=$F260)*(Комплекты[Обозначение]=$G260)*Комплекты[Кол-во]*(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0</v>
      </c>
      <c r="AW260" s="307"/>
      <c r="AX260" s="408"/>
      <c r="AY260" s="322"/>
      <c r="AZ260" s="408">
        <f>SUMPRODUCT((Комплекты[Пр]=$F260)*(Комплекты[Обозначение]=$G260)*Комплекты[Кол-во]*(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0</v>
      </c>
      <c r="BA260" s="307"/>
      <c r="BB260" s="408"/>
      <c r="BC260" s="322"/>
      <c r="BD260" s="408">
        <f>SUMPRODUCT((Комплекты[Пр]=$F260)*(Комплекты[Обозначение]=$G260)*Комплекты[Кол-во]*(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0</v>
      </c>
      <c r="BE260" s="307"/>
      <c r="BF260" s="408"/>
      <c r="BG260" s="322"/>
      <c r="BH260" s="408">
        <f>SUMPRODUCT((Комплекты[Пр]=$F260)*(Комплекты[Обозначение]=$G260)*Комплекты[Кол-во]*(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0</v>
      </c>
      <c r="BI260" s="307"/>
      <c r="BJ260" s="408"/>
      <c r="BK260" s="340"/>
      <c r="BL260" s="328">
        <f t="shared" si="76"/>
        <v>0</v>
      </c>
      <c r="BM260" s="328">
        <f t="shared" si="77"/>
        <v>0</v>
      </c>
      <c r="BN260" s="324">
        <f t="shared" si="78"/>
        <v>0</v>
      </c>
      <c r="BO260" s="325">
        <f t="shared" si="79"/>
        <v>0</v>
      </c>
      <c r="BP260" s="326">
        <f t="shared" si="80"/>
        <v>0</v>
      </c>
      <c r="BQ260" s="327">
        <f t="shared" si="81"/>
        <v>0</v>
      </c>
      <c r="BR260" s="329"/>
      <c r="BS260" s="329"/>
      <c r="BT260" s="322"/>
      <c r="BU260" s="408"/>
      <c r="BV260" s="307"/>
      <c r="BW260" s="408"/>
      <c r="BX260" s="322"/>
      <c r="BY260" s="408"/>
      <c r="BZ260" s="307"/>
      <c r="CA260" s="408"/>
      <c r="CB260" s="322"/>
      <c r="CC260" s="408"/>
      <c r="CD260" s="307"/>
      <c r="CE260" s="408"/>
      <c r="CF260" s="322"/>
      <c r="CG260" s="408"/>
      <c r="CH260" s="307"/>
      <c r="CI260" s="408"/>
      <c r="CJ260" s="322"/>
      <c r="CK260" s="408"/>
      <c r="CL260" s="307"/>
      <c r="CM260" s="408"/>
      <c r="CN260" s="322"/>
      <c r="CO260" s="408"/>
      <c r="CP260" s="307"/>
      <c r="CQ260" s="408"/>
      <c r="CR260" s="322"/>
      <c r="CS260" s="408"/>
      <c r="CT260" s="307"/>
      <c r="CU260" s="408"/>
      <c r="CV260" s="322"/>
      <c r="CW260" s="408"/>
      <c r="CX260" s="307"/>
      <c r="CY260" s="408"/>
      <c r="CZ260" s="322"/>
      <c r="DA260" s="408"/>
      <c r="DB260" s="307"/>
      <c r="DC260" s="408"/>
      <c r="DD260" s="322"/>
      <c r="DE260" s="408"/>
      <c r="DF260" s="307"/>
      <c r="DG260" s="408"/>
      <c r="DH260" s="322"/>
      <c r="DI260" s="408"/>
      <c r="DJ260" s="307"/>
      <c r="DK260" s="408"/>
      <c r="DL260" s="322"/>
      <c r="DM260" s="408"/>
      <c r="DN260" s="307"/>
      <c r="DO260" s="408"/>
      <c r="DP260" s="340"/>
      <c r="DQ260" s="328"/>
      <c r="DR260" s="328"/>
      <c r="DS260" s="329"/>
      <c r="DT260" s="329"/>
      <c r="DU260" s="322"/>
      <c r="DV260" s="408"/>
      <c r="DW260" s="307"/>
      <c r="DX260" s="408"/>
      <c r="DY260" s="322"/>
      <c r="DZ260" s="408"/>
      <c r="EA260" s="307"/>
      <c r="EB260" s="408"/>
      <c r="EC260" s="322"/>
      <c r="ED260" s="408"/>
      <c r="EE260" s="307"/>
      <c r="EF260" s="408"/>
      <c r="EG260" s="322"/>
      <c r="EH260" s="408"/>
      <c r="EI260" s="307"/>
      <c r="EJ260" s="408"/>
      <c r="EK260" s="322"/>
      <c r="EL260" s="408"/>
      <c r="EM260" s="307"/>
      <c r="EN260" s="408"/>
      <c r="EO260" s="322"/>
      <c r="EP260" s="408"/>
      <c r="EQ260" s="307"/>
      <c r="ER260" s="408"/>
      <c r="ES260" s="322"/>
      <c r="ET260" s="408"/>
      <c r="EU260" s="307"/>
      <c r="EV260" s="408"/>
      <c r="EW260" s="322"/>
      <c r="EX260" s="408"/>
      <c r="EY260" s="307"/>
      <c r="EZ260" s="408"/>
      <c r="FA260" s="322"/>
      <c r="FB260" s="408"/>
      <c r="FC260" s="307"/>
      <c r="FD260" s="408"/>
      <c r="FE260" s="322"/>
      <c r="FF260" s="408"/>
      <c r="FG260" s="307"/>
      <c r="FH260" s="408"/>
      <c r="FI260" s="322"/>
      <c r="FJ260" s="408"/>
      <c r="FK260" s="307"/>
      <c r="FL260" s="408"/>
      <c r="FM260" s="322"/>
      <c r="FN260" s="408"/>
      <c r="FO260" s="307"/>
      <c r="FP260" s="408"/>
      <c r="FQ260" s="340"/>
      <c r="FR260" s="328"/>
      <c r="FS260" s="328"/>
      <c r="FT260" s="361"/>
    </row>
    <row r="261" spans="1:176" outlineLevel="2">
      <c r="A261" s="375" t="s">
        <v>470</v>
      </c>
      <c r="B261" s="389" t="s">
        <v>134</v>
      </c>
      <c r="C261" s="311" t="s">
        <v>72</v>
      </c>
      <c r="D261" s="575" t="s">
        <v>32</v>
      </c>
      <c r="E261" s="284">
        <f>IF(ISBLANK(G261),"",IF($A$6:$A$330=$A261,COUNTIF($A$6:A261,$A261),""))</f>
        <v>67</v>
      </c>
      <c r="F261" s="318">
        <v>1</v>
      </c>
      <c r="G261" s="403">
        <v>4802070600</v>
      </c>
      <c r="H261" s="613" t="s">
        <v>420</v>
      </c>
      <c r="I261" s="619">
        <v>0</v>
      </c>
      <c r="J261" s="619"/>
      <c r="K261" s="321"/>
      <c r="L261" s="619"/>
      <c r="M261" s="305"/>
      <c r="N261" s="305">
        <f t="shared" si="75"/>
        <v>0</v>
      </c>
      <c r="O261" s="322"/>
      <c r="P261" s="408"/>
      <c r="Q261" s="307"/>
      <c r="R261" s="408"/>
      <c r="S261" s="322"/>
      <c r="T261" s="408"/>
      <c r="U261" s="307"/>
      <c r="V261" s="408"/>
      <c r="W261" s="322"/>
      <c r="X261" s="408">
        <f>SUMPRODUCT((Комплекты[Пр]=$F261)*(Комплекты[Обозначение]=$G261)*Комплекты[Кол-во]*(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0</v>
      </c>
      <c r="Y261" s="307">
        <f>SUMPRODUCT((Комплекты[Пр]=$F261)*(Комплекты[Обозначение]=$G261)*Комплекты[Кол-во]*(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0</v>
      </c>
      <c r="Z261" s="408"/>
      <c r="AA261" s="322"/>
      <c r="AB261" s="408">
        <f>SUMPRODUCT((Комплекты[Пр]=$F261)*(Комплекты[Обозначение]=$G261)*Комплекты[Кол-во]*(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0</v>
      </c>
      <c r="AC261" s="307"/>
      <c r="AD261" s="408"/>
      <c r="AE261" s="322"/>
      <c r="AF261" s="408">
        <f>SUMPRODUCT((Комплекты[Пр]=$F261)*(Комплекты[Обозначение]=$G261)*Комплекты[Кол-во]*(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61" s="307">
        <f>SUMPRODUCT((Комплекты[Пр]=$F261)*(Комплекты[Обозначение]=$G261)*Комплекты[Кол-во]*(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61" s="408"/>
      <c r="AI261" s="322"/>
      <c r="AJ261" s="408">
        <f>SUMPRODUCT((Комплекты[Пр]=$F261)*(Комплекты[Обозначение]=$G261)*Комплекты[Кол-во]*(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0</v>
      </c>
      <c r="AK261" s="307"/>
      <c r="AL261" s="408"/>
      <c r="AM261" s="322"/>
      <c r="AN261" s="408">
        <f>SUMPRODUCT((Комплекты[Пр]=$F261)*(Комплекты[Обозначение]=$G261)*Комплекты[Кол-во]*(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0</v>
      </c>
      <c r="AO261" s="307"/>
      <c r="AP261" s="408"/>
      <c r="AQ261" s="322"/>
      <c r="AR261" s="408">
        <f>SUMPRODUCT((Комплекты[Пр]=$F261)*(Комплекты[Обозначение]=$G261)*Комплекты[Кол-во]*(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0</v>
      </c>
      <c r="AS261" s="307"/>
      <c r="AT261" s="408"/>
      <c r="AU261" s="322"/>
      <c r="AV261" s="408">
        <f>SUMPRODUCT((Комплекты[Пр]=$F261)*(Комплекты[Обозначение]=$G261)*Комплекты[Кол-во]*(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0</v>
      </c>
      <c r="AW261" s="307"/>
      <c r="AX261" s="408"/>
      <c r="AY261" s="322"/>
      <c r="AZ261" s="408">
        <f>SUMPRODUCT((Комплекты[Пр]=$F261)*(Комплекты[Обозначение]=$G261)*Комплекты[Кол-во]*(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0</v>
      </c>
      <c r="BA261" s="307"/>
      <c r="BB261" s="408"/>
      <c r="BC261" s="322"/>
      <c r="BD261" s="408">
        <f>SUMPRODUCT((Комплекты[Пр]=$F261)*(Комплекты[Обозначение]=$G261)*Комплекты[Кол-во]*(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0</v>
      </c>
      <c r="BE261" s="307"/>
      <c r="BF261" s="408"/>
      <c r="BG261" s="322"/>
      <c r="BH261" s="408">
        <f>SUMPRODUCT((Комплекты[Пр]=$F261)*(Комплекты[Обозначение]=$G261)*Комплекты[Кол-во]*(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0</v>
      </c>
      <c r="BI261" s="307"/>
      <c r="BJ261" s="408"/>
      <c r="BK261" s="340"/>
      <c r="BL261" s="328">
        <f t="shared" si="76"/>
        <v>0</v>
      </c>
      <c r="BM261" s="328">
        <f t="shared" si="77"/>
        <v>0</v>
      </c>
      <c r="BN261" s="324">
        <f t="shared" si="78"/>
        <v>0</v>
      </c>
      <c r="BO261" s="325">
        <f t="shared" si="79"/>
        <v>0</v>
      </c>
      <c r="BP261" s="326">
        <f t="shared" si="80"/>
        <v>0</v>
      </c>
      <c r="BQ261" s="327">
        <f t="shared" si="81"/>
        <v>0</v>
      </c>
      <c r="BR261" s="329"/>
      <c r="BS261" s="329"/>
      <c r="BT261" s="322"/>
      <c r="BU261" s="408"/>
      <c r="BV261" s="307"/>
      <c r="BW261" s="408"/>
      <c r="BX261" s="322"/>
      <c r="BY261" s="408"/>
      <c r="BZ261" s="307"/>
      <c r="CA261" s="408"/>
      <c r="CB261" s="322"/>
      <c r="CC261" s="408"/>
      <c r="CD261" s="307"/>
      <c r="CE261" s="408"/>
      <c r="CF261" s="322"/>
      <c r="CG261" s="408"/>
      <c r="CH261" s="307"/>
      <c r="CI261" s="408"/>
      <c r="CJ261" s="322"/>
      <c r="CK261" s="408"/>
      <c r="CL261" s="307"/>
      <c r="CM261" s="408"/>
      <c r="CN261" s="322"/>
      <c r="CO261" s="408"/>
      <c r="CP261" s="307"/>
      <c r="CQ261" s="408"/>
      <c r="CR261" s="322"/>
      <c r="CS261" s="408"/>
      <c r="CT261" s="307"/>
      <c r="CU261" s="408"/>
      <c r="CV261" s="322"/>
      <c r="CW261" s="408"/>
      <c r="CX261" s="307"/>
      <c r="CY261" s="408"/>
      <c r="CZ261" s="322"/>
      <c r="DA261" s="408"/>
      <c r="DB261" s="307"/>
      <c r="DC261" s="408"/>
      <c r="DD261" s="322"/>
      <c r="DE261" s="408"/>
      <c r="DF261" s="307"/>
      <c r="DG261" s="408"/>
      <c r="DH261" s="322"/>
      <c r="DI261" s="408"/>
      <c r="DJ261" s="307"/>
      <c r="DK261" s="408"/>
      <c r="DL261" s="322"/>
      <c r="DM261" s="408"/>
      <c r="DN261" s="307"/>
      <c r="DO261" s="408"/>
      <c r="DP261" s="340"/>
      <c r="DQ261" s="328"/>
      <c r="DR261" s="328"/>
      <c r="DS261" s="329"/>
      <c r="DT261" s="329"/>
      <c r="DU261" s="322"/>
      <c r="DV261" s="408"/>
      <c r="DW261" s="307"/>
      <c r="DX261" s="408"/>
      <c r="DY261" s="322"/>
      <c r="DZ261" s="408"/>
      <c r="EA261" s="307"/>
      <c r="EB261" s="408"/>
      <c r="EC261" s="322"/>
      <c r="ED261" s="408"/>
      <c r="EE261" s="307"/>
      <c r="EF261" s="408"/>
      <c r="EG261" s="322"/>
      <c r="EH261" s="408"/>
      <c r="EI261" s="307"/>
      <c r="EJ261" s="408"/>
      <c r="EK261" s="322"/>
      <c r="EL261" s="408"/>
      <c r="EM261" s="307"/>
      <c r="EN261" s="408"/>
      <c r="EO261" s="322"/>
      <c r="EP261" s="408"/>
      <c r="EQ261" s="307"/>
      <c r="ER261" s="408"/>
      <c r="ES261" s="322"/>
      <c r="ET261" s="408"/>
      <c r="EU261" s="307"/>
      <c r="EV261" s="408"/>
      <c r="EW261" s="322"/>
      <c r="EX261" s="408"/>
      <c r="EY261" s="307"/>
      <c r="EZ261" s="408"/>
      <c r="FA261" s="322"/>
      <c r="FB261" s="408"/>
      <c r="FC261" s="307"/>
      <c r="FD261" s="408"/>
      <c r="FE261" s="322"/>
      <c r="FF261" s="408"/>
      <c r="FG261" s="307"/>
      <c r="FH261" s="408"/>
      <c r="FI261" s="322"/>
      <c r="FJ261" s="408"/>
      <c r="FK261" s="307"/>
      <c r="FL261" s="408"/>
      <c r="FM261" s="322"/>
      <c r="FN261" s="408"/>
      <c r="FO261" s="307"/>
      <c r="FP261" s="408"/>
      <c r="FQ261" s="340"/>
      <c r="FR261" s="328"/>
      <c r="FS261" s="328"/>
      <c r="FT261" s="361"/>
    </row>
    <row r="262" spans="1:176" outlineLevel="2">
      <c r="A262" s="56" t="s">
        <v>470</v>
      </c>
      <c r="B262" s="387" t="s">
        <v>134</v>
      </c>
      <c r="C262" s="173" t="s">
        <v>72</v>
      </c>
      <c r="D262" s="565" t="s">
        <v>32</v>
      </c>
      <c r="E262" s="10">
        <f>IF(ISBLANK(G262),"",IF($A$6:$A$330=$A262,COUNTIF($A$6:A262,$A262),""))</f>
        <v>68</v>
      </c>
      <c r="F262" s="123">
        <v>1</v>
      </c>
      <c r="G262" s="128">
        <v>4630840310</v>
      </c>
      <c r="H262" s="612" t="s">
        <v>135</v>
      </c>
      <c r="I262" s="618">
        <v>0</v>
      </c>
      <c r="J262" s="618"/>
      <c r="K262" s="126"/>
      <c r="L262" s="618" t="str">
        <f t="shared" ref="L262:L282" si="90">IF(K262="RUB",J262/ЮАНЬ,IF(K262="EUR",J262*ЕВРО/ЮАНЬ,""))</f>
        <v/>
      </c>
      <c r="M262" s="102"/>
      <c r="N262" s="305">
        <f t="shared" si="75"/>
        <v>1</v>
      </c>
      <c r="O262" s="23">
        <v>0</v>
      </c>
      <c r="P262" s="24"/>
      <c r="Q262" s="25"/>
      <c r="R262" s="24"/>
      <c r="S262" s="23">
        <v>0</v>
      </c>
      <c r="T262" s="24">
        <f>SUMPRODUCT((Комплекты[Пр]=$F262)*(Комплекты[Обозначение]=$G262)*Комплекты[Кол-во]*(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0</v>
      </c>
      <c r="U262" s="25">
        <f>SUMPRODUCT((Комплекты[Пр]=$F262)*(Комплекты[Обозначение]=$G262)*Комплекты[Кол-во]*(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0</v>
      </c>
      <c r="V262" s="24"/>
      <c r="W262" s="23">
        <v>0</v>
      </c>
      <c r="X262" s="24">
        <f>SUMPRODUCT((Комплекты[Пр]=$F262)*(Комплекты[Обозначение]=$G262)*Комплекты[Кол-во]*(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10</v>
      </c>
      <c r="Y262" s="25">
        <f>SUMPRODUCT((Комплекты[Пр]=$F262)*(Комплекты[Обозначение]=$G262)*Комплекты[Кол-во]*(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10</v>
      </c>
      <c r="Z262" s="24"/>
      <c r="AA262" s="23">
        <v>0</v>
      </c>
      <c r="AB262" s="24">
        <f>SUMPRODUCT((Комплекты[Пр]=$F262)*(Комплекты[Обозначение]=$G262)*Комплекты[Кол-во]*(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30</v>
      </c>
      <c r="AC262" s="25"/>
      <c r="AD262" s="24"/>
      <c r="AE262" s="23">
        <v>0</v>
      </c>
      <c r="AF262" s="24">
        <f>SUMPRODUCT((Комплекты[Пр]=$F262)*(Комплекты[Обозначение]=$G262)*Комплекты[Кол-во]*(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62" s="25">
        <f>SUMPRODUCT((Комплекты[Пр]=$F262)*(Комплекты[Обозначение]=$G262)*Комплекты[Кол-во]*(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62" s="24"/>
      <c r="AI262" s="23">
        <v>0</v>
      </c>
      <c r="AJ262" s="24">
        <f>SUMPRODUCT((Комплекты[Пр]=$F262)*(Комплекты[Обозначение]=$G262)*Комплекты[Кол-во]*(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0</v>
      </c>
      <c r="AK262" s="25"/>
      <c r="AL262" s="24"/>
      <c r="AM262" s="23">
        <v>0</v>
      </c>
      <c r="AN262" s="24">
        <f>SUMPRODUCT((Комплекты[Пр]=$F262)*(Комплекты[Обозначение]=$G262)*Комплекты[Кол-во]*(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0</v>
      </c>
      <c r="AO262" s="25"/>
      <c r="AP262" s="24"/>
      <c r="AQ262" s="23">
        <v>0</v>
      </c>
      <c r="AR262" s="24">
        <f>SUMPRODUCT((Комплекты[Пр]=$F262)*(Комплекты[Обозначение]=$G262)*Комплекты[Кол-во]*(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0</v>
      </c>
      <c r="AS262" s="25"/>
      <c r="AT262" s="24"/>
      <c r="AU262" s="23">
        <v>0</v>
      </c>
      <c r="AV262" s="24">
        <f>SUMPRODUCT((Комплекты[Пр]=$F262)*(Комплекты[Обозначение]=$G262)*Комплекты[Кол-во]*(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0</v>
      </c>
      <c r="AW262" s="25"/>
      <c r="AX262" s="24"/>
      <c r="AY262" s="23">
        <v>0</v>
      </c>
      <c r="AZ262" s="24">
        <f>SUMPRODUCT((Комплекты[Пр]=$F262)*(Комплекты[Обозначение]=$G262)*Комплекты[Кол-во]*(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0</v>
      </c>
      <c r="BA262" s="25"/>
      <c r="BB262" s="24"/>
      <c r="BC262" s="23">
        <v>0</v>
      </c>
      <c r="BD262" s="24">
        <f>SUMPRODUCT((Комплекты[Пр]=$F262)*(Комплекты[Обозначение]=$G262)*Комплекты[Кол-во]*(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0</v>
      </c>
      <c r="BE262" s="25"/>
      <c r="BF262" s="24"/>
      <c r="BG262" s="23">
        <v>0</v>
      </c>
      <c r="BH262" s="24">
        <f>SUMPRODUCT((Комплекты[Пр]=$F262)*(Комплекты[Обозначение]=$G262)*Комплекты[Кол-во]*(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0</v>
      </c>
      <c r="BI262" s="25"/>
      <c r="BJ262" s="24"/>
      <c r="BK262" s="340"/>
      <c r="BL262" s="32">
        <f t="shared" si="76"/>
        <v>0</v>
      </c>
      <c r="BM262" s="32">
        <f t="shared" si="77"/>
        <v>0</v>
      </c>
      <c r="BN262" s="28">
        <f t="shared" si="78"/>
        <v>40</v>
      </c>
      <c r="BO262" s="29">
        <f t="shared" si="79"/>
        <v>0</v>
      </c>
      <c r="BP262" s="30">
        <f t="shared" si="80"/>
        <v>10</v>
      </c>
      <c r="BQ262" s="31">
        <f t="shared" si="81"/>
        <v>0</v>
      </c>
      <c r="BR262" s="11"/>
      <c r="BS262" s="329"/>
      <c r="BT262" s="23">
        <v>2</v>
      </c>
      <c r="BU262" s="24"/>
      <c r="BV262" s="25"/>
      <c r="BW262" s="24"/>
      <c r="BX262" s="23">
        <v>2</v>
      </c>
      <c r="BY262" s="24"/>
      <c r="BZ262" s="25"/>
      <c r="CA262" s="24"/>
      <c r="CB262" s="23">
        <v>2</v>
      </c>
      <c r="CC262" s="24"/>
      <c r="CD262" s="25"/>
      <c r="CE262" s="24"/>
      <c r="CF262" s="23">
        <v>2</v>
      </c>
      <c r="CG262" s="24"/>
      <c r="CH262" s="25"/>
      <c r="CI262" s="24"/>
      <c r="CJ262" s="23">
        <v>2</v>
      </c>
      <c r="CK262" s="24"/>
      <c r="CL262" s="25"/>
      <c r="CM262" s="24"/>
      <c r="CN262" s="23">
        <v>2</v>
      </c>
      <c r="CO262" s="24"/>
      <c r="CP262" s="25"/>
      <c r="CQ262" s="24"/>
      <c r="CR262" s="23">
        <v>2</v>
      </c>
      <c r="CS262" s="24"/>
      <c r="CT262" s="25"/>
      <c r="CU262" s="24"/>
      <c r="CV262" s="23">
        <v>2</v>
      </c>
      <c r="CW262" s="24"/>
      <c r="CX262" s="25"/>
      <c r="CY262" s="24"/>
      <c r="CZ262" s="23">
        <v>2</v>
      </c>
      <c r="DA262" s="24"/>
      <c r="DB262" s="25"/>
      <c r="DC262" s="24"/>
      <c r="DD262" s="23">
        <v>2</v>
      </c>
      <c r="DE262" s="24"/>
      <c r="DF262" s="25"/>
      <c r="DG262" s="24"/>
      <c r="DH262" s="23">
        <v>2</v>
      </c>
      <c r="DI262" s="24"/>
      <c r="DJ262" s="25"/>
      <c r="DK262" s="24"/>
      <c r="DL262" s="23">
        <v>2</v>
      </c>
      <c r="DM262" s="24"/>
      <c r="DN262" s="25"/>
      <c r="DO262" s="24"/>
      <c r="DP262" s="340"/>
      <c r="DQ262" s="32">
        <f t="shared" ref="DQ262:DQ274" si="91">SUMPRODUCT(--(MOD(COLUMN(BT262:CQ262),4)=MOD(COLUMN(BT262),4)),BT262:CQ262)+SUMPRODUCT(--(MOD(COLUMN(CR262:DO262),4)=MOD(COLUMN(CR262),4)),CR262:DO262)</f>
        <v>24</v>
      </c>
      <c r="DR262" s="32">
        <f t="shared" ref="DR262:DR274" si="92">SUMPRODUCT(--(MOD(COLUMN(BT262:CQ262),4)=MOD(COLUMN(BT262),4)),BT262:CQ262)*$I262+SUMPRODUCT(--(MOD(COLUMN(CR262:DO262),4)=MOD(COLUMN(CR262),4)),CR262:DO262)*$I262</f>
        <v>0</v>
      </c>
      <c r="DS262" s="11"/>
      <c r="DT262" s="329"/>
      <c r="DU262" s="23">
        <v>3</v>
      </c>
      <c r="DV262" s="24"/>
      <c r="DW262" s="25"/>
      <c r="DX262" s="24"/>
      <c r="DY262" s="23">
        <v>3</v>
      </c>
      <c r="DZ262" s="24"/>
      <c r="EA262" s="25"/>
      <c r="EB262" s="24"/>
      <c r="EC262" s="23">
        <v>3</v>
      </c>
      <c r="ED262" s="24"/>
      <c r="EE262" s="25"/>
      <c r="EF262" s="24"/>
      <c r="EG262" s="23">
        <v>3</v>
      </c>
      <c r="EH262" s="24"/>
      <c r="EI262" s="25"/>
      <c r="EJ262" s="24"/>
      <c r="EK262" s="23">
        <v>3</v>
      </c>
      <c r="EL262" s="24"/>
      <c r="EM262" s="25"/>
      <c r="EN262" s="24"/>
      <c r="EO262" s="23">
        <v>3</v>
      </c>
      <c r="EP262" s="24"/>
      <c r="EQ262" s="25"/>
      <c r="ER262" s="24"/>
      <c r="ES262" s="23">
        <v>3</v>
      </c>
      <c r="ET262" s="24"/>
      <c r="EU262" s="25"/>
      <c r="EV262" s="24"/>
      <c r="EW262" s="23">
        <v>3</v>
      </c>
      <c r="EX262" s="24"/>
      <c r="EY262" s="25"/>
      <c r="EZ262" s="24"/>
      <c r="FA262" s="23">
        <v>3</v>
      </c>
      <c r="FB262" s="24"/>
      <c r="FC262" s="25"/>
      <c r="FD262" s="24"/>
      <c r="FE262" s="23">
        <v>3</v>
      </c>
      <c r="FF262" s="24"/>
      <c r="FG262" s="25"/>
      <c r="FH262" s="24"/>
      <c r="FI262" s="23">
        <v>3</v>
      </c>
      <c r="FJ262" s="24"/>
      <c r="FK262" s="25"/>
      <c r="FL262" s="24"/>
      <c r="FM262" s="23">
        <v>3</v>
      </c>
      <c r="FN262" s="24"/>
      <c r="FO262" s="25"/>
      <c r="FP262" s="24"/>
      <c r="FQ262" s="340"/>
      <c r="FR262" s="32">
        <f t="shared" ref="FR262:FR274" si="93">SUMPRODUCT(--(MOD(COLUMN(DU262:ER262),4)=MOD(COLUMN(DU262),4)),DU262:ER262)+SUMPRODUCT(--(MOD(COLUMN(ES262:FP262),4)=MOD(COLUMN(ES262),4)),ES262:FP262)</f>
        <v>36</v>
      </c>
      <c r="FS262" s="32">
        <f t="shared" ref="FS262:FS274" si="94">SUMPRODUCT(--(MOD(COLUMN(DU262:ER262),4)=MOD(COLUMN(DU262),4)),DU262:ER262)*$I262+SUMPRODUCT(--(MOD(COLUMN(ES262:FP262),4)=MOD(COLUMN(ES262),4)),ES262:FP262)*$I262</f>
        <v>0</v>
      </c>
      <c r="FT262" s="361"/>
    </row>
    <row r="263" spans="1:176" outlineLevel="2">
      <c r="A263" s="56" t="s">
        <v>470</v>
      </c>
      <c r="B263" s="387" t="s">
        <v>134</v>
      </c>
      <c r="C263" s="173" t="s">
        <v>72</v>
      </c>
      <c r="D263" s="565" t="s">
        <v>32</v>
      </c>
      <c r="E263" s="10">
        <f>IF(ISBLANK(G263),"",IF($A$6:$A$330=$A263,COUNTIF($A$6:A263,$A263),""))</f>
        <v>69</v>
      </c>
      <c r="F263" s="123">
        <v>1</v>
      </c>
      <c r="G263" s="128">
        <v>4494430600</v>
      </c>
      <c r="H263" s="612" t="s">
        <v>136</v>
      </c>
      <c r="I263" s="618">
        <v>0</v>
      </c>
      <c r="J263" s="618"/>
      <c r="K263" s="126"/>
      <c r="L263" s="618" t="str">
        <f t="shared" si="90"/>
        <v/>
      </c>
      <c r="M263" s="102"/>
      <c r="N263" s="305">
        <f t="shared" si="75"/>
        <v>1</v>
      </c>
      <c r="O263" s="23">
        <v>0</v>
      </c>
      <c r="P263" s="24"/>
      <c r="Q263" s="25"/>
      <c r="R263" s="24"/>
      <c r="S263" s="23">
        <v>0</v>
      </c>
      <c r="T263" s="24">
        <f>SUMPRODUCT((Комплекты[Пр]=$F263)*(Комплекты[Обозначение]=$G263)*Комплекты[Кол-во]*(
((Комплекты[Комплект]=$G$238)*T$238)+
((Комплекты[Комплект]=$G$234)*T$234)+
((Комплекты[Комплект]=$G$233)*T$233)+
((Комплекты[Комплект]=$G$232)*T$232)+
((Комплекты[Комплект]=$G$231)*T$231)+
((Комплекты[Комплект]=$G$230)*T$230)+
((Комплекты[Комплект]=$G$229)*T$229)+
((Комплекты[Комплект]=$G$228)*T$228)))</f>
        <v>0</v>
      </c>
      <c r="U263" s="25">
        <f>SUMPRODUCT((Комплекты[Пр]=$F263)*(Комплекты[Обозначение]=$G263)*Комплекты[Кол-во]*(
((Комплекты[Комплект]=$G$238)*U$238)+
((Комплекты[Комплект]=$G$234)*U$234)+
((Комплекты[Комплект]=$G$233)*U$233)+
((Комплекты[Комплект]=$G$232)*U$232)+
((Комплекты[Комплект]=$G$231)*U$231)+
((Комплекты[Комплект]=$G$230)*U$230)+
((Комплекты[Комплект]=$G$229)*U$229)+
((Комплекты[Комплект]=$G$228)*U$228)))</f>
        <v>0</v>
      </c>
      <c r="V263" s="24"/>
      <c r="W263" s="23">
        <v>0</v>
      </c>
      <c r="X263" s="24">
        <f>SUMPRODUCT((Комплекты[Пр]=$F263)*(Комплекты[Обозначение]=$G263)*Комплекты[Кол-во]*(
((Комплекты[Комплект]=$G$238)*X$238)+
((Комплекты[Комплект]=$G$236)*X$236)+
((Комплекты[Комплект]=$G$235)*X$235)+
((Комплекты[Комплект]=$G$234)*X$234)+
((Комплекты[Комплект]=$G$233)*X$233)+
((Комплекты[Комплект]=$G$232)*X$232)+
((Комплекты[Комплект]=$G$231)*X$231)+
((Комплекты[Комплект]=$G$230)*X$230)+
((Комплекты[Комплект]=$G$229)*X$229)+
((Комплекты[Комплект]=$G$228)*X$228)))</f>
        <v>10</v>
      </c>
      <c r="Y263" s="25">
        <f>SUMPRODUCT((Комплекты[Пр]=$F263)*(Комплекты[Обозначение]=$G263)*Комплекты[Кол-во]*(
((Комплекты[Комплект]=$G$238)*Y$238)+
((Комплекты[Комплект]=$G$236)*Y$236)+
((Комплекты[Комплект]=$G$235)*Y$235)+
((Комплекты[Комплект]=$G$234)*Y$234)+
((Комплекты[Комплект]=$G$233)*Y$233)+
((Комплекты[Комплект]=$G$232)*Y$232)+
((Комплекты[Комплект]=$G$231)*Y$231)+
((Комплекты[Комплект]=$G$230)*Y$230)+
((Комплекты[Комплект]=$G$229)*Y$229)+
((Комплекты[Комплект]=$G$228)*Y$228)))</f>
        <v>10</v>
      </c>
      <c r="Z263" s="24"/>
      <c r="AA263" s="23">
        <v>0</v>
      </c>
      <c r="AB263" s="24">
        <f>SUMPRODUCT((Комплекты[Пр]=$F263)*(Комплекты[Обозначение]=$G263)*Комплекты[Кол-во]*(
((Комплекты[Комплект]=$G$238)*AB$238)+
((Комплекты[Комплект]=$G$236)*AB$236)+
((Комплекты[Комплект]=$G$235)*AB$235)+
((Комплекты[Комплект]=$G$234)*AB$234)+
((Комплекты[Комплект]=$G$233)*AB$233)+
((Комплекты[Комплект]=$G$232)*AB$232)+
((Комплекты[Комплект]=$G$231)*AB$231)+
((Комплекты[Комплект]=$G$230)*AB$230)+
((Комплекты[Комплект]=$G$229)*AB$229)+
((Комплекты[Комплект]=$G$228)*AB$228)))</f>
        <v>30</v>
      </c>
      <c r="AC263" s="25"/>
      <c r="AD263" s="24"/>
      <c r="AE263" s="23">
        <v>0</v>
      </c>
      <c r="AF263" s="24">
        <f>SUMPRODUCT((Комплекты[Пр]=$F263)*(Комплекты[Обозначение]=$G263)*Комплекты[Кол-во]*(
((Комплекты[Комплект]=$G$238)*AF$238)+
((Комплекты[Комплект]=$G$236)*AF$236)+
((Комплекты[Комплект]=$G$235)*AF$235)+
((Комплекты[Комплект]=$G$234)*AF$234)+
((Комплекты[Комплект]=$G$233)*AF$233)+
((Комплекты[Комплект]=$G$232)*AF$232)+
((Комплекты[Комплект]=$G$231)*AF$231)+
((Комплекты[Комплект]=$G$230)*AF$230)+
((Комплекты[Комплект]=$G$229)*AF$229)+
((Комплекты[Комплект]=$G$228)*AF$228)))</f>
        <v>0</v>
      </c>
      <c r="AG263" s="25">
        <f>SUMPRODUCT((Комплекты[Пр]=$F263)*(Комплекты[Обозначение]=$G263)*Комплекты[Кол-во]*(
((Комплекты[Комплект]=$G$238)*AG$238)+
((Комплекты[Комплект]=$G$236)*AG$236)+
((Комплекты[Комплект]=$G$235)*AG$235)+
((Комплекты[Комплект]=$G$234)*AG$234)+
((Комплекты[Комплект]=$G$233)*AG$233)+
((Комплекты[Комплект]=$G$232)*AG$232)+
((Комплекты[Комплект]=$G$231)*AG$231)+
((Комплекты[Комплект]=$G$230)*AG$230)+
((Комплекты[Комплект]=$G$229)*AG$229)+
((Комплекты[Комплект]=$G$228)*AG$228)))</f>
        <v>0</v>
      </c>
      <c r="AH263" s="24"/>
      <c r="AI263" s="23">
        <v>0</v>
      </c>
      <c r="AJ263" s="24">
        <f>SUMPRODUCT((Комплекты[Пр]=$F263)*(Комплекты[Обозначение]=$G263)*Комплекты[Кол-во]*(
((Комплекты[Комплект]=$G$238)*AJ$238)+
((Комплекты[Комплект]=$G$236)*AJ$236)+
((Комплекты[Комплект]=$G$235)*AJ$235)+
((Комплекты[Комплект]=$G$234)*AJ$234)+
((Комплекты[Комплект]=$G$233)*AJ$233)+
((Комплекты[Комплект]=$G$232)*AJ$232)+
((Комплекты[Комплект]=$G$231)*AJ$231)+
((Комплекты[Комплект]=$G$230)*AJ$230)+
((Комплекты[Комплект]=$G$229)*AJ$229)+
((Комплекты[Комплект]=$G$228)*AJ$228)))</f>
        <v>0</v>
      </c>
      <c r="AK263" s="25"/>
      <c r="AL263" s="24"/>
      <c r="AM263" s="23">
        <v>0</v>
      </c>
      <c r="AN263" s="24">
        <f>SUMPRODUCT((Комплекты[Пр]=$F263)*(Комплекты[Обозначение]=$G263)*Комплекты[Кол-во]*(
((Комплекты[Комплект]=$G$238)*AN$238)+
((Комплекты[Комплект]=$G$236)*AN$236)+
((Комплекты[Комплект]=$G$235)*AN$235)+
((Комплекты[Комплект]=$G$234)*AN$234)+
((Комплекты[Комплект]=$G$233)*AN$233)+
((Комплекты[Комплект]=$G$232)*AN$232)+
((Комплекты[Комплект]=$G$231)*AN$231)+
((Комплекты[Комплект]=$G$230)*AN$230)+
((Комплекты[Комплект]=$G$229)*AN$229)+
((Комплекты[Комплект]=$G$228)*AN$228)))</f>
        <v>0</v>
      </c>
      <c r="AO263" s="25"/>
      <c r="AP263" s="24"/>
      <c r="AQ263" s="23">
        <v>0</v>
      </c>
      <c r="AR263" s="24">
        <f>SUMPRODUCT((Комплекты[Пр]=$F263)*(Комплекты[Обозначение]=$G263)*Комплекты[Кол-во]*(
((Комплекты[Комплект]=$G$238)*AR$238)+
((Комплекты[Комплект]=$G$236)*AR$236)+
((Комплекты[Комплект]=$G$235)*AR$235)+
((Комплекты[Комплект]=$G$234)*AR$234)+
((Комплекты[Комплект]=$G$233)*AR$233)+
((Комплекты[Комплект]=$G$232)*AR$232)+
((Комплекты[Комплект]=$G$231)*AR$231)+
((Комплекты[Комплект]=$G$230)*AR$230)+
((Комплекты[Комплект]=$G$229)*AR$229)+
((Комплекты[Комплект]=$G$228)*AR$228)))</f>
        <v>0</v>
      </c>
      <c r="AS263" s="25"/>
      <c r="AT263" s="24"/>
      <c r="AU263" s="23">
        <v>0</v>
      </c>
      <c r="AV263" s="24">
        <f>SUMPRODUCT((Комплекты[Пр]=$F263)*(Комплекты[Обозначение]=$G263)*Комплекты[Кол-во]*(
((Комплекты[Комплект]=$G$238)*AV$238)+
((Комплекты[Комплект]=$G$236)*AV$236)+
((Комплекты[Комплект]=$G$235)*AV$235)+
((Комплекты[Комплект]=$G$234)*AV$234)+
((Комплекты[Комплект]=$G$233)*AV$233)+
((Комплекты[Комплект]=$G$232)*AV$232)+
((Комплекты[Комплект]=$G$231)*AV$231)+
((Комплекты[Комплект]=$G$230)*AV$230)+
((Комплекты[Комплект]=$G$229)*AV$229)+
((Комплекты[Комплект]=$G$228)*AV$228)))</f>
        <v>0</v>
      </c>
      <c r="AW263" s="25"/>
      <c r="AX263" s="24"/>
      <c r="AY263" s="23">
        <v>0</v>
      </c>
      <c r="AZ263" s="24">
        <f>SUMPRODUCT((Комплекты[Пр]=$F263)*(Комплекты[Обозначение]=$G263)*Комплекты[Кол-во]*(
((Комплекты[Комплект]=$G$238)*AZ$238)+
((Комплекты[Комплект]=$G$236)*AZ$236)+
((Комплекты[Комплект]=$G$235)*AZ$235)+
((Комплекты[Комплект]=$G$234)*AZ$234)+
((Комплекты[Комплект]=$G$233)*AZ$233)+
((Комплекты[Комплект]=$G$232)*AZ$232)+
((Комплекты[Комплект]=$G$231)*AZ$231)+
((Комплекты[Комплект]=$G$230)*AZ$230)+
((Комплекты[Комплект]=$G$229)*AZ$229)+
((Комплекты[Комплект]=$G$228)*AZ$228)))</f>
        <v>0</v>
      </c>
      <c r="BA263" s="25"/>
      <c r="BB263" s="24"/>
      <c r="BC263" s="23">
        <v>0</v>
      </c>
      <c r="BD263" s="24">
        <f>SUMPRODUCT((Комплекты[Пр]=$F263)*(Комплекты[Обозначение]=$G263)*Комплекты[Кол-во]*(
((Комплекты[Комплект]=$G$238)*BD$238)+
((Комплекты[Комплект]=$G$236)*BD$236)+
((Комплекты[Комплект]=$G$235)*BD$235)+
((Комплекты[Комплект]=$G$234)*BD$234)+
((Комплекты[Комплект]=$G$233)*BD$233)+
((Комплекты[Комплект]=$G$232)*BD$232)+
((Комплекты[Комплект]=$G$231)*BD$231)+
((Комплекты[Комплект]=$G$230)*BD$230)+
((Комплекты[Комплект]=$G$229)*BD$229)+
((Комплекты[Комплект]=$G$228)*BD$228)))</f>
        <v>0</v>
      </c>
      <c r="BE263" s="25"/>
      <c r="BF263" s="24"/>
      <c r="BG263" s="23">
        <v>0</v>
      </c>
      <c r="BH263" s="24">
        <f>SUMPRODUCT((Комплекты[Пр]=$F263)*(Комплекты[Обозначение]=$G263)*Комплекты[Кол-во]*(
((Комплекты[Комплект]=$G$238)*BH$238)+
((Комплекты[Комплект]=$G$236)*BH$236)+
((Комплекты[Комплект]=$G$235)*BH$235)+
((Комплекты[Комплект]=$G$234)*BH$234)+
((Комплекты[Комплект]=$G$233)*BH$233)+
((Комплекты[Комплект]=$G$232)*BH$232)+
((Комплекты[Комплект]=$G$231)*BH$231)+
((Комплекты[Комплект]=$G$230)*BH$230)+
((Комплекты[Комплект]=$G$229)*BH$229)+
((Комплекты[Комплект]=$G$228)*BH$228)))</f>
        <v>0</v>
      </c>
      <c r="BI263" s="25"/>
      <c r="BJ263" s="24"/>
      <c r="BK263" s="340"/>
      <c r="BL263" s="32">
        <f t="shared" si="76"/>
        <v>0</v>
      </c>
      <c r="BM263" s="32">
        <f t="shared" si="77"/>
        <v>0</v>
      </c>
      <c r="BN263" s="28">
        <f t="shared" si="78"/>
        <v>40</v>
      </c>
      <c r="BO263" s="29">
        <f t="shared" si="79"/>
        <v>0</v>
      </c>
      <c r="BP263" s="30">
        <f t="shared" si="80"/>
        <v>10</v>
      </c>
      <c r="BQ263" s="31">
        <f t="shared" si="81"/>
        <v>0</v>
      </c>
      <c r="BR263" s="11"/>
      <c r="BS263" s="329"/>
      <c r="BT263" s="23">
        <v>2</v>
      </c>
      <c r="BU263" s="24"/>
      <c r="BV263" s="25"/>
      <c r="BW263" s="24"/>
      <c r="BX263" s="23">
        <v>2</v>
      </c>
      <c r="BY263" s="24"/>
      <c r="BZ263" s="25"/>
      <c r="CA263" s="24"/>
      <c r="CB263" s="23">
        <v>2</v>
      </c>
      <c r="CC263" s="24"/>
      <c r="CD263" s="25"/>
      <c r="CE263" s="24"/>
      <c r="CF263" s="23">
        <v>2</v>
      </c>
      <c r="CG263" s="24"/>
      <c r="CH263" s="25"/>
      <c r="CI263" s="24"/>
      <c r="CJ263" s="23">
        <v>2</v>
      </c>
      <c r="CK263" s="24"/>
      <c r="CL263" s="25"/>
      <c r="CM263" s="24"/>
      <c r="CN263" s="23">
        <v>2</v>
      </c>
      <c r="CO263" s="24"/>
      <c r="CP263" s="25"/>
      <c r="CQ263" s="24"/>
      <c r="CR263" s="23">
        <v>2</v>
      </c>
      <c r="CS263" s="24"/>
      <c r="CT263" s="25"/>
      <c r="CU263" s="24"/>
      <c r="CV263" s="23">
        <v>2</v>
      </c>
      <c r="CW263" s="24"/>
      <c r="CX263" s="25"/>
      <c r="CY263" s="24"/>
      <c r="CZ263" s="23">
        <v>2</v>
      </c>
      <c r="DA263" s="24"/>
      <c r="DB263" s="25"/>
      <c r="DC263" s="24"/>
      <c r="DD263" s="23">
        <v>2</v>
      </c>
      <c r="DE263" s="24"/>
      <c r="DF263" s="25"/>
      <c r="DG263" s="24"/>
      <c r="DH263" s="23">
        <v>2</v>
      </c>
      <c r="DI263" s="24"/>
      <c r="DJ263" s="25"/>
      <c r="DK263" s="24"/>
      <c r="DL263" s="23">
        <v>2</v>
      </c>
      <c r="DM263" s="24"/>
      <c r="DN263" s="25"/>
      <c r="DO263" s="24"/>
      <c r="DP263" s="340"/>
      <c r="DQ263" s="32">
        <f t="shared" si="91"/>
        <v>24</v>
      </c>
      <c r="DR263" s="32">
        <f t="shared" si="92"/>
        <v>0</v>
      </c>
      <c r="DS263" s="11"/>
      <c r="DT263" s="329"/>
      <c r="DU263" s="23">
        <v>3</v>
      </c>
      <c r="DV263" s="24"/>
      <c r="DW263" s="25"/>
      <c r="DX263" s="24"/>
      <c r="DY263" s="23">
        <v>3</v>
      </c>
      <c r="DZ263" s="24"/>
      <c r="EA263" s="25"/>
      <c r="EB263" s="24"/>
      <c r="EC263" s="23">
        <v>3</v>
      </c>
      <c r="ED263" s="24"/>
      <c r="EE263" s="25"/>
      <c r="EF263" s="24"/>
      <c r="EG263" s="23">
        <v>3</v>
      </c>
      <c r="EH263" s="24"/>
      <c r="EI263" s="25"/>
      <c r="EJ263" s="24"/>
      <c r="EK263" s="23">
        <v>3</v>
      </c>
      <c r="EL263" s="24"/>
      <c r="EM263" s="25"/>
      <c r="EN263" s="24"/>
      <c r="EO263" s="23">
        <v>3</v>
      </c>
      <c r="EP263" s="24"/>
      <c r="EQ263" s="25"/>
      <c r="ER263" s="24"/>
      <c r="ES263" s="23">
        <v>3</v>
      </c>
      <c r="ET263" s="24"/>
      <c r="EU263" s="25"/>
      <c r="EV263" s="24"/>
      <c r="EW263" s="23">
        <v>3</v>
      </c>
      <c r="EX263" s="24"/>
      <c r="EY263" s="25"/>
      <c r="EZ263" s="24"/>
      <c r="FA263" s="23">
        <v>3</v>
      </c>
      <c r="FB263" s="24"/>
      <c r="FC263" s="25"/>
      <c r="FD263" s="24"/>
      <c r="FE263" s="23">
        <v>3</v>
      </c>
      <c r="FF263" s="24"/>
      <c r="FG263" s="25"/>
      <c r="FH263" s="24"/>
      <c r="FI263" s="23">
        <v>3</v>
      </c>
      <c r="FJ263" s="24"/>
      <c r="FK263" s="25"/>
      <c r="FL263" s="24"/>
      <c r="FM263" s="23">
        <v>3</v>
      </c>
      <c r="FN263" s="24"/>
      <c r="FO263" s="25"/>
      <c r="FP263" s="24"/>
      <c r="FQ263" s="340"/>
      <c r="FR263" s="32">
        <f t="shared" si="93"/>
        <v>36</v>
      </c>
      <c r="FS263" s="32">
        <f t="shared" si="94"/>
        <v>0</v>
      </c>
      <c r="FT263" s="361"/>
    </row>
    <row r="264" spans="1:176" outlineLevel="2">
      <c r="A264" s="56" t="s">
        <v>470</v>
      </c>
      <c r="B264" s="387"/>
      <c r="C264" s="173"/>
      <c r="D264" s="565"/>
      <c r="E264" s="13" t="str">
        <f>IF(ISBLANK(G264),"",IF($A$6:$A$330=$A264,COUNTIF($A$6:A264,$A264),""))</f>
        <v/>
      </c>
      <c r="F264" s="13"/>
      <c r="G264" s="111"/>
      <c r="H264" s="607" t="s">
        <v>43</v>
      </c>
      <c r="I264" s="617"/>
      <c r="J264" s="617"/>
      <c r="K264" s="113"/>
      <c r="L264" s="617" t="str">
        <f t="shared" si="90"/>
        <v/>
      </c>
      <c r="M264" s="102"/>
      <c r="N264" s="305">
        <f t="shared" si="75"/>
        <v>0</v>
      </c>
      <c r="O264" s="40"/>
      <c r="P264" s="41"/>
      <c r="Q264" s="42"/>
      <c r="R264" s="41"/>
      <c r="S264" s="40"/>
      <c r="T264" s="41"/>
      <c r="U264" s="42"/>
      <c r="V264" s="41"/>
      <c r="W264" s="40"/>
      <c r="X264" s="41"/>
      <c r="Y264" s="42"/>
      <c r="Z264" s="41"/>
      <c r="AA264" s="40"/>
      <c r="AB264" s="41"/>
      <c r="AC264" s="42"/>
      <c r="AD264" s="41"/>
      <c r="AE264" s="40"/>
      <c r="AF264" s="41"/>
      <c r="AG264" s="42"/>
      <c r="AH264" s="41"/>
      <c r="AI264" s="40"/>
      <c r="AJ264" s="41"/>
      <c r="AK264" s="42"/>
      <c r="AL264" s="41"/>
      <c r="AM264" s="40"/>
      <c r="AN264" s="41"/>
      <c r="AO264" s="42"/>
      <c r="AP264" s="41"/>
      <c r="AQ264" s="40"/>
      <c r="AR264" s="41"/>
      <c r="AS264" s="42"/>
      <c r="AT264" s="41"/>
      <c r="AU264" s="40"/>
      <c r="AV264" s="41"/>
      <c r="AW264" s="42"/>
      <c r="AX264" s="41"/>
      <c r="AY264" s="40"/>
      <c r="AZ264" s="41"/>
      <c r="BA264" s="42"/>
      <c r="BB264" s="41"/>
      <c r="BC264" s="40"/>
      <c r="BD264" s="41"/>
      <c r="BE264" s="42"/>
      <c r="BF264" s="41"/>
      <c r="BG264" s="40"/>
      <c r="BH264" s="41"/>
      <c r="BI264" s="42"/>
      <c r="BJ264" s="43"/>
      <c r="BK264" s="341"/>
      <c r="BL264" s="27">
        <f t="shared" si="76"/>
        <v>0</v>
      </c>
      <c r="BM264" s="27">
        <f t="shared" si="77"/>
        <v>0</v>
      </c>
      <c r="BN264" s="28">
        <f t="shared" si="78"/>
        <v>0</v>
      </c>
      <c r="BO264" s="29">
        <f t="shared" si="79"/>
        <v>0</v>
      </c>
      <c r="BP264" s="30">
        <f t="shared" si="80"/>
        <v>0</v>
      </c>
      <c r="BQ264" s="31">
        <f t="shared" si="81"/>
        <v>0</v>
      </c>
      <c r="BR264" s="11"/>
      <c r="BS264" s="329"/>
      <c r="BT264" s="40"/>
      <c r="BU264" s="41"/>
      <c r="BV264" s="42"/>
      <c r="BW264" s="41"/>
      <c r="BX264" s="40"/>
      <c r="BY264" s="41"/>
      <c r="BZ264" s="42"/>
      <c r="CA264" s="41"/>
      <c r="CB264" s="40"/>
      <c r="CC264" s="41"/>
      <c r="CD264" s="42"/>
      <c r="CE264" s="41"/>
      <c r="CF264" s="40"/>
      <c r="CG264" s="41"/>
      <c r="CH264" s="42"/>
      <c r="CI264" s="41"/>
      <c r="CJ264" s="40"/>
      <c r="CK264" s="41"/>
      <c r="CL264" s="42"/>
      <c r="CM264" s="41"/>
      <c r="CN264" s="40"/>
      <c r="CO264" s="41"/>
      <c r="CP264" s="42"/>
      <c r="CQ264" s="41"/>
      <c r="CR264" s="40"/>
      <c r="CS264" s="41"/>
      <c r="CT264" s="42"/>
      <c r="CU264" s="41"/>
      <c r="CV264" s="40"/>
      <c r="CW264" s="41"/>
      <c r="CX264" s="42"/>
      <c r="CY264" s="41"/>
      <c r="CZ264" s="40"/>
      <c r="DA264" s="41"/>
      <c r="DB264" s="42"/>
      <c r="DC264" s="41"/>
      <c r="DD264" s="40"/>
      <c r="DE264" s="41"/>
      <c r="DF264" s="42"/>
      <c r="DG264" s="41"/>
      <c r="DH264" s="40"/>
      <c r="DI264" s="41"/>
      <c r="DJ264" s="42"/>
      <c r="DK264" s="41"/>
      <c r="DL264" s="40"/>
      <c r="DM264" s="41"/>
      <c r="DN264" s="42"/>
      <c r="DO264" s="43"/>
      <c r="DP264" s="341"/>
      <c r="DQ264" s="27">
        <f t="shared" si="91"/>
        <v>0</v>
      </c>
      <c r="DR264" s="27">
        <f t="shared" si="92"/>
        <v>0</v>
      </c>
      <c r="DS264" s="11"/>
      <c r="DT264" s="329"/>
      <c r="DU264" s="40"/>
      <c r="DV264" s="41"/>
      <c r="DW264" s="42"/>
      <c r="DX264" s="41"/>
      <c r="DY264" s="40"/>
      <c r="DZ264" s="41"/>
      <c r="EA264" s="42"/>
      <c r="EB264" s="41"/>
      <c r="EC264" s="40"/>
      <c r="ED264" s="41"/>
      <c r="EE264" s="42"/>
      <c r="EF264" s="41"/>
      <c r="EG264" s="40"/>
      <c r="EH264" s="41"/>
      <c r="EI264" s="42"/>
      <c r="EJ264" s="41"/>
      <c r="EK264" s="40"/>
      <c r="EL264" s="41"/>
      <c r="EM264" s="42"/>
      <c r="EN264" s="41"/>
      <c r="EO264" s="40"/>
      <c r="EP264" s="41"/>
      <c r="EQ264" s="42"/>
      <c r="ER264" s="41"/>
      <c r="ES264" s="40"/>
      <c r="ET264" s="41"/>
      <c r="EU264" s="42"/>
      <c r="EV264" s="41"/>
      <c r="EW264" s="40"/>
      <c r="EX264" s="41"/>
      <c r="EY264" s="42"/>
      <c r="EZ264" s="41"/>
      <c r="FA264" s="40"/>
      <c r="FB264" s="41"/>
      <c r="FC264" s="42"/>
      <c r="FD264" s="41"/>
      <c r="FE264" s="40"/>
      <c r="FF264" s="41"/>
      <c r="FG264" s="42"/>
      <c r="FH264" s="41"/>
      <c r="FI264" s="40"/>
      <c r="FJ264" s="41"/>
      <c r="FK264" s="42"/>
      <c r="FL264" s="41"/>
      <c r="FM264" s="40"/>
      <c r="FN264" s="41"/>
      <c r="FO264" s="42"/>
      <c r="FP264" s="43"/>
      <c r="FQ264" s="341"/>
      <c r="FR264" s="27">
        <f t="shared" si="93"/>
        <v>0</v>
      </c>
      <c r="FS264" s="27">
        <f t="shared" si="94"/>
        <v>0</v>
      </c>
      <c r="FT264" s="361"/>
    </row>
    <row r="265" spans="1:176" s="116" customFormat="1" outlineLevel="1">
      <c r="A265" s="46" t="s">
        <v>470</v>
      </c>
      <c r="B265" s="388"/>
      <c r="C265" s="650"/>
      <c r="D265" s="651"/>
      <c r="E265" s="118" t="str">
        <f>IF(ISBLANK(G265),"",IF($A$6:$A$330=$A265,COUNTIF($A$6:A265,$A265),""))</f>
        <v/>
      </c>
      <c r="F265" s="117"/>
      <c r="G265" s="119"/>
      <c r="H265" s="608"/>
      <c r="I265" s="620"/>
      <c r="J265" s="620"/>
      <c r="K265" s="120"/>
      <c r="L265" s="620" t="str">
        <f t="shared" si="90"/>
        <v/>
      </c>
      <c r="M265" s="102"/>
      <c r="N265" s="305">
        <f t="shared" si="75"/>
        <v>0</v>
      </c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  <c r="AA265" s="121"/>
      <c r="AB265" s="121"/>
      <c r="AC265" s="121"/>
      <c r="AD265" s="121"/>
      <c r="AE265" s="121"/>
      <c r="AF265" s="121"/>
      <c r="AG265" s="121"/>
      <c r="AH265" s="121"/>
      <c r="AI265" s="121"/>
      <c r="AJ265" s="121"/>
      <c r="AK265" s="121"/>
      <c r="AL265" s="121"/>
      <c r="AM265" s="121"/>
      <c r="AN265" s="121"/>
      <c r="AO265" s="121"/>
      <c r="AP265" s="121"/>
      <c r="AQ265" s="121"/>
      <c r="AR265" s="121"/>
      <c r="AS265" s="121"/>
      <c r="AT265" s="121"/>
      <c r="AU265" s="121"/>
      <c r="AV265" s="121"/>
      <c r="AW265" s="121"/>
      <c r="AX265" s="121"/>
      <c r="AY265" s="121"/>
      <c r="AZ265" s="121"/>
      <c r="BA265" s="121"/>
      <c r="BB265" s="121"/>
      <c r="BC265" s="121"/>
      <c r="BD265" s="121"/>
      <c r="BE265" s="121"/>
      <c r="BF265" s="121"/>
      <c r="BG265" s="121"/>
      <c r="BH265" s="121"/>
      <c r="BI265" s="121"/>
      <c r="BJ265" s="121"/>
      <c r="BK265" s="356"/>
      <c r="BL265" s="52">
        <f t="shared" si="76"/>
        <v>0</v>
      </c>
      <c r="BM265" s="52">
        <f t="shared" si="77"/>
        <v>0</v>
      </c>
      <c r="BN265" s="52">
        <f t="shared" si="78"/>
        <v>0</v>
      </c>
      <c r="BO265" s="52">
        <f t="shared" si="79"/>
        <v>0</v>
      </c>
      <c r="BP265" s="52">
        <f t="shared" si="80"/>
        <v>0</v>
      </c>
      <c r="BQ265" s="52">
        <f t="shared" si="81"/>
        <v>0</v>
      </c>
      <c r="BR265" s="51"/>
      <c r="BS265" s="335"/>
      <c r="BT265" s="121"/>
      <c r="BU265" s="121"/>
      <c r="BV265" s="121"/>
      <c r="BW265" s="121"/>
      <c r="BX265" s="121"/>
      <c r="BY265" s="121"/>
      <c r="BZ265" s="121"/>
      <c r="CA265" s="121"/>
      <c r="CB265" s="121"/>
      <c r="CC265" s="121"/>
      <c r="CD265" s="121"/>
      <c r="CE265" s="121"/>
      <c r="CF265" s="121"/>
      <c r="CG265" s="121"/>
      <c r="CH265" s="121"/>
      <c r="CI265" s="121"/>
      <c r="CJ265" s="121"/>
      <c r="CK265" s="121"/>
      <c r="CL265" s="121"/>
      <c r="CM265" s="121"/>
      <c r="CN265" s="121"/>
      <c r="CO265" s="121"/>
      <c r="CP265" s="121"/>
      <c r="CQ265" s="121"/>
      <c r="CR265" s="121"/>
      <c r="CS265" s="121"/>
      <c r="CT265" s="121"/>
      <c r="CU265" s="121"/>
      <c r="CV265" s="121"/>
      <c r="CW265" s="121"/>
      <c r="CX265" s="121"/>
      <c r="CY265" s="121"/>
      <c r="CZ265" s="121"/>
      <c r="DA265" s="121"/>
      <c r="DB265" s="121"/>
      <c r="DC265" s="121"/>
      <c r="DD265" s="121"/>
      <c r="DE265" s="121"/>
      <c r="DF265" s="121"/>
      <c r="DG265" s="121"/>
      <c r="DH265" s="121"/>
      <c r="DI265" s="121"/>
      <c r="DJ265" s="121"/>
      <c r="DK265" s="121"/>
      <c r="DL265" s="121"/>
      <c r="DM265" s="121"/>
      <c r="DN265" s="121"/>
      <c r="DO265" s="121"/>
      <c r="DP265" s="356"/>
      <c r="DQ265" s="52">
        <f t="shared" si="91"/>
        <v>0</v>
      </c>
      <c r="DR265" s="52">
        <f t="shared" si="92"/>
        <v>0</v>
      </c>
      <c r="DS265" s="51"/>
      <c r="DT265" s="335"/>
      <c r="DU265" s="121"/>
      <c r="DV265" s="121"/>
      <c r="DW265" s="121"/>
      <c r="DX265" s="121"/>
      <c r="DY265" s="121"/>
      <c r="DZ265" s="121"/>
      <c r="EA265" s="121"/>
      <c r="EB265" s="121"/>
      <c r="EC265" s="121"/>
      <c r="ED265" s="121"/>
      <c r="EE265" s="121"/>
      <c r="EF265" s="121"/>
      <c r="EG265" s="121"/>
      <c r="EH265" s="121"/>
      <c r="EI265" s="121"/>
      <c r="EJ265" s="121"/>
      <c r="EK265" s="121"/>
      <c r="EL265" s="121"/>
      <c r="EM265" s="121"/>
      <c r="EN265" s="121"/>
      <c r="EO265" s="121"/>
      <c r="EP265" s="121"/>
      <c r="EQ265" s="121"/>
      <c r="ER265" s="121"/>
      <c r="ES265" s="121"/>
      <c r="ET265" s="121"/>
      <c r="EU265" s="121"/>
      <c r="EV265" s="121"/>
      <c r="EW265" s="121"/>
      <c r="EX265" s="121"/>
      <c r="EY265" s="121"/>
      <c r="EZ265" s="121"/>
      <c r="FA265" s="121"/>
      <c r="FB265" s="121"/>
      <c r="FC265" s="121"/>
      <c r="FD265" s="121"/>
      <c r="FE265" s="121"/>
      <c r="FF265" s="121"/>
      <c r="FG265" s="121"/>
      <c r="FH265" s="121"/>
      <c r="FI265" s="121"/>
      <c r="FJ265" s="121"/>
      <c r="FK265" s="121"/>
      <c r="FL265" s="121"/>
      <c r="FM265" s="121"/>
      <c r="FN265" s="121"/>
      <c r="FO265" s="121"/>
      <c r="FP265" s="121"/>
      <c r="FQ265" s="356"/>
      <c r="FR265" s="52">
        <f t="shared" si="93"/>
        <v>0</v>
      </c>
      <c r="FS265" s="52">
        <f t="shared" si="94"/>
        <v>0</v>
      </c>
      <c r="FT265" s="343"/>
    </row>
    <row r="266" spans="1:176" outlineLevel="2">
      <c r="A266" s="58" t="s">
        <v>471</v>
      </c>
      <c r="B266" s="387" t="s">
        <v>82</v>
      </c>
      <c r="C266" s="173" t="s">
        <v>31</v>
      </c>
      <c r="D266" s="595" t="s">
        <v>32</v>
      </c>
      <c r="E266" s="414">
        <f>IF(ISBLANK(G266),"",IF($A$6:$A$330=$A266,COUNTIF($A$6:A266,$A266),""))</f>
        <v>1</v>
      </c>
      <c r="F266" s="10">
        <v>1</v>
      </c>
      <c r="G266" s="55">
        <v>4231069000</v>
      </c>
      <c r="H266" s="54" t="s">
        <v>52</v>
      </c>
      <c r="I266" s="617">
        <f>145.38/НДС</f>
        <v>119.1639344262295</v>
      </c>
      <c r="J266" s="617"/>
      <c r="K266" s="113"/>
      <c r="L266" s="617" t="str">
        <f t="shared" si="90"/>
        <v/>
      </c>
      <c r="M266" s="102"/>
      <c r="N266" s="305">
        <f t="shared" si="75"/>
        <v>0</v>
      </c>
      <c r="O266" s="23"/>
      <c r="P266" s="24"/>
      <c r="Q266" s="25"/>
      <c r="R266" s="24"/>
      <c r="S266" s="23"/>
      <c r="T266" s="24"/>
      <c r="U266" s="25"/>
      <c r="V266" s="24"/>
      <c r="W266" s="23"/>
      <c r="X266" s="26"/>
      <c r="Y266" s="25"/>
      <c r="Z266" s="24"/>
      <c r="AA266" s="23"/>
      <c r="AB266" s="26"/>
      <c r="AC266" s="25"/>
      <c r="AD266" s="24"/>
      <c r="AE266" s="23"/>
      <c r="AF266" s="26"/>
      <c r="AG266" s="25"/>
      <c r="AH266" s="24"/>
      <c r="AI266" s="23"/>
      <c r="AJ266" s="24"/>
      <c r="AK266" s="25"/>
      <c r="AL266" s="24"/>
      <c r="AM266" s="23"/>
      <c r="AN266" s="24"/>
      <c r="AO266" s="25"/>
      <c r="AP266" s="24"/>
      <c r="AQ266" s="23"/>
      <c r="AR266" s="24"/>
      <c r="AS266" s="25"/>
      <c r="AT266" s="24"/>
      <c r="AU266" s="23"/>
      <c r="AV266" s="24"/>
      <c r="AW266" s="25"/>
      <c r="AX266" s="24"/>
      <c r="AY266" s="23"/>
      <c r="AZ266" s="24"/>
      <c r="BA266" s="25"/>
      <c r="BB266" s="24"/>
      <c r="BC266" s="23"/>
      <c r="BD266" s="24"/>
      <c r="BE266" s="25"/>
      <c r="BF266" s="24"/>
      <c r="BG266" s="23"/>
      <c r="BH266" s="24"/>
      <c r="BI266" s="25"/>
      <c r="BJ266" s="24"/>
      <c r="BK266" s="340"/>
      <c r="BL266" s="32">
        <f t="shared" si="76"/>
        <v>0</v>
      </c>
      <c r="BM266" s="32">
        <f t="shared" si="77"/>
        <v>0</v>
      </c>
      <c r="BN266" s="28">
        <f t="shared" si="78"/>
        <v>0</v>
      </c>
      <c r="BO266" s="29">
        <f t="shared" si="79"/>
        <v>0</v>
      </c>
      <c r="BP266" s="30">
        <f t="shared" si="80"/>
        <v>0</v>
      </c>
      <c r="BQ266" s="31">
        <f t="shared" si="81"/>
        <v>0</v>
      </c>
      <c r="BR266" s="11"/>
      <c r="BS266" s="329"/>
      <c r="BT266" s="23">
        <v>10</v>
      </c>
      <c r="BU266" s="24"/>
      <c r="BV266" s="25"/>
      <c r="BW266" s="24"/>
      <c r="BX266" s="23">
        <v>10</v>
      </c>
      <c r="BY266" s="24"/>
      <c r="BZ266" s="25"/>
      <c r="CA266" s="24"/>
      <c r="CB266" s="23">
        <v>10</v>
      </c>
      <c r="CC266" s="24"/>
      <c r="CD266" s="25"/>
      <c r="CE266" s="24"/>
      <c r="CF266" s="23">
        <v>10</v>
      </c>
      <c r="CG266" s="24"/>
      <c r="CH266" s="25"/>
      <c r="CI266" s="24"/>
      <c r="CJ266" s="23">
        <v>10</v>
      </c>
      <c r="CK266" s="24"/>
      <c r="CL266" s="25"/>
      <c r="CM266" s="24"/>
      <c r="CN266" s="23">
        <v>10</v>
      </c>
      <c r="CO266" s="24"/>
      <c r="CP266" s="25"/>
      <c r="CQ266" s="24"/>
      <c r="CR266" s="23">
        <v>10</v>
      </c>
      <c r="CS266" s="24"/>
      <c r="CT266" s="25"/>
      <c r="CU266" s="24"/>
      <c r="CV266" s="23">
        <v>10</v>
      </c>
      <c r="CW266" s="24"/>
      <c r="CX266" s="25"/>
      <c r="CY266" s="24"/>
      <c r="CZ266" s="23">
        <v>10</v>
      </c>
      <c r="DA266" s="24"/>
      <c r="DB266" s="25"/>
      <c r="DC266" s="24"/>
      <c r="DD266" s="23">
        <v>10</v>
      </c>
      <c r="DE266" s="24"/>
      <c r="DF266" s="25"/>
      <c r="DG266" s="24"/>
      <c r="DH266" s="23">
        <v>10</v>
      </c>
      <c r="DI266" s="24"/>
      <c r="DJ266" s="25"/>
      <c r="DK266" s="24"/>
      <c r="DL266" s="23">
        <v>10</v>
      </c>
      <c r="DM266" s="24"/>
      <c r="DN266" s="25"/>
      <c r="DO266" s="24"/>
      <c r="DP266" s="340"/>
      <c r="DQ266" s="32">
        <f t="shared" si="91"/>
        <v>120</v>
      </c>
      <c r="DR266" s="32">
        <f t="shared" si="92"/>
        <v>14299.672131147541</v>
      </c>
      <c r="DS266" s="11"/>
      <c r="DT266" s="329"/>
      <c r="DU266" s="23">
        <v>10</v>
      </c>
      <c r="DV266" s="24"/>
      <c r="DW266" s="25"/>
      <c r="DX266" s="24"/>
      <c r="DY266" s="23">
        <v>10</v>
      </c>
      <c r="DZ266" s="24"/>
      <c r="EA266" s="25"/>
      <c r="EB266" s="24"/>
      <c r="EC266" s="23">
        <v>10</v>
      </c>
      <c r="ED266" s="24"/>
      <c r="EE266" s="25"/>
      <c r="EF266" s="24"/>
      <c r="EG266" s="23">
        <v>10</v>
      </c>
      <c r="EH266" s="24"/>
      <c r="EI266" s="25"/>
      <c r="EJ266" s="24"/>
      <c r="EK266" s="23">
        <v>10</v>
      </c>
      <c r="EL266" s="24"/>
      <c r="EM266" s="25"/>
      <c r="EN266" s="24"/>
      <c r="EO266" s="23">
        <v>10</v>
      </c>
      <c r="EP266" s="24"/>
      <c r="EQ266" s="25"/>
      <c r="ER266" s="24"/>
      <c r="ES266" s="23">
        <v>10</v>
      </c>
      <c r="ET266" s="24"/>
      <c r="EU266" s="25"/>
      <c r="EV266" s="24"/>
      <c r="EW266" s="23">
        <v>10</v>
      </c>
      <c r="EX266" s="24"/>
      <c r="EY266" s="25"/>
      <c r="EZ266" s="24"/>
      <c r="FA266" s="23">
        <v>10</v>
      </c>
      <c r="FB266" s="24"/>
      <c r="FC266" s="25"/>
      <c r="FD266" s="24"/>
      <c r="FE266" s="23">
        <v>10</v>
      </c>
      <c r="FF266" s="24"/>
      <c r="FG266" s="25"/>
      <c r="FH266" s="24"/>
      <c r="FI266" s="23">
        <v>10</v>
      </c>
      <c r="FJ266" s="24"/>
      <c r="FK266" s="25"/>
      <c r="FL266" s="24"/>
      <c r="FM266" s="23">
        <v>10</v>
      </c>
      <c r="FN266" s="24"/>
      <c r="FO266" s="25"/>
      <c r="FP266" s="24"/>
      <c r="FQ266" s="340"/>
      <c r="FR266" s="32">
        <f t="shared" si="93"/>
        <v>120</v>
      </c>
      <c r="FS266" s="32">
        <f t="shared" si="94"/>
        <v>14299.672131147541</v>
      </c>
      <c r="FT266" s="361"/>
    </row>
    <row r="267" spans="1:176" outlineLevel="2">
      <c r="A267" s="58" t="s">
        <v>471</v>
      </c>
      <c r="B267" s="387" t="s">
        <v>82</v>
      </c>
      <c r="C267" s="173" t="s">
        <v>31</v>
      </c>
      <c r="D267" s="595" t="s">
        <v>32</v>
      </c>
      <c r="E267" s="414">
        <f>IF(ISBLANK(G267),"",IF($A$6:$A$330=$A267,COUNTIF($A$6:A267,$A267),""))</f>
        <v>2</v>
      </c>
      <c r="F267" s="10">
        <v>1</v>
      </c>
      <c r="G267" s="55">
        <v>4231079000</v>
      </c>
      <c r="H267" s="54" t="s">
        <v>53</v>
      </c>
      <c r="I267" s="617">
        <f>153.51/НДС</f>
        <v>125.82786885245901</v>
      </c>
      <c r="J267" s="617"/>
      <c r="K267" s="113"/>
      <c r="L267" s="617" t="str">
        <f t="shared" si="90"/>
        <v/>
      </c>
      <c r="M267" s="102"/>
      <c r="N267" s="305">
        <f t="shared" si="75"/>
        <v>1</v>
      </c>
      <c r="O267" s="23"/>
      <c r="P267" s="24"/>
      <c r="Q267" s="25"/>
      <c r="R267" s="24"/>
      <c r="S267" s="23"/>
      <c r="T267" s="24"/>
      <c r="U267" s="25"/>
      <c r="V267" s="24"/>
      <c r="W267" s="23">
        <v>40</v>
      </c>
      <c r="X267" s="26">
        <f>40</f>
        <v>40</v>
      </c>
      <c r="Y267" s="25">
        <v>40</v>
      </c>
      <c r="Z267" s="674">
        <v>40</v>
      </c>
      <c r="AA267" s="23"/>
      <c r="AB267" s="26">
        <f>120-42</f>
        <v>78</v>
      </c>
      <c r="AC267" s="579">
        <v>78</v>
      </c>
      <c r="AD267" s="674">
        <v>78</v>
      </c>
      <c r="AE267" s="23"/>
      <c r="AF267" s="26"/>
      <c r="AG267" s="25"/>
      <c r="AH267" s="24"/>
      <c r="AI267" s="23"/>
      <c r="AJ267" s="24">
        <f>120+42+40</f>
        <v>202</v>
      </c>
      <c r="AK267" s="25"/>
      <c r="AL267" s="674">
        <v>162</v>
      </c>
      <c r="AM267" s="23">
        <v>40</v>
      </c>
      <c r="AN267" s="24">
        <v>40</v>
      </c>
      <c r="AO267" s="25"/>
      <c r="AP267" s="24"/>
      <c r="AQ267" s="23"/>
      <c r="AR267" s="24"/>
      <c r="AS267" s="25"/>
      <c r="AT267" s="24"/>
      <c r="AU267" s="23"/>
      <c r="AV267" s="24"/>
      <c r="AW267" s="25"/>
      <c r="AX267" s="24"/>
      <c r="AY267" s="23"/>
      <c r="AZ267" s="24"/>
      <c r="BA267" s="25"/>
      <c r="BB267" s="24"/>
      <c r="BC267" s="23">
        <v>40</v>
      </c>
      <c r="BD267" s="24">
        <v>40</v>
      </c>
      <c r="BE267" s="25"/>
      <c r="BF267" s="24"/>
      <c r="BG267" s="23"/>
      <c r="BH267" s="24"/>
      <c r="BI267" s="25"/>
      <c r="BJ267" s="24"/>
      <c r="BK267" s="340"/>
      <c r="BL267" s="32">
        <f t="shared" si="76"/>
        <v>120</v>
      </c>
      <c r="BM267" s="32">
        <f t="shared" si="77"/>
        <v>15099.344262295081</v>
      </c>
      <c r="BN267" s="28">
        <f t="shared" si="78"/>
        <v>400</v>
      </c>
      <c r="BO267" s="29">
        <f t="shared" si="79"/>
        <v>50331.147540983598</v>
      </c>
      <c r="BP267" s="30">
        <f t="shared" si="80"/>
        <v>118</v>
      </c>
      <c r="BQ267" s="31">
        <f t="shared" si="81"/>
        <v>14847.688524590163</v>
      </c>
      <c r="BR267" s="11"/>
      <c r="BS267" s="329"/>
      <c r="BT267" s="23">
        <v>30</v>
      </c>
      <c r="BU267" s="24"/>
      <c r="BV267" s="25"/>
      <c r="BW267" s="24"/>
      <c r="BX267" s="23">
        <v>30</v>
      </c>
      <c r="BY267" s="24"/>
      <c r="BZ267" s="25"/>
      <c r="CA267" s="24"/>
      <c r="CB267" s="23">
        <v>30</v>
      </c>
      <c r="CC267" s="24"/>
      <c r="CD267" s="25"/>
      <c r="CE267" s="24"/>
      <c r="CF267" s="23">
        <v>30</v>
      </c>
      <c r="CG267" s="24"/>
      <c r="CH267" s="25"/>
      <c r="CI267" s="24"/>
      <c r="CJ267" s="23">
        <v>30</v>
      </c>
      <c r="CK267" s="24"/>
      <c r="CL267" s="25"/>
      <c r="CM267" s="24"/>
      <c r="CN267" s="23">
        <v>30</v>
      </c>
      <c r="CO267" s="24"/>
      <c r="CP267" s="25"/>
      <c r="CQ267" s="24"/>
      <c r="CR267" s="23">
        <v>30</v>
      </c>
      <c r="CS267" s="24"/>
      <c r="CT267" s="25"/>
      <c r="CU267" s="24"/>
      <c r="CV267" s="23">
        <v>30</v>
      </c>
      <c r="CW267" s="24"/>
      <c r="CX267" s="25"/>
      <c r="CY267" s="24"/>
      <c r="CZ267" s="23">
        <v>30</v>
      </c>
      <c r="DA267" s="24"/>
      <c r="DB267" s="25"/>
      <c r="DC267" s="24"/>
      <c r="DD267" s="23">
        <v>30</v>
      </c>
      <c r="DE267" s="24"/>
      <c r="DF267" s="25"/>
      <c r="DG267" s="24"/>
      <c r="DH267" s="23">
        <v>30</v>
      </c>
      <c r="DI267" s="24"/>
      <c r="DJ267" s="25"/>
      <c r="DK267" s="24"/>
      <c r="DL267" s="23">
        <v>30</v>
      </c>
      <c r="DM267" s="24"/>
      <c r="DN267" s="25"/>
      <c r="DO267" s="24"/>
      <c r="DP267" s="340"/>
      <c r="DQ267" s="32">
        <f t="shared" si="91"/>
        <v>360</v>
      </c>
      <c r="DR267" s="32">
        <f t="shared" si="92"/>
        <v>45298.03278688524</v>
      </c>
      <c r="DS267" s="11"/>
      <c r="DT267" s="329"/>
      <c r="DU267" s="23">
        <v>30</v>
      </c>
      <c r="DV267" s="24"/>
      <c r="DW267" s="25"/>
      <c r="DX267" s="24"/>
      <c r="DY267" s="23">
        <v>30</v>
      </c>
      <c r="DZ267" s="24"/>
      <c r="EA267" s="25"/>
      <c r="EB267" s="24"/>
      <c r="EC267" s="23">
        <v>30</v>
      </c>
      <c r="ED267" s="24"/>
      <c r="EE267" s="25"/>
      <c r="EF267" s="24"/>
      <c r="EG267" s="23">
        <v>30</v>
      </c>
      <c r="EH267" s="24"/>
      <c r="EI267" s="25"/>
      <c r="EJ267" s="24"/>
      <c r="EK267" s="23">
        <v>30</v>
      </c>
      <c r="EL267" s="24"/>
      <c r="EM267" s="25"/>
      <c r="EN267" s="24"/>
      <c r="EO267" s="23">
        <v>30</v>
      </c>
      <c r="EP267" s="24"/>
      <c r="EQ267" s="25"/>
      <c r="ER267" s="24"/>
      <c r="ES267" s="23">
        <v>30</v>
      </c>
      <c r="ET267" s="24"/>
      <c r="EU267" s="25"/>
      <c r="EV267" s="24"/>
      <c r="EW267" s="23">
        <v>30</v>
      </c>
      <c r="EX267" s="24"/>
      <c r="EY267" s="25"/>
      <c r="EZ267" s="24"/>
      <c r="FA267" s="23">
        <v>30</v>
      </c>
      <c r="FB267" s="24"/>
      <c r="FC267" s="25"/>
      <c r="FD267" s="24"/>
      <c r="FE267" s="23">
        <v>30</v>
      </c>
      <c r="FF267" s="24"/>
      <c r="FG267" s="25"/>
      <c r="FH267" s="24"/>
      <c r="FI267" s="23">
        <v>30</v>
      </c>
      <c r="FJ267" s="24"/>
      <c r="FK267" s="25"/>
      <c r="FL267" s="24"/>
      <c r="FM267" s="23">
        <v>30</v>
      </c>
      <c r="FN267" s="24"/>
      <c r="FO267" s="25"/>
      <c r="FP267" s="24"/>
      <c r="FQ267" s="340"/>
      <c r="FR267" s="32">
        <f t="shared" si="93"/>
        <v>360</v>
      </c>
      <c r="FS267" s="32">
        <f t="shared" si="94"/>
        <v>45298.03278688524</v>
      </c>
      <c r="FT267" s="361"/>
    </row>
    <row r="268" spans="1:176" outlineLevel="2">
      <c r="A268" s="58" t="s">
        <v>471</v>
      </c>
      <c r="B268" s="387" t="s">
        <v>82</v>
      </c>
      <c r="C268" s="173" t="s">
        <v>31</v>
      </c>
      <c r="D268" s="595" t="s">
        <v>32</v>
      </c>
      <c r="E268" s="414">
        <f>IF(ISBLANK(G268),"",IF($A$6:$A$330=$A268,COUNTIF($A$6:A268,$A268),""))</f>
        <v>3</v>
      </c>
      <c r="F268" s="10">
        <v>1</v>
      </c>
      <c r="G268" s="55">
        <v>9253761210</v>
      </c>
      <c r="H268" s="54" t="s">
        <v>54</v>
      </c>
      <c r="I268" s="617">
        <f>301.95/НДС</f>
        <v>247.5</v>
      </c>
      <c r="J268" s="617"/>
      <c r="K268" s="113"/>
      <c r="L268" s="617" t="str">
        <f t="shared" si="90"/>
        <v/>
      </c>
      <c r="M268" s="102"/>
      <c r="N268" s="305">
        <f t="shared" si="75"/>
        <v>1</v>
      </c>
      <c r="O268" s="23">
        <v>160</v>
      </c>
      <c r="P268" s="24"/>
      <c r="Q268" s="25"/>
      <c r="R268" s="24"/>
      <c r="S268" s="23">
        <v>240</v>
      </c>
      <c r="T268" s="24"/>
      <c r="U268" s="25"/>
      <c r="V268" s="24"/>
      <c r="W268" s="23">
        <v>200</v>
      </c>
      <c r="X268" s="26">
        <f>80</f>
        <v>80</v>
      </c>
      <c r="Y268" s="25">
        <v>80</v>
      </c>
      <c r="Z268" s="674">
        <v>80</v>
      </c>
      <c r="AA268" s="23">
        <v>120</v>
      </c>
      <c r="AB268" s="26">
        <f>240+80+80</f>
        <v>400</v>
      </c>
      <c r="AC268" s="25">
        <v>400</v>
      </c>
      <c r="AD268" s="674">
        <v>240</v>
      </c>
      <c r="AE268" s="23">
        <v>40</v>
      </c>
      <c r="AF268" s="26"/>
      <c r="AG268" s="25">
        <v>0</v>
      </c>
      <c r="AH268" s="24"/>
      <c r="AI268" s="23">
        <v>120</v>
      </c>
      <c r="AJ268" s="24">
        <f>240+40+40</f>
        <v>320</v>
      </c>
      <c r="AK268" s="25"/>
      <c r="AL268" s="674">
        <v>240</v>
      </c>
      <c r="AM268" s="23">
        <v>40</v>
      </c>
      <c r="AN268" s="24">
        <v>40</v>
      </c>
      <c r="AO268" s="25"/>
      <c r="AP268" s="24"/>
      <c r="AQ268" s="23">
        <v>120</v>
      </c>
      <c r="AR268" s="24">
        <v>120</v>
      </c>
      <c r="AS268" s="25"/>
      <c r="AT268" s="24"/>
      <c r="AU268" s="23">
        <v>40</v>
      </c>
      <c r="AV268" s="24">
        <v>40</v>
      </c>
      <c r="AW268" s="25"/>
      <c r="AX268" s="24"/>
      <c r="AY268" s="23">
        <v>120</v>
      </c>
      <c r="AZ268" s="24">
        <v>120</v>
      </c>
      <c r="BA268" s="25"/>
      <c r="BB268" s="24"/>
      <c r="BC268" s="23">
        <v>40</v>
      </c>
      <c r="BD268" s="24">
        <v>40</v>
      </c>
      <c r="BE268" s="25"/>
      <c r="BF268" s="24"/>
      <c r="BG268" s="23">
        <v>160</v>
      </c>
      <c r="BH268" s="24">
        <v>160</v>
      </c>
      <c r="BI268" s="25"/>
      <c r="BJ268" s="24"/>
      <c r="BK268" s="340"/>
      <c r="BL268" s="32">
        <f t="shared" si="76"/>
        <v>1400</v>
      </c>
      <c r="BM268" s="32">
        <f t="shared" si="77"/>
        <v>346500</v>
      </c>
      <c r="BN268" s="28">
        <f t="shared" si="78"/>
        <v>1320</v>
      </c>
      <c r="BO268" s="29">
        <f t="shared" si="79"/>
        <v>326700</v>
      </c>
      <c r="BP268" s="30">
        <f t="shared" si="80"/>
        <v>480</v>
      </c>
      <c r="BQ268" s="31">
        <f t="shared" si="81"/>
        <v>118800</v>
      </c>
      <c r="BR268" s="11"/>
      <c r="BS268" s="329"/>
      <c r="BT268" s="23">
        <v>60</v>
      </c>
      <c r="BU268" s="24"/>
      <c r="BV268" s="25"/>
      <c r="BW268" s="24"/>
      <c r="BX268" s="23">
        <v>60</v>
      </c>
      <c r="BY268" s="24"/>
      <c r="BZ268" s="25"/>
      <c r="CA268" s="24"/>
      <c r="CB268" s="23">
        <v>60</v>
      </c>
      <c r="CC268" s="24"/>
      <c r="CD268" s="25"/>
      <c r="CE268" s="24"/>
      <c r="CF268" s="23">
        <v>60</v>
      </c>
      <c r="CG268" s="24"/>
      <c r="CH268" s="25"/>
      <c r="CI268" s="24"/>
      <c r="CJ268" s="23">
        <v>60</v>
      </c>
      <c r="CK268" s="24"/>
      <c r="CL268" s="25"/>
      <c r="CM268" s="24"/>
      <c r="CN268" s="23">
        <v>60</v>
      </c>
      <c r="CO268" s="24"/>
      <c r="CP268" s="25"/>
      <c r="CQ268" s="24"/>
      <c r="CR268" s="23">
        <v>60</v>
      </c>
      <c r="CS268" s="24"/>
      <c r="CT268" s="25"/>
      <c r="CU268" s="24"/>
      <c r="CV268" s="23">
        <v>60</v>
      </c>
      <c r="CW268" s="24"/>
      <c r="CX268" s="25"/>
      <c r="CY268" s="24"/>
      <c r="CZ268" s="23">
        <v>60</v>
      </c>
      <c r="DA268" s="24"/>
      <c r="DB268" s="25"/>
      <c r="DC268" s="24"/>
      <c r="DD268" s="23">
        <v>60</v>
      </c>
      <c r="DE268" s="24"/>
      <c r="DF268" s="25"/>
      <c r="DG268" s="24"/>
      <c r="DH268" s="23">
        <v>60</v>
      </c>
      <c r="DI268" s="24"/>
      <c r="DJ268" s="25"/>
      <c r="DK268" s="24"/>
      <c r="DL268" s="23">
        <v>60</v>
      </c>
      <c r="DM268" s="24"/>
      <c r="DN268" s="25"/>
      <c r="DO268" s="24"/>
      <c r="DP268" s="340"/>
      <c r="DQ268" s="32">
        <f t="shared" si="91"/>
        <v>720</v>
      </c>
      <c r="DR268" s="32">
        <f t="shared" si="92"/>
        <v>178200</v>
      </c>
      <c r="DS268" s="11"/>
      <c r="DT268" s="329"/>
      <c r="DU268" s="23">
        <v>60</v>
      </c>
      <c r="DV268" s="24"/>
      <c r="DW268" s="25"/>
      <c r="DX268" s="24"/>
      <c r="DY268" s="23">
        <v>60</v>
      </c>
      <c r="DZ268" s="24"/>
      <c r="EA268" s="25"/>
      <c r="EB268" s="24"/>
      <c r="EC268" s="23">
        <v>60</v>
      </c>
      <c r="ED268" s="24"/>
      <c r="EE268" s="25"/>
      <c r="EF268" s="24"/>
      <c r="EG268" s="23">
        <v>60</v>
      </c>
      <c r="EH268" s="24"/>
      <c r="EI268" s="25"/>
      <c r="EJ268" s="24"/>
      <c r="EK268" s="23">
        <v>60</v>
      </c>
      <c r="EL268" s="24"/>
      <c r="EM268" s="25"/>
      <c r="EN268" s="24"/>
      <c r="EO268" s="23">
        <v>60</v>
      </c>
      <c r="EP268" s="24"/>
      <c r="EQ268" s="25"/>
      <c r="ER268" s="24"/>
      <c r="ES268" s="23">
        <v>60</v>
      </c>
      <c r="ET268" s="24"/>
      <c r="EU268" s="25"/>
      <c r="EV268" s="24"/>
      <c r="EW268" s="23">
        <v>60</v>
      </c>
      <c r="EX268" s="24"/>
      <c r="EY268" s="25"/>
      <c r="EZ268" s="24"/>
      <c r="FA268" s="23">
        <v>60</v>
      </c>
      <c r="FB268" s="24"/>
      <c r="FC268" s="25"/>
      <c r="FD268" s="24"/>
      <c r="FE268" s="23">
        <v>60</v>
      </c>
      <c r="FF268" s="24"/>
      <c r="FG268" s="25"/>
      <c r="FH268" s="24"/>
      <c r="FI268" s="23">
        <v>60</v>
      </c>
      <c r="FJ268" s="24"/>
      <c r="FK268" s="25"/>
      <c r="FL268" s="24"/>
      <c r="FM268" s="23">
        <v>60</v>
      </c>
      <c r="FN268" s="24"/>
      <c r="FO268" s="25"/>
      <c r="FP268" s="24"/>
      <c r="FQ268" s="340"/>
      <c r="FR268" s="32">
        <f t="shared" si="93"/>
        <v>720</v>
      </c>
      <c r="FS268" s="32">
        <f t="shared" si="94"/>
        <v>178200</v>
      </c>
      <c r="FT268" s="361"/>
    </row>
    <row r="269" spans="1:176" outlineLevel="2">
      <c r="A269" s="58" t="s">
        <v>471</v>
      </c>
      <c r="B269" s="387" t="s">
        <v>82</v>
      </c>
      <c r="C269" s="173" t="s">
        <v>31</v>
      </c>
      <c r="D269" s="595" t="s">
        <v>32</v>
      </c>
      <c r="E269" s="414">
        <f>IF(ISBLANK(G269),"",IF($A$6:$A$330=$A269,COUNTIF($A$6:A269,$A269),""))</f>
        <v>4</v>
      </c>
      <c r="F269" s="10">
        <v>1</v>
      </c>
      <c r="G269" s="55">
        <v>9253771100</v>
      </c>
      <c r="H269" s="54" t="s">
        <v>55</v>
      </c>
      <c r="I269" s="617">
        <f>306/НДС</f>
        <v>250.81967213114754</v>
      </c>
      <c r="J269" s="617"/>
      <c r="K269" s="113"/>
      <c r="L269" s="617" t="str">
        <f t="shared" si="90"/>
        <v/>
      </c>
      <c r="M269" s="102"/>
      <c r="N269" s="305">
        <f t="shared" si="75"/>
        <v>1</v>
      </c>
      <c r="O269" s="23">
        <v>280</v>
      </c>
      <c r="P269" s="24"/>
      <c r="Q269" s="25"/>
      <c r="R269" s="24"/>
      <c r="S269" s="23">
        <v>280</v>
      </c>
      <c r="T269" s="24">
        <f>160</f>
        <v>160</v>
      </c>
      <c r="U269" s="25">
        <v>160</v>
      </c>
      <c r="V269" s="24"/>
      <c r="W269" s="23">
        <v>280</v>
      </c>
      <c r="X269" s="26">
        <f>80</f>
        <v>80</v>
      </c>
      <c r="Y269" s="25">
        <v>80</v>
      </c>
      <c r="Z269" s="674">
        <v>80</v>
      </c>
      <c r="AA269" s="23">
        <v>120</v>
      </c>
      <c r="AB269" s="26">
        <f>240+80+80</f>
        <v>400</v>
      </c>
      <c r="AC269" s="25">
        <v>400</v>
      </c>
      <c r="AD269" s="674">
        <v>240</v>
      </c>
      <c r="AE269" s="23">
        <v>120</v>
      </c>
      <c r="AF269" s="26"/>
      <c r="AG269" s="25">
        <v>0</v>
      </c>
      <c r="AH269" s="24"/>
      <c r="AI269" s="23">
        <v>120</v>
      </c>
      <c r="AJ269" s="24">
        <f>240+120+160</f>
        <v>520</v>
      </c>
      <c r="AK269" s="25"/>
      <c r="AL269" s="674">
        <v>240</v>
      </c>
      <c r="AM269" s="23">
        <v>120</v>
      </c>
      <c r="AN269" s="24">
        <v>80</v>
      </c>
      <c r="AO269" s="25"/>
      <c r="AP269" s="24"/>
      <c r="AQ269" s="23">
        <v>120</v>
      </c>
      <c r="AR269" s="24">
        <v>120</v>
      </c>
      <c r="AS269" s="25"/>
      <c r="AT269" s="24"/>
      <c r="AU269" s="23">
        <v>120</v>
      </c>
      <c r="AV269" s="24">
        <v>120</v>
      </c>
      <c r="AW269" s="25"/>
      <c r="AX269" s="24"/>
      <c r="AY269" s="23">
        <v>120</v>
      </c>
      <c r="AZ269" s="24">
        <v>120</v>
      </c>
      <c r="BA269" s="25"/>
      <c r="BB269" s="24"/>
      <c r="BC269" s="23">
        <v>120</v>
      </c>
      <c r="BD269" s="24">
        <v>120</v>
      </c>
      <c r="BE269" s="25"/>
      <c r="BF269" s="24"/>
      <c r="BG269" s="23">
        <v>160</v>
      </c>
      <c r="BH269" s="24">
        <v>160</v>
      </c>
      <c r="BI269" s="25"/>
      <c r="BJ269" s="24"/>
      <c r="BK269" s="340"/>
      <c r="BL269" s="32">
        <f t="shared" si="76"/>
        <v>1960</v>
      </c>
      <c r="BM269" s="32">
        <f t="shared" si="77"/>
        <v>491606.55737704918</v>
      </c>
      <c r="BN269" s="28">
        <f t="shared" si="78"/>
        <v>1880</v>
      </c>
      <c r="BO269" s="29">
        <f t="shared" si="79"/>
        <v>471540.98360655736</v>
      </c>
      <c r="BP269" s="30">
        <f t="shared" si="80"/>
        <v>640</v>
      </c>
      <c r="BQ269" s="31">
        <f t="shared" si="81"/>
        <v>160524.59016393442</v>
      </c>
      <c r="BR269" s="11"/>
      <c r="BS269" s="329"/>
      <c r="BT269" s="23">
        <v>80</v>
      </c>
      <c r="BU269" s="24"/>
      <c r="BV269" s="25"/>
      <c r="BW269" s="24"/>
      <c r="BX269" s="23">
        <v>80</v>
      </c>
      <c r="BY269" s="24"/>
      <c r="BZ269" s="25"/>
      <c r="CA269" s="24"/>
      <c r="CB269" s="23">
        <v>80</v>
      </c>
      <c r="CC269" s="24"/>
      <c r="CD269" s="25"/>
      <c r="CE269" s="24"/>
      <c r="CF269" s="23">
        <v>80</v>
      </c>
      <c r="CG269" s="24"/>
      <c r="CH269" s="25"/>
      <c r="CI269" s="24"/>
      <c r="CJ269" s="23">
        <v>80</v>
      </c>
      <c r="CK269" s="24"/>
      <c r="CL269" s="25"/>
      <c r="CM269" s="24"/>
      <c r="CN269" s="23">
        <v>80</v>
      </c>
      <c r="CO269" s="24"/>
      <c r="CP269" s="25"/>
      <c r="CQ269" s="24"/>
      <c r="CR269" s="23">
        <v>80</v>
      </c>
      <c r="CS269" s="24"/>
      <c r="CT269" s="25"/>
      <c r="CU269" s="24"/>
      <c r="CV269" s="23">
        <v>80</v>
      </c>
      <c r="CW269" s="24"/>
      <c r="CX269" s="25"/>
      <c r="CY269" s="24"/>
      <c r="CZ269" s="23">
        <v>80</v>
      </c>
      <c r="DA269" s="24"/>
      <c r="DB269" s="25"/>
      <c r="DC269" s="24"/>
      <c r="DD269" s="23">
        <v>80</v>
      </c>
      <c r="DE269" s="24"/>
      <c r="DF269" s="25"/>
      <c r="DG269" s="24"/>
      <c r="DH269" s="23">
        <v>80</v>
      </c>
      <c r="DI269" s="24"/>
      <c r="DJ269" s="25"/>
      <c r="DK269" s="24"/>
      <c r="DL269" s="23">
        <v>80</v>
      </c>
      <c r="DM269" s="24"/>
      <c r="DN269" s="25"/>
      <c r="DO269" s="24"/>
      <c r="DP269" s="340"/>
      <c r="DQ269" s="32">
        <f t="shared" si="91"/>
        <v>960</v>
      </c>
      <c r="DR269" s="32">
        <f t="shared" si="92"/>
        <v>240786.88524590165</v>
      </c>
      <c r="DS269" s="11"/>
      <c r="DT269" s="329"/>
      <c r="DU269" s="23">
        <v>80</v>
      </c>
      <c r="DV269" s="24"/>
      <c r="DW269" s="25"/>
      <c r="DX269" s="24"/>
      <c r="DY269" s="23">
        <v>80</v>
      </c>
      <c r="DZ269" s="24"/>
      <c r="EA269" s="25"/>
      <c r="EB269" s="24"/>
      <c r="EC269" s="23">
        <v>80</v>
      </c>
      <c r="ED269" s="24"/>
      <c r="EE269" s="25"/>
      <c r="EF269" s="24"/>
      <c r="EG269" s="23">
        <v>80</v>
      </c>
      <c r="EH269" s="24"/>
      <c r="EI269" s="25"/>
      <c r="EJ269" s="24"/>
      <c r="EK269" s="23">
        <v>80</v>
      </c>
      <c r="EL269" s="24"/>
      <c r="EM269" s="25"/>
      <c r="EN269" s="24"/>
      <c r="EO269" s="23">
        <v>80</v>
      </c>
      <c r="EP269" s="24"/>
      <c r="EQ269" s="25"/>
      <c r="ER269" s="24"/>
      <c r="ES269" s="23">
        <v>80</v>
      </c>
      <c r="ET269" s="24"/>
      <c r="EU269" s="25"/>
      <c r="EV269" s="24"/>
      <c r="EW269" s="23">
        <v>80</v>
      </c>
      <c r="EX269" s="24"/>
      <c r="EY269" s="25"/>
      <c r="EZ269" s="24"/>
      <c r="FA269" s="23">
        <v>80</v>
      </c>
      <c r="FB269" s="24"/>
      <c r="FC269" s="25"/>
      <c r="FD269" s="24"/>
      <c r="FE269" s="23">
        <v>80</v>
      </c>
      <c r="FF269" s="24"/>
      <c r="FG269" s="25"/>
      <c r="FH269" s="24"/>
      <c r="FI269" s="23">
        <v>80</v>
      </c>
      <c r="FJ269" s="24"/>
      <c r="FK269" s="25"/>
      <c r="FL269" s="24"/>
      <c r="FM269" s="23">
        <v>80</v>
      </c>
      <c r="FN269" s="24"/>
      <c r="FO269" s="25"/>
      <c r="FP269" s="24"/>
      <c r="FQ269" s="340"/>
      <c r="FR269" s="32">
        <f t="shared" si="93"/>
        <v>960</v>
      </c>
      <c r="FS269" s="32">
        <f t="shared" si="94"/>
        <v>240786.88524590165</v>
      </c>
      <c r="FT269" s="361"/>
    </row>
    <row r="270" spans="1:176" outlineLevel="2">
      <c r="A270" s="58" t="s">
        <v>471</v>
      </c>
      <c r="B270" s="387" t="s">
        <v>82</v>
      </c>
      <c r="C270" s="173" t="s">
        <v>72</v>
      </c>
      <c r="D270" s="595" t="s">
        <v>32</v>
      </c>
      <c r="E270" s="414">
        <f>IF(ISBLANK(G270),"",IF($A$6:$A$330=$A270,COUNTIF($A$6:A270,$A270),""))</f>
        <v>5</v>
      </c>
      <c r="F270" s="10">
        <v>1</v>
      </c>
      <c r="G270" s="55">
        <v>8282519676</v>
      </c>
      <c r="H270" s="54" t="s">
        <v>151</v>
      </c>
      <c r="I270" s="617">
        <v>3.1</v>
      </c>
      <c r="J270" s="617"/>
      <c r="K270" s="113"/>
      <c r="L270" s="617" t="str">
        <f t="shared" si="90"/>
        <v/>
      </c>
      <c r="M270" s="102"/>
      <c r="N270" s="305">
        <f t="shared" si="75"/>
        <v>1</v>
      </c>
      <c r="O270" s="23"/>
      <c r="P270" s="24"/>
      <c r="Q270" s="25"/>
      <c r="R270" s="24"/>
      <c r="S270" s="23"/>
      <c r="T270" s="24"/>
      <c r="U270" s="25"/>
      <c r="V270" s="24"/>
      <c r="W270" s="23"/>
      <c r="X270" s="26"/>
      <c r="Y270" s="25"/>
      <c r="Z270" s="24"/>
      <c r="AA270" s="23"/>
      <c r="AB270" s="26">
        <f>6000</f>
        <v>6000</v>
      </c>
      <c r="AC270" s="25">
        <v>6000</v>
      </c>
      <c r="AD270" s="24"/>
      <c r="AE270" s="23">
        <v>3000</v>
      </c>
      <c r="AF270" s="26"/>
      <c r="AG270" s="25"/>
      <c r="AH270" s="24"/>
      <c r="AI270" s="23"/>
      <c r="AJ270" s="24"/>
      <c r="AK270" s="25"/>
      <c r="AL270" s="24"/>
      <c r="AM270" s="23"/>
      <c r="AN270" s="24"/>
      <c r="AO270" s="25"/>
      <c r="AP270" s="24"/>
      <c r="AQ270" s="23">
        <v>3000</v>
      </c>
      <c r="AR270" s="24"/>
      <c r="AS270" s="25"/>
      <c r="AT270" s="24"/>
      <c r="AU270" s="23"/>
      <c r="AV270" s="24"/>
      <c r="AW270" s="25"/>
      <c r="AX270" s="24"/>
      <c r="AY270" s="23"/>
      <c r="AZ270" s="24"/>
      <c r="BA270" s="25"/>
      <c r="BB270" s="24"/>
      <c r="BC270" s="23">
        <v>3000</v>
      </c>
      <c r="BD270" s="24">
        <v>3000</v>
      </c>
      <c r="BE270" s="25"/>
      <c r="BF270" s="24"/>
      <c r="BG270" s="23"/>
      <c r="BH270" s="24"/>
      <c r="BI270" s="25"/>
      <c r="BJ270" s="24"/>
      <c r="BK270" s="340"/>
      <c r="BL270" s="32">
        <f t="shared" si="76"/>
        <v>9000</v>
      </c>
      <c r="BM270" s="32">
        <f t="shared" si="77"/>
        <v>27900</v>
      </c>
      <c r="BN270" s="28">
        <f t="shared" si="78"/>
        <v>9000</v>
      </c>
      <c r="BO270" s="29">
        <f t="shared" si="79"/>
        <v>27900</v>
      </c>
      <c r="BP270" s="30">
        <f t="shared" si="80"/>
        <v>6000</v>
      </c>
      <c r="BQ270" s="31">
        <f t="shared" si="81"/>
        <v>18600</v>
      </c>
      <c r="BR270" s="11"/>
      <c r="BS270" s="329"/>
      <c r="BT270" s="23"/>
      <c r="BU270" s="24"/>
      <c r="BV270" s="25"/>
      <c r="BW270" s="24"/>
      <c r="BX270" s="23">
        <v>3000</v>
      </c>
      <c r="BY270" s="24"/>
      <c r="BZ270" s="25"/>
      <c r="CA270" s="24"/>
      <c r="CB270" s="23"/>
      <c r="CC270" s="24"/>
      <c r="CD270" s="25"/>
      <c r="CE270" s="24"/>
      <c r="CF270" s="23"/>
      <c r="CG270" s="24"/>
      <c r="CH270" s="25"/>
      <c r="CI270" s="24"/>
      <c r="CJ270" s="23">
        <v>3000</v>
      </c>
      <c r="CK270" s="24"/>
      <c r="CL270" s="25"/>
      <c r="CM270" s="24"/>
      <c r="CN270" s="23"/>
      <c r="CO270" s="24"/>
      <c r="CP270" s="25"/>
      <c r="CQ270" s="24"/>
      <c r="CR270" s="23"/>
      <c r="CS270" s="24"/>
      <c r="CT270" s="25"/>
      <c r="CU270" s="24"/>
      <c r="CV270" s="23">
        <v>3000</v>
      </c>
      <c r="CW270" s="24"/>
      <c r="CX270" s="25"/>
      <c r="CY270" s="24"/>
      <c r="CZ270" s="23"/>
      <c r="DA270" s="24"/>
      <c r="DB270" s="25"/>
      <c r="DC270" s="24"/>
      <c r="DD270" s="23"/>
      <c r="DE270" s="24"/>
      <c r="DF270" s="25"/>
      <c r="DG270" s="24"/>
      <c r="DH270" s="23">
        <v>3000</v>
      </c>
      <c r="DI270" s="24"/>
      <c r="DJ270" s="25"/>
      <c r="DK270" s="24"/>
      <c r="DL270" s="23"/>
      <c r="DM270" s="24"/>
      <c r="DN270" s="25"/>
      <c r="DO270" s="24"/>
      <c r="DP270" s="340"/>
      <c r="DQ270" s="32">
        <f t="shared" si="91"/>
        <v>12000</v>
      </c>
      <c r="DR270" s="32">
        <f t="shared" si="92"/>
        <v>37200</v>
      </c>
      <c r="DS270" s="11"/>
      <c r="DT270" s="329"/>
      <c r="DU270" s="23"/>
      <c r="DV270" s="24"/>
      <c r="DW270" s="25"/>
      <c r="DX270" s="24"/>
      <c r="DY270" s="23">
        <v>3000</v>
      </c>
      <c r="DZ270" s="24"/>
      <c r="EA270" s="25"/>
      <c r="EB270" s="24"/>
      <c r="EC270" s="23"/>
      <c r="ED270" s="24"/>
      <c r="EE270" s="25"/>
      <c r="EF270" s="24"/>
      <c r="EG270" s="23"/>
      <c r="EH270" s="24"/>
      <c r="EI270" s="25"/>
      <c r="EJ270" s="24"/>
      <c r="EK270" s="23">
        <v>3000</v>
      </c>
      <c r="EL270" s="24"/>
      <c r="EM270" s="25"/>
      <c r="EN270" s="24"/>
      <c r="EO270" s="23"/>
      <c r="EP270" s="24"/>
      <c r="EQ270" s="25"/>
      <c r="ER270" s="24"/>
      <c r="ES270" s="23"/>
      <c r="ET270" s="24"/>
      <c r="EU270" s="25"/>
      <c r="EV270" s="24"/>
      <c r="EW270" s="23">
        <v>3000</v>
      </c>
      <c r="EX270" s="24"/>
      <c r="EY270" s="25"/>
      <c r="EZ270" s="24"/>
      <c r="FA270" s="23"/>
      <c r="FB270" s="24"/>
      <c r="FC270" s="25"/>
      <c r="FD270" s="24"/>
      <c r="FE270" s="23"/>
      <c r="FF270" s="24"/>
      <c r="FG270" s="25"/>
      <c r="FH270" s="24"/>
      <c r="FI270" s="23">
        <v>3000</v>
      </c>
      <c r="FJ270" s="24"/>
      <c r="FK270" s="25"/>
      <c r="FL270" s="24"/>
      <c r="FM270" s="23"/>
      <c r="FN270" s="24"/>
      <c r="FO270" s="25"/>
      <c r="FP270" s="24"/>
      <c r="FQ270" s="340"/>
      <c r="FR270" s="32">
        <f t="shared" si="93"/>
        <v>12000</v>
      </c>
      <c r="FS270" s="32">
        <f t="shared" si="94"/>
        <v>37200</v>
      </c>
      <c r="FT270" s="361"/>
    </row>
    <row r="271" spans="1:176" outlineLevel="2">
      <c r="A271" s="58" t="s">
        <v>471</v>
      </c>
      <c r="B271" s="387" t="s">
        <v>82</v>
      </c>
      <c r="C271" s="173" t="s">
        <v>72</v>
      </c>
      <c r="D271" s="595" t="s">
        <v>32</v>
      </c>
      <c r="E271" s="414">
        <f>IF(ISBLANK(G271),"",IF($A$6:$A$330=$A271,COUNTIF($A$6:A271,$A271),""))</f>
        <v>6</v>
      </c>
      <c r="F271" s="10">
        <v>1</v>
      </c>
      <c r="G271" s="55">
        <v>8282510086</v>
      </c>
      <c r="H271" s="54" t="s">
        <v>152</v>
      </c>
      <c r="I271" s="617">
        <v>3.5</v>
      </c>
      <c r="J271" s="617"/>
      <c r="K271" s="113"/>
      <c r="L271" s="617" t="str">
        <f t="shared" si="90"/>
        <v/>
      </c>
      <c r="M271" s="102"/>
      <c r="N271" s="305">
        <f t="shared" si="75"/>
        <v>1</v>
      </c>
      <c r="O271" s="23"/>
      <c r="P271" s="24"/>
      <c r="Q271" s="25"/>
      <c r="R271" s="24"/>
      <c r="S271" s="23"/>
      <c r="T271" s="24"/>
      <c r="U271" s="25"/>
      <c r="V271" s="24"/>
      <c r="W271" s="23"/>
      <c r="X271" s="26"/>
      <c r="Y271" s="25"/>
      <c r="Z271" s="24"/>
      <c r="AA271" s="23"/>
      <c r="AB271" s="26">
        <f>10000+400</f>
        <v>10400</v>
      </c>
      <c r="AC271" s="25">
        <v>10400</v>
      </c>
      <c r="AD271" s="599"/>
      <c r="AE271" s="23">
        <v>8000</v>
      </c>
      <c r="AF271" s="26"/>
      <c r="AG271" s="25"/>
      <c r="AH271" s="24"/>
      <c r="AI271" s="23"/>
      <c r="AJ271" s="24"/>
      <c r="AK271" s="25"/>
      <c r="AL271" s="24"/>
      <c r="AM271" s="23"/>
      <c r="AN271" s="24"/>
      <c r="AO271" s="25"/>
      <c r="AP271" s="24"/>
      <c r="AQ271" s="23">
        <v>8000</v>
      </c>
      <c r="AR271" s="24"/>
      <c r="AS271" s="25"/>
      <c r="AT271" s="24"/>
      <c r="AU271" s="23"/>
      <c r="AV271" s="24"/>
      <c r="AW271" s="25"/>
      <c r="AX271" s="24"/>
      <c r="AY271" s="23"/>
      <c r="AZ271" s="24"/>
      <c r="BA271" s="25"/>
      <c r="BB271" s="24"/>
      <c r="BC271" s="23">
        <v>8000</v>
      </c>
      <c r="BD271" s="24">
        <v>8000</v>
      </c>
      <c r="BE271" s="25"/>
      <c r="BF271" s="24"/>
      <c r="BG271" s="23"/>
      <c r="BH271" s="24"/>
      <c r="BI271" s="25"/>
      <c r="BJ271" s="24"/>
      <c r="BK271" s="340"/>
      <c r="BL271" s="32">
        <f t="shared" si="76"/>
        <v>24000</v>
      </c>
      <c r="BM271" s="32">
        <f t="shared" si="77"/>
        <v>84000</v>
      </c>
      <c r="BN271" s="28">
        <f t="shared" si="78"/>
        <v>18400</v>
      </c>
      <c r="BO271" s="29">
        <f t="shared" si="79"/>
        <v>64400</v>
      </c>
      <c r="BP271" s="30">
        <f t="shared" si="80"/>
        <v>10400</v>
      </c>
      <c r="BQ271" s="31">
        <f t="shared" si="81"/>
        <v>36400</v>
      </c>
      <c r="BR271" s="11"/>
      <c r="BS271" s="329"/>
      <c r="BT271" s="23"/>
      <c r="BU271" s="24"/>
      <c r="BV271" s="25"/>
      <c r="BW271" s="24"/>
      <c r="BX271" s="23">
        <v>8000</v>
      </c>
      <c r="BY271" s="24"/>
      <c r="BZ271" s="25"/>
      <c r="CA271" s="24"/>
      <c r="CB271" s="23"/>
      <c r="CC271" s="24"/>
      <c r="CD271" s="25"/>
      <c r="CE271" s="24"/>
      <c r="CF271" s="23"/>
      <c r="CG271" s="24"/>
      <c r="CH271" s="25"/>
      <c r="CI271" s="24"/>
      <c r="CJ271" s="23">
        <v>8000</v>
      </c>
      <c r="CK271" s="24"/>
      <c r="CL271" s="25"/>
      <c r="CM271" s="24"/>
      <c r="CN271" s="23"/>
      <c r="CO271" s="24"/>
      <c r="CP271" s="25"/>
      <c r="CQ271" s="24"/>
      <c r="CR271" s="23"/>
      <c r="CS271" s="24"/>
      <c r="CT271" s="25"/>
      <c r="CU271" s="24"/>
      <c r="CV271" s="23">
        <v>8000</v>
      </c>
      <c r="CW271" s="24"/>
      <c r="CX271" s="25"/>
      <c r="CY271" s="24"/>
      <c r="CZ271" s="23"/>
      <c r="DA271" s="24"/>
      <c r="DB271" s="25"/>
      <c r="DC271" s="24"/>
      <c r="DD271" s="23"/>
      <c r="DE271" s="24"/>
      <c r="DF271" s="25"/>
      <c r="DG271" s="24"/>
      <c r="DH271" s="23">
        <v>8000</v>
      </c>
      <c r="DI271" s="24"/>
      <c r="DJ271" s="25"/>
      <c r="DK271" s="24"/>
      <c r="DL271" s="23"/>
      <c r="DM271" s="24"/>
      <c r="DN271" s="25"/>
      <c r="DO271" s="24"/>
      <c r="DP271" s="340"/>
      <c r="DQ271" s="32">
        <f t="shared" si="91"/>
        <v>32000</v>
      </c>
      <c r="DR271" s="32">
        <f t="shared" si="92"/>
        <v>112000</v>
      </c>
      <c r="DS271" s="11"/>
      <c r="DT271" s="329"/>
      <c r="DU271" s="23"/>
      <c r="DV271" s="24"/>
      <c r="DW271" s="25"/>
      <c r="DX271" s="24"/>
      <c r="DY271" s="23">
        <v>8000</v>
      </c>
      <c r="DZ271" s="24"/>
      <c r="EA271" s="25"/>
      <c r="EB271" s="24"/>
      <c r="EC271" s="23"/>
      <c r="ED271" s="24"/>
      <c r="EE271" s="25"/>
      <c r="EF271" s="24"/>
      <c r="EG271" s="23"/>
      <c r="EH271" s="24"/>
      <c r="EI271" s="25"/>
      <c r="EJ271" s="24"/>
      <c r="EK271" s="23">
        <v>8000</v>
      </c>
      <c r="EL271" s="24"/>
      <c r="EM271" s="25"/>
      <c r="EN271" s="24"/>
      <c r="EO271" s="23"/>
      <c r="EP271" s="24"/>
      <c r="EQ271" s="25"/>
      <c r="ER271" s="24"/>
      <c r="ES271" s="23"/>
      <c r="ET271" s="24"/>
      <c r="EU271" s="25"/>
      <c r="EV271" s="24"/>
      <c r="EW271" s="23">
        <v>8000</v>
      </c>
      <c r="EX271" s="24"/>
      <c r="EY271" s="25"/>
      <c r="EZ271" s="24"/>
      <c r="FA271" s="23"/>
      <c r="FB271" s="24"/>
      <c r="FC271" s="25"/>
      <c r="FD271" s="24"/>
      <c r="FE271" s="23"/>
      <c r="FF271" s="24"/>
      <c r="FG271" s="25"/>
      <c r="FH271" s="24"/>
      <c r="FI271" s="23">
        <v>8000</v>
      </c>
      <c r="FJ271" s="24"/>
      <c r="FK271" s="25"/>
      <c r="FL271" s="24"/>
      <c r="FM271" s="23"/>
      <c r="FN271" s="24"/>
      <c r="FO271" s="25"/>
      <c r="FP271" s="24"/>
      <c r="FQ271" s="340"/>
      <c r="FR271" s="32">
        <f t="shared" si="93"/>
        <v>32000</v>
      </c>
      <c r="FS271" s="32">
        <f t="shared" si="94"/>
        <v>112000</v>
      </c>
      <c r="FT271" s="361"/>
    </row>
    <row r="272" spans="1:176" outlineLevel="2">
      <c r="A272" s="58" t="s">
        <v>471</v>
      </c>
      <c r="B272" s="387" t="s">
        <v>82</v>
      </c>
      <c r="C272" s="173" t="s">
        <v>72</v>
      </c>
      <c r="D272" s="595" t="s">
        <v>32</v>
      </c>
      <c r="E272" s="414">
        <f>IF(ISBLANK(G272),"",IF($A$6:$A$330=$A272,COUNTIF($A$6:A272,$A272),""))</f>
        <v>7</v>
      </c>
      <c r="F272" s="10">
        <v>1</v>
      </c>
      <c r="G272" s="55">
        <v>8282510106</v>
      </c>
      <c r="H272" s="54" t="s">
        <v>153</v>
      </c>
      <c r="I272" s="617">
        <v>4.4000000000000004</v>
      </c>
      <c r="J272" s="617"/>
      <c r="K272" s="113"/>
      <c r="L272" s="617" t="str">
        <f t="shared" si="90"/>
        <v/>
      </c>
      <c r="M272" s="102"/>
      <c r="N272" s="305">
        <f t="shared" si="75"/>
        <v>2</v>
      </c>
      <c r="O272" s="23"/>
      <c r="P272" s="24"/>
      <c r="Q272" s="25"/>
      <c r="R272" s="24"/>
      <c r="S272" s="23"/>
      <c r="T272" s="24"/>
      <c r="U272" s="25"/>
      <c r="V272" s="24"/>
      <c r="W272" s="23"/>
      <c r="X272" s="26"/>
      <c r="Y272" s="25"/>
      <c r="Z272" s="24"/>
      <c r="AA272" s="23"/>
      <c r="AB272" s="26"/>
      <c r="AC272" s="25"/>
      <c r="AD272" s="24"/>
      <c r="AE272" s="23">
        <v>16000</v>
      </c>
      <c r="AF272" s="26"/>
      <c r="AG272" s="25"/>
      <c r="AH272" s="24"/>
      <c r="AI272" s="23"/>
      <c r="AJ272" s="24"/>
      <c r="AK272" s="25"/>
      <c r="AL272" s="24"/>
      <c r="AM272" s="23"/>
      <c r="AN272" s="24"/>
      <c r="AO272" s="25"/>
      <c r="AP272" s="24"/>
      <c r="AQ272" s="23">
        <v>16000</v>
      </c>
      <c r="AR272" s="24"/>
      <c r="AS272" s="25"/>
      <c r="AT272" s="24"/>
      <c r="AU272" s="23"/>
      <c r="AV272" s="24">
        <v>10000</v>
      </c>
      <c r="AW272" s="25"/>
      <c r="AX272" s="24"/>
      <c r="AY272" s="23"/>
      <c r="AZ272" s="24"/>
      <c r="BA272" s="25"/>
      <c r="BB272" s="24"/>
      <c r="BC272" s="23">
        <v>16000</v>
      </c>
      <c r="BD272" s="24">
        <v>16000</v>
      </c>
      <c r="BE272" s="25"/>
      <c r="BF272" s="24"/>
      <c r="BG272" s="23"/>
      <c r="BH272" s="24"/>
      <c r="BI272" s="25"/>
      <c r="BJ272" s="24"/>
      <c r="BK272" s="340"/>
      <c r="BL272" s="32">
        <f t="shared" si="76"/>
        <v>48000</v>
      </c>
      <c r="BM272" s="32">
        <f t="shared" si="77"/>
        <v>211200</v>
      </c>
      <c r="BN272" s="28">
        <f t="shared" si="78"/>
        <v>26000</v>
      </c>
      <c r="BO272" s="29">
        <f t="shared" si="79"/>
        <v>114400.00000000001</v>
      </c>
      <c r="BP272" s="30">
        <f t="shared" si="80"/>
        <v>0</v>
      </c>
      <c r="BQ272" s="31">
        <f t="shared" si="81"/>
        <v>0</v>
      </c>
      <c r="BR272" s="11"/>
      <c r="BS272" s="329"/>
      <c r="BT272" s="23"/>
      <c r="BU272" s="24"/>
      <c r="BV272" s="25"/>
      <c r="BW272" s="24"/>
      <c r="BX272" s="23">
        <v>16000</v>
      </c>
      <c r="BY272" s="24"/>
      <c r="BZ272" s="25"/>
      <c r="CA272" s="24"/>
      <c r="CB272" s="23"/>
      <c r="CC272" s="24"/>
      <c r="CD272" s="25"/>
      <c r="CE272" s="24"/>
      <c r="CF272" s="23"/>
      <c r="CG272" s="24"/>
      <c r="CH272" s="25"/>
      <c r="CI272" s="24"/>
      <c r="CJ272" s="23">
        <v>16000</v>
      </c>
      <c r="CK272" s="24"/>
      <c r="CL272" s="25"/>
      <c r="CM272" s="24"/>
      <c r="CN272" s="23"/>
      <c r="CO272" s="24"/>
      <c r="CP272" s="25"/>
      <c r="CQ272" s="24"/>
      <c r="CR272" s="23"/>
      <c r="CS272" s="24"/>
      <c r="CT272" s="25"/>
      <c r="CU272" s="24"/>
      <c r="CV272" s="23">
        <v>16000</v>
      </c>
      <c r="CW272" s="24"/>
      <c r="CX272" s="25"/>
      <c r="CY272" s="24"/>
      <c r="CZ272" s="23"/>
      <c r="DA272" s="24"/>
      <c r="DB272" s="25"/>
      <c r="DC272" s="24"/>
      <c r="DD272" s="23"/>
      <c r="DE272" s="24"/>
      <c r="DF272" s="25"/>
      <c r="DG272" s="24"/>
      <c r="DH272" s="23">
        <v>16000</v>
      </c>
      <c r="DI272" s="24"/>
      <c r="DJ272" s="25"/>
      <c r="DK272" s="24"/>
      <c r="DL272" s="23"/>
      <c r="DM272" s="24"/>
      <c r="DN272" s="25"/>
      <c r="DO272" s="24"/>
      <c r="DP272" s="340"/>
      <c r="DQ272" s="32">
        <f t="shared" si="91"/>
        <v>64000</v>
      </c>
      <c r="DR272" s="32">
        <f t="shared" si="92"/>
        <v>281600</v>
      </c>
      <c r="DS272" s="11"/>
      <c r="DT272" s="329"/>
      <c r="DU272" s="23"/>
      <c r="DV272" s="24"/>
      <c r="DW272" s="25"/>
      <c r="DX272" s="24"/>
      <c r="DY272" s="23">
        <v>16000</v>
      </c>
      <c r="DZ272" s="24"/>
      <c r="EA272" s="25"/>
      <c r="EB272" s="24"/>
      <c r="EC272" s="23"/>
      <c r="ED272" s="24"/>
      <c r="EE272" s="25"/>
      <c r="EF272" s="24"/>
      <c r="EG272" s="23"/>
      <c r="EH272" s="24"/>
      <c r="EI272" s="25"/>
      <c r="EJ272" s="24"/>
      <c r="EK272" s="23">
        <v>16000</v>
      </c>
      <c r="EL272" s="24"/>
      <c r="EM272" s="25"/>
      <c r="EN272" s="24"/>
      <c r="EO272" s="23"/>
      <c r="EP272" s="24"/>
      <c r="EQ272" s="25"/>
      <c r="ER272" s="24"/>
      <c r="ES272" s="23"/>
      <c r="ET272" s="24"/>
      <c r="EU272" s="25"/>
      <c r="EV272" s="24"/>
      <c r="EW272" s="23">
        <v>16000</v>
      </c>
      <c r="EX272" s="24"/>
      <c r="EY272" s="25"/>
      <c r="EZ272" s="24"/>
      <c r="FA272" s="23"/>
      <c r="FB272" s="24"/>
      <c r="FC272" s="25"/>
      <c r="FD272" s="24"/>
      <c r="FE272" s="23"/>
      <c r="FF272" s="24"/>
      <c r="FG272" s="25"/>
      <c r="FH272" s="24"/>
      <c r="FI272" s="23">
        <v>16000</v>
      </c>
      <c r="FJ272" s="24"/>
      <c r="FK272" s="25"/>
      <c r="FL272" s="24"/>
      <c r="FM272" s="23"/>
      <c r="FN272" s="24"/>
      <c r="FO272" s="25"/>
      <c r="FP272" s="24"/>
      <c r="FQ272" s="340"/>
      <c r="FR272" s="32">
        <f t="shared" si="93"/>
        <v>64000</v>
      </c>
      <c r="FS272" s="32">
        <f t="shared" si="94"/>
        <v>281600</v>
      </c>
      <c r="FT272" s="361"/>
    </row>
    <row r="273" spans="1:176" outlineLevel="2">
      <c r="A273" s="58" t="s">
        <v>471</v>
      </c>
      <c r="B273" s="387" t="s">
        <v>82</v>
      </c>
      <c r="C273" s="173" t="s">
        <v>72</v>
      </c>
      <c r="D273" s="595" t="s">
        <v>32</v>
      </c>
      <c r="E273" s="414">
        <f>IF(ISBLANK(G273),"",IF($A$6:$A$330=$A273,COUNTIF($A$6:A273,$A273),""))</f>
        <v>8</v>
      </c>
      <c r="F273" s="10">
        <v>1</v>
      </c>
      <c r="G273" s="55">
        <v>8282510126</v>
      </c>
      <c r="H273" s="54" t="s">
        <v>154</v>
      </c>
      <c r="I273" s="617">
        <v>6.7</v>
      </c>
      <c r="J273" s="617"/>
      <c r="K273" s="113"/>
      <c r="L273" s="617" t="str">
        <f t="shared" si="90"/>
        <v/>
      </c>
      <c r="M273" s="102"/>
      <c r="N273" s="305">
        <f t="shared" si="75"/>
        <v>2</v>
      </c>
      <c r="O273" s="23"/>
      <c r="P273" s="24"/>
      <c r="Q273" s="25"/>
      <c r="R273" s="24"/>
      <c r="S273" s="23"/>
      <c r="T273" s="24"/>
      <c r="U273" s="25"/>
      <c r="V273" s="24"/>
      <c r="W273" s="23"/>
      <c r="X273" s="26"/>
      <c r="Y273" s="25"/>
      <c r="Z273" s="24"/>
      <c r="AA273" s="23"/>
      <c r="AB273" s="26"/>
      <c r="AC273" s="25"/>
      <c r="AD273" s="24"/>
      <c r="AE273" s="23">
        <v>10000</v>
      </c>
      <c r="AF273" s="26"/>
      <c r="AG273" s="25"/>
      <c r="AH273" s="24"/>
      <c r="AI273" s="23"/>
      <c r="AJ273" s="24"/>
      <c r="AK273" s="25"/>
      <c r="AL273" s="24"/>
      <c r="AM273" s="23"/>
      <c r="AN273" s="24"/>
      <c r="AO273" s="25"/>
      <c r="AP273" s="24"/>
      <c r="AQ273" s="23">
        <v>10000</v>
      </c>
      <c r="AR273" s="24"/>
      <c r="AS273" s="25"/>
      <c r="AT273" s="24"/>
      <c r="AU273" s="23"/>
      <c r="AV273" s="24">
        <v>10000</v>
      </c>
      <c r="AW273" s="25"/>
      <c r="AX273" s="24"/>
      <c r="AY273" s="23"/>
      <c r="AZ273" s="24"/>
      <c r="BA273" s="25"/>
      <c r="BB273" s="24"/>
      <c r="BC273" s="23">
        <v>10000</v>
      </c>
      <c r="BD273" s="24">
        <v>10000</v>
      </c>
      <c r="BE273" s="25"/>
      <c r="BF273" s="24"/>
      <c r="BG273" s="23"/>
      <c r="BH273" s="24"/>
      <c r="BI273" s="25"/>
      <c r="BJ273" s="24"/>
      <c r="BK273" s="340"/>
      <c r="BL273" s="32">
        <f t="shared" si="76"/>
        <v>30000</v>
      </c>
      <c r="BM273" s="32">
        <f t="shared" si="77"/>
        <v>201000</v>
      </c>
      <c r="BN273" s="28">
        <f t="shared" si="78"/>
        <v>20000</v>
      </c>
      <c r="BO273" s="29">
        <f t="shared" si="79"/>
        <v>134000</v>
      </c>
      <c r="BP273" s="30">
        <f t="shared" si="80"/>
        <v>0</v>
      </c>
      <c r="BQ273" s="31">
        <f t="shared" si="81"/>
        <v>0</v>
      </c>
      <c r="BR273" s="11"/>
      <c r="BS273" s="329"/>
      <c r="BT273" s="23"/>
      <c r="BU273" s="24"/>
      <c r="BV273" s="25"/>
      <c r="BW273" s="24"/>
      <c r="BX273" s="23">
        <v>10000</v>
      </c>
      <c r="BY273" s="24"/>
      <c r="BZ273" s="25"/>
      <c r="CA273" s="24"/>
      <c r="CB273" s="23"/>
      <c r="CC273" s="24"/>
      <c r="CD273" s="25"/>
      <c r="CE273" s="24"/>
      <c r="CF273" s="23"/>
      <c r="CG273" s="24"/>
      <c r="CH273" s="25"/>
      <c r="CI273" s="24"/>
      <c r="CJ273" s="23">
        <v>10000</v>
      </c>
      <c r="CK273" s="24"/>
      <c r="CL273" s="25"/>
      <c r="CM273" s="24"/>
      <c r="CN273" s="23"/>
      <c r="CO273" s="24"/>
      <c r="CP273" s="25"/>
      <c r="CQ273" s="24"/>
      <c r="CR273" s="23"/>
      <c r="CS273" s="24"/>
      <c r="CT273" s="25"/>
      <c r="CU273" s="24"/>
      <c r="CV273" s="23">
        <v>10000</v>
      </c>
      <c r="CW273" s="24"/>
      <c r="CX273" s="25"/>
      <c r="CY273" s="24"/>
      <c r="CZ273" s="23"/>
      <c r="DA273" s="24"/>
      <c r="DB273" s="25"/>
      <c r="DC273" s="24"/>
      <c r="DD273" s="23"/>
      <c r="DE273" s="24"/>
      <c r="DF273" s="25"/>
      <c r="DG273" s="24"/>
      <c r="DH273" s="23">
        <v>10000</v>
      </c>
      <c r="DI273" s="24"/>
      <c r="DJ273" s="25"/>
      <c r="DK273" s="24"/>
      <c r="DL273" s="23"/>
      <c r="DM273" s="24"/>
      <c r="DN273" s="25"/>
      <c r="DO273" s="24"/>
      <c r="DP273" s="340"/>
      <c r="DQ273" s="32">
        <f t="shared" si="91"/>
        <v>40000</v>
      </c>
      <c r="DR273" s="32">
        <f t="shared" si="92"/>
        <v>268000</v>
      </c>
      <c r="DS273" s="11"/>
      <c r="DT273" s="329"/>
      <c r="DU273" s="23"/>
      <c r="DV273" s="24"/>
      <c r="DW273" s="25"/>
      <c r="DX273" s="24"/>
      <c r="DY273" s="23">
        <v>10000</v>
      </c>
      <c r="DZ273" s="24"/>
      <c r="EA273" s="25"/>
      <c r="EB273" s="24"/>
      <c r="EC273" s="23"/>
      <c r="ED273" s="24"/>
      <c r="EE273" s="25"/>
      <c r="EF273" s="24"/>
      <c r="EG273" s="23"/>
      <c r="EH273" s="24"/>
      <c r="EI273" s="25"/>
      <c r="EJ273" s="24"/>
      <c r="EK273" s="23">
        <v>10000</v>
      </c>
      <c r="EL273" s="24"/>
      <c r="EM273" s="25"/>
      <c r="EN273" s="24"/>
      <c r="EO273" s="23"/>
      <c r="EP273" s="24"/>
      <c r="EQ273" s="25"/>
      <c r="ER273" s="24"/>
      <c r="ES273" s="23"/>
      <c r="ET273" s="24"/>
      <c r="EU273" s="25"/>
      <c r="EV273" s="24"/>
      <c r="EW273" s="23">
        <v>10000</v>
      </c>
      <c r="EX273" s="24"/>
      <c r="EY273" s="25"/>
      <c r="EZ273" s="24"/>
      <c r="FA273" s="23"/>
      <c r="FB273" s="24"/>
      <c r="FC273" s="25"/>
      <c r="FD273" s="24"/>
      <c r="FE273" s="23"/>
      <c r="FF273" s="24"/>
      <c r="FG273" s="25"/>
      <c r="FH273" s="24"/>
      <c r="FI273" s="23">
        <v>10000</v>
      </c>
      <c r="FJ273" s="24"/>
      <c r="FK273" s="25"/>
      <c r="FL273" s="24"/>
      <c r="FM273" s="23"/>
      <c r="FN273" s="24"/>
      <c r="FO273" s="25"/>
      <c r="FP273" s="24"/>
      <c r="FQ273" s="340"/>
      <c r="FR273" s="32">
        <f t="shared" si="93"/>
        <v>40000</v>
      </c>
      <c r="FS273" s="32">
        <f t="shared" si="94"/>
        <v>268000</v>
      </c>
      <c r="FT273" s="361"/>
    </row>
    <row r="274" spans="1:176" outlineLevel="2">
      <c r="A274" s="58" t="s">
        <v>471</v>
      </c>
      <c r="B274" s="387" t="s">
        <v>82</v>
      </c>
      <c r="C274" s="173" t="s">
        <v>72</v>
      </c>
      <c r="D274" s="595" t="s">
        <v>32</v>
      </c>
      <c r="E274" s="414">
        <f>IF(ISBLANK(G274),"",IF($A$6:$A$330=$A274,COUNTIF($A$6:A274,$A274),""))</f>
        <v>9</v>
      </c>
      <c r="F274" s="10">
        <v>1</v>
      </c>
      <c r="G274" s="55">
        <v>8282519726</v>
      </c>
      <c r="H274" s="54" t="s">
        <v>155</v>
      </c>
      <c r="I274" s="617">
        <v>10.6</v>
      </c>
      <c r="J274" s="617"/>
      <c r="K274" s="113"/>
      <c r="L274" s="617" t="str">
        <f t="shared" si="90"/>
        <v/>
      </c>
      <c r="M274" s="102"/>
      <c r="N274" s="305">
        <f t="shared" si="75"/>
        <v>2</v>
      </c>
      <c r="O274" s="23"/>
      <c r="P274" s="24"/>
      <c r="Q274" s="25"/>
      <c r="R274" s="24"/>
      <c r="S274" s="23"/>
      <c r="T274" s="24"/>
      <c r="U274" s="25"/>
      <c r="V274" s="24"/>
      <c r="W274" s="23"/>
      <c r="X274" s="26"/>
      <c r="Y274" s="25"/>
      <c r="Z274" s="24"/>
      <c r="AA274" s="23"/>
      <c r="AB274" s="26"/>
      <c r="AC274" s="25"/>
      <c r="AD274" s="24"/>
      <c r="AE274" s="23">
        <v>5000</v>
      </c>
      <c r="AF274" s="26"/>
      <c r="AG274" s="25"/>
      <c r="AH274" s="24"/>
      <c r="AI274" s="23"/>
      <c r="AJ274" s="24"/>
      <c r="AK274" s="25"/>
      <c r="AL274" s="24"/>
      <c r="AM274" s="23"/>
      <c r="AN274" s="24"/>
      <c r="AO274" s="25"/>
      <c r="AP274" s="24"/>
      <c r="AQ274" s="23">
        <v>5000</v>
      </c>
      <c r="AR274" s="24"/>
      <c r="AS274" s="25"/>
      <c r="AT274" s="24"/>
      <c r="AU274" s="23"/>
      <c r="AV274" s="24">
        <v>5000</v>
      </c>
      <c r="AW274" s="25"/>
      <c r="AX274" s="24"/>
      <c r="AY274" s="23"/>
      <c r="AZ274" s="24"/>
      <c r="BA274" s="25"/>
      <c r="BB274" s="24"/>
      <c r="BC274" s="23">
        <v>5000</v>
      </c>
      <c r="BD274" s="24">
        <v>5000</v>
      </c>
      <c r="BE274" s="25"/>
      <c r="BF274" s="24"/>
      <c r="BG274" s="23"/>
      <c r="BH274" s="24"/>
      <c r="BI274" s="25"/>
      <c r="BJ274" s="24"/>
      <c r="BK274" s="340"/>
      <c r="BL274" s="32">
        <f t="shared" si="76"/>
        <v>15000</v>
      </c>
      <c r="BM274" s="32">
        <f t="shared" si="77"/>
        <v>159000</v>
      </c>
      <c r="BN274" s="28">
        <f t="shared" si="78"/>
        <v>10000</v>
      </c>
      <c r="BO274" s="29">
        <f t="shared" si="79"/>
        <v>106000</v>
      </c>
      <c r="BP274" s="30">
        <f t="shared" si="80"/>
        <v>0</v>
      </c>
      <c r="BQ274" s="31">
        <f t="shared" si="81"/>
        <v>0</v>
      </c>
      <c r="BR274" s="11"/>
      <c r="BS274" s="329"/>
      <c r="BT274" s="23"/>
      <c r="BU274" s="24"/>
      <c r="BV274" s="25"/>
      <c r="BW274" s="24"/>
      <c r="BX274" s="23">
        <v>5000</v>
      </c>
      <c r="BY274" s="24"/>
      <c r="BZ274" s="25"/>
      <c r="CA274" s="24"/>
      <c r="CB274" s="23"/>
      <c r="CC274" s="24"/>
      <c r="CD274" s="25"/>
      <c r="CE274" s="24"/>
      <c r="CF274" s="23"/>
      <c r="CG274" s="24"/>
      <c r="CH274" s="25"/>
      <c r="CI274" s="24"/>
      <c r="CJ274" s="23">
        <v>5000</v>
      </c>
      <c r="CK274" s="24"/>
      <c r="CL274" s="25"/>
      <c r="CM274" s="24"/>
      <c r="CN274" s="23"/>
      <c r="CO274" s="24"/>
      <c r="CP274" s="25"/>
      <c r="CQ274" s="24"/>
      <c r="CR274" s="23"/>
      <c r="CS274" s="24"/>
      <c r="CT274" s="25"/>
      <c r="CU274" s="24"/>
      <c r="CV274" s="23">
        <v>5000</v>
      </c>
      <c r="CW274" s="24"/>
      <c r="CX274" s="25"/>
      <c r="CY274" s="24"/>
      <c r="CZ274" s="23"/>
      <c r="DA274" s="24"/>
      <c r="DB274" s="25"/>
      <c r="DC274" s="24"/>
      <c r="DD274" s="23"/>
      <c r="DE274" s="24"/>
      <c r="DF274" s="25"/>
      <c r="DG274" s="24"/>
      <c r="DH274" s="23">
        <v>5000</v>
      </c>
      <c r="DI274" s="24"/>
      <c r="DJ274" s="25"/>
      <c r="DK274" s="24"/>
      <c r="DL274" s="23"/>
      <c r="DM274" s="24"/>
      <c r="DN274" s="25"/>
      <c r="DO274" s="24"/>
      <c r="DP274" s="340"/>
      <c r="DQ274" s="32">
        <f t="shared" si="91"/>
        <v>20000</v>
      </c>
      <c r="DR274" s="32">
        <f t="shared" si="92"/>
        <v>212000</v>
      </c>
      <c r="DS274" s="11"/>
      <c r="DT274" s="329"/>
      <c r="DU274" s="23"/>
      <c r="DV274" s="24"/>
      <c r="DW274" s="25"/>
      <c r="DX274" s="24"/>
      <c r="DY274" s="23">
        <v>5000</v>
      </c>
      <c r="DZ274" s="24"/>
      <c r="EA274" s="25"/>
      <c r="EB274" s="24"/>
      <c r="EC274" s="23"/>
      <c r="ED274" s="24"/>
      <c r="EE274" s="25"/>
      <c r="EF274" s="24"/>
      <c r="EG274" s="23"/>
      <c r="EH274" s="24"/>
      <c r="EI274" s="25"/>
      <c r="EJ274" s="24"/>
      <c r="EK274" s="23">
        <v>5000</v>
      </c>
      <c r="EL274" s="24"/>
      <c r="EM274" s="25"/>
      <c r="EN274" s="24"/>
      <c r="EO274" s="23"/>
      <c r="EP274" s="24"/>
      <c r="EQ274" s="25"/>
      <c r="ER274" s="24"/>
      <c r="ES274" s="23"/>
      <c r="ET274" s="24"/>
      <c r="EU274" s="25"/>
      <c r="EV274" s="24"/>
      <c r="EW274" s="23">
        <v>5000</v>
      </c>
      <c r="EX274" s="24"/>
      <c r="EY274" s="25"/>
      <c r="EZ274" s="24"/>
      <c r="FA274" s="23"/>
      <c r="FB274" s="24"/>
      <c r="FC274" s="25"/>
      <c r="FD274" s="24"/>
      <c r="FE274" s="23"/>
      <c r="FF274" s="24"/>
      <c r="FG274" s="25"/>
      <c r="FH274" s="24"/>
      <c r="FI274" s="23">
        <v>5000</v>
      </c>
      <c r="FJ274" s="24"/>
      <c r="FK274" s="25"/>
      <c r="FL274" s="24"/>
      <c r="FM274" s="23"/>
      <c r="FN274" s="24"/>
      <c r="FO274" s="25"/>
      <c r="FP274" s="24"/>
      <c r="FQ274" s="340"/>
      <c r="FR274" s="32">
        <f t="shared" si="93"/>
        <v>20000</v>
      </c>
      <c r="FS274" s="32">
        <f t="shared" si="94"/>
        <v>212000</v>
      </c>
      <c r="FT274" s="361"/>
    </row>
    <row r="275" spans="1:176" outlineLevel="2">
      <c r="A275" s="420" t="s">
        <v>471</v>
      </c>
      <c r="B275" s="444" t="s">
        <v>82</v>
      </c>
      <c r="C275" s="592" t="s">
        <v>72</v>
      </c>
      <c r="D275" s="586" t="s">
        <v>32</v>
      </c>
      <c r="E275" s="414">
        <f>IF(ISBLANK(G275),"",IF($A$6:$A$330=$A275,COUNTIF($A$6:A275,$A275),""))</f>
        <v>10</v>
      </c>
      <c r="F275" s="284">
        <v>1</v>
      </c>
      <c r="G275" s="304">
        <v>828877016</v>
      </c>
      <c r="H275" s="602" t="s">
        <v>123</v>
      </c>
      <c r="I275" s="616">
        <f>J275/ЮАНЬ_2025_08_29</f>
        <v>20.765027322404372</v>
      </c>
      <c r="J275" s="616">
        <f>285/НДС</f>
        <v>233.6065573770492</v>
      </c>
      <c r="K275" s="333" t="s">
        <v>95</v>
      </c>
      <c r="L275" s="616">
        <f t="shared" si="90"/>
        <v>20.765027322404372</v>
      </c>
      <c r="M275" s="305"/>
      <c r="N275" s="305">
        <f t="shared" ref="N275:N330" si="95">IF(BP275&gt;0,1,IF(BN275&gt;0,2,))</f>
        <v>1</v>
      </c>
      <c r="O275" s="322"/>
      <c r="P275" s="408"/>
      <c r="Q275" s="307"/>
      <c r="R275" s="408"/>
      <c r="S275" s="322"/>
      <c r="T275" s="408"/>
      <c r="U275" s="307"/>
      <c r="V275" s="408"/>
      <c r="W275" s="322"/>
      <c r="X275" s="386">
        <f>600</f>
        <v>600</v>
      </c>
      <c r="Y275" s="307">
        <v>600</v>
      </c>
      <c r="Z275" s="675">
        <v>600</v>
      </c>
      <c r="AA275" s="322"/>
      <c r="AB275" s="386">
        <f>1900</f>
        <v>1900</v>
      </c>
      <c r="AC275" s="579">
        <v>1900</v>
      </c>
      <c r="AD275" s="675">
        <v>1900</v>
      </c>
      <c r="AE275" s="322"/>
      <c r="AF275" s="386"/>
      <c r="AG275" s="307">
        <v>0</v>
      </c>
      <c r="AH275" s="24"/>
      <c r="AI275" s="322"/>
      <c r="AJ275" s="408">
        <f>1800+200</f>
        <v>2000</v>
      </c>
      <c r="AK275" s="307"/>
      <c r="AL275" s="675">
        <v>1800</v>
      </c>
      <c r="AM275" s="322"/>
      <c r="AN275" s="408"/>
      <c r="AO275" s="307"/>
      <c r="AP275" s="408"/>
      <c r="AQ275" s="322"/>
      <c r="AR275" s="408"/>
      <c r="AS275" s="307"/>
      <c r="AT275" s="408"/>
      <c r="AU275" s="322"/>
      <c r="AV275" s="408"/>
      <c r="AW275" s="307"/>
      <c r="AX275" s="408"/>
      <c r="AY275" s="322"/>
      <c r="AZ275" s="408"/>
      <c r="BA275" s="307"/>
      <c r="BB275" s="408"/>
      <c r="BC275" s="322"/>
      <c r="BD275" s="408"/>
      <c r="BE275" s="307"/>
      <c r="BF275" s="408"/>
      <c r="BG275" s="322"/>
      <c r="BH275" s="408"/>
      <c r="BI275" s="307"/>
      <c r="BJ275" s="408"/>
      <c r="BK275" s="340"/>
      <c r="BL275" s="328">
        <f t="shared" ref="BL275:BL330" si="96">SUMPRODUCT(--(MOD(COLUMN($O275:$AL275),4)=MOD(COLUMN($O275)+0,4)),$O275:$AL275)
+SUMPRODUCT(--(MOD(COLUMN($AM275:$BJ275),4)=MOD(COLUMN($AM275)+0,4)),$AM275:$BJ275)</f>
        <v>0</v>
      </c>
      <c r="BM275" s="328">
        <f t="shared" ref="BM275:BM330" si="97">SUMPRODUCT(--(MOD(COLUMN($O275:$AL275),4)=MOD(COLUMN($O275)+0,4)),$O275:$AL275)*$I275
+SUMPRODUCT(--(MOD(COLUMN($AM275:$BJ275),4)=MOD(COLUMN($AM275)+0,4)),$AM275:$BJ275)*$I275</f>
        <v>0</v>
      </c>
      <c r="BN275" s="324">
        <f t="shared" ref="BN275:BN330" si="98">SUMPRODUCT(--(MOD(COLUMN($O275:$AL275),4)=MOD(COLUMN($O275)+1,4)),$O275:$AL275)
+SUMPRODUCT(--(MOD(COLUMN($AM275:$BJ275),4)=MOD(COLUMN($AM275)+1,4)),$AM275:$BJ275)</f>
        <v>4500</v>
      </c>
      <c r="BO275" s="325">
        <f t="shared" ref="BO275:BO330" si="99">SUMPRODUCT(--(MOD(COLUMN($O275:$AL275),4)=MOD(COLUMN($O275)+1,4)),$O275:$AL275)*$I275
+SUMPRODUCT(--(MOD(COLUMN($AM275:$BJ275),4)=MOD(COLUMN($AM275)+1,4)),$AM275:$BJ275)*$I275</f>
        <v>93442.62295081967</v>
      </c>
      <c r="BP275" s="326">
        <f t="shared" ref="BP275:BP330" si="100">SUMPRODUCT(--(MOD(COLUMN($O275:$AL275),4)=MOD(COLUMN($O275)+2,4)),$O275:$AL275)
+SUMPRODUCT(--(MOD(COLUMN($AM275:$BJ275),4)=MOD(COLUMN($AM275)+2,4)),$AM275:$BJ275)</f>
        <v>2500</v>
      </c>
      <c r="BQ275" s="327">
        <f t="shared" ref="BQ275:BQ330" si="101">SUMPRODUCT(--(MOD(COLUMN($O275:$AL275),4)=MOD(COLUMN($O275)+2,4)),$O275:$AL275)*$I275
+SUMPRODUCT(--(MOD(COLUMN($AM275:$BJ275),4)=MOD(COLUMN($AM275)+2,4)),$AM275:$BJ275)*$I275</f>
        <v>51912.56830601093</v>
      </c>
      <c r="BR275" s="329"/>
      <c r="BS275" s="329"/>
      <c r="BT275" s="322"/>
      <c r="BU275" s="408"/>
      <c r="BV275" s="307"/>
      <c r="BW275" s="408"/>
      <c r="BX275" s="322"/>
      <c r="BY275" s="408"/>
      <c r="BZ275" s="307"/>
      <c r="CA275" s="408"/>
      <c r="CB275" s="322"/>
      <c r="CC275" s="408"/>
      <c r="CD275" s="307"/>
      <c r="CE275" s="408"/>
      <c r="CF275" s="322"/>
      <c r="CG275" s="408"/>
      <c r="CH275" s="307"/>
      <c r="CI275" s="408"/>
      <c r="CJ275" s="322"/>
      <c r="CK275" s="408"/>
      <c r="CL275" s="307"/>
      <c r="CM275" s="408"/>
      <c r="CN275" s="322"/>
      <c r="CO275" s="408"/>
      <c r="CP275" s="307"/>
      <c r="CQ275" s="408"/>
      <c r="CR275" s="322"/>
      <c r="CS275" s="408"/>
      <c r="CT275" s="307"/>
      <c r="CU275" s="408"/>
      <c r="CV275" s="322"/>
      <c r="CW275" s="408"/>
      <c r="CX275" s="307"/>
      <c r="CY275" s="408"/>
      <c r="CZ275" s="322"/>
      <c r="DA275" s="408"/>
      <c r="DB275" s="307"/>
      <c r="DC275" s="408"/>
      <c r="DD275" s="322"/>
      <c r="DE275" s="408"/>
      <c r="DF275" s="307"/>
      <c r="DG275" s="408"/>
      <c r="DH275" s="322"/>
      <c r="DI275" s="408"/>
      <c r="DJ275" s="307"/>
      <c r="DK275" s="408"/>
      <c r="DL275" s="322"/>
      <c r="DM275" s="408"/>
      <c r="DN275" s="307"/>
      <c r="DO275" s="408"/>
      <c r="DP275" s="340"/>
      <c r="DQ275" s="328"/>
      <c r="DR275" s="328"/>
      <c r="DS275" s="329"/>
      <c r="DT275" s="329"/>
      <c r="DU275" s="322"/>
      <c r="DV275" s="408"/>
      <c r="DW275" s="307"/>
      <c r="DX275" s="408"/>
      <c r="DY275" s="322"/>
      <c r="DZ275" s="408"/>
      <c r="EA275" s="307"/>
      <c r="EB275" s="408"/>
      <c r="EC275" s="322"/>
      <c r="ED275" s="408"/>
      <c r="EE275" s="307"/>
      <c r="EF275" s="408"/>
      <c r="EG275" s="322"/>
      <c r="EH275" s="408"/>
      <c r="EI275" s="307"/>
      <c r="EJ275" s="408"/>
      <c r="EK275" s="322"/>
      <c r="EL275" s="408"/>
      <c r="EM275" s="307"/>
      <c r="EN275" s="408"/>
      <c r="EO275" s="322"/>
      <c r="EP275" s="408"/>
      <c r="EQ275" s="307"/>
      <c r="ER275" s="408"/>
      <c r="ES275" s="322"/>
      <c r="ET275" s="408"/>
      <c r="EU275" s="307"/>
      <c r="EV275" s="408"/>
      <c r="EW275" s="322"/>
      <c r="EX275" s="408"/>
      <c r="EY275" s="307"/>
      <c r="EZ275" s="408"/>
      <c r="FA275" s="322"/>
      <c r="FB275" s="408"/>
      <c r="FC275" s="307"/>
      <c r="FD275" s="408"/>
      <c r="FE275" s="322"/>
      <c r="FF275" s="408"/>
      <c r="FG275" s="307"/>
      <c r="FH275" s="408"/>
      <c r="FI275" s="322"/>
      <c r="FJ275" s="408"/>
      <c r="FK275" s="307"/>
      <c r="FL275" s="408"/>
      <c r="FM275" s="322"/>
      <c r="FN275" s="408"/>
      <c r="FO275" s="307"/>
      <c r="FP275" s="408"/>
      <c r="FQ275" s="340"/>
      <c r="FR275" s="328"/>
      <c r="FS275" s="328"/>
      <c r="FT275" s="361"/>
    </row>
    <row r="276" spans="1:176" outlineLevel="2">
      <c r="A276" s="58" t="s">
        <v>471</v>
      </c>
      <c r="B276" s="387" t="s">
        <v>82</v>
      </c>
      <c r="C276" s="173" t="s">
        <v>72</v>
      </c>
      <c r="D276" s="595" t="s">
        <v>32</v>
      </c>
      <c r="E276" s="10">
        <f>IF(ISBLANK(G276),"",IF($A$6:$A$330=$A276,COUNTIF($A$6:A276,$A276),""))</f>
        <v>11</v>
      </c>
      <c r="F276" s="10">
        <v>1</v>
      </c>
      <c r="G276" s="55">
        <v>9522010010</v>
      </c>
      <c r="H276" s="54" t="s">
        <v>73</v>
      </c>
      <c r="I276" s="617">
        <f>91.11/НДС</f>
        <v>74.680327868852459</v>
      </c>
      <c r="J276" s="617"/>
      <c r="K276" s="113"/>
      <c r="L276" s="617" t="str">
        <f t="shared" si="90"/>
        <v/>
      </c>
      <c r="M276" s="102"/>
      <c r="N276" s="305">
        <f t="shared" si="95"/>
        <v>2</v>
      </c>
      <c r="O276" s="23"/>
      <c r="P276" s="24"/>
      <c r="Q276" s="25"/>
      <c r="R276" s="24"/>
      <c r="S276" s="23"/>
      <c r="T276" s="24"/>
      <c r="U276" s="25"/>
      <c r="V276" s="24"/>
      <c r="W276" s="23"/>
      <c r="X276" s="26"/>
      <c r="Y276" s="25"/>
      <c r="Z276" s="24"/>
      <c r="AA276" s="23"/>
      <c r="AB276" s="26"/>
      <c r="AC276" s="25"/>
      <c r="AD276" s="24"/>
      <c r="AE276" s="23"/>
      <c r="AF276" s="26"/>
      <c r="AG276" s="25">
        <v>0</v>
      </c>
      <c r="AH276" s="24"/>
      <c r="AI276" s="23"/>
      <c r="AJ276" s="24">
        <f>30</f>
        <v>30</v>
      </c>
      <c r="AK276" s="25"/>
      <c r="AL276" s="24"/>
      <c r="AM276" s="23"/>
      <c r="AN276" s="24"/>
      <c r="AO276" s="25"/>
      <c r="AP276" s="24"/>
      <c r="AQ276" s="23"/>
      <c r="AR276" s="24"/>
      <c r="AS276" s="25"/>
      <c r="AT276" s="24"/>
      <c r="AU276" s="23"/>
      <c r="AV276" s="24"/>
      <c r="AW276" s="25"/>
      <c r="AX276" s="24"/>
      <c r="AY276" s="23"/>
      <c r="AZ276" s="24"/>
      <c r="BA276" s="25"/>
      <c r="BB276" s="24"/>
      <c r="BC276" s="23"/>
      <c r="BD276" s="24"/>
      <c r="BE276" s="25"/>
      <c r="BF276" s="24"/>
      <c r="BG276" s="23"/>
      <c r="BH276" s="24"/>
      <c r="BI276" s="25"/>
      <c r="BJ276" s="24"/>
      <c r="BK276" s="340"/>
      <c r="BL276" s="32">
        <f t="shared" si="96"/>
        <v>0</v>
      </c>
      <c r="BM276" s="32">
        <f t="shared" si="97"/>
        <v>0</v>
      </c>
      <c r="BN276" s="28">
        <f t="shared" si="98"/>
        <v>30</v>
      </c>
      <c r="BO276" s="29">
        <f t="shared" si="99"/>
        <v>2240.4098360655739</v>
      </c>
      <c r="BP276" s="30">
        <f t="shared" si="100"/>
        <v>0</v>
      </c>
      <c r="BQ276" s="31">
        <f t="shared" si="101"/>
        <v>0</v>
      </c>
      <c r="BR276" s="11"/>
      <c r="BS276" s="329"/>
      <c r="BT276" s="23"/>
      <c r="BU276" s="24"/>
      <c r="BV276" s="25"/>
      <c r="BW276" s="24"/>
      <c r="BX276" s="23"/>
      <c r="BY276" s="24"/>
      <c r="BZ276" s="25"/>
      <c r="CA276" s="24"/>
      <c r="CB276" s="23"/>
      <c r="CC276" s="24"/>
      <c r="CD276" s="25"/>
      <c r="CE276" s="24"/>
      <c r="CF276" s="23"/>
      <c r="CG276" s="24"/>
      <c r="CH276" s="25"/>
      <c r="CI276" s="24"/>
      <c r="CJ276" s="23"/>
      <c r="CK276" s="24"/>
      <c r="CL276" s="25"/>
      <c r="CM276" s="24"/>
      <c r="CN276" s="23"/>
      <c r="CO276" s="24"/>
      <c r="CP276" s="25"/>
      <c r="CQ276" s="24"/>
      <c r="CR276" s="23"/>
      <c r="CS276" s="24"/>
      <c r="CT276" s="25"/>
      <c r="CU276" s="24"/>
      <c r="CV276" s="23"/>
      <c r="CW276" s="24"/>
      <c r="CX276" s="25"/>
      <c r="CY276" s="24"/>
      <c r="CZ276" s="23"/>
      <c r="DA276" s="24"/>
      <c r="DB276" s="25"/>
      <c r="DC276" s="24"/>
      <c r="DD276" s="23"/>
      <c r="DE276" s="24"/>
      <c r="DF276" s="25"/>
      <c r="DG276" s="24"/>
      <c r="DH276" s="23"/>
      <c r="DI276" s="24"/>
      <c r="DJ276" s="25"/>
      <c r="DK276" s="24"/>
      <c r="DL276" s="23"/>
      <c r="DM276" s="24"/>
      <c r="DN276" s="25"/>
      <c r="DO276" s="24"/>
      <c r="DP276" s="340"/>
      <c r="DQ276" s="32">
        <f t="shared" ref="DQ276:DQ282" si="102">SUMPRODUCT(--(MOD(COLUMN(BT276:CQ276),4)=MOD(COLUMN(BT276),4)),BT276:CQ276)+SUMPRODUCT(--(MOD(COLUMN(CR276:DO276),4)=MOD(COLUMN(CR276),4)),CR276:DO276)</f>
        <v>0</v>
      </c>
      <c r="DR276" s="32">
        <f t="shared" ref="DR276:DR282" si="103">SUMPRODUCT(--(MOD(COLUMN(BT276:CQ276),4)=MOD(COLUMN(BT276),4)),BT276:CQ276)*$I276+SUMPRODUCT(--(MOD(COLUMN(CR276:DO276),4)=MOD(COLUMN(CR276),4)),CR276:DO276)*$I276</f>
        <v>0</v>
      </c>
      <c r="DS276" s="11"/>
      <c r="DT276" s="329"/>
      <c r="DU276" s="23"/>
      <c r="DV276" s="24"/>
      <c r="DW276" s="25"/>
      <c r="DX276" s="24"/>
      <c r="DY276" s="23"/>
      <c r="DZ276" s="24"/>
      <c r="EA276" s="25"/>
      <c r="EB276" s="24"/>
      <c r="EC276" s="23"/>
      <c r="ED276" s="24"/>
      <c r="EE276" s="25"/>
      <c r="EF276" s="24"/>
      <c r="EG276" s="23"/>
      <c r="EH276" s="24"/>
      <c r="EI276" s="25"/>
      <c r="EJ276" s="24"/>
      <c r="EK276" s="23"/>
      <c r="EL276" s="24"/>
      <c r="EM276" s="25"/>
      <c r="EN276" s="24"/>
      <c r="EO276" s="23"/>
      <c r="EP276" s="24"/>
      <c r="EQ276" s="25"/>
      <c r="ER276" s="24"/>
      <c r="ES276" s="23"/>
      <c r="ET276" s="24"/>
      <c r="EU276" s="25"/>
      <c r="EV276" s="24"/>
      <c r="EW276" s="23"/>
      <c r="EX276" s="24"/>
      <c r="EY276" s="25"/>
      <c r="EZ276" s="24"/>
      <c r="FA276" s="23"/>
      <c r="FB276" s="24"/>
      <c r="FC276" s="25"/>
      <c r="FD276" s="24"/>
      <c r="FE276" s="23"/>
      <c r="FF276" s="24"/>
      <c r="FG276" s="25"/>
      <c r="FH276" s="24"/>
      <c r="FI276" s="23"/>
      <c r="FJ276" s="24"/>
      <c r="FK276" s="25"/>
      <c r="FL276" s="24"/>
      <c r="FM276" s="23"/>
      <c r="FN276" s="24"/>
      <c r="FO276" s="25"/>
      <c r="FP276" s="24"/>
      <c r="FQ276" s="340"/>
      <c r="FR276" s="32">
        <f t="shared" ref="FR276:FR282" si="104">SUMPRODUCT(--(MOD(COLUMN(DU276:ER276),4)=MOD(COLUMN(DU276),4)),DU276:ER276)+SUMPRODUCT(--(MOD(COLUMN(ES276:FP276),4)=MOD(COLUMN(ES276),4)),ES276:FP276)</f>
        <v>0</v>
      </c>
      <c r="FS276" s="32">
        <f t="shared" ref="FS276:FS282" si="105">SUMPRODUCT(--(MOD(COLUMN(DU276:ER276),4)=MOD(COLUMN(DU276),4)),DU276:ER276)*$I276+SUMPRODUCT(--(MOD(COLUMN(ES276:FP276),4)=MOD(COLUMN(ES276),4)),ES276:FP276)*$I276</f>
        <v>0</v>
      </c>
      <c r="FT276" s="361"/>
    </row>
    <row r="277" spans="1:176" outlineLevel="2">
      <c r="A277" s="58" t="s">
        <v>471</v>
      </c>
      <c r="B277" s="387" t="s">
        <v>82</v>
      </c>
      <c r="C277" s="173" t="s">
        <v>72</v>
      </c>
      <c r="D277" s="595" t="s">
        <v>32</v>
      </c>
      <c r="E277" s="10">
        <f>IF(ISBLANK(G277),"",IF($A$6:$A$330=$A277,COUNTIF($A$6:A277,$A277),""))</f>
        <v>12</v>
      </c>
      <c r="F277" s="10">
        <v>1</v>
      </c>
      <c r="G277" s="55">
        <v>9522010020</v>
      </c>
      <c r="H277" s="54" t="s">
        <v>74</v>
      </c>
      <c r="I277" s="617">
        <f>91.11/НДС</f>
        <v>74.680327868852459</v>
      </c>
      <c r="J277" s="617"/>
      <c r="K277" s="113"/>
      <c r="L277" s="617" t="str">
        <f t="shared" si="90"/>
        <v/>
      </c>
      <c r="M277" s="102"/>
      <c r="N277" s="305">
        <f t="shared" si="95"/>
        <v>2</v>
      </c>
      <c r="O277" s="23"/>
      <c r="P277" s="24"/>
      <c r="Q277" s="25"/>
      <c r="R277" s="24"/>
      <c r="S277" s="23"/>
      <c r="T277" s="24"/>
      <c r="U277" s="25"/>
      <c r="V277" s="24"/>
      <c r="W277" s="23"/>
      <c r="X277" s="26"/>
      <c r="Y277" s="25"/>
      <c r="Z277" s="24"/>
      <c r="AA277" s="23"/>
      <c r="AB277" s="26"/>
      <c r="AC277" s="25"/>
      <c r="AD277" s="24"/>
      <c r="AE277" s="23"/>
      <c r="AF277" s="26"/>
      <c r="AG277" s="25">
        <v>0</v>
      </c>
      <c r="AH277" s="24"/>
      <c r="AI277" s="23"/>
      <c r="AJ277" s="24">
        <f>30</f>
        <v>30</v>
      </c>
      <c r="AK277" s="25"/>
      <c r="AL277" s="24"/>
      <c r="AM277" s="23"/>
      <c r="AN277" s="24"/>
      <c r="AO277" s="25"/>
      <c r="AP277" s="24"/>
      <c r="AQ277" s="23"/>
      <c r="AR277" s="24"/>
      <c r="AS277" s="25"/>
      <c r="AT277" s="24"/>
      <c r="AU277" s="23"/>
      <c r="AV277" s="24"/>
      <c r="AW277" s="25"/>
      <c r="AX277" s="24"/>
      <c r="AY277" s="23"/>
      <c r="AZ277" s="24"/>
      <c r="BA277" s="25"/>
      <c r="BB277" s="24"/>
      <c r="BC277" s="23"/>
      <c r="BD277" s="24"/>
      <c r="BE277" s="25"/>
      <c r="BF277" s="24"/>
      <c r="BG277" s="23"/>
      <c r="BH277" s="24"/>
      <c r="BI277" s="25"/>
      <c r="BJ277" s="24"/>
      <c r="BK277" s="340"/>
      <c r="BL277" s="32">
        <f t="shared" si="96"/>
        <v>0</v>
      </c>
      <c r="BM277" s="32">
        <f t="shared" si="97"/>
        <v>0</v>
      </c>
      <c r="BN277" s="28">
        <f t="shared" si="98"/>
        <v>30</v>
      </c>
      <c r="BO277" s="29">
        <f t="shared" si="99"/>
        <v>2240.4098360655739</v>
      </c>
      <c r="BP277" s="30">
        <f t="shared" si="100"/>
        <v>0</v>
      </c>
      <c r="BQ277" s="31">
        <f t="shared" si="101"/>
        <v>0</v>
      </c>
      <c r="BR277" s="11"/>
      <c r="BS277" s="329"/>
      <c r="BT277" s="23"/>
      <c r="BU277" s="24"/>
      <c r="BV277" s="25"/>
      <c r="BW277" s="24"/>
      <c r="BX277" s="23"/>
      <c r="BY277" s="24"/>
      <c r="BZ277" s="25"/>
      <c r="CA277" s="24"/>
      <c r="CB277" s="23"/>
      <c r="CC277" s="24"/>
      <c r="CD277" s="25"/>
      <c r="CE277" s="24"/>
      <c r="CF277" s="23"/>
      <c r="CG277" s="24"/>
      <c r="CH277" s="25"/>
      <c r="CI277" s="24"/>
      <c r="CJ277" s="23"/>
      <c r="CK277" s="24"/>
      <c r="CL277" s="25"/>
      <c r="CM277" s="24"/>
      <c r="CN277" s="23"/>
      <c r="CO277" s="24"/>
      <c r="CP277" s="25"/>
      <c r="CQ277" s="24"/>
      <c r="CR277" s="23"/>
      <c r="CS277" s="24"/>
      <c r="CT277" s="25"/>
      <c r="CU277" s="24"/>
      <c r="CV277" s="23"/>
      <c r="CW277" s="24"/>
      <c r="CX277" s="25"/>
      <c r="CY277" s="24"/>
      <c r="CZ277" s="23"/>
      <c r="DA277" s="24"/>
      <c r="DB277" s="25"/>
      <c r="DC277" s="24"/>
      <c r="DD277" s="23"/>
      <c r="DE277" s="24"/>
      <c r="DF277" s="25"/>
      <c r="DG277" s="24"/>
      <c r="DH277" s="23"/>
      <c r="DI277" s="24"/>
      <c r="DJ277" s="25"/>
      <c r="DK277" s="24"/>
      <c r="DL277" s="23"/>
      <c r="DM277" s="24"/>
      <c r="DN277" s="25"/>
      <c r="DO277" s="24"/>
      <c r="DP277" s="340"/>
      <c r="DQ277" s="32">
        <f t="shared" si="102"/>
        <v>0</v>
      </c>
      <c r="DR277" s="32">
        <f t="shared" si="103"/>
        <v>0</v>
      </c>
      <c r="DS277" s="11"/>
      <c r="DT277" s="329"/>
      <c r="DU277" s="23"/>
      <c r="DV277" s="24"/>
      <c r="DW277" s="25"/>
      <c r="DX277" s="24"/>
      <c r="DY277" s="23"/>
      <c r="DZ277" s="24"/>
      <c r="EA277" s="25"/>
      <c r="EB277" s="24"/>
      <c r="EC277" s="23"/>
      <c r="ED277" s="24"/>
      <c r="EE277" s="25"/>
      <c r="EF277" s="24"/>
      <c r="EG277" s="23"/>
      <c r="EH277" s="24"/>
      <c r="EI277" s="25"/>
      <c r="EJ277" s="24"/>
      <c r="EK277" s="23"/>
      <c r="EL277" s="24"/>
      <c r="EM277" s="25"/>
      <c r="EN277" s="24"/>
      <c r="EO277" s="23"/>
      <c r="EP277" s="24"/>
      <c r="EQ277" s="25"/>
      <c r="ER277" s="24"/>
      <c r="ES277" s="23"/>
      <c r="ET277" s="24"/>
      <c r="EU277" s="25"/>
      <c r="EV277" s="24"/>
      <c r="EW277" s="23"/>
      <c r="EX277" s="24"/>
      <c r="EY277" s="25"/>
      <c r="EZ277" s="24"/>
      <c r="FA277" s="23"/>
      <c r="FB277" s="24"/>
      <c r="FC277" s="25"/>
      <c r="FD277" s="24"/>
      <c r="FE277" s="23"/>
      <c r="FF277" s="24"/>
      <c r="FG277" s="25"/>
      <c r="FH277" s="24"/>
      <c r="FI277" s="23"/>
      <c r="FJ277" s="24"/>
      <c r="FK277" s="25"/>
      <c r="FL277" s="24"/>
      <c r="FM277" s="23"/>
      <c r="FN277" s="24"/>
      <c r="FO277" s="25"/>
      <c r="FP277" s="24"/>
      <c r="FQ277" s="340"/>
      <c r="FR277" s="32">
        <f t="shared" si="104"/>
        <v>0</v>
      </c>
      <c r="FS277" s="32">
        <f t="shared" si="105"/>
        <v>0</v>
      </c>
      <c r="FT277" s="361"/>
    </row>
    <row r="278" spans="1:176" outlineLevel="2">
      <c r="A278" s="58" t="s">
        <v>471</v>
      </c>
      <c r="B278" s="387" t="s">
        <v>82</v>
      </c>
      <c r="C278" s="173" t="s">
        <v>72</v>
      </c>
      <c r="D278" s="595" t="s">
        <v>32</v>
      </c>
      <c r="E278" s="10">
        <f>IF(ISBLANK(G278),"",IF($A$6:$A$330=$A278,COUNTIF($A$6:A278,$A278),""))</f>
        <v>13</v>
      </c>
      <c r="F278" s="10">
        <v>1</v>
      </c>
      <c r="G278" s="55">
        <v>9710029000</v>
      </c>
      <c r="H278" s="54" t="s">
        <v>75</v>
      </c>
      <c r="I278" s="617">
        <f>639/НДС_20</f>
        <v>532.5</v>
      </c>
      <c r="J278" s="617"/>
      <c r="K278" s="113"/>
      <c r="L278" s="617" t="str">
        <f t="shared" si="90"/>
        <v/>
      </c>
      <c r="M278" s="102"/>
      <c r="N278" s="305">
        <f t="shared" si="95"/>
        <v>0</v>
      </c>
      <c r="O278" s="23"/>
      <c r="P278" s="24"/>
      <c r="Q278" s="25"/>
      <c r="R278" s="24"/>
      <c r="S278" s="23"/>
      <c r="T278" s="24"/>
      <c r="U278" s="25"/>
      <c r="V278" s="24"/>
      <c r="W278" s="23"/>
      <c r="X278" s="26"/>
      <c r="Y278" s="25"/>
      <c r="Z278" s="24"/>
      <c r="AA278" s="23"/>
      <c r="AB278" s="26"/>
      <c r="AC278" s="25"/>
      <c r="AD278" s="24"/>
      <c r="AE278" s="23"/>
      <c r="AF278" s="26"/>
      <c r="AG278" s="25"/>
      <c r="AH278" s="24"/>
      <c r="AI278" s="23"/>
      <c r="AJ278" s="24"/>
      <c r="AK278" s="25"/>
      <c r="AL278" s="24"/>
      <c r="AM278" s="23"/>
      <c r="AN278" s="24"/>
      <c r="AO278" s="25"/>
      <c r="AP278" s="24"/>
      <c r="AQ278" s="23"/>
      <c r="AR278" s="24"/>
      <c r="AS278" s="25"/>
      <c r="AT278" s="24"/>
      <c r="AU278" s="23"/>
      <c r="AV278" s="24"/>
      <c r="AW278" s="25"/>
      <c r="AX278" s="24"/>
      <c r="AY278" s="23"/>
      <c r="AZ278" s="24"/>
      <c r="BA278" s="25"/>
      <c r="BB278" s="24"/>
      <c r="BC278" s="23"/>
      <c r="BD278" s="24"/>
      <c r="BE278" s="25"/>
      <c r="BF278" s="24"/>
      <c r="BG278" s="23"/>
      <c r="BH278" s="24"/>
      <c r="BI278" s="25"/>
      <c r="BJ278" s="24"/>
      <c r="BK278" s="340"/>
      <c r="BL278" s="32">
        <f t="shared" si="96"/>
        <v>0</v>
      </c>
      <c r="BM278" s="32">
        <f t="shared" si="97"/>
        <v>0</v>
      </c>
      <c r="BN278" s="28">
        <f t="shared" si="98"/>
        <v>0</v>
      </c>
      <c r="BO278" s="29">
        <f t="shared" si="99"/>
        <v>0</v>
      </c>
      <c r="BP278" s="30">
        <f t="shared" si="100"/>
        <v>0</v>
      </c>
      <c r="BQ278" s="31">
        <f t="shared" si="101"/>
        <v>0</v>
      </c>
      <c r="BR278" s="11"/>
      <c r="BS278" s="329"/>
      <c r="BT278" s="23"/>
      <c r="BU278" s="24"/>
      <c r="BV278" s="25"/>
      <c r="BW278" s="24"/>
      <c r="BX278" s="23"/>
      <c r="BY278" s="24"/>
      <c r="BZ278" s="25"/>
      <c r="CA278" s="24"/>
      <c r="CB278" s="23"/>
      <c r="CC278" s="24"/>
      <c r="CD278" s="25"/>
      <c r="CE278" s="24"/>
      <c r="CF278" s="23"/>
      <c r="CG278" s="24"/>
      <c r="CH278" s="25"/>
      <c r="CI278" s="24"/>
      <c r="CJ278" s="23"/>
      <c r="CK278" s="24"/>
      <c r="CL278" s="25"/>
      <c r="CM278" s="24"/>
      <c r="CN278" s="23"/>
      <c r="CO278" s="24"/>
      <c r="CP278" s="25"/>
      <c r="CQ278" s="24"/>
      <c r="CR278" s="23"/>
      <c r="CS278" s="24"/>
      <c r="CT278" s="25"/>
      <c r="CU278" s="24"/>
      <c r="CV278" s="23"/>
      <c r="CW278" s="24"/>
      <c r="CX278" s="25"/>
      <c r="CY278" s="24"/>
      <c r="CZ278" s="23"/>
      <c r="DA278" s="24"/>
      <c r="DB278" s="25"/>
      <c r="DC278" s="24"/>
      <c r="DD278" s="23"/>
      <c r="DE278" s="24"/>
      <c r="DF278" s="25"/>
      <c r="DG278" s="24"/>
      <c r="DH278" s="23"/>
      <c r="DI278" s="24"/>
      <c r="DJ278" s="25"/>
      <c r="DK278" s="24"/>
      <c r="DL278" s="23"/>
      <c r="DM278" s="24"/>
      <c r="DN278" s="25"/>
      <c r="DO278" s="24"/>
      <c r="DP278" s="340"/>
      <c r="DQ278" s="32">
        <f t="shared" si="102"/>
        <v>0</v>
      </c>
      <c r="DR278" s="32">
        <f t="shared" si="103"/>
        <v>0</v>
      </c>
      <c r="DS278" s="11"/>
      <c r="DT278" s="329"/>
      <c r="DU278" s="23"/>
      <c r="DV278" s="24"/>
      <c r="DW278" s="25"/>
      <c r="DX278" s="24"/>
      <c r="DY278" s="23"/>
      <c r="DZ278" s="24"/>
      <c r="EA278" s="25"/>
      <c r="EB278" s="24"/>
      <c r="EC278" s="23"/>
      <c r="ED278" s="24"/>
      <c r="EE278" s="25"/>
      <c r="EF278" s="24"/>
      <c r="EG278" s="23"/>
      <c r="EH278" s="24"/>
      <c r="EI278" s="25"/>
      <c r="EJ278" s="24"/>
      <c r="EK278" s="23"/>
      <c r="EL278" s="24"/>
      <c r="EM278" s="25"/>
      <c r="EN278" s="24"/>
      <c r="EO278" s="23"/>
      <c r="EP278" s="24"/>
      <c r="EQ278" s="25"/>
      <c r="ER278" s="24"/>
      <c r="ES278" s="23"/>
      <c r="ET278" s="24"/>
      <c r="EU278" s="25"/>
      <c r="EV278" s="24"/>
      <c r="EW278" s="23"/>
      <c r="EX278" s="24"/>
      <c r="EY278" s="25"/>
      <c r="EZ278" s="24"/>
      <c r="FA278" s="23"/>
      <c r="FB278" s="24"/>
      <c r="FC278" s="25"/>
      <c r="FD278" s="24"/>
      <c r="FE278" s="23"/>
      <c r="FF278" s="24"/>
      <c r="FG278" s="25"/>
      <c r="FH278" s="24"/>
      <c r="FI278" s="23"/>
      <c r="FJ278" s="24"/>
      <c r="FK278" s="25"/>
      <c r="FL278" s="24"/>
      <c r="FM278" s="23"/>
      <c r="FN278" s="24"/>
      <c r="FO278" s="25"/>
      <c r="FP278" s="24"/>
      <c r="FQ278" s="340"/>
      <c r="FR278" s="32">
        <f t="shared" si="104"/>
        <v>0</v>
      </c>
      <c r="FS278" s="32">
        <f t="shared" si="105"/>
        <v>0</v>
      </c>
      <c r="FT278" s="361"/>
    </row>
    <row r="279" spans="1:176" outlineLevel="2">
      <c r="A279" s="58" t="s">
        <v>471</v>
      </c>
      <c r="B279" s="387" t="s">
        <v>82</v>
      </c>
      <c r="C279" s="173" t="s">
        <v>72</v>
      </c>
      <c r="D279" s="595" t="s">
        <v>32</v>
      </c>
      <c r="E279" s="10">
        <f>IF(ISBLANK(G279),"",IF($A$6:$A$330=$A279,COUNTIF($A$6:A279,$A279),""))</f>
        <v>14</v>
      </c>
      <c r="F279" s="10">
        <v>1</v>
      </c>
      <c r="G279" s="55">
        <v>4721950310</v>
      </c>
      <c r="H279" s="54" t="s">
        <v>102</v>
      </c>
      <c r="I279" s="617">
        <v>446.33333333333337</v>
      </c>
      <c r="J279" s="617"/>
      <c r="K279" s="113"/>
      <c r="L279" s="617" t="str">
        <f t="shared" si="90"/>
        <v/>
      </c>
      <c r="M279" s="102"/>
      <c r="N279" s="305">
        <f t="shared" si="95"/>
        <v>0</v>
      </c>
      <c r="O279" s="23"/>
      <c r="P279" s="24"/>
      <c r="Q279" s="25"/>
      <c r="R279" s="24"/>
      <c r="S279" s="23"/>
      <c r="T279" s="24"/>
      <c r="U279" s="25"/>
      <c r="V279" s="24"/>
      <c r="W279" s="23"/>
      <c r="X279" s="26"/>
      <c r="Y279" s="25"/>
      <c r="Z279" s="24"/>
      <c r="AA279" s="23"/>
      <c r="AB279" s="26"/>
      <c r="AC279" s="25"/>
      <c r="AD279" s="24"/>
      <c r="AE279" s="23"/>
      <c r="AF279" s="26"/>
      <c r="AG279" s="25"/>
      <c r="AH279" s="24"/>
      <c r="AI279" s="23"/>
      <c r="AJ279" s="24"/>
      <c r="AK279" s="25"/>
      <c r="AL279" s="24"/>
      <c r="AM279" s="23"/>
      <c r="AN279" s="24"/>
      <c r="AO279" s="25"/>
      <c r="AP279" s="24"/>
      <c r="AQ279" s="23"/>
      <c r="AR279" s="24"/>
      <c r="AS279" s="25"/>
      <c r="AT279" s="24"/>
      <c r="AU279" s="23"/>
      <c r="AV279" s="24"/>
      <c r="AW279" s="25"/>
      <c r="AX279" s="24"/>
      <c r="AY279" s="23"/>
      <c r="AZ279" s="24"/>
      <c r="BA279" s="25"/>
      <c r="BB279" s="24"/>
      <c r="BC279" s="23"/>
      <c r="BD279" s="24"/>
      <c r="BE279" s="25"/>
      <c r="BF279" s="24"/>
      <c r="BG279" s="23"/>
      <c r="BH279" s="24"/>
      <c r="BI279" s="25"/>
      <c r="BJ279" s="24"/>
      <c r="BK279" s="340"/>
      <c r="BL279" s="32">
        <f t="shared" si="96"/>
        <v>0</v>
      </c>
      <c r="BM279" s="32">
        <f t="shared" si="97"/>
        <v>0</v>
      </c>
      <c r="BN279" s="28">
        <f t="shared" si="98"/>
        <v>0</v>
      </c>
      <c r="BO279" s="29">
        <f t="shared" si="99"/>
        <v>0</v>
      </c>
      <c r="BP279" s="30">
        <f t="shared" si="100"/>
        <v>0</v>
      </c>
      <c r="BQ279" s="31">
        <f t="shared" si="101"/>
        <v>0</v>
      </c>
      <c r="BR279" s="11"/>
      <c r="BS279" s="329"/>
      <c r="BT279" s="23"/>
      <c r="BU279" s="24"/>
      <c r="BV279" s="25"/>
      <c r="BW279" s="24"/>
      <c r="BX279" s="23"/>
      <c r="BY279" s="24"/>
      <c r="BZ279" s="25"/>
      <c r="CA279" s="24"/>
      <c r="CB279" s="23"/>
      <c r="CC279" s="24"/>
      <c r="CD279" s="25"/>
      <c r="CE279" s="24"/>
      <c r="CF279" s="23"/>
      <c r="CG279" s="24"/>
      <c r="CH279" s="25"/>
      <c r="CI279" s="24"/>
      <c r="CJ279" s="23"/>
      <c r="CK279" s="24"/>
      <c r="CL279" s="25"/>
      <c r="CM279" s="24"/>
      <c r="CN279" s="23"/>
      <c r="CO279" s="24"/>
      <c r="CP279" s="25"/>
      <c r="CQ279" s="24"/>
      <c r="CR279" s="23"/>
      <c r="CS279" s="24"/>
      <c r="CT279" s="25"/>
      <c r="CU279" s="24"/>
      <c r="CV279" s="23"/>
      <c r="CW279" s="24"/>
      <c r="CX279" s="25"/>
      <c r="CY279" s="24"/>
      <c r="CZ279" s="23"/>
      <c r="DA279" s="24"/>
      <c r="DB279" s="25"/>
      <c r="DC279" s="24"/>
      <c r="DD279" s="23"/>
      <c r="DE279" s="24"/>
      <c r="DF279" s="25"/>
      <c r="DG279" s="24"/>
      <c r="DH279" s="23"/>
      <c r="DI279" s="24"/>
      <c r="DJ279" s="25"/>
      <c r="DK279" s="24"/>
      <c r="DL279" s="23"/>
      <c r="DM279" s="24"/>
      <c r="DN279" s="25"/>
      <c r="DO279" s="24"/>
      <c r="DP279" s="340"/>
      <c r="DQ279" s="32">
        <f t="shared" si="102"/>
        <v>0</v>
      </c>
      <c r="DR279" s="32">
        <f t="shared" si="103"/>
        <v>0</v>
      </c>
      <c r="DS279" s="11"/>
      <c r="DT279" s="329"/>
      <c r="DU279" s="23"/>
      <c r="DV279" s="24"/>
      <c r="DW279" s="25"/>
      <c r="DX279" s="24"/>
      <c r="DY279" s="23"/>
      <c r="DZ279" s="24"/>
      <c r="EA279" s="25"/>
      <c r="EB279" s="24"/>
      <c r="EC279" s="23"/>
      <c r="ED279" s="24"/>
      <c r="EE279" s="25"/>
      <c r="EF279" s="24"/>
      <c r="EG279" s="23"/>
      <c r="EH279" s="24"/>
      <c r="EI279" s="25"/>
      <c r="EJ279" s="24"/>
      <c r="EK279" s="23"/>
      <c r="EL279" s="24"/>
      <c r="EM279" s="25"/>
      <c r="EN279" s="24"/>
      <c r="EO279" s="23"/>
      <c r="EP279" s="24"/>
      <c r="EQ279" s="25"/>
      <c r="ER279" s="24"/>
      <c r="ES279" s="23"/>
      <c r="ET279" s="24"/>
      <c r="EU279" s="25"/>
      <c r="EV279" s="24"/>
      <c r="EW279" s="23"/>
      <c r="EX279" s="24"/>
      <c r="EY279" s="25"/>
      <c r="EZ279" s="24"/>
      <c r="FA279" s="23"/>
      <c r="FB279" s="24"/>
      <c r="FC279" s="25"/>
      <c r="FD279" s="24"/>
      <c r="FE279" s="23"/>
      <c r="FF279" s="24"/>
      <c r="FG279" s="25"/>
      <c r="FH279" s="24"/>
      <c r="FI279" s="23"/>
      <c r="FJ279" s="24"/>
      <c r="FK279" s="25"/>
      <c r="FL279" s="24"/>
      <c r="FM279" s="23"/>
      <c r="FN279" s="24"/>
      <c r="FO279" s="25"/>
      <c r="FP279" s="24"/>
      <c r="FQ279" s="340"/>
      <c r="FR279" s="32">
        <f t="shared" si="104"/>
        <v>0</v>
      </c>
      <c r="FS279" s="32">
        <f t="shared" si="105"/>
        <v>0</v>
      </c>
      <c r="FT279" s="361"/>
    </row>
    <row r="280" spans="1:176" outlineLevel="2">
      <c r="A280" s="58" t="s">
        <v>471</v>
      </c>
      <c r="B280" s="387" t="s">
        <v>82</v>
      </c>
      <c r="C280" s="173" t="s">
        <v>72</v>
      </c>
      <c r="D280" s="595" t="s">
        <v>32</v>
      </c>
      <c r="E280" s="10">
        <f>IF(ISBLANK(G280),"",IF($A$6:$A$330=$A280,COUNTIF($A$6:A280,$A280),""))</f>
        <v>15</v>
      </c>
      <c r="F280" s="10">
        <v>1</v>
      </c>
      <c r="G280" s="55">
        <v>4496161560</v>
      </c>
      <c r="H280" s="54" t="s">
        <v>103</v>
      </c>
      <c r="I280" s="617">
        <f>301.2/НДС_20</f>
        <v>251</v>
      </c>
      <c r="J280" s="617"/>
      <c r="K280" s="113"/>
      <c r="L280" s="617" t="str">
        <f t="shared" si="90"/>
        <v/>
      </c>
      <c r="M280" s="102"/>
      <c r="N280" s="305">
        <f t="shared" si="95"/>
        <v>0</v>
      </c>
      <c r="O280" s="23"/>
      <c r="P280" s="24"/>
      <c r="Q280" s="25"/>
      <c r="R280" s="24"/>
      <c r="S280" s="23"/>
      <c r="T280" s="24"/>
      <c r="U280" s="25"/>
      <c r="V280" s="24"/>
      <c r="W280" s="23"/>
      <c r="X280" s="26"/>
      <c r="Y280" s="25"/>
      <c r="Z280" s="24"/>
      <c r="AA280" s="23"/>
      <c r="AB280" s="26"/>
      <c r="AC280" s="25"/>
      <c r="AD280" s="24"/>
      <c r="AE280" s="23"/>
      <c r="AF280" s="26"/>
      <c r="AG280" s="25"/>
      <c r="AH280" s="24"/>
      <c r="AI280" s="23"/>
      <c r="AJ280" s="24"/>
      <c r="AK280" s="25"/>
      <c r="AL280" s="24"/>
      <c r="AM280" s="23"/>
      <c r="AN280" s="24"/>
      <c r="AO280" s="25"/>
      <c r="AP280" s="24"/>
      <c r="AQ280" s="23"/>
      <c r="AR280" s="24"/>
      <c r="AS280" s="25"/>
      <c r="AT280" s="24"/>
      <c r="AU280" s="23"/>
      <c r="AV280" s="24"/>
      <c r="AW280" s="25"/>
      <c r="AX280" s="24"/>
      <c r="AY280" s="23"/>
      <c r="AZ280" s="24"/>
      <c r="BA280" s="25"/>
      <c r="BB280" s="24"/>
      <c r="BC280" s="23"/>
      <c r="BD280" s="24"/>
      <c r="BE280" s="25"/>
      <c r="BF280" s="24"/>
      <c r="BG280" s="23"/>
      <c r="BH280" s="24"/>
      <c r="BI280" s="25"/>
      <c r="BJ280" s="24"/>
      <c r="BK280" s="340"/>
      <c r="BL280" s="32">
        <f t="shared" si="96"/>
        <v>0</v>
      </c>
      <c r="BM280" s="32">
        <f t="shared" si="97"/>
        <v>0</v>
      </c>
      <c r="BN280" s="28">
        <f t="shared" si="98"/>
        <v>0</v>
      </c>
      <c r="BO280" s="29">
        <f t="shared" si="99"/>
        <v>0</v>
      </c>
      <c r="BP280" s="30">
        <f t="shared" si="100"/>
        <v>0</v>
      </c>
      <c r="BQ280" s="31">
        <f t="shared" si="101"/>
        <v>0</v>
      </c>
      <c r="BR280" s="11"/>
      <c r="BS280" s="329"/>
      <c r="BT280" s="23"/>
      <c r="BU280" s="24"/>
      <c r="BV280" s="25"/>
      <c r="BW280" s="24"/>
      <c r="BX280" s="23"/>
      <c r="BY280" s="24"/>
      <c r="BZ280" s="25"/>
      <c r="CA280" s="24"/>
      <c r="CB280" s="23"/>
      <c r="CC280" s="24"/>
      <c r="CD280" s="25"/>
      <c r="CE280" s="24"/>
      <c r="CF280" s="23"/>
      <c r="CG280" s="24"/>
      <c r="CH280" s="25"/>
      <c r="CI280" s="24"/>
      <c r="CJ280" s="23"/>
      <c r="CK280" s="24"/>
      <c r="CL280" s="25"/>
      <c r="CM280" s="24"/>
      <c r="CN280" s="23"/>
      <c r="CO280" s="24"/>
      <c r="CP280" s="25"/>
      <c r="CQ280" s="24"/>
      <c r="CR280" s="23"/>
      <c r="CS280" s="24"/>
      <c r="CT280" s="25"/>
      <c r="CU280" s="24"/>
      <c r="CV280" s="23"/>
      <c r="CW280" s="24"/>
      <c r="CX280" s="25"/>
      <c r="CY280" s="24"/>
      <c r="CZ280" s="23"/>
      <c r="DA280" s="24"/>
      <c r="DB280" s="25"/>
      <c r="DC280" s="24"/>
      <c r="DD280" s="23"/>
      <c r="DE280" s="24"/>
      <c r="DF280" s="25"/>
      <c r="DG280" s="24"/>
      <c r="DH280" s="23"/>
      <c r="DI280" s="24"/>
      <c r="DJ280" s="25"/>
      <c r="DK280" s="24"/>
      <c r="DL280" s="23"/>
      <c r="DM280" s="24"/>
      <c r="DN280" s="25"/>
      <c r="DO280" s="24"/>
      <c r="DP280" s="340"/>
      <c r="DQ280" s="32">
        <f t="shared" si="102"/>
        <v>0</v>
      </c>
      <c r="DR280" s="32">
        <f t="shared" si="103"/>
        <v>0</v>
      </c>
      <c r="DS280" s="11"/>
      <c r="DT280" s="329"/>
      <c r="DU280" s="23"/>
      <c r="DV280" s="24"/>
      <c r="DW280" s="25"/>
      <c r="DX280" s="24"/>
      <c r="DY280" s="23"/>
      <c r="DZ280" s="24"/>
      <c r="EA280" s="25"/>
      <c r="EB280" s="24"/>
      <c r="EC280" s="23"/>
      <c r="ED280" s="24"/>
      <c r="EE280" s="25"/>
      <c r="EF280" s="24"/>
      <c r="EG280" s="23"/>
      <c r="EH280" s="24"/>
      <c r="EI280" s="25"/>
      <c r="EJ280" s="24"/>
      <c r="EK280" s="23"/>
      <c r="EL280" s="24"/>
      <c r="EM280" s="25"/>
      <c r="EN280" s="24"/>
      <c r="EO280" s="23"/>
      <c r="EP280" s="24"/>
      <c r="EQ280" s="25"/>
      <c r="ER280" s="24"/>
      <c r="ES280" s="23"/>
      <c r="ET280" s="24"/>
      <c r="EU280" s="25"/>
      <c r="EV280" s="24"/>
      <c r="EW280" s="23"/>
      <c r="EX280" s="24"/>
      <c r="EY280" s="25"/>
      <c r="EZ280" s="24"/>
      <c r="FA280" s="23"/>
      <c r="FB280" s="24"/>
      <c r="FC280" s="25"/>
      <c r="FD280" s="24"/>
      <c r="FE280" s="23"/>
      <c r="FF280" s="24"/>
      <c r="FG280" s="25"/>
      <c r="FH280" s="24"/>
      <c r="FI280" s="23"/>
      <c r="FJ280" s="24"/>
      <c r="FK280" s="25"/>
      <c r="FL280" s="24"/>
      <c r="FM280" s="23"/>
      <c r="FN280" s="24"/>
      <c r="FO280" s="25"/>
      <c r="FP280" s="24"/>
      <c r="FQ280" s="340"/>
      <c r="FR280" s="32">
        <f t="shared" si="104"/>
        <v>0</v>
      </c>
      <c r="FS280" s="32">
        <f t="shared" si="105"/>
        <v>0</v>
      </c>
      <c r="FT280" s="361"/>
    </row>
    <row r="281" spans="1:176" outlineLevel="2">
      <c r="A281" s="58" t="s">
        <v>471</v>
      </c>
      <c r="B281" s="387" t="s">
        <v>82</v>
      </c>
      <c r="C281" s="173" t="s">
        <v>72</v>
      </c>
      <c r="D281" s="595" t="s">
        <v>32</v>
      </c>
      <c r="E281" s="10">
        <f>IF(ISBLANK(G281),"",IF($A$6:$A$330=$A281,COUNTIF($A$6:A281,$A281),""))</f>
        <v>16</v>
      </c>
      <c r="F281" s="10">
        <v>1</v>
      </c>
      <c r="G281" s="55">
        <v>9735000510</v>
      </c>
      <c r="H281" s="54" t="s">
        <v>87</v>
      </c>
      <c r="I281" s="617">
        <f>126/НДС_20</f>
        <v>105</v>
      </c>
      <c r="J281" s="617"/>
      <c r="K281" s="113"/>
      <c r="L281" s="617" t="str">
        <f t="shared" si="90"/>
        <v/>
      </c>
      <c r="M281" s="102"/>
      <c r="N281" s="305">
        <f t="shared" si="95"/>
        <v>2</v>
      </c>
      <c r="O281" s="23"/>
      <c r="P281" s="24"/>
      <c r="Q281" s="25"/>
      <c r="R281" s="24"/>
      <c r="S281" s="23">
        <v>15</v>
      </c>
      <c r="T281" s="24"/>
      <c r="U281" s="25"/>
      <c r="V281" s="24"/>
      <c r="W281" s="23"/>
      <c r="X281" s="26"/>
      <c r="Y281" s="25"/>
      <c r="Z281" s="24"/>
      <c r="AA281" s="23">
        <v>15</v>
      </c>
      <c r="AB281" s="26"/>
      <c r="AC281" s="25"/>
      <c r="AD281" s="24"/>
      <c r="AE281" s="23"/>
      <c r="AF281" s="26"/>
      <c r="AG281" s="25"/>
      <c r="AH281" s="24"/>
      <c r="AI281" s="23">
        <v>15</v>
      </c>
      <c r="AJ281" s="24">
        <v>15</v>
      </c>
      <c r="AK281" s="25"/>
      <c r="AL281" s="24"/>
      <c r="AM281" s="23"/>
      <c r="AN281" s="24"/>
      <c r="AO281" s="25"/>
      <c r="AP281" s="24"/>
      <c r="AQ281" s="23">
        <v>15</v>
      </c>
      <c r="AR281" s="24">
        <v>15</v>
      </c>
      <c r="AS281" s="25"/>
      <c r="AT281" s="24"/>
      <c r="AU281" s="23"/>
      <c r="AV281" s="24"/>
      <c r="AW281" s="25"/>
      <c r="AX281" s="24"/>
      <c r="AY281" s="23">
        <v>15</v>
      </c>
      <c r="AZ281" s="24">
        <v>15</v>
      </c>
      <c r="BA281" s="25"/>
      <c r="BB281" s="24"/>
      <c r="BC281" s="23"/>
      <c r="BD281" s="24"/>
      <c r="BE281" s="25"/>
      <c r="BF281" s="24"/>
      <c r="BG281" s="23">
        <v>15</v>
      </c>
      <c r="BH281" s="24">
        <v>15</v>
      </c>
      <c r="BI281" s="25"/>
      <c r="BJ281" s="24"/>
      <c r="BK281" s="340"/>
      <c r="BL281" s="32">
        <f t="shared" si="96"/>
        <v>90</v>
      </c>
      <c r="BM281" s="32">
        <f t="shared" si="97"/>
        <v>9450</v>
      </c>
      <c r="BN281" s="28">
        <f t="shared" si="98"/>
        <v>60</v>
      </c>
      <c r="BO281" s="29">
        <f t="shared" si="99"/>
        <v>6300</v>
      </c>
      <c r="BP281" s="30">
        <f t="shared" si="100"/>
        <v>0</v>
      </c>
      <c r="BQ281" s="31">
        <f t="shared" si="101"/>
        <v>0</v>
      </c>
      <c r="BR281" s="11"/>
      <c r="BS281" s="329"/>
      <c r="BT281" s="23"/>
      <c r="BU281" s="24"/>
      <c r="BV281" s="25"/>
      <c r="BW281" s="24"/>
      <c r="BX281" s="23"/>
      <c r="BY281" s="24"/>
      <c r="BZ281" s="25"/>
      <c r="CA281" s="24"/>
      <c r="CB281" s="23"/>
      <c r="CC281" s="24"/>
      <c r="CD281" s="25"/>
      <c r="CE281" s="24"/>
      <c r="CF281" s="23"/>
      <c r="CG281" s="24"/>
      <c r="CH281" s="25"/>
      <c r="CI281" s="24"/>
      <c r="CJ281" s="23"/>
      <c r="CK281" s="24"/>
      <c r="CL281" s="25"/>
      <c r="CM281" s="24"/>
      <c r="CN281" s="23"/>
      <c r="CO281" s="24"/>
      <c r="CP281" s="25"/>
      <c r="CQ281" s="24"/>
      <c r="CR281" s="23"/>
      <c r="CS281" s="24"/>
      <c r="CT281" s="25"/>
      <c r="CU281" s="24"/>
      <c r="CV281" s="23"/>
      <c r="CW281" s="24"/>
      <c r="CX281" s="25"/>
      <c r="CY281" s="24"/>
      <c r="CZ281" s="23"/>
      <c r="DA281" s="24"/>
      <c r="DB281" s="25"/>
      <c r="DC281" s="24"/>
      <c r="DD281" s="23"/>
      <c r="DE281" s="24"/>
      <c r="DF281" s="25"/>
      <c r="DG281" s="24"/>
      <c r="DH281" s="23"/>
      <c r="DI281" s="24"/>
      <c r="DJ281" s="25"/>
      <c r="DK281" s="24"/>
      <c r="DL281" s="23"/>
      <c r="DM281" s="24"/>
      <c r="DN281" s="25"/>
      <c r="DO281" s="24"/>
      <c r="DP281" s="340"/>
      <c r="DQ281" s="32">
        <f t="shared" si="102"/>
        <v>0</v>
      </c>
      <c r="DR281" s="32">
        <f t="shared" si="103"/>
        <v>0</v>
      </c>
      <c r="DS281" s="11"/>
      <c r="DT281" s="329"/>
      <c r="DU281" s="23"/>
      <c r="DV281" s="24"/>
      <c r="DW281" s="25"/>
      <c r="DX281" s="24"/>
      <c r="DY281" s="23"/>
      <c r="DZ281" s="24"/>
      <c r="EA281" s="25"/>
      <c r="EB281" s="24"/>
      <c r="EC281" s="23"/>
      <c r="ED281" s="24"/>
      <c r="EE281" s="25"/>
      <c r="EF281" s="24"/>
      <c r="EG281" s="23"/>
      <c r="EH281" s="24"/>
      <c r="EI281" s="25"/>
      <c r="EJ281" s="24"/>
      <c r="EK281" s="23"/>
      <c r="EL281" s="24"/>
      <c r="EM281" s="25"/>
      <c r="EN281" s="24"/>
      <c r="EO281" s="23"/>
      <c r="EP281" s="24"/>
      <c r="EQ281" s="25"/>
      <c r="ER281" s="24"/>
      <c r="ES281" s="23"/>
      <c r="ET281" s="24"/>
      <c r="EU281" s="25"/>
      <c r="EV281" s="24"/>
      <c r="EW281" s="23"/>
      <c r="EX281" s="24"/>
      <c r="EY281" s="25"/>
      <c r="EZ281" s="24"/>
      <c r="FA281" s="23"/>
      <c r="FB281" s="24"/>
      <c r="FC281" s="25"/>
      <c r="FD281" s="24"/>
      <c r="FE281" s="23"/>
      <c r="FF281" s="24"/>
      <c r="FG281" s="25"/>
      <c r="FH281" s="24"/>
      <c r="FI281" s="23"/>
      <c r="FJ281" s="24"/>
      <c r="FK281" s="25"/>
      <c r="FL281" s="24"/>
      <c r="FM281" s="23"/>
      <c r="FN281" s="24"/>
      <c r="FO281" s="25"/>
      <c r="FP281" s="24"/>
      <c r="FQ281" s="340"/>
      <c r="FR281" s="32">
        <f t="shared" si="104"/>
        <v>0</v>
      </c>
      <c r="FS281" s="32">
        <f t="shared" si="105"/>
        <v>0</v>
      </c>
      <c r="FT281" s="361"/>
    </row>
    <row r="282" spans="1:176" outlineLevel="2">
      <c r="A282" s="58" t="s">
        <v>471</v>
      </c>
      <c r="B282" s="387" t="s">
        <v>82</v>
      </c>
      <c r="C282" s="173" t="s">
        <v>72</v>
      </c>
      <c r="D282" s="595" t="s">
        <v>32</v>
      </c>
      <c r="E282" s="10">
        <f>IF(ISBLANK(G282),"",IF($A$6:$A$330=$A282,COUNTIF($A$6:A282,$A282),""))</f>
        <v>17</v>
      </c>
      <c r="F282" s="10">
        <v>1</v>
      </c>
      <c r="G282" s="55">
        <v>4341001250</v>
      </c>
      <c r="H282" s="54" t="s">
        <v>92</v>
      </c>
      <c r="I282" s="663">
        <f>120/НДС</f>
        <v>98.360655737704917</v>
      </c>
      <c r="J282" s="617"/>
      <c r="K282" s="113"/>
      <c r="L282" s="617" t="str">
        <f t="shared" si="90"/>
        <v/>
      </c>
      <c r="M282" s="102"/>
      <c r="N282" s="305">
        <f t="shared" si="95"/>
        <v>1</v>
      </c>
      <c r="O282" s="23"/>
      <c r="P282" s="24"/>
      <c r="Q282" s="25"/>
      <c r="R282" s="24"/>
      <c r="S282" s="23"/>
      <c r="T282" s="24"/>
      <c r="U282" s="25"/>
      <c r="V282" s="24"/>
      <c r="W282" s="23"/>
      <c r="X282" s="26">
        <f>20</f>
        <v>20</v>
      </c>
      <c r="Y282" s="25">
        <v>20</v>
      </c>
      <c r="Z282" s="674">
        <v>20</v>
      </c>
      <c r="AA282" s="23"/>
      <c r="AB282" s="26">
        <f>60</f>
        <v>60</v>
      </c>
      <c r="AC282" s="579">
        <v>60</v>
      </c>
      <c r="AD282" s="674">
        <v>60</v>
      </c>
      <c r="AE282" s="23"/>
      <c r="AF282" s="386"/>
      <c r="AG282" s="25"/>
      <c r="AH282" s="24"/>
      <c r="AI282" s="23"/>
      <c r="AJ282" s="24">
        <f>60</f>
        <v>60</v>
      </c>
      <c r="AK282" s="25"/>
      <c r="AL282" s="674">
        <v>60</v>
      </c>
      <c r="AM282" s="23"/>
      <c r="AN282" s="24"/>
      <c r="AO282" s="25"/>
      <c r="AP282" s="24"/>
      <c r="AQ282" s="23"/>
      <c r="AR282" s="24"/>
      <c r="AS282" s="25"/>
      <c r="AT282" s="24"/>
      <c r="AU282" s="23"/>
      <c r="AV282" s="24"/>
      <c r="AW282" s="25"/>
      <c r="AX282" s="24"/>
      <c r="AY282" s="23"/>
      <c r="AZ282" s="24"/>
      <c r="BA282" s="25"/>
      <c r="BB282" s="24"/>
      <c r="BC282" s="23"/>
      <c r="BD282" s="24"/>
      <c r="BE282" s="25"/>
      <c r="BF282" s="24"/>
      <c r="BG282" s="23"/>
      <c r="BH282" s="24"/>
      <c r="BI282" s="25"/>
      <c r="BJ282" s="24"/>
      <c r="BK282" s="340"/>
      <c r="BL282" s="32">
        <f t="shared" si="96"/>
        <v>0</v>
      </c>
      <c r="BM282" s="32">
        <f t="shared" si="97"/>
        <v>0</v>
      </c>
      <c r="BN282" s="28">
        <f t="shared" si="98"/>
        <v>140</v>
      </c>
      <c r="BO282" s="29">
        <f t="shared" si="99"/>
        <v>13770.491803278688</v>
      </c>
      <c r="BP282" s="30">
        <f t="shared" si="100"/>
        <v>80</v>
      </c>
      <c r="BQ282" s="31">
        <f t="shared" si="101"/>
        <v>7868.8524590163934</v>
      </c>
      <c r="BR282" s="11"/>
      <c r="BS282" s="329"/>
      <c r="BT282" s="23"/>
      <c r="BU282" s="24"/>
      <c r="BV282" s="25"/>
      <c r="BW282" s="24"/>
      <c r="BX282" s="23"/>
      <c r="BY282" s="24"/>
      <c r="BZ282" s="25"/>
      <c r="CA282" s="24"/>
      <c r="CB282" s="23"/>
      <c r="CC282" s="24"/>
      <c r="CD282" s="25"/>
      <c r="CE282" s="24"/>
      <c r="CF282" s="23"/>
      <c r="CG282" s="24"/>
      <c r="CH282" s="25"/>
      <c r="CI282" s="24"/>
      <c r="CJ282" s="23"/>
      <c r="CK282" s="24"/>
      <c r="CL282" s="25"/>
      <c r="CM282" s="24"/>
      <c r="CN282" s="23"/>
      <c r="CO282" s="24"/>
      <c r="CP282" s="25"/>
      <c r="CQ282" s="24"/>
      <c r="CR282" s="23"/>
      <c r="CS282" s="24"/>
      <c r="CT282" s="25"/>
      <c r="CU282" s="24"/>
      <c r="CV282" s="23"/>
      <c r="CW282" s="24"/>
      <c r="CX282" s="25"/>
      <c r="CY282" s="24"/>
      <c r="CZ282" s="23"/>
      <c r="DA282" s="24"/>
      <c r="DB282" s="25"/>
      <c r="DC282" s="24"/>
      <c r="DD282" s="23"/>
      <c r="DE282" s="24"/>
      <c r="DF282" s="25"/>
      <c r="DG282" s="24"/>
      <c r="DH282" s="23"/>
      <c r="DI282" s="24"/>
      <c r="DJ282" s="25"/>
      <c r="DK282" s="24"/>
      <c r="DL282" s="23"/>
      <c r="DM282" s="24"/>
      <c r="DN282" s="25"/>
      <c r="DO282" s="24"/>
      <c r="DP282" s="340"/>
      <c r="DQ282" s="32">
        <f t="shared" si="102"/>
        <v>0</v>
      </c>
      <c r="DR282" s="32">
        <f t="shared" si="103"/>
        <v>0</v>
      </c>
      <c r="DS282" s="11"/>
      <c r="DT282" s="329"/>
      <c r="DU282" s="23"/>
      <c r="DV282" s="24"/>
      <c r="DW282" s="25"/>
      <c r="DX282" s="24"/>
      <c r="DY282" s="23"/>
      <c r="DZ282" s="24"/>
      <c r="EA282" s="25"/>
      <c r="EB282" s="24"/>
      <c r="EC282" s="23"/>
      <c r="ED282" s="24"/>
      <c r="EE282" s="25"/>
      <c r="EF282" s="24"/>
      <c r="EG282" s="23"/>
      <c r="EH282" s="24"/>
      <c r="EI282" s="25"/>
      <c r="EJ282" s="24"/>
      <c r="EK282" s="23"/>
      <c r="EL282" s="24"/>
      <c r="EM282" s="25"/>
      <c r="EN282" s="24"/>
      <c r="EO282" s="23"/>
      <c r="EP282" s="24"/>
      <c r="EQ282" s="25"/>
      <c r="ER282" s="24"/>
      <c r="ES282" s="23"/>
      <c r="ET282" s="24"/>
      <c r="EU282" s="25"/>
      <c r="EV282" s="24"/>
      <c r="EW282" s="23"/>
      <c r="EX282" s="24"/>
      <c r="EY282" s="25"/>
      <c r="EZ282" s="24"/>
      <c r="FA282" s="23"/>
      <c r="FB282" s="24"/>
      <c r="FC282" s="25"/>
      <c r="FD282" s="24"/>
      <c r="FE282" s="23"/>
      <c r="FF282" s="24"/>
      <c r="FG282" s="25"/>
      <c r="FH282" s="24"/>
      <c r="FI282" s="23"/>
      <c r="FJ282" s="24"/>
      <c r="FK282" s="25"/>
      <c r="FL282" s="24"/>
      <c r="FM282" s="23"/>
      <c r="FN282" s="24"/>
      <c r="FO282" s="25"/>
      <c r="FP282" s="24"/>
      <c r="FQ282" s="340"/>
      <c r="FR282" s="32">
        <f t="shared" si="104"/>
        <v>0</v>
      </c>
      <c r="FS282" s="32">
        <f t="shared" si="105"/>
        <v>0</v>
      </c>
      <c r="FT282" s="361"/>
    </row>
    <row r="283" spans="1:176" outlineLevel="2">
      <c r="A283" s="421" t="s">
        <v>471</v>
      </c>
      <c r="B283" s="389" t="s">
        <v>82</v>
      </c>
      <c r="C283" s="311" t="s">
        <v>72</v>
      </c>
      <c r="D283" s="399" t="s">
        <v>32</v>
      </c>
      <c r="E283" s="284">
        <f>IF(ISBLANK(G283),"",IF($A$6:$A$330=$A283,COUNTIF($A$6:A283,$A283),""))</f>
        <v>18</v>
      </c>
      <c r="F283" s="284">
        <v>1</v>
      </c>
      <c r="G283" s="304">
        <v>4640060020</v>
      </c>
      <c r="H283" s="602" t="s">
        <v>93</v>
      </c>
      <c r="I283" s="616">
        <f>317.2/НДС</f>
        <v>260</v>
      </c>
      <c r="J283" s="616"/>
      <c r="K283" s="333"/>
      <c r="L283" s="616"/>
      <c r="M283" s="305"/>
      <c r="N283" s="305">
        <f t="shared" si="95"/>
        <v>1</v>
      </c>
      <c r="O283" s="322"/>
      <c r="P283" s="408"/>
      <c r="Q283" s="307"/>
      <c r="R283" s="408"/>
      <c r="S283" s="322"/>
      <c r="T283" s="408"/>
      <c r="U283" s="307"/>
      <c r="V283" s="408"/>
      <c r="W283" s="322"/>
      <c r="X283" s="386"/>
      <c r="Y283" s="307"/>
      <c r="Z283" s="386"/>
      <c r="AA283" s="322"/>
      <c r="AB283" s="386">
        <f>15</f>
        <v>15</v>
      </c>
      <c r="AC283" s="579">
        <v>15</v>
      </c>
      <c r="AD283" s="386"/>
      <c r="AE283" s="322"/>
      <c r="AF283" s="386"/>
      <c r="AG283" s="307"/>
      <c r="AH283" s="24"/>
      <c r="AI283" s="322"/>
      <c r="AJ283" s="408"/>
      <c r="AK283" s="307"/>
      <c r="AL283" s="386"/>
      <c r="AM283" s="322"/>
      <c r="AN283" s="408"/>
      <c r="AO283" s="307"/>
      <c r="AP283" s="408"/>
      <c r="AQ283" s="322"/>
      <c r="AR283" s="408"/>
      <c r="AS283" s="307"/>
      <c r="AT283" s="408"/>
      <c r="AU283" s="322"/>
      <c r="AV283" s="408"/>
      <c r="AW283" s="307"/>
      <c r="AX283" s="408"/>
      <c r="AY283" s="322"/>
      <c r="AZ283" s="408"/>
      <c r="BA283" s="307"/>
      <c r="BB283" s="408"/>
      <c r="BC283" s="322"/>
      <c r="BD283" s="408"/>
      <c r="BE283" s="307"/>
      <c r="BF283" s="408"/>
      <c r="BG283" s="322"/>
      <c r="BH283" s="408"/>
      <c r="BI283" s="307"/>
      <c r="BJ283" s="408"/>
      <c r="BK283" s="340"/>
      <c r="BL283" s="328">
        <f t="shared" si="96"/>
        <v>0</v>
      </c>
      <c r="BM283" s="328">
        <f t="shared" si="97"/>
        <v>0</v>
      </c>
      <c r="BN283" s="324">
        <f t="shared" si="98"/>
        <v>15</v>
      </c>
      <c r="BO283" s="325">
        <f t="shared" si="99"/>
        <v>3900</v>
      </c>
      <c r="BP283" s="326">
        <f t="shared" si="100"/>
        <v>15</v>
      </c>
      <c r="BQ283" s="327">
        <f t="shared" si="101"/>
        <v>3900</v>
      </c>
      <c r="BR283" s="329"/>
      <c r="BS283" s="329"/>
      <c r="BT283" s="322"/>
      <c r="BU283" s="408"/>
      <c r="BV283" s="307"/>
      <c r="BW283" s="408"/>
      <c r="BX283" s="322"/>
      <c r="BY283" s="408"/>
      <c r="BZ283" s="307"/>
      <c r="CA283" s="408"/>
      <c r="CB283" s="322"/>
      <c r="CC283" s="408"/>
      <c r="CD283" s="307"/>
      <c r="CE283" s="408"/>
      <c r="CF283" s="322"/>
      <c r="CG283" s="408"/>
      <c r="CH283" s="307"/>
      <c r="CI283" s="408"/>
      <c r="CJ283" s="322"/>
      <c r="CK283" s="408"/>
      <c r="CL283" s="307"/>
      <c r="CM283" s="408"/>
      <c r="CN283" s="322"/>
      <c r="CO283" s="408"/>
      <c r="CP283" s="307"/>
      <c r="CQ283" s="408"/>
      <c r="CR283" s="322"/>
      <c r="CS283" s="408"/>
      <c r="CT283" s="307"/>
      <c r="CU283" s="408"/>
      <c r="CV283" s="322"/>
      <c r="CW283" s="408"/>
      <c r="CX283" s="307"/>
      <c r="CY283" s="408"/>
      <c r="CZ283" s="322"/>
      <c r="DA283" s="408"/>
      <c r="DB283" s="307"/>
      <c r="DC283" s="408"/>
      <c r="DD283" s="322"/>
      <c r="DE283" s="408"/>
      <c r="DF283" s="307"/>
      <c r="DG283" s="408"/>
      <c r="DH283" s="322"/>
      <c r="DI283" s="408"/>
      <c r="DJ283" s="307"/>
      <c r="DK283" s="408"/>
      <c r="DL283" s="322"/>
      <c r="DM283" s="408"/>
      <c r="DN283" s="307"/>
      <c r="DO283" s="408"/>
      <c r="DP283" s="340"/>
      <c r="DQ283" s="328"/>
      <c r="DR283" s="328"/>
      <c r="DS283" s="329"/>
      <c r="DT283" s="329"/>
      <c r="DU283" s="322"/>
      <c r="DV283" s="408"/>
      <c r="DW283" s="307"/>
      <c r="DX283" s="408"/>
      <c r="DY283" s="322"/>
      <c r="DZ283" s="408"/>
      <c r="EA283" s="307"/>
      <c r="EB283" s="408"/>
      <c r="EC283" s="322"/>
      <c r="ED283" s="408"/>
      <c r="EE283" s="307"/>
      <c r="EF283" s="408"/>
      <c r="EG283" s="322"/>
      <c r="EH283" s="408"/>
      <c r="EI283" s="307"/>
      <c r="EJ283" s="408"/>
      <c r="EK283" s="322"/>
      <c r="EL283" s="408"/>
      <c r="EM283" s="307"/>
      <c r="EN283" s="408"/>
      <c r="EO283" s="322"/>
      <c r="EP283" s="408"/>
      <c r="EQ283" s="307"/>
      <c r="ER283" s="408"/>
      <c r="ES283" s="322"/>
      <c r="ET283" s="408"/>
      <c r="EU283" s="307"/>
      <c r="EV283" s="408"/>
      <c r="EW283" s="322"/>
      <c r="EX283" s="408"/>
      <c r="EY283" s="307"/>
      <c r="EZ283" s="408"/>
      <c r="FA283" s="322"/>
      <c r="FB283" s="408"/>
      <c r="FC283" s="307"/>
      <c r="FD283" s="408"/>
      <c r="FE283" s="322"/>
      <c r="FF283" s="408"/>
      <c r="FG283" s="307"/>
      <c r="FH283" s="408"/>
      <c r="FI283" s="322"/>
      <c r="FJ283" s="408"/>
      <c r="FK283" s="307"/>
      <c r="FL283" s="408"/>
      <c r="FM283" s="322"/>
      <c r="FN283" s="408"/>
      <c r="FO283" s="307"/>
      <c r="FP283" s="408"/>
      <c r="FQ283" s="340"/>
      <c r="FR283" s="328"/>
      <c r="FS283" s="328"/>
      <c r="FT283" s="361"/>
    </row>
    <row r="284" spans="1:176" outlineLevel="2">
      <c r="A284" s="58" t="s">
        <v>471</v>
      </c>
      <c r="B284" s="387" t="s">
        <v>82</v>
      </c>
      <c r="C284" s="173" t="s">
        <v>72</v>
      </c>
      <c r="D284" s="595" t="s">
        <v>32</v>
      </c>
      <c r="E284" s="10">
        <f>IF(ISBLANK(G284),"",IF($A$6:$A$330=$A284,COUNTIF($A$6:A284,$A284),""))</f>
        <v>19</v>
      </c>
      <c r="F284" s="10">
        <v>1</v>
      </c>
      <c r="G284" s="55">
        <v>4640061000</v>
      </c>
      <c r="H284" s="54" t="s">
        <v>93</v>
      </c>
      <c r="I284" s="617">
        <f>326.35/НДС</f>
        <v>267.5</v>
      </c>
      <c r="J284" s="617"/>
      <c r="K284" s="113"/>
      <c r="L284" s="617" t="str">
        <f>IF(K284="RUB",J284/ЮАНЬ,IF(K284="EUR",J284*ЕВРО/ЮАНЬ,""))</f>
        <v/>
      </c>
      <c r="M284" s="102"/>
      <c r="N284" s="305">
        <f t="shared" si="95"/>
        <v>2</v>
      </c>
      <c r="O284" s="23"/>
      <c r="P284" s="24"/>
      <c r="Q284" s="25"/>
      <c r="R284" s="24"/>
      <c r="S284" s="23">
        <v>20</v>
      </c>
      <c r="T284" s="24"/>
      <c r="U284" s="25"/>
      <c r="V284" s="24"/>
      <c r="W284" s="23"/>
      <c r="X284" s="26"/>
      <c r="Y284" s="25"/>
      <c r="Z284" s="24"/>
      <c r="AA284" s="23">
        <v>20</v>
      </c>
      <c r="AB284" s="26"/>
      <c r="AC284" s="25"/>
      <c r="AD284" s="24"/>
      <c r="AE284" s="23"/>
      <c r="AF284" s="26"/>
      <c r="AG284" s="25">
        <v>0</v>
      </c>
      <c r="AH284" s="24"/>
      <c r="AI284" s="23">
        <v>20</v>
      </c>
      <c r="AJ284" s="24">
        <f>30+30</f>
        <v>60</v>
      </c>
      <c r="AK284" s="25"/>
      <c r="AL284" s="24"/>
      <c r="AM284" s="23"/>
      <c r="AN284" s="24"/>
      <c r="AO284" s="25"/>
      <c r="AP284" s="24"/>
      <c r="AQ284" s="23">
        <v>20</v>
      </c>
      <c r="AR284" s="24">
        <v>20</v>
      </c>
      <c r="AS284" s="25"/>
      <c r="AT284" s="24"/>
      <c r="AU284" s="23"/>
      <c r="AV284" s="24"/>
      <c r="AW284" s="25"/>
      <c r="AX284" s="24"/>
      <c r="AY284" s="23">
        <v>20</v>
      </c>
      <c r="AZ284" s="24">
        <v>20</v>
      </c>
      <c r="BA284" s="25"/>
      <c r="BB284" s="24"/>
      <c r="BC284" s="23"/>
      <c r="BD284" s="24"/>
      <c r="BE284" s="25"/>
      <c r="BF284" s="24"/>
      <c r="BG284" s="23">
        <v>20</v>
      </c>
      <c r="BH284" s="24">
        <v>20</v>
      </c>
      <c r="BI284" s="25"/>
      <c r="BJ284" s="24"/>
      <c r="BK284" s="340"/>
      <c r="BL284" s="32">
        <f t="shared" si="96"/>
        <v>120</v>
      </c>
      <c r="BM284" s="32">
        <f t="shared" si="97"/>
        <v>32100</v>
      </c>
      <c r="BN284" s="28">
        <f t="shared" si="98"/>
        <v>120</v>
      </c>
      <c r="BO284" s="29">
        <f t="shared" si="99"/>
        <v>32100</v>
      </c>
      <c r="BP284" s="30">
        <f t="shared" si="100"/>
        <v>0</v>
      </c>
      <c r="BQ284" s="31">
        <f t="shared" si="101"/>
        <v>0</v>
      </c>
      <c r="BR284" s="11"/>
      <c r="BS284" s="329"/>
      <c r="BT284" s="23"/>
      <c r="BU284" s="24"/>
      <c r="BV284" s="25"/>
      <c r="BW284" s="24"/>
      <c r="BX284" s="23"/>
      <c r="BY284" s="24"/>
      <c r="BZ284" s="25"/>
      <c r="CA284" s="24"/>
      <c r="CB284" s="23"/>
      <c r="CC284" s="24"/>
      <c r="CD284" s="25"/>
      <c r="CE284" s="24"/>
      <c r="CF284" s="23"/>
      <c r="CG284" s="24"/>
      <c r="CH284" s="25"/>
      <c r="CI284" s="24"/>
      <c r="CJ284" s="23"/>
      <c r="CK284" s="24"/>
      <c r="CL284" s="25"/>
      <c r="CM284" s="24"/>
      <c r="CN284" s="23"/>
      <c r="CO284" s="24"/>
      <c r="CP284" s="25"/>
      <c r="CQ284" s="24"/>
      <c r="CR284" s="23"/>
      <c r="CS284" s="24"/>
      <c r="CT284" s="25"/>
      <c r="CU284" s="24"/>
      <c r="CV284" s="23"/>
      <c r="CW284" s="24"/>
      <c r="CX284" s="25"/>
      <c r="CY284" s="24"/>
      <c r="CZ284" s="23"/>
      <c r="DA284" s="24"/>
      <c r="DB284" s="25"/>
      <c r="DC284" s="24"/>
      <c r="DD284" s="23"/>
      <c r="DE284" s="24"/>
      <c r="DF284" s="25"/>
      <c r="DG284" s="24"/>
      <c r="DH284" s="23"/>
      <c r="DI284" s="24"/>
      <c r="DJ284" s="25"/>
      <c r="DK284" s="24"/>
      <c r="DL284" s="23"/>
      <c r="DM284" s="24"/>
      <c r="DN284" s="25"/>
      <c r="DO284" s="24"/>
      <c r="DP284" s="340"/>
      <c r="DQ284" s="32">
        <f>SUMPRODUCT(--(MOD(COLUMN(BT284:CQ284),4)=MOD(COLUMN(BT284),4)),BT284:CQ284)+SUMPRODUCT(--(MOD(COLUMN(CR284:DO284),4)=MOD(COLUMN(CR284),4)),CR284:DO284)</f>
        <v>0</v>
      </c>
      <c r="DR284" s="32">
        <f>SUMPRODUCT(--(MOD(COLUMN(BT284:CQ284),4)=MOD(COLUMN(BT284),4)),BT284:CQ284)*$I284+SUMPRODUCT(--(MOD(COLUMN(CR284:DO284),4)=MOD(COLUMN(CR284),4)),CR284:DO284)*$I284</f>
        <v>0</v>
      </c>
      <c r="DS284" s="11"/>
      <c r="DT284" s="329"/>
      <c r="DU284" s="23"/>
      <c r="DV284" s="24"/>
      <c r="DW284" s="25"/>
      <c r="DX284" s="24"/>
      <c r="DY284" s="23"/>
      <c r="DZ284" s="24"/>
      <c r="EA284" s="25"/>
      <c r="EB284" s="24"/>
      <c r="EC284" s="23"/>
      <c r="ED284" s="24"/>
      <c r="EE284" s="25"/>
      <c r="EF284" s="24"/>
      <c r="EG284" s="23"/>
      <c r="EH284" s="24"/>
      <c r="EI284" s="25"/>
      <c r="EJ284" s="24"/>
      <c r="EK284" s="23"/>
      <c r="EL284" s="24"/>
      <c r="EM284" s="25"/>
      <c r="EN284" s="24"/>
      <c r="EO284" s="23"/>
      <c r="EP284" s="24"/>
      <c r="EQ284" s="25"/>
      <c r="ER284" s="24"/>
      <c r="ES284" s="23"/>
      <c r="ET284" s="24"/>
      <c r="EU284" s="25"/>
      <c r="EV284" s="24"/>
      <c r="EW284" s="23"/>
      <c r="EX284" s="24"/>
      <c r="EY284" s="25"/>
      <c r="EZ284" s="24"/>
      <c r="FA284" s="23"/>
      <c r="FB284" s="24"/>
      <c r="FC284" s="25"/>
      <c r="FD284" s="24"/>
      <c r="FE284" s="23"/>
      <c r="FF284" s="24"/>
      <c r="FG284" s="25"/>
      <c r="FH284" s="24"/>
      <c r="FI284" s="23"/>
      <c r="FJ284" s="24"/>
      <c r="FK284" s="25"/>
      <c r="FL284" s="24"/>
      <c r="FM284" s="23"/>
      <c r="FN284" s="24"/>
      <c r="FO284" s="25"/>
      <c r="FP284" s="24"/>
      <c r="FQ284" s="340"/>
      <c r="FR284" s="32">
        <f>SUMPRODUCT(--(MOD(COLUMN(DU284:ER284),4)=MOD(COLUMN(DU284),4)),DU284:ER284)+SUMPRODUCT(--(MOD(COLUMN(ES284:FP284),4)=MOD(COLUMN(ES284),4)),ES284:FP284)</f>
        <v>0</v>
      </c>
      <c r="FS284" s="32">
        <f>SUMPRODUCT(--(MOD(COLUMN(DU284:ER284),4)=MOD(COLUMN(DU284),4)),DU284:ER284)*$I284+SUMPRODUCT(--(MOD(COLUMN(ES284:FP284),4)=MOD(COLUMN(ES284),4)),ES284:FP284)*$I284</f>
        <v>0</v>
      </c>
      <c r="FT284" s="361"/>
    </row>
    <row r="285" spans="1:176" outlineLevel="2">
      <c r="A285" s="58" t="s">
        <v>471</v>
      </c>
      <c r="B285" s="387" t="s">
        <v>82</v>
      </c>
      <c r="C285" s="173" t="s">
        <v>72</v>
      </c>
      <c r="D285" s="595" t="s">
        <v>32</v>
      </c>
      <c r="E285" s="10">
        <f>IF(ISBLANK(G285),"",IF($A$6:$A$330=$A285,COUNTIF($A$6:A285,$A285),""))</f>
        <v>20</v>
      </c>
      <c r="F285" s="10">
        <v>1</v>
      </c>
      <c r="G285" s="55">
        <v>4630320200</v>
      </c>
      <c r="H285" s="54" t="s">
        <v>80</v>
      </c>
      <c r="I285" s="617">
        <f>324.24/НДС</f>
        <v>265.77049180327867</v>
      </c>
      <c r="J285" s="617"/>
      <c r="K285" s="113"/>
      <c r="L285" s="617" t="str">
        <f>IF(K285="RUB",J285/ЮАНЬ,IF(K285="EUR",J285*ЕВРО/ЮАНЬ,""))</f>
        <v/>
      </c>
      <c r="M285" s="102"/>
      <c r="N285" s="305">
        <f t="shared" si="95"/>
        <v>2</v>
      </c>
      <c r="O285" s="23"/>
      <c r="P285" s="24"/>
      <c r="Q285" s="25"/>
      <c r="R285" s="24"/>
      <c r="S285" s="23">
        <v>20</v>
      </c>
      <c r="T285" s="24"/>
      <c r="U285" s="25"/>
      <c r="V285" s="24"/>
      <c r="W285" s="23"/>
      <c r="X285" s="26"/>
      <c r="Y285" s="25"/>
      <c r="Z285" s="24"/>
      <c r="AA285" s="23">
        <v>20</v>
      </c>
      <c r="AB285" s="26"/>
      <c r="AC285" s="25"/>
      <c r="AD285" s="24"/>
      <c r="AE285" s="23"/>
      <c r="AF285" s="26"/>
      <c r="AG285" s="25">
        <v>0</v>
      </c>
      <c r="AH285" s="24"/>
      <c r="AI285" s="23">
        <v>20</v>
      </c>
      <c r="AJ285" s="24">
        <f>30+30</f>
        <v>60</v>
      </c>
      <c r="AK285" s="25"/>
      <c r="AL285" s="24"/>
      <c r="AM285" s="23"/>
      <c r="AN285" s="24"/>
      <c r="AO285" s="25"/>
      <c r="AP285" s="24"/>
      <c r="AQ285" s="23">
        <v>20</v>
      </c>
      <c r="AR285" s="24">
        <v>20</v>
      </c>
      <c r="AS285" s="25"/>
      <c r="AT285" s="24"/>
      <c r="AU285" s="23"/>
      <c r="AV285" s="24"/>
      <c r="AW285" s="25"/>
      <c r="AX285" s="24"/>
      <c r="AY285" s="23">
        <v>20</v>
      </c>
      <c r="AZ285" s="24">
        <v>20</v>
      </c>
      <c r="BA285" s="25"/>
      <c r="BB285" s="24"/>
      <c r="BC285" s="23"/>
      <c r="BD285" s="24"/>
      <c r="BE285" s="25"/>
      <c r="BF285" s="24"/>
      <c r="BG285" s="23">
        <v>20</v>
      </c>
      <c r="BH285" s="24">
        <v>20</v>
      </c>
      <c r="BI285" s="25"/>
      <c r="BJ285" s="24"/>
      <c r="BK285" s="340"/>
      <c r="BL285" s="32">
        <f t="shared" si="96"/>
        <v>120</v>
      </c>
      <c r="BM285" s="32">
        <f t="shared" si="97"/>
        <v>31892.459016393441</v>
      </c>
      <c r="BN285" s="28">
        <f t="shared" si="98"/>
        <v>120</v>
      </c>
      <c r="BO285" s="29">
        <f t="shared" si="99"/>
        <v>31892.459016393441</v>
      </c>
      <c r="BP285" s="30">
        <f t="shared" si="100"/>
        <v>0</v>
      </c>
      <c r="BQ285" s="31">
        <f t="shared" si="101"/>
        <v>0</v>
      </c>
      <c r="BR285" s="11"/>
      <c r="BS285" s="329"/>
      <c r="BT285" s="23"/>
      <c r="BU285" s="24"/>
      <c r="BV285" s="25"/>
      <c r="BW285" s="24"/>
      <c r="BX285" s="23"/>
      <c r="BY285" s="24"/>
      <c r="BZ285" s="25"/>
      <c r="CA285" s="24"/>
      <c r="CB285" s="23"/>
      <c r="CC285" s="24"/>
      <c r="CD285" s="25"/>
      <c r="CE285" s="24"/>
      <c r="CF285" s="23"/>
      <c r="CG285" s="24"/>
      <c r="CH285" s="25"/>
      <c r="CI285" s="24"/>
      <c r="CJ285" s="23"/>
      <c r="CK285" s="24"/>
      <c r="CL285" s="25"/>
      <c r="CM285" s="24"/>
      <c r="CN285" s="23"/>
      <c r="CO285" s="24"/>
      <c r="CP285" s="25"/>
      <c r="CQ285" s="24"/>
      <c r="CR285" s="23"/>
      <c r="CS285" s="24"/>
      <c r="CT285" s="25"/>
      <c r="CU285" s="24"/>
      <c r="CV285" s="23"/>
      <c r="CW285" s="24"/>
      <c r="CX285" s="25"/>
      <c r="CY285" s="24"/>
      <c r="CZ285" s="23"/>
      <c r="DA285" s="24"/>
      <c r="DB285" s="25"/>
      <c r="DC285" s="24"/>
      <c r="DD285" s="23"/>
      <c r="DE285" s="24"/>
      <c r="DF285" s="25"/>
      <c r="DG285" s="24"/>
      <c r="DH285" s="23"/>
      <c r="DI285" s="24"/>
      <c r="DJ285" s="25"/>
      <c r="DK285" s="24"/>
      <c r="DL285" s="23"/>
      <c r="DM285" s="24"/>
      <c r="DN285" s="25"/>
      <c r="DO285" s="24"/>
      <c r="DP285" s="340"/>
      <c r="DQ285" s="32">
        <f>SUMPRODUCT(--(MOD(COLUMN(BT285:CQ285),4)=MOD(COLUMN(BT285),4)),BT285:CQ285)+SUMPRODUCT(--(MOD(COLUMN(CR285:DO285),4)=MOD(COLUMN(CR285),4)),CR285:DO285)</f>
        <v>0</v>
      </c>
      <c r="DR285" s="32">
        <f>SUMPRODUCT(--(MOD(COLUMN(BT285:CQ285),4)=MOD(COLUMN(BT285),4)),BT285:CQ285)*$I285+SUMPRODUCT(--(MOD(COLUMN(CR285:DO285),4)=MOD(COLUMN(CR285),4)),CR285:DO285)*$I285</f>
        <v>0</v>
      </c>
      <c r="DS285" s="11"/>
      <c r="DT285" s="329"/>
      <c r="DU285" s="23"/>
      <c r="DV285" s="24"/>
      <c r="DW285" s="25"/>
      <c r="DX285" s="24"/>
      <c r="DY285" s="23"/>
      <c r="DZ285" s="24"/>
      <c r="EA285" s="25"/>
      <c r="EB285" s="24"/>
      <c r="EC285" s="23"/>
      <c r="ED285" s="24"/>
      <c r="EE285" s="25"/>
      <c r="EF285" s="24"/>
      <c r="EG285" s="23"/>
      <c r="EH285" s="24"/>
      <c r="EI285" s="25"/>
      <c r="EJ285" s="24"/>
      <c r="EK285" s="23"/>
      <c r="EL285" s="24"/>
      <c r="EM285" s="25"/>
      <c r="EN285" s="24"/>
      <c r="EO285" s="23"/>
      <c r="EP285" s="24"/>
      <c r="EQ285" s="25"/>
      <c r="ER285" s="24"/>
      <c r="ES285" s="23"/>
      <c r="ET285" s="24"/>
      <c r="EU285" s="25"/>
      <c r="EV285" s="24"/>
      <c r="EW285" s="23"/>
      <c r="EX285" s="24"/>
      <c r="EY285" s="25"/>
      <c r="EZ285" s="24"/>
      <c r="FA285" s="23"/>
      <c r="FB285" s="24"/>
      <c r="FC285" s="25"/>
      <c r="FD285" s="24"/>
      <c r="FE285" s="23"/>
      <c r="FF285" s="24"/>
      <c r="FG285" s="25"/>
      <c r="FH285" s="24"/>
      <c r="FI285" s="23"/>
      <c r="FJ285" s="24"/>
      <c r="FK285" s="25"/>
      <c r="FL285" s="24"/>
      <c r="FM285" s="23"/>
      <c r="FN285" s="24"/>
      <c r="FO285" s="25"/>
      <c r="FP285" s="24"/>
      <c r="FQ285" s="340"/>
      <c r="FR285" s="32">
        <f>SUMPRODUCT(--(MOD(COLUMN(DU285:ER285),4)=MOD(COLUMN(DU285),4)),DU285:ER285)+SUMPRODUCT(--(MOD(COLUMN(ES285:FP285),4)=MOD(COLUMN(ES285),4)),ES285:FP285)</f>
        <v>0</v>
      </c>
      <c r="FS285" s="32">
        <f>SUMPRODUCT(--(MOD(COLUMN(DU285:ER285),4)=MOD(COLUMN(DU285),4)),DU285:ER285)*$I285+SUMPRODUCT(--(MOD(COLUMN(ES285:FP285),4)=MOD(COLUMN(ES285),4)),ES285:FP285)*$I285</f>
        <v>0</v>
      </c>
      <c r="FT285" s="361"/>
    </row>
    <row r="286" spans="1:176" outlineLevel="2">
      <c r="A286" s="58" t="s">
        <v>471</v>
      </c>
      <c r="B286" s="387" t="s">
        <v>82</v>
      </c>
      <c r="C286" s="173" t="s">
        <v>72</v>
      </c>
      <c r="D286" s="595" t="s">
        <v>32</v>
      </c>
      <c r="E286" s="10">
        <f>IF(ISBLANK(G286),"",IF($A$6:$A$330=$A286,COUNTIF($A$6:A286,$A286),""))</f>
        <v>21</v>
      </c>
      <c r="F286" s="10">
        <v>1</v>
      </c>
      <c r="G286" s="55">
        <v>4334010030</v>
      </c>
      <c r="H286" s="54" t="s">
        <v>81</v>
      </c>
      <c r="I286" s="617">
        <f>50.85/НДС</f>
        <v>41.680327868852459</v>
      </c>
      <c r="J286" s="617"/>
      <c r="K286" s="113"/>
      <c r="L286" s="617" t="str">
        <f>IF(K286="RUB",J286/ЮАНЬ,IF(K286="EUR",J286*ЕВРО/ЮАНЬ,""))</f>
        <v/>
      </c>
      <c r="M286" s="102"/>
      <c r="N286" s="305">
        <f t="shared" si="95"/>
        <v>2</v>
      </c>
      <c r="O286" s="23"/>
      <c r="P286" s="24"/>
      <c r="Q286" s="25"/>
      <c r="R286" s="24"/>
      <c r="S286" s="23">
        <v>10</v>
      </c>
      <c r="T286" s="24"/>
      <c r="U286" s="25"/>
      <c r="V286" s="24"/>
      <c r="W286" s="23"/>
      <c r="X286" s="26"/>
      <c r="Y286" s="25"/>
      <c r="Z286" s="24"/>
      <c r="AA286" s="23">
        <v>10</v>
      </c>
      <c r="AB286" s="26"/>
      <c r="AC286" s="25"/>
      <c r="AD286" s="24"/>
      <c r="AE286" s="23"/>
      <c r="AF286" s="26"/>
      <c r="AG286" s="25">
        <v>0</v>
      </c>
      <c r="AH286" s="24"/>
      <c r="AI286" s="23">
        <v>10</v>
      </c>
      <c r="AJ286" s="24">
        <f>40</f>
        <v>40</v>
      </c>
      <c r="AK286" s="25"/>
      <c r="AL286" s="24"/>
      <c r="AM286" s="23"/>
      <c r="AN286" s="24"/>
      <c r="AO286" s="25"/>
      <c r="AP286" s="24"/>
      <c r="AQ286" s="23">
        <v>10</v>
      </c>
      <c r="AR286" s="24">
        <v>10</v>
      </c>
      <c r="AS286" s="25"/>
      <c r="AT286" s="24"/>
      <c r="AU286" s="23"/>
      <c r="AV286" s="24"/>
      <c r="AW286" s="25"/>
      <c r="AX286" s="24"/>
      <c r="AY286" s="23">
        <v>10</v>
      </c>
      <c r="AZ286" s="24">
        <v>10</v>
      </c>
      <c r="BA286" s="25"/>
      <c r="BB286" s="24"/>
      <c r="BC286" s="23"/>
      <c r="BD286" s="24"/>
      <c r="BE286" s="25"/>
      <c r="BF286" s="24"/>
      <c r="BG286" s="23">
        <v>10</v>
      </c>
      <c r="BH286" s="24">
        <v>10</v>
      </c>
      <c r="BI286" s="25"/>
      <c r="BJ286" s="24"/>
      <c r="BK286" s="340"/>
      <c r="BL286" s="32">
        <f t="shared" si="96"/>
        <v>60</v>
      </c>
      <c r="BM286" s="32">
        <f t="shared" si="97"/>
        <v>2500.8196721311474</v>
      </c>
      <c r="BN286" s="28">
        <f t="shared" si="98"/>
        <v>70</v>
      </c>
      <c r="BO286" s="29">
        <f t="shared" si="99"/>
        <v>2917.622950819672</v>
      </c>
      <c r="BP286" s="30">
        <f t="shared" si="100"/>
        <v>0</v>
      </c>
      <c r="BQ286" s="31">
        <f t="shared" si="101"/>
        <v>0</v>
      </c>
      <c r="BR286" s="11"/>
      <c r="BS286" s="329"/>
      <c r="BT286" s="23"/>
      <c r="BU286" s="24"/>
      <c r="BV286" s="25"/>
      <c r="BW286" s="24"/>
      <c r="BX286" s="23"/>
      <c r="BY286" s="24"/>
      <c r="BZ286" s="25"/>
      <c r="CA286" s="24"/>
      <c r="CB286" s="23"/>
      <c r="CC286" s="24"/>
      <c r="CD286" s="25"/>
      <c r="CE286" s="24"/>
      <c r="CF286" s="23"/>
      <c r="CG286" s="24"/>
      <c r="CH286" s="25"/>
      <c r="CI286" s="24"/>
      <c r="CJ286" s="23"/>
      <c r="CK286" s="24"/>
      <c r="CL286" s="25"/>
      <c r="CM286" s="24"/>
      <c r="CN286" s="23"/>
      <c r="CO286" s="24"/>
      <c r="CP286" s="25"/>
      <c r="CQ286" s="24"/>
      <c r="CR286" s="23"/>
      <c r="CS286" s="24"/>
      <c r="CT286" s="25"/>
      <c r="CU286" s="24"/>
      <c r="CV286" s="23"/>
      <c r="CW286" s="24"/>
      <c r="CX286" s="25"/>
      <c r="CY286" s="24"/>
      <c r="CZ286" s="23"/>
      <c r="DA286" s="24"/>
      <c r="DB286" s="25"/>
      <c r="DC286" s="24"/>
      <c r="DD286" s="23"/>
      <c r="DE286" s="24"/>
      <c r="DF286" s="25"/>
      <c r="DG286" s="24"/>
      <c r="DH286" s="23"/>
      <c r="DI286" s="24"/>
      <c r="DJ286" s="25"/>
      <c r="DK286" s="24"/>
      <c r="DL286" s="23"/>
      <c r="DM286" s="24"/>
      <c r="DN286" s="25"/>
      <c r="DO286" s="24"/>
      <c r="DP286" s="340"/>
      <c r="DQ286" s="32">
        <f>SUMPRODUCT(--(MOD(COLUMN(BT286:CQ286),4)=MOD(COLUMN(BT286),4)),BT286:CQ286)+SUMPRODUCT(--(MOD(COLUMN(CR286:DO286),4)=MOD(COLUMN(CR286),4)),CR286:DO286)</f>
        <v>0</v>
      </c>
      <c r="DR286" s="32">
        <f>SUMPRODUCT(--(MOD(COLUMN(BT286:CQ286),4)=MOD(COLUMN(BT286),4)),BT286:CQ286)*$I286+SUMPRODUCT(--(MOD(COLUMN(CR286:DO286),4)=MOD(COLUMN(CR286),4)),CR286:DO286)*$I286</f>
        <v>0</v>
      </c>
      <c r="DS286" s="11"/>
      <c r="DT286" s="329"/>
      <c r="DU286" s="23"/>
      <c r="DV286" s="24"/>
      <c r="DW286" s="25"/>
      <c r="DX286" s="24"/>
      <c r="DY286" s="23"/>
      <c r="DZ286" s="24"/>
      <c r="EA286" s="25"/>
      <c r="EB286" s="24"/>
      <c r="EC286" s="23"/>
      <c r="ED286" s="24"/>
      <c r="EE286" s="25"/>
      <c r="EF286" s="24"/>
      <c r="EG286" s="23"/>
      <c r="EH286" s="24"/>
      <c r="EI286" s="25"/>
      <c r="EJ286" s="24"/>
      <c r="EK286" s="23"/>
      <c r="EL286" s="24"/>
      <c r="EM286" s="25"/>
      <c r="EN286" s="24"/>
      <c r="EO286" s="23"/>
      <c r="EP286" s="24"/>
      <c r="EQ286" s="25"/>
      <c r="ER286" s="24"/>
      <c r="ES286" s="23"/>
      <c r="ET286" s="24"/>
      <c r="EU286" s="25"/>
      <c r="EV286" s="24"/>
      <c r="EW286" s="23"/>
      <c r="EX286" s="24"/>
      <c r="EY286" s="25"/>
      <c r="EZ286" s="24"/>
      <c r="FA286" s="23"/>
      <c r="FB286" s="24"/>
      <c r="FC286" s="25"/>
      <c r="FD286" s="24"/>
      <c r="FE286" s="23"/>
      <c r="FF286" s="24"/>
      <c r="FG286" s="25"/>
      <c r="FH286" s="24"/>
      <c r="FI286" s="23"/>
      <c r="FJ286" s="24"/>
      <c r="FK286" s="25"/>
      <c r="FL286" s="24"/>
      <c r="FM286" s="23"/>
      <c r="FN286" s="24"/>
      <c r="FO286" s="25"/>
      <c r="FP286" s="24"/>
      <c r="FQ286" s="340"/>
      <c r="FR286" s="32">
        <f>SUMPRODUCT(--(MOD(COLUMN(DU286:ER286),4)=MOD(COLUMN(DU286),4)),DU286:ER286)+SUMPRODUCT(--(MOD(COLUMN(ES286:FP286),4)=MOD(COLUMN(ES286),4)),ES286:FP286)</f>
        <v>0</v>
      </c>
      <c r="FS286" s="32">
        <f>SUMPRODUCT(--(MOD(COLUMN(DU286:ER286),4)=MOD(COLUMN(DU286),4)),DU286:ER286)*$I286+SUMPRODUCT(--(MOD(COLUMN(ES286:FP286),4)=MOD(COLUMN(ES286),4)),ES286:FP286)*$I286</f>
        <v>0</v>
      </c>
      <c r="FT286" s="361"/>
    </row>
    <row r="287" spans="1:176" outlineLevel="2">
      <c r="A287" s="58" t="s">
        <v>471</v>
      </c>
      <c r="B287" s="387" t="s">
        <v>82</v>
      </c>
      <c r="C287" s="173" t="s">
        <v>72</v>
      </c>
      <c r="D287" s="595" t="s">
        <v>32</v>
      </c>
      <c r="E287" s="10">
        <f>IF(ISBLANK(G287),"",IF($A$6:$A$330=$A287,COUNTIF($A$6:A287,$A287),""))</f>
        <v>22</v>
      </c>
      <c r="F287" s="10">
        <v>1</v>
      </c>
      <c r="G287" s="55">
        <v>4757145000</v>
      </c>
      <c r="H287" s="54" t="s">
        <v>94</v>
      </c>
      <c r="I287" s="617">
        <f>633/НДС_20</f>
        <v>527.5</v>
      </c>
      <c r="J287" s="617"/>
      <c r="K287" s="113"/>
      <c r="L287" s="617" t="str">
        <f>IF(K287="RUB",J287/ЮАНЬ,IF(K287="EUR",J287*ЕВРО/ЮАНЬ,""))</f>
        <v/>
      </c>
      <c r="M287" s="102"/>
      <c r="N287" s="305">
        <f t="shared" si="95"/>
        <v>2</v>
      </c>
      <c r="O287" s="23"/>
      <c r="P287" s="24"/>
      <c r="Q287" s="25"/>
      <c r="R287" s="24"/>
      <c r="S287" s="23">
        <v>40</v>
      </c>
      <c r="T287" s="24"/>
      <c r="U287" s="25"/>
      <c r="V287" s="24"/>
      <c r="W287" s="23"/>
      <c r="X287" s="26"/>
      <c r="Y287" s="25"/>
      <c r="Z287" s="24"/>
      <c r="AA287" s="23">
        <v>40</v>
      </c>
      <c r="AB287" s="26"/>
      <c r="AC287" s="25"/>
      <c r="AD287" s="24"/>
      <c r="AE287" s="23"/>
      <c r="AF287" s="26"/>
      <c r="AG287" s="25"/>
      <c r="AH287" s="24"/>
      <c r="AI287" s="23">
        <v>40</v>
      </c>
      <c r="AJ287" s="24">
        <v>40</v>
      </c>
      <c r="AK287" s="25"/>
      <c r="AL287" s="24"/>
      <c r="AM287" s="23"/>
      <c r="AN287" s="24"/>
      <c r="AO287" s="25"/>
      <c r="AP287" s="24"/>
      <c r="AQ287" s="23">
        <v>40</v>
      </c>
      <c r="AR287" s="24">
        <v>40</v>
      </c>
      <c r="AS287" s="25"/>
      <c r="AT287" s="24"/>
      <c r="AU287" s="23"/>
      <c r="AV287" s="24"/>
      <c r="AW287" s="25"/>
      <c r="AX287" s="24"/>
      <c r="AY287" s="23">
        <v>40</v>
      </c>
      <c r="AZ287" s="24">
        <v>40</v>
      </c>
      <c r="BA287" s="25"/>
      <c r="BB287" s="24"/>
      <c r="BC287" s="23"/>
      <c r="BD287" s="24"/>
      <c r="BE287" s="25"/>
      <c r="BF287" s="24"/>
      <c r="BG287" s="23">
        <v>40</v>
      </c>
      <c r="BH287" s="24">
        <v>40</v>
      </c>
      <c r="BI287" s="25"/>
      <c r="BJ287" s="24"/>
      <c r="BK287" s="340"/>
      <c r="BL287" s="32">
        <f t="shared" si="96"/>
        <v>240</v>
      </c>
      <c r="BM287" s="32">
        <f t="shared" si="97"/>
        <v>126600</v>
      </c>
      <c r="BN287" s="28">
        <f t="shared" si="98"/>
        <v>160</v>
      </c>
      <c r="BO287" s="29">
        <f t="shared" si="99"/>
        <v>84400</v>
      </c>
      <c r="BP287" s="30">
        <f t="shared" si="100"/>
        <v>0</v>
      </c>
      <c r="BQ287" s="31">
        <f t="shared" si="101"/>
        <v>0</v>
      </c>
      <c r="BR287" s="11"/>
      <c r="BS287" s="329"/>
      <c r="BT287" s="23">
        <v>25</v>
      </c>
      <c r="BU287" s="24"/>
      <c r="BV287" s="25"/>
      <c r="BW287" s="24"/>
      <c r="BX287" s="23">
        <v>25</v>
      </c>
      <c r="BY287" s="24"/>
      <c r="BZ287" s="25"/>
      <c r="CA287" s="24"/>
      <c r="CB287" s="23">
        <v>25</v>
      </c>
      <c r="CC287" s="24"/>
      <c r="CD287" s="25"/>
      <c r="CE287" s="24"/>
      <c r="CF287" s="23">
        <v>25</v>
      </c>
      <c r="CG287" s="24"/>
      <c r="CH287" s="25"/>
      <c r="CI287" s="24"/>
      <c r="CJ287" s="23">
        <v>25</v>
      </c>
      <c r="CK287" s="24"/>
      <c r="CL287" s="25"/>
      <c r="CM287" s="24"/>
      <c r="CN287" s="23">
        <v>25</v>
      </c>
      <c r="CO287" s="24"/>
      <c r="CP287" s="25"/>
      <c r="CQ287" s="24"/>
      <c r="CR287" s="23">
        <v>25</v>
      </c>
      <c r="CS287" s="24"/>
      <c r="CT287" s="25"/>
      <c r="CU287" s="24"/>
      <c r="CV287" s="23">
        <v>25</v>
      </c>
      <c r="CW287" s="24"/>
      <c r="CX287" s="25"/>
      <c r="CY287" s="24"/>
      <c r="CZ287" s="23">
        <v>25</v>
      </c>
      <c r="DA287" s="24"/>
      <c r="DB287" s="25"/>
      <c r="DC287" s="24"/>
      <c r="DD287" s="23">
        <v>25</v>
      </c>
      <c r="DE287" s="24"/>
      <c r="DF287" s="25"/>
      <c r="DG287" s="24"/>
      <c r="DH287" s="23">
        <v>25</v>
      </c>
      <c r="DI287" s="24"/>
      <c r="DJ287" s="25"/>
      <c r="DK287" s="24"/>
      <c r="DL287" s="23">
        <v>25</v>
      </c>
      <c r="DM287" s="24"/>
      <c r="DN287" s="25"/>
      <c r="DO287" s="24"/>
      <c r="DP287" s="340"/>
      <c r="DQ287" s="32">
        <f>SUMPRODUCT(--(MOD(COLUMN(BT287:CQ287),4)=MOD(COLUMN(BT287),4)),BT287:CQ287)+SUMPRODUCT(--(MOD(COLUMN(CR287:DO287),4)=MOD(COLUMN(CR287),4)),CR287:DO287)</f>
        <v>300</v>
      </c>
      <c r="DR287" s="32">
        <f>SUMPRODUCT(--(MOD(COLUMN(BT287:CQ287),4)=MOD(COLUMN(BT287),4)),BT287:CQ287)*$I287+SUMPRODUCT(--(MOD(COLUMN(CR287:DO287),4)=MOD(COLUMN(CR287),4)),CR287:DO287)*$I287</f>
        <v>158250</v>
      </c>
      <c r="DS287" s="11"/>
      <c r="DT287" s="329"/>
      <c r="DU287" s="23">
        <v>30</v>
      </c>
      <c r="DV287" s="24"/>
      <c r="DW287" s="25"/>
      <c r="DX287" s="24"/>
      <c r="DY287" s="23">
        <v>30</v>
      </c>
      <c r="DZ287" s="24"/>
      <c r="EA287" s="25"/>
      <c r="EB287" s="24"/>
      <c r="EC287" s="23">
        <v>30</v>
      </c>
      <c r="ED287" s="24"/>
      <c r="EE287" s="25"/>
      <c r="EF287" s="24"/>
      <c r="EG287" s="23">
        <v>30</v>
      </c>
      <c r="EH287" s="24"/>
      <c r="EI287" s="25"/>
      <c r="EJ287" s="24"/>
      <c r="EK287" s="23">
        <v>30</v>
      </c>
      <c r="EL287" s="24"/>
      <c r="EM287" s="25"/>
      <c r="EN287" s="24"/>
      <c r="EO287" s="23">
        <v>30</v>
      </c>
      <c r="EP287" s="24"/>
      <c r="EQ287" s="25"/>
      <c r="ER287" s="24"/>
      <c r="ES287" s="23">
        <v>30</v>
      </c>
      <c r="ET287" s="24"/>
      <c r="EU287" s="25"/>
      <c r="EV287" s="24"/>
      <c r="EW287" s="23">
        <v>30</v>
      </c>
      <c r="EX287" s="24"/>
      <c r="EY287" s="25"/>
      <c r="EZ287" s="24"/>
      <c r="FA287" s="23">
        <v>30</v>
      </c>
      <c r="FB287" s="24"/>
      <c r="FC287" s="25"/>
      <c r="FD287" s="24"/>
      <c r="FE287" s="23">
        <v>30</v>
      </c>
      <c r="FF287" s="24"/>
      <c r="FG287" s="25"/>
      <c r="FH287" s="24"/>
      <c r="FI287" s="23">
        <v>30</v>
      </c>
      <c r="FJ287" s="24"/>
      <c r="FK287" s="25"/>
      <c r="FL287" s="24"/>
      <c r="FM287" s="23">
        <v>30</v>
      </c>
      <c r="FN287" s="24"/>
      <c r="FO287" s="25"/>
      <c r="FP287" s="24"/>
      <c r="FQ287" s="340"/>
      <c r="FR287" s="32">
        <f>SUMPRODUCT(--(MOD(COLUMN(DU287:ER287),4)=MOD(COLUMN(DU287),4)),DU287:ER287)+SUMPRODUCT(--(MOD(COLUMN(ES287:FP287),4)=MOD(COLUMN(ES287),4)),ES287:FP287)</f>
        <v>360</v>
      </c>
      <c r="FS287" s="32">
        <f>SUMPRODUCT(--(MOD(COLUMN(DU287:ER287),4)=MOD(COLUMN(DU287),4)),DU287:ER287)*$I287+SUMPRODUCT(--(MOD(COLUMN(ES287:FP287),4)=MOD(COLUMN(ES287),4)),ES287:FP287)*$I287</f>
        <v>189900</v>
      </c>
      <c r="FT287" s="361"/>
    </row>
    <row r="288" spans="1:176" outlineLevel="2">
      <c r="A288" s="58" t="s">
        <v>471</v>
      </c>
      <c r="B288" s="387" t="s">
        <v>82</v>
      </c>
      <c r="C288" s="173" t="s">
        <v>72</v>
      </c>
      <c r="D288" s="595" t="s">
        <v>32</v>
      </c>
      <c r="E288" s="10">
        <f>IF(ISBLANK(G288),"",IF($A$6:$A$330=$A288,COUNTIF($A$6:A288,$A288),""))</f>
        <v>23</v>
      </c>
      <c r="F288" s="10">
        <v>1</v>
      </c>
      <c r="G288" s="55">
        <v>4750103050</v>
      </c>
      <c r="H288" s="54" t="s">
        <v>88</v>
      </c>
      <c r="I288" s="617">
        <f>102/НДС_20</f>
        <v>85</v>
      </c>
      <c r="J288" s="617"/>
      <c r="K288" s="113"/>
      <c r="L288" s="617" t="str">
        <f>IF(K288="RUB",J288/ЮАНЬ,IF(K288="EUR",J288*ЕВРО/ЮАНЬ,""))</f>
        <v/>
      </c>
      <c r="M288" s="102"/>
      <c r="N288" s="305">
        <f t="shared" si="95"/>
        <v>2</v>
      </c>
      <c r="O288" s="23"/>
      <c r="P288" s="24"/>
      <c r="Q288" s="25"/>
      <c r="R288" s="24"/>
      <c r="S288" s="23">
        <v>20</v>
      </c>
      <c r="T288" s="24"/>
      <c r="U288" s="25"/>
      <c r="V288" s="24"/>
      <c r="W288" s="23"/>
      <c r="X288" s="26"/>
      <c r="Y288" s="25"/>
      <c r="Z288" s="24"/>
      <c r="AA288" s="23">
        <v>20</v>
      </c>
      <c r="AB288" s="26"/>
      <c r="AC288" s="25"/>
      <c r="AD288" s="24"/>
      <c r="AE288" s="23"/>
      <c r="AF288" s="26"/>
      <c r="AG288" s="25"/>
      <c r="AH288" s="24"/>
      <c r="AI288" s="23">
        <v>20</v>
      </c>
      <c r="AJ288" s="24">
        <v>20</v>
      </c>
      <c r="AK288" s="25"/>
      <c r="AL288" s="24"/>
      <c r="AM288" s="23"/>
      <c r="AN288" s="24"/>
      <c r="AO288" s="25"/>
      <c r="AP288" s="24"/>
      <c r="AQ288" s="23">
        <v>20</v>
      </c>
      <c r="AR288" s="24">
        <v>20</v>
      </c>
      <c r="AS288" s="25"/>
      <c r="AT288" s="24"/>
      <c r="AU288" s="23"/>
      <c r="AV288" s="24"/>
      <c r="AW288" s="25"/>
      <c r="AX288" s="24"/>
      <c r="AY288" s="23">
        <v>20</v>
      </c>
      <c r="AZ288" s="24">
        <v>20</v>
      </c>
      <c r="BA288" s="25"/>
      <c r="BB288" s="24"/>
      <c r="BC288" s="23"/>
      <c r="BD288" s="24"/>
      <c r="BE288" s="25"/>
      <c r="BF288" s="24"/>
      <c r="BG288" s="23">
        <v>20</v>
      </c>
      <c r="BH288" s="24">
        <v>20</v>
      </c>
      <c r="BI288" s="25"/>
      <c r="BJ288" s="24"/>
      <c r="BK288" s="340"/>
      <c r="BL288" s="32">
        <f t="shared" si="96"/>
        <v>120</v>
      </c>
      <c r="BM288" s="32">
        <f t="shared" si="97"/>
        <v>10200</v>
      </c>
      <c r="BN288" s="28">
        <f t="shared" si="98"/>
        <v>80</v>
      </c>
      <c r="BO288" s="29">
        <f t="shared" si="99"/>
        <v>6800</v>
      </c>
      <c r="BP288" s="30">
        <f t="shared" si="100"/>
        <v>0</v>
      </c>
      <c r="BQ288" s="31">
        <f t="shared" si="101"/>
        <v>0</v>
      </c>
      <c r="BR288" s="11"/>
      <c r="BS288" s="329"/>
      <c r="BT288" s="23">
        <v>15</v>
      </c>
      <c r="BU288" s="24"/>
      <c r="BV288" s="25"/>
      <c r="BW288" s="24"/>
      <c r="BX288" s="23">
        <v>15</v>
      </c>
      <c r="BY288" s="24"/>
      <c r="BZ288" s="25"/>
      <c r="CA288" s="24"/>
      <c r="CB288" s="23">
        <v>15</v>
      </c>
      <c r="CC288" s="24"/>
      <c r="CD288" s="25"/>
      <c r="CE288" s="24"/>
      <c r="CF288" s="23">
        <v>15</v>
      </c>
      <c r="CG288" s="24"/>
      <c r="CH288" s="25"/>
      <c r="CI288" s="24"/>
      <c r="CJ288" s="23">
        <v>15</v>
      </c>
      <c r="CK288" s="24"/>
      <c r="CL288" s="25"/>
      <c r="CM288" s="24"/>
      <c r="CN288" s="23">
        <v>25</v>
      </c>
      <c r="CO288" s="24"/>
      <c r="CP288" s="25"/>
      <c r="CQ288" s="24"/>
      <c r="CR288" s="23">
        <v>25</v>
      </c>
      <c r="CS288" s="24"/>
      <c r="CT288" s="25"/>
      <c r="CU288" s="24"/>
      <c r="CV288" s="23">
        <v>25</v>
      </c>
      <c r="CW288" s="24"/>
      <c r="CX288" s="25"/>
      <c r="CY288" s="24"/>
      <c r="CZ288" s="23">
        <v>25</v>
      </c>
      <c r="DA288" s="24"/>
      <c r="DB288" s="25"/>
      <c r="DC288" s="24"/>
      <c r="DD288" s="23">
        <v>25</v>
      </c>
      <c r="DE288" s="24"/>
      <c r="DF288" s="25"/>
      <c r="DG288" s="24"/>
      <c r="DH288" s="23">
        <v>25</v>
      </c>
      <c r="DI288" s="24"/>
      <c r="DJ288" s="25"/>
      <c r="DK288" s="24"/>
      <c r="DL288" s="23">
        <v>25</v>
      </c>
      <c r="DM288" s="24"/>
      <c r="DN288" s="25"/>
      <c r="DO288" s="24"/>
      <c r="DP288" s="340"/>
      <c r="DQ288" s="32">
        <f>SUMPRODUCT(--(MOD(COLUMN(BT288:CQ288),4)=MOD(COLUMN(BT288),4)),BT288:CQ288)+SUMPRODUCT(--(MOD(COLUMN(CR288:DO288),4)=MOD(COLUMN(CR288),4)),CR288:DO288)</f>
        <v>250</v>
      </c>
      <c r="DR288" s="32">
        <f>SUMPRODUCT(--(MOD(COLUMN(BT288:CQ288),4)=MOD(COLUMN(BT288),4)),BT288:CQ288)*$I288+SUMPRODUCT(--(MOD(COLUMN(CR288:DO288),4)=MOD(COLUMN(CR288),4)),CR288:DO288)*$I288</f>
        <v>21250</v>
      </c>
      <c r="DS288" s="11"/>
      <c r="DT288" s="329"/>
      <c r="DU288" s="23">
        <v>25</v>
      </c>
      <c r="DV288" s="24"/>
      <c r="DW288" s="25"/>
      <c r="DX288" s="24"/>
      <c r="DY288" s="23">
        <v>25</v>
      </c>
      <c r="DZ288" s="24"/>
      <c r="EA288" s="25"/>
      <c r="EB288" s="24"/>
      <c r="EC288" s="23">
        <v>25</v>
      </c>
      <c r="ED288" s="24"/>
      <c r="EE288" s="25"/>
      <c r="EF288" s="24"/>
      <c r="EG288" s="23">
        <v>25</v>
      </c>
      <c r="EH288" s="24"/>
      <c r="EI288" s="25"/>
      <c r="EJ288" s="24"/>
      <c r="EK288" s="23">
        <v>25</v>
      </c>
      <c r="EL288" s="24"/>
      <c r="EM288" s="25"/>
      <c r="EN288" s="24"/>
      <c r="EO288" s="23">
        <v>40</v>
      </c>
      <c r="EP288" s="24"/>
      <c r="EQ288" s="25"/>
      <c r="ER288" s="24"/>
      <c r="ES288" s="23">
        <v>40</v>
      </c>
      <c r="ET288" s="24"/>
      <c r="EU288" s="25"/>
      <c r="EV288" s="24"/>
      <c r="EW288" s="23">
        <v>40</v>
      </c>
      <c r="EX288" s="24"/>
      <c r="EY288" s="25"/>
      <c r="EZ288" s="24"/>
      <c r="FA288" s="23">
        <v>40</v>
      </c>
      <c r="FB288" s="24"/>
      <c r="FC288" s="25"/>
      <c r="FD288" s="24"/>
      <c r="FE288" s="23">
        <v>40</v>
      </c>
      <c r="FF288" s="24"/>
      <c r="FG288" s="25"/>
      <c r="FH288" s="24"/>
      <c r="FI288" s="23">
        <v>60</v>
      </c>
      <c r="FJ288" s="24"/>
      <c r="FK288" s="25"/>
      <c r="FL288" s="24"/>
      <c r="FM288" s="23">
        <v>60</v>
      </c>
      <c r="FN288" s="24"/>
      <c r="FO288" s="25"/>
      <c r="FP288" s="24"/>
      <c r="FQ288" s="340"/>
      <c r="FR288" s="32">
        <f>SUMPRODUCT(--(MOD(COLUMN(DU288:ER288),4)=MOD(COLUMN(DU288),4)),DU288:ER288)+SUMPRODUCT(--(MOD(COLUMN(ES288:FP288),4)=MOD(COLUMN(ES288),4)),ES288:FP288)</f>
        <v>445</v>
      </c>
      <c r="FS288" s="32">
        <f>SUMPRODUCT(--(MOD(COLUMN(DU288:ER288),4)=MOD(COLUMN(DU288),4)),DU288:ER288)*$I288+SUMPRODUCT(--(MOD(COLUMN(ES288:FP288),4)=MOD(COLUMN(ES288),4)),ES288:FP288)*$I288</f>
        <v>37825</v>
      </c>
      <c r="FT288" s="361"/>
    </row>
    <row r="289" spans="1:176" outlineLevel="2">
      <c r="A289" s="420" t="s">
        <v>471</v>
      </c>
      <c r="B289" s="444" t="s">
        <v>82</v>
      </c>
      <c r="C289" s="592" t="s">
        <v>72</v>
      </c>
      <c r="D289" s="586" t="s">
        <v>32</v>
      </c>
      <c r="E289" s="414">
        <f>IF(ISBLANK(G289),"",IF($A$6:$A$330=$A289,COUNTIF($A$6:A289,$A289),""))</f>
        <v>24</v>
      </c>
      <c r="F289" s="284">
        <v>1</v>
      </c>
      <c r="G289" s="304">
        <v>9630010510</v>
      </c>
      <c r="H289" s="602" t="s">
        <v>91</v>
      </c>
      <c r="I289" s="616">
        <f>325/НДС</f>
        <v>266.39344262295083</v>
      </c>
      <c r="J289" s="616"/>
      <c r="K289" s="333"/>
      <c r="L289" s="616"/>
      <c r="M289" s="305"/>
      <c r="N289" s="305">
        <f t="shared" si="95"/>
        <v>1</v>
      </c>
      <c r="O289" s="322"/>
      <c r="P289" s="408"/>
      <c r="Q289" s="307"/>
      <c r="R289" s="408"/>
      <c r="S289" s="322"/>
      <c r="T289" s="408"/>
      <c r="U289" s="307"/>
      <c r="V289" s="408"/>
      <c r="W289" s="322"/>
      <c r="X289" s="26">
        <f>20</f>
        <v>20</v>
      </c>
      <c r="Y289" s="307">
        <v>20</v>
      </c>
      <c r="Z289" s="675">
        <v>20</v>
      </c>
      <c r="AA289" s="322"/>
      <c r="AB289" s="386">
        <f>60</f>
        <v>60</v>
      </c>
      <c r="AC289" s="579">
        <v>60</v>
      </c>
      <c r="AD289" s="675">
        <v>60</v>
      </c>
      <c r="AE289" s="322"/>
      <c r="AF289" s="386"/>
      <c r="AG289" s="307"/>
      <c r="AH289" s="24"/>
      <c r="AI289" s="322"/>
      <c r="AJ289" s="408">
        <f>60</f>
        <v>60</v>
      </c>
      <c r="AK289" s="307"/>
      <c r="AL289" s="675">
        <v>60</v>
      </c>
      <c r="AM289" s="322"/>
      <c r="AN289" s="408"/>
      <c r="AO289" s="307"/>
      <c r="AP289" s="408"/>
      <c r="AQ289" s="322"/>
      <c r="AR289" s="408"/>
      <c r="AS289" s="307"/>
      <c r="AT289" s="408"/>
      <c r="AU289" s="322"/>
      <c r="AV289" s="408"/>
      <c r="AW289" s="307"/>
      <c r="AX289" s="408"/>
      <c r="AY289" s="322"/>
      <c r="AZ289" s="408"/>
      <c r="BA289" s="307"/>
      <c r="BB289" s="408"/>
      <c r="BC289" s="322"/>
      <c r="BD289" s="408"/>
      <c r="BE289" s="307"/>
      <c r="BF289" s="408"/>
      <c r="BG289" s="322"/>
      <c r="BH289" s="408"/>
      <c r="BI289" s="307"/>
      <c r="BJ289" s="408"/>
      <c r="BK289" s="340"/>
      <c r="BL289" s="328">
        <f t="shared" si="96"/>
        <v>0</v>
      </c>
      <c r="BM289" s="328">
        <f t="shared" si="97"/>
        <v>0</v>
      </c>
      <c r="BN289" s="324">
        <f t="shared" si="98"/>
        <v>140</v>
      </c>
      <c r="BO289" s="325">
        <f t="shared" si="99"/>
        <v>37295.081967213118</v>
      </c>
      <c r="BP289" s="326">
        <f t="shared" si="100"/>
        <v>80</v>
      </c>
      <c r="BQ289" s="327">
        <f t="shared" si="101"/>
        <v>21311.475409836065</v>
      </c>
      <c r="BR289" s="329"/>
      <c r="BS289" s="329"/>
      <c r="BT289" s="322"/>
      <c r="BU289" s="408"/>
      <c r="BV289" s="307"/>
      <c r="BW289" s="408"/>
      <c r="BX289" s="322"/>
      <c r="BY289" s="408"/>
      <c r="BZ289" s="307"/>
      <c r="CA289" s="408"/>
      <c r="CB289" s="322"/>
      <c r="CC289" s="408"/>
      <c r="CD289" s="307"/>
      <c r="CE289" s="408"/>
      <c r="CF289" s="322"/>
      <c r="CG289" s="408"/>
      <c r="CH289" s="307"/>
      <c r="CI289" s="408"/>
      <c r="CJ289" s="322"/>
      <c r="CK289" s="408"/>
      <c r="CL289" s="307"/>
      <c r="CM289" s="408"/>
      <c r="CN289" s="322"/>
      <c r="CO289" s="408"/>
      <c r="CP289" s="307"/>
      <c r="CQ289" s="408"/>
      <c r="CR289" s="322"/>
      <c r="CS289" s="408"/>
      <c r="CT289" s="307"/>
      <c r="CU289" s="408"/>
      <c r="CV289" s="322"/>
      <c r="CW289" s="408"/>
      <c r="CX289" s="307"/>
      <c r="CY289" s="408"/>
      <c r="CZ289" s="322"/>
      <c r="DA289" s="408"/>
      <c r="DB289" s="307"/>
      <c r="DC289" s="408"/>
      <c r="DD289" s="322"/>
      <c r="DE289" s="408"/>
      <c r="DF289" s="307"/>
      <c r="DG289" s="408"/>
      <c r="DH289" s="322"/>
      <c r="DI289" s="408"/>
      <c r="DJ289" s="307"/>
      <c r="DK289" s="408"/>
      <c r="DL289" s="322"/>
      <c r="DM289" s="408"/>
      <c r="DN289" s="307"/>
      <c r="DO289" s="408"/>
      <c r="DP289" s="340"/>
      <c r="DQ289" s="328"/>
      <c r="DR289" s="328"/>
      <c r="DS289" s="329"/>
      <c r="DT289" s="329"/>
      <c r="DU289" s="322"/>
      <c r="DV289" s="408"/>
      <c r="DW289" s="307"/>
      <c r="DX289" s="408"/>
      <c r="DY289" s="322"/>
      <c r="DZ289" s="408"/>
      <c r="EA289" s="307"/>
      <c r="EB289" s="408"/>
      <c r="EC289" s="322"/>
      <c r="ED289" s="408"/>
      <c r="EE289" s="307"/>
      <c r="EF289" s="408"/>
      <c r="EG289" s="322"/>
      <c r="EH289" s="408"/>
      <c r="EI289" s="307"/>
      <c r="EJ289" s="408"/>
      <c r="EK289" s="322"/>
      <c r="EL289" s="408"/>
      <c r="EM289" s="307"/>
      <c r="EN289" s="408"/>
      <c r="EO289" s="322"/>
      <c r="EP289" s="408"/>
      <c r="EQ289" s="307"/>
      <c r="ER289" s="408"/>
      <c r="ES289" s="322"/>
      <c r="ET289" s="408"/>
      <c r="EU289" s="307"/>
      <c r="EV289" s="408"/>
      <c r="EW289" s="322"/>
      <c r="EX289" s="408"/>
      <c r="EY289" s="307"/>
      <c r="EZ289" s="408"/>
      <c r="FA289" s="322"/>
      <c r="FB289" s="408"/>
      <c r="FC289" s="307"/>
      <c r="FD289" s="408"/>
      <c r="FE289" s="322"/>
      <c r="FF289" s="408"/>
      <c r="FG289" s="307"/>
      <c r="FH289" s="408"/>
      <c r="FI289" s="322"/>
      <c r="FJ289" s="408"/>
      <c r="FK289" s="307"/>
      <c r="FL289" s="408"/>
      <c r="FM289" s="322"/>
      <c r="FN289" s="408"/>
      <c r="FO289" s="307"/>
      <c r="FP289" s="408"/>
      <c r="FQ289" s="340"/>
      <c r="FR289" s="328"/>
      <c r="FS289" s="328"/>
      <c r="FT289" s="361"/>
    </row>
    <row r="290" spans="1:176" outlineLevel="2">
      <c r="A290" s="58" t="s">
        <v>471</v>
      </c>
      <c r="B290" s="387" t="s">
        <v>82</v>
      </c>
      <c r="C290" s="173" t="s">
        <v>72</v>
      </c>
      <c r="D290" s="595" t="s">
        <v>32</v>
      </c>
      <c r="E290" s="10">
        <f>IF(ISBLANK(G290),"",IF($A$6:$A$330=$A290,COUNTIF($A$6:A290,$A290),""))</f>
        <v>25</v>
      </c>
      <c r="F290" s="10">
        <v>1</v>
      </c>
      <c r="G290" s="55">
        <v>9730010100</v>
      </c>
      <c r="H290" s="54" t="s">
        <v>129</v>
      </c>
      <c r="I290" s="617">
        <f>118.03/НДС</f>
        <v>96.745901639344268</v>
      </c>
      <c r="J290" s="617"/>
      <c r="K290" s="113"/>
      <c r="L290" s="617" t="str">
        <f>IF(K290="RUB",J290/ЮАНЬ,IF(K290="EUR",J290*ЕВРО/ЮАНЬ,""))</f>
        <v/>
      </c>
      <c r="M290" s="102"/>
      <c r="N290" s="305">
        <f t="shared" si="95"/>
        <v>1</v>
      </c>
      <c r="O290" s="23"/>
      <c r="P290" s="24"/>
      <c r="Q290" s="25"/>
      <c r="R290" s="24"/>
      <c r="S290" s="23">
        <v>40</v>
      </c>
      <c r="T290" s="24">
        <f>30</f>
        <v>30</v>
      </c>
      <c r="U290" s="25">
        <v>30</v>
      </c>
      <c r="V290" s="24"/>
      <c r="W290" s="23"/>
      <c r="X290" s="26"/>
      <c r="Y290" s="25"/>
      <c r="Z290" s="24"/>
      <c r="AA290" s="23">
        <v>40</v>
      </c>
      <c r="AB290" s="26">
        <f>25</f>
        <v>25</v>
      </c>
      <c r="AC290" s="25">
        <v>25</v>
      </c>
      <c r="AD290" s="24"/>
      <c r="AE290" s="23"/>
      <c r="AF290" s="26"/>
      <c r="AG290" s="25"/>
      <c r="AH290" s="24"/>
      <c r="AI290" s="23">
        <v>40</v>
      </c>
      <c r="AJ290" s="24">
        <v>40</v>
      </c>
      <c r="AK290" s="25"/>
      <c r="AL290" s="24"/>
      <c r="AM290" s="23"/>
      <c r="AN290" s="24"/>
      <c r="AO290" s="25"/>
      <c r="AP290" s="24"/>
      <c r="AQ290" s="23">
        <v>40</v>
      </c>
      <c r="AR290" s="24">
        <v>40</v>
      </c>
      <c r="AS290" s="25"/>
      <c r="AT290" s="24"/>
      <c r="AU290" s="23"/>
      <c r="AV290" s="24"/>
      <c r="AW290" s="25"/>
      <c r="AX290" s="24"/>
      <c r="AY290" s="23">
        <v>40</v>
      </c>
      <c r="AZ290" s="24">
        <v>40</v>
      </c>
      <c r="BA290" s="25"/>
      <c r="BB290" s="24"/>
      <c r="BC290" s="23"/>
      <c r="BD290" s="24"/>
      <c r="BE290" s="25"/>
      <c r="BF290" s="24"/>
      <c r="BG290" s="23">
        <v>40</v>
      </c>
      <c r="BH290" s="24">
        <v>40</v>
      </c>
      <c r="BI290" s="25"/>
      <c r="BJ290" s="24"/>
      <c r="BK290" s="340"/>
      <c r="BL290" s="32">
        <f t="shared" si="96"/>
        <v>240</v>
      </c>
      <c r="BM290" s="32">
        <f t="shared" si="97"/>
        <v>23219.016393442624</v>
      </c>
      <c r="BN290" s="28">
        <f t="shared" si="98"/>
        <v>215</v>
      </c>
      <c r="BO290" s="29">
        <f t="shared" si="99"/>
        <v>20800.368852459018</v>
      </c>
      <c r="BP290" s="30">
        <f t="shared" si="100"/>
        <v>55</v>
      </c>
      <c r="BQ290" s="31">
        <f t="shared" si="101"/>
        <v>5321.0245901639346</v>
      </c>
      <c r="BR290" s="11"/>
      <c r="BS290" s="329"/>
      <c r="BT290" s="23">
        <v>50</v>
      </c>
      <c r="BU290" s="24"/>
      <c r="BV290" s="25"/>
      <c r="BW290" s="24"/>
      <c r="BX290" s="23">
        <v>50</v>
      </c>
      <c r="BY290" s="24"/>
      <c r="BZ290" s="25"/>
      <c r="CA290" s="24"/>
      <c r="CB290" s="23">
        <v>50</v>
      </c>
      <c r="CC290" s="24"/>
      <c r="CD290" s="25"/>
      <c r="CE290" s="24"/>
      <c r="CF290" s="23">
        <v>50</v>
      </c>
      <c r="CG290" s="24"/>
      <c r="CH290" s="25"/>
      <c r="CI290" s="24"/>
      <c r="CJ290" s="23">
        <v>50</v>
      </c>
      <c r="CK290" s="24"/>
      <c r="CL290" s="25"/>
      <c r="CM290" s="24"/>
      <c r="CN290" s="23">
        <v>50</v>
      </c>
      <c r="CO290" s="24"/>
      <c r="CP290" s="25"/>
      <c r="CQ290" s="24"/>
      <c r="CR290" s="23">
        <v>50</v>
      </c>
      <c r="CS290" s="24"/>
      <c r="CT290" s="25"/>
      <c r="CU290" s="24"/>
      <c r="CV290" s="23">
        <v>50</v>
      </c>
      <c r="CW290" s="24"/>
      <c r="CX290" s="25"/>
      <c r="CY290" s="24"/>
      <c r="CZ290" s="23">
        <v>50</v>
      </c>
      <c r="DA290" s="24"/>
      <c r="DB290" s="25"/>
      <c r="DC290" s="24"/>
      <c r="DD290" s="23">
        <v>50</v>
      </c>
      <c r="DE290" s="24"/>
      <c r="DF290" s="25"/>
      <c r="DG290" s="24"/>
      <c r="DH290" s="23">
        <v>50</v>
      </c>
      <c r="DI290" s="24"/>
      <c r="DJ290" s="25"/>
      <c r="DK290" s="24"/>
      <c r="DL290" s="23">
        <v>50</v>
      </c>
      <c r="DM290" s="24"/>
      <c r="DN290" s="25"/>
      <c r="DO290" s="24"/>
      <c r="DP290" s="340"/>
      <c r="DQ290" s="32">
        <f>SUMPRODUCT(--(MOD(COLUMN(BT290:CQ290),4)=MOD(COLUMN(BT290),4)),BT290:CQ290)+SUMPRODUCT(--(MOD(COLUMN(CR290:DO290),4)=MOD(COLUMN(CR290),4)),CR290:DO290)</f>
        <v>600</v>
      </c>
      <c r="DR290" s="32">
        <f>SUMPRODUCT(--(MOD(COLUMN(BT290:CQ290),4)=MOD(COLUMN(BT290),4)),BT290:CQ290)*$I290+SUMPRODUCT(--(MOD(COLUMN(CR290:DO290),4)=MOD(COLUMN(CR290),4)),CR290:DO290)*$I290</f>
        <v>58047.540983606559</v>
      </c>
      <c r="DS290" s="11"/>
      <c r="DT290" s="329"/>
      <c r="DU290" s="23">
        <v>80</v>
      </c>
      <c r="DV290" s="24"/>
      <c r="DW290" s="25"/>
      <c r="DX290" s="24"/>
      <c r="DY290" s="23">
        <v>80</v>
      </c>
      <c r="DZ290" s="24"/>
      <c r="EA290" s="25"/>
      <c r="EB290" s="24"/>
      <c r="EC290" s="23">
        <v>80</v>
      </c>
      <c r="ED290" s="24"/>
      <c r="EE290" s="25"/>
      <c r="EF290" s="24"/>
      <c r="EG290" s="23">
        <v>80</v>
      </c>
      <c r="EH290" s="24"/>
      <c r="EI290" s="25"/>
      <c r="EJ290" s="24"/>
      <c r="EK290" s="23">
        <v>80</v>
      </c>
      <c r="EL290" s="24"/>
      <c r="EM290" s="25"/>
      <c r="EN290" s="24"/>
      <c r="EO290" s="23">
        <v>80</v>
      </c>
      <c r="EP290" s="24"/>
      <c r="EQ290" s="25"/>
      <c r="ER290" s="24"/>
      <c r="ES290" s="23">
        <v>80</v>
      </c>
      <c r="ET290" s="24"/>
      <c r="EU290" s="25"/>
      <c r="EV290" s="24"/>
      <c r="EW290" s="23">
        <v>80</v>
      </c>
      <c r="EX290" s="24"/>
      <c r="EY290" s="25"/>
      <c r="EZ290" s="24"/>
      <c r="FA290" s="23">
        <v>80</v>
      </c>
      <c r="FB290" s="24"/>
      <c r="FC290" s="25"/>
      <c r="FD290" s="24"/>
      <c r="FE290" s="23">
        <v>80</v>
      </c>
      <c r="FF290" s="24"/>
      <c r="FG290" s="25"/>
      <c r="FH290" s="24"/>
      <c r="FI290" s="23">
        <v>80</v>
      </c>
      <c r="FJ290" s="24"/>
      <c r="FK290" s="25"/>
      <c r="FL290" s="24"/>
      <c r="FM290" s="23">
        <v>80</v>
      </c>
      <c r="FN290" s="24"/>
      <c r="FO290" s="25"/>
      <c r="FP290" s="24"/>
      <c r="FQ290" s="340"/>
      <c r="FR290" s="32">
        <f>SUMPRODUCT(--(MOD(COLUMN(DU290:ER290),4)=MOD(COLUMN(DU290),4)),DU290:ER290)+SUMPRODUCT(--(MOD(COLUMN(ES290:FP290),4)=MOD(COLUMN(ES290),4)),ES290:FP290)</f>
        <v>960</v>
      </c>
      <c r="FS290" s="32">
        <f>SUMPRODUCT(--(MOD(COLUMN(DU290:ER290),4)=MOD(COLUMN(DU290),4)),DU290:ER290)*$I290+SUMPRODUCT(--(MOD(COLUMN(ES290:FP290),4)=MOD(COLUMN(ES290),4)),ES290:FP290)*$I290</f>
        <v>92876.065573770495</v>
      </c>
      <c r="FT290" s="361"/>
    </row>
    <row r="291" spans="1:176" outlineLevel="2">
      <c r="A291" s="420" t="s">
        <v>471</v>
      </c>
      <c r="B291" s="444" t="s">
        <v>82</v>
      </c>
      <c r="C291" s="592" t="s">
        <v>72</v>
      </c>
      <c r="D291" s="586" t="s">
        <v>32</v>
      </c>
      <c r="E291" s="414">
        <f>IF(ISBLANK(G291),"",IF($A$6:$A$330=$A291,COUNTIF($A$6:A291,$A291),""))</f>
        <v>26</v>
      </c>
      <c r="F291" s="284">
        <v>1</v>
      </c>
      <c r="G291" s="304">
        <v>9730110000</v>
      </c>
      <c r="H291" s="602" t="s">
        <v>129</v>
      </c>
      <c r="I291" s="617">
        <f>160/НДС</f>
        <v>131.14754098360655</v>
      </c>
      <c r="J291" s="616"/>
      <c r="K291" s="333"/>
      <c r="L291" s="616"/>
      <c r="M291" s="305"/>
      <c r="N291" s="305">
        <f t="shared" si="95"/>
        <v>1</v>
      </c>
      <c r="O291" s="322"/>
      <c r="P291" s="408"/>
      <c r="Q291" s="307"/>
      <c r="R291" s="408"/>
      <c r="S291" s="322"/>
      <c r="T291" s="408"/>
      <c r="U291" s="307"/>
      <c r="V291" s="408"/>
      <c r="W291" s="322"/>
      <c r="X291" s="26">
        <f>20</f>
        <v>20</v>
      </c>
      <c r="Y291" s="307">
        <v>20</v>
      </c>
      <c r="Z291" s="675">
        <v>20</v>
      </c>
      <c r="AA291" s="322"/>
      <c r="AB291" s="386">
        <f>60</f>
        <v>60</v>
      </c>
      <c r="AC291" s="579">
        <v>60</v>
      </c>
      <c r="AD291" s="675">
        <v>60</v>
      </c>
      <c r="AE291" s="322"/>
      <c r="AF291" s="386"/>
      <c r="AG291" s="307"/>
      <c r="AH291" s="24"/>
      <c r="AI291" s="322"/>
      <c r="AJ291" s="408">
        <f>60</f>
        <v>60</v>
      </c>
      <c r="AK291" s="307"/>
      <c r="AL291" s="675">
        <v>60</v>
      </c>
      <c r="AM291" s="322"/>
      <c r="AN291" s="408"/>
      <c r="AO291" s="307"/>
      <c r="AP291" s="408"/>
      <c r="AQ291" s="322"/>
      <c r="AR291" s="408"/>
      <c r="AS291" s="307"/>
      <c r="AT291" s="408"/>
      <c r="AU291" s="322"/>
      <c r="AV291" s="408"/>
      <c r="AW291" s="307"/>
      <c r="AX291" s="408"/>
      <c r="AY291" s="322"/>
      <c r="AZ291" s="408"/>
      <c r="BA291" s="307"/>
      <c r="BB291" s="408"/>
      <c r="BC291" s="322"/>
      <c r="BD291" s="408"/>
      <c r="BE291" s="307"/>
      <c r="BF291" s="408"/>
      <c r="BG291" s="322"/>
      <c r="BH291" s="408"/>
      <c r="BI291" s="307"/>
      <c r="BJ291" s="408"/>
      <c r="BK291" s="340"/>
      <c r="BL291" s="328">
        <f t="shared" si="96"/>
        <v>0</v>
      </c>
      <c r="BM291" s="328">
        <f t="shared" si="97"/>
        <v>0</v>
      </c>
      <c r="BN291" s="324">
        <f t="shared" si="98"/>
        <v>140</v>
      </c>
      <c r="BO291" s="325">
        <f t="shared" si="99"/>
        <v>18360.655737704918</v>
      </c>
      <c r="BP291" s="326">
        <f t="shared" si="100"/>
        <v>80</v>
      </c>
      <c r="BQ291" s="327">
        <f t="shared" si="101"/>
        <v>10491.803278688523</v>
      </c>
      <c r="BR291" s="329"/>
      <c r="BS291" s="329"/>
      <c r="BT291" s="322"/>
      <c r="BU291" s="408"/>
      <c r="BV291" s="307"/>
      <c r="BW291" s="408"/>
      <c r="BX291" s="322"/>
      <c r="BY291" s="408"/>
      <c r="BZ291" s="307"/>
      <c r="CA291" s="408"/>
      <c r="CB291" s="322"/>
      <c r="CC291" s="408"/>
      <c r="CD291" s="307"/>
      <c r="CE291" s="408"/>
      <c r="CF291" s="322"/>
      <c r="CG291" s="408"/>
      <c r="CH291" s="307"/>
      <c r="CI291" s="408"/>
      <c r="CJ291" s="322"/>
      <c r="CK291" s="408"/>
      <c r="CL291" s="307"/>
      <c r="CM291" s="408"/>
      <c r="CN291" s="322"/>
      <c r="CO291" s="408"/>
      <c r="CP291" s="307"/>
      <c r="CQ291" s="408"/>
      <c r="CR291" s="322"/>
      <c r="CS291" s="408"/>
      <c r="CT291" s="307"/>
      <c r="CU291" s="408"/>
      <c r="CV291" s="322"/>
      <c r="CW291" s="408"/>
      <c r="CX291" s="307"/>
      <c r="CY291" s="408"/>
      <c r="CZ291" s="322"/>
      <c r="DA291" s="408"/>
      <c r="DB291" s="307"/>
      <c r="DC291" s="408"/>
      <c r="DD291" s="322"/>
      <c r="DE291" s="408"/>
      <c r="DF291" s="307"/>
      <c r="DG291" s="408"/>
      <c r="DH291" s="322"/>
      <c r="DI291" s="408"/>
      <c r="DJ291" s="307"/>
      <c r="DK291" s="408"/>
      <c r="DL291" s="322"/>
      <c r="DM291" s="408"/>
      <c r="DN291" s="307"/>
      <c r="DO291" s="408"/>
      <c r="DP291" s="340"/>
      <c r="DQ291" s="328"/>
      <c r="DR291" s="328"/>
      <c r="DS291" s="329"/>
      <c r="DT291" s="329"/>
      <c r="DU291" s="322"/>
      <c r="DV291" s="408"/>
      <c r="DW291" s="307"/>
      <c r="DX291" s="408"/>
      <c r="DY291" s="322"/>
      <c r="DZ291" s="408"/>
      <c r="EA291" s="307"/>
      <c r="EB291" s="408"/>
      <c r="EC291" s="322"/>
      <c r="ED291" s="408"/>
      <c r="EE291" s="307"/>
      <c r="EF291" s="408"/>
      <c r="EG291" s="322"/>
      <c r="EH291" s="408"/>
      <c r="EI291" s="307"/>
      <c r="EJ291" s="408"/>
      <c r="EK291" s="322"/>
      <c r="EL291" s="408"/>
      <c r="EM291" s="307"/>
      <c r="EN291" s="408"/>
      <c r="EO291" s="322"/>
      <c r="EP291" s="408"/>
      <c r="EQ291" s="307"/>
      <c r="ER291" s="408"/>
      <c r="ES291" s="322"/>
      <c r="ET291" s="408"/>
      <c r="EU291" s="307"/>
      <c r="EV291" s="408"/>
      <c r="EW291" s="322"/>
      <c r="EX291" s="408"/>
      <c r="EY291" s="307"/>
      <c r="EZ291" s="408"/>
      <c r="FA291" s="322"/>
      <c r="FB291" s="408"/>
      <c r="FC291" s="307"/>
      <c r="FD291" s="408"/>
      <c r="FE291" s="322"/>
      <c r="FF291" s="408"/>
      <c r="FG291" s="307"/>
      <c r="FH291" s="408"/>
      <c r="FI291" s="322"/>
      <c r="FJ291" s="408"/>
      <c r="FK291" s="307"/>
      <c r="FL291" s="408"/>
      <c r="FM291" s="322"/>
      <c r="FN291" s="408"/>
      <c r="FO291" s="307"/>
      <c r="FP291" s="408"/>
      <c r="FQ291" s="340"/>
      <c r="FR291" s="328"/>
      <c r="FS291" s="328"/>
      <c r="FT291" s="361"/>
    </row>
    <row r="292" spans="1:176" outlineLevel="2">
      <c r="A292" s="58" t="s">
        <v>471</v>
      </c>
      <c r="B292" s="387" t="s">
        <v>82</v>
      </c>
      <c r="C292" s="173" t="s">
        <v>72</v>
      </c>
      <c r="D292" s="595" t="s">
        <v>32</v>
      </c>
      <c r="E292" s="10">
        <f>IF(ISBLANK(G292),"",IF($A$6:$A$330=$A292,COUNTIF($A$6:A292,$A292),""))</f>
        <v>27</v>
      </c>
      <c r="F292" s="10">
        <v>1</v>
      </c>
      <c r="G292" s="55" t="s">
        <v>160</v>
      </c>
      <c r="H292" s="54" t="s">
        <v>161</v>
      </c>
      <c r="I292" s="617">
        <f>2732.8/НДС</f>
        <v>2240</v>
      </c>
      <c r="J292" s="617"/>
      <c r="K292" s="113"/>
      <c r="L292" s="617" t="str">
        <f t="shared" ref="L292:L299" si="106">IF(K292="RUB",J292/ЮАНЬ,IF(K292="EUR",J292*ЕВРО/ЮАНЬ,""))</f>
        <v/>
      </c>
      <c r="M292" s="102"/>
      <c r="N292" s="305">
        <f t="shared" si="95"/>
        <v>1</v>
      </c>
      <c r="O292" s="23"/>
      <c r="P292" s="24"/>
      <c r="Q292" s="25"/>
      <c r="R292" s="24"/>
      <c r="S292" s="23"/>
      <c r="T292" s="24"/>
      <c r="U292" s="25"/>
      <c r="V292" s="24"/>
      <c r="W292" s="23"/>
      <c r="X292" s="26"/>
      <c r="Y292" s="25"/>
      <c r="Z292" s="24"/>
      <c r="AA292" s="23"/>
      <c r="AB292" s="26">
        <f>1</f>
        <v>1</v>
      </c>
      <c r="AC292" s="25">
        <v>1</v>
      </c>
      <c r="AD292" s="24"/>
      <c r="AE292" s="23"/>
      <c r="AF292" s="26"/>
      <c r="AG292" s="25"/>
      <c r="AH292" s="24"/>
      <c r="AI292" s="23"/>
      <c r="AJ292" s="24"/>
      <c r="AK292" s="25"/>
      <c r="AL292" s="108"/>
      <c r="AM292" s="23"/>
      <c r="AN292" s="24"/>
      <c r="AO292" s="25"/>
      <c r="AP292" s="24"/>
      <c r="AQ292" s="23"/>
      <c r="AR292" s="24"/>
      <c r="AS292" s="25"/>
      <c r="AT292" s="24"/>
      <c r="AU292" s="23"/>
      <c r="AV292" s="24"/>
      <c r="AW292" s="25"/>
      <c r="AX292" s="24"/>
      <c r="AY292" s="23"/>
      <c r="AZ292" s="24"/>
      <c r="BA292" s="25"/>
      <c r="BB292" s="24"/>
      <c r="BC292" s="23"/>
      <c r="BD292" s="24"/>
      <c r="BE292" s="25"/>
      <c r="BF292" s="24"/>
      <c r="BG292" s="23"/>
      <c r="BH292" s="24"/>
      <c r="BI292" s="25"/>
      <c r="BJ292" s="24"/>
      <c r="BK292" s="340"/>
      <c r="BL292" s="32">
        <f t="shared" si="96"/>
        <v>0</v>
      </c>
      <c r="BM292" s="32">
        <f t="shared" si="97"/>
        <v>0</v>
      </c>
      <c r="BN292" s="28">
        <f t="shared" si="98"/>
        <v>1</v>
      </c>
      <c r="BO292" s="29">
        <f t="shared" si="99"/>
        <v>2240</v>
      </c>
      <c r="BP292" s="30">
        <f t="shared" si="100"/>
        <v>1</v>
      </c>
      <c r="BQ292" s="31">
        <f t="shared" si="101"/>
        <v>2240</v>
      </c>
      <c r="BR292" s="11"/>
      <c r="BS292" s="329"/>
      <c r="BT292" s="23"/>
      <c r="BU292" s="24"/>
      <c r="BV292" s="25"/>
      <c r="BW292" s="24"/>
      <c r="BX292" s="23"/>
      <c r="BY292" s="24"/>
      <c r="BZ292" s="25"/>
      <c r="CA292" s="24"/>
      <c r="CB292" s="23"/>
      <c r="CC292" s="24"/>
      <c r="CD292" s="25"/>
      <c r="CE292" s="24"/>
      <c r="CF292" s="23"/>
      <c r="CG292" s="24"/>
      <c r="CH292" s="25"/>
      <c r="CI292" s="24"/>
      <c r="CJ292" s="23"/>
      <c r="CK292" s="24"/>
      <c r="CL292" s="25"/>
      <c r="CM292" s="108"/>
      <c r="CN292" s="23"/>
      <c r="CO292" s="24"/>
      <c r="CP292" s="25"/>
      <c r="CQ292" s="24"/>
      <c r="CR292" s="23"/>
      <c r="CS292" s="24"/>
      <c r="CT292" s="25"/>
      <c r="CU292" s="24"/>
      <c r="CV292" s="23"/>
      <c r="CW292" s="24"/>
      <c r="CX292" s="25"/>
      <c r="CY292" s="24"/>
      <c r="CZ292" s="23"/>
      <c r="DA292" s="24"/>
      <c r="DB292" s="25"/>
      <c r="DC292" s="24"/>
      <c r="DD292" s="23"/>
      <c r="DE292" s="24"/>
      <c r="DF292" s="25"/>
      <c r="DG292" s="24"/>
      <c r="DH292" s="23"/>
      <c r="DI292" s="24"/>
      <c r="DJ292" s="25"/>
      <c r="DK292" s="24"/>
      <c r="DL292" s="23"/>
      <c r="DM292" s="24"/>
      <c r="DN292" s="25"/>
      <c r="DO292" s="24"/>
      <c r="DP292" s="340"/>
      <c r="DQ292" s="32">
        <f>SUMPRODUCT(--(MOD(COLUMN(BT292:CQ292),4)=MOD(COLUMN(BT292),4)),BT292:CQ292)+SUMPRODUCT(--(MOD(COLUMN(CR292:DO292),4)=MOD(COLUMN(CR292),4)),CR292:DO292)</f>
        <v>0</v>
      </c>
      <c r="DR292" s="32">
        <f t="shared" ref="DR292:DR299" si="107">SUMPRODUCT(--(MOD(COLUMN(BT292:CQ292),4)=MOD(COLUMN(BT292),4)),BT292:CQ292)*$I292+SUMPRODUCT(--(MOD(COLUMN(CR292:DO292),4)=MOD(COLUMN(CR292),4)),CR292:DO292)*$I292</f>
        <v>0</v>
      </c>
      <c r="DS292" s="11"/>
      <c r="DT292" s="329"/>
      <c r="DU292" s="23"/>
      <c r="DV292" s="24"/>
      <c r="DW292" s="25"/>
      <c r="DX292" s="24"/>
      <c r="DY292" s="23"/>
      <c r="DZ292" s="24"/>
      <c r="EA292" s="25"/>
      <c r="EB292" s="24"/>
      <c r="EC292" s="23"/>
      <c r="ED292" s="24"/>
      <c r="EE292" s="25"/>
      <c r="EF292" s="24"/>
      <c r="EG292" s="23"/>
      <c r="EH292" s="24"/>
      <c r="EI292" s="25"/>
      <c r="EJ292" s="24"/>
      <c r="EK292" s="23"/>
      <c r="EL292" s="24"/>
      <c r="EM292" s="25"/>
      <c r="EN292" s="108"/>
      <c r="EO292" s="23"/>
      <c r="EP292" s="24"/>
      <c r="EQ292" s="25"/>
      <c r="ER292" s="24"/>
      <c r="ES292" s="23"/>
      <c r="ET292" s="24"/>
      <c r="EU292" s="25"/>
      <c r="EV292" s="24"/>
      <c r="EW292" s="23"/>
      <c r="EX292" s="24"/>
      <c r="EY292" s="25"/>
      <c r="EZ292" s="24"/>
      <c r="FA292" s="23"/>
      <c r="FB292" s="24"/>
      <c r="FC292" s="25"/>
      <c r="FD292" s="24"/>
      <c r="FE292" s="23"/>
      <c r="FF292" s="24"/>
      <c r="FG292" s="25"/>
      <c r="FH292" s="24"/>
      <c r="FI292" s="23"/>
      <c r="FJ292" s="24"/>
      <c r="FK292" s="25"/>
      <c r="FL292" s="24"/>
      <c r="FM292" s="23"/>
      <c r="FN292" s="24"/>
      <c r="FO292" s="25"/>
      <c r="FP292" s="24"/>
      <c r="FQ292" s="340"/>
      <c r="FR292" s="32">
        <f>SUMPRODUCT(--(MOD(COLUMN(DU292:ER292),4)=MOD(COLUMN(DU292),4)),DU292:ER292)+SUMPRODUCT(--(MOD(COLUMN(ES292:FP292),4)=MOD(COLUMN(ES292),4)),ES292:FP292)</f>
        <v>0</v>
      </c>
      <c r="FS292" s="32">
        <f t="shared" ref="FS292:FS299" si="108">SUMPRODUCT(--(MOD(COLUMN(DU292:ER292),4)=MOD(COLUMN(DU292),4)),DU292:ER292)*$I292+SUMPRODUCT(--(MOD(COLUMN(ES292:FP292),4)=MOD(COLUMN(ES292),4)),ES292:FP292)*$I292</f>
        <v>0</v>
      </c>
      <c r="FT292" s="361"/>
    </row>
    <row r="293" spans="1:176" outlineLevel="2">
      <c r="A293" s="58" t="s">
        <v>471</v>
      </c>
      <c r="B293" s="387" t="s">
        <v>82</v>
      </c>
      <c r="C293" s="173" t="s">
        <v>72</v>
      </c>
      <c r="D293" s="595" t="s">
        <v>32</v>
      </c>
      <c r="E293" s="10">
        <f>IF(ISBLANK(G293),"",IF($A$6:$A$330=$A293,COUNTIF($A$6:A293,$A293),""))</f>
        <v>28</v>
      </c>
      <c r="F293" s="10">
        <v>1</v>
      </c>
      <c r="G293" s="55">
        <v>4463003700</v>
      </c>
      <c r="H293" s="54" t="s">
        <v>162</v>
      </c>
      <c r="I293" s="617">
        <f>408.7/НДС</f>
        <v>335</v>
      </c>
      <c r="J293" s="617"/>
      <c r="K293" s="113"/>
      <c r="L293" s="617" t="str">
        <f t="shared" si="106"/>
        <v/>
      </c>
      <c r="M293" s="102"/>
      <c r="N293" s="305">
        <f t="shared" si="95"/>
        <v>1</v>
      </c>
      <c r="O293" s="23"/>
      <c r="P293" s="24"/>
      <c r="Q293" s="25"/>
      <c r="R293" s="24"/>
      <c r="S293" s="23"/>
      <c r="T293" s="24"/>
      <c r="U293" s="25"/>
      <c r="V293" s="24"/>
      <c r="W293" s="23"/>
      <c r="X293" s="26"/>
      <c r="Y293" s="25"/>
      <c r="Z293" s="24"/>
      <c r="AA293" s="23"/>
      <c r="AB293" s="26">
        <f>1</f>
        <v>1</v>
      </c>
      <c r="AC293" s="25">
        <v>1</v>
      </c>
      <c r="AD293" s="24"/>
      <c r="AE293" s="23"/>
      <c r="AF293" s="26"/>
      <c r="AG293" s="25"/>
      <c r="AH293" s="24"/>
      <c r="AI293" s="23"/>
      <c r="AJ293" s="24"/>
      <c r="AK293" s="25"/>
      <c r="AL293" s="108"/>
      <c r="AM293" s="23"/>
      <c r="AN293" s="24"/>
      <c r="AO293" s="25"/>
      <c r="AP293" s="24"/>
      <c r="AQ293" s="23"/>
      <c r="AR293" s="24"/>
      <c r="AS293" s="25"/>
      <c r="AT293" s="24"/>
      <c r="AU293" s="23"/>
      <c r="AV293" s="24"/>
      <c r="AW293" s="25"/>
      <c r="AX293" s="24"/>
      <c r="AY293" s="23"/>
      <c r="AZ293" s="24"/>
      <c r="BA293" s="25"/>
      <c r="BB293" s="24"/>
      <c r="BC293" s="23"/>
      <c r="BD293" s="24"/>
      <c r="BE293" s="25"/>
      <c r="BF293" s="24"/>
      <c r="BG293" s="23"/>
      <c r="BH293" s="24"/>
      <c r="BI293" s="25"/>
      <c r="BJ293" s="24"/>
      <c r="BK293" s="340"/>
      <c r="BL293" s="32">
        <f t="shared" si="96"/>
        <v>0</v>
      </c>
      <c r="BM293" s="32">
        <f t="shared" si="97"/>
        <v>0</v>
      </c>
      <c r="BN293" s="28">
        <f t="shared" si="98"/>
        <v>1</v>
      </c>
      <c r="BO293" s="29">
        <f t="shared" si="99"/>
        <v>335</v>
      </c>
      <c r="BP293" s="30">
        <f t="shared" si="100"/>
        <v>1</v>
      </c>
      <c r="BQ293" s="31">
        <f t="shared" si="101"/>
        <v>335</v>
      </c>
      <c r="BR293" s="11"/>
      <c r="BS293" s="329"/>
      <c r="BT293" s="23"/>
      <c r="BU293" s="24"/>
      <c r="BV293" s="25"/>
      <c r="BW293" s="24"/>
      <c r="BX293" s="23"/>
      <c r="BY293" s="24"/>
      <c r="BZ293" s="25"/>
      <c r="CA293" s="24"/>
      <c r="CB293" s="23"/>
      <c r="CC293" s="24"/>
      <c r="CD293" s="25"/>
      <c r="CE293" s="24"/>
      <c r="CF293" s="23"/>
      <c r="CG293" s="24"/>
      <c r="CH293" s="25"/>
      <c r="CI293" s="24"/>
      <c r="CJ293" s="23"/>
      <c r="CK293" s="24"/>
      <c r="CL293" s="25"/>
      <c r="CM293" s="108"/>
      <c r="CN293" s="23"/>
      <c r="CO293" s="24"/>
      <c r="CP293" s="25"/>
      <c r="CQ293" s="24"/>
      <c r="CR293" s="23"/>
      <c r="CS293" s="24"/>
      <c r="CT293" s="25"/>
      <c r="CU293" s="24"/>
      <c r="CV293" s="23"/>
      <c r="CW293" s="24"/>
      <c r="CX293" s="25"/>
      <c r="CY293" s="24"/>
      <c r="CZ293" s="23"/>
      <c r="DA293" s="24"/>
      <c r="DB293" s="25"/>
      <c r="DC293" s="24"/>
      <c r="DD293" s="23"/>
      <c r="DE293" s="24"/>
      <c r="DF293" s="25"/>
      <c r="DG293" s="24"/>
      <c r="DH293" s="23"/>
      <c r="DI293" s="24"/>
      <c r="DJ293" s="25"/>
      <c r="DK293" s="24"/>
      <c r="DL293" s="23"/>
      <c r="DM293" s="24"/>
      <c r="DN293" s="25"/>
      <c r="DO293" s="24"/>
      <c r="DP293" s="340"/>
      <c r="DQ293" s="32">
        <f>SUMPRODUCT(--(MOD(COLUMN(BT293:CQ293),4)=MOD(COLUMN(BT293),4)),BT293:CQ293)+SUMPRODUCT(--(MOD(COLUMN(CR293:DO293),4)=MOD(COLUMN(CR293),4)),CR293:DO293)</f>
        <v>0</v>
      </c>
      <c r="DR293" s="32">
        <f t="shared" si="107"/>
        <v>0</v>
      </c>
      <c r="DS293" s="11"/>
      <c r="DT293" s="329"/>
      <c r="DU293" s="23"/>
      <c r="DV293" s="24"/>
      <c r="DW293" s="25"/>
      <c r="DX293" s="24"/>
      <c r="DY293" s="23"/>
      <c r="DZ293" s="24"/>
      <c r="EA293" s="25"/>
      <c r="EB293" s="24"/>
      <c r="EC293" s="23"/>
      <c r="ED293" s="24"/>
      <c r="EE293" s="25"/>
      <c r="EF293" s="24"/>
      <c r="EG293" s="23"/>
      <c r="EH293" s="24"/>
      <c r="EI293" s="25"/>
      <c r="EJ293" s="24"/>
      <c r="EK293" s="23"/>
      <c r="EL293" s="24"/>
      <c r="EM293" s="25"/>
      <c r="EN293" s="108"/>
      <c r="EO293" s="23"/>
      <c r="EP293" s="24"/>
      <c r="EQ293" s="25"/>
      <c r="ER293" s="24"/>
      <c r="ES293" s="23"/>
      <c r="ET293" s="24"/>
      <c r="EU293" s="25"/>
      <c r="EV293" s="24"/>
      <c r="EW293" s="23"/>
      <c r="EX293" s="24"/>
      <c r="EY293" s="25"/>
      <c r="EZ293" s="24"/>
      <c r="FA293" s="23"/>
      <c r="FB293" s="24"/>
      <c r="FC293" s="25"/>
      <c r="FD293" s="24"/>
      <c r="FE293" s="23"/>
      <c r="FF293" s="24"/>
      <c r="FG293" s="25"/>
      <c r="FH293" s="24"/>
      <c r="FI293" s="23"/>
      <c r="FJ293" s="24"/>
      <c r="FK293" s="25"/>
      <c r="FL293" s="24"/>
      <c r="FM293" s="23"/>
      <c r="FN293" s="24"/>
      <c r="FO293" s="25"/>
      <c r="FP293" s="24"/>
      <c r="FQ293" s="340"/>
      <c r="FR293" s="32">
        <f>SUMPRODUCT(--(MOD(COLUMN(DU293:ER293),4)=MOD(COLUMN(DU293),4)),DU293:ER293)+SUMPRODUCT(--(MOD(COLUMN(ES293:FP293),4)=MOD(COLUMN(ES293),4)),ES293:FP293)</f>
        <v>0</v>
      </c>
      <c r="FS293" s="32">
        <f t="shared" si="108"/>
        <v>0</v>
      </c>
      <c r="FT293" s="361"/>
    </row>
    <row r="294" spans="1:176" outlineLevel="2">
      <c r="A294" s="58" t="s">
        <v>471</v>
      </c>
      <c r="B294" s="390" t="s">
        <v>82</v>
      </c>
      <c r="C294" s="173" t="s">
        <v>72</v>
      </c>
      <c r="D294" s="595" t="s">
        <v>32</v>
      </c>
      <c r="E294" s="412">
        <f>IF(ISBLANK(G294),"",IF($A$6:$A$330=$A294,COUNTIF($A$6:A294,$A294),""))</f>
        <v>29</v>
      </c>
      <c r="F294" s="10">
        <v>1</v>
      </c>
      <c r="G294" s="131">
        <v>4801020640</v>
      </c>
      <c r="H294" s="54" t="s">
        <v>124</v>
      </c>
      <c r="I294" s="617">
        <f>J294/ЮАНЬ_2025_08_29</f>
        <v>5511.1111111111113</v>
      </c>
      <c r="J294" s="617">
        <f>74400/НДС_20</f>
        <v>62000</v>
      </c>
      <c r="K294" s="22" t="s">
        <v>95</v>
      </c>
      <c r="L294" s="643">
        <f t="shared" si="106"/>
        <v>5511.1111111111113</v>
      </c>
      <c r="M294" s="102"/>
      <c r="N294" s="305">
        <f t="shared" si="95"/>
        <v>0</v>
      </c>
      <c r="O294" s="23"/>
      <c r="P294" s="24"/>
      <c r="Q294" s="25"/>
      <c r="R294" s="24"/>
      <c r="S294" s="23"/>
      <c r="T294" s="24"/>
      <c r="U294" s="25"/>
      <c r="V294" s="24"/>
      <c r="W294" s="23"/>
      <c r="X294" s="26"/>
      <c r="Y294" s="25"/>
      <c r="Z294" s="24"/>
      <c r="AA294" s="23"/>
      <c r="AB294" s="26"/>
      <c r="AC294" s="25"/>
      <c r="AD294" s="24"/>
      <c r="AE294" s="23"/>
      <c r="AF294" s="26"/>
      <c r="AG294" s="25"/>
      <c r="AH294" s="24"/>
      <c r="AI294" s="23"/>
      <c r="AJ294" s="24"/>
      <c r="AK294" s="25"/>
      <c r="AL294" s="24"/>
      <c r="AM294" s="23"/>
      <c r="AN294" s="24"/>
      <c r="AO294" s="25"/>
      <c r="AP294" s="24"/>
      <c r="AQ294" s="23"/>
      <c r="AR294" s="24"/>
      <c r="AS294" s="25"/>
      <c r="AT294" s="24"/>
      <c r="AU294" s="23"/>
      <c r="AV294" s="24"/>
      <c r="AW294" s="25"/>
      <c r="AX294" s="24"/>
      <c r="AY294" s="23"/>
      <c r="AZ294" s="24"/>
      <c r="BA294" s="25"/>
      <c r="BB294" s="24"/>
      <c r="BC294" s="23"/>
      <c r="BD294" s="24"/>
      <c r="BE294" s="25"/>
      <c r="BF294" s="24"/>
      <c r="BG294" s="23"/>
      <c r="BH294" s="24"/>
      <c r="BI294" s="25"/>
      <c r="BJ294" s="24"/>
      <c r="BK294" s="340"/>
      <c r="BL294" s="32">
        <f t="shared" si="96"/>
        <v>0</v>
      </c>
      <c r="BM294" s="32">
        <f t="shared" si="97"/>
        <v>0</v>
      </c>
      <c r="BN294" s="28">
        <f t="shared" si="98"/>
        <v>0</v>
      </c>
      <c r="BO294" s="29">
        <f t="shared" si="99"/>
        <v>0</v>
      </c>
      <c r="BP294" s="30">
        <f t="shared" si="100"/>
        <v>0</v>
      </c>
      <c r="BQ294" s="31">
        <f t="shared" si="101"/>
        <v>0</v>
      </c>
      <c r="BR294" s="11"/>
      <c r="BS294" s="329"/>
      <c r="BT294" s="23"/>
      <c r="BU294" s="24"/>
      <c r="BV294" s="25"/>
      <c r="BW294" s="24"/>
      <c r="BX294" s="23"/>
      <c r="BY294" s="24"/>
      <c r="BZ294" s="25"/>
      <c r="CA294" s="24"/>
      <c r="CB294" s="23"/>
      <c r="CC294" s="24"/>
      <c r="CD294" s="25"/>
      <c r="CE294" s="24"/>
      <c r="CF294" s="23"/>
      <c r="CG294" s="24"/>
      <c r="CH294" s="25"/>
      <c r="CI294" s="24"/>
      <c r="CJ294" s="23"/>
      <c r="CK294" s="24"/>
      <c r="CL294" s="25"/>
      <c r="CM294" s="24"/>
      <c r="CN294" s="23"/>
      <c r="CO294" s="24"/>
      <c r="CP294" s="25"/>
      <c r="CQ294" s="24"/>
      <c r="CR294" s="23"/>
      <c r="CS294" s="24"/>
      <c r="CT294" s="25"/>
      <c r="CU294" s="24"/>
      <c r="CV294" s="23"/>
      <c r="CW294" s="24"/>
      <c r="CX294" s="25"/>
      <c r="CY294" s="24"/>
      <c r="CZ294" s="23"/>
      <c r="DA294" s="24"/>
      <c r="DB294" s="25"/>
      <c r="DC294" s="24"/>
      <c r="DD294" s="23"/>
      <c r="DE294" s="24"/>
      <c r="DF294" s="25"/>
      <c r="DG294" s="24"/>
      <c r="DH294" s="23"/>
      <c r="DI294" s="24"/>
      <c r="DJ294" s="25"/>
      <c r="DK294" s="24"/>
      <c r="DL294" s="23"/>
      <c r="DM294" s="24"/>
      <c r="DN294" s="25"/>
      <c r="DO294" s="24"/>
      <c r="DP294" s="340"/>
      <c r="DQ294" s="32">
        <f>SUMPRODUCT(--(MOD(COLUMN(BT294:CQ294),4)=MOD(COLUMN(BT294),4)),BT294:CQ294)+SUMPRODUCT(--(MOD(COLUMN(CR294:DO294),4)=MOD(COLUMN(CR294),4)),CR294:DO294)</f>
        <v>0</v>
      </c>
      <c r="DR294" s="32">
        <f t="shared" si="107"/>
        <v>0</v>
      </c>
      <c r="DS294" s="11"/>
      <c r="DT294" s="329"/>
      <c r="DU294" s="23"/>
      <c r="DV294" s="24"/>
      <c r="DW294" s="25"/>
      <c r="DX294" s="24"/>
      <c r="DY294" s="23"/>
      <c r="DZ294" s="24"/>
      <c r="EA294" s="25"/>
      <c r="EB294" s="24"/>
      <c r="EC294" s="23"/>
      <c r="ED294" s="24"/>
      <c r="EE294" s="25"/>
      <c r="EF294" s="24"/>
      <c r="EG294" s="23"/>
      <c r="EH294" s="24"/>
      <c r="EI294" s="25"/>
      <c r="EJ294" s="24"/>
      <c r="EK294" s="23"/>
      <c r="EL294" s="24"/>
      <c r="EM294" s="25"/>
      <c r="EN294" s="24"/>
      <c r="EO294" s="23"/>
      <c r="EP294" s="24"/>
      <c r="EQ294" s="25"/>
      <c r="ER294" s="24"/>
      <c r="ES294" s="23"/>
      <c r="ET294" s="24"/>
      <c r="EU294" s="25"/>
      <c r="EV294" s="24"/>
      <c r="EW294" s="23"/>
      <c r="EX294" s="24"/>
      <c r="EY294" s="25"/>
      <c r="EZ294" s="24"/>
      <c r="FA294" s="23"/>
      <c r="FB294" s="24"/>
      <c r="FC294" s="25"/>
      <c r="FD294" s="24"/>
      <c r="FE294" s="23"/>
      <c r="FF294" s="24"/>
      <c r="FG294" s="25"/>
      <c r="FH294" s="24"/>
      <c r="FI294" s="23"/>
      <c r="FJ294" s="24"/>
      <c r="FK294" s="25"/>
      <c r="FL294" s="24"/>
      <c r="FM294" s="23"/>
      <c r="FN294" s="24"/>
      <c r="FO294" s="25"/>
      <c r="FP294" s="24"/>
      <c r="FQ294" s="340"/>
      <c r="FR294" s="32">
        <f>SUMPRODUCT(--(MOD(COLUMN(DU294:ER294),4)=MOD(COLUMN(DU294),4)),DU294:ER294)+SUMPRODUCT(--(MOD(COLUMN(ES294:FP294),4)=MOD(COLUMN(ES294),4)),ES294:FP294)</f>
        <v>0</v>
      </c>
      <c r="FS294" s="32">
        <f t="shared" si="108"/>
        <v>0</v>
      </c>
      <c r="FT294" s="361"/>
    </row>
    <row r="295" spans="1:176" outlineLevel="2">
      <c r="A295" s="58" t="s">
        <v>471</v>
      </c>
      <c r="B295" s="387" t="s">
        <v>82</v>
      </c>
      <c r="C295" s="173" t="s">
        <v>72</v>
      </c>
      <c r="D295" s="595" t="s">
        <v>32</v>
      </c>
      <c r="E295" s="10">
        <f>IF(ISBLANK(G295),"",IF($A$6:$A$330=$A295,COUNTIF($A$6:A295,$A295),""))</f>
        <v>30</v>
      </c>
      <c r="F295" s="10">
        <v>1</v>
      </c>
      <c r="G295" s="55">
        <v>4491731500</v>
      </c>
      <c r="H295" s="54" t="s">
        <v>77</v>
      </c>
      <c r="I295" s="617">
        <f>IF(K295="RUB",J295/ЮАНЬ_2025_08_29,IF(K295="EUR",J295*ЕВРО_2025_08_29/ЮАНЬ_2025_08_29,""))</f>
        <v>975.06666666666672</v>
      </c>
      <c r="J295" s="617">
        <f>13163.4/НДС_20</f>
        <v>10969.5</v>
      </c>
      <c r="K295" s="113" t="s">
        <v>95</v>
      </c>
      <c r="L295" s="617">
        <f t="shared" si="106"/>
        <v>975.06666666666672</v>
      </c>
      <c r="M295" s="102"/>
      <c r="N295" s="305">
        <f t="shared" si="95"/>
        <v>2</v>
      </c>
      <c r="O295" s="23">
        <v>30</v>
      </c>
      <c r="P295" s="24"/>
      <c r="Q295" s="25"/>
      <c r="R295" s="406"/>
      <c r="S295" s="23">
        <v>30</v>
      </c>
      <c r="T295" s="24"/>
      <c r="U295" s="25"/>
      <c r="V295" s="406"/>
      <c r="W295" s="23">
        <v>30</v>
      </c>
      <c r="X295" s="26"/>
      <c r="Y295" s="25"/>
      <c r="Z295" s="406"/>
      <c r="AA295" s="23">
        <v>30</v>
      </c>
      <c r="AB295" s="26"/>
      <c r="AC295" s="25"/>
      <c r="AD295" s="24"/>
      <c r="AE295" s="23">
        <v>30</v>
      </c>
      <c r="AF295" s="26"/>
      <c r="AG295" s="25"/>
      <c r="AH295" s="24"/>
      <c r="AI295" s="23">
        <v>30</v>
      </c>
      <c r="AJ295" s="24"/>
      <c r="AK295" s="25"/>
      <c r="AL295" s="24"/>
      <c r="AM295" s="23">
        <v>30</v>
      </c>
      <c r="AN295" s="24">
        <f>N(30)</f>
        <v>30</v>
      </c>
      <c r="AO295" s="25"/>
      <c r="AP295" s="24"/>
      <c r="AQ295" s="23">
        <v>30</v>
      </c>
      <c r="AR295" s="24">
        <f>N(30)</f>
        <v>30</v>
      </c>
      <c r="AS295" s="25"/>
      <c r="AT295" s="24"/>
      <c r="AU295" s="23">
        <v>30</v>
      </c>
      <c r="AV295" s="24">
        <f>N(30)</f>
        <v>30</v>
      </c>
      <c r="AW295" s="25"/>
      <c r="AX295" s="24"/>
      <c r="AY295" s="23">
        <v>30</v>
      </c>
      <c r="AZ295" s="24">
        <f>N(30)</f>
        <v>30</v>
      </c>
      <c r="BA295" s="25"/>
      <c r="BB295" s="24"/>
      <c r="BC295" s="23">
        <v>30</v>
      </c>
      <c r="BD295" s="24">
        <f>N(30)</f>
        <v>30</v>
      </c>
      <c r="BE295" s="25"/>
      <c r="BF295" s="24"/>
      <c r="BG295" s="23">
        <v>30</v>
      </c>
      <c r="BH295" s="24">
        <f>N(30)</f>
        <v>30</v>
      </c>
      <c r="BI295" s="25"/>
      <c r="BJ295" s="24"/>
      <c r="BK295" s="340"/>
      <c r="BL295" s="32">
        <f t="shared" si="96"/>
        <v>360</v>
      </c>
      <c r="BM295" s="32">
        <f t="shared" si="97"/>
        <v>351024</v>
      </c>
      <c r="BN295" s="28">
        <f t="shared" si="98"/>
        <v>180</v>
      </c>
      <c r="BO295" s="29">
        <f t="shared" si="99"/>
        <v>175512</v>
      </c>
      <c r="BP295" s="30">
        <f t="shared" si="100"/>
        <v>0</v>
      </c>
      <c r="BQ295" s="31">
        <f t="shared" si="101"/>
        <v>0</v>
      </c>
      <c r="BR295" s="11"/>
      <c r="BS295" s="329"/>
      <c r="BT295" s="23"/>
      <c r="BU295" s="24"/>
      <c r="BV295" s="25"/>
      <c r="BW295" s="24"/>
      <c r="BX295" s="23"/>
      <c r="BY295" s="24"/>
      <c r="BZ295" s="25"/>
      <c r="CA295" s="24"/>
      <c r="CB295" s="23"/>
      <c r="CC295" s="24"/>
      <c r="CD295" s="25"/>
      <c r="CE295" s="24"/>
      <c r="CF295" s="23"/>
      <c r="CG295" s="24"/>
      <c r="CH295" s="25"/>
      <c r="CI295" s="24"/>
      <c r="CJ295" s="23"/>
      <c r="CK295" s="24"/>
      <c r="CL295" s="25"/>
      <c r="CM295" s="24"/>
      <c r="CN295" s="23"/>
      <c r="CO295" s="24"/>
      <c r="CP295" s="25"/>
      <c r="CQ295" s="24"/>
      <c r="CR295" s="23"/>
      <c r="CS295" s="24"/>
      <c r="CT295" s="25"/>
      <c r="CU295" s="24"/>
      <c r="CV295" s="23"/>
      <c r="CW295" s="24"/>
      <c r="CX295" s="25"/>
      <c r="CY295" s="24"/>
      <c r="CZ295" s="23"/>
      <c r="DA295" s="24"/>
      <c r="DB295" s="25"/>
      <c r="DC295" s="24"/>
      <c r="DD295" s="23"/>
      <c r="DE295" s="24"/>
      <c r="DF295" s="25"/>
      <c r="DG295" s="24"/>
      <c r="DH295" s="23"/>
      <c r="DI295" s="24"/>
      <c r="DJ295" s="25"/>
      <c r="DK295" s="24"/>
      <c r="DL295" s="23"/>
      <c r="DM295" s="24"/>
      <c r="DN295" s="25"/>
      <c r="DO295" s="24"/>
      <c r="DP295" s="340"/>
      <c r="DQ295" s="32">
        <f>SUMPRODUCT(--(MOD(COLUMN(BT295:CQ295),4)=MOD(COLUMN(BT295),4)),BT295:CQ295)+SUMPRODUCT(--(MOD(COLUMN(CR295:DO295),4)=MOD(COLUMN(CR295),4)),CR295:DO295)</f>
        <v>0</v>
      </c>
      <c r="DR295" s="32">
        <f t="shared" si="107"/>
        <v>0</v>
      </c>
      <c r="DS295" s="11"/>
      <c r="DT295" s="329"/>
      <c r="DU295" s="23"/>
      <c r="DV295" s="24"/>
      <c r="DW295" s="25"/>
      <c r="DX295" s="24"/>
      <c r="DY295" s="23"/>
      <c r="DZ295" s="24"/>
      <c r="EA295" s="25"/>
      <c r="EB295" s="24"/>
      <c r="EC295" s="23"/>
      <c r="ED295" s="24"/>
      <c r="EE295" s="25"/>
      <c r="EF295" s="24"/>
      <c r="EG295" s="23"/>
      <c r="EH295" s="24"/>
      <c r="EI295" s="25"/>
      <c r="EJ295" s="24"/>
      <c r="EK295" s="23"/>
      <c r="EL295" s="24"/>
      <c r="EM295" s="25"/>
      <c r="EN295" s="24"/>
      <c r="EO295" s="23"/>
      <c r="EP295" s="24"/>
      <c r="EQ295" s="25"/>
      <c r="ER295" s="24"/>
      <c r="ES295" s="23"/>
      <c r="ET295" s="24"/>
      <c r="EU295" s="25"/>
      <c r="EV295" s="24"/>
      <c r="EW295" s="23"/>
      <c r="EX295" s="24"/>
      <c r="EY295" s="25"/>
      <c r="EZ295" s="24"/>
      <c r="FA295" s="23"/>
      <c r="FB295" s="24"/>
      <c r="FC295" s="25"/>
      <c r="FD295" s="24"/>
      <c r="FE295" s="23"/>
      <c r="FF295" s="24"/>
      <c r="FG295" s="25"/>
      <c r="FH295" s="24"/>
      <c r="FI295" s="23"/>
      <c r="FJ295" s="24"/>
      <c r="FK295" s="25"/>
      <c r="FL295" s="24"/>
      <c r="FM295" s="23"/>
      <c r="FN295" s="24"/>
      <c r="FO295" s="25"/>
      <c r="FP295" s="24"/>
      <c r="FQ295" s="340"/>
      <c r="FR295" s="32">
        <f>SUMPRODUCT(--(MOD(COLUMN(DU295:ER295),4)=MOD(COLUMN(DU295),4)),DU295:ER295)+SUMPRODUCT(--(MOD(COLUMN(ES295:FP295),4)=MOD(COLUMN(ES295),4)),ES295:FP295)</f>
        <v>0</v>
      </c>
      <c r="FS295" s="32">
        <f t="shared" si="108"/>
        <v>0</v>
      </c>
      <c r="FT295" s="361"/>
    </row>
    <row r="296" spans="1:176" outlineLevel="2">
      <c r="A296" s="421" t="s">
        <v>471</v>
      </c>
      <c r="B296" s="444" t="s">
        <v>82</v>
      </c>
      <c r="C296" s="592" t="s">
        <v>72</v>
      </c>
      <c r="D296" s="586" t="s">
        <v>32</v>
      </c>
      <c r="E296" s="414">
        <f>IF(ISBLANK(G296),"",IF($A$6:$A$330=$A296,COUNTIF($A$6:A296,$A296),""))</f>
        <v>31</v>
      </c>
      <c r="F296" s="414">
        <v>1</v>
      </c>
      <c r="G296" s="416">
        <v>4491731200</v>
      </c>
      <c r="H296" s="415" t="s">
        <v>83</v>
      </c>
      <c r="I296" s="623">
        <f>IF(K296="RUB",J296/ЮАНЬ_2025_08_29,IF(K296="EUR",J296*ЕВРО_2025_08_29/ЮАНЬ_2025_08_29,""))</f>
        <v>821.2</v>
      </c>
      <c r="J296" s="623">
        <f>11270.97/НДС</f>
        <v>9238.5</v>
      </c>
      <c r="K296" s="465" t="s">
        <v>95</v>
      </c>
      <c r="L296" s="623">
        <f t="shared" si="106"/>
        <v>821.2</v>
      </c>
      <c r="M296" s="305"/>
      <c r="N296" s="305">
        <f t="shared" si="95"/>
        <v>1</v>
      </c>
      <c r="O296" s="322"/>
      <c r="P296" s="408"/>
      <c r="Q296" s="307"/>
      <c r="R296" s="464"/>
      <c r="S296" s="322"/>
      <c r="T296" s="408">
        <f>15</f>
        <v>15</v>
      </c>
      <c r="U296" s="307">
        <v>15</v>
      </c>
      <c r="V296" s="464"/>
      <c r="W296" s="322"/>
      <c r="X296" s="386"/>
      <c r="Y296" s="307"/>
      <c r="Z296" s="464"/>
      <c r="AA296" s="322"/>
      <c r="AB296" s="386"/>
      <c r="AC296" s="307"/>
      <c r="AD296" s="408"/>
      <c r="AE296" s="322"/>
      <c r="AF296" s="386"/>
      <c r="AG296" s="307"/>
      <c r="AH296" s="24"/>
      <c r="AI296" s="322"/>
      <c r="AJ296" s="408"/>
      <c r="AK296" s="307"/>
      <c r="AL296" s="408"/>
      <c r="AM296" s="322"/>
      <c r="AN296" s="408"/>
      <c r="AO296" s="307"/>
      <c r="AP296" s="408"/>
      <c r="AQ296" s="322"/>
      <c r="AR296" s="408"/>
      <c r="AS296" s="307"/>
      <c r="AT296" s="408"/>
      <c r="AU296" s="322"/>
      <c r="AV296" s="408"/>
      <c r="AW296" s="307"/>
      <c r="AX296" s="408"/>
      <c r="AY296" s="322"/>
      <c r="AZ296" s="408"/>
      <c r="BA296" s="307"/>
      <c r="BB296" s="408"/>
      <c r="BC296" s="322"/>
      <c r="BD296" s="408"/>
      <c r="BE296" s="307"/>
      <c r="BF296" s="408"/>
      <c r="BG296" s="322"/>
      <c r="BH296" s="408"/>
      <c r="BI296" s="307"/>
      <c r="BJ296" s="408"/>
      <c r="BK296" s="340"/>
      <c r="BL296" s="328">
        <f t="shared" si="96"/>
        <v>0</v>
      </c>
      <c r="BM296" s="328">
        <f t="shared" si="97"/>
        <v>0</v>
      </c>
      <c r="BN296" s="324">
        <f t="shared" si="98"/>
        <v>15</v>
      </c>
      <c r="BO296" s="325">
        <f t="shared" si="99"/>
        <v>12318</v>
      </c>
      <c r="BP296" s="326">
        <f t="shared" si="100"/>
        <v>15</v>
      </c>
      <c r="BQ296" s="327">
        <f t="shared" si="101"/>
        <v>12318</v>
      </c>
      <c r="BR296" s="329"/>
      <c r="BS296" s="329"/>
      <c r="BT296" s="322"/>
      <c r="BU296" s="408"/>
      <c r="BV296" s="307"/>
      <c r="BW296" s="408"/>
      <c r="BX296" s="322"/>
      <c r="BY296" s="408"/>
      <c r="BZ296" s="307"/>
      <c r="CA296" s="408"/>
      <c r="CB296" s="322"/>
      <c r="CC296" s="408"/>
      <c r="CD296" s="307"/>
      <c r="CE296" s="408"/>
      <c r="CF296" s="322"/>
      <c r="CG296" s="408"/>
      <c r="CH296" s="307"/>
      <c r="CI296" s="408"/>
      <c r="CJ296" s="322"/>
      <c r="CK296" s="408"/>
      <c r="CL296" s="307"/>
      <c r="CM296" s="408"/>
      <c r="CN296" s="322"/>
      <c r="CO296" s="408"/>
      <c r="CP296" s="307"/>
      <c r="CQ296" s="408"/>
      <c r="CR296" s="322"/>
      <c r="CS296" s="408"/>
      <c r="CT296" s="307"/>
      <c r="CU296" s="408"/>
      <c r="CV296" s="322"/>
      <c r="CW296" s="408"/>
      <c r="CX296" s="307"/>
      <c r="CY296" s="408"/>
      <c r="CZ296" s="322"/>
      <c r="DA296" s="408"/>
      <c r="DB296" s="307"/>
      <c r="DC296" s="408"/>
      <c r="DD296" s="322"/>
      <c r="DE296" s="408"/>
      <c r="DF296" s="307"/>
      <c r="DG296" s="408"/>
      <c r="DH296" s="322"/>
      <c r="DI296" s="408"/>
      <c r="DJ296" s="307"/>
      <c r="DK296" s="408"/>
      <c r="DL296" s="322"/>
      <c r="DM296" s="408"/>
      <c r="DN296" s="307"/>
      <c r="DO296" s="408"/>
      <c r="DP296" s="340"/>
      <c r="DQ296" s="328"/>
      <c r="DR296" s="328">
        <f t="shared" si="107"/>
        <v>0</v>
      </c>
      <c r="DS296" s="329"/>
      <c r="DT296" s="329"/>
      <c r="DU296" s="322"/>
      <c r="DV296" s="408"/>
      <c r="DW296" s="307"/>
      <c r="DX296" s="408"/>
      <c r="DY296" s="322"/>
      <c r="DZ296" s="408"/>
      <c r="EA296" s="307"/>
      <c r="EB296" s="408"/>
      <c r="EC296" s="322"/>
      <c r="ED296" s="408"/>
      <c r="EE296" s="307"/>
      <c r="EF296" s="408"/>
      <c r="EG296" s="322"/>
      <c r="EH296" s="408"/>
      <c r="EI296" s="307"/>
      <c r="EJ296" s="408"/>
      <c r="EK296" s="322"/>
      <c r="EL296" s="408"/>
      <c r="EM296" s="307"/>
      <c r="EN296" s="408"/>
      <c r="EO296" s="322"/>
      <c r="EP296" s="408"/>
      <c r="EQ296" s="307"/>
      <c r="ER296" s="408"/>
      <c r="ES296" s="322"/>
      <c r="ET296" s="408"/>
      <c r="EU296" s="307"/>
      <c r="EV296" s="408"/>
      <c r="EW296" s="322"/>
      <c r="EX296" s="408"/>
      <c r="EY296" s="307"/>
      <c r="EZ296" s="408"/>
      <c r="FA296" s="322"/>
      <c r="FB296" s="408"/>
      <c r="FC296" s="307"/>
      <c r="FD296" s="408"/>
      <c r="FE296" s="322"/>
      <c r="FF296" s="408"/>
      <c r="FG296" s="307"/>
      <c r="FH296" s="408"/>
      <c r="FI296" s="322"/>
      <c r="FJ296" s="408"/>
      <c r="FK296" s="307"/>
      <c r="FL296" s="408"/>
      <c r="FM296" s="322"/>
      <c r="FN296" s="408"/>
      <c r="FO296" s="307"/>
      <c r="FP296" s="408"/>
      <c r="FQ296" s="340"/>
      <c r="FR296" s="328"/>
      <c r="FS296" s="328">
        <f t="shared" si="108"/>
        <v>0</v>
      </c>
      <c r="FT296" s="361"/>
    </row>
    <row r="297" spans="1:176" outlineLevel="2">
      <c r="A297" s="58" t="s">
        <v>471</v>
      </c>
      <c r="B297" s="387" t="s">
        <v>82</v>
      </c>
      <c r="C297" s="173" t="s">
        <v>72</v>
      </c>
      <c r="D297" s="595" t="s">
        <v>32</v>
      </c>
      <c r="E297" s="412">
        <f>IF(ISBLANK(G297),"",IF($A$6:$A$330=$A297,COUNTIF($A$6:A297,$A297),""))</f>
        <v>32</v>
      </c>
      <c r="F297" s="10">
        <v>2</v>
      </c>
      <c r="G297" s="55">
        <v>9710020400</v>
      </c>
      <c r="H297" s="54" t="s">
        <v>101</v>
      </c>
      <c r="I297" s="617">
        <f>IF(K297="RUB",J297/ЮАНЬ_2025_08_29,IF(K297="EUR",J297*ЕВРО_2025_08_29/ЮАНЬ_2025_08_29,""))</f>
        <v>473.77777777777777</v>
      </c>
      <c r="J297" s="617">
        <f>6502.6/НДС</f>
        <v>5330</v>
      </c>
      <c r="K297" s="22" t="s">
        <v>95</v>
      </c>
      <c r="L297" s="643">
        <f t="shared" si="106"/>
        <v>473.77777777777777</v>
      </c>
      <c r="M297" s="102"/>
      <c r="N297" s="305">
        <f t="shared" si="95"/>
        <v>1</v>
      </c>
      <c r="O297" s="23"/>
      <c r="P297" s="24"/>
      <c r="Q297" s="25"/>
      <c r="R297" s="24"/>
      <c r="S297" s="23">
        <v>40</v>
      </c>
      <c r="T297" s="24"/>
      <c r="U297" s="25"/>
      <c r="V297" s="24"/>
      <c r="W297" s="23"/>
      <c r="X297" s="26">
        <f>20</f>
        <v>20</v>
      </c>
      <c r="Y297" s="25">
        <v>20</v>
      </c>
      <c r="Z297" s="674">
        <v>20</v>
      </c>
      <c r="AA297" s="23">
        <v>40</v>
      </c>
      <c r="AB297" s="26">
        <f>40</f>
        <v>40</v>
      </c>
      <c r="AC297" s="579">
        <v>40</v>
      </c>
      <c r="AD297" s="674">
        <v>40</v>
      </c>
      <c r="AE297" s="23"/>
      <c r="AF297" s="26"/>
      <c r="AG297" s="25">
        <v>0</v>
      </c>
      <c r="AH297" s="24"/>
      <c r="AI297" s="23">
        <v>40</v>
      </c>
      <c r="AJ297" s="24">
        <f>50+30+20</f>
        <v>100</v>
      </c>
      <c r="AK297" s="25"/>
      <c r="AL297" s="674">
        <v>50</v>
      </c>
      <c r="AM297" s="23"/>
      <c r="AN297" s="24">
        <f>N(30)</f>
        <v>30</v>
      </c>
      <c r="AO297" s="25"/>
      <c r="AP297" s="24"/>
      <c r="AQ297" s="23">
        <v>40</v>
      </c>
      <c r="AR297" s="24">
        <v>40</v>
      </c>
      <c r="AS297" s="25"/>
      <c r="AT297" s="24"/>
      <c r="AU297" s="23"/>
      <c r="AV297" s="24"/>
      <c r="AW297" s="25"/>
      <c r="AX297" s="24"/>
      <c r="AY297" s="23">
        <v>40</v>
      </c>
      <c r="AZ297" s="24">
        <v>40</v>
      </c>
      <c r="BA297" s="25"/>
      <c r="BB297" s="24"/>
      <c r="BC297" s="23"/>
      <c r="BD297" s="24"/>
      <c r="BE297" s="25"/>
      <c r="BF297" s="24"/>
      <c r="BG297" s="23">
        <v>40</v>
      </c>
      <c r="BH297" s="24">
        <v>40</v>
      </c>
      <c r="BI297" s="25"/>
      <c r="BJ297" s="24"/>
      <c r="BK297" s="340"/>
      <c r="BL297" s="32">
        <f t="shared" si="96"/>
        <v>240</v>
      </c>
      <c r="BM297" s="32">
        <f t="shared" si="97"/>
        <v>113706.66666666667</v>
      </c>
      <c r="BN297" s="28">
        <f t="shared" si="98"/>
        <v>310</v>
      </c>
      <c r="BO297" s="29">
        <f t="shared" si="99"/>
        <v>146871.11111111112</v>
      </c>
      <c r="BP297" s="30">
        <f t="shared" si="100"/>
        <v>60</v>
      </c>
      <c r="BQ297" s="31">
        <f t="shared" si="101"/>
        <v>28426.666666666668</v>
      </c>
      <c r="BR297" s="11"/>
      <c r="BS297" s="329"/>
      <c r="BT297" s="23"/>
      <c r="BU297" s="24"/>
      <c r="BV297" s="25"/>
      <c r="BW297" s="24"/>
      <c r="BX297" s="23"/>
      <c r="BY297" s="24"/>
      <c r="BZ297" s="25"/>
      <c r="CA297" s="24"/>
      <c r="CB297" s="23"/>
      <c r="CC297" s="24"/>
      <c r="CD297" s="25"/>
      <c r="CE297" s="24"/>
      <c r="CF297" s="23"/>
      <c r="CG297" s="24"/>
      <c r="CH297" s="25"/>
      <c r="CI297" s="24"/>
      <c r="CJ297" s="23"/>
      <c r="CK297" s="24"/>
      <c r="CL297" s="25"/>
      <c r="CM297" s="24"/>
      <c r="CN297" s="23"/>
      <c r="CO297" s="24"/>
      <c r="CP297" s="25"/>
      <c r="CQ297" s="24"/>
      <c r="CR297" s="23"/>
      <c r="CS297" s="24"/>
      <c r="CT297" s="25"/>
      <c r="CU297" s="24"/>
      <c r="CV297" s="23"/>
      <c r="CW297" s="24"/>
      <c r="CX297" s="25"/>
      <c r="CY297" s="24"/>
      <c r="CZ297" s="23"/>
      <c r="DA297" s="24"/>
      <c r="DB297" s="25"/>
      <c r="DC297" s="24"/>
      <c r="DD297" s="23"/>
      <c r="DE297" s="24"/>
      <c r="DF297" s="25"/>
      <c r="DG297" s="24"/>
      <c r="DH297" s="23"/>
      <c r="DI297" s="24"/>
      <c r="DJ297" s="25"/>
      <c r="DK297" s="24"/>
      <c r="DL297" s="23"/>
      <c r="DM297" s="24"/>
      <c r="DN297" s="25"/>
      <c r="DO297" s="24"/>
      <c r="DP297" s="340"/>
      <c r="DQ297" s="32">
        <f>SUMPRODUCT(--(MOD(COLUMN(BT297:CQ297),4)=MOD(COLUMN(BT297),4)),BT297:CQ297)+SUMPRODUCT(--(MOD(COLUMN(CR297:DO297),4)=MOD(COLUMN(CR297),4)),CR297:DO297)</f>
        <v>0</v>
      </c>
      <c r="DR297" s="32">
        <f t="shared" si="107"/>
        <v>0</v>
      </c>
      <c r="DS297" s="11"/>
      <c r="DT297" s="329"/>
      <c r="DU297" s="23"/>
      <c r="DV297" s="24"/>
      <c r="DW297" s="25"/>
      <c r="DX297" s="24"/>
      <c r="DY297" s="23"/>
      <c r="DZ297" s="24"/>
      <c r="EA297" s="25"/>
      <c r="EB297" s="24"/>
      <c r="EC297" s="23"/>
      <c r="ED297" s="24"/>
      <c r="EE297" s="25"/>
      <c r="EF297" s="24"/>
      <c r="EG297" s="23"/>
      <c r="EH297" s="24"/>
      <c r="EI297" s="25"/>
      <c r="EJ297" s="24"/>
      <c r="EK297" s="23"/>
      <c r="EL297" s="24"/>
      <c r="EM297" s="25"/>
      <c r="EN297" s="24"/>
      <c r="EO297" s="23"/>
      <c r="EP297" s="24"/>
      <c r="EQ297" s="25"/>
      <c r="ER297" s="24"/>
      <c r="ES297" s="23"/>
      <c r="ET297" s="24"/>
      <c r="EU297" s="25"/>
      <c r="EV297" s="24"/>
      <c r="EW297" s="23"/>
      <c r="EX297" s="24"/>
      <c r="EY297" s="25"/>
      <c r="EZ297" s="24"/>
      <c r="FA297" s="23"/>
      <c r="FB297" s="24"/>
      <c r="FC297" s="25"/>
      <c r="FD297" s="24"/>
      <c r="FE297" s="23"/>
      <c r="FF297" s="24"/>
      <c r="FG297" s="25"/>
      <c r="FH297" s="24"/>
      <c r="FI297" s="23"/>
      <c r="FJ297" s="24"/>
      <c r="FK297" s="25"/>
      <c r="FL297" s="24"/>
      <c r="FM297" s="23"/>
      <c r="FN297" s="24"/>
      <c r="FO297" s="25"/>
      <c r="FP297" s="24"/>
      <c r="FQ297" s="340"/>
      <c r="FR297" s="32">
        <f>SUMPRODUCT(--(MOD(COLUMN(DU297:ER297),4)=MOD(COLUMN(DU297),4)),DU297:ER297)+SUMPRODUCT(--(MOD(COLUMN(ES297:FP297),4)=MOD(COLUMN(ES297),4)),ES297:FP297)</f>
        <v>0</v>
      </c>
      <c r="FS297" s="32">
        <f t="shared" si="108"/>
        <v>0</v>
      </c>
      <c r="FT297" s="361"/>
    </row>
    <row r="298" spans="1:176" s="574" customFormat="1" outlineLevel="2">
      <c r="A298" s="595" t="s">
        <v>471</v>
      </c>
      <c r="B298" s="565" t="s">
        <v>82</v>
      </c>
      <c r="C298" s="173" t="s">
        <v>72</v>
      </c>
      <c r="D298" s="595" t="s">
        <v>32</v>
      </c>
      <c r="E298" s="584">
        <f>IF(ISBLANK(G298),"",IF($A$6:$A$330=$A298,COUNTIF($A$6:A298,$A298),""))</f>
        <v>33</v>
      </c>
      <c r="F298" s="567" t="s">
        <v>89</v>
      </c>
      <c r="G298" s="128">
        <v>4441000380</v>
      </c>
      <c r="H298" s="611" t="s">
        <v>450</v>
      </c>
      <c r="I298" s="618">
        <f>7780/НДС</f>
        <v>6377.0491803278692</v>
      </c>
      <c r="J298" s="618"/>
      <c r="K298" s="126"/>
      <c r="L298" s="618" t="str">
        <f t="shared" si="106"/>
        <v/>
      </c>
      <c r="M298" s="568"/>
      <c r="N298" s="353">
        <f t="shared" si="95"/>
        <v>1</v>
      </c>
      <c r="O298" s="569">
        <v>50</v>
      </c>
      <c r="P298" s="570"/>
      <c r="Q298" s="571"/>
      <c r="R298" s="570"/>
      <c r="S298" s="569">
        <v>50</v>
      </c>
      <c r="T298" s="570">
        <f>20</f>
        <v>20</v>
      </c>
      <c r="U298" s="571">
        <v>20</v>
      </c>
      <c r="V298" s="570"/>
      <c r="W298" s="569">
        <v>50</v>
      </c>
      <c r="X298" s="717"/>
      <c r="Y298" s="571"/>
      <c r="Z298" s="570"/>
      <c r="AA298" s="569">
        <v>50</v>
      </c>
      <c r="AB298" s="717">
        <f>30</f>
        <v>30</v>
      </c>
      <c r="AC298" s="571">
        <v>30</v>
      </c>
      <c r="AD298" s="570"/>
      <c r="AE298" s="569">
        <v>50</v>
      </c>
      <c r="AF298" s="717"/>
      <c r="AG298" s="571">
        <v>0</v>
      </c>
      <c r="AH298" s="24"/>
      <c r="AI298" s="569">
        <v>60</v>
      </c>
      <c r="AJ298" s="570">
        <f>30+N(20)</f>
        <v>50</v>
      </c>
      <c r="AK298" s="571"/>
      <c r="AL298" s="570"/>
      <c r="AM298" s="569">
        <v>60</v>
      </c>
      <c r="AN298" s="570">
        <v>30</v>
      </c>
      <c r="AO298" s="571"/>
      <c r="AP298" s="570"/>
      <c r="AQ298" s="569">
        <v>60</v>
      </c>
      <c r="AR298" s="570">
        <v>60</v>
      </c>
      <c r="AS298" s="571"/>
      <c r="AT298" s="570"/>
      <c r="AU298" s="569">
        <v>80</v>
      </c>
      <c r="AV298" s="570">
        <v>80</v>
      </c>
      <c r="AW298" s="571"/>
      <c r="AX298" s="570"/>
      <c r="AY298" s="569">
        <v>80</v>
      </c>
      <c r="AZ298" s="570">
        <v>80</v>
      </c>
      <c r="BA298" s="571"/>
      <c r="BB298" s="570"/>
      <c r="BC298" s="569">
        <v>100</v>
      </c>
      <c r="BD298" s="570">
        <v>100</v>
      </c>
      <c r="BE298" s="571"/>
      <c r="BF298" s="570"/>
      <c r="BG298" s="569">
        <v>100</v>
      </c>
      <c r="BH298" s="570">
        <v>100</v>
      </c>
      <c r="BI298" s="571"/>
      <c r="BJ298" s="570"/>
      <c r="BK298" s="572"/>
      <c r="BL298" s="32">
        <f t="shared" si="96"/>
        <v>790</v>
      </c>
      <c r="BM298" s="32">
        <f t="shared" si="97"/>
        <v>5037868.8524590163</v>
      </c>
      <c r="BN298" s="28">
        <f t="shared" si="98"/>
        <v>550</v>
      </c>
      <c r="BO298" s="29">
        <f t="shared" si="99"/>
        <v>3507377.0491803279</v>
      </c>
      <c r="BP298" s="30">
        <f t="shared" si="100"/>
        <v>50</v>
      </c>
      <c r="BQ298" s="31">
        <f t="shared" si="101"/>
        <v>318852.45901639346</v>
      </c>
      <c r="BR298" s="11"/>
      <c r="BS298" s="329"/>
      <c r="BT298" s="569">
        <v>70</v>
      </c>
      <c r="BU298" s="570"/>
      <c r="BV298" s="571"/>
      <c r="BW298" s="570"/>
      <c r="BX298" s="569">
        <v>70</v>
      </c>
      <c r="BY298" s="570"/>
      <c r="BZ298" s="571"/>
      <c r="CA298" s="570"/>
      <c r="CB298" s="569">
        <v>70</v>
      </c>
      <c r="CC298" s="570"/>
      <c r="CD298" s="571"/>
      <c r="CE298" s="570"/>
      <c r="CF298" s="569">
        <v>70</v>
      </c>
      <c r="CG298" s="570"/>
      <c r="CH298" s="571"/>
      <c r="CI298" s="570"/>
      <c r="CJ298" s="569">
        <v>70</v>
      </c>
      <c r="CK298" s="570"/>
      <c r="CL298" s="571"/>
      <c r="CM298" s="570"/>
      <c r="CN298" s="569">
        <v>100</v>
      </c>
      <c r="CO298" s="570"/>
      <c r="CP298" s="571"/>
      <c r="CQ298" s="570"/>
      <c r="CR298" s="569">
        <v>100</v>
      </c>
      <c r="CS298" s="570"/>
      <c r="CT298" s="571"/>
      <c r="CU298" s="570"/>
      <c r="CV298" s="569">
        <v>100</v>
      </c>
      <c r="CW298" s="570"/>
      <c r="CX298" s="571"/>
      <c r="CY298" s="570"/>
      <c r="CZ298" s="569">
        <v>100</v>
      </c>
      <c r="DA298" s="570"/>
      <c r="DB298" s="571"/>
      <c r="DC298" s="570"/>
      <c r="DD298" s="569">
        <v>100</v>
      </c>
      <c r="DE298" s="570"/>
      <c r="DF298" s="571"/>
      <c r="DG298" s="570"/>
      <c r="DH298" s="569">
        <v>120</v>
      </c>
      <c r="DI298" s="570"/>
      <c r="DJ298" s="571"/>
      <c r="DK298" s="570"/>
      <c r="DL298" s="569">
        <v>120</v>
      </c>
      <c r="DM298" s="570"/>
      <c r="DN298" s="571"/>
      <c r="DO298" s="570"/>
      <c r="DP298" s="572"/>
      <c r="DQ298" s="32">
        <f>SUMPRODUCT(--(MOD(COLUMN(BT298:CQ298),4)=MOD(COLUMN(BT298),4)),BT298:CQ298)+SUMPRODUCT(--(MOD(COLUMN(CR298:DO298),4)=MOD(COLUMN(CR298),4)),CR298:DO298)</f>
        <v>1090</v>
      </c>
      <c r="DR298" s="32">
        <f t="shared" si="107"/>
        <v>6950983.6065573776</v>
      </c>
      <c r="DS298" s="11"/>
      <c r="DT298" s="329"/>
      <c r="DU298" s="569">
        <v>120</v>
      </c>
      <c r="DV298" s="570"/>
      <c r="DW298" s="571"/>
      <c r="DX298" s="570"/>
      <c r="DY298" s="569">
        <v>120</v>
      </c>
      <c r="DZ298" s="570"/>
      <c r="EA298" s="571"/>
      <c r="EB298" s="570"/>
      <c r="EC298" s="569">
        <v>120</v>
      </c>
      <c r="ED298" s="570"/>
      <c r="EE298" s="571"/>
      <c r="EF298" s="570"/>
      <c r="EG298" s="569">
        <v>120</v>
      </c>
      <c r="EH298" s="570"/>
      <c r="EI298" s="571"/>
      <c r="EJ298" s="570"/>
      <c r="EK298" s="569">
        <v>120</v>
      </c>
      <c r="EL298" s="570"/>
      <c r="EM298" s="571"/>
      <c r="EN298" s="570"/>
      <c r="EO298" s="569">
        <v>150</v>
      </c>
      <c r="EP298" s="570"/>
      <c r="EQ298" s="571"/>
      <c r="ER298" s="570"/>
      <c r="ES298" s="569">
        <v>150</v>
      </c>
      <c r="ET298" s="570"/>
      <c r="EU298" s="571"/>
      <c r="EV298" s="570"/>
      <c r="EW298" s="569">
        <v>150</v>
      </c>
      <c r="EX298" s="570"/>
      <c r="EY298" s="571"/>
      <c r="EZ298" s="570"/>
      <c r="FA298" s="569">
        <v>150</v>
      </c>
      <c r="FB298" s="570"/>
      <c r="FC298" s="571"/>
      <c r="FD298" s="570"/>
      <c r="FE298" s="569">
        <v>150</v>
      </c>
      <c r="FF298" s="570"/>
      <c r="FG298" s="571"/>
      <c r="FH298" s="570"/>
      <c r="FI298" s="569">
        <v>180</v>
      </c>
      <c r="FJ298" s="570"/>
      <c r="FK298" s="571"/>
      <c r="FL298" s="570"/>
      <c r="FM298" s="569">
        <v>180</v>
      </c>
      <c r="FN298" s="570"/>
      <c r="FO298" s="571"/>
      <c r="FP298" s="570"/>
      <c r="FQ298" s="572"/>
      <c r="FR298" s="32">
        <f>SUMPRODUCT(--(MOD(COLUMN(DU298:ER298),4)=MOD(COLUMN(DU298),4)),DU298:ER298)+SUMPRODUCT(--(MOD(COLUMN(ES298:FP298),4)=MOD(COLUMN(ES298),4)),ES298:FP298)</f>
        <v>1710</v>
      </c>
      <c r="FS298" s="32">
        <f t="shared" si="108"/>
        <v>10904754.098360656</v>
      </c>
      <c r="FT298" s="573"/>
    </row>
    <row r="299" spans="1:176" s="574" customFormat="1" outlineLevel="2">
      <c r="A299" s="595" t="s">
        <v>471</v>
      </c>
      <c r="B299" s="565" t="s">
        <v>82</v>
      </c>
      <c r="C299" s="173" t="s">
        <v>72</v>
      </c>
      <c r="D299" s="595" t="s">
        <v>32</v>
      </c>
      <c r="E299" s="584">
        <f>IF(ISBLANK(G299),"",IF($A$6:$A$330=$A299,COUNTIF($A$6:A299,$A299),""))</f>
        <v>34</v>
      </c>
      <c r="F299" s="567" t="s">
        <v>89</v>
      </c>
      <c r="G299" s="128">
        <v>4441000260</v>
      </c>
      <c r="H299" s="612" t="s">
        <v>448</v>
      </c>
      <c r="I299" s="618">
        <f>7528/НДС</f>
        <v>6170.4918032786891</v>
      </c>
      <c r="J299" s="618"/>
      <c r="K299" s="126"/>
      <c r="L299" s="618" t="str">
        <f t="shared" si="106"/>
        <v/>
      </c>
      <c r="M299" s="568"/>
      <c r="N299" s="353">
        <f t="shared" si="95"/>
        <v>1</v>
      </c>
      <c r="O299" s="569">
        <v>20</v>
      </c>
      <c r="P299" s="570"/>
      <c r="Q299" s="571"/>
      <c r="R299" s="570"/>
      <c r="S299" s="569">
        <v>20</v>
      </c>
      <c r="T299" s="570">
        <f>30</f>
        <v>30</v>
      </c>
      <c r="U299" s="571">
        <v>30</v>
      </c>
      <c r="V299" s="570"/>
      <c r="W299" s="569">
        <v>20</v>
      </c>
      <c r="X299" s="717"/>
      <c r="Y299" s="571"/>
      <c r="Z299" s="570"/>
      <c r="AA299" s="569">
        <v>20</v>
      </c>
      <c r="AB299" s="717">
        <f>30</f>
        <v>30</v>
      </c>
      <c r="AC299" s="571">
        <v>30</v>
      </c>
      <c r="AD299" s="570"/>
      <c r="AE299" s="569">
        <v>20</v>
      </c>
      <c r="AF299" s="717"/>
      <c r="AG299" s="571">
        <v>0</v>
      </c>
      <c r="AH299" s="24"/>
      <c r="AI299" s="569">
        <v>20</v>
      </c>
      <c r="AJ299" s="570">
        <f>30+N(20)</f>
        <v>50</v>
      </c>
      <c r="AK299" s="571"/>
      <c r="AL299" s="570"/>
      <c r="AM299" s="569">
        <v>20</v>
      </c>
      <c r="AN299" s="570">
        <v>20</v>
      </c>
      <c r="AO299" s="571"/>
      <c r="AP299" s="570"/>
      <c r="AQ299" s="569">
        <v>20</v>
      </c>
      <c r="AR299" s="570">
        <v>20</v>
      </c>
      <c r="AS299" s="571"/>
      <c r="AT299" s="570"/>
      <c r="AU299" s="569">
        <v>20</v>
      </c>
      <c r="AV299" s="570">
        <v>20</v>
      </c>
      <c r="AW299" s="571"/>
      <c r="AX299" s="570"/>
      <c r="AY299" s="569">
        <v>20</v>
      </c>
      <c r="AZ299" s="570">
        <v>20</v>
      </c>
      <c r="BA299" s="571"/>
      <c r="BB299" s="570"/>
      <c r="BC299" s="569">
        <v>20</v>
      </c>
      <c r="BD299" s="570">
        <v>20</v>
      </c>
      <c r="BE299" s="571"/>
      <c r="BF299" s="570"/>
      <c r="BG299" s="569">
        <v>20</v>
      </c>
      <c r="BH299" s="570">
        <v>20</v>
      </c>
      <c r="BI299" s="571"/>
      <c r="BJ299" s="570"/>
      <c r="BK299" s="572"/>
      <c r="BL299" s="32">
        <f t="shared" si="96"/>
        <v>240</v>
      </c>
      <c r="BM299" s="32">
        <f t="shared" si="97"/>
        <v>1480918.0327868853</v>
      </c>
      <c r="BN299" s="28">
        <f t="shared" si="98"/>
        <v>230</v>
      </c>
      <c r="BO299" s="29">
        <f t="shared" si="99"/>
        <v>1419213.1147540985</v>
      </c>
      <c r="BP299" s="30">
        <f t="shared" si="100"/>
        <v>60</v>
      </c>
      <c r="BQ299" s="31">
        <f t="shared" si="101"/>
        <v>370229.50819672132</v>
      </c>
      <c r="BR299" s="11"/>
      <c r="BS299" s="329"/>
      <c r="BT299" s="569"/>
      <c r="BU299" s="570"/>
      <c r="BV299" s="571"/>
      <c r="BW299" s="570"/>
      <c r="BX299" s="569"/>
      <c r="BY299" s="570"/>
      <c r="BZ299" s="571"/>
      <c r="CA299" s="570"/>
      <c r="CB299" s="569"/>
      <c r="CC299" s="570"/>
      <c r="CD299" s="571"/>
      <c r="CE299" s="570"/>
      <c r="CF299" s="569"/>
      <c r="CG299" s="570"/>
      <c r="CH299" s="571"/>
      <c r="CI299" s="570"/>
      <c r="CJ299" s="569"/>
      <c r="CK299" s="570"/>
      <c r="CL299" s="571"/>
      <c r="CM299" s="570"/>
      <c r="CN299" s="569"/>
      <c r="CO299" s="570"/>
      <c r="CP299" s="571"/>
      <c r="CQ299" s="570"/>
      <c r="CR299" s="569"/>
      <c r="CS299" s="570"/>
      <c r="CT299" s="571"/>
      <c r="CU299" s="570"/>
      <c r="CV299" s="569"/>
      <c r="CW299" s="570"/>
      <c r="CX299" s="571"/>
      <c r="CY299" s="570"/>
      <c r="CZ299" s="569"/>
      <c r="DA299" s="570"/>
      <c r="DB299" s="571"/>
      <c r="DC299" s="570"/>
      <c r="DD299" s="569"/>
      <c r="DE299" s="570"/>
      <c r="DF299" s="571"/>
      <c r="DG299" s="570"/>
      <c r="DH299" s="569"/>
      <c r="DI299" s="570"/>
      <c r="DJ299" s="571"/>
      <c r="DK299" s="570"/>
      <c r="DL299" s="569"/>
      <c r="DM299" s="570"/>
      <c r="DN299" s="571"/>
      <c r="DO299" s="570"/>
      <c r="DP299" s="572"/>
      <c r="DQ299" s="32">
        <f>SUMPRODUCT(--(MOD(COLUMN(BT299:CQ299),4)=MOD(COLUMN(BT299),4)),BT299:CQ299)+SUMPRODUCT(--(MOD(COLUMN(CR299:DO299),4)=MOD(COLUMN(CR299),4)),CR299:DO299)</f>
        <v>0</v>
      </c>
      <c r="DR299" s="32">
        <f t="shared" si="107"/>
        <v>0</v>
      </c>
      <c r="DS299" s="11"/>
      <c r="DT299" s="329"/>
      <c r="DU299" s="569"/>
      <c r="DV299" s="570"/>
      <c r="DW299" s="571"/>
      <c r="DX299" s="570"/>
      <c r="DY299" s="569"/>
      <c r="DZ299" s="570"/>
      <c r="EA299" s="571"/>
      <c r="EB299" s="570"/>
      <c r="EC299" s="569"/>
      <c r="ED299" s="570"/>
      <c r="EE299" s="571"/>
      <c r="EF299" s="570"/>
      <c r="EG299" s="569"/>
      <c r="EH299" s="570"/>
      <c r="EI299" s="571"/>
      <c r="EJ299" s="570"/>
      <c r="EK299" s="569"/>
      <c r="EL299" s="570"/>
      <c r="EM299" s="571"/>
      <c r="EN299" s="570"/>
      <c r="EO299" s="569"/>
      <c r="EP299" s="570"/>
      <c r="EQ299" s="571"/>
      <c r="ER299" s="570"/>
      <c r="ES299" s="569"/>
      <c r="ET299" s="570"/>
      <c r="EU299" s="571"/>
      <c r="EV299" s="570"/>
      <c r="EW299" s="569"/>
      <c r="EX299" s="570"/>
      <c r="EY299" s="571"/>
      <c r="EZ299" s="570"/>
      <c r="FA299" s="569"/>
      <c r="FB299" s="570"/>
      <c r="FC299" s="571"/>
      <c r="FD299" s="570"/>
      <c r="FE299" s="569"/>
      <c r="FF299" s="570"/>
      <c r="FG299" s="571"/>
      <c r="FH299" s="570"/>
      <c r="FI299" s="569"/>
      <c r="FJ299" s="570"/>
      <c r="FK299" s="571"/>
      <c r="FL299" s="570"/>
      <c r="FM299" s="569"/>
      <c r="FN299" s="570"/>
      <c r="FO299" s="571"/>
      <c r="FP299" s="570"/>
      <c r="FQ299" s="572"/>
      <c r="FR299" s="32">
        <f>SUMPRODUCT(--(MOD(COLUMN(DU299:ER299),4)=MOD(COLUMN(DU299),4)),DU299:ER299)+SUMPRODUCT(--(MOD(COLUMN(ES299:FP299),4)=MOD(COLUMN(ES299),4)),ES299:FP299)</f>
        <v>0</v>
      </c>
      <c r="FS299" s="32">
        <f t="shared" si="108"/>
        <v>0</v>
      </c>
      <c r="FT299" s="573"/>
    </row>
    <row r="300" spans="1:176" s="574" customFormat="1" outlineLevel="2">
      <c r="A300" s="586" t="s">
        <v>471</v>
      </c>
      <c r="B300" s="580" t="s">
        <v>82</v>
      </c>
      <c r="C300" s="592" t="s">
        <v>72</v>
      </c>
      <c r="D300" s="586" t="s">
        <v>32</v>
      </c>
      <c r="E300" s="588">
        <f>IF(ISBLANK(G300),"",IF($A$6:$A$330=$A300,COUNTIF($A$6:A300,$A300),""))</f>
        <v>35</v>
      </c>
      <c r="F300" s="577" t="s">
        <v>89</v>
      </c>
      <c r="G300" s="403">
        <v>4441000600</v>
      </c>
      <c r="H300" s="613" t="s">
        <v>462</v>
      </c>
      <c r="I300" s="618">
        <f>8900/НДС</f>
        <v>7295.0819672131147</v>
      </c>
      <c r="J300" s="619"/>
      <c r="K300" s="321"/>
      <c r="L300" s="619"/>
      <c r="M300" s="353"/>
      <c r="N300" s="353">
        <f t="shared" si="95"/>
        <v>1</v>
      </c>
      <c r="O300" s="578"/>
      <c r="P300" s="498"/>
      <c r="Q300" s="579"/>
      <c r="R300" s="498"/>
      <c r="S300" s="578"/>
      <c r="T300" s="498"/>
      <c r="U300" s="579"/>
      <c r="V300" s="498"/>
      <c r="W300" s="578"/>
      <c r="X300" s="718">
        <f>20</f>
        <v>20</v>
      </c>
      <c r="Y300" s="579">
        <v>20</v>
      </c>
      <c r="Z300" s="676">
        <v>20</v>
      </c>
      <c r="AA300" s="578"/>
      <c r="AB300" s="718">
        <f>60</f>
        <v>60</v>
      </c>
      <c r="AC300" s="579">
        <v>60</v>
      </c>
      <c r="AD300" s="676">
        <v>60</v>
      </c>
      <c r="AE300" s="578"/>
      <c r="AF300" s="718"/>
      <c r="AG300" s="579"/>
      <c r="AH300" s="24"/>
      <c r="AI300" s="578"/>
      <c r="AJ300" s="498">
        <f>60</f>
        <v>60</v>
      </c>
      <c r="AK300" s="579"/>
      <c r="AL300" s="676">
        <v>60</v>
      </c>
      <c r="AM300" s="578"/>
      <c r="AN300" s="498"/>
      <c r="AO300" s="579"/>
      <c r="AP300" s="498"/>
      <c r="AQ300" s="578"/>
      <c r="AR300" s="498"/>
      <c r="AS300" s="579"/>
      <c r="AT300" s="498"/>
      <c r="AU300" s="578"/>
      <c r="AV300" s="498"/>
      <c r="AW300" s="579"/>
      <c r="AX300" s="498"/>
      <c r="AY300" s="578"/>
      <c r="AZ300" s="498"/>
      <c r="BA300" s="579"/>
      <c r="BB300" s="498"/>
      <c r="BC300" s="578"/>
      <c r="BD300" s="498"/>
      <c r="BE300" s="579"/>
      <c r="BF300" s="498"/>
      <c r="BG300" s="578"/>
      <c r="BH300" s="498"/>
      <c r="BI300" s="579"/>
      <c r="BJ300" s="498"/>
      <c r="BK300" s="572"/>
      <c r="BL300" s="328">
        <f t="shared" si="96"/>
        <v>0</v>
      </c>
      <c r="BM300" s="328">
        <f t="shared" si="97"/>
        <v>0</v>
      </c>
      <c r="BN300" s="324">
        <f t="shared" si="98"/>
        <v>140</v>
      </c>
      <c r="BO300" s="325">
        <f t="shared" si="99"/>
        <v>1021311.475409836</v>
      </c>
      <c r="BP300" s="326">
        <f t="shared" si="100"/>
        <v>80</v>
      </c>
      <c r="BQ300" s="327">
        <f t="shared" si="101"/>
        <v>583606.55737704923</v>
      </c>
      <c r="BR300" s="329"/>
      <c r="BS300" s="329"/>
      <c r="BT300" s="578"/>
      <c r="BU300" s="498"/>
      <c r="BV300" s="579"/>
      <c r="BW300" s="498"/>
      <c r="BX300" s="578"/>
      <c r="BY300" s="498"/>
      <c r="BZ300" s="579"/>
      <c r="CA300" s="498"/>
      <c r="CB300" s="578"/>
      <c r="CC300" s="498"/>
      <c r="CD300" s="579"/>
      <c r="CE300" s="498"/>
      <c r="CF300" s="578"/>
      <c r="CG300" s="498"/>
      <c r="CH300" s="579"/>
      <c r="CI300" s="498"/>
      <c r="CJ300" s="578"/>
      <c r="CK300" s="498"/>
      <c r="CL300" s="579"/>
      <c r="CM300" s="498"/>
      <c r="CN300" s="578"/>
      <c r="CO300" s="498"/>
      <c r="CP300" s="579"/>
      <c r="CQ300" s="498"/>
      <c r="CR300" s="578"/>
      <c r="CS300" s="498"/>
      <c r="CT300" s="579"/>
      <c r="CU300" s="498"/>
      <c r="CV300" s="578"/>
      <c r="CW300" s="498"/>
      <c r="CX300" s="579"/>
      <c r="CY300" s="498"/>
      <c r="CZ300" s="578"/>
      <c r="DA300" s="498"/>
      <c r="DB300" s="579"/>
      <c r="DC300" s="498"/>
      <c r="DD300" s="578"/>
      <c r="DE300" s="498"/>
      <c r="DF300" s="579"/>
      <c r="DG300" s="498"/>
      <c r="DH300" s="578"/>
      <c r="DI300" s="498"/>
      <c r="DJ300" s="579"/>
      <c r="DK300" s="498"/>
      <c r="DL300" s="578"/>
      <c r="DM300" s="498"/>
      <c r="DN300" s="579"/>
      <c r="DO300" s="498"/>
      <c r="DP300" s="572"/>
      <c r="DQ300" s="328"/>
      <c r="DR300" s="328"/>
      <c r="DS300" s="329"/>
      <c r="DT300" s="329"/>
      <c r="DU300" s="578"/>
      <c r="DV300" s="498"/>
      <c r="DW300" s="579"/>
      <c r="DX300" s="498"/>
      <c r="DY300" s="578"/>
      <c r="DZ300" s="498"/>
      <c r="EA300" s="579"/>
      <c r="EB300" s="498"/>
      <c r="EC300" s="578"/>
      <c r="ED300" s="498"/>
      <c r="EE300" s="579"/>
      <c r="EF300" s="498"/>
      <c r="EG300" s="578"/>
      <c r="EH300" s="498"/>
      <c r="EI300" s="579"/>
      <c r="EJ300" s="498"/>
      <c r="EK300" s="578"/>
      <c r="EL300" s="498"/>
      <c r="EM300" s="579"/>
      <c r="EN300" s="498"/>
      <c r="EO300" s="578"/>
      <c r="EP300" s="498"/>
      <c r="EQ300" s="579"/>
      <c r="ER300" s="498"/>
      <c r="ES300" s="578"/>
      <c r="ET300" s="498"/>
      <c r="EU300" s="579"/>
      <c r="EV300" s="498"/>
      <c r="EW300" s="578"/>
      <c r="EX300" s="498"/>
      <c r="EY300" s="579"/>
      <c r="EZ300" s="498"/>
      <c r="FA300" s="578"/>
      <c r="FB300" s="498"/>
      <c r="FC300" s="579"/>
      <c r="FD300" s="498"/>
      <c r="FE300" s="578"/>
      <c r="FF300" s="498"/>
      <c r="FG300" s="579"/>
      <c r="FH300" s="498"/>
      <c r="FI300" s="578"/>
      <c r="FJ300" s="498"/>
      <c r="FK300" s="579"/>
      <c r="FL300" s="498"/>
      <c r="FM300" s="578"/>
      <c r="FN300" s="498"/>
      <c r="FO300" s="579"/>
      <c r="FP300" s="498"/>
      <c r="FQ300" s="572"/>
      <c r="FR300" s="328"/>
      <c r="FS300" s="328"/>
      <c r="FT300" s="573"/>
    </row>
    <row r="301" spans="1:176" s="574" customFormat="1" outlineLevel="2">
      <c r="A301" s="595" t="s">
        <v>471</v>
      </c>
      <c r="B301" s="565" t="s">
        <v>82</v>
      </c>
      <c r="C301" s="173" t="s">
        <v>72</v>
      </c>
      <c r="D301" s="595" t="s">
        <v>32</v>
      </c>
      <c r="E301" s="566">
        <f>IF(ISBLANK(G301),"",IF($A$6:$A$330=$A301,COUNTIF($A$6:A301,$A301),""))</f>
        <v>36</v>
      </c>
      <c r="F301" s="567" t="s">
        <v>89</v>
      </c>
      <c r="G301" s="403">
        <v>4441000410</v>
      </c>
      <c r="H301" s="613" t="s">
        <v>163</v>
      </c>
      <c r="I301" s="618">
        <f>6944.85/НДС</f>
        <v>5692.5</v>
      </c>
      <c r="J301" s="618"/>
      <c r="K301" s="126"/>
      <c r="L301" s="618" t="str">
        <f>IF(K301="RUB",J301/ЮАНЬ,IF(K301="EUR",J301*ЕВРО/ЮАНЬ,""))</f>
        <v/>
      </c>
      <c r="M301" s="568"/>
      <c r="N301" s="353">
        <f t="shared" si="95"/>
        <v>1</v>
      </c>
      <c r="O301" s="569"/>
      <c r="P301" s="570"/>
      <c r="Q301" s="571"/>
      <c r="R301" s="570"/>
      <c r="S301" s="569"/>
      <c r="T301" s="570"/>
      <c r="U301" s="571"/>
      <c r="V301" s="570"/>
      <c r="W301" s="569"/>
      <c r="X301" s="717"/>
      <c r="Y301" s="571"/>
      <c r="Z301" s="570"/>
      <c r="AA301" s="569"/>
      <c r="AB301" s="717">
        <f>30</f>
        <v>30</v>
      </c>
      <c r="AC301" s="571">
        <v>30</v>
      </c>
      <c r="AD301" s="570"/>
      <c r="AE301" s="569"/>
      <c r="AF301" s="717"/>
      <c r="AG301" s="571">
        <v>0</v>
      </c>
      <c r="AH301" s="570"/>
      <c r="AI301" s="569"/>
      <c r="AJ301" s="570">
        <f>30+N(10)</f>
        <v>40</v>
      </c>
      <c r="AK301" s="571"/>
      <c r="AL301" s="570"/>
      <c r="AM301" s="569"/>
      <c r="AN301" s="570">
        <v>30</v>
      </c>
      <c r="AO301" s="571"/>
      <c r="AP301" s="570"/>
      <c r="AQ301" s="569"/>
      <c r="AR301" s="570"/>
      <c r="AS301" s="571"/>
      <c r="AT301" s="570"/>
      <c r="AU301" s="569"/>
      <c r="AV301" s="570"/>
      <c r="AW301" s="571"/>
      <c r="AX301" s="570"/>
      <c r="AY301" s="569"/>
      <c r="AZ301" s="570"/>
      <c r="BA301" s="571"/>
      <c r="BB301" s="570"/>
      <c r="BC301" s="569"/>
      <c r="BD301" s="570"/>
      <c r="BE301" s="571"/>
      <c r="BF301" s="570"/>
      <c r="BG301" s="569"/>
      <c r="BH301" s="570"/>
      <c r="BI301" s="571"/>
      <c r="BJ301" s="570"/>
      <c r="BK301" s="572"/>
      <c r="BL301" s="32">
        <f t="shared" si="96"/>
        <v>0</v>
      </c>
      <c r="BM301" s="32">
        <f t="shared" si="97"/>
        <v>0</v>
      </c>
      <c r="BN301" s="28">
        <f t="shared" si="98"/>
        <v>100</v>
      </c>
      <c r="BO301" s="29">
        <f t="shared" si="99"/>
        <v>569250</v>
      </c>
      <c r="BP301" s="30">
        <f t="shared" si="100"/>
        <v>30</v>
      </c>
      <c r="BQ301" s="31">
        <f t="shared" si="101"/>
        <v>170775</v>
      </c>
      <c r="BR301" s="11"/>
      <c r="BS301" s="329"/>
      <c r="BT301" s="569"/>
      <c r="BU301" s="570"/>
      <c r="BV301" s="571"/>
      <c r="BW301" s="570"/>
      <c r="BX301" s="569"/>
      <c r="BY301" s="570"/>
      <c r="BZ301" s="571"/>
      <c r="CA301" s="570"/>
      <c r="CB301" s="569"/>
      <c r="CC301" s="570"/>
      <c r="CD301" s="571"/>
      <c r="CE301" s="570"/>
      <c r="CF301" s="569"/>
      <c r="CG301" s="570"/>
      <c r="CH301" s="571"/>
      <c r="CI301" s="570"/>
      <c r="CJ301" s="569"/>
      <c r="CK301" s="570"/>
      <c r="CL301" s="571"/>
      <c r="CM301" s="570"/>
      <c r="CN301" s="569"/>
      <c r="CO301" s="570"/>
      <c r="CP301" s="571"/>
      <c r="CQ301" s="570"/>
      <c r="CR301" s="569"/>
      <c r="CS301" s="570"/>
      <c r="CT301" s="571"/>
      <c r="CU301" s="570"/>
      <c r="CV301" s="569"/>
      <c r="CW301" s="570"/>
      <c r="CX301" s="571"/>
      <c r="CY301" s="570"/>
      <c r="CZ301" s="569"/>
      <c r="DA301" s="570"/>
      <c r="DB301" s="571"/>
      <c r="DC301" s="570"/>
      <c r="DD301" s="569"/>
      <c r="DE301" s="570"/>
      <c r="DF301" s="571"/>
      <c r="DG301" s="570"/>
      <c r="DH301" s="569"/>
      <c r="DI301" s="570"/>
      <c r="DJ301" s="571"/>
      <c r="DK301" s="570"/>
      <c r="DL301" s="569"/>
      <c r="DM301" s="570"/>
      <c r="DN301" s="571"/>
      <c r="DO301" s="570"/>
      <c r="DP301" s="572"/>
      <c r="DQ301" s="32">
        <f>SUMPRODUCT(--(MOD(COLUMN(BT301:CQ301),4)=MOD(COLUMN(BT301),4)),BT301:CQ301)+SUMPRODUCT(--(MOD(COLUMN(CR301:DO301),4)=MOD(COLUMN(CR301),4)),CR301:DO301)</f>
        <v>0</v>
      </c>
      <c r="DR301" s="32">
        <f>SUMPRODUCT(--(MOD(COLUMN(BT301:CQ301),4)=MOD(COLUMN(BT301),4)),BT301:CQ301)*$I301+SUMPRODUCT(--(MOD(COLUMN(CR301:DO301),4)=MOD(COLUMN(CR301),4)),CR301:DO301)*$I301</f>
        <v>0</v>
      </c>
      <c r="DS301" s="11"/>
      <c r="DT301" s="329"/>
      <c r="DU301" s="569"/>
      <c r="DV301" s="570"/>
      <c r="DW301" s="571"/>
      <c r="DX301" s="570"/>
      <c r="DY301" s="569"/>
      <c r="DZ301" s="570"/>
      <c r="EA301" s="571"/>
      <c r="EB301" s="570"/>
      <c r="EC301" s="569"/>
      <c r="ED301" s="570"/>
      <c r="EE301" s="571"/>
      <c r="EF301" s="570"/>
      <c r="EG301" s="569"/>
      <c r="EH301" s="570"/>
      <c r="EI301" s="571"/>
      <c r="EJ301" s="570"/>
      <c r="EK301" s="569"/>
      <c r="EL301" s="570"/>
      <c r="EM301" s="571"/>
      <c r="EN301" s="570"/>
      <c r="EO301" s="569"/>
      <c r="EP301" s="570"/>
      <c r="EQ301" s="571"/>
      <c r="ER301" s="570"/>
      <c r="ES301" s="569"/>
      <c r="ET301" s="570"/>
      <c r="EU301" s="571"/>
      <c r="EV301" s="570"/>
      <c r="EW301" s="569"/>
      <c r="EX301" s="570"/>
      <c r="EY301" s="571"/>
      <c r="EZ301" s="570"/>
      <c r="FA301" s="569"/>
      <c r="FB301" s="570"/>
      <c r="FC301" s="571"/>
      <c r="FD301" s="570"/>
      <c r="FE301" s="569"/>
      <c r="FF301" s="570"/>
      <c r="FG301" s="571"/>
      <c r="FH301" s="570"/>
      <c r="FI301" s="569"/>
      <c r="FJ301" s="570"/>
      <c r="FK301" s="571"/>
      <c r="FL301" s="570"/>
      <c r="FM301" s="569"/>
      <c r="FN301" s="570"/>
      <c r="FO301" s="571"/>
      <c r="FP301" s="570"/>
      <c r="FQ301" s="572"/>
      <c r="FR301" s="32">
        <f>SUMPRODUCT(--(MOD(COLUMN(DU301:ER301),4)=MOD(COLUMN(DU301),4)),DU301:ER301)+SUMPRODUCT(--(MOD(COLUMN(ES301:FP301),4)=MOD(COLUMN(ES301),4)),ES301:FP301)</f>
        <v>0</v>
      </c>
      <c r="FS301" s="32">
        <f>SUMPRODUCT(--(MOD(COLUMN(DU301:ER301),4)=MOD(COLUMN(DU301),4)),DU301:ER301)*$I301+SUMPRODUCT(--(MOD(COLUMN(ES301:FP301),4)=MOD(COLUMN(ES301),4)),ES301:FP301)*$I301</f>
        <v>0</v>
      </c>
      <c r="FT301" s="573"/>
    </row>
    <row r="302" spans="1:176" s="574" customFormat="1" outlineLevel="2">
      <c r="A302" s="586" t="s">
        <v>471</v>
      </c>
      <c r="B302" s="580" t="s">
        <v>82</v>
      </c>
      <c r="C302" s="592" t="s">
        <v>72</v>
      </c>
      <c r="D302" s="586" t="s">
        <v>32</v>
      </c>
      <c r="E302" s="584">
        <f>IF(ISBLANK(G302),"",IF($A$6:$A$330=$A302,COUNTIF($A$6:A302,$A302),""))</f>
        <v>37</v>
      </c>
      <c r="F302" s="577" t="s">
        <v>89</v>
      </c>
      <c r="G302" s="403">
        <v>4441000400</v>
      </c>
      <c r="H302" s="613" t="s">
        <v>465</v>
      </c>
      <c r="I302" s="618">
        <f>7109/НДС</f>
        <v>5827.0491803278692</v>
      </c>
      <c r="J302" s="619"/>
      <c r="K302" s="321"/>
      <c r="L302" s="619"/>
      <c r="M302" s="353"/>
      <c r="N302" s="353">
        <f t="shared" si="95"/>
        <v>2</v>
      </c>
      <c r="O302" s="578">
        <v>10</v>
      </c>
      <c r="P302" s="498"/>
      <c r="Q302" s="579"/>
      <c r="R302" s="498"/>
      <c r="S302" s="578">
        <v>10</v>
      </c>
      <c r="T302" s="498"/>
      <c r="U302" s="579"/>
      <c r="V302" s="498"/>
      <c r="W302" s="578">
        <v>10</v>
      </c>
      <c r="X302" s="718"/>
      <c r="Y302" s="579"/>
      <c r="Z302" s="498"/>
      <c r="AA302" s="578">
        <v>10</v>
      </c>
      <c r="AB302" s="718"/>
      <c r="AC302" s="579"/>
      <c r="AD302" s="498"/>
      <c r="AE302" s="578">
        <v>10</v>
      </c>
      <c r="AF302" s="718"/>
      <c r="AG302" s="579"/>
      <c r="AH302" s="498"/>
      <c r="AI302" s="578">
        <v>10</v>
      </c>
      <c r="AJ302" s="498"/>
      <c r="AK302" s="579"/>
      <c r="AL302" s="498"/>
      <c r="AM302" s="578">
        <v>10</v>
      </c>
      <c r="AN302" s="498"/>
      <c r="AO302" s="579"/>
      <c r="AP302" s="498"/>
      <c r="AQ302" s="578">
        <v>10</v>
      </c>
      <c r="AR302" s="498">
        <v>10</v>
      </c>
      <c r="AS302" s="579"/>
      <c r="AT302" s="498"/>
      <c r="AU302" s="578">
        <v>10</v>
      </c>
      <c r="AV302" s="498">
        <v>10</v>
      </c>
      <c r="AW302" s="579"/>
      <c r="AX302" s="498"/>
      <c r="AY302" s="578">
        <v>10</v>
      </c>
      <c r="AZ302" s="498">
        <v>10</v>
      </c>
      <c r="BA302" s="579"/>
      <c r="BB302" s="498"/>
      <c r="BC302" s="578">
        <v>10</v>
      </c>
      <c r="BD302" s="498">
        <v>10</v>
      </c>
      <c r="BE302" s="579"/>
      <c r="BF302" s="498"/>
      <c r="BG302" s="578">
        <v>10</v>
      </c>
      <c r="BH302" s="498">
        <v>10</v>
      </c>
      <c r="BI302" s="579"/>
      <c r="BJ302" s="498"/>
      <c r="BK302" s="572"/>
      <c r="BL302" s="328">
        <f t="shared" si="96"/>
        <v>120</v>
      </c>
      <c r="BM302" s="328">
        <f t="shared" si="97"/>
        <v>699245.90163934429</v>
      </c>
      <c r="BN302" s="324">
        <f t="shared" si="98"/>
        <v>50</v>
      </c>
      <c r="BO302" s="325">
        <f t="shared" si="99"/>
        <v>291352.45901639346</v>
      </c>
      <c r="BP302" s="326">
        <f t="shared" si="100"/>
        <v>0</v>
      </c>
      <c r="BQ302" s="327">
        <f t="shared" si="101"/>
        <v>0</v>
      </c>
      <c r="BR302" s="329"/>
      <c r="BS302" s="329"/>
      <c r="BT302" s="578"/>
      <c r="BU302" s="498"/>
      <c r="BV302" s="579"/>
      <c r="BW302" s="498"/>
      <c r="BX302" s="578"/>
      <c r="BY302" s="498"/>
      <c r="BZ302" s="579"/>
      <c r="CA302" s="498"/>
      <c r="CB302" s="578"/>
      <c r="CC302" s="498"/>
      <c r="CD302" s="579"/>
      <c r="CE302" s="498"/>
      <c r="CF302" s="578"/>
      <c r="CG302" s="498"/>
      <c r="CH302" s="579"/>
      <c r="CI302" s="498"/>
      <c r="CJ302" s="578"/>
      <c r="CK302" s="498"/>
      <c r="CL302" s="579"/>
      <c r="CM302" s="498"/>
      <c r="CN302" s="578"/>
      <c r="CO302" s="498"/>
      <c r="CP302" s="579"/>
      <c r="CQ302" s="498"/>
      <c r="CR302" s="578"/>
      <c r="CS302" s="498"/>
      <c r="CT302" s="579"/>
      <c r="CU302" s="498"/>
      <c r="CV302" s="578"/>
      <c r="CW302" s="498"/>
      <c r="CX302" s="579"/>
      <c r="CY302" s="498"/>
      <c r="CZ302" s="578"/>
      <c r="DA302" s="498"/>
      <c r="DB302" s="579"/>
      <c r="DC302" s="498"/>
      <c r="DD302" s="578"/>
      <c r="DE302" s="498"/>
      <c r="DF302" s="579"/>
      <c r="DG302" s="498"/>
      <c r="DH302" s="578"/>
      <c r="DI302" s="498"/>
      <c r="DJ302" s="579"/>
      <c r="DK302" s="498"/>
      <c r="DL302" s="578"/>
      <c r="DM302" s="498"/>
      <c r="DN302" s="579"/>
      <c r="DO302" s="498"/>
      <c r="DP302" s="572"/>
      <c r="DQ302" s="328"/>
      <c r="DR302" s="328">
        <f>SUMPRODUCT(--(MOD(COLUMN(BT302:CQ302),4)=MOD(COLUMN(BT302),4)),BT302:CQ302)*$I302+SUMPRODUCT(--(MOD(COLUMN(CR302:DO302),4)=MOD(COLUMN(CR302),4)),CR302:DO302)*$I302</f>
        <v>0</v>
      </c>
      <c r="DS302" s="329"/>
      <c r="DT302" s="329"/>
      <c r="DU302" s="578"/>
      <c r="DV302" s="498"/>
      <c r="DW302" s="579"/>
      <c r="DX302" s="498"/>
      <c r="DY302" s="578"/>
      <c r="DZ302" s="498"/>
      <c r="EA302" s="579"/>
      <c r="EB302" s="498"/>
      <c r="EC302" s="578"/>
      <c r="ED302" s="498"/>
      <c r="EE302" s="579"/>
      <c r="EF302" s="498"/>
      <c r="EG302" s="578"/>
      <c r="EH302" s="498"/>
      <c r="EI302" s="579"/>
      <c r="EJ302" s="498"/>
      <c r="EK302" s="578"/>
      <c r="EL302" s="498"/>
      <c r="EM302" s="579"/>
      <c r="EN302" s="498"/>
      <c r="EO302" s="578"/>
      <c r="EP302" s="498"/>
      <c r="EQ302" s="579"/>
      <c r="ER302" s="498"/>
      <c r="ES302" s="578"/>
      <c r="ET302" s="498"/>
      <c r="EU302" s="579"/>
      <c r="EV302" s="498"/>
      <c r="EW302" s="578"/>
      <c r="EX302" s="498"/>
      <c r="EY302" s="579"/>
      <c r="EZ302" s="498"/>
      <c r="FA302" s="578"/>
      <c r="FB302" s="498"/>
      <c r="FC302" s="579"/>
      <c r="FD302" s="498"/>
      <c r="FE302" s="578"/>
      <c r="FF302" s="498"/>
      <c r="FG302" s="579"/>
      <c r="FH302" s="498"/>
      <c r="FI302" s="578"/>
      <c r="FJ302" s="498"/>
      <c r="FK302" s="579"/>
      <c r="FL302" s="498"/>
      <c r="FM302" s="578"/>
      <c r="FN302" s="498"/>
      <c r="FO302" s="579"/>
      <c r="FP302" s="498"/>
      <c r="FQ302" s="572"/>
      <c r="FR302" s="328"/>
      <c r="FS302" s="328">
        <f>SUMPRODUCT(--(MOD(COLUMN(DU302:ER302),4)=MOD(COLUMN(DU302),4)),DU302:ER302)*$I302+SUMPRODUCT(--(MOD(COLUMN(ES302:FP302),4)=MOD(COLUMN(ES302),4)),ES302:FP302)*$I302</f>
        <v>0</v>
      </c>
      <c r="FT302" s="573"/>
    </row>
    <row r="303" spans="1:176" s="574" customFormat="1" outlineLevel="2">
      <c r="A303" s="399" t="s">
        <v>471</v>
      </c>
      <c r="B303" s="575" t="s">
        <v>82</v>
      </c>
      <c r="C303" s="311" t="s">
        <v>72</v>
      </c>
      <c r="D303" s="399" t="s">
        <v>32</v>
      </c>
      <c r="E303" s="576">
        <f>IF(ISBLANK(G303),"",IF($A$6:$A$330=$A303,COUNTIF($A$6:A303,$A303),""))</f>
        <v>38</v>
      </c>
      <c r="F303" s="672" t="s">
        <v>89</v>
      </c>
      <c r="G303" s="593">
        <v>4441000700</v>
      </c>
      <c r="H303" s="698" t="s">
        <v>466</v>
      </c>
      <c r="I303" s="622">
        <f>6857/НДС</f>
        <v>5620.4918032786891</v>
      </c>
      <c r="J303" s="619"/>
      <c r="K303" s="321"/>
      <c r="L303" s="619"/>
      <c r="M303" s="353"/>
      <c r="N303" s="353">
        <f t="shared" si="95"/>
        <v>0</v>
      </c>
      <c r="O303" s="578"/>
      <c r="P303" s="498"/>
      <c r="Q303" s="579"/>
      <c r="R303" s="498"/>
      <c r="S303" s="578"/>
      <c r="T303" s="498"/>
      <c r="U303" s="579"/>
      <c r="V303" s="498"/>
      <c r="W303" s="578"/>
      <c r="X303" s="718"/>
      <c r="Y303" s="579"/>
      <c r="Z303" s="498"/>
      <c r="AA303" s="578"/>
      <c r="AB303" s="718"/>
      <c r="AC303" s="579"/>
      <c r="AD303" s="498"/>
      <c r="AE303" s="578"/>
      <c r="AF303" s="718"/>
      <c r="AG303" s="579"/>
      <c r="AH303" s="498"/>
      <c r="AI303" s="578"/>
      <c r="AJ303" s="498"/>
      <c r="AK303" s="579"/>
      <c r="AL303" s="498"/>
      <c r="AM303" s="578"/>
      <c r="AN303" s="498"/>
      <c r="AO303" s="579"/>
      <c r="AP303" s="498"/>
      <c r="AQ303" s="578"/>
      <c r="AR303" s="498"/>
      <c r="AS303" s="579"/>
      <c r="AT303" s="498"/>
      <c r="AU303" s="578"/>
      <c r="AV303" s="498"/>
      <c r="AW303" s="579"/>
      <c r="AX303" s="498"/>
      <c r="AY303" s="578"/>
      <c r="AZ303" s="498"/>
      <c r="BA303" s="579"/>
      <c r="BB303" s="498"/>
      <c r="BC303" s="578"/>
      <c r="BD303" s="498"/>
      <c r="BE303" s="579"/>
      <c r="BF303" s="498"/>
      <c r="BG303" s="578"/>
      <c r="BH303" s="498"/>
      <c r="BI303" s="579"/>
      <c r="BJ303" s="498"/>
      <c r="BK303" s="572"/>
      <c r="BL303" s="328">
        <f t="shared" si="96"/>
        <v>0</v>
      </c>
      <c r="BM303" s="328">
        <f t="shared" si="97"/>
        <v>0</v>
      </c>
      <c r="BN303" s="324">
        <f t="shared" si="98"/>
        <v>0</v>
      </c>
      <c r="BO303" s="325">
        <f t="shared" si="99"/>
        <v>0</v>
      </c>
      <c r="BP303" s="326">
        <f t="shared" si="100"/>
        <v>0</v>
      </c>
      <c r="BQ303" s="327">
        <f t="shared" si="101"/>
        <v>0</v>
      </c>
      <c r="BR303" s="329"/>
      <c r="BS303" s="329"/>
      <c r="BT303" s="578"/>
      <c r="BU303" s="498"/>
      <c r="BV303" s="579"/>
      <c r="BW303" s="498"/>
      <c r="BX303" s="578"/>
      <c r="BY303" s="498"/>
      <c r="BZ303" s="579"/>
      <c r="CA303" s="498"/>
      <c r="CB303" s="578"/>
      <c r="CC303" s="498"/>
      <c r="CD303" s="579"/>
      <c r="CE303" s="498"/>
      <c r="CF303" s="578"/>
      <c r="CG303" s="498"/>
      <c r="CH303" s="579"/>
      <c r="CI303" s="498"/>
      <c r="CJ303" s="578"/>
      <c r="CK303" s="498"/>
      <c r="CL303" s="579"/>
      <c r="CM303" s="498"/>
      <c r="CN303" s="578"/>
      <c r="CO303" s="498"/>
      <c r="CP303" s="579"/>
      <c r="CQ303" s="498"/>
      <c r="CR303" s="578"/>
      <c r="CS303" s="498"/>
      <c r="CT303" s="579"/>
      <c r="CU303" s="498"/>
      <c r="CV303" s="578"/>
      <c r="CW303" s="498"/>
      <c r="CX303" s="579"/>
      <c r="CY303" s="498"/>
      <c r="CZ303" s="578"/>
      <c r="DA303" s="498"/>
      <c r="DB303" s="579"/>
      <c r="DC303" s="498"/>
      <c r="DD303" s="578"/>
      <c r="DE303" s="498"/>
      <c r="DF303" s="579"/>
      <c r="DG303" s="498"/>
      <c r="DH303" s="578"/>
      <c r="DI303" s="498"/>
      <c r="DJ303" s="579"/>
      <c r="DK303" s="498"/>
      <c r="DL303" s="578"/>
      <c r="DM303" s="498"/>
      <c r="DN303" s="579"/>
      <c r="DO303" s="498"/>
      <c r="DP303" s="572"/>
      <c r="DQ303" s="328"/>
      <c r="DR303" s="328"/>
      <c r="DS303" s="329"/>
      <c r="DT303" s="329"/>
      <c r="DU303" s="578"/>
      <c r="DV303" s="498"/>
      <c r="DW303" s="579"/>
      <c r="DX303" s="498"/>
      <c r="DY303" s="578"/>
      <c r="DZ303" s="498"/>
      <c r="EA303" s="579"/>
      <c r="EB303" s="498"/>
      <c r="EC303" s="578"/>
      <c r="ED303" s="498"/>
      <c r="EE303" s="579"/>
      <c r="EF303" s="498"/>
      <c r="EG303" s="578"/>
      <c r="EH303" s="498"/>
      <c r="EI303" s="579"/>
      <c r="EJ303" s="498"/>
      <c r="EK303" s="578"/>
      <c r="EL303" s="498"/>
      <c r="EM303" s="579"/>
      <c r="EN303" s="498"/>
      <c r="EO303" s="578"/>
      <c r="EP303" s="498"/>
      <c r="EQ303" s="579"/>
      <c r="ER303" s="498"/>
      <c r="ES303" s="578"/>
      <c r="ET303" s="498"/>
      <c r="EU303" s="579"/>
      <c r="EV303" s="498"/>
      <c r="EW303" s="578"/>
      <c r="EX303" s="498"/>
      <c r="EY303" s="579"/>
      <c r="EZ303" s="498"/>
      <c r="FA303" s="578"/>
      <c r="FB303" s="498"/>
      <c r="FC303" s="579"/>
      <c r="FD303" s="498"/>
      <c r="FE303" s="578"/>
      <c r="FF303" s="498"/>
      <c r="FG303" s="579"/>
      <c r="FH303" s="498"/>
      <c r="FI303" s="578"/>
      <c r="FJ303" s="498"/>
      <c r="FK303" s="579"/>
      <c r="FL303" s="498"/>
      <c r="FM303" s="578"/>
      <c r="FN303" s="498"/>
      <c r="FO303" s="579"/>
      <c r="FP303" s="498"/>
      <c r="FQ303" s="572"/>
      <c r="FR303" s="328"/>
      <c r="FS303" s="328"/>
      <c r="FT303" s="573"/>
    </row>
    <row r="304" spans="1:176" s="574" customFormat="1" outlineLevel="2">
      <c r="A304" s="586" t="s">
        <v>471</v>
      </c>
      <c r="B304" s="580" t="s">
        <v>82</v>
      </c>
      <c r="C304" s="592" t="s">
        <v>72</v>
      </c>
      <c r="D304" s="586" t="s">
        <v>32</v>
      </c>
      <c r="E304" s="584">
        <f>IF(ISBLANK(G304),"",IF($A$6:$A$330=$A304,COUNTIF($A$6:A304,$A304),""))</f>
        <v>39</v>
      </c>
      <c r="F304" s="577" t="s">
        <v>89</v>
      </c>
      <c r="G304" s="403">
        <v>4441000220</v>
      </c>
      <c r="H304" s="613" t="s">
        <v>415</v>
      </c>
      <c r="I304" s="618">
        <f>1940/НДС</f>
        <v>1590.1639344262296</v>
      </c>
      <c r="J304" s="619"/>
      <c r="K304" s="321"/>
      <c r="L304" s="619"/>
      <c r="M304" s="353"/>
      <c r="N304" s="353">
        <f t="shared" si="95"/>
        <v>1</v>
      </c>
      <c r="O304" s="578">
        <v>10</v>
      </c>
      <c r="P304" s="498"/>
      <c r="Q304" s="579"/>
      <c r="R304" s="498"/>
      <c r="S304" s="578">
        <v>20</v>
      </c>
      <c r="T304" s="498"/>
      <c r="U304" s="579"/>
      <c r="V304" s="498"/>
      <c r="W304" s="578">
        <v>30</v>
      </c>
      <c r="X304" s="718"/>
      <c r="Y304" s="579"/>
      <c r="Z304" s="498"/>
      <c r="AA304" s="578">
        <v>30</v>
      </c>
      <c r="AB304" s="718"/>
      <c r="AC304" s="579"/>
      <c r="AD304" s="498"/>
      <c r="AE304" s="578">
        <v>30</v>
      </c>
      <c r="AF304" s="718">
        <f>10</f>
        <v>10</v>
      </c>
      <c r="AG304" s="579">
        <v>10</v>
      </c>
      <c r="AH304" s="498"/>
      <c r="AI304" s="578">
        <v>30</v>
      </c>
      <c r="AJ304" s="498">
        <f>N(20)</f>
        <v>20</v>
      </c>
      <c r="AK304" s="579"/>
      <c r="AL304" s="498"/>
      <c r="AM304" s="578">
        <v>30</v>
      </c>
      <c r="AN304" s="498">
        <f>N(30)</f>
        <v>30</v>
      </c>
      <c r="AO304" s="579"/>
      <c r="AP304" s="498"/>
      <c r="AQ304" s="578">
        <v>30</v>
      </c>
      <c r="AR304" s="498">
        <f>N(50)</f>
        <v>50</v>
      </c>
      <c r="AS304" s="579"/>
      <c r="AT304" s="498"/>
      <c r="AU304" s="578">
        <v>30</v>
      </c>
      <c r="AV304" s="498">
        <v>30</v>
      </c>
      <c r="AW304" s="579"/>
      <c r="AX304" s="498"/>
      <c r="AY304" s="578">
        <v>30</v>
      </c>
      <c r="AZ304" s="498">
        <v>30</v>
      </c>
      <c r="BA304" s="579"/>
      <c r="BB304" s="498"/>
      <c r="BC304" s="578">
        <v>30</v>
      </c>
      <c r="BD304" s="498">
        <v>30</v>
      </c>
      <c r="BE304" s="579"/>
      <c r="BF304" s="498"/>
      <c r="BG304" s="578">
        <v>30</v>
      </c>
      <c r="BH304" s="498">
        <v>30</v>
      </c>
      <c r="BI304" s="579"/>
      <c r="BJ304" s="498"/>
      <c r="BK304" s="572"/>
      <c r="BL304" s="328">
        <f t="shared" si="96"/>
        <v>330</v>
      </c>
      <c r="BM304" s="328">
        <f t="shared" si="97"/>
        <v>524754.09836065583</v>
      </c>
      <c r="BN304" s="324">
        <f t="shared" si="98"/>
        <v>230</v>
      </c>
      <c r="BO304" s="325">
        <f t="shared" si="99"/>
        <v>365737.7049180328</v>
      </c>
      <c r="BP304" s="326">
        <f t="shared" si="100"/>
        <v>10</v>
      </c>
      <c r="BQ304" s="327">
        <f t="shared" si="101"/>
        <v>15901.639344262296</v>
      </c>
      <c r="BR304" s="329"/>
      <c r="BS304" s="329"/>
      <c r="BT304" s="578"/>
      <c r="BU304" s="498"/>
      <c r="BV304" s="579"/>
      <c r="BW304" s="498"/>
      <c r="BX304" s="578"/>
      <c r="BY304" s="498"/>
      <c r="BZ304" s="579"/>
      <c r="CA304" s="498"/>
      <c r="CB304" s="578"/>
      <c r="CC304" s="498"/>
      <c r="CD304" s="579"/>
      <c r="CE304" s="498"/>
      <c r="CF304" s="578"/>
      <c r="CG304" s="498"/>
      <c r="CH304" s="579"/>
      <c r="CI304" s="498"/>
      <c r="CJ304" s="578"/>
      <c r="CK304" s="498"/>
      <c r="CL304" s="579"/>
      <c r="CM304" s="498"/>
      <c r="CN304" s="578"/>
      <c r="CO304" s="498"/>
      <c r="CP304" s="579"/>
      <c r="CQ304" s="498"/>
      <c r="CR304" s="578"/>
      <c r="CS304" s="498"/>
      <c r="CT304" s="579"/>
      <c r="CU304" s="498"/>
      <c r="CV304" s="578"/>
      <c r="CW304" s="498"/>
      <c r="CX304" s="579"/>
      <c r="CY304" s="498"/>
      <c r="CZ304" s="578"/>
      <c r="DA304" s="498"/>
      <c r="DB304" s="579"/>
      <c r="DC304" s="498"/>
      <c r="DD304" s="578"/>
      <c r="DE304" s="498"/>
      <c r="DF304" s="579"/>
      <c r="DG304" s="498"/>
      <c r="DH304" s="578"/>
      <c r="DI304" s="498"/>
      <c r="DJ304" s="579"/>
      <c r="DK304" s="498"/>
      <c r="DL304" s="578"/>
      <c r="DM304" s="498"/>
      <c r="DN304" s="579"/>
      <c r="DO304" s="498"/>
      <c r="DP304" s="572"/>
      <c r="DQ304" s="328"/>
      <c r="DR304" s="328">
        <f t="shared" ref="DR304:DR314" si="109">SUMPRODUCT(--(MOD(COLUMN(BT304:CQ304),4)=MOD(COLUMN(BT304),4)),BT304:CQ304)*$I304+SUMPRODUCT(--(MOD(COLUMN(CR304:DO304),4)=MOD(COLUMN(CR304),4)),CR304:DO304)*$I304</f>
        <v>0</v>
      </c>
      <c r="DS304" s="329"/>
      <c r="DT304" s="329"/>
      <c r="DU304" s="578"/>
      <c r="DV304" s="498"/>
      <c r="DW304" s="579"/>
      <c r="DX304" s="498"/>
      <c r="DY304" s="578"/>
      <c r="DZ304" s="498"/>
      <c r="EA304" s="579"/>
      <c r="EB304" s="498"/>
      <c r="EC304" s="578"/>
      <c r="ED304" s="498"/>
      <c r="EE304" s="579"/>
      <c r="EF304" s="498"/>
      <c r="EG304" s="578"/>
      <c r="EH304" s="498"/>
      <c r="EI304" s="579"/>
      <c r="EJ304" s="498"/>
      <c r="EK304" s="578"/>
      <c r="EL304" s="498"/>
      <c r="EM304" s="579"/>
      <c r="EN304" s="498"/>
      <c r="EO304" s="578"/>
      <c r="EP304" s="498"/>
      <c r="EQ304" s="579"/>
      <c r="ER304" s="498"/>
      <c r="ES304" s="578"/>
      <c r="ET304" s="498"/>
      <c r="EU304" s="579"/>
      <c r="EV304" s="498"/>
      <c r="EW304" s="578"/>
      <c r="EX304" s="498"/>
      <c r="EY304" s="579"/>
      <c r="EZ304" s="498"/>
      <c r="FA304" s="578"/>
      <c r="FB304" s="498"/>
      <c r="FC304" s="579"/>
      <c r="FD304" s="498"/>
      <c r="FE304" s="578"/>
      <c r="FF304" s="498"/>
      <c r="FG304" s="579"/>
      <c r="FH304" s="498"/>
      <c r="FI304" s="578"/>
      <c r="FJ304" s="498"/>
      <c r="FK304" s="579"/>
      <c r="FL304" s="498"/>
      <c r="FM304" s="578"/>
      <c r="FN304" s="498"/>
      <c r="FO304" s="579"/>
      <c r="FP304" s="498"/>
      <c r="FQ304" s="572"/>
      <c r="FR304" s="328"/>
      <c r="FS304" s="328">
        <f t="shared" ref="FS304:FS314" si="110">SUMPRODUCT(--(MOD(COLUMN(DU304:ER304),4)=MOD(COLUMN(DU304),4)),DU304:ER304)*$I304+SUMPRODUCT(--(MOD(COLUMN(ES304:FP304),4)=MOD(COLUMN(ES304),4)),ES304:FP304)*$I304</f>
        <v>0</v>
      </c>
      <c r="FT304" s="573"/>
    </row>
    <row r="305" spans="1:176" s="574" customFormat="1" outlineLevel="2">
      <c r="A305" s="595" t="s">
        <v>471</v>
      </c>
      <c r="B305" s="565" t="s">
        <v>82</v>
      </c>
      <c r="C305" s="173" t="s">
        <v>72</v>
      </c>
      <c r="D305" s="595" t="s">
        <v>32</v>
      </c>
      <c r="E305" s="566">
        <f>IF(ISBLANK(G305),"",IF($A$6:$A$330=$A305,COUNTIF($A$6:A305,$A305),""))</f>
        <v>40</v>
      </c>
      <c r="F305" s="567" t="s">
        <v>89</v>
      </c>
      <c r="G305" s="403">
        <v>4441000210</v>
      </c>
      <c r="H305" s="613" t="s">
        <v>443</v>
      </c>
      <c r="I305" s="618">
        <f>737/НДС</f>
        <v>604.09836065573768</v>
      </c>
      <c r="J305" s="618"/>
      <c r="K305" s="126"/>
      <c r="L305" s="618" t="str">
        <f>IF(K305="RUB",J305/ЮАНЬ,IF(K305="EUR",J305*ЕВРО/ЮАНЬ,""))</f>
        <v/>
      </c>
      <c r="M305" s="568"/>
      <c r="N305" s="353">
        <f t="shared" si="95"/>
        <v>2</v>
      </c>
      <c r="O305" s="569"/>
      <c r="P305" s="570"/>
      <c r="Q305" s="571"/>
      <c r="R305" s="570"/>
      <c r="S305" s="569"/>
      <c r="T305" s="570"/>
      <c r="U305" s="571"/>
      <c r="V305" s="570"/>
      <c r="W305" s="569"/>
      <c r="X305" s="717"/>
      <c r="Y305" s="571"/>
      <c r="Z305" s="570"/>
      <c r="AA305" s="569"/>
      <c r="AB305" s="717"/>
      <c r="AC305" s="571"/>
      <c r="AD305" s="570"/>
      <c r="AE305" s="569"/>
      <c r="AF305" s="717"/>
      <c r="AG305" s="571"/>
      <c r="AH305" s="570"/>
      <c r="AI305" s="569"/>
      <c r="AJ305" s="570"/>
      <c r="AK305" s="571"/>
      <c r="AL305" s="570"/>
      <c r="AM305" s="569"/>
      <c r="AN305" s="570"/>
      <c r="AO305" s="571"/>
      <c r="AP305" s="570"/>
      <c r="AQ305" s="569"/>
      <c r="AR305" s="570"/>
      <c r="AS305" s="571"/>
      <c r="AT305" s="570"/>
      <c r="AU305" s="569">
        <v>20</v>
      </c>
      <c r="AV305" s="570">
        <v>20</v>
      </c>
      <c r="AW305" s="571"/>
      <c r="AX305" s="570"/>
      <c r="AY305" s="569">
        <v>20</v>
      </c>
      <c r="AZ305" s="570">
        <v>20</v>
      </c>
      <c r="BA305" s="571"/>
      <c r="BB305" s="570"/>
      <c r="BC305" s="569">
        <v>20</v>
      </c>
      <c r="BD305" s="570">
        <v>20</v>
      </c>
      <c r="BE305" s="571"/>
      <c r="BF305" s="570"/>
      <c r="BG305" s="569">
        <v>20</v>
      </c>
      <c r="BH305" s="570">
        <v>20</v>
      </c>
      <c r="BI305" s="571"/>
      <c r="BJ305" s="570"/>
      <c r="BK305" s="572"/>
      <c r="BL305" s="32">
        <f t="shared" si="96"/>
        <v>80</v>
      </c>
      <c r="BM305" s="32">
        <f t="shared" si="97"/>
        <v>48327.868852459011</v>
      </c>
      <c r="BN305" s="28">
        <f t="shared" si="98"/>
        <v>80</v>
      </c>
      <c r="BO305" s="29">
        <f t="shared" si="99"/>
        <v>48327.868852459011</v>
      </c>
      <c r="BP305" s="30">
        <f t="shared" si="100"/>
        <v>0</v>
      </c>
      <c r="BQ305" s="31">
        <f t="shared" si="101"/>
        <v>0</v>
      </c>
      <c r="BR305" s="11"/>
      <c r="BS305" s="329"/>
      <c r="BT305" s="569">
        <v>30</v>
      </c>
      <c r="BU305" s="570"/>
      <c r="BV305" s="571"/>
      <c r="BW305" s="570"/>
      <c r="BX305" s="569">
        <v>30</v>
      </c>
      <c r="BY305" s="570"/>
      <c r="BZ305" s="571"/>
      <c r="CA305" s="570"/>
      <c r="CB305" s="569">
        <v>30</v>
      </c>
      <c r="CC305" s="570"/>
      <c r="CD305" s="571"/>
      <c r="CE305" s="570"/>
      <c r="CF305" s="569">
        <v>30</v>
      </c>
      <c r="CG305" s="570"/>
      <c r="CH305" s="571"/>
      <c r="CI305" s="570"/>
      <c r="CJ305" s="569">
        <v>30</v>
      </c>
      <c r="CK305" s="570"/>
      <c r="CL305" s="571"/>
      <c r="CM305" s="570"/>
      <c r="CN305" s="569">
        <v>50</v>
      </c>
      <c r="CO305" s="570"/>
      <c r="CP305" s="571"/>
      <c r="CQ305" s="570"/>
      <c r="CR305" s="569">
        <v>50</v>
      </c>
      <c r="CS305" s="570"/>
      <c r="CT305" s="571"/>
      <c r="CU305" s="570"/>
      <c r="CV305" s="569">
        <v>50</v>
      </c>
      <c r="CW305" s="570"/>
      <c r="CX305" s="571"/>
      <c r="CY305" s="570"/>
      <c r="CZ305" s="569">
        <v>50</v>
      </c>
      <c r="DA305" s="570"/>
      <c r="DB305" s="571"/>
      <c r="DC305" s="570"/>
      <c r="DD305" s="569">
        <v>50</v>
      </c>
      <c r="DE305" s="570"/>
      <c r="DF305" s="571"/>
      <c r="DG305" s="570"/>
      <c r="DH305" s="569">
        <v>50</v>
      </c>
      <c r="DI305" s="570"/>
      <c r="DJ305" s="571"/>
      <c r="DK305" s="570"/>
      <c r="DL305" s="569">
        <v>50</v>
      </c>
      <c r="DM305" s="570"/>
      <c r="DN305" s="571"/>
      <c r="DO305" s="570"/>
      <c r="DP305" s="572"/>
      <c r="DQ305" s="32">
        <f>SUMPRODUCT(--(MOD(COLUMN(BT305:CQ305),4)=MOD(COLUMN(BT305),4)),BT305:CQ305)+SUMPRODUCT(--(MOD(COLUMN(CR305:DO305),4)=MOD(COLUMN(CR305),4)),CR305:DO305)</f>
        <v>500</v>
      </c>
      <c r="DR305" s="32">
        <f t="shared" si="109"/>
        <v>302049.18032786885</v>
      </c>
      <c r="DS305" s="11"/>
      <c r="DT305" s="329"/>
      <c r="DU305" s="569">
        <v>50</v>
      </c>
      <c r="DV305" s="570"/>
      <c r="DW305" s="571"/>
      <c r="DX305" s="570"/>
      <c r="DY305" s="569">
        <v>50</v>
      </c>
      <c r="DZ305" s="570"/>
      <c r="EA305" s="571"/>
      <c r="EB305" s="570"/>
      <c r="EC305" s="569">
        <v>50</v>
      </c>
      <c r="ED305" s="570"/>
      <c r="EE305" s="571"/>
      <c r="EF305" s="570"/>
      <c r="EG305" s="569">
        <v>50</v>
      </c>
      <c r="EH305" s="570"/>
      <c r="EI305" s="571"/>
      <c r="EJ305" s="570"/>
      <c r="EK305" s="569">
        <v>50</v>
      </c>
      <c r="EL305" s="570"/>
      <c r="EM305" s="571"/>
      <c r="EN305" s="570"/>
      <c r="EO305" s="569">
        <v>80</v>
      </c>
      <c r="EP305" s="570"/>
      <c r="EQ305" s="571"/>
      <c r="ER305" s="570"/>
      <c r="ES305" s="569">
        <v>80</v>
      </c>
      <c r="ET305" s="570"/>
      <c r="EU305" s="571"/>
      <c r="EV305" s="570"/>
      <c r="EW305" s="569">
        <v>80</v>
      </c>
      <c r="EX305" s="570"/>
      <c r="EY305" s="571"/>
      <c r="EZ305" s="570"/>
      <c r="FA305" s="569">
        <v>80</v>
      </c>
      <c r="FB305" s="570"/>
      <c r="FC305" s="571"/>
      <c r="FD305" s="570"/>
      <c r="FE305" s="569">
        <v>80</v>
      </c>
      <c r="FF305" s="570"/>
      <c r="FG305" s="571"/>
      <c r="FH305" s="570"/>
      <c r="FI305" s="569">
        <v>120</v>
      </c>
      <c r="FJ305" s="570"/>
      <c r="FK305" s="571"/>
      <c r="FL305" s="570"/>
      <c r="FM305" s="569">
        <v>120</v>
      </c>
      <c r="FN305" s="570"/>
      <c r="FO305" s="571"/>
      <c r="FP305" s="570"/>
      <c r="FQ305" s="572"/>
      <c r="FR305" s="32">
        <f>SUMPRODUCT(--(MOD(COLUMN(DU305:ER305),4)=MOD(COLUMN(DU305),4)),DU305:ER305)+SUMPRODUCT(--(MOD(COLUMN(ES305:FP305),4)=MOD(COLUMN(ES305),4)),ES305:FP305)</f>
        <v>890</v>
      </c>
      <c r="FS305" s="32">
        <f t="shared" si="110"/>
        <v>537647.54098360648</v>
      </c>
      <c r="FT305" s="573"/>
    </row>
    <row r="306" spans="1:176" s="574" customFormat="1" outlineLevel="2">
      <c r="A306" s="399" t="s">
        <v>471</v>
      </c>
      <c r="B306" s="575" t="s">
        <v>82</v>
      </c>
      <c r="C306" s="311" t="s">
        <v>72</v>
      </c>
      <c r="D306" s="399" t="s">
        <v>32</v>
      </c>
      <c r="E306" s="576">
        <f>IF(ISBLANK(G306),"",IF($A$6:$A$330=$A306,COUNTIF($A$6:A306,$A306),""))</f>
        <v>41</v>
      </c>
      <c r="F306" s="577" t="s">
        <v>89</v>
      </c>
      <c r="G306" s="673" t="s">
        <v>405</v>
      </c>
      <c r="H306" s="666" t="s">
        <v>406</v>
      </c>
      <c r="I306" s="618">
        <f>J306/ЮАНЬ_2025_08_29</f>
        <v>1185.1851851851852</v>
      </c>
      <c r="J306" s="619">
        <f>16000/НДС_20</f>
        <v>13333.333333333334</v>
      </c>
      <c r="K306" s="321" t="s">
        <v>95</v>
      </c>
      <c r="L306" s="619">
        <f>IF(K306="RUB",J306/ЮАНЬ,IF(K306="EUR",J306*ЕВРО/ЮАНЬ,""))</f>
        <v>1185.1851851851852</v>
      </c>
      <c r="M306" s="353"/>
      <c r="N306" s="353">
        <f t="shared" si="95"/>
        <v>0</v>
      </c>
      <c r="O306" s="578"/>
      <c r="P306" s="498"/>
      <c r="Q306" s="579"/>
      <c r="R306" s="498"/>
      <c r="S306" s="578"/>
      <c r="T306" s="498"/>
      <c r="U306" s="579"/>
      <c r="V306" s="498"/>
      <c r="W306" s="578"/>
      <c r="X306" s="718"/>
      <c r="Y306" s="579"/>
      <c r="Z306" s="498"/>
      <c r="AA306" s="578"/>
      <c r="AB306" s="718"/>
      <c r="AC306" s="579"/>
      <c r="AD306" s="498"/>
      <c r="AE306" s="578"/>
      <c r="AF306" s="718"/>
      <c r="AG306" s="579"/>
      <c r="AH306" s="498"/>
      <c r="AI306" s="578"/>
      <c r="AJ306" s="498"/>
      <c r="AK306" s="579"/>
      <c r="AL306" s="498"/>
      <c r="AM306" s="578"/>
      <c r="AN306" s="498"/>
      <c r="AO306" s="579"/>
      <c r="AP306" s="498"/>
      <c r="AQ306" s="578"/>
      <c r="AR306" s="498"/>
      <c r="AS306" s="579"/>
      <c r="AT306" s="498"/>
      <c r="AU306" s="578"/>
      <c r="AV306" s="498"/>
      <c r="AW306" s="579"/>
      <c r="AX306" s="498"/>
      <c r="AY306" s="578"/>
      <c r="AZ306" s="498"/>
      <c r="BA306" s="579"/>
      <c r="BB306" s="498"/>
      <c r="BC306" s="578"/>
      <c r="BD306" s="498"/>
      <c r="BE306" s="579"/>
      <c r="BF306" s="498"/>
      <c r="BG306" s="578"/>
      <c r="BH306" s="498"/>
      <c r="BI306" s="579"/>
      <c r="BJ306" s="498"/>
      <c r="BK306" s="572"/>
      <c r="BL306" s="328">
        <f t="shared" si="96"/>
        <v>0</v>
      </c>
      <c r="BM306" s="328">
        <f t="shared" si="97"/>
        <v>0</v>
      </c>
      <c r="BN306" s="324">
        <f t="shared" si="98"/>
        <v>0</v>
      </c>
      <c r="BO306" s="325">
        <f t="shared" si="99"/>
        <v>0</v>
      </c>
      <c r="BP306" s="326">
        <f t="shared" si="100"/>
        <v>0</v>
      </c>
      <c r="BQ306" s="327">
        <f t="shared" si="101"/>
        <v>0</v>
      </c>
      <c r="BR306" s="329"/>
      <c r="BS306" s="329"/>
      <c r="BT306" s="578"/>
      <c r="BU306" s="498"/>
      <c r="BV306" s="579"/>
      <c r="BW306" s="498"/>
      <c r="BX306" s="578"/>
      <c r="BY306" s="498"/>
      <c r="BZ306" s="579"/>
      <c r="CA306" s="498"/>
      <c r="CB306" s="578"/>
      <c r="CC306" s="498"/>
      <c r="CD306" s="579"/>
      <c r="CE306" s="498"/>
      <c r="CF306" s="578"/>
      <c r="CG306" s="498"/>
      <c r="CH306" s="579"/>
      <c r="CI306" s="498"/>
      <c r="CJ306" s="578"/>
      <c r="CK306" s="498"/>
      <c r="CL306" s="579"/>
      <c r="CM306" s="498"/>
      <c r="CN306" s="578"/>
      <c r="CO306" s="498"/>
      <c r="CP306" s="579"/>
      <c r="CQ306" s="498"/>
      <c r="CR306" s="578"/>
      <c r="CS306" s="498"/>
      <c r="CT306" s="579"/>
      <c r="CU306" s="498"/>
      <c r="CV306" s="578"/>
      <c r="CW306" s="498"/>
      <c r="CX306" s="579"/>
      <c r="CY306" s="498"/>
      <c r="CZ306" s="578"/>
      <c r="DA306" s="498"/>
      <c r="DB306" s="579"/>
      <c r="DC306" s="498"/>
      <c r="DD306" s="578"/>
      <c r="DE306" s="498"/>
      <c r="DF306" s="579"/>
      <c r="DG306" s="498"/>
      <c r="DH306" s="578"/>
      <c r="DI306" s="498"/>
      <c r="DJ306" s="579"/>
      <c r="DK306" s="498"/>
      <c r="DL306" s="578"/>
      <c r="DM306" s="498"/>
      <c r="DN306" s="579"/>
      <c r="DO306" s="498"/>
      <c r="DP306" s="572"/>
      <c r="DQ306" s="328">
        <f>SUMPRODUCT(--(MOD(COLUMN(BT306:CQ306),4)=MOD(COLUMN(BT306),4)),BT306:CQ306)+SUMPRODUCT(--(MOD(COLUMN(CR306:DO306),4)=MOD(COLUMN(CR306),4)),CR306:DO306)</f>
        <v>0</v>
      </c>
      <c r="DR306" s="328">
        <f t="shared" si="109"/>
        <v>0</v>
      </c>
      <c r="DS306" s="329"/>
      <c r="DT306" s="329"/>
      <c r="DU306" s="578"/>
      <c r="DV306" s="498"/>
      <c r="DW306" s="579"/>
      <c r="DX306" s="498"/>
      <c r="DY306" s="578"/>
      <c r="DZ306" s="498"/>
      <c r="EA306" s="579"/>
      <c r="EB306" s="498"/>
      <c r="EC306" s="578"/>
      <c r="ED306" s="498"/>
      <c r="EE306" s="579"/>
      <c r="EF306" s="498"/>
      <c r="EG306" s="578"/>
      <c r="EH306" s="498"/>
      <c r="EI306" s="579"/>
      <c r="EJ306" s="498"/>
      <c r="EK306" s="578"/>
      <c r="EL306" s="498"/>
      <c r="EM306" s="579"/>
      <c r="EN306" s="498"/>
      <c r="EO306" s="578"/>
      <c r="EP306" s="498"/>
      <c r="EQ306" s="579"/>
      <c r="ER306" s="498"/>
      <c r="ES306" s="578"/>
      <c r="ET306" s="498"/>
      <c r="EU306" s="579"/>
      <c r="EV306" s="498"/>
      <c r="EW306" s="578"/>
      <c r="EX306" s="498"/>
      <c r="EY306" s="579"/>
      <c r="EZ306" s="498"/>
      <c r="FA306" s="578"/>
      <c r="FB306" s="498"/>
      <c r="FC306" s="579"/>
      <c r="FD306" s="498"/>
      <c r="FE306" s="578"/>
      <c r="FF306" s="498"/>
      <c r="FG306" s="579"/>
      <c r="FH306" s="498"/>
      <c r="FI306" s="578"/>
      <c r="FJ306" s="498"/>
      <c r="FK306" s="579"/>
      <c r="FL306" s="498"/>
      <c r="FM306" s="578"/>
      <c r="FN306" s="498"/>
      <c r="FO306" s="579"/>
      <c r="FP306" s="498"/>
      <c r="FQ306" s="572"/>
      <c r="FR306" s="328">
        <f>SUMPRODUCT(--(MOD(COLUMN(DU306:ER306),4)=MOD(COLUMN(DU306),4)),DU306:ER306)+SUMPRODUCT(--(MOD(COLUMN(ES306:FP306),4)=MOD(COLUMN(ES306),4)),ES306:FP306)</f>
        <v>0</v>
      </c>
      <c r="FS306" s="328">
        <f t="shared" si="110"/>
        <v>0</v>
      </c>
      <c r="FT306" s="573"/>
    </row>
    <row r="307" spans="1:176" s="574" customFormat="1" outlineLevel="2">
      <c r="A307" s="586" t="s">
        <v>471</v>
      </c>
      <c r="B307" s="580" t="s">
        <v>82</v>
      </c>
      <c r="C307" s="592" t="s">
        <v>72</v>
      </c>
      <c r="D307" s="586" t="s">
        <v>32</v>
      </c>
      <c r="E307" s="576">
        <f>IF(ISBLANK(G307),"",IF($A$6:$A$330=$A307,COUNTIF($A$6:A307,$A307),""))</f>
        <v>42</v>
      </c>
      <c r="F307" s="577" t="s">
        <v>89</v>
      </c>
      <c r="G307" s="403">
        <v>4441000040</v>
      </c>
      <c r="H307" s="613" t="s">
        <v>421</v>
      </c>
      <c r="I307" s="619">
        <f>850.7/НДС</f>
        <v>697.29508196721315</v>
      </c>
      <c r="J307" s="619"/>
      <c r="K307" s="321"/>
      <c r="L307" s="619"/>
      <c r="M307" s="353"/>
      <c r="N307" s="353">
        <f t="shared" si="95"/>
        <v>1</v>
      </c>
      <c r="O307" s="578"/>
      <c r="P307" s="498"/>
      <c r="Q307" s="579"/>
      <c r="R307" s="498"/>
      <c r="S307" s="578"/>
      <c r="T307" s="498">
        <f>10</f>
        <v>10</v>
      </c>
      <c r="U307" s="579">
        <v>10</v>
      </c>
      <c r="V307" s="498"/>
      <c r="W307" s="578"/>
      <c r="X307" s="718"/>
      <c r="Y307" s="579"/>
      <c r="Z307" s="498"/>
      <c r="AA307" s="578"/>
      <c r="AB307" s="718"/>
      <c r="AC307" s="579"/>
      <c r="AD307" s="498"/>
      <c r="AE307" s="578"/>
      <c r="AF307" s="718"/>
      <c r="AG307" s="579"/>
      <c r="AH307" s="498"/>
      <c r="AI307" s="578"/>
      <c r="AJ307" s="498"/>
      <c r="AK307" s="579"/>
      <c r="AL307" s="498"/>
      <c r="AM307" s="578"/>
      <c r="AN307" s="498"/>
      <c r="AO307" s="579"/>
      <c r="AP307" s="498"/>
      <c r="AQ307" s="578"/>
      <c r="AR307" s="498"/>
      <c r="AS307" s="579"/>
      <c r="AT307" s="498"/>
      <c r="AU307" s="578"/>
      <c r="AV307" s="498"/>
      <c r="AW307" s="579"/>
      <c r="AX307" s="498"/>
      <c r="AY307" s="578"/>
      <c r="AZ307" s="498"/>
      <c r="BA307" s="579"/>
      <c r="BB307" s="498"/>
      <c r="BC307" s="578"/>
      <c r="BD307" s="498"/>
      <c r="BE307" s="579"/>
      <c r="BF307" s="498"/>
      <c r="BG307" s="578"/>
      <c r="BH307" s="498"/>
      <c r="BI307" s="579"/>
      <c r="BJ307" s="498"/>
      <c r="BK307" s="572"/>
      <c r="BL307" s="328">
        <f t="shared" si="96"/>
        <v>0</v>
      </c>
      <c r="BM307" s="328">
        <f t="shared" si="97"/>
        <v>0</v>
      </c>
      <c r="BN307" s="324">
        <f t="shared" si="98"/>
        <v>10</v>
      </c>
      <c r="BO307" s="325">
        <f t="shared" si="99"/>
        <v>6972.9508196721317</v>
      </c>
      <c r="BP307" s="326">
        <f t="shared" si="100"/>
        <v>10</v>
      </c>
      <c r="BQ307" s="327">
        <f t="shared" si="101"/>
        <v>6972.9508196721317</v>
      </c>
      <c r="BR307" s="329"/>
      <c r="BS307" s="329"/>
      <c r="BT307" s="578"/>
      <c r="BU307" s="498"/>
      <c r="BV307" s="579"/>
      <c r="BW307" s="498"/>
      <c r="BX307" s="578"/>
      <c r="BY307" s="498"/>
      <c r="BZ307" s="579"/>
      <c r="CA307" s="498"/>
      <c r="CB307" s="578"/>
      <c r="CC307" s="498"/>
      <c r="CD307" s="579"/>
      <c r="CE307" s="498"/>
      <c r="CF307" s="578"/>
      <c r="CG307" s="498"/>
      <c r="CH307" s="579"/>
      <c r="CI307" s="498"/>
      <c r="CJ307" s="578"/>
      <c r="CK307" s="498"/>
      <c r="CL307" s="579"/>
      <c r="CM307" s="498"/>
      <c r="CN307" s="578"/>
      <c r="CO307" s="498"/>
      <c r="CP307" s="579"/>
      <c r="CQ307" s="498"/>
      <c r="CR307" s="578"/>
      <c r="CS307" s="498"/>
      <c r="CT307" s="579"/>
      <c r="CU307" s="498"/>
      <c r="CV307" s="578"/>
      <c r="CW307" s="498"/>
      <c r="CX307" s="579"/>
      <c r="CY307" s="498"/>
      <c r="CZ307" s="578"/>
      <c r="DA307" s="498"/>
      <c r="DB307" s="579"/>
      <c r="DC307" s="498"/>
      <c r="DD307" s="578"/>
      <c r="DE307" s="498"/>
      <c r="DF307" s="579"/>
      <c r="DG307" s="498"/>
      <c r="DH307" s="578"/>
      <c r="DI307" s="498"/>
      <c r="DJ307" s="579"/>
      <c r="DK307" s="498"/>
      <c r="DL307" s="578"/>
      <c r="DM307" s="498"/>
      <c r="DN307" s="579"/>
      <c r="DO307" s="498"/>
      <c r="DP307" s="572"/>
      <c r="DQ307" s="328"/>
      <c r="DR307" s="328">
        <f t="shared" si="109"/>
        <v>0</v>
      </c>
      <c r="DS307" s="329"/>
      <c r="DT307" s="329"/>
      <c r="DU307" s="578"/>
      <c r="DV307" s="498"/>
      <c r="DW307" s="579"/>
      <c r="DX307" s="498"/>
      <c r="DY307" s="578"/>
      <c r="DZ307" s="498"/>
      <c r="EA307" s="579"/>
      <c r="EB307" s="498"/>
      <c r="EC307" s="578"/>
      <c r="ED307" s="498"/>
      <c r="EE307" s="579"/>
      <c r="EF307" s="498"/>
      <c r="EG307" s="578"/>
      <c r="EH307" s="498"/>
      <c r="EI307" s="579"/>
      <c r="EJ307" s="498"/>
      <c r="EK307" s="578"/>
      <c r="EL307" s="498"/>
      <c r="EM307" s="579"/>
      <c r="EN307" s="498"/>
      <c r="EO307" s="578"/>
      <c r="EP307" s="498"/>
      <c r="EQ307" s="579"/>
      <c r="ER307" s="498"/>
      <c r="ES307" s="578"/>
      <c r="ET307" s="498"/>
      <c r="EU307" s="579"/>
      <c r="EV307" s="498"/>
      <c r="EW307" s="578"/>
      <c r="EX307" s="498"/>
      <c r="EY307" s="579"/>
      <c r="EZ307" s="498"/>
      <c r="FA307" s="578"/>
      <c r="FB307" s="498"/>
      <c r="FC307" s="579"/>
      <c r="FD307" s="498"/>
      <c r="FE307" s="578"/>
      <c r="FF307" s="498"/>
      <c r="FG307" s="579"/>
      <c r="FH307" s="498"/>
      <c r="FI307" s="578"/>
      <c r="FJ307" s="498"/>
      <c r="FK307" s="579"/>
      <c r="FL307" s="498"/>
      <c r="FM307" s="578"/>
      <c r="FN307" s="498"/>
      <c r="FO307" s="579"/>
      <c r="FP307" s="498"/>
      <c r="FQ307" s="572"/>
      <c r="FR307" s="328"/>
      <c r="FS307" s="328">
        <f t="shared" si="110"/>
        <v>0</v>
      </c>
      <c r="FT307" s="573"/>
    </row>
    <row r="308" spans="1:176" outlineLevel="2">
      <c r="A308" s="58" t="s">
        <v>471</v>
      </c>
      <c r="B308" s="387" t="s">
        <v>82</v>
      </c>
      <c r="C308" s="173" t="s">
        <v>72</v>
      </c>
      <c r="D308" s="595" t="s">
        <v>32</v>
      </c>
      <c r="E308" s="412">
        <f>IF(ISBLANK(G308),"",IF($A$6:$A$330=$A308,COUNTIF($A$6:A308,$A308),""))</f>
        <v>43</v>
      </c>
      <c r="F308" s="123">
        <v>1</v>
      </c>
      <c r="G308" s="128">
        <v>9522010010</v>
      </c>
      <c r="H308" s="612" t="s">
        <v>73</v>
      </c>
      <c r="I308" s="618">
        <v>0</v>
      </c>
      <c r="J308" s="618"/>
      <c r="K308" s="126"/>
      <c r="L308" s="618" t="str">
        <f t="shared" ref="L308:L314" si="111">IF(K308="RUB",J308/ЮАНЬ,IF(K308="EUR",J308*ЕВРО/ЮАНЬ,""))</f>
        <v/>
      </c>
      <c r="M308" s="102"/>
      <c r="N308" s="305">
        <f t="shared" si="95"/>
        <v>1</v>
      </c>
      <c r="O308" s="23">
        <v>80</v>
      </c>
      <c r="P308" s="24"/>
      <c r="Q308" s="25"/>
      <c r="R308" s="24"/>
      <c r="S308" s="23">
        <v>80</v>
      </c>
      <c r="T308" s="24">
        <f>SUMPRODUCT((Комплекты[Пр]=$F308)*(Комплекты[Обозначение]=$G308)*Комплекты[Кол-во]*(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50</v>
      </c>
      <c r="U308" s="25">
        <f>SUMPRODUCT((Комплекты[Пр]=$F308)*(Комплекты[Обозначение]=$G308)*Комплекты[Кол-во]*(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50</v>
      </c>
      <c r="V308" s="570"/>
      <c r="W308" s="23">
        <v>80</v>
      </c>
      <c r="X308" s="24">
        <f>SUMPRODUCT((Комплекты[Пр]=$F308)*(Комплекты[Обозначение]=$G308)*Комплекты[Кол-во]*(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20</v>
      </c>
      <c r="Y308" s="25">
        <f>SUMPRODUCT((Комплекты[Пр]=$F308)*(Комплекты[Обозначение]=$G308)*Комплекты[Кол-во]*(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20</v>
      </c>
      <c r="Z308" s="24"/>
      <c r="AA308" s="23">
        <v>80</v>
      </c>
      <c r="AB308" s="24">
        <f>SUMPRODUCT((Комплекты[Пр]=$F308)*(Комплекты[Обозначение]=$G308)*Комплекты[Кол-во]*(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120</v>
      </c>
      <c r="AC308" s="25"/>
      <c r="AD308" s="24"/>
      <c r="AE308" s="23">
        <v>80</v>
      </c>
      <c r="AF308" s="24">
        <f>SUMPRODUCT((Комплекты[Пр]=$F308)*(Комплекты[Обозначение]=$G308)*Комплекты[Кол-во]*(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08" s="25">
        <f>SUMPRODUCT((Комплекты[Пр]=$F308)*(Комплекты[Обозначение]=$G308)*Комплекты[Кол-во]*(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08" s="24"/>
      <c r="AI308" s="23">
        <v>90</v>
      </c>
      <c r="AJ308" s="24">
        <f>SUMPRODUCT((Комплекты[Пр]=$F308)*(Комплекты[Обозначение]=$G308)*Комплекты[Кол-во]*(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160</v>
      </c>
      <c r="AK308" s="25"/>
      <c r="AL308" s="24"/>
      <c r="AM308" s="23">
        <v>90</v>
      </c>
      <c r="AN308" s="24">
        <f>SUMPRODUCT((Комплекты[Пр]=$F308)*(Комплекты[Обозначение]=$G308)*Комплекты[Кол-во]*(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50</v>
      </c>
      <c r="AO308" s="25"/>
      <c r="AP308" s="24"/>
      <c r="AQ308" s="23">
        <v>90</v>
      </c>
      <c r="AR308" s="24">
        <f>SUMPRODUCT((Комплекты[Пр]=$F308)*(Комплекты[Обозначение]=$G308)*Комплекты[Кол-во]*(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90</v>
      </c>
      <c r="AS308" s="25"/>
      <c r="AT308" s="24"/>
      <c r="AU308" s="23">
        <v>110</v>
      </c>
      <c r="AV308" s="24">
        <f>SUMPRODUCT((Комплекты[Пр]=$F308)*(Комплекты[Обозначение]=$G308)*Комплекты[Кол-во]*(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110</v>
      </c>
      <c r="AW308" s="25"/>
      <c r="AX308" s="24"/>
      <c r="AY308" s="23">
        <v>110</v>
      </c>
      <c r="AZ308" s="24">
        <f>SUMPRODUCT((Комплекты[Пр]=$F308)*(Комплекты[Обозначение]=$G308)*Комплекты[Кол-во]*(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110</v>
      </c>
      <c r="BA308" s="25"/>
      <c r="BB308" s="24"/>
      <c r="BC308" s="23">
        <v>130</v>
      </c>
      <c r="BD308" s="24">
        <f>SUMPRODUCT((Комплекты[Пр]=$F308)*(Комплекты[Обозначение]=$G308)*Комплекты[Кол-во]*(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130</v>
      </c>
      <c r="BE308" s="25"/>
      <c r="BF308" s="24"/>
      <c r="BG308" s="23">
        <v>130</v>
      </c>
      <c r="BH308" s="24">
        <f>SUMPRODUCT((Комплекты[Пр]=$F308)*(Комплекты[Обозначение]=$G308)*Комплекты[Кол-во]*(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130</v>
      </c>
      <c r="BI308" s="25"/>
      <c r="BJ308" s="24"/>
      <c r="BK308" s="340"/>
      <c r="BL308" s="32">
        <f t="shared" si="96"/>
        <v>1150</v>
      </c>
      <c r="BM308" s="32">
        <f t="shared" si="97"/>
        <v>0</v>
      </c>
      <c r="BN308" s="28">
        <f t="shared" si="98"/>
        <v>970</v>
      </c>
      <c r="BO308" s="29">
        <f t="shared" si="99"/>
        <v>0</v>
      </c>
      <c r="BP308" s="30">
        <f t="shared" si="100"/>
        <v>70</v>
      </c>
      <c r="BQ308" s="31">
        <f t="shared" si="101"/>
        <v>0</v>
      </c>
      <c r="BR308" s="11"/>
      <c r="BS308" s="329"/>
      <c r="BT308" s="23">
        <v>70</v>
      </c>
      <c r="BU308" s="24"/>
      <c r="BV308" s="25"/>
      <c r="BW308" s="24"/>
      <c r="BX308" s="23">
        <v>70</v>
      </c>
      <c r="BY308" s="24"/>
      <c r="BZ308" s="25"/>
      <c r="CA308" s="24"/>
      <c r="CB308" s="23">
        <v>70</v>
      </c>
      <c r="CC308" s="24"/>
      <c r="CD308" s="25"/>
      <c r="CE308" s="24"/>
      <c r="CF308" s="23">
        <v>70</v>
      </c>
      <c r="CG308" s="24"/>
      <c r="CH308" s="25"/>
      <c r="CI308" s="24"/>
      <c r="CJ308" s="23">
        <v>70</v>
      </c>
      <c r="CK308" s="24"/>
      <c r="CL308" s="25"/>
      <c r="CM308" s="24"/>
      <c r="CN308" s="23">
        <v>100</v>
      </c>
      <c r="CO308" s="24"/>
      <c r="CP308" s="25"/>
      <c r="CQ308" s="24"/>
      <c r="CR308" s="23">
        <v>100</v>
      </c>
      <c r="CS308" s="24"/>
      <c r="CT308" s="25"/>
      <c r="CU308" s="24"/>
      <c r="CV308" s="23">
        <v>100</v>
      </c>
      <c r="CW308" s="24"/>
      <c r="CX308" s="25"/>
      <c r="CY308" s="24"/>
      <c r="CZ308" s="23">
        <v>100</v>
      </c>
      <c r="DA308" s="24"/>
      <c r="DB308" s="25"/>
      <c r="DC308" s="24"/>
      <c r="DD308" s="23">
        <v>100</v>
      </c>
      <c r="DE308" s="24"/>
      <c r="DF308" s="25"/>
      <c r="DG308" s="24"/>
      <c r="DH308" s="23">
        <v>120</v>
      </c>
      <c r="DI308" s="24"/>
      <c r="DJ308" s="25"/>
      <c r="DK308" s="24"/>
      <c r="DL308" s="23">
        <v>120</v>
      </c>
      <c r="DM308" s="24"/>
      <c r="DN308" s="25"/>
      <c r="DO308" s="24"/>
      <c r="DP308" s="340"/>
      <c r="DQ308" s="32">
        <f t="shared" ref="DQ308:DQ314" si="112">SUMPRODUCT(--(MOD(COLUMN(BT308:CQ308),4)=MOD(COLUMN(BT308),4)),BT308:CQ308)+SUMPRODUCT(--(MOD(COLUMN(CR308:DO308),4)=MOD(COLUMN(CR308),4)),CR308:DO308)</f>
        <v>1090</v>
      </c>
      <c r="DR308" s="32">
        <f t="shared" si="109"/>
        <v>0</v>
      </c>
      <c r="DS308" s="11"/>
      <c r="DT308" s="329"/>
      <c r="DU308" s="23">
        <v>120</v>
      </c>
      <c r="DV308" s="24"/>
      <c r="DW308" s="25"/>
      <c r="DX308" s="24"/>
      <c r="DY308" s="23">
        <v>120</v>
      </c>
      <c r="DZ308" s="24"/>
      <c r="EA308" s="25"/>
      <c r="EB308" s="24"/>
      <c r="EC308" s="23">
        <v>120</v>
      </c>
      <c r="ED308" s="24"/>
      <c r="EE308" s="25"/>
      <c r="EF308" s="24"/>
      <c r="EG308" s="23">
        <v>120</v>
      </c>
      <c r="EH308" s="24"/>
      <c r="EI308" s="25"/>
      <c r="EJ308" s="24"/>
      <c r="EK308" s="23">
        <v>120</v>
      </c>
      <c r="EL308" s="24"/>
      <c r="EM308" s="25"/>
      <c r="EN308" s="24"/>
      <c r="EO308" s="23">
        <v>150</v>
      </c>
      <c r="EP308" s="24"/>
      <c r="EQ308" s="25"/>
      <c r="ER308" s="24"/>
      <c r="ES308" s="23">
        <v>150</v>
      </c>
      <c r="ET308" s="24"/>
      <c r="EU308" s="25"/>
      <c r="EV308" s="24"/>
      <c r="EW308" s="23">
        <v>150</v>
      </c>
      <c r="EX308" s="24"/>
      <c r="EY308" s="25"/>
      <c r="EZ308" s="24"/>
      <c r="FA308" s="23">
        <v>150</v>
      </c>
      <c r="FB308" s="24"/>
      <c r="FC308" s="25"/>
      <c r="FD308" s="24"/>
      <c r="FE308" s="23">
        <v>150</v>
      </c>
      <c r="FF308" s="24"/>
      <c r="FG308" s="25"/>
      <c r="FH308" s="24"/>
      <c r="FI308" s="23">
        <v>180</v>
      </c>
      <c r="FJ308" s="24"/>
      <c r="FK308" s="25"/>
      <c r="FL308" s="24"/>
      <c r="FM308" s="23">
        <v>180</v>
      </c>
      <c r="FN308" s="24"/>
      <c r="FO308" s="25"/>
      <c r="FP308" s="24"/>
      <c r="FQ308" s="340"/>
      <c r="FR308" s="32">
        <f t="shared" ref="FR308:FR314" si="113">SUMPRODUCT(--(MOD(COLUMN(DU308:ER308),4)=MOD(COLUMN(DU308),4)),DU308:ER308)+SUMPRODUCT(--(MOD(COLUMN(ES308:FP308),4)=MOD(COLUMN(ES308),4)),ES308:FP308)</f>
        <v>1710</v>
      </c>
      <c r="FS308" s="32">
        <f t="shared" si="110"/>
        <v>0</v>
      </c>
      <c r="FT308" s="361"/>
    </row>
    <row r="309" spans="1:176" outlineLevel="2">
      <c r="A309" s="58" t="s">
        <v>471</v>
      </c>
      <c r="B309" s="387" t="s">
        <v>82</v>
      </c>
      <c r="C309" s="173" t="s">
        <v>72</v>
      </c>
      <c r="D309" s="595" t="s">
        <v>32</v>
      </c>
      <c r="E309" s="412">
        <f>IF(ISBLANK(G309),"",IF($A$6:$A$330=$A309,COUNTIF($A$6:A309,$A309),""))</f>
        <v>44</v>
      </c>
      <c r="F309" s="123">
        <v>1</v>
      </c>
      <c r="G309" s="128">
        <v>9522010020</v>
      </c>
      <c r="H309" s="612" t="s">
        <v>74</v>
      </c>
      <c r="I309" s="618">
        <v>0</v>
      </c>
      <c r="J309" s="618"/>
      <c r="K309" s="126"/>
      <c r="L309" s="618" t="str">
        <f t="shared" si="111"/>
        <v/>
      </c>
      <c r="M309" s="102"/>
      <c r="N309" s="305">
        <f t="shared" si="95"/>
        <v>1</v>
      </c>
      <c r="O309" s="23">
        <v>80</v>
      </c>
      <c r="P309" s="24"/>
      <c r="Q309" s="25"/>
      <c r="R309" s="24"/>
      <c r="S309" s="23">
        <v>80</v>
      </c>
      <c r="T309" s="24">
        <f>SUMPRODUCT((Комплекты[Пр]=$F309)*(Комплекты[Обозначение]=$G309)*Комплекты[Кол-во]*(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50</v>
      </c>
      <c r="U309" s="25">
        <f>SUMPRODUCT((Комплекты[Пр]=$F309)*(Комплекты[Обозначение]=$G309)*Комплекты[Кол-во]*(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50</v>
      </c>
      <c r="V309" s="24"/>
      <c r="W309" s="23">
        <v>80</v>
      </c>
      <c r="X309" s="24">
        <f>SUMPRODUCT((Комплекты[Пр]=$F309)*(Комплекты[Обозначение]=$G309)*Комплекты[Кол-во]*(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20</v>
      </c>
      <c r="Y309" s="25">
        <f>SUMPRODUCT((Комплекты[Пр]=$F309)*(Комплекты[Обозначение]=$G309)*Комплекты[Кол-во]*(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20</v>
      </c>
      <c r="Z309" s="24"/>
      <c r="AA309" s="23">
        <v>80</v>
      </c>
      <c r="AB309" s="24">
        <f>SUMPRODUCT((Комплекты[Пр]=$F309)*(Комплекты[Обозначение]=$G309)*Комплекты[Кол-во]*(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120</v>
      </c>
      <c r="AC309" s="25"/>
      <c r="AD309" s="24"/>
      <c r="AE309" s="23">
        <v>80</v>
      </c>
      <c r="AF309" s="24">
        <f>SUMPRODUCT((Комплекты[Пр]=$F309)*(Комплекты[Обозначение]=$G309)*Комплекты[Кол-во]*(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09" s="25">
        <f>SUMPRODUCT((Комплекты[Пр]=$F309)*(Комплекты[Обозначение]=$G309)*Комплекты[Кол-во]*(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09" s="24"/>
      <c r="AI309" s="23">
        <v>90</v>
      </c>
      <c r="AJ309" s="24">
        <f>SUMPRODUCT((Комплекты[Пр]=$F309)*(Комплекты[Обозначение]=$G309)*Комплекты[Кол-во]*(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160</v>
      </c>
      <c r="AK309" s="25"/>
      <c r="AL309" s="24"/>
      <c r="AM309" s="23">
        <v>90</v>
      </c>
      <c r="AN309" s="24">
        <f>SUMPRODUCT((Комплекты[Пр]=$F309)*(Комплекты[Обозначение]=$G309)*Комплекты[Кол-во]*(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50</v>
      </c>
      <c r="AO309" s="25"/>
      <c r="AP309" s="24"/>
      <c r="AQ309" s="23">
        <v>90</v>
      </c>
      <c r="AR309" s="24">
        <f>SUMPRODUCT((Комплекты[Пр]=$F309)*(Комплекты[Обозначение]=$G309)*Комплекты[Кол-во]*(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90</v>
      </c>
      <c r="AS309" s="25"/>
      <c r="AT309" s="24"/>
      <c r="AU309" s="23">
        <v>110</v>
      </c>
      <c r="AV309" s="24">
        <f>SUMPRODUCT((Комплекты[Пр]=$F309)*(Комплекты[Обозначение]=$G309)*Комплекты[Кол-во]*(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110</v>
      </c>
      <c r="AW309" s="25"/>
      <c r="AX309" s="24"/>
      <c r="AY309" s="23">
        <v>110</v>
      </c>
      <c r="AZ309" s="24">
        <f>SUMPRODUCT((Комплекты[Пр]=$F309)*(Комплекты[Обозначение]=$G309)*Комплекты[Кол-во]*(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110</v>
      </c>
      <c r="BA309" s="25"/>
      <c r="BB309" s="24"/>
      <c r="BC309" s="23">
        <v>130</v>
      </c>
      <c r="BD309" s="24">
        <f>SUMPRODUCT((Комплекты[Пр]=$F309)*(Комплекты[Обозначение]=$G309)*Комплекты[Кол-во]*(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130</v>
      </c>
      <c r="BE309" s="25"/>
      <c r="BF309" s="24"/>
      <c r="BG309" s="23">
        <v>130</v>
      </c>
      <c r="BH309" s="24">
        <f>SUMPRODUCT((Комплекты[Пр]=$F309)*(Комплекты[Обозначение]=$G309)*Комплекты[Кол-во]*(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130</v>
      </c>
      <c r="BI309" s="25"/>
      <c r="BJ309" s="24"/>
      <c r="BK309" s="340"/>
      <c r="BL309" s="32">
        <f t="shared" si="96"/>
        <v>1150</v>
      </c>
      <c r="BM309" s="32">
        <f t="shared" si="97"/>
        <v>0</v>
      </c>
      <c r="BN309" s="28">
        <f t="shared" si="98"/>
        <v>970</v>
      </c>
      <c r="BO309" s="29">
        <f t="shared" si="99"/>
        <v>0</v>
      </c>
      <c r="BP309" s="30">
        <f t="shared" si="100"/>
        <v>70</v>
      </c>
      <c r="BQ309" s="31">
        <f t="shared" si="101"/>
        <v>0</v>
      </c>
      <c r="BR309" s="11"/>
      <c r="BS309" s="329"/>
      <c r="BT309" s="23">
        <v>70</v>
      </c>
      <c r="BU309" s="24"/>
      <c r="BV309" s="25"/>
      <c r="BW309" s="24"/>
      <c r="BX309" s="23">
        <v>70</v>
      </c>
      <c r="BY309" s="24"/>
      <c r="BZ309" s="25"/>
      <c r="CA309" s="24"/>
      <c r="CB309" s="23">
        <v>70</v>
      </c>
      <c r="CC309" s="24"/>
      <c r="CD309" s="25"/>
      <c r="CE309" s="24"/>
      <c r="CF309" s="23">
        <v>70</v>
      </c>
      <c r="CG309" s="24"/>
      <c r="CH309" s="25"/>
      <c r="CI309" s="24"/>
      <c r="CJ309" s="23">
        <v>70</v>
      </c>
      <c r="CK309" s="24"/>
      <c r="CL309" s="25"/>
      <c r="CM309" s="24"/>
      <c r="CN309" s="23">
        <v>100</v>
      </c>
      <c r="CO309" s="24"/>
      <c r="CP309" s="25"/>
      <c r="CQ309" s="24"/>
      <c r="CR309" s="23">
        <v>100</v>
      </c>
      <c r="CS309" s="24"/>
      <c r="CT309" s="25"/>
      <c r="CU309" s="24"/>
      <c r="CV309" s="23">
        <v>100</v>
      </c>
      <c r="CW309" s="24"/>
      <c r="CX309" s="25"/>
      <c r="CY309" s="24"/>
      <c r="CZ309" s="23">
        <v>100</v>
      </c>
      <c r="DA309" s="24"/>
      <c r="DB309" s="25"/>
      <c r="DC309" s="24"/>
      <c r="DD309" s="23">
        <v>100</v>
      </c>
      <c r="DE309" s="24"/>
      <c r="DF309" s="25"/>
      <c r="DG309" s="24"/>
      <c r="DH309" s="23">
        <v>120</v>
      </c>
      <c r="DI309" s="24"/>
      <c r="DJ309" s="25"/>
      <c r="DK309" s="24"/>
      <c r="DL309" s="23">
        <v>120</v>
      </c>
      <c r="DM309" s="24"/>
      <c r="DN309" s="25"/>
      <c r="DO309" s="24"/>
      <c r="DP309" s="340"/>
      <c r="DQ309" s="32">
        <f t="shared" si="112"/>
        <v>1090</v>
      </c>
      <c r="DR309" s="32">
        <f t="shared" si="109"/>
        <v>0</v>
      </c>
      <c r="DS309" s="11"/>
      <c r="DT309" s="329"/>
      <c r="DU309" s="23">
        <v>120</v>
      </c>
      <c r="DV309" s="24"/>
      <c r="DW309" s="25"/>
      <c r="DX309" s="24"/>
      <c r="DY309" s="23">
        <v>120</v>
      </c>
      <c r="DZ309" s="24"/>
      <c r="EA309" s="25"/>
      <c r="EB309" s="24"/>
      <c r="EC309" s="23">
        <v>120</v>
      </c>
      <c r="ED309" s="24"/>
      <c r="EE309" s="25"/>
      <c r="EF309" s="24"/>
      <c r="EG309" s="23">
        <v>120</v>
      </c>
      <c r="EH309" s="24"/>
      <c r="EI309" s="25"/>
      <c r="EJ309" s="24"/>
      <c r="EK309" s="23">
        <v>120</v>
      </c>
      <c r="EL309" s="24"/>
      <c r="EM309" s="25"/>
      <c r="EN309" s="24"/>
      <c r="EO309" s="23">
        <v>150</v>
      </c>
      <c r="EP309" s="24"/>
      <c r="EQ309" s="25"/>
      <c r="ER309" s="24"/>
      <c r="ES309" s="23">
        <v>150</v>
      </c>
      <c r="ET309" s="24"/>
      <c r="EU309" s="25"/>
      <c r="EV309" s="24"/>
      <c r="EW309" s="23">
        <v>150</v>
      </c>
      <c r="EX309" s="24"/>
      <c r="EY309" s="25"/>
      <c r="EZ309" s="24"/>
      <c r="FA309" s="23">
        <v>150</v>
      </c>
      <c r="FB309" s="24"/>
      <c r="FC309" s="25"/>
      <c r="FD309" s="24"/>
      <c r="FE309" s="23">
        <v>150</v>
      </c>
      <c r="FF309" s="24"/>
      <c r="FG309" s="25"/>
      <c r="FH309" s="24"/>
      <c r="FI309" s="23">
        <v>180</v>
      </c>
      <c r="FJ309" s="24"/>
      <c r="FK309" s="25"/>
      <c r="FL309" s="24"/>
      <c r="FM309" s="23">
        <v>180</v>
      </c>
      <c r="FN309" s="24"/>
      <c r="FO309" s="25"/>
      <c r="FP309" s="24"/>
      <c r="FQ309" s="340"/>
      <c r="FR309" s="32">
        <f t="shared" si="113"/>
        <v>1710</v>
      </c>
      <c r="FS309" s="32">
        <f t="shared" si="110"/>
        <v>0</v>
      </c>
      <c r="FT309" s="361"/>
    </row>
    <row r="310" spans="1:176" outlineLevel="2">
      <c r="A310" s="58" t="s">
        <v>471</v>
      </c>
      <c r="B310" s="387" t="s">
        <v>82</v>
      </c>
      <c r="C310" s="173" t="s">
        <v>72</v>
      </c>
      <c r="D310" s="595" t="s">
        <v>32</v>
      </c>
      <c r="E310" s="412">
        <f>IF(ISBLANK(G310),"",IF($A$6:$A$330=$A310,COUNTIF($A$6:A310,$A310),""))</f>
        <v>45</v>
      </c>
      <c r="F310" s="123">
        <v>1</v>
      </c>
      <c r="G310" s="128">
        <v>9710029000</v>
      </c>
      <c r="H310" s="612" t="s">
        <v>75</v>
      </c>
      <c r="I310" s="618">
        <v>0</v>
      </c>
      <c r="J310" s="618"/>
      <c r="K310" s="126"/>
      <c r="L310" s="618" t="str">
        <f t="shared" si="111"/>
        <v/>
      </c>
      <c r="M310" s="102"/>
      <c r="N310" s="305">
        <f t="shared" si="95"/>
        <v>1</v>
      </c>
      <c r="O310" s="23">
        <v>80</v>
      </c>
      <c r="P310" s="24"/>
      <c r="Q310" s="25"/>
      <c r="R310" s="24"/>
      <c r="S310" s="23">
        <v>80</v>
      </c>
      <c r="T310" s="24">
        <f>SUMPRODUCT((Комплекты[Пр]=$F310)*(Комплекты[Обозначение]=$G310)*Комплекты[Кол-во]*(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50</v>
      </c>
      <c r="U310" s="25">
        <f>SUMPRODUCT((Комплекты[Пр]=$F310)*(Комплекты[Обозначение]=$G310)*Комплекты[Кол-во]*(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50</v>
      </c>
      <c r="V310" s="24"/>
      <c r="W310" s="23">
        <v>80</v>
      </c>
      <c r="X310" s="24">
        <f>SUMPRODUCT((Комплекты[Пр]=$F310)*(Комплекты[Обозначение]=$G310)*Комплекты[Кол-во]*(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0</v>
      </c>
      <c r="Y310" s="25">
        <f>SUMPRODUCT((Комплекты[Пр]=$F310)*(Комплекты[Обозначение]=$G310)*Комплекты[Кол-во]*(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0</v>
      </c>
      <c r="Z310" s="24"/>
      <c r="AA310" s="23">
        <v>80</v>
      </c>
      <c r="AB310" s="24">
        <f>SUMPRODUCT((Комплекты[Пр]=$F310)*(Комплекты[Обозначение]=$G310)*Комплекты[Кол-во]*(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60</v>
      </c>
      <c r="AC310" s="25"/>
      <c r="AD310" s="24"/>
      <c r="AE310" s="23">
        <v>80</v>
      </c>
      <c r="AF310" s="24">
        <f>SUMPRODUCT((Комплекты[Пр]=$F310)*(Комплекты[Обозначение]=$G310)*Комплекты[Кол-во]*(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10" s="25">
        <f>SUMPRODUCT((Комплекты[Пр]=$F310)*(Комплекты[Обозначение]=$G310)*Комплекты[Кол-во]*(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10" s="24"/>
      <c r="AI310" s="23">
        <v>90</v>
      </c>
      <c r="AJ310" s="24">
        <f>SUMPRODUCT((Комплекты[Пр]=$F310)*(Комплекты[Обозначение]=$G310)*Комплекты[Кол-во]*(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100</v>
      </c>
      <c r="AK310" s="25"/>
      <c r="AL310" s="24"/>
      <c r="AM310" s="23">
        <v>90</v>
      </c>
      <c r="AN310" s="24">
        <f>SUMPRODUCT((Комплекты[Пр]=$F310)*(Комплекты[Обозначение]=$G310)*Комплекты[Кол-во]*(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50</v>
      </c>
      <c r="AO310" s="25"/>
      <c r="AP310" s="24"/>
      <c r="AQ310" s="23">
        <v>90</v>
      </c>
      <c r="AR310" s="24">
        <f>SUMPRODUCT((Комплекты[Пр]=$F310)*(Комплекты[Обозначение]=$G310)*Комплекты[Кол-во]*(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90</v>
      </c>
      <c r="AS310" s="25"/>
      <c r="AT310" s="24"/>
      <c r="AU310" s="23">
        <v>110</v>
      </c>
      <c r="AV310" s="24">
        <f>SUMPRODUCT((Комплекты[Пр]=$F310)*(Комплекты[Обозначение]=$G310)*Комплекты[Кол-во]*(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110</v>
      </c>
      <c r="AW310" s="25"/>
      <c r="AX310" s="24"/>
      <c r="AY310" s="23">
        <v>110</v>
      </c>
      <c r="AZ310" s="24">
        <f>SUMPRODUCT((Комплекты[Пр]=$F310)*(Комплекты[Обозначение]=$G310)*Комплекты[Кол-во]*(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110</v>
      </c>
      <c r="BA310" s="25"/>
      <c r="BB310" s="24"/>
      <c r="BC310" s="23">
        <v>130</v>
      </c>
      <c r="BD310" s="24">
        <f>SUMPRODUCT((Комплекты[Пр]=$F310)*(Комплекты[Обозначение]=$G310)*Комплекты[Кол-во]*(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130</v>
      </c>
      <c r="BE310" s="25"/>
      <c r="BF310" s="24"/>
      <c r="BG310" s="23">
        <v>130</v>
      </c>
      <c r="BH310" s="24">
        <f>SUMPRODUCT((Комплекты[Пр]=$F310)*(Комплекты[Обозначение]=$G310)*Комплекты[Кол-во]*(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130</v>
      </c>
      <c r="BI310" s="25"/>
      <c r="BJ310" s="24"/>
      <c r="BK310" s="340"/>
      <c r="BL310" s="32">
        <f t="shared" si="96"/>
        <v>1150</v>
      </c>
      <c r="BM310" s="32">
        <f t="shared" si="97"/>
        <v>0</v>
      </c>
      <c r="BN310" s="28">
        <f t="shared" si="98"/>
        <v>830</v>
      </c>
      <c r="BO310" s="29">
        <f t="shared" si="99"/>
        <v>0</v>
      </c>
      <c r="BP310" s="30">
        <f t="shared" si="100"/>
        <v>50</v>
      </c>
      <c r="BQ310" s="31">
        <f t="shared" si="101"/>
        <v>0</v>
      </c>
      <c r="BR310" s="11"/>
      <c r="BS310" s="329"/>
      <c r="BT310" s="23">
        <v>70</v>
      </c>
      <c r="BU310" s="24"/>
      <c r="BV310" s="25"/>
      <c r="BW310" s="24"/>
      <c r="BX310" s="23">
        <v>70</v>
      </c>
      <c r="BY310" s="24"/>
      <c r="BZ310" s="25"/>
      <c r="CA310" s="24"/>
      <c r="CB310" s="23">
        <v>70</v>
      </c>
      <c r="CC310" s="24"/>
      <c r="CD310" s="25"/>
      <c r="CE310" s="24"/>
      <c r="CF310" s="23">
        <v>70</v>
      </c>
      <c r="CG310" s="24"/>
      <c r="CH310" s="25"/>
      <c r="CI310" s="24"/>
      <c r="CJ310" s="23">
        <v>70</v>
      </c>
      <c r="CK310" s="24"/>
      <c r="CL310" s="25"/>
      <c r="CM310" s="24"/>
      <c r="CN310" s="23">
        <v>100</v>
      </c>
      <c r="CO310" s="24"/>
      <c r="CP310" s="25"/>
      <c r="CQ310" s="24"/>
      <c r="CR310" s="23">
        <v>100</v>
      </c>
      <c r="CS310" s="24"/>
      <c r="CT310" s="25"/>
      <c r="CU310" s="24"/>
      <c r="CV310" s="23">
        <v>100</v>
      </c>
      <c r="CW310" s="24"/>
      <c r="CX310" s="25"/>
      <c r="CY310" s="24"/>
      <c r="CZ310" s="23">
        <v>100</v>
      </c>
      <c r="DA310" s="24"/>
      <c r="DB310" s="25"/>
      <c r="DC310" s="24"/>
      <c r="DD310" s="23">
        <v>100</v>
      </c>
      <c r="DE310" s="24"/>
      <c r="DF310" s="25"/>
      <c r="DG310" s="24"/>
      <c r="DH310" s="23">
        <v>120</v>
      </c>
      <c r="DI310" s="24"/>
      <c r="DJ310" s="25"/>
      <c r="DK310" s="24"/>
      <c r="DL310" s="23">
        <v>120</v>
      </c>
      <c r="DM310" s="24"/>
      <c r="DN310" s="25"/>
      <c r="DO310" s="24"/>
      <c r="DP310" s="340"/>
      <c r="DQ310" s="32">
        <f t="shared" si="112"/>
        <v>1090</v>
      </c>
      <c r="DR310" s="32">
        <f t="shared" si="109"/>
        <v>0</v>
      </c>
      <c r="DS310" s="11"/>
      <c r="DT310" s="329"/>
      <c r="DU310" s="23">
        <v>120</v>
      </c>
      <c r="DV310" s="24"/>
      <c r="DW310" s="25"/>
      <c r="DX310" s="24"/>
      <c r="DY310" s="23">
        <v>120</v>
      </c>
      <c r="DZ310" s="24"/>
      <c r="EA310" s="25"/>
      <c r="EB310" s="24"/>
      <c r="EC310" s="23">
        <v>120</v>
      </c>
      <c r="ED310" s="24"/>
      <c r="EE310" s="25"/>
      <c r="EF310" s="24"/>
      <c r="EG310" s="23">
        <v>120</v>
      </c>
      <c r="EH310" s="24"/>
      <c r="EI310" s="25"/>
      <c r="EJ310" s="24"/>
      <c r="EK310" s="23">
        <v>120</v>
      </c>
      <c r="EL310" s="24"/>
      <c r="EM310" s="25"/>
      <c r="EN310" s="24"/>
      <c r="EO310" s="23">
        <v>150</v>
      </c>
      <c r="EP310" s="24"/>
      <c r="EQ310" s="25"/>
      <c r="ER310" s="24"/>
      <c r="ES310" s="23">
        <v>150</v>
      </c>
      <c r="ET310" s="24"/>
      <c r="EU310" s="25"/>
      <c r="EV310" s="24"/>
      <c r="EW310" s="23">
        <v>150</v>
      </c>
      <c r="EX310" s="24"/>
      <c r="EY310" s="25"/>
      <c r="EZ310" s="24"/>
      <c r="FA310" s="23">
        <v>150</v>
      </c>
      <c r="FB310" s="24"/>
      <c r="FC310" s="25"/>
      <c r="FD310" s="24"/>
      <c r="FE310" s="23">
        <v>150</v>
      </c>
      <c r="FF310" s="24"/>
      <c r="FG310" s="25"/>
      <c r="FH310" s="24"/>
      <c r="FI310" s="23">
        <v>180</v>
      </c>
      <c r="FJ310" s="24"/>
      <c r="FK310" s="25"/>
      <c r="FL310" s="24"/>
      <c r="FM310" s="23">
        <v>180</v>
      </c>
      <c r="FN310" s="24"/>
      <c r="FO310" s="25"/>
      <c r="FP310" s="24"/>
      <c r="FQ310" s="340"/>
      <c r="FR310" s="32">
        <f t="shared" si="113"/>
        <v>1710</v>
      </c>
      <c r="FS310" s="32">
        <f t="shared" si="110"/>
        <v>0</v>
      </c>
      <c r="FT310" s="361"/>
    </row>
    <row r="311" spans="1:176" outlineLevel="2">
      <c r="A311" s="58" t="s">
        <v>471</v>
      </c>
      <c r="B311" s="387" t="s">
        <v>82</v>
      </c>
      <c r="C311" s="173" t="s">
        <v>72</v>
      </c>
      <c r="D311" s="595" t="s">
        <v>32</v>
      </c>
      <c r="E311" s="412">
        <f>IF(ISBLANK(G311),"",IF($A$6:$A$330=$A311,COUNTIF($A$6:A311,$A311),""))</f>
        <v>46</v>
      </c>
      <c r="F311" s="123">
        <v>1</v>
      </c>
      <c r="G311" s="128">
        <v>4801020640</v>
      </c>
      <c r="H311" s="612" t="s">
        <v>124</v>
      </c>
      <c r="I311" s="618">
        <v>0</v>
      </c>
      <c r="J311" s="618"/>
      <c r="K311" s="126"/>
      <c r="L311" s="618" t="str">
        <f t="shared" si="111"/>
        <v/>
      </c>
      <c r="M311" s="102"/>
      <c r="N311" s="305">
        <f t="shared" si="95"/>
        <v>1</v>
      </c>
      <c r="O311" s="23">
        <v>80</v>
      </c>
      <c r="P311" s="24"/>
      <c r="Q311" s="25"/>
      <c r="R311" s="24"/>
      <c r="S311" s="23">
        <v>80</v>
      </c>
      <c r="T311" s="24">
        <f>SUMPRODUCT((Комплекты[Пр]=$F311)*(Комплекты[Обозначение]=$G311)*Комплекты[Кол-во]*(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50</v>
      </c>
      <c r="U311" s="25">
        <f>SUMPRODUCT((Комплекты[Пр]=$F311)*(Комплекты[Обозначение]=$G311)*Комплекты[Кол-во]*(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50</v>
      </c>
      <c r="V311" s="24"/>
      <c r="W311" s="23">
        <v>80</v>
      </c>
      <c r="X311" s="24">
        <f>SUMPRODUCT((Комплекты[Пр]=$F311)*(Комплекты[Обозначение]=$G311)*Комплекты[Кол-во]*(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20</v>
      </c>
      <c r="Y311" s="25">
        <f>SUMPRODUCT((Комплекты[Пр]=$F311)*(Комплекты[Обозначение]=$G311)*Комплекты[Кол-во]*(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20</v>
      </c>
      <c r="Z311" s="24"/>
      <c r="AA311" s="23">
        <v>80</v>
      </c>
      <c r="AB311" s="24">
        <f>SUMPRODUCT((Комплекты[Пр]=$F311)*(Комплекты[Обозначение]=$G311)*Комплекты[Кол-во]*(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150</v>
      </c>
      <c r="AC311" s="25"/>
      <c r="AD311" s="24"/>
      <c r="AE311" s="23">
        <v>80</v>
      </c>
      <c r="AF311" s="24">
        <f>SUMPRODUCT((Комплекты[Пр]=$F311)*(Комплекты[Обозначение]=$G311)*Комплекты[Кол-во]*(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11" s="25">
        <f>SUMPRODUCT((Комплекты[Пр]=$F311)*(Комплекты[Обозначение]=$G311)*Комплекты[Кол-во]*(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11" s="24"/>
      <c r="AI311" s="23">
        <v>90</v>
      </c>
      <c r="AJ311" s="24">
        <f>SUMPRODUCT((Комплекты[Пр]=$F311)*(Комплекты[Обозначение]=$G311)*Комплекты[Кол-во]*(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200</v>
      </c>
      <c r="AK311" s="25"/>
      <c r="AL311" s="24"/>
      <c r="AM311" s="23">
        <v>90</v>
      </c>
      <c r="AN311" s="24">
        <f>SUMPRODUCT((Комплекты[Пр]=$F311)*(Комплекты[Обозначение]=$G311)*Комплекты[Кол-во]*(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80</v>
      </c>
      <c r="AO311" s="25"/>
      <c r="AP311" s="24"/>
      <c r="AQ311" s="23">
        <v>90</v>
      </c>
      <c r="AR311" s="24">
        <f>SUMPRODUCT((Комплекты[Пр]=$F311)*(Комплекты[Обозначение]=$G311)*Комплекты[Кол-во]*(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90</v>
      </c>
      <c r="AS311" s="25"/>
      <c r="AT311" s="24"/>
      <c r="AU311" s="23">
        <v>110</v>
      </c>
      <c r="AV311" s="24">
        <f>SUMPRODUCT((Комплекты[Пр]=$F311)*(Комплекты[Обозначение]=$G311)*Комплекты[Кол-во]*(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110</v>
      </c>
      <c r="AW311" s="25"/>
      <c r="AX311" s="24"/>
      <c r="AY311" s="23">
        <v>110</v>
      </c>
      <c r="AZ311" s="24">
        <f>SUMPRODUCT((Комплекты[Пр]=$F311)*(Комплекты[Обозначение]=$G311)*Комплекты[Кол-во]*(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110</v>
      </c>
      <c r="BA311" s="25"/>
      <c r="BB311" s="24"/>
      <c r="BC311" s="23">
        <v>130</v>
      </c>
      <c r="BD311" s="24">
        <f>SUMPRODUCT((Комплекты[Пр]=$F311)*(Комплекты[Обозначение]=$G311)*Комплекты[Кол-во]*(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130</v>
      </c>
      <c r="BE311" s="25"/>
      <c r="BF311" s="24"/>
      <c r="BG311" s="23">
        <v>130</v>
      </c>
      <c r="BH311" s="24">
        <f>SUMPRODUCT((Комплекты[Пр]=$F311)*(Комплекты[Обозначение]=$G311)*Комплекты[Кол-во]*(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130</v>
      </c>
      <c r="BI311" s="25"/>
      <c r="BJ311" s="24"/>
      <c r="BK311" s="340"/>
      <c r="BL311" s="32">
        <f t="shared" si="96"/>
        <v>1150</v>
      </c>
      <c r="BM311" s="32">
        <f t="shared" si="97"/>
        <v>0</v>
      </c>
      <c r="BN311" s="28">
        <f t="shared" si="98"/>
        <v>1070</v>
      </c>
      <c r="BO311" s="29">
        <f t="shared" si="99"/>
        <v>0</v>
      </c>
      <c r="BP311" s="30">
        <f t="shared" si="100"/>
        <v>70</v>
      </c>
      <c r="BQ311" s="31">
        <f t="shared" si="101"/>
        <v>0</v>
      </c>
      <c r="BR311" s="11"/>
      <c r="BS311" s="329"/>
      <c r="BT311" s="23">
        <v>70</v>
      </c>
      <c r="BU311" s="24"/>
      <c r="BV311" s="25"/>
      <c r="BW311" s="24"/>
      <c r="BX311" s="23">
        <v>70</v>
      </c>
      <c r="BY311" s="24"/>
      <c r="BZ311" s="25"/>
      <c r="CA311" s="24"/>
      <c r="CB311" s="23">
        <v>70</v>
      </c>
      <c r="CC311" s="24"/>
      <c r="CD311" s="25"/>
      <c r="CE311" s="24"/>
      <c r="CF311" s="23">
        <v>70</v>
      </c>
      <c r="CG311" s="24"/>
      <c r="CH311" s="25"/>
      <c r="CI311" s="24"/>
      <c r="CJ311" s="23">
        <v>70</v>
      </c>
      <c r="CK311" s="24"/>
      <c r="CL311" s="25"/>
      <c r="CM311" s="24"/>
      <c r="CN311" s="23">
        <v>100</v>
      </c>
      <c r="CO311" s="24"/>
      <c r="CP311" s="25"/>
      <c r="CQ311" s="24"/>
      <c r="CR311" s="23">
        <v>100</v>
      </c>
      <c r="CS311" s="24"/>
      <c r="CT311" s="25"/>
      <c r="CU311" s="24"/>
      <c r="CV311" s="23">
        <v>100</v>
      </c>
      <c r="CW311" s="24"/>
      <c r="CX311" s="25"/>
      <c r="CY311" s="24"/>
      <c r="CZ311" s="23">
        <v>100</v>
      </c>
      <c r="DA311" s="24"/>
      <c r="DB311" s="25"/>
      <c r="DC311" s="24"/>
      <c r="DD311" s="23">
        <v>100</v>
      </c>
      <c r="DE311" s="24"/>
      <c r="DF311" s="25"/>
      <c r="DG311" s="24"/>
      <c r="DH311" s="23">
        <v>120</v>
      </c>
      <c r="DI311" s="24"/>
      <c r="DJ311" s="25"/>
      <c r="DK311" s="24"/>
      <c r="DL311" s="23">
        <v>120</v>
      </c>
      <c r="DM311" s="24"/>
      <c r="DN311" s="25"/>
      <c r="DO311" s="24"/>
      <c r="DP311" s="340"/>
      <c r="DQ311" s="32">
        <f t="shared" si="112"/>
        <v>1090</v>
      </c>
      <c r="DR311" s="32">
        <f t="shared" si="109"/>
        <v>0</v>
      </c>
      <c r="DS311" s="11"/>
      <c r="DT311" s="329"/>
      <c r="DU311" s="23">
        <v>120</v>
      </c>
      <c r="DV311" s="24"/>
      <c r="DW311" s="25"/>
      <c r="DX311" s="24"/>
      <c r="DY311" s="23">
        <v>120</v>
      </c>
      <c r="DZ311" s="24"/>
      <c r="EA311" s="25"/>
      <c r="EB311" s="24"/>
      <c r="EC311" s="23">
        <v>120</v>
      </c>
      <c r="ED311" s="24"/>
      <c r="EE311" s="25"/>
      <c r="EF311" s="24"/>
      <c r="EG311" s="23">
        <v>120</v>
      </c>
      <c r="EH311" s="24"/>
      <c r="EI311" s="25"/>
      <c r="EJ311" s="24"/>
      <c r="EK311" s="23">
        <v>120</v>
      </c>
      <c r="EL311" s="24"/>
      <c r="EM311" s="25"/>
      <c r="EN311" s="24"/>
      <c r="EO311" s="23">
        <v>150</v>
      </c>
      <c r="EP311" s="24"/>
      <c r="EQ311" s="25"/>
      <c r="ER311" s="24"/>
      <c r="ES311" s="23">
        <v>150</v>
      </c>
      <c r="ET311" s="24"/>
      <c r="EU311" s="25"/>
      <c r="EV311" s="24"/>
      <c r="EW311" s="23">
        <v>150</v>
      </c>
      <c r="EX311" s="24"/>
      <c r="EY311" s="25"/>
      <c r="EZ311" s="24"/>
      <c r="FA311" s="23">
        <v>150</v>
      </c>
      <c r="FB311" s="24"/>
      <c r="FC311" s="25"/>
      <c r="FD311" s="24"/>
      <c r="FE311" s="23">
        <v>150</v>
      </c>
      <c r="FF311" s="24"/>
      <c r="FG311" s="25"/>
      <c r="FH311" s="24"/>
      <c r="FI311" s="23">
        <v>180</v>
      </c>
      <c r="FJ311" s="24"/>
      <c r="FK311" s="25"/>
      <c r="FL311" s="24"/>
      <c r="FM311" s="23">
        <v>180</v>
      </c>
      <c r="FN311" s="24"/>
      <c r="FO311" s="25"/>
      <c r="FP311" s="24"/>
      <c r="FQ311" s="340"/>
      <c r="FR311" s="32">
        <f t="shared" si="113"/>
        <v>1710</v>
      </c>
      <c r="FS311" s="32">
        <f t="shared" si="110"/>
        <v>0</v>
      </c>
      <c r="FT311" s="361"/>
    </row>
    <row r="312" spans="1:176" outlineLevel="2">
      <c r="A312" s="58" t="s">
        <v>471</v>
      </c>
      <c r="B312" s="387" t="s">
        <v>82</v>
      </c>
      <c r="C312" s="173" t="s">
        <v>72</v>
      </c>
      <c r="D312" s="595" t="s">
        <v>32</v>
      </c>
      <c r="E312" s="412">
        <f>IF(ISBLANK(G312),"",IF($A$6:$A$330=$A312,COUNTIF($A$6:A312,$A312),""))</f>
        <v>47</v>
      </c>
      <c r="F312" s="123">
        <v>1</v>
      </c>
      <c r="G312" s="128">
        <v>4491731200</v>
      </c>
      <c r="H312" s="612" t="s">
        <v>83</v>
      </c>
      <c r="I312" s="618">
        <v>0</v>
      </c>
      <c r="J312" s="618"/>
      <c r="K312" s="126"/>
      <c r="L312" s="618" t="str">
        <f t="shared" si="111"/>
        <v/>
      </c>
      <c r="M312" s="102"/>
      <c r="N312" s="305">
        <f t="shared" si="95"/>
        <v>1</v>
      </c>
      <c r="O312" s="23">
        <v>20</v>
      </c>
      <c r="P312" s="24"/>
      <c r="Q312" s="25"/>
      <c r="R312" s="24"/>
      <c r="S312" s="23">
        <v>20</v>
      </c>
      <c r="T312" s="24">
        <f>SUMPRODUCT((Комплекты[Пр]=$F312)*(Комплекты[Обозначение]=$G312)*Комплекты[Кол-во]*(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30</v>
      </c>
      <c r="U312" s="25">
        <f>SUMPRODUCT((Комплекты[Пр]=$F312)*(Комплекты[Обозначение]=$G312)*Комплекты[Кол-во]*(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30</v>
      </c>
      <c r="V312" s="24"/>
      <c r="W312" s="23">
        <v>20</v>
      </c>
      <c r="X312" s="24">
        <f>SUMPRODUCT((Комплекты[Пр]=$F312)*(Комплекты[Обозначение]=$G312)*Комплекты[Кол-во]*(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0</v>
      </c>
      <c r="Y312" s="25">
        <f>SUMPRODUCT((Комплекты[Пр]=$F312)*(Комплекты[Обозначение]=$G312)*Комплекты[Кол-во]*(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0</v>
      </c>
      <c r="Z312" s="24"/>
      <c r="AA312" s="23">
        <v>20</v>
      </c>
      <c r="AB312" s="24">
        <f>SUMPRODUCT((Комплекты[Пр]=$F312)*(Комплекты[Обозначение]=$G312)*Комплекты[Кол-во]*(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30</v>
      </c>
      <c r="AC312" s="25"/>
      <c r="AD312" s="24"/>
      <c r="AE312" s="23">
        <v>20</v>
      </c>
      <c r="AF312" s="24">
        <f>SUMPRODUCT((Комплекты[Пр]=$F312)*(Комплекты[Обозначение]=$G312)*Комплекты[Кол-во]*(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12" s="25">
        <f>SUMPRODUCT((Комплекты[Пр]=$F312)*(Комплекты[Обозначение]=$G312)*Комплекты[Кол-во]*(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12" s="24"/>
      <c r="AI312" s="23">
        <v>20</v>
      </c>
      <c r="AJ312" s="24">
        <f>SUMPRODUCT((Комплекты[Пр]=$F312)*(Комплекты[Обозначение]=$G312)*Комплекты[Кол-во]*(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50</v>
      </c>
      <c r="AK312" s="25"/>
      <c r="AL312" s="24"/>
      <c r="AM312" s="23">
        <v>20</v>
      </c>
      <c r="AN312" s="24">
        <f>SUMPRODUCT((Комплекты[Пр]=$F312)*(Комплекты[Обозначение]=$G312)*Комплекты[Кол-во]*(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20</v>
      </c>
      <c r="AO312" s="25"/>
      <c r="AP312" s="24"/>
      <c r="AQ312" s="23">
        <v>20</v>
      </c>
      <c r="AR312" s="24">
        <f>SUMPRODUCT((Комплекты[Пр]=$F312)*(Комплекты[Обозначение]=$G312)*Комплекты[Кол-во]*(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20</v>
      </c>
      <c r="AS312" s="25"/>
      <c r="AT312" s="24"/>
      <c r="AU312" s="23">
        <v>20</v>
      </c>
      <c r="AV312" s="24">
        <f>SUMPRODUCT((Комплекты[Пр]=$F312)*(Комплекты[Обозначение]=$G312)*Комплекты[Кол-во]*(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20</v>
      </c>
      <c r="AW312" s="25"/>
      <c r="AX312" s="24"/>
      <c r="AY312" s="23">
        <v>20</v>
      </c>
      <c r="AZ312" s="24">
        <f>SUMPRODUCT((Комплекты[Пр]=$F312)*(Комплекты[Обозначение]=$G312)*Комплекты[Кол-во]*(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20</v>
      </c>
      <c r="BA312" s="25"/>
      <c r="BB312" s="24"/>
      <c r="BC312" s="23">
        <v>20</v>
      </c>
      <c r="BD312" s="24">
        <f>SUMPRODUCT((Комплекты[Пр]=$F312)*(Комплекты[Обозначение]=$G312)*Комплекты[Кол-во]*(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20</v>
      </c>
      <c r="BE312" s="25"/>
      <c r="BF312" s="24"/>
      <c r="BG312" s="23">
        <v>20</v>
      </c>
      <c r="BH312" s="24">
        <f>SUMPRODUCT((Комплекты[Пр]=$F312)*(Комплекты[Обозначение]=$G312)*Комплекты[Кол-во]*(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20</v>
      </c>
      <c r="BI312" s="25"/>
      <c r="BJ312" s="24"/>
      <c r="BK312" s="340"/>
      <c r="BL312" s="32">
        <f t="shared" si="96"/>
        <v>240</v>
      </c>
      <c r="BM312" s="32">
        <f t="shared" si="97"/>
        <v>0</v>
      </c>
      <c r="BN312" s="28">
        <f t="shared" si="98"/>
        <v>230</v>
      </c>
      <c r="BO312" s="29">
        <f t="shared" si="99"/>
        <v>0</v>
      </c>
      <c r="BP312" s="30">
        <f t="shared" si="100"/>
        <v>30</v>
      </c>
      <c r="BQ312" s="31">
        <f t="shared" si="101"/>
        <v>0</v>
      </c>
      <c r="BR312" s="11"/>
      <c r="BS312" s="329"/>
      <c r="BT312" s="23">
        <v>0</v>
      </c>
      <c r="BU312" s="24"/>
      <c r="BV312" s="25"/>
      <c r="BW312" s="24"/>
      <c r="BX312" s="23">
        <v>0</v>
      </c>
      <c r="BY312" s="24"/>
      <c r="BZ312" s="25"/>
      <c r="CA312" s="24"/>
      <c r="CB312" s="23">
        <v>0</v>
      </c>
      <c r="CC312" s="24"/>
      <c r="CD312" s="25"/>
      <c r="CE312" s="24"/>
      <c r="CF312" s="23">
        <v>0</v>
      </c>
      <c r="CG312" s="24"/>
      <c r="CH312" s="25"/>
      <c r="CI312" s="24"/>
      <c r="CJ312" s="23">
        <v>0</v>
      </c>
      <c r="CK312" s="24"/>
      <c r="CL312" s="25"/>
      <c r="CM312" s="24"/>
      <c r="CN312" s="23">
        <v>0</v>
      </c>
      <c r="CO312" s="24"/>
      <c r="CP312" s="25"/>
      <c r="CQ312" s="24"/>
      <c r="CR312" s="23">
        <v>0</v>
      </c>
      <c r="CS312" s="24"/>
      <c r="CT312" s="25"/>
      <c r="CU312" s="24"/>
      <c r="CV312" s="23">
        <v>0</v>
      </c>
      <c r="CW312" s="24"/>
      <c r="CX312" s="25"/>
      <c r="CY312" s="24"/>
      <c r="CZ312" s="23">
        <v>0</v>
      </c>
      <c r="DA312" s="24"/>
      <c r="DB312" s="25"/>
      <c r="DC312" s="24"/>
      <c r="DD312" s="23">
        <v>0</v>
      </c>
      <c r="DE312" s="24"/>
      <c r="DF312" s="25"/>
      <c r="DG312" s="24"/>
      <c r="DH312" s="23">
        <v>0</v>
      </c>
      <c r="DI312" s="24"/>
      <c r="DJ312" s="25"/>
      <c r="DK312" s="24"/>
      <c r="DL312" s="23">
        <v>0</v>
      </c>
      <c r="DM312" s="24"/>
      <c r="DN312" s="25"/>
      <c r="DO312" s="24"/>
      <c r="DP312" s="340"/>
      <c r="DQ312" s="32">
        <f t="shared" si="112"/>
        <v>0</v>
      </c>
      <c r="DR312" s="32">
        <f t="shared" si="109"/>
        <v>0</v>
      </c>
      <c r="DS312" s="11"/>
      <c r="DT312" s="329"/>
      <c r="DU312" s="23">
        <v>0</v>
      </c>
      <c r="DV312" s="24"/>
      <c r="DW312" s="25"/>
      <c r="DX312" s="24"/>
      <c r="DY312" s="23">
        <v>0</v>
      </c>
      <c r="DZ312" s="24"/>
      <c r="EA312" s="25"/>
      <c r="EB312" s="24"/>
      <c r="EC312" s="23">
        <v>0</v>
      </c>
      <c r="ED312" s="24"/>
      <c r="EE312" s="25"/>
      <c r="EF312" s="24"/>
      <c r="EG312" s="23">
        <v>0</v>
      </c>
      <c r="EH312" s="24"/>
      <c r="EI312" s="25"/>
      <c r="EJ312" s="24"/>
      <c r="EK312" s="23">
        <v>0</v>
      </c>
      <c r="EL312" s="24"/>
      <c r="EM312" s="25"/>
      <c r="EN312" s="24"/>
      <c r="EO312" s="23">
        <v>0</v>
      </c>
      <c r="EP312" s="24"/>
      <c r="EQ312" s="25"/>
      <c r="ER312" s="24"/>
      <c r="ES312" s="23">
        <v>0</v>
      </c>
      <c r="ET312" s="24"/>
      <c r="EU312" s="25"/>
      <c r="EV312" s="24"/>
      <c r="EW312" s="23">
        <v>0</v>
      </c>
      <c r="EX312" s="24"/>
      <c r="EY312" s="25"/>
      <c r="EZ312" s="24"/>
      <c r="FA312" s="23">
        <v>0</v>
      </c>
      <c r="FB312" s="24"/>
      <c r="FC312" s="25"/>
      <c r="FD312" s="24"/>
      <c r="FE312" s="23">
        <v>0</v>
      </c>
      <c r="FF312" s="24"/>
      <c r="FG312" s="25"/>
      <c r="FH312" s="24"/>
      <c r="FI312" s="23">
        <v>0</v>
      </c>
      <c r="FJ312" s="24"/>
      <c r="FK312" s="25"/>
      <c r="FL312" s="24"/>
      <c r="FM312" s="23">
        <v>0</v>
      </c>
      <c r="FN312" s="24"/>
      <c r="FO312" s="25"/>
      <c r="FP312" s="24"/>
      <c r="FQ312" s="340"/>
      <c r="FR312" s="32">
        <f t="shared" si="113"/>
        <v>0</v>
      </c>
      <c r="FS312" s="32">
        <f t="shared" si="110"/>
        <v>0</v>
      </c>
      <c r="FT312" s="361"/>
    </row>
    <row r="313" spans="1:176" outlineLevel="2">
      <c r="A313" s="58" t="s">
        <v>471</v>
      </c>
      <c r="B313" s="387" t="s">
        <v>82</v>
      </c>
      <c r="C313" s="173" t="s">
        <v>72</v>
      </c>
      <c r="D313" s="595" t="s">
        <v>32</v>
      </c>
      <c r="E313" s="412">
        <f>IF(ISBLANK(G313),"",IF($A$6:$A$330=$A313,COUNTIF($A$6:A313,$A313),""))</f>
        <v>48</v>
      </c>
      <c r="F313" s="123">
        <v>1</v>
      </c>
      <c r="G313" s="128">
        <v>4491731500</v>
      </c>
      <c r="H313" s="612" t="s">
        <v>77</v>
      </c>
      <c r="I313" s="618">
        <v>0</v>
      </c>
      <c r="J313" s="618"/>
      <c r="K313" s="126"/>
      <c r="L313" s="618" t="str">
        <f t="shared" si="111"/>
        <v/>
      </c>
      <c r="M313" s="102"/>
      <c r="N313" s="305">
        <f t="shared" si="95"/>
        <v>1</v>
      </c>
      <c r="O313" s="23">
        <v>60</v>
      </c>
      <c r="P313" s="24"/>
      <c r="Q313" s="25"/>
      <c r="R313" s="24"/>
      <c r="S313" s="23">
        <v>60</v>
      </c>
      <c r="T313" s="24">
        <f>SUMPRODUCT((Комплекты[Пр]=$F313)*(Комплекты[Обозначение]=$G313)*Комплекты[Кол-во]*(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20</v>
      </c>
      <c r="U313" s="25">
        <f>SUMPRODUCT((Комплекты[Пр]=$F313)*(Комплекты[Обозначение]=$G313)*Комплекты[Кол-во]*(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20</v>
      </c>
      <c r="V313" s="24"/>
      <c r="W313" s="23">
        <v>60</v>
      </c>
      <c r="X313" s="24">
        <f>SUMPRODUCT((Комплекты[Пр]=$F313)*(Комплекты[Обозначение]=$G313)*Комплекты[Кол-во]*(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20</v>
      </c>
      <c r="Y313" s="25">
        <f>SUMPRODUCT((Комплекты[Пр]=$F313)*(Комплекты[Обозначение]=$G313)*Комплекты[Кол-во]*(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20</v>
      </c>
      <c r="Z313" s="24"/>
      <c r="AA313" s="23">
        <v>60</v>
      </c>
      <c r="AB313" s="24">
        <f>SUMPRODUCT((Комплекты[Пр]=$F313)*(Комплекты[Обозначение]=$G313)*Комплекты[Кол-во]*(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120</v>
      </c>
      <c r="AC313" s="25"/>
      <c r="AD313" s="24"/>
      <c r="AE313" s="23">
        <v>60</v>
      </c>
      <c r="AF313" s="24">
        <f>SUMPRODUCT((Комплекты[Пр]=$F313)*(Комплекты[Обозначение]=$G313)*Комплекты[Кол-во]*(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13" s="25">
        <f>SUMPRODUCT((Комплекты[Пр]=$F313)*(Комплекты[Обозначение]=$G313)*Комплекты[Кол-во]*(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13" s="24"/>
      <c r="AI313" s="23">
        <v>70</v>
      </c>
      <c r="AJ313" s="24">
        <f>SUMPRODUCT((Комплекты[Пр]=$F313)*(Комплекты[Обозначение]=$G313)*Комплекты[Кол-во]*(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150</v>
      </c>
      <c r="AK313" s="25"/>
      <c r="AL313" s="24"/>
      <c r="AM313" s="23">
        <v>70</v>
      </c>
      <c r="AN313" s="24">
        <f>SUMPRODUCT((Комплекты[Пр]=$F313)*(Комплекты[Обозначение]=$G313)*Комплекты[Кол-во]*(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60</v>
      </c>
      <c r="AO313" s="25"/>
      <c r="AP313" s="24"/>
      <c r="AQ313" s="23">
        <v>70</v>
      </c>
      <c r="AR313" s="24">
        <f>SUMPRODUCT((Комплекты[Пр]=$F313)*(Комплекты[Обозначение]=$G313)*Комплекты[Кол-во]*(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70</v>
      </c>
      <c r="AS313" s="25"/>
      <c r="AT313" s="24"/>
      <c r="AU313" s="23">
        <v>90</v>
      </c>
      <c r="AV313" s="24">
        <f>SUMPRODUCT((Комплекты[Пр]=$F313)*(Комплекты[Обозначение]=$G313)*Комплекты[Кол-во]*(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90</v>
      </c>
      <c r="AW313" s="25"/>
      <c r="AX313" s="24"/>
      <c r="AY313" s="23">
        <v>90</v>
      </c>
      <c r="AZ313" s="24">
        <f>SUMPRODUCT((Комплекты[Пр]=$F313)*(Комплекты[Обозначение]=$G313)*Комплекты[Кол-во]*(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90</v>
      </c>
      <c r="BA313" s="25"/>
      <c r="BB313" s="24"/>
      <c r="BC313" s="23">
        <v>110</v>
      </c>
      <c r="BD313" s="24">
        <f>SUMPRODUCT((Комплекты[Пр]=$F313)*(Комплекты[Обозначение]=$G313)*Комплекты[Кол-во]*(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110</v>
      </c>
      <c r="BE313" s="25"/>
      <c r="BF313" s="24"/>
      <c r="BG313" s="23">
        <v>110</v>
      </c>
      <c r="BH313" s="24">
        <f>SUMPRODUCT((Комплекты[Пр]=$F313)*(Комплекты[Обозначение]=$G313)*Комплекты[Кол-во]*(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110</v>
      </c>
      <c r="BI313" s="25"/>
      <c r="BJ313" s="24"/>
      <c r="BK313" s="340"/>
      <c r="BL313" s="32">
        <f t="shared" si="96"/>
        <v>910</v>
      </c>
      <c r="BM313" s="32">
        <f t="shared" si="97"/>
        <v>0</v>
      </c>
      <c r="BN313" s="28">
        <f t="shared" si="98"/>
        <v>840</v>
      </c>
      <c r="BO313" s="29">
        <f t="shared" si="99"/>
        <v>0</v>
      </c>
      <c r="BP313" s="30">
        <f t="shared" si="100"/>
        <v>40</v>
      </c>
      <c r="BQ313" s="31">
        <f t="shared" si="101"/>
        <v>0</v>
      </c>
      <c r="BR313" s="11"/>
      <c r="BS313" s="329"/>
      <c r="BT313" s="23">
        <v>70</v>
      </c>
      <c r="BU313" s="24"/>
      <c r="BV313" s="25"/>
      <c r="BW313" s="24"/>
      <c r="BX313" s="23">
        <v>70</v>
      </c>
      <c r="BY313" s="24"/>
      <c r="BZ313" s="25"/>
      <c r="CA313" s="24"/>
      <c r="CB313" s="23">
        <v>70</v>
      </c>
      <c r="CC313" s="24"/>
      <c r="CD313" s="25"/>
      <c r="CE313" s="24"/>
      <c r="CF313" s="23">
        <v>70</v>
      </c>
      <c r="CG313" s="24"/>
      <c r="CH313" s="25"/>
      <c r="CI313" s="24"/>
      <c r="CJ313" s="23">
        <v>70</v>
      </c>
      <c r="CK313" s="24"/>
      <c r="CL313" s="25"/>
      <c r="CM313" s="24"/>
      <c r="CN313" s="23">
        <v>100</v>
      </c>
      <c r="CO313" s="24"/>
      <c r="CP313" s="25"/>
      <c r="CQ313" s="24"/>
      <c r="CR313" s="23">
        <v>100</v>
      </c>
      <c r="CS313" s="24"/>
      <c r="CT313" s="25"/>
      <c r="CU313" s="24"/>
      <c r="CV313" s="23">
        <v>100</v>
      </c>
      <c r="CW313" s="24"/>
      <c r="CX313" s="25"/>
      <c r="CY313" s="24"/>
      <c r="CZ313" s="23">
        <v>100</v>
      </c>
      <c r="DA313" s="24"/>
      <c r="DB313" s="25"/>
      <c r="DC313" s="24"/>
      <c r="DD313" s="23">
        <v>100</v>
      </c>
      <c r="DE313" s="24"/>
      <c r="DF313" s="25"/>
      <c r="DG313" s="24"/>
      <c r="DH313" s="23">
        <v>120</v>
      </c>
      <c r="DI313" s="24"/>
      <c r="DJ313" s="25"/>
      <c r="DK313" s="24"/>
      <c r="DL313" s="23">
        <v>120</v>
      </c>
      <c r="DM313" s="24"/>
      <c r="DN313" s="25"/>
      <c r="DO313" s="24"/>
      <c r="DP313" s="340"/>
      <c r="DQ313" s="32">
        <f t="shared" si="112"/>
        <v>1090</v>
      </c>
      <c r="DR313" s="32">
        <f t="shared" si="109"/>
        <v>0</v>
      </c>
      <c r="DS313" s="11"/>
      <c r="DT313" s="329"/>
      <c r="DU313" s="23">
        <v>120</v>
      </c>
      <c r="DV313" s="24"/>
      <c r="DW313" s="25"/>
      <c r="DX313" s="24"/>
      <c r="DY313" s="23">
        <v>120</v>
      </c>
      <c r="DZ313" s="24"/>
      <c r="EA313" s="25"/>
      <c r="EB313" s="24"/>
      <c r="EC313" s="23">
        <v>120</v>
      </c>
      <c r="ED313" s="24"/>
      <c r="EE313" s="25"/>
      <c r="EF313" s="24"/>
      <c r="EG313" s="23">
        <v>120</v>
      </c>
      <c r="EH313" s="24"/>
      <c r="EI313" s="25"/>
      <c r="EJ313" s="24"/>
      <c r="EK313" s="23">
        <v>120</v>
      </c>
      <c r="EL313" s="24"/>
      <c r="EM313" s="25"/>
      <c r="EN313" s="24"/>
      <c r="EO313" s="23">
        <v>150</v>
      </c>
      <c r="EP313" s="24"/>
      <c r="EQ313" s="25"/>
      <c r="ER313" s="24"/>
      <c r="ES313" s="23">
        <v>150</v>
      </c>
      <c r="ET313" s="24"/>
      <c r="EU313" s="25"/>
      <c r="EV313" s="24"/>
      <c r="EW313" s="23">
        <v>150</v>
      </c>
      <c r="EX313" s="24"/>
      <c r="EY313" s="25"/>
      <c r="EZ313" s="24"/>
      <c r="FA313" s="23">
        <v>150</v>
      </c>
      <c r="FB313" s="24"/>
      <c r="FC313" s="25"/>
      <c r="FD313" s="24"/>
      <c r="FE313" s="23">
        <v>150</v>
      </c>
      <c r="FF313" s="24"/>
      <c r="FG313" s="25"/>
      <c r="FH313" s="24"/>
      <c r="FI313" s="23">
        <v>180</v>
      </c>
      <c r="FJ313" s="24"/>
      <c r="FK313" s="25"/>
      <c r="FL313" s="24"/>
      <c r="FM313" s="23">
        <v>180</v>
      </c>
      <c r="FN313" s="24"/>
      <c r="FO313" s="25"/>
      <c r="FP313" s="24"/>
      <c r="FQ313" s="340"/>
      <c r="FR313" s="32">
        <f t="shared" si="113"/>
        <v>1710</v>
      </c>
      <c r="FS313" s="32">
        <f t="shared" si="110"/>
        <v>0</v>
      </c>
      <c r="FT313" s="361"/>
    </row>
    <row r="314" spans="1:176" outlineLevel="2">
      <c r="A314" s="58" t="s">
        <v>471</v>
      </c>
      <c r="B314" s="387" t="s">
        <v>82</v>
      </c>
      <c r="C314" s="173" t="s">
        <v>72</v>
      </c>
      <c r="D314" s="595" t="s">
        <v>32</v>
      </c>
      <c r="E314" s="412">
        <f>IF(ISBLANK(G314),"",IF($A$6:$A$330=$A314,COUNTIF($A$6:A314,$A314),""))</f>
        <v>49</v>
      </c>
      <c r="F314" s="123">
        <v>1</v>
      </c>
      <c r="G314" s="128">
        <v>4497230500</v>
      </c>
      <c r="H314" s="612" t="s">
        <v>78</v>
      </c>
      <c r="I314" s="618">
        <v>0</v>
      </c>
      <c r="J314" s="618"/>
      <c r="K314" s="126"/>
      <c r="L314" s="618" t="str">
        <f t="shared" si="111"/>
        <v/>
      </c>
      <c r="M314" s="102"/>
      <c r="N314" s="305">
        <f t="shared" si="95"/>
        <v>1</v>
      </c>
      <c r="O314" s="23">
        <v>160</v>
      </c>
      <c r="P314" s="24"/>
      <c r="Q314" s="25"/>
      <c r="R314" s="24"/>
      <c r="S314" s="23">
        <v>160</v>
      </c>
      <c r="T314" s="24">
        <f>SUMPRODUCT((Комплекты[Пр]=$F314)*(Комплекты[Обозначение]=$G314)*Комплекты[Кол-во]*(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100</v>
      </c>
      <c r="U314" s="25">
        <f>SUMPRODUCT((Комплекты[Пр]=$F314)*(Комплекты[Обозначение]=$G314)*Комплекты[Кол-во]*(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100</v>
      </c>
      <c r="V314" s="24"/>
      <c r="W314" s="23">
        <v>160</v>
      </c>
      <c r="X314" s="24">
        <f>SUMPRODUCT((Комплекты[Пр]=$F314)*(Комплекты[Обозначение]=$G314)*Комплекты[Кол-во]*(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80</v>
      </c>
      <c r="Y314" s="25">
        <f>SUMPRODUCT((Комплекты[Пр]=$F314)*(Комплекты[Обозначение]=$G314)*Комплекты[Кол-во]*(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80</v>
      </c>
      <c r="Z314" s="24"/>
      <c r="AA314" s="23">
        <v>160</v>
      </c>
      <c r="AB314" s="24">
        <f>SUMPRODUCT((Комплекты[Пр]=$F314)*(Комплекты[Обозначение]=$G314)*Комплекты[Кол-во]*(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420</v>
      </c>
      <c r="AC314" s="25"/>
      <c r="AD314" s="24"/>
      <c r="AE314" s="23">
        <v>160</v>
      </c>
      <c r="AF314" s="24">
        <f>SUMPRODUCT((Комплекты[Пр]=$F314)*(Комплекты[Обозначение]=$G314)*Комплекты[Кол-во]*(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14" s="25">
        <f>SUMPRODUCT((Комплекты[Пр]=$F314)*(Комплекты[Обозначение]=$G314)*Комплекты[Кол-во]*(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14" s="24"/>
      <c r="AI314" s="23">
        <v>180</v>
      </c>
      <c r="AJ314" s="24">
        <f>SUMPRODUCT((Комплекты[Пр]=$F314)*(Комплекты[Обозначение]=$G314)*Комплекты[Кол-во]*(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520</v>
      </c>
      <c r="AK314" s="25"/>
      <c r="AL314" s="24"/>
      <c r="AM314" s="23">
        <v>180</v>
      </c>
      <c r="AN314" s="24">
        <f>SUMPRODUCT((Комплекты[Пр]=$F314)*(Комплекты[Обозначение]=$G314)*Комплекты[Кол-во]*(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160</v>
      </c>
      <c r="AO314" s="25"/>
      <c r="AP314" s="24"/>
      <c r="AQ314" s="23">
        <v>180</v>
      </c>
      <c r="AR314" s="24">
        <f>SUMPRODUCT((Комплекты[Пр]=$F314)*(Комплекты[Обозначение]=$G314)*Комплекты[Кол-во]*(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180</v>
      </c>
      <c r="AS314" s="25"/>
      <c r="AT314" s="24"/>
      <c r="AU314" s="23">
        <v>220</v>
      </c>
      <c r="AV314" s="24">
        <f>SUMPRODUCT((Комплекты[Пр]=$F314)*(Комплекты[Обозначение]=$G314)*Комплекты[Кол-во]*(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220</v>
      </c>
      <c r="AW314" s="25"/>
      <c r="AX314" s="24"/>
      <c r="AY314" s="23">
        <v>220</v>
      </c>
      <c r="AZ314" s="24">
        <f>SUMPRODUCT((Комплекты[Пр]=$F314)*(Комплекты[Обозначение]=$G314)*Комплекты[Кол-во]*(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220</v>
      </c>
      <c r="BA314" s="25"/>
      <c r="BB314" s="24"/>
      <c r="BC314" s="23">
        <v>260</v>
      </c>
      <c r="BD314" s="24">
        <f>SUMPRODUCT((Комплекты[Пр]=$F314)*(Комплекты[Обозначение]=$G314)*Комплекты[Кол-во]*(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260</v>
      </c>
      <c r="BE314" s="25"/>
      <c r="BF314" s="24"/>
      <c r="BG314" s="23">
        <v>260</v>
      </c>
      <c r="BH314" s="24">
        <f>SUMPRODUCT((Комплекты[Пр]=$F314)*(Комплекты[Обозначение]=$G314)*Комплекты[Кол-во]*(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260</v>
      </c>
      <c r="BI314" s="25"/>
      <c r="BJ314" s="24"/>
      <c r="BK314" s="340"/>
      <c r="BL314" s="32">
        <f t="shared" si="96"/>
        <v>2300</v>
      </c>
      <c r="BM314" s="32">
        <f t="shared" si="97"/>
        <v>0</v>
      </c>
      <c r="BN314" s="28">
        <f t="shared" si="98"/>
        <v>2420</v>
      </c>
      <c r="BO314" s="29">
        <f t="shared" si="99"/>
        <v>0</v>
      </c>
      <c r="BP314" s="30">
        <f t="shared" si="100"/>
        <v>180</v>
      </c>
      <c r="BQ314" s="31">
        <f t="shared" si="101"/>
        <v>0</v>
      </c>
      <c r="BR314" s="11"/>
      <c r="BS314" s="329"/>
      <c r="BT314" s="23">
        <v>140</v>
      </c>
      <c r="BU314" s="24"/>
      <c r="BV314" s="25"/>
      <c r="BW314" s="24"/>
      <c r="BX314" s="23">
        <v>140</v>
      </c>
      <c r="BY314" s="24"/>
      <c r="BZ314" s="25"/>
      <c r="CA314" s="24"/>
      <c r="CB314" s="23">
        <v>140</v>
      </c>
      <c r="CC314" s="24"/>
      <c r="CD314" s="25"/>
      <c r="CE314" s="24"/>
      <c r="CF314" s="23">
        <v>140</v>
      </c>
      <c r="CG314" s="24"/>
      <c r="CH314" s="25"/>
      <c r="CI314" s="24"/>
      <c r="CJ314" s="23">
        <v>140</v>
      </c>
      <c r="CK314" s="24"/>
      <c r="CL314" s="25"/>
      <c r="CM314" s="24"/>
      <c r="CN314" s="23">
        <v>200</v>
      </c>
      <c r="CO314" s="24"/>
      <c r="CP314" s="25"/>
      <c r="CQ314" s="24"/>
      <c r="CR314" s="23">
        <v>200</v>
      </c>
      <c r="CS314" s="24"/>
      <c r="CT314" s="25"/>
      <c r="CU314" s="24"/>
      <c r="CV314" s="23">
        <v>200</v>
      </c>
      <c r="CW314" s="24"/>
      <c r="CX314" s="25"/>
      <c r="CY314" s="24"/>
      <c r="CZ314" s="23">
        <v>200</v>
      </c>
      <c r="DA314" s="24"/>
      <c r="DB314" s="25"/>
      <c r="DC314" s="24"/>
      <c r="DD314" s="23">
        <v>200</v>
      </c>
      <c r="DE314" s="24"/>
      <c r="DF314" s="25"/>
      <c r="DG314" s="24"/>
      <c r="DH314" s="23">
        <v>240</v>
      </c>
      <c r="DI314" s="24"/>
      <c r="DJ314" s="25"/>
      <c r="DK314" s="24"/>
      <c r="DL314" s="23">
        <v>240</v>
      </c>
      <c r="DM314" s="24"/>
      <c r="DN314" s="25"/>
      <c r="DO314" s="24"/>
      <c r="DP314" s="340"/>
      <c r="DQ314" s="32">
        <f t="shared" si="112"/>
        <v>2180</v>
      </c>
      <c r="DR314" s="32">
        <f t="shared" si="109"/>
        <v>0</v>
      </c>
      <c r="DS314" s="11"/>
      <c r="DT314" s="329"/>
      <c r="DU314" s="23">
        <v>240</v>
      </c>
      <c r="DV314" s="24"/>
      <c r="DW314" s="25"/>
      <c r="DX314" s="24"/>
      <c r="DY314" s="23">
        <v>240</v>
      </c>
      <c r="DZ314" s="24"/>
      <c r="EA314" s="25"/>
      <c r="EB314" s="24"/>
      <c r="EC314" s="23">
        <v>240</v>
      </c>
      <c r="ED314" s="24"/>
      <c r="EE314" s="25"/>
      <c r="EF314" s="24"/>
      <c r="EG314" s="23">
        <v>240</v>
      </c>
      <c r="EH314" s="24"/>
      <c r="EI314" s="25"/>
      <c r="EJ314" s="24"/>
      <c r="EK314" s="23">
        <v>240</v>
      </c>
      <c r="EL314" s="24"/>
      <c r="EM314" s="25"/>
      <c r="EN314" s="24"/>
      <c r="EO314" s="23">
        <v>300</v>
      </c>
      <c r="EP314" s="24"/>
      <c r="EQ314" s="25"/>
      <c r="ER314" s="24"/>
      <c r="ES314" s="23">
        <v>300</v>
      </c>
      <c r="ET314" s="24"/>
      <c r="EU314" s="25"/>
      <c r="EV314" s="24"/>
      <c r="EW314" s="23">
        <v>300</v>
      </c>
      <c r="EX314" s="24"/>
      <c r="EY314" s="25"/>
      <c r="EZ314" s="24"/>
      <c r="FA314" s="23">
        <v>300</v>
      </c>
      <c r="FB314" s="24"/>
      <c r="FC314" s="25"/>
      <c r="FD314" s="24"/>
      <c r="FE314" s="23">
        <v>300</v>
      </c>
      <c r="FF314" s="24"/>
      <c r="FG314" s="25"/>
      <c r="FH314" s="24"/>
      <c r="FI314" s="23">
        <v>360</v>
      </c>
      <c r="FJ314" s="24"/>
      <c r="FK314" s="25"/>
      <c r="FL314" s="24"/>
      <c r="FM314" s="23">
        <v>360</v>
      </c>
      <c r="FN314" s="24"/>
      <c r="FO314" s="25"/>
      <c r="FP314" s="24"/>
      <c r="FQ314" s="340"/>
      <c r="FR314" s="32">
        <f t="shared" si="113"/>
        <v>3420</v>
      </c>
      <c r="FS314" s="32">
        <f t="shared" si="110"/>
        <v>0</v>
      </c>
      <c r="FT314" s="361"/>
    </row>
    <row r="315" spans="1:176" outlineLevel="2">
      <c r="A315" s="420" t="s">
        <v>471</v>
      </c>
      <c r="B315" s="444" t="s">
        <v>82</v>
      </c>
      <c r="C315" s="592" t="s">
        <v>72</v>
      </c>
      <c r="D315" s="586" t="s">
        <v>32</v>
      </c>
      <c r="E315" s="414">
        <f>IF(ISBLANK(G315),"",IF($A$6:$A$330=$A315,COUNTIF($A$6:A315,$A315),""))</f>
        <v>50</v>
      </c>
      <c r="F315" s="318">
        <v>1</v>
      </c>
      <c r="G315" s="403">
        <v>4640060020</v>
      </c>
      <c r="H315" s="613" t="s">
        <v>93</v>
      </c>
      <c r="I315" s="619">
        <v>0</v>
      </c>
      <c r="J315" s="619"/>
      <c r="K315" s="321"/>
      <c r="L315" s="619"/>
      <c r="M315" s="305"/>
      <c r="N315" s="305">
        <f t="shared" si="95"/>
        <v>1</v>
      </c>
      <c r="O315" s="322"/>
      <c r="P315" s="408"/>
      <c r="Q315" s="307"/>
      <c r="R315" s="408"/>
      <c r="S315" s="322"/>
      <c r="T315" s="408">
        <f>SUMPRODUCT((Комплекты[Пр]=$F315)*(Комплекты[Обозначение]=$G315)*Комплекты[Кол-во]*(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0</v>
      </c>
      <c r="U315" s="307">
        <f>SUMPRODUCT((Комплекты[Пр]=$F315)*(Комплекты[Обозначение]=$G315)*Комплекты[Кол-во]*(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0</v>
      </c>
      <c r="V315" s="408"/>
      <c r="W315" s="322"/>
      <c r="X315" s="408">
        <f>SUMPRODUCT((Комплекты[Пр]=$F315)*(Комплекты[Обозначение]=$G315)*Комплекты[Кол-во]*(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20</v>
      </c>
      <c r="Y315" s="307">
        <f>SUMPRODUCT((Комплекты[Пр]=$F315)*(Комплекты[Обозначение]=$G315)*Комплекты[Кол-во]*(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20</v>
      </c>
      <c r="Z315" s="408"/>
      <c r="AA315" s="322"/>
      <c r="AB315" s="408">
        <f>SUMPRODUCT((Комплекты[Пр]=$F315)*(Комплекты[Обозначение]=$G315)*Комплекты[Кол-во]*(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60</v>
      </c>
      <c r="AC315" s="307"/>
      <c r="AD315" s="408"/>
      <c r="AE315" s="322"/>
      <c r="AF315" s="408">
        <f>SUMPRODUCT((Комплекты[Пр]=$F315)*(Комплекты[Обозначение]=$G315)*Комплекты[Кол-во]*(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15" s="307">
        <f>SUMPRODUCT((Комплекты[Пр]=$F315)*(Комплекты[Обозначение]=$G315)*Комплекты[Кол-во]*(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15" s="408"/>
      <c r="AI315" s="322"/>
      <c r="AJ315" s="408">
        <f>SUMPRODUCT((Комплекты[Пр]=$F315)*(Комплекты[Обозначение]=$G315)*Комплекты[Кол-во]*(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60</v>
      </c>
      <c r="AK315" s="307"/>
      <c r="AL315" s="408"/>
      <c r="AM315" s="322"/>
      <c r="AN315" s="408">
        <f>SUMPRODUCT((Комплекты[Пр]=$F315)*(Комплекты[Обозначение]=$G315)*Комплекты[Кол-во]*(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0</v>
      </c>
      <c r="AO315" s="307"/>
      <c r="AP315" s="408"/>
      <c r="AQ315" s="322"/>
      <c r="AR315" s="408">
        <f>SUMPRODUCT((Комплекты[Пр]=$F315)*(Комплекты[Обозначение]=$G315)*Комплекты[Кол-во]*(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0</v>
      </c>
      <c r="AS315" s="307"/>
      <c r="AT315" s="408"/>
      <c r="AU315" s="322"/>
      <c r="AV315" s="408">
        <f>SUMPRODUCT((Комплекты[Пр]=$F315)*(Комплекты[Обозначение]=$G315)*Комплекты[Кол-во]*(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0</v>
      </c>
      <c r="AW315" s="307"/>
      <c r="AX315" s="408"/>
      <c r="AY315" s="322"/>
      <c r="AZ315" s="408">
        <f>SUMPRODUCT((Комплекты[Пр]=$F315)*(Комплекты[Обозначение]=$G315)*Комплекты[Кол-во]*(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0</v>
      </c>
      <c r="BA315" s="307"/>
      <c r="BB315" s="408"/>
      <c r="BC315" s="322"/>
      <c r="BD315" s="408">
        <f>SUMPRODUCT((Комплекты[Пр]=$F315)*(Комплекты[Обозначение]=$G315)*Комплекты[Кол-во]*(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0</v>
      </c>
      <c r="BE315" s="307"/>
      <c r="BF315" s="408"/>
      <c r="BG315" s="322"/>
      <c r="BH315" s="408">
        <f>SUMPRODUCT((Комплекты[Пр]=$F315)*(Комплекты[Обозначение]=$G315)*Комплекты[Кол-во]*(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0</v>
      </c>
      <c r="BI315" s="307"/>
      <c r="BJ315" s="408"/>
      <c r="BK315" s="340"/>
      <c r="BL315" s="328">
        <f t="shared" si="96"/>
        <v>0</v>
      </c>
      <c r="BM315" s="328">
        <f t="shared" si="97"/>
        <v>0</v>
      </c>
      <c r="BN315" s="324">
        <f t="shared" si="98"/>
        <v>140</v>
      </c>
      <c r="BO315" s="325">
        <f t="shared" si="99"/>
        <v>0</v>
      </c>
      <c r="BP315" s="326">
        <f t="shared" si="100"/>
        <v>20</v>
      </c>
      <c r="BQ315" s="327">
        <f t="shared" si="101"/>
        <v>0</v>
      </c>
      <c r="BR315" s="329"/>
      <c r="BS315" s="329"/>
      <c r="BT315" s="322"/>
      <c r="BU315" s="408"/>
      <c r="BV315" s="307"/>
      <c r="BW315" s="408"/>
      <c r="BX315" s="322"/>
      <c r="BY315" s="408"/>
      <c r="BZ315" s="307"/>
      <c r="CA315" s="408"/>
      <c r="CB315" s="322"/>
      <c r="CC315" s="408"/>
      <c r="CD315" s="307"/>
      <c r="CE315" s="408"/>
      <c r="CF315" s="322"/>
      <c r="CG315" s="408"/>
      <c r="CH315" s="307"/>
      <c r="CI315" s="408"/>
      <c r="CJ315" s="322"/>
      <c r="CK315" s="408"/>
      <c r="CL315" s="307"/>
      <c r="CM315" s="408"/>
      <c r="CN315" s="322"/>
      <c r="CO315" s="408"/>
      <c r="CP315" s="307"/>
      <c r="CQ315" s="408"/>
      <c r="CR315" s="322"/>
      <c r="CS315" s="408"/>
      <c r="CT315" s="307"/>
      <c r="CU315" s="408"/>
      <c r="CV315" s="322"/>
      <c r="CW315" s="408"/>
      <c r="CX315" s="307"/>
      <c r="CY315" s="408"/>
      <c r="CZ315" s="322"/>
      <c r="DA315" s="408"/>
      <c r="DB315" s="307"/>
      <c r="DC315" s="408"/>
      <c r="DD315" s="322"/>
      <c r="DE315" s="408"/>
      <c r="DF315" s="307"/>
      <c r="DG315" s="408"/>
      <c r="DH315" s="322"/>
      <c r="DI315" s="408"/>
      <c r="DJ315" s="307"/>
      <c r="DK315" s="408"/>
      <c r="DL315" s="322"/>
      <c r="DM315" s="408"/>
      <c r="DN315" s="307"/>
      <c r="DO315" s="408"/>
      <c r="DP315" s="340"/>
      <c r="DQ315" s="328"/>
      <c r="DR315" s="328"/>
      <c r="DS315" s="329"/>
      <c r="DT315" s="329"/>
      <c r="DU315" s="322"/>
      <c r="DV315" s="408"/>
      <c r="DW315" s="307"/>
      <c r="DX315" s="408"/>
      <c r="DY315" s="322"/>
      <c r="DZ315" s="408"/>
      <c r="EA315" s="307"/>
      <c r="EB315" s="408"/>
      <c r="EC315" s="322"/>
      <c r="ED315" s="408"/>
      <c r="EE315" s="307"/>
      <c r="EF315" s="408"/>
      <c r="EG315" s="322"/>
      <c r="EH315" s="408"/>
      <c r="EI315" s="307"/>
      <c r="EJ315" s="408"/>
      <c r="EK315" s="322"/>
      <c r="EL315" s="408"/>
      <c r="EM315" s="307"/>
      <c r="EN315" s="408"/>
      <c r="EO315" s="322"/>
      <c r="EP315" s="408"/>
      <c r="EQ315" s="307"/>
      <c r="ER315" s="408"/>
      <c r="ES315" s="322"/>
      <c r="ET315" s="408"/>
      <c r="EU315" s="307"/>
      <c r="EV315" s="408"/>
      <c r="EW315" s="322"/>
      <c r="EX315" s="408"/>
      <c r="EY315" s="307"/>
      <c r="EZ315" s="408"/>
      <c r="FA315" s="322"/>
      <c r="FB315" s="408"/>
      <c r="FC315" s="307"/>
      <c r="FD315" s="408"/>
      <c r="FE315" s="322"/>
      <c r="FF315" s="408"/>
      <c r="FG315" s="307"/>
      <c r="FH315" s="408"/>
      <c r="FI315" s="322"/>
      <c r="FJ315" s="408"/>
      <c r="FK315" s="307"/>
      <c r="FL315" s="408"/>
      <c r="FM315" s="322"/>
      <c r="FN315" s="408"/>
      <c r="FO315" s="307"/>
      <c r="FP315" s="408"/>
      <c r="FQ315" s="340"/>
      <c r="FR315" s="328"/>
      <c r="FS315" s="328"/>
      <c r="FT315" s="361"/>
    </row>
    <row r="316" spans="1:176" outlineLevel="2">
      <c r="A316" s="58" t="s">
        <v>471</v>
      </c>
      <c r="B316" s="387" t="s">
        <v>82</v>
      </c>
      <c r="C316" s="173" t="s">
        <v>72</v>
      </c>
      <c r="D316" s="595" t="s">
        <v>32</v>
      </c>
      <c r="E316" s="412">
        <f>IF(ISBLANK(G316),"",IF($A$6:$A$330=$A316,COUNTIF($A$6:A316,$A316),""))</f>
        <v>51</v>
      </c>
      <c r="F316" s="123">
        <v>1</v>
      </c>
      <c r="G316" s="128">
        <v>4640061000</v>
      </c>
      <c r="H316" s="612" t="s">
        <v>79</v>
      </c>
      <c r="I316" s="618">
        <v>0</v>
      </c>
      <c r="J316" s="618"/>
      <c r="K316" s="126"/>
      <c r="L316" s="618" t="str">
        <f t="shared" ref="L316:L323" si="114">IF(K316="RUB",J316/ЮАНЬ,IF(K316="EUR",J316*ЕВРО/ЮАНЬ,""))</f>
        <v/>
      </c>
      <c r="M316" s="102"/>
      <c r="N316" s="305">
        <f t="shared" si="95"/>
        <v>1</v>
      </c>
      <c r="O316" s="23">
        <v>70</v>
      </c>
      <c r="P316" s="24"/>
      <c r="Q316" s="25"/>
      <c r="R316" s="24"/>
      <c r="S316" s="23">
        <v>70</v>
      </c>
      <c r="T316" s="24">
        <f>SUMPRODUCT((Комплекты[Пр]=$F316)*(Комплекты[Обозначение]=$G316)*Комплекты[Кол-во]*(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50</v>
      </c>
      <c r="U316" s="25">
        <f>SUMPRODUCT((Комплекты[Пр]=$F316)*(Комплекты[Обозначение]=$G316)*Комплекты[Кол-во]*(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50</v>
      </c>
      <c r="V316" s="24"/>
      <c r="W316" s="23">
        <v>70</v>
      </c>
      <c r="X316" s="24">
        <f>SUMPRODUCT((Комплекты[Пр]=$F316)*(Комплекты[Обозначение]=$G316)*Комплекты[Кол-во]*(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0</v>
      </c>
      <c r="Y316" s="25">
        <f>SUMPRODUCT((Комплекты[Пр]=$F316)*(Комплекты[Обозначение]=$G316)*Комплекты[Кол-во]*(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0</v>
      </c>
      <c r="Z316" s="24"/>
      <c r="AA316" s="23">
        <v>70</v>
      </c>
      <c r="AB316" s="24">
        <f>SUMPRODUCT((Комплекты[Пр]=$F316)*(Комплекты[Обозначение]=$G316)*Комплекты[Кол-во]*(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60</v>
      </c>
      <c r="AC316" s="25"/>
      <c r="AD316" s="24"/>
      <c r="AE316" s="23">
        <v>70</v>
      </c>
      <c r="AF316" s="24">
        <f>SUMPRODUCT((Комплекты[Пр]=$F316)*(Комплекты[Обозначение]=$G316)*Комплекты[Кол-во]*(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16" s="25">
        <f>SUMPRODUCT((Комплекты[Пр]=$F316)*(Комплекты[Обозначение]=$G316)*Комплекты[Кол-во]*(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16" s="24"/>
      <c r="AI316" s="23">
        <v>80</v>
      </c>
      <c r="AJ316" s="24">
        <f>SUMPRODUCT((Комплекты[Пр]=$F316)*(Комплекты[Обозначение]=$G316)*Комплекты[Кол-во]*(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100</v>
      </c>
      <c r="AK316" s="25"/>
      <c r="AL316" s="24"/>
      <c r="AM316" s="23">
        <v>80</v>
      </c>
      <c r="AN316" s="24">
        <f>SUMPRODUCT((Комплекты[Пр]=$F316)*(Комплекты[Обозначение]=$G316)*Комплекты[Кол-во]*(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50</v>
      </c>
      <c r="AO316" s="25"/>
      <c r="AP316" s="24"/>
      <c r="AQ316" s="23">
        <v>80</v>
      </c>
      <c r="AR316" s="24">
        <f>SUMPRODUCT((Комплекты[Пр]=$F316)*(Комплекты[Обозначение]=$G316)*Комплекты[Кол-во]*(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80</v>
      </c>
      <c r="AS316" s="25"/>
      <c r="AT316" s="24"/>
      <c r="AU316" s="23">
        <v>100</v>
      </c>
      <c r="AV316" s="24">
        <f>SUMPRODUCT((Комплекты[Пр]=$F316)*(Комплекты[Обозначение]=$G316)*Комплекты[Кол-во]*(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100</v>
      </c>
      <c r="AW316" s="25"/>
      <c r="AX316" s="24"/>
      <c r="AY316" s="23">
        <v>100</v>
      </c>
      <c r="AZ316" s="24">
        <f>SUMPRODUCT((Комплекты[Пр]=$F316)*(Комплекты[Обозначение]=$G316)*Комплекты[Кол-во]*(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100</v>
      </c>
      <c r="BA316" s="25"/>
      <c r="BB316" s="24"/>
      <c r="BC316" s="23">
        <v>120</v>
      </c>
      <c r="BD316" s="24">
        <f>SUMPRODUCT((Комплекты[Пр]=$F316)*(Комплекты[Обозначение]=$G316)*Комплекты[Кол-во]*(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120</v>
      </c>
      <c r="BE316" s="25"/>
      <c r="BF316" s="24"/>
      <c r="BG316" s="23">
        <v>120</v>
      </c>
      <c r="BH316" s="24">
        <f>SUMPRODUCT((Комплекты[Пр]=$F316)*(Комплекты[Обозначение]=$G316)*Комплекты[Кол-во]*(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120</v>
      </c>
      <c r="BI316" s="25"/>
      <c r="BJ316" s="24"/>
      <c r="BK316" s="340"/>
      <c r="BL316" s="32">
        <f t="shared" si="96"/>
        <v>1030</v>
      </c>
      <c r="BM316" s="32">
        <f t="shared" si="97"/>
        <v>0</v>
      </c>
      <c r="BN316" s="28">
        <f t="shared" si="98"/>
        <v>780</v>
      </c>
      <c r="BO316" s="29">
        <f t="shared" si="99"/>
        <v>0</v>
      </c>
      <c r="BP316" s="30">
        <f t="shared" si="100"/>
        <v>50</v>
      </c>
      <c r="BQ316" s="31">
        <f t="shared" si="101"/>
        <v>0</v>
      </c>
      <c r="BR316" s="11"/>
      <c r="BS316" s="329"/>
      <c r="BT316" s="23">
        <v>70</v>
      </c>
      <c r="BU316" s="24"/>
      <c r="BV316" s="25"/>
      <c r="BW316" s="24"/>
      <c r="BX316" s="23">
        <v>70</v>
      </c>
      <c r="BY316" s="24"/>
      <c r="BZ316" s="25"/>
      <c r="CA316" s="24"/>
      <c r="CB316" s="23">
        <v>70</v>
      </c>
      <c r="CC316" s="24"/>
      <c r="CD316" s="25"/>
      <c r="CE316" s="24"/>
      <c r="CF316" s="23">
        <v>70</v>
      </c>
      <c r="CG316" s="24"/>
      <c r="CH316" s="25"/>
      <c r="CI316" s="24"/>
      <c r="CJ316" s="23">
        <v>70</v>
      </c>
      <c r="CK316" s="24"/>
      <c r="CL316" s="25"/>
      <c r="CM316" s="24"/>
      <c r="CN316" s="23">
        <v>100</v>
      </c>
      <c r="CO316" s="24"/>
      <c r="CP316" s="25"/>
      <c r="CQ316" s="24"/>
      <c r="CR316" s="23">
        <v>100</v>
      </c>
      <c r="CS316" s="24"/>
      <c r="CT316" s="25"/>
      <c r="CU316" s="24"/>
      <c r="CV316" s="23">
        <v>100</v>
      </c>
      <c r="CW316" s="24"/>
      <c r="CX316" s="25"/>
      <c r="CY316" s="24"/>
      <c r="CZ316" s="23">
        <v>100</v>
      </c>
      <c r="DA316" s="24"/>
      <c r="DB316" s="25"/>
      <c r="DC316" s="24"/>
      <c r="DD316" s="23">
        <v>100</v>
      </c>
      <c r="DE316" s="24"/>
      <c r="DF316" s="25"/>
      <c r="DG316" s="24"/>
      <c r="DH316" s="23">
        <v>120</v>
      </c>
      <c r="DI316" s="24"/>
      <c r="DJ316" s="25"/>
      <c r="DK316" s="24"/>
      <c r="DL316" s="23">
        <v>120</v>
      </c>
      <c r="DM316" s="24"/>
      <c r="DN316" s="25"/>
      <c r="DO316" s="24"/>
      <c r="DP316" s="340"/>
      <c r="DQ316" s="32">
        <f t="shared" ref="DQ316:DQ323" si="115">SUMPRODUCT(--(MOD(COLUMN(BT316:CQ316),4)=MOD(COLUMN(BT316),4)),BT316:CQ316)+SUMPRODUCT(--(MOD(COLUMN(CR316:DO316),4)=MOD(COLUMN(CR316),4)),CR316:DO316)</f>
        <v>1090</v>
      </c>
      <c r="DR316" s="32">
        <f t="shared" ref="DR316:DR330" si="116">SUMPRODUCT(--(MOD(COLUMN(BT316:CQ316),4)=MOD(COLUMN(BT316),4)),BT316:CQ316)*$I316+SUMPRODUCT(--(MOD(COLUMN(CR316:DO316),4)=MOD(COLUMN(CR316),4)),CR316:DO316)*$I316</f>
        <v>0</v>
      </c>
      <c r="DS316" s="11"/>
      <c r="DT316" s="329"/>
      <c r="DU316" s="23">
        <v>120</v>
      </c>
      <c r="DV316" s="24"/>
      <c r="DW316" s="25"/>
      <c r="DX316" s="24"/>
      <c r="DY316" s="23">
        <v>120</v>
      </c>
      <c r="DZ316" s="24"/>
      <c r="EA316" s="25"/>
      <c r="EB316" s="24"/>
      <c r="EC316" s="23">
        <v>120</v>
      </c>
      <c r="ED316" s="24"/>
      <c r="EE316" s="25"/>
      <c r="EF316" s="24"/>
      <c r="EG316" s="23">
        <v>120</v>
      </c>
      <c r="EH316" s="24"/>
      <c r="EI316" s="25"/>
      <c r="EJ316" s="24"/>
      <c r="EK316" s="23">
        <v>120</v>
      </c>
      <c r="EL316" s="24"/>
      <c r="EM316" s="25"/>
      <c r="EN316" s="24"/>
      <c r="EO316" s="23">
        <v>150</v>
      </c>
      <c r="EP316" s="24"/>
      <c r="EQ316" s="25"/>
      <c r="ER316" s="24"/>
      <c r="ES316" s="23">
        <v>150</v>
      </c>
      <c r="ET316" s="24"/>
      <c r="EU316" s="25"/>
      <c r="EV316" s="24"/>
      <c r="EW316" s="23">
        <v>150</v>
      </c>
      <c r="EX316" s="24"/>
      <c r="EY316" s="25"/>
      <c r="EZ316" s="24"/>
      <c r="FA316" s="23">
        <v>150</v>
      </c>
      <c r="FB316" s="24"/>
      <c r="FC316" s="25"/>
      <c r="FD316" s="24"/>
      <c r="FE316" s="23">
        <v>150</v>
      </c>
      <c r="FF316" s="24"/>
      <c r="FG316" s="25"/>
      <c r="FH316" s="24"/>
      <c r="FI316" s="23">
        <v>180</v>
      </c>
      <c r="FJ316" s="24"/>
      <c r="FK316" s="25"/>
      <c r="FL316" s="24"/>
      <c r="FM316" s="23">
        <v>180</v>
      </c>
      <c r="FN316" s="24"/>
      <c r="FO316" s="25"/>
      <c r="FP316" s="24"/>
      <c r="FQ316" s="340"/>
      <c r="FR316" s="32">
        <f t="shared" ref="FR316:FR323" si="117">SUMPRODUCT(--(MOD(COLUMN(DU316:ER316),4)=MOD(COLUMN(DU316),4)),DU316:ER316)+SUMPRODUCT(--(MOD(COLUMN(ES316:FP316),4)=MOD(COLUMN(ES316),4)),ES316:FP316)</f>
        <v>1710</v>
      </c>
      <c r="FS316" s="32">
        <f t="shared" ref="FS316:FS330" si="118">SUMPRODUCT(--(MOD(COLUMN(DU316:ER316),4)=MOD(COLUMN(DU316),4)),DU316:ER316)*$I316+SUMPRODUCT(--(MOD(COLUMN(ES316:FP316),4)=MOD(COLUMN(ES316),4)),ES316:FP316)*$I316</f>
        <v>0</v>
      </c>
      <c r="FT316" s="361"/>
    </row>
    <row r="317" spans="1:176" outlineLevel="2">
      <c r="A317" s="58" t="s">
        <v>471</v>
      </c>
      <c r="B317" s="387" t="s">
        <v>82</v>
      </c>
      <c r="C317" s="173" t="s">
        <v>72</v>
      </c>
      <c r="D317" s="595" t="s">
        <v>32</v>
      </c>
      <c r="E317" s="412">
        <f>IF(ISBLANK(G317),"",IF($A$6:$A$330=$A317,COUNTIF($A$6:A317,$A317),""))</f>
        <v>52</v>
      </c>
      <c r="F317" s="123">
        <v>1</v>
      </c>
      <c r="G317" s="128">
        <v>4630320200</v>
      </c>
      <c r="H317" s="612" t="s">
        <v>80</v>
      </c>
      <c r="I317" s="618">
        <v>0</v>
      </c>
      <c r="J317" s="618"/>
      <c r="K317" s="126"/>
      <c r="L317" s="618" t="str">
        <f t="shared" si="114"/>
        <v/>
      </c>
      <c r="M317" s="102"/>
      <c r="N317" s="305">
        <f t="shared" si="95"/>
        <v>1</v>
      </c>
      <c r="O317" s="23">
        <v>70</v>
      </c>
      <c r="P317" s="24"/>
      <c r="Q317" s="25"/>
      <c r="R317" s="24"/>
      <c r="S317" s="23">
        <v>70</v>
      </c>
      <c r="T317" s="24">
        <f>SUMPRODUCT((Комплекты[Пр]=$F317)*(Комплекты[Обозначение]=$G317)*Комплекты[Кол-во]*(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50</v>
      </c>
      <c r="U317" s="25">
        <f>SUMPRODUCT((Комплекты[Пр]=$F317)*(Комплекты[Обозначение]=$G317)*Комплекты[Кол-во]*(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50</v>
      </c>
      <c r="V317" s="24"/>
      <c r="W317" s="23">
        <v>70</v>
      </c>
      <c r="X317" s="24">
        <f>SUMPRODUCT((Комплекты[Пр]=$F317)*(Комплекты[Обозначение]=$G317)*Комплекты[Кол-во]*(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20</v>
      </c>
      <c r="Y317" s="25">
        <f>SUMPRODUCT((Комплекты[Пр]=$F317)*(Комплекты[Обозначение]=$G317)*Комплекты[Кол-во]*(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20</v>
      </c>
      <c r="Z317" s="24"/>
      <c r="AA317" s="23">
        <v>70</v>
      </c>
      <c r="AB317" s="24">
        <f>SUMPRODUCT((Комплекты[Пр]=$F317)*(Комплекты[Обозначение]=$G317)*Комплекты[Кол-во]*(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120</v>
      </c>
      <c r="AC317" s="25"/>
      <c r="AD317" s="24"/>
      <c r="AE317" s="23">
        <v>70</v>
      </c>
      <c r="AF317" s="24">
        <f>SUMPRODUCT((Комплекты[Пр]=$F317)*(Комплекты[Обозначение]=$G317)*Комплекты[Кол-во]*(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17" s="25">
        <f>SUMPRODUCT((Комплекты[Пр]=$F317)*(Комплекты[Обозначение]=$G317)*Комплекты[Кол-во]*(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17" s="24"/>
      <c r="AI317" s="23">
        <v>80</v>
      </c>
      <c r="AJ317" s="24">
        <f>SUMPRODUCT((Комплекты[Пр]=$F317)*(Комплекты[Обозначение]=$G317)*Комплекты[Кол-во]*(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160</v>
      </c>
      <c r="AK317" s="25"/>
      <c r="AL317" s="24"/>
      <c r="AM317" s="23">
        <v>80</v>
      </c>
      <c r="AN317" s="24">
        <f>SUMPRODUCT((Комплекты[Пр]=$F317)*(Комплекты[Обозначение]=$G317)*Комплекты[Кол-во]*(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50</v>
      </c>
      <c r="AO317" s="25"/>
      <c r="AP317" s="24"/>
      <c r="AQ317" s="23">
        <v>80</v>
      </c>
      <c r="AR317" s="24">
        <f>SUMPRODUCT((Комплекты[Пр]=$F317)*(Комплекты[Обозначение]=$G317)*Комплекты[Кол-во]*(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80</v>
      </c>
      <c r="AS317" s="25"/>
      <c r="AT317" s="24"/>
      <c r="AU317" s="23">
        <v>100</v>
      </c>
      <c r="AV317" s="24">
        <f>SUMPRODUCT((Комплекты[Пр]=$F317)*(Комплекты[Обозначение]=$G317)*Комплекты[Кол-во]*(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100</v>
      </c>
      <c r="AW317" s="25"/>
      <c r="AX317" s="24"/>
      <c r="AY317" s="23">
        <v>100</v>
      </c>
      <c r="AZ317" s="24">
        <f>SUMPRODUCT((Комплекты[Пр]=$F317)*(Комплекты[Обозначение]=$G317)*Комплекты[Кол-во]*(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100</v>
      </c>
      <c r="BA317" s="25"/>
      <c r="BB317" s="24"/>
      <c r="BC317" s="23">
        <v>120</v>
      </c>
      <c r="BD317" s="24">
        <f>SUMPRODUCT((Комплекты[Пр]=$F317)*(Комплекты[Обозначение]=$G317)*Комплекты[Кол-во]*(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120</v>
      </c>
      <c r="BE317" s="25"/>
      <c r="BF317" s="24"/>
      <c r="BG317" s="23">
        <v>120</v>
      </c>
      <c r="BH317" s="24">
        <f>SUMPRODUCT((Комплекты[Пр]=$F317)*(Комплекты[Обозначение]=$G317)*Комплекты[Кол-во]*(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120</v>
      </c>
      <c r="BI317" s="25"/>
      <c r="BJ317" s="24"/>
      <c r="BK317" s="340"/>
      <c r="BL317" s="32">
        <f t="shared" si="96"/>
        <v>1030</v>
      </c>
      <c r="BM317" s="32">
        <f t="shared" si="97"/>
        <v>0</v>
      </c>
      <c r="BN317" s="28">
        <f t="shared" si="98"/>
        <v>920</v>
      </c>
      <c r="BO317" s="29">
        <f t="shared" si="99"/>
        <v>0</v>
      </c>
      <c r="BP317" s="30">
        <f t="shared" si="100"/>
        <v>70</v>
      </c>
      <c r="BQ317" s="31">
        <f t="shared" si="101"/>
        <v>0</v>
      </c>
      <c r="BR317" s="11"/>
      <c r="BS317" s="329"/>
      <c r="BT317" s="23">
        <v>70</v>
      </c>
      <c r="BU317" s="24"/>
      <c r="BV317" s="25"/>
      <c r="BW317" s="24"/>
      <c r="BX317" s="23">
        <v>70</v>
      </c>
      <c r="BY317" s="24"/>
      <c r="BZ317" s="25"/>
      <c r="CA317" s="24"/>
      <c r="CB317" s="23">
        <v>70</v>
      </c>
      <c r="CC317" s="24"/>
      <c r="CD317" s="25"/>
      <c r="CE317" s="24"/>
      <c r="CF317" s="23">
        <v>70</v>
      </c>
      <c r="CG317" s="24"/>
      <c r="CH317" s="25"/>
      <c r="CI317" s="24"/>
      <c r="CJ317" s="23">
        <v>70</v>
      </c>
      <c r="CK317" s="24"/>
      <c r="CL317" s="25"/>
      <c r="CM317" s="24"/>
      <c r="CN317" s="23">
        <v>100</v>
      </c>
      <c r="CO317" s="24"/>
      <c r="CP317" s="25"/>
      <c r="CQ317" s="24"/>
      <c r="CR317" s="23">
        <v>100</v>
      </c>
      <c r="CS317" s="24"/>
      <c r="CT317" s="25"/>
      <c r="CU317" s="24"/>
      <c r="CV317" s="23">
        <v>100</v>
      </c>
      <c r="CW317" s="24"/>
      <c r="CX317" s="25"/>
      <c r="CY317" s="24"/>
      <c r="CZ317" s="23">
        <v>100</v>
      </c>
      <c r="DA317" s="24"/>
      <c r="DB317" s="25"/>
      <c r="DC317" s="24"/>
      <c r="DD317" s="23">
        <v>100</v>
      </c>
      <c r="DE317" s="24"/>
      <c r="DF317" s="25"/>
      <c r="DG317" s="24"/>
      <c r="DH317" s="23">
        <v>120</v>
      </c>
      <c r="DI317" s="24"/>
      <c r="DJ317" s="25"/>
      <c r="DK317" s="24"/>
      <c r="DL317" s="23">
        <v>120</v>
      </c>
      <c r="DM317" s="24"/>
      <c r="DN317" s="25"/>
      <c r="DO317" s="24"/>
      <c r="DP317" s="340"/>
      <c r="DQ317" s="32">
        <f t="shared" si="115"/>
        <v>1090</v>
      </c>
      <c r="DR317" s="32">
        <f t="shared" si="116"/>
        <v>0</v>
      </c>
      <c r="DS317" s="11"/>
      <c r="DT317" s="329"/>
      <c r="DU317" s="23">
        <v>120</v>
      </c>
      <c r="DV317" s="24"/>
      <c r="DW317" s="25"/>
      <c r="DX317" s="24"/>
      <c r="DY317" s="23">
        <v>120</v>
      </c>
      <c r="DZ317" s="24"/>
      <c r="EA317" s="25"/>
      <c r="EB317" s="24"/>
      <c r="EC317" s="23">
        <v>120</v>
      </c>
      <c r="ED317" s="24"/>
      <c r="EE317" s="25"/>
      <c r="EF317" s="24"/>
      <c r="EG317" s="23">
        <v>120</v>
      </c>
      <c r="EH317" s="24"/>
      <c r="EI317" s="25"/>
      <c r="EJ317" s="24"/>
      <c r="EK317" s="23">
        <v>120</v>
      </c>
      <c r="EL317" s="24"/>
      <c r="EM317" s="25"/>
      <c r="EN317" s="24"/>
      <c r="EO317" s="23">
        <v>150</v>
      </c>
      <c r="EP317" s="24"/>
      <c r="EQ317" s="25"/>
      <c r="ER317" s="24"/>
      <c r="ES317" s="23">
        <v>150</v>
      </c>
      <c r="ET317" s="24"/>
      <c r="EU317" s="25"/>
      <c r="EV317" s="24"/>
      <c r="EW317" s="23">
        <v>150</v>
      </c>
      <c r="EX317" s="24"/>
      <c r="EY317" s="25"/>
      <c r="EZ317" s="24"/>
      <c r="FA317" s="23">
        <v>150</v>
      </c>
      <c r="FB317" s="24"/>
      <c r="FC317" s="25"/>
      <c r="FD317" s="24"/>
      <c r="FE317" s="23">
        <v>150</v>
      </c>
      <c r="FF317" s="24"/>
      <c r="FG317" s="25"/>
      <c r="FH317" s="24"/>
      <c r="FI317" s="23">
        <v>180</v>
      </c>
      <c r="FJ317" s="24"/>
      <c r="FK317" s="25"/>
      <c r="FL317" s="24"/>
      <c r="FM317" s="23">
        <v>180</v>
      </c>
      <c r="FN317" s="24"/>
      <c r="FO317" s="25"/>
      <c r="FP317" s="24"/>
      <c r="FQ317" s="340"/>
      <c r="FR317" s="32">
        <f t="shared" si="117"/>
        <v>1710</v>
      </c>
      <c r="FS317" s="32">
        <f t="shared" si="118"/>
        <v>0</v>
      </c>
      <c r="FT317" s="361"/>
    </row>
    <row r="318" spans="1:176" outlineLevel="2">
      <c r="A318" s="58" t="s">
        <v>471</v>
      </c>
      <c r="B318" s="387" t="s">
        <v>82</v>
      </c>
      <c r="C318" s="173" t="s">
        <v>72</v>
      </c>
      <c r="D318" s="595" t="s">
        <v>32</v>
      </c>
      <c r="E318" s="412">
        <f>IF(ISBLANK(G318),"",IF($A$6:$A$330=$A318,COUNTIF($A$6:A318,$A318),""))</f>
        <v>53</v>
      </c>
      <c r="F318" s="123">
        <v>1</v>
      </c>
      <c r="G318" s="128">
        <v>4334010030</v>
      </c>
      <c r="H318" s="612" t="s">
        <v>81</v>
      </c>
      <c r="I318" s="618">
        <v>0</v>
      </c>
      <c r="J318" s="618"/>
      <c r="K318" s="126"/>
      <c r="L318" s="618" t="str">
        <f t="shared" si="114"/>
        <v/>
      </c>
      <c r="M318" s="102"/>
      <c r="N318" s="305">
        <f t="shared" si="95"/>
        <v>1</v>
      </c>
      <c r="O318" s="23">
        <v>70</v>
      </c>
      <c r="P318" s="24"/>
      <c r="Q318" s="25"/>
      <c r="R318" s="24"/>
      <c r="S318" s="23">
        <v>70</v>
      </c>
      <c r="T318" s="24">
        <f>SUMPRODUCT((Комплекты[Пр]=$F318)*(Комплекты[Обозначение]=$G318)*Комплекты[Кол-во]*(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50</v>
      </c>
      <c r="U318" s="25">
        <f>SUMPRODUCT((Комплекты[Пр]=$F318)*(Комплекты[Обозначение]=$G318)*Комплекты[Кол-во]*(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50</v>
      </c>
      <c r="V318" s="24"/>
      <c r="W318" s="23">
        <v>70</v>
      </c>
      <c r="X318" s="24">
        <f>SUMPRODUCT((Комплекты[Пр]=$F318)*(Комплекты[Обозначение]=$G318)*Комплекты[Кол-во]*(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20</v>
      </c>
      <c r="Y318" s="25">
        <f>SUMPRODUCT((Комплекты[Пр]=$F318)*(Комплекты[Обозначение]=$G318)*Комплекты[Кол-во]*(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20</v>
      </c>
      <c r="Z318" s="24"/>
      <c r="AA318" s="23">
        <v>70</v>
      </c>
      <c r="AB318" s="24">
        <f>SUMPRODUCT((Комплекты[Пр]=$F318)*(Комплекты[Обозначение]=$G318)*Комплекты[Кол-во]*(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120</v>
      </c>
      <c r="AC318" s="25"/>
      <c r="AD318" s="24"/>
      <c r="AE318" s="23">
        <v>70</v>
      </c>
      <c r="AF318" s="24">
        <f>SUMPRODUCT((Комплекты[Пр]=$F318)*(Комплекты[Обозначение]=$G318)*Комплекты[Кол-во]*(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18" s="25">
        <f>SUMPRODUCT((Комплекты[Пр]=$F318)*(Комплекты[Обозначение]=$G318)*Комплекты[Кол-во]*(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18" s="24"/>
      <c r="AI318" s="23">
        <v>80</v>
      </c>
      <c r="AJ318" s="24">
        <f>SUMPRODUCT((Комплекты[Пр]=$F318)*(Комплекты[Обозначение]=$G318)*Комплекты[Кол-во]*(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160</v>
      </c>
      <c r="AK318" s="25"/>
      <c r="AL318" s="24"/>
      <c r="AM318" s="23">
        <v>80</v>
      </c>
      <c r="AN318" s="24">
        <f>SUMPRODUCT((Комплекты[Пр]=$F318)*(Комплекты[Обозначение]=$G318)*Комплекты[Кол-во]*(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50</v>
      </c>
      <c r="AO318" s="25"/>
      <c r="AP318" s="24"/>
      <c r="AQ318" s="23">
        <v>80</v>
      </c>
      <c r="AR318" s="24">
        <f>SUMPRODUCT((Комплекты[Пр]=$F318)*(Комплекты[Обозначение]=$G318)*Комплекты[Кол-во]*(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80</v>
      </c>
      <c r="AS318" s="25"/>
      <c r="AT318" s="24"/>
      <c r="AU318" s="23">
        <v>100</v>
      </c>
      <c r="AV318" s="24">
        <f>SUMPRODUCT((Комплекты[Пр]=$F318)*(Комплекты[Обозначение]=$G318)*Комплекты[Кол-во]*(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100</v>
      </c>
      <c r="AW318" s="25"/>
      <c r="AX318" s="24"/>
      <c r="AY318" s="23">
        <v>100</v>
      </c>
      <c r="AZ318" s="24">
        <f>SUMPRODUCT((Комплекты[Пр]=$F318)*(Комплекты[Обозначение]=$G318)*Комплекты[Кол-во]*(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100</v>
      </c>
      <c r="BA318" s="25"/>
      <c r="BB318" s="24"/>
      <c r="BC318" s="23">
        <v>120</v>
      </c>
      <c r="BD318" s="24">
        <f>SUMPRODUCT((Комплекты[Пр]=$F318)*(Комплекты[Обозначение]=$G318)*Комплекты[Кол-во]*(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120</v>
      </c>
      <c r="BE318" s="25"/>
      <c r="BF318" s="24"/>
      <c r="BG318" s="23">
        <v>120</v>
      </c>
      <c r="BH318" s="24">
        <f>SUMPRODUCT((Комплекты[Пр]=$F318)*(Комплекты[Обозначение]=$G318)*Комплекты[Кол-во]*(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120</v>
      </c>
      <c r="BI318" s="25"/>
      <c r="BJ318" s="24"/>
      <c r="BK318" s="340"/>
      <c r="BL318" s="32">
        <f t="shared" si="96"/>
        <v>1030</v>
      </c>
      <c r="BM318" s="32">
        <f t="shared" si="97"/>
        <v>0</v>
      </c>
      <c r="BN318" s="28">
        <f t="shared" si="98"/>
        <v>920</v>
      </c>
      <c r="BO318" s="29">
        <f t="shared" si="99"/>
        <v>0</v>
      </c>
      <c r="BP318" s="30">
        <f t="shared" si="100"/>
        <v>70</v>
      </c>
      <c r="BQ318" s="31">
        <f t="shared" si="101"/>
        <v>0</v>
      </c>
      <c r="BR318" s="11"/>
      <c r="BS318" s="329"/>
      <c r="BT318" s="23">
        <v>70</v>
      </c>
      <c r="BU318" s="24"/>
      <c r="BV318" s="25"/>
      <c r="BW318" s="24"/>
      <c r="BX318" s="23">
        <v>70</v>
      </c>
      <c r="BY318" s="24"/>
      <c r="BZ318" s="25"/>
      <c r="CA318" s="24"/>
      <c r="CB318" s="23">
        <v>70</v>
      </c>
      <c r="CC318" s="24"/>
      <c r="CD318" s="25"/>
      <c r="CE318" s="24"/>
      <c r="CF318" s="23">
        <v>70</v>
      </c>
      <c r="CG318" s="24"/>
      <c r="CH318" s="25"/>
      <c r="CI318" s="24"/>
      <c r="CJ318" s="23">
        <v>70</v>
      </c>
      <c r="CK318" s="24"/>
      <c r="CL318" s="25"/>
      <c r="CM318" s="24"/>
      <c r="CN318" s="23">
        <v>100</v>
      </c>
      <c r="CO318" s="24"/>
      <c r="CP318" s="25"/>
      <c r="CQ318" s="24"/>
      <c r="CR318" s="23">
        <v>100</v>
      </c>
      <c r="CS318" s="24"/>
      <c r="CT318" s="25"/>
      <c r="CU318" s="24"/>
      <c r="CV318" s="23">
        <v>100</v>
      </c>
      <c r="CW318" s="24"/>
      <c r="CX318" s="25"/>
      <c r="CY318" s="24"/>
      <c r="CZ318" s="23">
        <v>100</v>
      </c>
      <c r="DA318" s="24"/>
      <c r="DB318" s="25"/>
      <c r="DC318" s="24"/>
      <c r="DD318" s="23">
        <v>100</v>
      </c>
      <c r="DE318" s="24"/>
      <c r="DF318" s="25"/>
      <c r="DG318" s="24"/>
      <c r="DH318" s="23">
        <v>120</v>
      </c>
      <c r="DI318" s="24"/>
      <c r="DJ318" s="25"/>
      <c r="DK318" s="24"/>
      <c r="DL318" s="23">
        <v>120</v>
      </c>
      <c r="DM318" s="24"/>
      <c r="DN318" s="25"/>
      <c r="DO318" s="24"/>
      <c r="DP318" s="340"/>
      <c r="DQ318" s="32">
        <f t="shared" si="115"/>
        <v>1090</v>
      </c>
      <c r="DR318" s="32">
        <f t="shared" si="116"/>
        <v>0</v>
      </c>
      <c r="DS318" s="11"/>
      <c r="DT318" s="329"/>
      <c r="DU318" s="23">
        <v>120</v>
      </c>
      <c r="DV318" s="24"/>
      <c r="DW318" s="25"/>
      <c r="DX318" s="24"/>
      <c r="DY318" s="23">
        <v>120</v>
      </c>
      <c r="DZ318" s="24"/>
      <c r="EA318" s="25"/>
      <c r="EB318" s="24"/>
      <c r="EC318" s="23">
        <v>120</v>
      </c>
      <c r="ED318" s="24"/>
      <c r="EE318" s="25"/>
      <c r="EF318" s="24"/>
      <c r="EG318" s="23">
        <v>120</v>
      </c>
      <c r="EH318" s="24"/>
      <c r="EI318" s="25"/>
      <c r="EJ318" s="24"/>
      <c r="EK318" s="23">
        <v>120</v>
      </c>
      <c r="EL318" s="24"/>
      <c r="EM318" s="25"/>
      <c r="EN318" s="24"/>
      <c r="EO318" s="23">
        <v>150</v>
      </c>
      <c r="EP318" s="24"/>
      <c r="EQ318" s="25"/>
      <c r="ER318" s="24"/>
      <c r="ES318" s="23">
        <v>150</v>
      </c>
      <c r="ET318" s="24"/>
      <c r="EU318" s="25"/>
      <c r="EV318" s="24"/>
      <c r="EW318" s="23">
        <v>150</v>
      </c>
      <c r="EX318" s="24"/>
      <c r="EY318" s="25"/>
      <c r="EZ318" s="24"/>
      <c r="FA318" s="23">
        <v>150</v>
      </c>
      <c r="FB318" s="24"/>
      <c r="FC318" s="25"/>
      <c r="FD318" s="24"/>
      <c r="FE318" s="23">
        <v>150</v>
      </c>
      <c r="FF318" s="24"/>
      <c r="FG318" s="25"/>
      <c r="FH318" s="24"/>
      <c r="FI318" s="23">
        <v>180</v>
      </c>
      <c r="FJ318" s="24"/>
      <c r="FK318" s="25"/>
      <c r="FL318" s="24"/>
      <c r="FM318" s="23">
        <v>180</v>
      </c>
      <c r="FN318" s="24"/>
      <c r="FO318" s="25"/>
      <c r="FP318" s="24"/>
      <c r="FQ318" s="340"/>
      <c r="FR318" s="32">
        <f t="shared" si="117"/>
        <v>1710</v>
      </c>
      <c r="FS318" s="32">
        <f t="shared" si="118"/>
        <v>0</v>
      </c>
      <c r="FT318" s="361"/>
    </row>
    <row r="319" spans="1:176" outlineLevel="2">
      <c r="A319" s="58" t="s">
        <v>471</v>
      </c>
      <c r="B319" s="387" t="s">
        <v>82</v>
      </c>
      <c r="C319" s="173" t="s">
        <v>72</v>
      </c>
      <c r="D319" s="595" t="s">
        <v>32</v>
      </c>
      <c r="E319" s="412">
        <f>IF(ISBLANK(G319),"",IF($A$6:$A$330=$A319,COUNTIF($A$6:A319,$A319),""))</f>
        <v>54</v>
      </c>
      <c r="F319" s="123">
        <v>1</v>
      </c>
      <c r="G319" s="128">
        <v>4630840310</v>
      </c>
      <c r="H319" s="612" t="s">
        <v>135</v>
      </c>
      <c r="I319" s="618">
        <v>0</v>
      </c>
      <c r="J319" s="618"/>
      <c r="K319" s="126"/>
      <c r="L319" s="618" t="str">
        <f t="shared" si="114"/>
        <v/>
      </c>
      <c r="M319" s="102"/>
      <c r="N319" s="305">
        <f t="shared" si="95"/>
        <v>2</v>
      </c>
      <c r="O319" s="23">
        <v>0</v>
      </c>
      <c r="P319" s="24"/>
      <c r="Q319" s="25"/>
      <c r="R319" s="24"/>
      <c r="S319" s="23">
        <v>0</v>
      </c>
      <c r="T319" s="24">
        <f>SUMPRODUCT((Комплекты[Пр]=$F319)*(Комплекты[Обозначение]=$G319)*Комплекты[Кол-во]*(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0</v>
      </c>
      <c r="U319" s="25">
        <f>SUMPRODUCT((Комплекты[Пр]=$F319)*(Комплекты[Обозначение]=$G319)*Комплекты[Кол-во]*(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0</v>
      </c>
      <c r="V319" s="24"/>
      <c r="W319" s="23">
        <v>0</v>
      </c>
      <c r="X319" s="24">
        <f>SUMPRODUCT((Комплекты[Пр]=$F319)*(Комплекты[Обозначение]=$G319)*Комплекты[Кол-во]*(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0</v>
      </c>
      <c r="Y319" s="25">
        <f>SUMPRODUCT((Комплекты[Пр]=$F319)*(Комплекты[Обозначение]=$G319)*Комплекты[Кол-во]*(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0</v>
      </c>
      <c r="Z319" s="24"/>
      <c r="AA319" s="23">
        <v>0</v>
      </c>
      <c r="AB319" s="24">
        <f>SUMPRODUCT((Комплекты[Пр]=$F319)*(Комплекты[Обозначение]=$G319)*Комплекты[Кол-во]*(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0</v>
      </c>
      <c r="AC319" s="25"/>
      <c r="AD319" s="24"/>
      <c r="AE319" s="23">
        <v>0</v>
      </c>
      <c r="AF319" s="24">
        <f>SUMPRODUCT((Комплекты[Пр]=$F319)*(Комплекты[Обозначение]=$G319)*Комплекты[Кол-во]*(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19" s="25">
        <f>SUMPRODUCT((Комплекты[Пр]=$F319)*(Комплекты[Обозначение]=$G319)*Комплекты[Кол-во]*(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19" s="24"/>
      <c r="AI319" s="23">
        <v>0</v>
      </c>
      <c r="AJ319" s="24">
        <f>SUMPRODUCT((Комплекты[Пр]=$F319)*(Комплекты[Обозначение]=$G319)*Комплекты[Кол-во]*(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0</v>
      </c>
      <c r="AK319" s="25"/>
      <c r="AL319" s="24"/>
      <c r="AM319" s="23">
        <v>0</v>
      </c>
      <c r="AN319" s="24">
        <f>SUMPRODUCT((Комплекты[Пр]=$F319)*(Комплекты[Обозначение]=$G319)*Комплекты[Кол-во]*(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0</v>
      </c>
      <c r="AO319" s="25"/>
      <c r="AP319" s="24"/>
      <c r="AQ319" s="23">
        <v>0</v>
      </c>
      <c r="AR319" s="24">
        <f>SUMPRODUCT((Комплекты[Пр]=$F319)*(Комплекты[Обозначение]=$G319)*Комплекты[Кол-во]*(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0</v>
      </c>
      <c r="AS319" s="25"/>
      <c r="AT319" s="24"/>
      <c r="AU319" s="23">
        <v>20</v>
      </c>
      <c r="AV319" s="24">
        <f>SUMPRODUCT((Комплекты[Пр]=$F319)*(Комплекты[Обозначение]=$G319)*Комплекты[Кол-во]*(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20</v>
      </c>
      <c r="AW319" s="25"/>
      <c r="AX319" s="24"/>
      <c r="AY319" s="23">
        <v>20</v>
      </c>
      <c r="AZ319" s="24">
        <f>SUMPRODUCT((Комплекты[Пр]=$F319)*(Комплекты[Обозначение]=$G319)*Комплекты[Кол-во]*(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20</v>
      </c>
      <c r="BA319" s="25"/>
      <c r="BB319" s="24"/>
      <c r="BC319" s="23">
        <v>20</v>
      </c>
      <c r="BD319" s="24">
        <f>SUMPRODUCT((Комплекты[Пр]=$F319)*(Комплекты[Обозначение]=$G319)*Комплекты[Кол-во]*(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20</v>
      </c>
      <c r="BE319" s="25"/>
      <c r="BF319" s="24"/>
      <c r="BG319" s="23">
        <v>20</v>
      </c>
      <c r="BH319" s="24">
        <f>SUMPRODUCT((Комплекты[Пр]=$F319)*(Комплекты[Обозначение]=$G319)*Комплекты[Кол-во]*(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20</v>
      </c>
      <c r="BI319" s="25"/>
      <c r="BJ319" s="24"/>
      <c r="BK319" s="340"/>
      <c r="BL319" s="32">
        <f t="shared" si="96"/>
        <v>80</v>
      </c>
      <c r="BM319" s="32">
        <f t="shared" si="97"/>
        <v>0</v>
      </c>
      <c r="BN319" s="28">
        <f t="shared" si="98"/>
        <v>80</v>
      </c>
      <c r="BO319" s="29">
        <f t="shared" si="99"/>
        <v>0</v>
      </c>
      <c r="BP319" s="30">
        <f t="shared" si="100"/>
        <v>0</v>
      </c>
      <c r="BQ319" s="31">
        <f t="shared" si="101"/>
        <v>0</v>
      </c>
      <c r="BR319" s="11"/>
      <c r="BS319" s="329"/>
      <c r="BT319" s="23">
        <v>30</v>
      </c>
      <c r="BU319" s="24"/>
      <c r="BV319" s="25"/>
      <c r="BW319" s="24"/>
      <c r="BX319" s="23">
        <v>30</v>
      </c>
      <c r="BY319" s="24"/>
      <c r="BZ319" s="25"/>
      <c r="CA319" s="24"/>
      <c r="CB319" s="23">
        <v>30</v>
      </c>
      <c r="CC319" s="24"/>
      <c r="CD319" s="25"/>
      <c r="CE319" s="24"/>
      <c r="CF319" s="23">
        <v>30</v>
      </c>
      <c r="CG319" s="24"/>
      <c r="CH319" s="25"/>
      <c r="CI319" s="24"/>
      <c r="CJ319" s="23">
        <v>30</v>
      </c>
      <c r="CK319" s="24"/>
      <c r="CL319" s="25"/>
      <c r="CM319" s="24"/>
      <c r="CN319" s="23">
        <v>50</v>
      </c>
      <c r="CO319" s="24"/>
      <c r="CP319" s="25"/>
      <c r="CQ319" s="24"/>
      <c r="CR319" s="23">
        <v>50</v>
      </c>
      <c r="CS319" s="24"/>
      <c r="CT319" s="25"/>
      <c r="CU319" s="24"/>
      <c r="CV319" s="23">
        <v>50</v>
      </c>
      <c r="CW319" s="24"/>
      <c r="CX319" s="25"/>
      <c r="CY319" s="24"/>
      <c r="CZ319" s="23">
        <v>50</v>
      </c>
      <c r="DA319" s="24"/>
      <c r="DB319" s="25"/>
      <c r="DC319" s="24"/>
      <c r="DD319" s="23">
        <v>50</v>
      </c>
      <c r="DE319" s="24"/>
      <c r="DF319" s="25"/>
      <c r="DG319" s="24"/>
      <c r="DH319" s="23">
        <v>50</v>
      </c>
      <c r="DI319" s="24"/>
      <c r="DJ319" s="25"/>
      <c r="DK319" s="24"/>
      <c r="DL319" s="23">
        <v>50</v>
      </c>
      <c r="DM319" s="24"/>
      <c r="DN319" s="25"/>
      <c r="DO319" s="24"/>
      <c r="DP319" s="340"/>
      <c r="DQ319" s="32">
        <f t="shared" si="115"/>
        <v>500</v>
      </c>
      <c r="DR319" s="32">
        <f t="shared" si="116"/>
        <v>0</v>
      </c>
      <c r="DS319" s="11"/>
      <c r="DT319" s="329"/>
      <c r="DU319" s="23">
        <v>50</v>
      </c>
      <c r="DV319" s="24"/>
      <c r="DW319" s="25"/>
      <c r="DX319" s="24"/>
      <c r="DY319" s="23">
        <v>50</v>
      </c>
      <c r="DZ319" s="24"/>
      <c r="EA319" s="25"/>
      <c r="EB319" s="24"/>
      <c r="EC319" s="23">
        <v>50</v>
      </c>
      <c r="ED319" s="24"/>
      <c r="EE319" s="25"/>
      <c r="EF319" s="24"/>
      <c r="EG319" s="23">
        <v>50</v>
      </c>
      <c r="EH319" s="24"/>
      <c r="EI319" s="25"/>
      <c r="EJ319" s="24"/>
      <c r="EK319" s="23">
        <v>50</v>
      </c>
      <c r="EL319" s="24"/>
      <c r="EM319" s="25"/>
      <c r="EN319" s="24"/>
      <c r="EO319" s="23">
        <v>80</v>
      </c>
      <c r="EP319" s="24"/>
      <c r="EQ319" s="25"/>
      <c r="ER319" s="24"/>
      <c r="ES319" s="23">
        <v>80</v>
      </c>
      <c r="ET319" s="24"/>
      <c r="EU319" s="25"/>
      <c r="EV319" s="24"/>
      <c r="EW319" s="23">
        <v>80</v>
      </c>
      <c r="EX319" s="24"/>
      <c r="EY319" s="25"/>
      <c r="EZ319" s="24"/>
      <c r="FA319" s="23">
        <v>80</v>
      </c>
      <c r="FB319" s="24"/>
      <c r="FC319" s="25"/>
      <c r="FD319" s="24"/>
      <c r="FE319" s="23">
        <v>80</v>
      </c>
      <c r="FF319" s="24"/>
      <c r="FG319" s="25"/>
      <c r="FH319" s="24"/>
      <c r="FI319" s="23">
        <v>120</v>
      </c>
      <c r="FJ319" s="24"/>
      <c r="FK319" s="25"/>
      <c r="FL319" s="24"/>
      <c r="FM319" s="23">
        <v>120</v>
      </c>
      <c r="FN319" s="24"/>
      <c r="FO319" s="25"/>
      <c r="FP319" s="24"/>
      <c r="FQ319" s="340"/>
      <c r="FR319" s="32">
        <f t="shared" si="117"/>
        <v>890</v>
      </c>
      <c r="FS319" s="32">
        <f t="shared" si="118"/>
        <v>0</v>
      </c>
      <c r="FT319" s="361"/>
    </row>
    <row r="320" spans="1:176" outlineLevel="2">
      <c r="A320" s="58" t="s">
        <v>471</v>
      </c>
      <c r="B320" s="387" t="s">
        <v>82</v>
      </c>
      <c r="C320" s="173" t="s">
        <v>72</v>
      </c>
      <c r="D320" s="595" t="s">
        <v>32</v>
      </c>
      <c r="E320" s="412">
        <f>IF(ISBLANK(G320),"",IF($A$6:$A$330=$A320,COUNTIF($A$6:A320,$A320),""))</f>
        <v>55</v>
      </c>
      <c r="F320" s="123">
        <v>1</v>
      </c>
      <c r="G320" s="128">
        <v>4494430600</v>
      </c>
      <c r="H320" s="612" t="s">
        <v>136</v>
      </c>
      <c r="I320" s="618">
        <v>0</v>
      </c>
      <c r="J320" s="618"/>
      <c r="K320" s="126"/>
      <c r="L320" s="618" t="str">
        <f t="shared" si="114"/>
        <v/>
      </c>
      <c r="M320" s="102"/>
      <c r="N320" s="305">
        <f t="shared" si="95"/>
        <v>2</v>
      </c>
      <c r="O320" s="23">
        <v>0</v>
      </c>
      <c r="P320" s="24"/>
      <c r="Q320" s="25"/>
      <c r="R320" s="24"/>
      <c r="S320" s="23">
        <v>0</v>
      </c>
      <c r="T320" s="24">
        <f>SUMPRODUCT((Комплекты[Пр]=$F320)*(Комплекты[Обозначение]=$G320)*Комплекты[Кол-во]*(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0</v>
      </c>
      <c r="U320" s="25">
        <f>SUMPRODUCT((Комплекты[Пр]=$F320)*(Комплекты[Обозначение]=$G320)*Комплекты[Кол-во]*(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0</v>
      </c>
      <c r="V320" s="24"/>
      <c r="W320" s="23">
        <v>0</v>
      </c>
      <c r="X320" s="24">
        <f>SUMPRODUCT((Комплекты[Пр]=$F320)*(Комплекты[Обозначение]=$G320)*Комплекты[Кол-во]*(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0</v>
      </c>
      <c r="Y320" s="25">
        <f>SUMPRODUCT((Комплекты[Пр]=$F320)*(Комплекты[Обозначение]=$G320)*Комплекты[Кол-во]*(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0</v>
      </c>
      <c r="Z320" s="24"/>
      <c r="AA320" s="23">
        <v>0</v>
      </c>
      <c r="AB320" s="24">
        <f>SUMPRODUCT((Комплекты[Пр]=$F320)*(Комплекты[Обозначение]=$G320)*Комплекты[Кол-во]*(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0</v>
      </c>
      <c r="AC320" s="25"/>
      <c r="AD320" s="24"/>
      <c r="AE320" s="23">
        <v>0</v>
      </c>
      <c r="AF320" s="24">
        <f>SUMPRODUCT((Комплекты[Пр]=$F320)*(Комплекты[Обозначение]=$G320)*Комплекты[Кол-во]*(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20" s="25">
        <f>SUMPRODUCT((Комплекты[Пр]=$F320)*(Комплекты[Обозначение]=$G320)*Комплекты[Кол-во]*(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20" s="24"/>
      <c r="AI320" s="23">
        <v>0</v>
      </c>
      <c r="AJ320" s="24">
        <f>SUMPRODUCT((Комплекты[Пр]=$F320)*(Комплекты[Обозначение]=$G320)*Комплекты[Кол-во]*(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0</v>
      </c>
      <c r="AK320" s="25"/>
      <c r="AL320" s="24"/>
      <c r="AM320" s="23">
        <v>0</v>
      </c>
      <c r="AN320" s="24">
        <f>SUMPRODUCT((Комплекты[Пр]=$F320)*(Комплекты[Обозначение]=$G320)*Комплекты[Кол-во]*(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0</v>
      </c>
      <c r="AO320" s="25"/>
      <c r="AP320" s="24"/>
      <c r="AQ320" s="23">
        <v>0</v>
      </c>
      <c r="AR320" s="24">
        <f>SUMPRODUCT((Комплекты[Пр]=$F320)*(Комплекты[Обозначение]=$G320)*Комплекты[Кол-во]*(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0</v>
      </c>
      <c r="AS320" s="25"/>
      <c r="AT320" s="24"/>
      <c r="AU320" s="23">
        <v>20</v>
      </c>
      <c r="AV320" s="24">
        <f>SUMPRODUCT((Комплекты[Пр]=$F320)*(Комплекты[Обозначение]=$G320)*Комплекты[Кол-во]*(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20</v>
      </c>
      <c r="AW320" s="25"/>
      <c r="AX320" s="24"/>
      <c r="AY320" s="23">
        <v>20</v>
      </c>
      <c r="AZ320" s="24">
        <f>SUMPRODUCT((Комплекты[Пр]=$F320)*(Комплекты[Обозначение]=$G320)*Комплекты[Кол-во]*(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20</v>
      </c>
      <c r="BA320" s="25"/>
      <c r="BB320" s="24"/>
      <c r="BC320" s="23">
        <v>20</v>
      </c>
      <c r="BD320" s="24">
        <f>SUMPRODUCT((Комплекты[Пр]=$F320)*(Комплекты[Обозначение]=$G320)*Комплекты[Кол-во]*(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20</v>
      </c>
      <c r="BE320" s="25"/>
      <c r="BF320" s="24"/>
      <c r="BG320" s="23">
        <v>20</v>
      </c>
      <c r="BH320" s="24">
        <f>SUMPRODUCT((Комплекты[Пр]=$F320)*(Комплекты[Обозначение]=$G320)*Комплекты[Кол-во]*(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20</v>
      </c>
      <c r="BI320" s="25"/>
      <c r="BJ320" s="24"/>
      <c r="BK320" s="340"/>
      <c r="BL320" s="32">
        <f t="shared" si="96"/>
        <v>80</v>
      </c>
      <c r="BM320" s="32">
        <f t="shared" si="97"/>
        <v>0</v>
      </c>
      <c r="BN320" s="28">
        <f t="shared" si="98"/>
        <v>80</v>
      </c>
      <c r="BO320" s="29">
        <f t="shared" si="99"/>
        <v>0</v>
      </c>
      <c r="BP320" s="30">
        <f t="shared" si="100"/>
        <v>0</v>
      </c>
      <c r="BQ320" s="31">
        <f t="shared" si="101"/>
        <v>0</v>
      </c>
      <c r="BR320" s="11"/>
      <c r="BS320" s="329"/>
      <c r="BT320" s="23">
        <v>30</v>
      </c>
      <c r="BU320" s="24"/>
      <c r="BV320" s="25"/>
      <c r="BW320" s="24"/>
      <c r="BX320" s="23">
        <v>30</v>
      </c>
      <c r="BY320" s="24"/>
      <c r="BZ320" s="25"/>
      <c r="CA320" s="24"/>
      <c r="CB320" s="23">
        <v>30</v>
      </c>
      <c r="CC320" s="24"/>
      <c r="CD320" s="25"/>
      <c r="CE320" s="24"/>
      <c r="CF320" s="23">
        <v>30</v>
      </c>
      <c r="CG320" s="24"/>
      <c r="CH320" s="25"/>
      <c r="CI320" s="24"/>
      <c r="CJ320" s="23">
        <v>30</v>
      </c>
      <c r="CK320" s="24"/>
      <c r="CL320" s="25"/>
      <c r="CM320" s="24"/>
      <c r="CN320" s="23">
        <v>50</v>
      </c>
      <c r="CO320" s="24"/>
      <c r="CP320" s="25"/>
      <c r="CQ320" s="24"/>
      <c r="CR320" s="23">
        <v>50</v>
      </c>
      <c r="CS320" s="24"/>
      <c r="CT320" s="25"/>
      <c r="CU320" s="24"/>
      <c r="CV320" s="23">
        <v>50</v>
      </c>
      <c r="CW320" s="24"/>
      <c r="CX320" s="25"/>
      <c r="CY320" s="24"/>
      <c r="CZ320" s="23">
        <v>50</v>
      </c>
      <c r="DA320" s="24"/>
      <c r="DB320" s="25"/>
      <c r="DC320" s="24"/>
      <c r="DD320" s="23">
        <v>50</v>
      </c>
      <c r="DE320" s="24"/>
      <c r="DF320" s="25"/>
      <c r="DG320" s="24"/>
      <c r="DH320" s="23">
        <v>50</v>
      </c>
      <c r="DI320" s="24"/>
      <c r="DJ320" s="25"/>
      <c r="DK320" s="24"/>
      <c r="DL320" s="23">
        <v>50</v>
      </c>
      <c r="DM320" s="24"/>
      <c r="DN320" s="25"/>
      <c r="DO320" s="24"/>
      <c r="DP320" s="340"/>
      <c r="DQ320" s="32">
        <f t="shared" si="115"/>
        <v>500</v>
      </c>
      <c r="DR320" s="32">
        <f t="shared" si="116"/>
        <v>0</v>
      </c>
      <c r="DS320" s="11"/>
      <c r="DT320" s="329"/>
      <c r="DU320" s="23">
        <v>50</v>
      </c>
      <c r="DV320" s="24"/>
      <c r="DW320" s="25"/>
      <c r="DX320" s="24"/>
      <c r="DY320" s="23">
        <v>50</v>
      </c>
      <c r="DZ320" s="24"/>
      <c r="EA320" s="25"/>
      <c r="EB320" s="24"/>
      <c r="EC320" s="23">
        <v>50</v>
      </c>
      <c r="ED320" s="24"/>
      <c r="EE320" s="25"/>
      <c r="EF320" s="24"/>
      <c r="EG320" s="23">
        <v>50</v>
      </c>
      <c r="EH320" s="24"/>
      <c r="EI320" s="25"/>
      <c r="EJ320" s="24"/>
      <c r="EK320" s="23">
        <v>50</v>
      </c>
      <c r="EL320" s="24"/>
      <c r="EM320" s="25"/>
      <c r="EN320" s="24"/>
      <c r="EO320" s="23">
        <v>80</v>
      </c>
      <c r="EP320" s="24"/>
      <c r="EQ320" s="25"/>
      <c r="ER320" s="24"/>
      <c r="ES320" s="23">
        <v>80</v>
      </c>
      <c r="ET320" s="24"/>
      <c r="EU320" s="25"/>
      <c r="EV320" s="24"/>
      <c r="EW320" s="23">
        <v>80</v>
      </c>
      <c r="EX320" s="24"/>
      <c r="EY320" s="25"/>
      <c r="EZ320" s="24"/>
      <c r="FA320" s="23">
        <v>80</v>
      </c>
      <c r="FB320" s="24"/>
      <c r="FC320" s="25"/>
      <c r="FD320" s="24"/>
      <c r="FE320" s="23">
        <v>80</v>
      </c>
      <c r="FF320" s="24"/>
      <c r="FG320" s="25"/>
      <c r="FH320" s="24"/>
      <c r="FI320" s="23">
        <v>120</v>
      </c>
      <c r="FJ320" s="24"/>
      <c r="FK320" s="25"/>
      <c r="FL320" s="24"/>
      <c r="FM320" s="23">
        <v>120</v>
      </c>
      <c r="FN320" s="24"/>
      <c r="FO320" s="25"/>
      <c r="FP320" s="24"/>
      <c r="FQ320" s="340"/>
      <c r="FR320" s="32">
        <f t="shared" si="117"/>
        <v>890</v>
      </c>
      <c r="FS320" s="32">
        <f t="shared" si="118"/>
        <v>0</v>
      </c>
      <c r="FT320" s="361"/>
    </row>
    <row r="321" spans="1:176" outlineLevel="2">
      <c r="A321" s="421" t="s">
        <v>471</v>
      </c>
      <c r="B321" s="389" t="s">
        <v>82</v>
      </c>
      <c r="C321" s="311" t="s">
        <v>72</v>
      </c>
      <c r="D321" s="399" t="s">
        <v>32</v>
      </c>
      <c r="E321" s="414">
        <f>IF(ISBLANK(G321),"",IF($A$6:$A$330=$A321,COUNTIF($A$6:A321,$A321),""))</f>
        <v>56</v>
      </c>
      <c r="F321" s="318">
        <v>1</v>
      </c>
      <c r="G321" s="403">
        <v>4341001250</v>
      </c>
      <c r="H321" s="613" t="s">
        <v>92</v>
      </c>
      <c r="I321" s="619">
        <v>0</v>
      </c>
      <c r="J321" s="619"/>
      <c r="K321" s="321"/>
      <c r="L321" s="619" t="str">
        <f t="shared" si="114"/>
        <v/>
      </c>
      <c r="M321" s="305"/>
      <c r="N321" s="305">
        <f t="shared" si="95"/>
        <v>0</v>
      </c>
      <c r="O321" s="322">
        <v>0</v>
      </c>
      <c r="P321" s="408"/>
      <c r="Q321" s="307"/>
      <c r="R321" s="408"/>
      <c r="S321" s="322">
        <v>0</v>
      </c>
      <c r="T321" s="408">
        <f>SUMPRODUCT((Комплекты[Пр]=$F321)*(Комплекты[Обозначение]=$G321)*Комплекты[Кол-во]*(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0</v>
      </c>
      <c r="U321" s="307">
        <f>SUMPRODUCT((Комплекты[Пр]=$F321)*(Комплекты[Обозначение]=$G321)*Комплекты[Кол-во]*(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0</v>
      </c>
      <c r="V321" s="408"/>
      <c r="W321" s="322">
        <v>0</v>
      </c>
      <c r="X321" s="408">
        <f>SUMPRODUCT((Комплекты[Пр]=$F321)*(Комплекты[Обозначение]=$G321)*Комплекты[Кол-во]*(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0</v>
      </c>
      <c r="Y321" s="307">
        <f>SUMPRODUCT((Комплекты[Пр]=$F321)*(Комплекты[Обозначение]=$G321)*Комплекты[Кол-во]*(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0</v>
      </c>
      <c r="Z321" s="408"/>
      <c r="AA321" s="322">
        <v>0</v>
      </c>
      <c r="AB321" s="408">
        <f>SUMPRODUCT((Комплекты[Пр]=$F321)*(Комплекты[Обозначение]=$G321)*Комплекты[Кол-во]*(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0</v>
      </c>
      <c r="AC321" s="307"/>
      <c r="AD321" s="408"/>
      <c r="AE321" s="322">
        <v>0</v>
      </c>
      <c r="AF321" s="408">
        <f>SUMPRODUCT((Комплекты[Пр]=$F321)*(Комплекты[Обозначение]=$G321)*Комплекты[Кол-во]*(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21" s="307">
        <f>SUMPRODUCT((Комплекты[Пр]=$F321)*(Комплекты[Обозначение]=$G321)*Комплекты[Кол-во]*(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21" s="408"/>
      <c r="AI321" s="322">
        <v>0</v>
      </c>
      <c r="AJ321" s="408">
        <f>SUMPRODUCT((Комплекты[Пр]=$F321)*(Комплекты[Обозначение]=$G321)*Комплекты[Кол-во]*(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0</v>
      </c>
      <c r="AK321" s="307"/>
      <c r="AL321" s="408"/>
      <c r="AM321" s="322">
        <v>0</v>
      </c>
      <c r="AN321" s="408">
        <f>SUMPRODUCT((Комплекты[Пр]=$F321)*(Комплекты[Обозначение]=$G321)*Комплекты[Кол-во]*(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0</v>
      </c>
      <c r="AO321" s="307"/>
      <c r="AP321" s="408"/>
      <c r="AQ321" s="322">
        <v>0</v>
      </c>
      <c r="AR321" s="408">
        <f>SUMPRODUCT((Комплекты[Пр]=$F321)*(Комплекты[Обозначение]=$G321)*Комплекты[Кол-во]*(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0</v>
      </c>
      <c r="AS321" s="307"/>
      <c r="AT321" s="408"/>
      <c r="AU321" s="322">
        <v>0</v>
      </c>
      <c r="AV321" s="408">
        <f>SUMPRODUCT((Комплекты[Пр]=$F321)*(Комплекты[Обозначение]=$G321)*Комплекты[Кол-во]*(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0</v>
      </c>
      <c r="AW321" s="307"/>
      <c r="AX321" s="408"/>
      <c r="AY321" s="322">
        <v>0</v>
      </c>
      <c r="AZ321" s="408">
        <f>SUMPRODUCT((Комплекты[Пр]=$F321)*(Комплекты[Обозначение]=$G321)*Комплекты[Кол-во]*(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0</v>
      </c>
      <c r="BA321" s="307"/>
      <c r="BB321" s="408"/>
      <c r="BC321" s="322">
        <v>0</v>
      </c>
      <c r="BD321" s="408">
        <f>SUMPRODUCT((Комплекты[Пр]=$F321)*(Комплекты[Обозначение]=$G321)*Комплекты[Кол-во]*(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0</v>
      </c>
      <c r="BE321" s="307"/>
      <c r="BF321" s="408"/>
      <c r="BG321" s="322">
        <v>0</v>
      </c>
      <c r="BH321" s="408">
        <f>SUMPRODUCT((Комплекты[Пр]=$F321)*(Комплекты[Обозначение]=$G321)*Комплекты[Кол-во]*(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0</v>
      </c>
      <c r="BI321" s="307"/>
      <c r="BJ321" s="408"/>
      <c r="BK321" s="340"/>
      <c r="BL321" s="328">
        <f t="shared" si="96"/>
        <v>0</v>
      </c>
      <c r="BM321" s="328">
        <f t="shared" si="97"/>
        <v>0</v>
      </c>
      <c r="BN321" s="324">
        <f t="shared" si="98"/>
        <v>0</v>
      </c>
      <c r="BO321" s="325">
        <f t="shared" si="99"/>
        <v>0</v>
      </c>
      <c r="BP321" s="326">
        <f t="shared" si="100"/>
        <v>0</v>
      </c>
      <c r="BQ321" s="327">
        <f t="shared" si="101"/>
        <v>0</v>
      </c>
      <c r="BR321" s="329"/>
      <c r="BS321" s="329"/>
      <c r="BT321" s="322"/>
      <c r="BU321" s="408"/>
      <c r="BV321" s="307"/>
      <c r="BW321" s="408"/>
      <c r="BX321" s="322"/>
      <c r="BY321" s="408"/>
      <c r="BZ321" s="307"/>
      <c r="CA321" s="408"/>
      <c r="CB321" s="322"/>
      <c r="CC321" s="408"/>
      <c r="CD321" s="307"/>
      <c r="CE321" s="408"/>
      <c r="CF321" s="322"/>
      <c r="CG321" s="408"/>
      <c r="CH321" s="307"/>
      <c r="CI321" s="408"/>
      <c r="CJ321" s="322"/>
      <c r="CK321" s="408"/>
      <c r="CL321" s="307"/>
      <c r="CM321" s="408"/>
      <c r="CN321" s="322"/>
      <c r="CO321" s="408"/>
      <c r="CP321" s="307"/>
      <c r="CQ321" s="408"/>
      <c r="CR321" s="322"/>
      <c r="CS321" s="408"/>
      <c r="CT321" s="307"/>
      <c r="CU321" s="408"/>
      <c r="CV321" s="322"/>
      <c r="CW321" s="408"/>
      <c r="CX321" s="307"/>
      <c r="CY321" s="408"/>
      <c r="CZ321" s="322"/>
      <c r="DA321" s="408"/>
      <c r="DB321" s="307"/>
      <c r="DC321" s="408"/>
      <c r="DD321" s="322"/>
      <c r="DE321" s="408"/>
      <c r="DF321" s="307"/>
      <c r="DG321" s="408"/>
      <c r="DH321" s="322"/>
      <c r="DI321" s="408"/>
      <c r="DJ321" s="307"/>
      <c r="DK321" s="408"/>
      <c r="DL321" s="322"/>
      <c r="DM321" s="408"/>
      <c r="DN321" s="307"/>
      <c r="DO321" s="408"/>
      <c r="DP321" s="340"/>
      <c r="DQ321" s="328">
        <f t="shared" si="115"/>
        <v>0</v>
      </c>
      <c r="DR321" s="328">
        <f t="shared" si="116"/>
        <v>0</v>
      </c>
      <c r="DS321" s="329"/>
      <c r="DT321" s="329"/>
      <c r="DU321" s="322"/>
      <c r="DV321" s="408"/>
      <c r="DW321" s="307"/>
      <c r="DX321" s="408"/>
      <c r="DY321" s="322"/>
      <c r="DZ321" s="408"/>
      <c r="EA321" s="307"/>
      <c r="EB321" s="408"/>
      <c r="EC321" s="322"/>
      <c r="ED321" s="408"/>
      <c r="EE321" s="307"/>
      <c r="EF321" s="408"/>
      <c r="EG321" s="322"/>
      <c r="EH321" s="408"/>
      <c r="EI321" s="307"/>
      <c r="EJ321" s="408"/>
      <c r="EK321" s="322"/>
      <c r="EL321" s="408"/>
      <c r="EM321" s="307"/>
      <c r="EN321" s="408"/>
      <c r="EO321" s="322"/>
      <c r="EP321" s="408"/>
      <c r="EQ321" s="307"/>
      <c r="ER321" s="408"/>
      <c r="ES321" s="322"/>
      <c r="ET321" s="408"/>
      <c r="EU321" s="307"/>
      <c r="EV321" s="408"/>
      <c r="EW321" s="322"/>
      <c r="EX321" s="408"/>
      <c r="EY321" s="307"/>
      <c r="EZ321" s="408"/>
      <c r="FA321" s="322"/>
      <c r="FB321" s="408"/>
      <c r="FC321" s="307"/>
      <c r="FD321" s="408"/>
      <c r="FE321" s="322"/>
      <c r="FF321" s="408"/>
      <c r="FG321" s="307"/>
      <c r="FH321" s="408"/>
      <c r="FI321" s="322"/>
      <c r="FJ321" s="408"/>
      <c r="FK321" s="307"/>
      <c r="FL321" s="408"/>
      <c r="FM321" s="322"/>
      <c r="FN321" s="408"/>
      <c r="FO321" s="307"/>
      <c r="FP321" s="408"/>
      <c r="FQ321" s="340"/>
      <c r="FR321" s="328">
        <f t="shared" si="117"/>
        <v>0</v>
      </c>
      <c r="FS321" s="328">
        <f t="shared" si="118"/>
        <v>0</v>
      </c>
      <c r="FT321" s="361"/>
    </row>
    <row r="322" spans="1:176" outlineLevel="2">
      <c r="A322" s="421" t="s">
        <v>471</v>
      </c>
      <c r="B322" s="389" t="s">
        <v>82</v>
      </c>
      <c r="C322" s="311" t="s">
        <v>72</v>
      </c>
      <c r="D322" s="399" t="s">
        <v>32</v>
      </c>
      <c r="E322" s="414">
        <f>IF(ISBLANK(G322),"",IF($A$6:$A$330=$A322,COUNTIF($A$6:A322,$A322),""))</f>
        <v>57</v>
      </c>
      <c r="F322" s="318">
        <v>1</v>
      </c>
      <c r="G322" s="403">
        <v>9630010510</v>
      </c>
      <c r="H322" s="613" t="s">
        <v>91</v>
      </c>
      <c r="I322" s="619">
        <v>0</v>
      </c>
      <c r="J322" s="619"/>
      <c r="K322" s="321"/>
      <c r="L322" s="619" t="str">
        <f t="shared" si="114"/>
        <v/>
      </c>
      <c r="M322" s="305"/>
      <c r="N322" s="305">
        <f t="shared" si="95"/>
        <v>0</v>
      </c>
      <c r="O322" s="322">
        <v>0</v>
      </c>
      <c r="P322" s="408"/>
      <c r="Q322" s="307"/>
      <c r="R322" s="408"/>
      <c r="S322" s="322">
        <v>0</v>
      </c>
      <c r="T322" s="408">
        <f>SUMPRODUCT((Комплекты[Пр]=$F322)*(Комплекты[Обозначение]=$G322)*Комплекты[Кол-во]*(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0</v>
      </c>
      <c r="U322" s="307">
        <f>SUMPRODUCT((Комплекты[Пр]=$F322)*(Комплекты[Обозначение]=$G322)*Комплекты[Кол-во]*(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0</v>
      </c>
      <c r="V322" s="408"/>
      <c r="W322" s="322">
        <v>0</v>
      </c>
      <c r="X322" s="408">
        <f>SUMPRODUCT((Комплекты[Пр]=$F322)*(Комплекты[Обозначение]=$G322)*Комплекты[Кол-во]*(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0</v>
      </c>
      <c r="Y322" s="307">
        <f>SUMPRODUCT((Комплекты[Пр]=$F322)*(Комплекты[Обозначение]=$G322)*Комплекты[Кол-во]*(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0</v>
      </c>
      <c r="Z322" s="408"/>
      <c r="AA322" s="322">
        <v>0</v>
      </c>
      <c r="AB322" s="408">
        <f>SUMPRODUCT((Комплекты[Пр]=$F322)*(Комплекты[Обозначение]=$G322)*Комплекты[Кол-во]*(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0</v>
      </c>
      <c r="AC322" s="307"/>
      <c r="AD322" s="408"/>
      <c r="AE322" s="322">
        <v>0</v>
      </c>
      <c r="AF322" s="408">
        <f>SUMPRODUCT((Комплекты[Пр]=$F322)*(Комплекты[Обозначение]=$G322)*Комплекты[Кол-во]*(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22" s="307">
        <f>SUMPRODUCT((Комплекты[Пр]=$F322)*(Комплекты[Обозначение]=$G322)*Комплекты[Кол-во]*(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22" s="408"/>
      <c r="AI322" s="322">
        <v>0</v>
      </c>
      <c r="AJ322" s="408">
        <f>SUMPRODUCT((Комплекты[Пр]=$F322)*(Комплекты[Обозначение]=$G322)*Комплекты[Кол-во]*(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0</v>
      </c>
      <c r="AK322" s="307"/>
      <c r="AL322" s="408"/>
      <c r="AM322" s="322">
        <v>0</v>
      </c>
      <c r="AN322" s="408">
        <f>SUMPRODUCT((Комплекты[Пр]=$F322)*(Комплекты[Обозначение]=$G322)*Комплекты[Кол-во]*(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0</v>
      </c>
      <c r="AO322" s="307"/>
      <c r="AP322" s="408"/>
      <c r="AQ322" s="322">
        <v>0</v>
      </c>
      <c r="AR322" s="408">
        <f>SUMPRODUCT((Комплекты[Пр]=$F322)*(Комплекты[Обозначение]=$G322)*Комплекты[Кол-во]*(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0</v>
      </c>
      <c r="AS322" s="307"/>
      <c r="AT322" s="408"/>
      <c r="AU322" s="322">
        <v>0</v>
      </c>
      <c r="AV322" s="408">
        <f>SUMPRODUCT((Комплекты[Пр]=$F322)*(Комплекты[Обозначение]=$G322)*Комплекты[Кол-во]*(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0</v>
      </c>
      <c r="AW322" s="307"/>
      <c r="AX322" s="408"/>
      <c r="AY322" s="322">
        <v>0</v>
      </c>
      <c r="AZ322" s="408">
        <f>SUMPRODUCT((Комплекты[Пр]=$F322)*(Комплекты[Обозначение]=$G322)*Комплекты[Кол-во]*(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0</v>
      </c>
      <c r="BA322" s="307"/>
      <c r="BB322" s="408"/>
      <c r="BC322" s="322">
        <v>0</v>
      </c>
      <c r="BD322" s="408">
        <f>SUMPRODUCT((Комплекты[Пр]=$F322)*(Комплекты[Обозначение]=$G322)*Комплекты[Кол-во]*(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0</v>
      </c>
      <c r="BE322" s="307"/>
      <c r="BF322" s="408"/>
      <c r="BG322" s="322">
        <v>0</v>
      </c>
      <c r="BH322" s="408">
        <f>SUMPRODUCT((Комплекты[Пр]=$F322)*(Комплекты[Обозначение]=$G322)*Комплекты[Кол-во]*(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0</v>
      </c>
      <c r="BI322" s="307"/>
      <c r="BJ322" s="408"/>
      <c r="BK322" s="340"/>
      <c r="BL322" s="328">
        <f t="shared" si="96"/>
        <v>0</v>
      </c>
      <c r="BM322" s="328">
        <f t="shared" si="97"/>
        <v>0</v>
      </c>
      <c r="BN322" s="324">
        <f t="shared" si="98"/>
        <v>0</v>
      </c>
      <c r="BO322" s="325">
        <f t="shared" si="99"/>
        <v>0</v>
      </c>
      <c r="BP322" s="326">
        <f t="shared" si="100"/>
        <v>0</v>
      </c>
      <c r="BQ322" s="327">
        <f t="shared" si="101"/>
        <v>0</v>
      </c>
      <c r="BR322" s="329"/>
      <c r="BS322" s="329"/>
      <c r="BT322" s="322"/>
      <c r="BU322" s="408"/>
      <c r="BV322" s="307"/>
      <c r="BW322" s="408"/>
      <c r="BX322" s="322"/>
      <c r="BY322" s="408"/>
      <c r="BZ322" s="307"/>
      <c r="CA322" s="408"/>
      <c r="CB322" s="322"/>
      <c r="CC322" s="408"/>
      <c r="CD322" s="307"/>
      <c r="CE322" s="408"/>
      <c r="CF322" s="322"/>
      <c r="CG322" s="408"/>
      <c r="CH322" s="307"/>
      <c r="CI322" s="408"/>
      <c r="CJ322" s="322"/>
      <c r="CK322" s="408"/>
      <c r="CL322" s="307"/>
      <c r="CM322" s="408"/>
      <c r="CN322" s="322"/>
      <c r="CO322" s="408"/>
      <c r="CP322" s="307"/>
      <c r="CQ322" s="408"/>
      <c r="CR322" s="322"/>
      <c r="CS322" s="408"/>
      <c r="CT322" s="307"/>
      <c r="CU322" s="408"/>
      <c r="CV322" s="322"/>
      <c r="CW322" s="408"/>
      <c r="CX322" s="307"/>
      <c r="CY322" s="408"/>
      <c r="CZ322" s="322"/>
      <c r="DA322" s="408"/>
      <c r="DB322" s="307"/>
      <c r="DC322" s="408"/>
      <c r="DD322" s="322"/>
      <c r="DE322" s="408"/>
      <c r="DF322" s="307"/>
      <c r="DG322" s="408"/>
      <c r="DH322" s="322"/>
      <c r="DI322" s="408"/>
      <c r="DJ322" s="307"/>
      <c r="DK322" s="408"/>
      <c r="DL322" s="322"/>
      <c r="DM322" s="408"/>
      <c r="DN322" s="307"/>
      <c r="DO322" s="408"/>
      <c r="DP322" s="340"/>
      <c r="DQ322" s="328">
        <f t="shared" si="115"/>
        <v>0</v>
      </c>
      <c r="DR322" s="328">
        <f t="shared" si="116"/>
        <v>0</v>
      </c>
      <c r="DS322" s="329"/>
      <c r="DT322" s="329"/>
      <c r="DU322" s="322"/>
      <c r="DV322" s="408"/>
      <c r="DW322" s="307"/>
      <c r="DX322" s="408"/>
      <c r="DY322" s="322"/>
      <c r="DZ322" s="408"/>
      <c r="EA322" s="307"/>
      <c r="EB322" s="408"/>
      <c r="EC322" s="322"/>
      <c r="ED322" s="408"/>
      <c r="EE322" s="307"/>
      <c r="EF322" s="408"/>
      <c r="EG322" s="322"/>
      <c r="EH322" s="408"/>
      <c r="EI322" s="307"/>
      <c r="EJ322" s="408"/>
      <c r="EK322" s="322"/>
      <c r="EL322" s="408"/>
      <c r="EM322" s="307"/>
      <c r="EN322" s="408"/>
      <c r="EO322" s="322"/>
      <c r="EP322" s="408"/>
      <c r="EQ322" s="307"/>
      <c r="ER322" s="408"/>
      <c r="ES322" s="322"/>
      <c r="ET322" s="408"/>
      <c r="EU322" s="307"/>
      <c r="EV322" s="408"/>
      <c r="EW322" s="322"/>
      <c r="EX322" s="408"/>
      <c r="EY322" s="307"/>
      <c r="EZ322" s="408"/>
      <c r="FA322" s="322"/>
      <c r="FB322" s="408"/>
      <c r="FC322" s="307"/>
      <c r="FD322" s="408"/>
      <c r="FE322" s="322"/>
      <c r="FF322" s="408"/>
      <c r="FG322" s="307"/>
      <c r="FH322" s="408"/>
      <c r="FI322" s="322"/>
      <c r="FJ322" s="408"/>
      <c r="FK322" s="307"/>
      <c r="FL322" s="408"/>
      <c r="FM322" s="322"/>
      <c r="FN322" s="408"/>
      <c r="FO322" s="307"/>
      <c r="FP322" s="408"/>
      <c r="FQ322" s="340"/>
      <c r="FR322" s="328">
        <f t="shared" si="117"/>
        <v>0</v>
      </c>
      <c r="FS322" s="328">
        <f t="shared" si="118"/>
        <v>0</v>
      </c>
      <c r="FT322" s="361"/>
    </row>
    <row r="323" spans="1:176" outlineLevel="2">
      <c r="A323" s="421" t="s">
        <v>471</v>
      </c>
      <c r="B323" s="389" t="s">
        <v>82</v>
      </c>
      <c r="C323" s="311" t="s">
        <v>72</v>
      </c>
      <c r="D323" s="399" t="s">
        <v>32</v>
      </c>
      <c r="E323" s="414">
        <f>IF(ISBLANK(G323),"",IF($A$6:$A$330=$A323,COUNTIF($A$6:A323,$A323),""))</f>
        <v>58</v>
      </c>
      <c r="F323" s="318">
        <v>1</v>
      </c>
      <c r="G323" s="403">
        <v>9735000510</v>
      </c>
      <c r="H323" s="613" t="s">
        <v>359</v>
      </c>
      <c r="I323" s="619">
        <v>0</v>
      </c>
      <c r="J323" s="619"/>
      <c r="K323" s="321"/>
      <c r="L323" s="619" t="str">
        <f t="shared" si="114"/>
        <v/>
      </c>
      <c r="M323" s="305"/>
      <c r="N323" s="305">
        <f t="shared" si="95"/>
        <v>0</v>
      </c>
      <c r="O323" s="322">
        <v>0</v>
      </c>
      <c r="P323" s="408"/>
      <c r="Q323" s="307"/>
      <c r="R323" s="408"/>
      <c r="S323" s="322">
        <v>0</v>
      </c>
      <c r="T323" s="408">
        <f>SUMPRODUCT((Комплекты[Пр]=$F323)*(Комплекты[Обозначение]=$G323)*Комплекты[Кол-во]*(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0</v>
      </c>
      <c r="U323" s="307">
        <f>SUMPRODUCT((Комплекты[Пр]=$F323)*(Комплекты[Обозначение]=$G323)*Комплекты[Кол-во]*(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0</v>
      </c>
      <c r="V323" s="408"/>
      <c r="W323" s="322">
        <v>0</v>
      </c>
      <c r="X323" s="408">
        <f>SUMPRODUCT((Комплекты[Пр]=$F323)*(Комплекты[Обозначение]=$G323)*Комплекты[Кол-во]*(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0</v>
      </c>
      <c r="Y323" s="307">
        <f>SUMPRODUCT((Комплекты[Пр]=$F323)*(Комплекты[Обозначение]=$G323)*Комплекты[Кол-во]*(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0</v>
      </c>
      <c r="Z323" s="408"/>
      <c r="AA323" s="322">
        <v>0</v>
      </c>
      <c r="AB323" s="408">
        <f>SUMPRODUCT((Комплекты[Пр]=$F323)*(Комплекты[Обозначение]=$G323)*Комплекты[Кол-во]*(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0</v>
      </c>
      <c r="AC323" s="307"/>
      <c r="AD323" s="408"/>
      <c r="AE323" s="322">
        <v>0</v>
      </c>
      <c r="AF323" s="408">
        <f>SUMPRODUCT((Комплекты[Пр]=$F323)*(Комплекты[Обозначение]=$G323)*Комплекты[Кол-во]*(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23" s="307">
        <f>SUMPRODUCT((Комплекты[Пр]=$F323)*(Комплекты[Обозначение]=$G323)*Комплекты[Кол-во]*(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23" s="408"/>
      <c r="AI323" s="322">
        <v>0</v>
      </c>
      <c r="AJ323" s="408">
        <f>SUMPRODUCT((Комплекты[Пр]=$F323)*(Комплекты[Обозначение]=$G323)*Комплекты[Кол-во]*(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0</v>
      </c>
      <c r="AK323" s="307"/>
      <c r="AL323" s="408"/>
      <c r="AM323" s="322">
        <v>0</v>
      </c>
      <c r="AN323" s="408">
        <f>SUMPRODUCT((Комплекты[Пр]=$F323)*(Комплекты[Обозначение]=$G323)*Комплекты[Кол-во]*(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0</v>
      </c>
      <c r="AO323" s="307"/>
      <c r="AP323" s="408"/>
      <c r="AQ323" s="322">
        <v>0</v>
      </c>
      <c r="AR323" s="408">
        <f>SUMPRODUCT((Комплекты[Пр]=$F323)*(Комплекты[Обозначение]=$G323)*Комплекты[Кол-во]*(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0</v>
      </c>
      <c r="AS323" s="307"/>
      <c r="AT323" s="408"/>
      <c r="AU323" s="322">
        <v>0</v>
      </c>
      <c r="AV323" s="408">
        <f>SUMPRODUCT((Комплекты[Пр]=$F323)*(Комплекты[Обозначение]=$G323)*Комплекты[Кол-во]*(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0</v>
      </c>
      <c r="AW323" s="307"/>
      <c r="AX323" s="408"/>
      <c r="AY323" s="322">
        <v>0</v>
      </c>
      <c r="AZ323" s="408">
        <f>SUMPRODUCT((Комплекты[Пр]=$F323)*(Комплекты[Обозначение]=$G323)*Комплекты[Кол-во]*(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0</v>
      </c>
      <c r="BA323" s="307"/>
      <c r="BB323" s="408"/>
      <c r="BC323" s="322">
        <v>0</v>
      </c>
      <c r="BD323" s="408">
        <f>SUMPRODUCT((Комплекты[Пр]=$F323)*(Комплекты[Обозначение]=$G323)*Комплекты[Кол-во]*(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0</v>
      </c>
      <c r="BE323" s="307"/>
      <c r="BF323" s="408"/>
      <c r="BG323" s="322">
        <v>0</v>
      </c>
      <c r="BH323" s="408">
        <f>SUMPRODUCT((Комплекты[Пр]=$F323)*(Комплекты[Обозначение]=$G323)*Комплекты[Кол-во]*(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0</v>
      </c>
      <c r="BI323" s="307"/>
      <c r="BJ323" s="408"/>
      <c r="BK323" s="340"/>
      <c r="BL323" s="328">
        <f t="shared" si="96"/>
        <v>0</v>
      </c>
      <c r="BM323" s="328">
        <f t="shared" si="97"/>
        <v>0</v>
      </c>
      <c r="BN323" s="324">
        <f t="shared" si="98"/>
        <v>0</v>
      </c>
      <c r="BO323" s="325">
        <f t="shared" si="99"/>
        <v>0</v>
      </c>
      <c r="BP323" s="326">
        <f t="shared" si="100"/>
        <v>0</v>
      </c>
      <c r="BQ323" s="327">
        <f t="shared" si="101"/>
        <v>0</v>
      </c>
      <c r="BR323" s="329"/>
      <c r="BS323" s="329"/>
      <c r="BT323" s="322"/>
      <c r="BU323" s="408"/>
      <c r="BV323" s="307"/>
      <c r="BW323" s="408"/>
      <c r="BX323" s="322"/>
      <c r="BY323" s="408"/>
      <c r="BZ323" s="307"/>
      <c r="CA323" s="408"/>
      <c r="CB323" s="322"/>
      <c r="CC323" s="408"/>
      <c r="CD323" s="307"/>
      <c r="CE323" s="408"/>
      <c r="CF323" s="322"/>
      <c r="CG323" s="408"/>
      <c r="CH323" s="307"/>
      <c r="CI323" s="408"/>
      <c r="CJ323" s="322"/>
      <c r="CK323" s="408"/>
      <c r="CL323" s="307"/>
      <c r="CM323" s="408"/>
      <c r="CN323" s="322"/>
      <c r="CO323" s="408"/>
      <c r="CP323" s="307"/>
      <c r="CQ323" s="408"/>
      <c r="CR323" s="322"/>
      <c r="CS323" s="408"/>
      <c r="CT323" s="307"/>
      <c r="CU323" s="408"/>
      <c r="CV323" s="322"/>
      <c r="CW323" s="408"/>
      <c r="CX323" s="307"/>
      <c r="CY323" s="408"/>
      <c r="CZ323" s="322"/>
      <c r="DA323" s="408"/>
      <c r="DB323" s="307"/>
      <c r="DC323" s="408"/>
      <c r="DD323" s="322"/>
      <c r="DE323" s="408"/>
      <c r="DF323" s="307"/>
      <c r="DG323" s="408"/>
      <c r="DH323" s="322"/>
      <c r="DI323" s="408"/>
      <c r="DJ323" s="307"/>
      <c r="DK323" s="408"/>
      <c r="DL323" s="322"/>
      <c r="DM323" s="408"/>
      <c r="DN323" s="307"/>
      <c r="DO323" s="408"/>
      <c r="DP323" s="340"/>
      <c r="DQ323" s="328">
        <f t="shared" si="115"/>
        <v>0</v>
      </c>
      <c r="DR323" s="328">
        <f t="shared" si="116"/>
        <v>0</v>
      </c>
      <c r="DS323" s="329"/>
      <c r="DT323" s="329"/>
      <c r="DU323" s="322"/>
      <c r="DV323" s="408"/>
      <c r="DW323" s="307"/>
      <c r="DX323" s="408"/>
      <c r="DY323" s="322"/>
      <c r="DZ323" s="408"/>
      <c r="EA323" s="307"/>
      <c r="EB323" s="408"/>
      <c r="EC323" s="322"/>
      <c r="ED323" s="408"/>
      <c r="EE323" s="307"/>
      <c r="EF323" s="408"/>
      <c r="EG323" s="322"/>
      <c r="EH323" s="408"/>
      <c r="EI323" s="307"/>
      <c r="EJ323" s="408"/>
      <c r="EK323" s="322"/>
      <c r="EL323" s="408"/>
      <c r="EM323" s="307"/>
      <c r="EN323" s="408"/>
      <c r="EO323" s="322"/>
      <c r="EP323" s="408"/>
      <c r="EQ323" s="307"/>
      <c r="ER323" s="408"/>
      <c r="ES323" s="322"/>
      <c r="ET323" s="408"/>
      <c r="EU323" s="307"/>
      <c r="EV323" s="408"/>
      <c r="EW323" s="322"/>
      <c r="EX323" s="408"/>
      <c r="EY323" s="307"/>
      <c r="EZ323" s="408"/>
      <c r="FA323" s="322"/>
      <c r="FB323" s="408"/>
      <c r="FC323" s="307"/>
      <c r="FD323" s="408"/>
      <c r="FE323" s="322"/>
      <c r="FF323" s="408"/>
      <c r="FG323" s="307"/>
      <c r="FH323" s="408"/>
      <c r="FI323" s="322"/>
      <c r="FJ323" s="408"/>
      <c r="FK323" s="307"/>
      <c r="FL323" s="408"/>
      <c r="FM323" s="322"/>
      <c r="FN323" s="408"/>
      <c r="FO323" s="307"/>
      <c r="FP323" s="408"/>
      <c r="FQ323" s="340"/>
      <c r="FR323" s="328">
        <f t="shared" si="117"/>
        <v>0</v>
      </c>
      <c r="FS323" s="328">
        <f t="shared" si="118"/>
        <v>0</v>
      </c>
      <c r="FT323" s="361"/>
    </row>
    <row r="324" spans="1:176" outlineLevel="2">
      <c r="A324" s="420" t="s">
        <v>471</v>
      </c>
      <c r="B324" s="444" t="s">
        <v>82</v>
      </c>
      <c r="C324" s="592" t="s">
        <v>72</v>
      </c>
      <c r="D324" s="586" t="s">
        <v>32</v>
      </c>
      <c r="E324" s="414">
        <f>IF(ISBLANK(G324),"",IF($A$6:$A$330=$A324,COUNTIF($A$6:A324,$A324),""))</f>
        <v>59</v>
      </c>
      <c r="F324" s="318">
        <v>1</v>
      </c>
      <c r="G324" s="403">
        <v>4802070600</v>
      </c>
      <c r="H324" s="613" t="s">
        <v>420</v>
      </c>
      <c r="I324" s="619">
        <v>0</v>
      </c>
      <c r="J324" s="619"/>
      <c r="K324" s="321"/>
      <c r="L324" s="619"/>
      <c r="M324" s="305"/>
      <c r="N324" s="305">
        <f t="shared" si="95"/>
        <v>1</v>
      </c>
      <c r="O324" s="322">
        <v>10</v>
      </c>
      <c r="P324" s="408"/>
      <c r="Q324" s="307"/>
      <c r="R324" s="408"/>
      <c r="S324" s="322">
        <v>20</v>
      </c>
      <c r="T324" s="408">
        <f>SUMPRODUCT((Комплекты[Пр]=$F324)*(Комплекты[Обозначение]=$G324)*Комплекты[Кол-во]*(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0</v>
      </c>
      <c r="U324" s="307">
        <f>SUMPRODUCT((Комплекты[Пр]=$F324)*(Комплекты[Обозначение]=$G324)*Комплекты[Кол-во]*(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0</v>
      </c>
      <c r="V324" s="408"/>
      <c r="W324" s="322">
        <v>30</v>
      </c>
      <c r="X324" s="408">
        <f>SUMPRODUCT((Комплекты[Пр]=$F324)*(Комплекты[Обозначение]=$G324)*Комплекты[Кол-во]*(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20</v>
      </c>
      <c r="Y324" s="307">
        <f>SUMPRODUCT((Комплекты[Пр]=$F324)*(Комплекты[Обозначение]=$G324)*Комплекты[Кол-во]*(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20</v>
      </c>
      <c r="Z324" s="408"/>
      <c r="AA324" s="322">
        <v>30</v>
      </c>
      <c r="AB324" s="408">
        <f>SUMPRODUCT((Комплекты[Пр]=$F324)*(Комплекты[Обозначение]=$G324)*Комплекты[Кол-во]*(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60</v>
      </c>
      <c r="AC324" s="307"/>
      <c r="AD324" s="408"/>
      <c r="AE324" s="322">
        <v>30</v>
      </c>
      <c r="AF324" s="408">
        <f>SUMPRODUCT((Комплекты[Пр]=$F324)*(Комплекты[Обозначение]=$G324)*Комплекты[Кол-во]*(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10</v>
      </c>
      <c r="AG324" s="307">
        <f>SUMPRODUCT((Комплекты[Пр]=$F324)*(Комплекты[Обозначение]=$G324)*Комплекты[Кол-во]*(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10</v>
      </c>
      <c r="AH324" s="408"/>
      <c r="AI324" s="322">
        <v>30</v>
      </c>
      <c r="AJ324" s="408">
        <f>SUMPRODUCT((Комплекты[Пр]=$F324)*(Комплекты[Обозначение]=$G324)*Комплекты[Кол-во]*(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80</v>
      </c>
      <c r="AK324" s="307"/>
      <c r="AL324" s="408"/>
      <c r="AM324" s="322">
        <v>30</v>
      </c>
      <c r="AN324" s="408">
        <f>SUMPRODUCT((Комплекты[Пр]=$F324)*(Комплекты[Обозначение]=$G324)*Комплекты[Кол-во]*(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30</v>
      </c>
      <c r="AO324" s="307"/>
      <c r="AP324" s="408"/>
      <c r="AQ324" s="322">
        <v>30</v>
      </c>
      <c r="AR324" s="408">
        <f>SUMPRODUCT((Комплекты[Пр]=$F324)*(Комплекты[Обозначение]=$G324)*Комплекты[Кол-во]*(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50</v>
      </c>
      <c r="AS324" s="307"/>
      <c r="AT324" s="408"/>
      <c r="AU324" s="322">
        <v>30</v>
      </c>
      <c r="AV324" s="408">
        <f>SUMPRODUCT((Комплекты[Пр]=$F324)*(Комплекты[Обозначение]=$G324)*Комплекты[Кол-во]*(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30</v>
      </c>
      <c r="AW324" s="307"/>
      <c r="AX324" s="408"/>
      <c r="AY324" s="322">
        <v>30</v>
      </c>
      <c r="AZ324" s="408">
        <f>SUMPRODUCT((Комплекты[Пр]=$F324)*(Комплекты[Обозначение]=$G324)*Комплекты[Кол-во]*(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30</v>
      </c>
      <c r="BA324" s="307"/>
      <c r="BB324" s="408"/>
      <c r="BC324" s="322">
        <v>30</v>
      </c>
      <c r="BD324" s="408">
        <f>SUMPRODUCT((Комплекты[Пр]=$F324)*(Комплекты[Обозначение]=$G324)*Комплекты[Кол-во]*(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30</v>
      </c>
      <c r="BE324" s="307"/>
      <c r="BF324" s="408"/>
      <c r="BG324" s="322">
        <v>30</v>
      </c>
      <c r="BH324" s="408">
        <f>SUMPRODUCT((Комплекты[Пр]=$F324)*(Комплекты[Обозначение]=$G324)*Комплекты[Кол-во]*(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30</v>
      </c>
      <c r="BI324" s="307"/>
      <c r="BJ324" s="408"/>
      <c r="BK324" s="340"/>
      <c r="BL324" s="328">
        <f t="shared" si="96"/>
        <v>330</v>
      </c>
      <c r="BM324" s="328">
        <f t="shared" si="97"/>
        <v>0</v>
      </c>
      <c r="BN324" s="324">
        <f t="shared" si="98"/>
        <v>370</v>
      </c>
      <c r="BO324" s="325">
        <f t="shared" si="99"/>
        <v>0</v>
      </c>
      <c r="BP324" s="326">
        <f t="shared" si="100"/>
        <v>30</v>
      </c>
      <c r="BQ324" s="327">
        <f t="shared" si="101"/>
        <v>0</v>
      </c>
      <c r="BR324" s="329"/>
      <c r="BS324" s="329"/>
      <c r="BT324" s="322"/>
      <c r="BU324" s="408"/>
      <c r="BV324" s="307"/>
      <c r="BW324" s="408"/>
      <c r="BX324" s="322"/>
      <c r="BY324" s="408"/>
      <c r="BZ324" s="307"/>
      <c r="CA324" s="408"/>
      <c r="CB324" s="322"/>
      <c r="CC324" s="408"/>
      <c r="CD324" s="307"/>
      <c r="CE324" s="408"/>
      <c r="CF324" s="322"/>
      <c r="CG324" s="408"/>
      <c r="CH324" s="307"/>
      <c r="CI324" s="408"/>
      <c r="CJ324" s="322"/>
      <c r="CK324" s="408"/>
      <c r="CL324" s="307"/>
      <c r="CM324" s="408"/>
      <c r="CN324" s="322"/>
      <c r="CO324" s="408"/>
      <c r="CP324" s="307"/>
      <c r="CQ324" s="408"/>
      <c r="CR324" s="322"/>
      <c r="CS324" s="408"/>
      <c r="CT324" s="307"/>
      <c r="CU324" s="408"/>
      <c r="CV324" s="322"/>
      <c r="CW324" s="408"/>
      <c r="CX324" s="307"/>
      <c r="CY324" s="408"/>
      <c r="CZ324" s="322"/>
      <c r="DA324" s="408"/>
      <c r="DB324" s="307"/>
      <c r="DC324" s="408"/>
      <c r="DD324" s="322"/>
      <c r="DE324" s="408"/>
      <c r="DF324" s="307"/>
      <c r="DG324" s="408"/>
      <c r="DH324" s="322"/>
      <c r="DI324" s="408"/>
      <c r="DJ324" s="307"/>
      <c r="DK324" s="408"/>
      <c r="DL324" s="322"/>
      <c r="DM324" s="408"/>
      <c r="DN324" s="307"/>
      <c r="DO324" s="408"/>
      <c r="DP324" s="340"/>
      <c r="DQ324" s="328"/>
      <c r="DR324" s="328">
        <f t="shared" si="116"/>
        <v>0</v>
      </c>
      <c r="DS324" s="329"/>
      <c r="DT324" s="329"/>
      <c r="DU324" s="322"/>
      <c r="DV324" s="408"/>
      <c r="DW324" s="307"/>
      <c r="DX324" s="408"/>
      <c r="DY324" s="322"/>
      <c r="DZ324" s="408"/>
      <c r="EA324" s="307"/>
      <c r="EB324" s="408"/>
      <c r="EC324" s="322"/>
      <c r="ED324" s="408"/>
      <c r="EE324" s="307"/>
      <c r="EF324" s="408"/>
      <c r="EG324" s="322"/>
      <c r="EH324" s="408"/>
      <c r="EI324" s="307"/>
      <c r="EJ324" s="408"/>
      <c r="EK324" s="322"/>
      <c r="EL324" s="408"/>
      <c r="EM324" s="307"/>
      <c r="EN324" s="408"/>
      <c r="EO324" s="322"/>
      <c r="EP324" s="408"/>
      <c r="EQ324" s="307"/>
      <c r="ER324" s="408"/>
      <c r="ES324" s="322"/>
      <c r="ET324" s="408"/>
      <c r="EU324" s="307"/>
      <c r="EV324" s="408"/>
      <c r="EW324" s="322"/>
      <c r="EX324" s="408"/>
      <c r="EY324" s="307"/>
      <c r="EZ324" s="408"/>
      <c r="FA324" s="322"/>
      <c r="FB324" s="408"/>
      <c r="FC324" s="307"/>
      <c r="FD324" s="408"/>
      <c r="FE324" s="322"/>
      <c r="FF324" s="408"/>
      <c r="FG324" s="307"/>
      <c r="FH324" s="408"/>
      <c r="FI324" s="322"/>
      <c r="FJ324" s="408"/>
      <c r="FK324" s="307"/>
      <c r="FL324" s="408"/>
      <c r="FM324" s="322"/>
      <c r="FN324" s="408"/>
      <c r="FO324" s="307"/>
      <c r="FP324" s="408"/>
      <c r="FQ324" s="340"/>
      <c r="FR324" s="328"/>
      <c r="FS324" s="328">
        <f t="shared" si="118"/>
        <v>0</v>
      </c>
      <c r="FT324" s="361"/>
    </row>
    <row r="325" spans="1:176" outlineLevel="2">
      <c r="A325" s="420" t="s">
        <v>471</v>
      </c>
      <c r="B325" s="444" t="s">
        <v>82</v>
      </c>
      <c r="C325" s="592" t="s">
        <v>72</v>
      </c>
      <c r="D325" s="586" t="s">
        <v>32</v>
      </c>
      <c r="E325" s="414">
        <f>IF(ISBLANK(G325),"",IF($A$6:$A$330=$A325,COUNTIF($A$6:A325,$A325),""))</f>
        <v>60</v>
      </c>
      <c r="F325" s="318">
        <v>1</v>
      </c>
      <c r="G325" s="403">
        <v>4494300600</v>
      </c>
      <c r="H325" s="613" t="s">
        <v>418</v>
      </c>
      <c r="I325" s="619">
        <v>0</v>
      </c>
      <c r="J325" s="619"/>
      <c r="K325" s="321"/>
      <c r="L325" s="619"/>
      <c r="M325" s="305"/>
      <c r="N325" s="305">
        <f t="shared" si="95"/>
        <v>1</v>
      </c>
      <c r="O325" s="322">
        <v>10</v>
      </c>
      <c r="P325" s="408"/>
      <c r="Q325" s="307"/>
      <c r="R325" s="408"/>
      <c r="S325" s="322">
        <v>20</v>
      </c>
      <c r="T325" s="408">
        <f>SUMPRODUCT((Комплекты[Пр]=$F325)*(Комплекты[Обозначение]=$G325)*Комплекты[Кол-во]*(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0</v>
      </c>
      <c r="U325" s="307">
        <f>SUMPRODUCT((Комплекты[Пр]=$F325)*(Комплекты[Обозначение]=$G325)*Комплекты[Кол-во]*(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0</v>
      </c>
      <c r="V325" s="408"/>
      <c r="W325" s="322">
        <v>30</v>
      </c>
      <c r="X325" s="408">
        <f>SUMPRODUCT((Комплекты[Пр]=$F325)*(Комплекты[Обозначение]=$G325)*Комплекты[Кол-во]*(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20</v>
      </c>
      <c r="Y325" s="307">
        <f>SUMPRODUCT((Комплекты[Пр]=$F325)*(Комплекты[Обозначение]=$G325)*Комплекты[Кол-во]*(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20</v>
      </c>
      <c r="Z325" s="408"/>
      <c r="AA325" s="322">
        <v>30</v>
      </c>
      <c r="AB325" s="408">
        <f>SUMPRODUCT((Комплекты[Пр]=$F325)*(Комплекты[Обозначение]=$G325)*Комплекты[Кол-во]*(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60</v>
      </c>
      <c r="AC325" s="307"/>
      <c r="AD325" s="408"/>
      <c r="AE325" s="322">
        <v>30</v>
      </c>
      <c r="AF325" s="408">
        <f>SUMPRODUCT((Комплекты[Пр]=$F325)*(Комплекты[Обозначение]=$G325)*Комплекты[Кол-во]*(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10</v>
      </c>
      <c r="AG325" s="307">
        <f>SUMPRODUCT((Комплекты[Пр]=$F325)*(Комплекты[Обозначение]=$G325)*Комплекты[Кол-во]*(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10</v>
      </c>
      <c r="AH325" s="408"/>
      <c r="AI325" s="322">
        <v>30</v>
      </c>
      <c r="AJ325" s="408">
        <f>SUMPRODUCT((Комплекты[Пр]=$F325)*(Комплекты[Обозначение]=$G325)*Комплекты[Кол-во]*(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80</v>
      </c>
      <c r="AK325" s="307"/>
      <c r="AL325" s="408"/>
      <c r="AM325" s="322">
        <v>30</v>
      </c>
      <c r="AN325" s="408">
        <f>SUMPRODUCT((Комплекты[Пр]=$F325)*(Комплекты[Обозначение]=$G325)*Комплекты[Кол-во]*(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30</v>
      </c>
      <c r="AO325" s="307"/>
      <c r="AP325" s="408"/>
      <c r="AQ325" s="322">
        <v>30</v>
      </c>
      <c r="AR325" s="408">
        <f>SUMPRODUCT((Комплекты[Пр]=$F325)*(Комплекты[Обозначение]=$G325)*Комплекты[Кол-во]*(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50</v>
      </c>
      <c r="AS325" s="307"/>
      <c r="AT325" s="408"/>
      <c r="AU325" s="322">
        <v>30</v>
      </c>
      <c r="AV325" s="408">
        <f>SUMPRODUCT((Комплекты[Пр]=$F325)*(Комплекты[Обозначение]=$G325)*Комплекты[Кол-во]*(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30</v>
      </c>
      <c r="AW325" s="307"/>
      <c r="AX325" s="408"/>
      <c r="AY325" s="322">
        <v>30</v>
      </c>
      <c r="AZ325" s="408">
        <f>SUMPRODUCT((Комплекты[Пр]=$F325)*(Комплекты[Обозначение]=$G325)*Комплекты[Кол-во]*(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30</v>
      </c>
      <c r="BA325" s="307"/>
      <c r="BB325" s="408"/>
      <c r="BC325" s="322">
        <v>30</v>
      </c>
      <c r="BD325" s="408">
        <f>SUMPRODUCT((Комплекты[Пр]=$F325)*(Комплекты[Обозначение]=$G325)*Комплекты[Кол-во]*(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30</v>
      </c>
      <c r="BE325" s="307"/>
      <c r="BF325" s="408"/>
      <c r="BG325" s="322">
        <v>30</v>
      </c>
      <c r="BH325" s="408">
        <f>SUMPRODUCT((Комплекты[Пр]=$F325)*(Комплекты[Обозначение]=$G325)*Комплекты[Кол-во]*(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30</v>
      </c>
      <c r="BI325" s="307"/>
      <c r="BJ325" s="408"/>
      <c r="BK325" s="340"/>
      <c r="BL325" s="328">
        <f t="shared" si="96"/>
        <v>330</v>
      </c>
      <c r="BM325" s="328">
        <f t="shared" si="97"/>
        <v>0</v>
      </c>
      <c r="BN325" s="324">
        <f t="shared" si="98"/>
        <v>370</v>
      </c>
      <c r="BO325" s="325">
        <f t="shared" si="99"/>
        <v>0</v>
      </c>
      <c r="BP325" s="326">
        <f t="shared" si="100"/>
        <v>30</v>
      </c>
      <c r="BQ325" s="327">
        <f t="shared" si="101"/>
        <v>0</v>
      </c>
      <c r="BR325" s="329"/>
      <c r="BS325" s="329"/>
      <c r="BT325" s="322"/>
      <c r="BU325" s="408"/>
      <c r="BV325" s="307"/>
      <c r="BW325" s="408"/>
      <c r="BX325" s="322"/>
      <c r="BY325" s="408"/>
      <c r="BZ325" s="307"/>
      <c r="CA325" s="408"/>
      <c r="CB325" s="322"/>
      <c r="CC325" s="408"/>
      <c r="CD325" s="307"/>
      <c r="CE325" s="408"/>
      <c r="CF325" s="322"/>
      <c r="CG325" s="408"/>
      <c r="CH325" s="307"/>
      <c r="CI325" s="408"/>
      <c r="CJ325" s="322"/>
      <c r="CK325" s="408"/>
      <c r="CL325" s="307"/>
      <c r="CM325" s="408"/>
      <c r="CN325" s="322"/>
      <c r="CO325" s="408"/>
      <c r="CP325" s="307"/>
      <c r="CQ325" s="408"/>
      <c r="CR325" s="322"/>
      <c r="CS325" s="408"/>
      <c r="CT325" s="307"/>
      <c r="CU325" s="408"/>
      <c r="CV325" s="322"/>
      <c r="CW325" s="408"/>
      <c r="CX325" s="307"/>
      <c r="CY325" s="408"/>
      <c r="CZ325" s="322"/>
      <c r="DA325" s="408"/>
      <c r="DB325" s="307"/>
      <c r="DC325" s="408"/>
      <c r="DD325" s="322"/>
      <c r="DE325" s="408"/>
      <c r="DF325" s="307"/>
      <c r="DG325" s="408"/>
      <c r="DH325" s="322"/>
      <c r="DI325" s="408"/>
      <c r="DJ325" s="307"/>
      <c r="DK325" s="408"/>
      <c r="DL325" s="322"/>
      <c r="DM325" s="408"/>
      <c r="DN325" s="307"/>
      <c r="DO325" s="408"/>
      <c r="DP325" s="340"/>
      <c r="DQ325" s="328"/>
      <c r="DR325" s="328">
        <f t="shared" si="116"/>
        <v>0</v>
      </c>
      <c r="DS325" s="329"/>
      <c r="DT325" s="329"/>
      <c r="DU325" s="322"/>
      <c r="DV325" s="408"/>
      <c r="DW325" s="307"/>
      <c r="DX325" s="408"/>
      <c r="DY325" s="322"/>
      <c r="DZ325" s="408"/>
      <c r="EA325" s="307"/>
      <c r="EB325" s="408"/>
      <c r="EC325" s="322"/>
      <c r="ED325" s="408"/>
      <c r="EE325" s="307"/>
      <c r="EF325" s="408"/>
      <c r="EG325" s="322"/>
      <c r="EH325" s="408"/>
      <c r="EI325" s="307"/>
      <c r="EJ325" s="408"/>
      <c r="EK325" s="322"/>
      <c r="EL325" s="408"/>
      <c r="EM325" s="307"/>
      <c r="EN325" s="408"/>
      <c r="EO325" s="322"/>
      <c r="EP325" s="408"/>
      <c r="EQ325" s="307"/>
      <c r="ER325" s="408"/>
      <c r="ES325" s="322"/>
      <c r="ET325" s="408"/>
      <c r="EU325" s="307"/>
      <c r="EV325" s="408"/>
      <c r="EW325" s="322"/>
      <c r="EX325" s="408"/>
      <c r="EY325" s="307"/>
      <c r="EZ325" s="408"/>
      <c r="FA325" s="322"/>
      <c r="FB325" s="408"/>
      <c r="FC325" s="307"/>
      <c r="FD325" s="408"/>
      <c r="FE325" s="322"/>
      <c r="FF325" s="408"/>
      <c r="FG325" s="307"/>
      <c r="FH325" s="408"/>
      <c r="FI325" s="322"/>
      <c r="FJ325" s="408"/>
      <c r="FK325" s="307"/>
      <c r="FL325" s="408"/>
      <c r="FM325" s="322"/>
      <c r="FN325" s="408"/>
      <c r="FO325" s="307"/>
      <c r="FP325" s="408"/>
      <c r="FQ325" s="340"/>
      <c r="FR325" s="328"/>
      <c r="FS325" s="328">
        <f t="shared" si="118"/>
        <v>0</v>
      </c>
      <c r="FT325" s="361"/>
    </row>
    <row r="326" spans="1:176" outlineLevel="2">
      <c r="A326" s="420" t="s">
        <v>471</v>
      </c>
      <c r="B326" s="444" t="s">
        <v>82</v>
      </c>
      <c r="C326" s="592" t="s">
        <v>72</v>
      </c>
      <c r="D326" s="586" t="s">
        <v>32</v>
      </c>
      <c r="E326" s="414">
        <f>IF(ISBLANK(G326),"",IF($A$6:$A$330=$A326,COUNTIF($A$6:A326,$A326),""))</f>
        <v>61</v>
      </c>
      <c r="F326" s="318">
        <v>1</v>
      </c>
      <c r="G326" s="403">
        <v>4497230800</v>
      </c>
      <c r="H326" s="613" t="s">
        <v>141</v>
      </c>
      <c r="I326" s="619">
        <v>0</v>
      </c>
      <c r="J326" s="619"/>
      <c r="K326" s="321"/>
      <c r="L326" s="619"/>
      <c r="M326" s="305"/>
      <c r="N326" s="305">
        <f t="shared" si="95"/>
        <v>1</v>
      </c>
      <c r="O326" s="322">
        <v>20</v>
      </c>
      <c r="P326" s="408"/>
      <c r="Q326" s="307"/>
      <c r="R326" s="408"/>
      <c r="S326" s="322">
        <v>40</v>
      </c>
      <c r="T326" s="408">
        <f>SUMPRODUCT((Комплекты[Пр]=$F326)*(Комплекты[Обозначение]=$G326)*Комплекты[Кол-во]*(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0</v>
      </c>
      <c r="U326" s="307">
        <f>SUMPRODUCT((Комплекты[Пр]=$F326)*(Комплекты[Обозначение]=$G326)*Комплекты[Кол-во]*(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0</v>
      </c>
      <c r="V326" s="408"/>
      <c r="W326" s="322">
        <v>60</v>
      </c>
      <c r="X326" s="408">
        <f>SUMPRODUCT((Комплекты[Пр]=$F326)*(Комплекты[Обозначение]=$G326)*Комплекты[Кол-во]*(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0</v>
      </c>
      <c r="Y326" s="307">
        <f>SUMPRODUCT((Комплекты[Пр]=$F326)*(Комплекты[Обозначение]=$G326)*Комплекты[Кол-во]*(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0</v>
      </c>
      <c r="Z326" s="408"/>
      <c r="AA326" s="322">
        <v>60</v>
      </c>
      <c r="AB326" s="408">
        <f>SUMPRODUCT((Комплекты[Пр]=$F326)*(Комплекты[Обозначение]=$G326)*Комплекты[Кол-во]*(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0</v>
      </c>
      <c r="AC326" s="307"/>
      <c r="AD326" s="408"/>
      <c r="AE326" s="322">
        <v>60</v>
      </c>
      <c r="AF326" s="408">
        <f>SUMPRODUCT((Комплекты[Пр]=$F326)*(Комплекты[Обозначение]=$G326)*Комплекты[Кол-во]*(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20</v>
      </c>
      <c r="AG326" s="307">
        <f>SUMPRODUCT((Комплекты[Пр]=$F326)*(Комплекты[Обозначение]=$G326)*Комплекты[Кол-во]*(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20</v>
      </c>
      <c r="AH326" s="408"/>
      <c r="AI326" s="322">
        <v>60</v>
      </c>
      <c r="AJ326" s="408">
        <f>SUMPRODUCT((Комплекты[Пр]=$F326)*(Комплекты[Обозначение]=$G326)*Комплекты[Кол-во]*(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40</v>
      </c>
      <c r="AK326" s="307"/>
      <c r="AL326" s="408"/>
      <c r="AM326" s="322">
        <v>60</v>
      </c>
      <c r="AN326" s="408">
        <f>SUMPRODUCT((Комплекты[Пр]=$F326)*(Комплекты[Обозначение]=$G326)*Комплекты[Кол-во]*(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60</v>
      </c>
      <c r="AO326" s="307"/>
      <c r="AP326" s="408"/>
      <c r="AQ326" s="322">
        <v>60</v>
      </c>
      <c r="AR326" s="408">
        <f>SUMPRODUCT((Комплекты[Пр]=$F326)*(Комплекты[Обозначение]=$G326)*Комплекты[Кол-во]*(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100</v>
      </c>
      <c r="AS326" s="307"/>
      <c r="AT326" s="408"/>
      <c r="AU326" s="322">
        <v>60</v>
      </c>
      <c r="AV326" s="408">
        <f>SUMPRODUCT((Комплекты[Пр]=$F326)*(Комплекты[Обозначение]=$G326)*Комплекты[Кол-во]*(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60</v>
      </c>
      <c r="AW326" s="307"/>
      <c r="AX326" s="408"/>
      <c r="AY326" s="322">
        <v>60</v>
      </c>
      <c r="AZ326" s="408">
        <f>SUMPRODUCT((Комплекты[Пр]=$F326)*(Комплекты[Обозначение]=$G326)*Комплекты[Кол-во]*(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60</v>
      </c>
      <c r="BA326" s="307"/>
      <c r="BB326" s="408"/>
      <c r="BC326" s="322">
        <v>60</v>
      </c>
      <c r="BD326" s="408">
        <f>SUMPRODUCT((Комплекты[Пр]=$F326)*(Комплекты[Обозначение]=$G326)*Комплекты[Кол-во]*(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60</v>
      </c>
      <c r="BE326" s="307"/>
      <c r="BF326" s="408"/>
      <c r="BG326" s="322">
        <v>60</v>
      </c>
      <c r="BH326" s="408">
        <f>SUMPRODUCT((Комплекты[Пр]=$F326)*(Комплекты[Обозначение]=$G326)*Комплекты[Кол-во]*(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60</v>
      </c>
      <c r="BI326" s="307"/>
      <c r="BJ326" s="408"/>
      <c r="BK326" s="340"/>
      <c r="BL326" s="328">
        <f t="shared" si="96"/>
        <v>660</v>
      </c>
      <c r="BM326" s="328">
        <f t="shared" si="97"/>
        <v>0</v>
      </c>
      <c r="BN326" s="324">
        <f t="shared" si="98"/>
        <v>460</v>
      </c>
      <c r="BO326" s="325">
        <f t="shared" si="99"/>
        <v>0</v>
      </c>
      <c r="BP326" s="326">
        <f t="shared" si="100"/>
        <v>20</v>
      </c>
      <c r="BQ326" s="327">
        <f t="shared" si="101"/>
        <v>0</v>
      </c>
      <c r="BR326" s="329"/>
      <c r="BS326" s="329"/>
      <c r="BT326" s="322"/>
      <c r="BU326" s="408"/>
      <c r="BV326" s="307"/>
      <c r="BW326" s="408"/>
      <c r="BX326" s="322"/>
      <c r="BY326" s="408"/>
      <c r="BZ326" s="307"/>
      <c r="CA326" s="408"/>
      <c r="CB326" s="322"/>
      <c r="CC326" s="408"/>
      <c r="CD326" s="307"/>
      <c r="CE326" s="408"/>
      <c r="CF326" s="322"/>
      <c r="CG326" s="408"/>
      <c r="CH326" s="307"/>
      <c r="CI326" s="408"/>
      <c r="CJ326" s="322"/>
      <c r="CK326" s="408"/>
      <c r="CL326" s="307"/>
      <c r="CM326" s="408"/>
      <c r="CN326" s="322"/>
      <c r="CO326" s="408"/>
      <c r="CP326" s="307"/>
      <c r="CQ326" s="408"/>
      <c r="CR326" s="322"/>
      <c r="CS326" s="408"/>
      <c r="CT326" s="307"/>
      <c r="CU326" s="408"/>
      <c r="CV326" s="322"/>
      <c r="CW326" s="408"/>
      <c r="CX326" s="307"/>
      <c r="CY326" s="408"/>
      <c r="CZ326" s="322"/>
      <c r="DA326" s="408"/>
      <c r="DB326" s="307"/>
      <c r="DC326" s="408"/>
      <c r="DD326" s="322"/>
      <c r="DE326" s="408"/>
      <c r="DF326" s="307"/>
      <c r="DG326" s="408"/>
      <c r="DH326" s="322"/>
      <c r="DI326" s="408"/>
      <c r="DJ326" s="307"/>
      <c r="DK326" s="408"/>
      <c r="DL326" s="322"/>
      <c r="DM326" s="408"/>
      <c r="DN326" s="307"/>
      <c r="DO326" s="408"/>
      <c r="DP326" s="340"/>
      <c r="DQ326" s="328"/>
      <c r="DR326" s="328">
        <f t="shared" si="116"/>
        <v>0</v>
      </c>
      <c r="DS326" s="329"/>
      <c r="DT326" s="329"/>
      <c r="DU326" s="322"/>
      <c r="DV326" s="408"/>
      <c r="DW326" s="307"/>
      <c r="DX326" s="408"/>
      <c r="DY326" s="322"/>
      <c r="DZ326" s="408"/>
      <c r="EA326" s="307"/>
      <c r="EB326" s="408"/>
      <c r="EC326" s="322"/>
      <c r="ED326" s="408"/>
      <c r="EE326" s="307"/>
      <c r="EF326" s="408"/>
      <c r="EG326" s="322"/>
      <c r="EH326" s="408"/>
      <c r="EI326" s="307"/>
      <c r="EJ326" s="408"/>
      <c r="EK326" s="322"/>
      <c r="EL326" s="408"/>
      <c r="EM326" s="307"/>
      <c r="EN326" s="408"/>
      <c r="EO326" s="322"/>
      <c r="EP326" s="408"/>
      <c r="EQ326" s="307"/>
      <c r="ER326" s="408"/>
      <c r="ES326" s="322"/>
      <c r="ET326" s="408"/>
      <c r="EU326" s="307"/>
      <c r="EV326" s="408"/>
      <c r="EW326" s="322"/>
      <c r="EX326" s="408"/>
      <c r="EY326" s="307"/>
      <c r="EZ326" s="408"/>
      <c r="FA326" s="322"/>
      <c r="FB326" s="408"/>
      <c r="FC326" s="307"/>
      <c r="FD326" s="408"/>
      <c r="FE326" s="322"/>
      <c r="FF326" s="408"/>
      <c r="FG326" s="307"/>
      <c r="FH326" s="408"/>
      <c r="FI326" s="322"/>
      <c r="FJ326" s="408"/>
      <c r="FK326" s="307"/>
      <c r="FL326" s="408"/>
      <c r="FM326" s="322"/>
      <c r="FN326" s="408"/>
      <c r="FO326" s="307"/>
      <c r="FP326" s="408"/>
      <c r="FQ326" s="340"/>
      <c r="FR326" s="328"/>
      <c r="FS326" s="328">
        <f t="shared" si="118"/>
        <v>0</v>
      </c>
      <c r="FT326" s="361"/>
    </row>
    <row r="327" spans="1:176" outlineLevel="2">
      <c r="A327" s="420" t="s">
        <v>471</v>
      </c>
      <c r="B327" s="444" t="s">
        <v>82</v>
      </c>
      <c r="C327" s="592" t="s">
        <v>72</v>
      </c>
      <c r="D327" s="586" t="s">
        <v>32</v>
      </c>
      <c r="E327" s="414">
        <f>IF(ISBLANK(G327),"",IF($A$6:$A$330=$A327,COUNTIF($A$6:A327,$A327),""))</f>
        <v>62</v>
      </c>
      <c r="F327" s="318">
        <v>1</v>
      </c>
      <c r="G327" s="403">
        <v>4496161560</v>
      </c>
      <c r="H327" s="613" t="s">
        <v>103</v>
      </c>
      <c r="I327" s="619">
        <v>0</v>
      </c>
      <c r="J327" s="619"/>
      <c r="K327" s="321"/>
      <c r="L327" s="619"/>
      <c r="M327" s="305"/>
      <c r="N327" s="305">
        <f t="shared" si="95"/>
        <v>1</v>
      </c>
      <c r="O327" s="322">
        <v>0</v>
      </c>
      <c r="P327" s="408"/>
      <c r="Q327" s="307"/>
      <c r="R327" s="408"/>
      <c r="S327" s="322">
        <v>0</v>
      </c>
      <c r="T327" s="408">
        <f>SUMPRODUCT((Комплекты[Пр]=$F327)*(Комплекты[Обозначение]=$G327)*Комплекты[Кол-во]*(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10</v>
      </c>
      <c r="U327" s="307">
        <f>SUMPRODUCT((Комплекты[Пр]=$F327)*(Комплекты[Обозначение]=$G327)*Комплекты[Кол-во]*(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10</v>
      </c>
      <c r="V327" s="408"/>
      <c r="W327" s="322">
        <v>0</v>
      </c>
      <c r="X327" s="408">
        <f>SUMPRODUCT((Комплекты[Пр]=$F327)*(Комплекты[Обозначение]=$G327)*Комплекты[Кол-во]*(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0</v>
      </c>
      <c r="Y327" s="307">
        <f>SUMPRODUCT((Комплекты[Пр]=$F327)*(Комплекты[Обозначение]=$G327)*Комплекты[Кол-во]*(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0</v>
      </c>
      <c r="Z327" s="408"/>
      <c r="AA327" s="322">
        <v>0</v>
      </c>
      <c r="AB327" s="408">
        <f>SUMPRODUCT((Комплекты[Пр]=$F327)*(Комплекты[Обозначение]=$G327)*Комплекты[Кол-во]*(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0</v>
      </c>
      <c r="AC327" s="307"/>
      <c r="AD327" s="408"/>
      <c r="AE327" s="322">
        <v>0</v>
      </c>
      <c r="AF327" s="408">
        <f>SUMPRODUCT((Комплекты[Пр]=$F327)*(Комплекты[Обозначение]=$G327)*Комплекты[Кол-во]*(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27" s="307">
        <f>SUMPRODUCT((Комплекты[Пр]=$F327)*(Комплекты[Обозначение]=$G327)*Комплекты[Кол-во]*(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27" s="408"/>
      <c r="AI327" s="322">
        <v>0</v>
      </c>
      <c r="AJ327" s="408">
        <f>SUMPRODUCT((Комплекты[Пр]=$F327)*(Комплекты[Обозначение]=$G327)*Комплекты[Кол-во]*(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0</v>
      </c>
      <c r="AK327" s="307"/>
      <c r="AL327" s="408"/>
      <c r="AM327" s="322">
        <v>0</v>
      </c>
      <c r="AN327" s="408">
        <f>SUMPRODUCT((Комплекты[Пр]=$F327)*(Комплекты[Обозначение]=$G327)*Комплекты[Кол-во]*(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0</v>
      </c>
      <c r="AO327" s="307"/>
      <c r="AP327" s="408"/>
      <c r="AQ327" s="322">
        <v>0</v>
      </c>
      <c r="AR327" s="408">
        <f>SUMPRODUCT((Комплекты[Пр]=$F327)*(Комплекты[Обозначение]=$G327)*Комплекты[Кол-во]*(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0</v>
      </c>
      <c r="AS327" s="307"/>
      <c r="AT327" s="408"/>
      <c r="AU327" s="322">
        <v>0</v>
      </c>
      <c r="AV327" s="408">
        <f>SUMPRODUCT((Комплекты[Пр]=$F327)*(Комплекты[Обозначение]=$G327)*Комплекты[Кол-во]*(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0</v>
      </c>
      <c r="AW327" s="307"/>
      <c r="AX327" s="408"/>
      <c r="AY327" s="322">
        <v>0</v>
      </c>
      <c r="AZ327" s="408">
        <f>SUMPRODUCT((Комплекты[Пр]=$F327)*(Комплекты[Обозначение]=$G327)*Комплекты[Кол-во]*(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0</v>
      </c>
      <c r="BA327" s="307"/>
      <c r="BB327" s="408"/>
      <c r="BC327" s="322">
        <v>0</v>
      </c>
      <c r="BD327" s="408">
        <f>SUMPRODUCT((Комплекты[Пр]=$F327)*(Комплекты[Обозначение]=$G327)*Комплекты[Кол-во]*(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0</v>
      </c>
      <c r="BE327" s="307"/>
      <c r="BF327" s="408"/>
      <c r="BG327" s="322">
        <v>0</v>
      </c>
      <c r="BH327" s="408">
        <f>SUMPRODUCT((Комплекты[Пр]=$F327)*(Комплекты[Обозначение]=$G327)*Комплекты[Кол-во]*(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0</v>
      </c>
      <c r="BI327" s="307"/>
      <c r="BJ327" s="408"/>
      <c r="BK327" s="340"/>
      <c r="BL327" s="328">
        <f t="shared" si="96"/>
        <v>0</v>
      </c>
      <c r="BM327" s="328">
        <f t="shared" si="97"/>
        <v>0</v>
      </c>
      <c r="BN327" s="324">
        <f t="shared" si="98"/>
        <v>10</v>
      </c>
      <c r="BO327" s="325">
        <f t="shared" si="99"/>
        <v>0</v>
      </c>
      <c r="BP327" s="326">
        <f t="shared" si="100"/>
        <v>10</v>
      </c>
      <c r="BQ327" s="327">
        <f t="shared" si="101"/>
        <v>0</v>
      </c>
      <c r="BR327" s="329"/>
      <c r="BS327" s="329"/>
      <c r="BT327" s="322"/>
      <c r="BU327" s="408"/>
      <c r="BV327" s="307"/>
      <c r="BW327" s="408"/>
      <c r="BX327" s="322"/>
      <c r="BY327" s="408"/>
      <c r="BZ327" s="307"/>
      <c r="CA327" s="408"/>
      <c r="CB327" s="322"/>
      <c r="CC327" s="408"/>
      <c r="CD327" s="307"/>
      <c r="CE327" s="408"/>
      <c r="CF327" s="322"/>
      <c r="CG327" s="408"/>
      <c r="CH327" s="307"/>
      <c r="CI327" s="408"/>
      <c r="CJ327" s="322"/>
      <c r="CK327" s="408"/>
      <c r="CL327" s="307"/>
      <c r="CM327" s="408"/>
      <c r="CN327" s="322"/>
      <c r="CO327" s="408"/>
      <c r="CP327" s="307"/>
      <c r="CQ327" s="408"/>
      <c r="CR327" s="322"/>
      <c r="CS327" s="408"/>
      <c r="CT327" s="307"/>
      <c r="CU327" s="408"/>
      <c r="CV327" s="322"/>
      <c r="CW327" s="408"/>
      <c r="CX327" s="307"/>
      <c r="CY327" s="408"/>
      <c r="CZ327" s="322"/>
      <c r="DA327" s="408"/>
      <c r="DB327" s="307"/>
      <c r="DC327" s="408"/>
      <c r="DD327" s="322"/>
      <c r="DE327" s="408"/>
      <c r="DF327" s="307"/>
      <c r="DG327" s="408"/>
      <c r="DH327" s="322"/>
      <c r="DI327" s="408"/>
      <c r="DJ327" s="307"/>
      <c r="DK327" s="408"/>
      <c r="DL327" s="322"/>
      <c r="DM327" s="408"/>
      <c r="DN327" s="307"/>
      <c r="DO327" s="408"/>
      <c r="DP327" s="340"/>
      <c r="DQ327" s="328"/>
      <c r="DR327" s="328">
        <f t="shared" si="116"/>
        <v>0</v>
      </c>
      <c r="DS327" s="329"/>
      <c r="DT327" s="329"/>
      <c r="DU327" s="322"/>
      <c r="DV327" s="408"/>
      <c r="DW327" s="307"/>
      <c r="DX327" s="408"/>
      <c r="DY327" s="322"/>
      <c r="DZ327" s="408"/>
      <c r="EA327" s="307"/>
      <c r="EB327" s="408"/>
      <c r="EC327" s="322"/>
      <c r="ED327" s="408"/>
      <c r="EE327" s="307"/>
      <c r="EF327" s="408"/>
      <c r="EG327" s="322"/>
      <c r="EH327" s="408"/>
      <c r="EI327" s="307"/>
      <c r="EJ327" s="408"/>
      <c r="EK327" s="322"/>
      <c r="EL327" s="408"/>
      <c r="EM327" s="307"/>
      <c r="EN327" s="408"/>
      <c r="EO327" s="322"/>
      <c r="EP327" s="408"/>
      <c r="EQ327" s="307"/>
      <c r="ER327" s="408"/>
      <c r="ES327" s="322"/>
      <c r="ET327" s="408"/>
      <c r="EU327" s="307"/>
      <c r="EV327" s="408"/>
      <c r="EW327" s="322"/>
      <c r="EX327" s="408"/>
      <c r="EY327" s="307"/>
      <c r="EZ327" s="408"/>
      <c r="FA327" s="322"/>
      <c r="FB327" s="408"/>
      <c r="FC327" s="307"/>
      <c r="FD327" s="408"/>
      <c r="FE327" s="322"/>
      <c r="FF327" s="408"/>
      <c r="FG327" s="307"/>
      <c r="FH327" s="408"/>
      <c r="FI327" s="322"/>
      <c r="FJ327" s="408"/>
      <c r="FK327" s="307"/>
      <c r="FL327" s="408"/>
      <c r="FM327" s="322"/>
      <c r="FN327" s="408"/>
      <c r="FO327" s="307"/>
      <c r="FP327" s="408"/>
      <c r="FQ327" s="340"/>
      <c r="FR327" s="328"/>
      <c r="FS327" s="328">
        <f t="shared" si="118"/>
        <v>0</v>
      </c>
      <c r="FT327" s="361"/>
    </row>
    <row r="328" spans="1:176" outlineLevel="2">
      <c r="A328" s="420" t="s">
        <v>471</v>
      </c>
      <c r="B328" s="444" t="s">
        <v>82</v>
      </c>
      <c r="C328" s="592" t="s">
        <v>72</v>
      </c>
      <c r="D328" s="586" t="s">
        <v>32</v>
      </c>
      <c r="E328" s="414">
        <f>IF(ISBLANK(G328),"",IF($A$6:$A$330=$A328,COUNTIF($A$6:A328,$A328),""))</f>
        <v>63</v>
      </c>
      <c r="F328" s="318">
        <v>1</v>
      </c>
      <c r="G328" s="403">
        <v>4721950310</v>
      </c>
      <c r="H328" s="613" t="s">
        <v>102</v>
      </c>
      <c r="I328" s="619">
        <v>0</v>
      </c>
      <c r="J328" s="619"/>
      <c r="K328" s="321"/>
      <c r="L328" s="619"/>
      <c r="M328" s="305"/>
      <c r="N328" s="305">
        <f t="shared" si="95"/>
        <v>1</v>
      </c>
      <c r="O328" s="322">
        <v>0</v>
      </c>
      <c r="P328" s="408"/>
      <c r="Q328" s="307"/>
      <c r="R328" s="408"/>
      <c r="S328" s="322">
        <v>0</v>
      </c>
      <c r="T328" s="408">
        <f>SUMPRODUCT((Комплекты[Пр]=$F328)*(Комплекты[Обозначение]=$G328)*Комплекты[Кол-во]*(
((Комплекты[Комплект]=$G$307)*T$307)+
((Комплекты[Комплект]=$G$306)*T$306)+
((Комплекты[Комплект]=$G$305)*T$305)+
((Комплекты[Комплект]=$G$304)*T$304)+
((Комплекты[Комплект]=$G$302)*T$302)+
((Комплекты[Комплект]=$G$301)*T$301)+
((Комплекты[Комплект]=$G$300)*T$300)+
((Комплекты[Комплект]=$G$299)*T$299)+
((Комплекты[Комплект]=$G$298)*T$298)))</f>
        <v>10</v>
      </c>
      <c r="U328" s="307">
        <f>SUMPRODUCT((Комплекты[Пр]=$F328)*(Комплекты[Обозначение]=$G328)*Комплекты[Кол-во]*(
((Комплекты[Комплект]=$G$307)*U$307)+
((Комплекты[Комплект]=$G$306)*U$306)+
((Комплекты[Комплект]=$G$305)*U$305)+
((Комплекты[Комплект]=$G$304)*U$304)+
((Комплекты[Комплект]=$G$302)*U$302)+
((Комплекты[Комплект]=$G$301)*U$301)+
((Комплекты[Комплект]=$G$300)*U$300)+
((Комплекты[Комплект]=$G$299)*U$299)+
((Комплекты[Комплект]=$G$298)*U$298)))</f>
        <v>10</v>
      </c>
      <c r="V328" s="408"/>
      <c r="W328" s="322">
        <v>0</v>
      </c>
      <c r="X328" s="408">
        <f>SUMPRODUCT((Комплекты[Пр]=$F328)*(Комплекты[Обозначение]=$G328)*Комплекты[Кол-во]*(
((Комплекты[Комплект]=$G$307)*X$307)+
((Комплекты[Комплект]=$G$306)*X$306)+
((Комплекты[Комплект]=$G$305)*X$305)+
((Комплекты[Комплект]=$G$304)*X$304)+
((Комплекты[Комплект]=$G$303)*X$303)+
((Комплекты[Комплект]=$G$302)*X$302)+
((Комплекты[Комплект]=$G$301)*X$301)+
((Комплекты[Комплект]=$G$300)*X$300)+
((Комплекты[Комплект]=$G$299)*X$299)+
((Комплекты[Комплект]=$G$298)*X$298)))</f>
        <v>0</v>
      </c>
      <c r="Y328" s="307">
        <f>SUMPRODUCT((Комплекты[Пр]=$F328)*(Комплекты[Обозначение]=$G328)*Комплекты[Кол-во]*(
((Комплекты[Комплект]=$G$307)*Y$307)+
((Комплекты[Комплект]=$G$306)*Y$306)+
((Комплекты[Комплект]=$G$305)*Y$305)+
((Комплекты[Комплект]=$G$304)*Y$304)+
((Комплекты[Комплект]=$G$303)*Y$303)+
((Комплекты[Комплект]=$G$302)*Y$302)+
((Комплекты[Комплект]=$G$301)*Y$301)+
((Комплекты[Комплект]=$G$300)*Y$300)+
((Комплекты[Комплект]=$G$299)*Y$299)+
((Комплекты[Комплект]=$G$298)*Y$298)))</f>
        <v>0</v>
      </c>
      <c r="Z328" s="408"/>
      <c r="AA328" s="322">
        <v>0</v>
      </c>
      <c r="AB328" s="408">
        <f>SUMPRODUCT((Комплекты[Пр]=$F328)*(Комплекты[Обозначение]=$G328)*Комплекты[Кол-во]*(
((Комплекты[Комплект]=$G$307)*AB$307)+
((Комплекты[Комплект]=$G$306)*AB$306)+
((Комплекты[Комплект]=$G$305)*AB$305)+
((Комплекты[Комплект]=$G$304)*AB$304)+
((Комплекты[Комплект]=$G$303)*AB$303)+
((Комплекты[Комплект]=$G$302)*AB$302)+
((Комплекты[Комплект]=$G$301)*AB$301)+
((Комплекты[Комплект]=$G$300)*AB$300)+
((Комплекты[Комплект]=$G$299)*AB$299)+
((Комплекты[Комплект]=$G$298)*AB$298)))</f>
        <v>0</v>
      </c>
      <c r="AC328" s="307"/>
      <c r="AD328" s="408"/>
      <c r="AE328" s="322">
        <v>0</v>
      </c>
      <c r="AF328" s="408">
        <f>SUMPRODUCT((Комплекты[Пр]=$F328)*(Комплекты[Обозначение]=$G328)*Комплекты[Кол-во]*(
((Комплекты[Комплект]=$G$307)*AF$307)+
((Комплекты[Комплект]=$G$306)*AF$306)+
((Комплекты[Комплект]=$G$305)*AF$305)+
((Комплекты[Комплект]=$G$304)*AF$304)+
((Комплекты[Комплект]=$G$303)*AF$303)+
((Комплекты[Комплект]=$G$302)*AF$302)+
((Комплекты[Комплект]=$G$301)*AF$301)+
((Комплекты[Комплект]=$G$300)*AF$300)+
((Комплекты[Комплект]=$G$299)*AF$299)+
((Комплекты[Комплект]=$G$298)*AF$298)))</f>
        <v>0</v>
      </c>
      <c r="AG328" s="307">
        <f>SUMPRODUCT((Комплекты[Пр]=$F328)*(Комплекты[Обозначение]=$G328)*Комплекты[Кол-во]*(
((Комплекты[Комплект]=$G$307)*AG$307)+
((Комплекты[Комплект]=$G$306)*AG$306)+
((Комплекты[Комплект]=$G$305)*AG$305)+
((Комплекты[Комплект]=$G$304)*AG$304)+
((Комплекты[Комплект]=$G$303)*AG$303)+
((Комплекты[Комплект]=$G$302)*AG$302)+
((Комплекты[Комплект]=$G$301)*AG$301)+
((Комплекты[Комплект]=$G$300)*AG$300)+
((Комплекты[Комплект]=$G$299)*AG$299)+
((Комплекты[Комплект]=$G$298)*AG$298)))</f>
        <v>0</v>
      </c>
      <c r="AH328" s="408"/>
      <c r="AI328" s="322">
        <v>0</v>
      </c>
      <c r="AJ328" s="408">
        <f>SUMPRODUCT((Комплекты[Пр]=$F328)*(Комплекты[Обозначение]=$G328)*Комплекты[Кол-во]*(
((Комплекты[Комплект]=$G$307)*AJ$307)+
((Комплекты[Комплект]=$G$306)*AJ$306)+
((Комплекты[Комплект]=$G$305)*AJ$305)+
((Комплекты[Комплект]=$G$304)*AJ$304)+
((Комплекты[Комплект]=$G$303)*AJ$303)+
((Комплекты[Комплект]=$G$302)*AJ$302)+
((Комплекты[Комплект]=$G$301)*AJ$301)+
((Комплекты[Комплект]=$G$300)*AJ$300)+
((Комплекты[Комплект]=$G$299)*AJ$299)+
((Комплекты[Комплект]=$G$298)*AJ$298)))</f>
        <v>0</v>
      </c>
      <c r="AK328" s="307"/>
      <c r="AL328" s="408"/>
      <c r="AM328" s="322">
        <v>0</v>
      </c>
      <c r="AN328" s="408">
        <f>SUMPRODUCT((Комплекты[Пр]=$F328)*(Комплекты[Обозначение]=$G328)*Комплекты[Кол-во]*(
((Комплекты[Комплект]=$G$307)*AN$307)+
((Комплекты[Комплект]=$G$306)*AN$306)+
((Комплекты[Комплект]=$G$305)*AN$305)+
((Комплекты[Комплект]=$G$304)*AN$304)+
((Комплекты[Комплект]=$G$303)*AN$303)+
((Комплекты[Комплект]=$G$302)*AN$302)+
((Комплекты[Комплект]=$G$301)*AN$301)+
((Комплекты[Комплект]=$G$300)*AN$300)+
((Комплекты[Комплект]=$G$299)*AN$299)+
((Комплекты[Комплект]=$G$298)*AN$298)))</f>
        <v>0</v>
      </c>
      <c r="AO328" s="307"/>
      <c r="AP328" s="408"/>
      <c r="AQ328" s="322">
        <v>0</v>
      </c>
      <c r="AR328" s="408">
        <f>SUMPRODUCT((Комплекты[Пр]=$F328)*(Комплекты[Обозначение]=$G328)*Комплекты[Кол-во]*(
((Комплекты[Комплект]=$G$307)*AR$307)+
((Комплекты[Комплект]=$G$306)*AR$306)+
((Комплекты[Комплект]=$G$305)*AR$305)+
((Комплекты[Комплект]=$G$304)*AR$304)+
((Комплекты[Комплект]=$G$303)*AR$303)+
((Комплекты[Комплект]=$G$302)*AR$302)+
((Комплекты[Комплект]=$G$301)*AR$301)+
((Комплекты[Комплект]=$G$300)*AR$300)+
((Комплекты[Комплект]=$G$299)*AR$299)+
((Комплекты[Комплект]=$G$298)*AR$298)))</f>
        <v>0</v>
      </c>
      <c r="AS328" s="307"/>
      <c r="AT328" s="408"/>
      <c r="AU328" s="322">
        <v>0</v>
      </c>
      <c r="AV328" s="408">
        <f>SUMPRODUCT((Комплекты[Пр]=$F328)*(Комплекты[Обозначение]=$G328)*Комплекты[Кол-во]*(
((Комплекты[Комплект]=$G$307)*AV$307)+
((Комплекты[Комплект]=$G$306)*AV$306)+
((Комплекты[Комплект]=$G$305)*AV$305)+
((Комплекты[Комплект]=$G$304)*AV$304)+
((Комплекты[Комплект]=$G$303)*AV$303)+
((Комплекты[Комплект]=$G$302)*AV$302)+
((Комплекты[Комплект]=$G$301)*AV$301)+
((Комплекты[Комплект]=$G$300)*AV$300)+
((Комплекты[Комплект]=$G$299)*AV$299)+
((Комплекты[Комплект]=$G$298)*AV$298)))</f>
        <v>0</v>
      </c>
      <c r="AW328" s="307"/>
      <c r="AX328" s="408"/>
      <c r="AY328" s="322">
        <v>0</v>
      </c>
      <c r="AZ328" s="408">
        <f>SUMPRODUCT((Комплекты[Пр]=$F328)*(Комплекты[Обозначение]=$G328)*Комплекты[Кол-во]*(
((Комплекты[Комплект]=$G$307)*AZ$307)+
((Комплекты[Комплект]=$G$306)*AZ$306)+
((Комплекты[Комплект]=$G$305)*AZ$305)+
((Комплекты[Комплект]=$G$304)*AZ$304)+
((Комплекты[Комплект]=$G$303)*AZ$303)+
((Комплекты[Комплект]=$G$302)*AZ$302)+
((Комплекты[Комплект]=$G$301)*AZ$301)+
((Комплекты[Комплект]=$G$300)*AZ$300)+
((Комплекты[Комплект]=$G$299)*AZ$299)+
((Комплекты[Комплект]=$G$298)*AZ$298)))</f>
        <v>0</v>
      </c>
      <c r="BA328" s="307"/>
      <c r="BB328" s="408"/>
      <c r="BC328" s="322">
        <v>0</v>
      </c>
      <c r="BD328" s="408">
        <f>SUMPRODUCT((Комплекты[Пр]=$F328)*(Комплекты[Обозначение]=$G328)*Комплекты[Кол-во]*(
((Комплекты[Комплект]=$G$307)*BD$307)+
((Комплекты[Комплект]=$G$306)*BD$306)+
((Комплекты[Комплект]=$G$305)*BD$305)+
((Комплекты[Комплект]=$G$304)*BD$304)+
((Комплекты[Комплект]=$G$303)*BD$303)+
((Комплекты[Комплект]=$G$302)*BD$302)+
((Комплекты[Комплект]=$G$301)*BD$301)+
((Комплекты[Комплект]=$G$300)*BD$300)+
((Комплекты[Комплект]=$G$299)*BD$299)+
((Комплекты[Комплект]=$G$298)*BD$298)))</f>
        <v>0</v>
      </c>
      <c r="BE328" s="307"/>
      <c r="BF328" s="408"/>
      <c r="BG328" s="322">
        <v>0</v>
      </c>
      <c r="BH328" s="408">
        <f>SUMPRODUCT((Комплекты[Пр]=$F328)*(Комплекты[Обозначение]=$G328)*Комплекты[Кол-во]*(
((Комплекты[Комплект]=$G$307)*BH$307)+
((Комплекты[Комплект]=$G$306)*BH$306)+
((Комплекты[Комплект]=$G$305)*BH$305)+
((Комплекты[Комплект]=$G$304)*BH$304)+
((Комплекты[Комплект]=$G$303)*BH$303)+
((Комплекты[Комплект]=$G$302)*BH$302)+
((Комплекты[Комплект]=$G$301)*BH$301)+
((Комплекты[Комплект]=$G$300)*BH$300)+
((Комплекты[Комплект]=$G$299)*BH$299)+
((Комплекты[Комплект]=$G$298)*BH$298)))</f>
        <v>0</v>
      </c>
      <c r="BI328" s="307"/>
      <c r="BJ328" s="408"/>
      <c r="BK328" s="340"/>
      <c r="BL328" s="328">
        <f t="shared" si="96"/>
        <v>0</v>
      </c>
      <c r="BM328" s="328">
        <f t="shared" si="97"/>
        <v>0</v>
      </c>
      <c r="BN328" s="324">
        <f t="shared" si="98"/>
        <v>10</v>
      </c>
      <c r="BO328" s="325">
        <f t="shared" si="99"/>
        <v>0</v>
      </c>
      <c r="BP328" s="326">
        <f t="shared" si="100"/>
        <v>10</v>
      </c>
      <c r="BQ328" s="327">
        <f t="shared" si="101"/>
        <v>0</v>
      </c>
      <c r="BR328" s="329"/>
      <c r="BS328" s="329"/>
      <c r="BT328" s="322"/>
      <c r="BU328" s="408"/>
      <c r="BV328" s="307"/>
      <c r="BW328" s="408"/>
      <c r="BX328" s="322"/>
      <c r="BY328" s="408"/>
      <c r="BZ328" s="307"/>
      <c r="CA328" s="408"/>
      <c r="CB328" s="322"/>
      <c r="CC328" s="408"/>
      <c r="CD328" s="307"/>
      <c r="CE328" s="408"/>
      <c r="CF328" s="322"/>
      <c r="CG328" s="408"/>
      <c r="CH328" s="307"/>
      <c r="CI328" s="408"/>
      <c r="CJ328" s="322"/>
      <c r="CK328" s="408"/>
      <c r="CL328" s="307"/>
      <c r="CM328" s="408"/>
      <c r="CN328" s="322"/>
      <c r="CO328" s="408"/>
      <c r="CP328" s="307"/>
      <c r="CQ328" s="408"/>
      <c r="CR328" s="322"/>
      <c r="CS328" s="408"/>
      <c r="CT328" s="307"/>
      <c r="CU328" s="408"/>
      <c r="CV328" s="322"/>
      <c r="CW328" s="408"/>
      <c r="CX328" s="307"/>
      <c r="CY328" s="408"/>
      <c r="CZ328" s="322"/>
      <c r="DA328" s="408"/>
      <c r="DB328" s="307"/>
      <c r="DC328" s="408"/>
      <c r="DD328" s="322"/>
      <c r="DE328" s="408"/>
      <c r="DF328" s="307"/>
      <c r="DG328" s="408"/>
      <c r="DH328" s="322"/>
      <c r="DI328" s="408"/>
      <c r="DJ328" s="307"/>
      <c r="DK328" s="408"/>
      <c r="DL328" s="322"/>
      <c r="DM328" s="408"/>
      <c r="DN328" s="307"/>
      <c r="DO328" s="408"/>
      <c r="DP328" s="340"/>
      <c r="DQ328" s="328"/>
      <c r="DR328" s="328">
        <f t="shared" si="116"/>
        <v>0</v>
      </c>
      <c r="DS328" s="329"/>
      <c r="DT328" s="329"/>
      <c r="DU328" s="322"/>
      <c r="DV328" s="408"/>
      <c r="DW328" s="307"/>
      <c r="DX328" s="408"/>
      <c r="DY328" s="322"/>
      <c r="DZ328" s="408"/>
      <c r="EA328" s="307"/>
      <c r="EB328" s="408"/>
      <c r="EC328" s="322"/>
      <c r="ED328" s="408"/>
      <c r="EE328" s="307"/>
      <c r="EF328" s="408"/>
      <c r="EG328" s="322"/>
      <c r="EH328" s="408"/>
      <c r="EI328" s="307"/>
      <c r="EJ328" s="408"/>
      <c r="EK328" s="322"/>
      <c r="EL328" s="408"/>
      <c r="EM328" s="307"/>
      <c r="EN328" s="408"/>
      <c r="EO328" s="322"/>
      <c r="EP328" s="408"/>
      <c r="EQ328" s="307"/>
      <c r="ER328" s="408"/>
      <c r="ES328" s="322"/>
      <c r="ET328" s="408"/>
      <c r="EU328" s="307"/>
      <c r="EV328" s="408"/>
      <c r="EW328" s="322"/>
      <c r="EX328" s="408"/>
      <c r="EY328" s="307"/>
      <c r="EZ328" s="408"/>
      <c r="FA328" s="322"/>
      <c r="FB328" s="408"/>
      <c r="FC328" s="307"/>
      <c r="FD328" s="408"/>
      <c r="FE328" s="322"/>
      <c r="FF328" s="408"/>
      <c r="FG328" s="307"/>
      <c r="FH328" s="408"/>
      <c r="FI328" s="322"/>
      <c r="FJ328" s="408"/>
      <c r="FK328" s="307"/>
      <c r="FL328" s="408"/>
      <c r="FM328" s="322"/>
      <c r="FN328" s="408"/>
      <c r="FO328" s="307"/>
      <c r="FP328" s="408"/>
      <c r="FQ328" s="340"/>
      <c r="FR328" s="328"/>
      <c r="FS328" s="328">
        <f t="shared" si="118"/>
        <v>0</v>
      </c>
      <c r="FT328" s="361"/>
    </row>
    <row r="329" spans="1:176" outlineLevel="2">
      <c r="A329" s="58" t="s">
        <v>471</v>
      </c>
      <c r="B329" s="57"/>
      <c r="C329" s="173"/>
      <c r="D329" s="595"/>
      <c r="E329" s="13" t="str">
        <f>IF(ISBLANK(G329),"",IF($A$6:$A$330=$A329,COUNTIF($A$6:A329,$A329),""))</f>
        <v/>
      </c>
      <c r="F329" s="13"/>
      <c r="G329" s="111"/>
      <c r="H329" s="607" t="s">
        <v>43</v>
      </c>
      <c r="I329" s="617"/>
      <c r="J329" s="617"/>
      <c r="K329" s="113"/>
      <c r="L329" s="617" t="str">
        <f>IF(K329="RUB",J329/ЮАНЬ,IF(K329="EUR",J329*ЕВРО/ЮАНЬ,""))</f>
        <v/>
      </c>
      <c r="M329" s="102"/>
      <c r="N329" s="305">
        <f t="shared" si="95"/>
        <v>0</v>
      </c>
      <c r="O329" s="40"/>
      <c r="P329" s="41"/>
      <c r="Q329" s="42"/>
      <c r="R329" s="41"/>
      <c r="S329" s="40"/>
      <c r="T329" s="41"/>
      <c r="U329" s="42"/>
      <c r="V329" s="41"/>
      <c r="W329" s="40"/>
      <c r="X329" s="41"/>
      <c r="Y329" s="42"/>
      <c r="Z329" s="41"/>
      <c r="AA329" s="40"/>
      <c r="AB329" s="41"/>
      <c r="AC329" s="42"/>
      <c r="AD329" s="41"/>
      <c r="AE329" s="40"/>
      <c r="AF329" s="41"/>
      <c r="AG329" s="42"/>
      <c r="AH329" s="41"/>
      <c r="AI329" s="40"/>
      <c r="AJ329" s="41"/>
      <c r="AK329" s="42"/>
      <c r="AL329" s="41"/>
      <c r="AM329" s="40"/>
      <c r="AN329" s="41"/>
      <c r="AO329" s="42"/>
      <c r="AP329" s="41"/>
      <c r="AQ329" s="40"/>
      <c r="AR329" s="41"/>
      <c r="AS329" s="42"/>
      <c r="AT329" s="41"/>
      <c r="AU329" s="40"/>
      <c r="AV329" s="41"/>
      <c r="AW329" s="42"/>
      <c r="AX329" s="41"/>
      <c r="AY329" s="40"/>
      <c r="AZ329" s="41"/>
      <c r="BA329" s="42"/>
      <c r="BB329" s="41"/>
      <c r="BC329" s="40"/>
      <c r="BD329" s="41"/>
      <c r="BE329" s="42"/>
      <c r="BF329" s="41"/>
      <c r="BG329" s="40"/>
      <c r="BH329" s="41"/>
      <c r="BI329" s="42"/>
      <c r="BJ329" s="43"/>
      <c r="BK329" s="341"/>
      <c r="BL329" s="27">
        <f t="shared" si="96"/>
        <v>0</v>
      </c>
      <c r="BM329" s="27">
        <f t="shared" si="97"/>
        <v>0</v>
      </c>
      <c r="BN329" s="28">
        <f t="shared" si="98"/>
        <v>0</v>
      </c>
      <c r="BO329" s="29">
        <f t="shared" si="99"/>
        <v>0</v>
      </c>
      <c r="BP329" s="30">
        <f t="shared" si="100"/>
        <v>0</v>
      </c>
      <c r="BQ329" s="31">
        <f t="shared" si="101"/>
        <v>0</v>
      </c>
      <c r="BR329" s="11"/>
      <c r="BS329" s="329"/>
      <c r="BT329" s="40"/>
      <c r="BU329" s="41"/>
      <c r="BV329" s="42"/>
      <c r="BW329" s="41"/>
      <c r="BX329" s="40"/>
      <c r="BY329" s="41"/>
      <c r="BZ329" s="42"/>
      <c r="CA329" s="41"/>
      <c r="CB329" s="40"/>
      <c r="CC329" s="41"/>
      <c r="CD329" s="42"/>
      <c r="CE329" s="41"/>
      <c r="CF329" s="40"/>
      <c r="CG329" s="41"/>
      <c r="CH329" s="42"/>
      <c r="CI329" s="41"/>
      <c r="CJ329" s="40"/>
      <c r="CK329" s="41"/>
      <c r="CL329" s="42"/>
      <c r="CM329" s="41"/>
      <c r="CN329" s="40"/>
      <c r="CO329" s="41"/>
      <c r="CP329" s="42"/>
      <c r="CQ329" s="41"/>
      <c r="CR329" s="40"/>
      <c r="CS329" s="41"/>
      <c r="CT329" s="42"/>
      <c r="CU329" s="41"/>
      <c r="CV329" s="40"/>
      <c r="CW329" s="41"/>
      <c r="CX329" s="42"/>
      <c r="CY329" s="41"/>
      <c r="CZ329" s="40"/>
      <c r="DA329" s="41"/>
      <c r="DB329" s="42"/>
      <c r="DC329" s="41"/>
      <c r="DD329" s="40"/>
      <c r="DE329" s="41"/>
      <c r="DF329" s="42"/>
      <c r="DG329" s="41"/>
      <c r="DH329" s="40"/>
      <c r="DI329" s="41"/>
      <c r="DJ329" s="42"/>
      <c r="DK329" s="41"/>
      <c r="DL329" s="40"/>
      <c r="DM329" s="41"/>
      <c r="DN329" s="42"/>
      <c r="DO329" s="43"/>
      <c r="DP329" s="341"/>
      <c r="DQ329" s="27">
        <f>SUMPRODUCT(--(MOD(COLUMN(BT329:CQ329),4)=MOD(COLUMN(BT329),4)),BT329:CQ329)+SUMPRODUCT(--(MOD(COLUMN(CR329:DO329),4)=MOD(COLUMN(CR329),4)),CR329:DO329)</f>
        <v>0</v>
      </c>
      <c r="DR329" s="27">
        <f t="shared" si="116"/>
        <v>0</v>
      </c>
      <c r="DS329" s="11"/>
      <c r="DT329" s="329"/>
      <c r="DU329" s="40"/>
      <c r="DV329" s="41"/>
      <c r="DW329" s="42"/>
      <c r="DX329" s="41"/>
      <c r="DY329" s="40"/>
      <c r="DZ329" s="41"/>
      <c r="EA329" s="42"/>
      <c r="EB329" s="41"/>
      <c r="EC329" s="40"/>
      <c r="ED329" s="41"/>
      <c r="EE329" s="42"/>
      <c r="EF329" s="41"/>
      <c r="EG329" s="40"/>
      <c r="EH329" s="41"/>
      <c r="EI329" s="42"/>
      <c r="EJ329" s="41"/>
      <c r="EK329" s="40"/>
      <c r="EL329" s="41"/>
      <c r="EM329" s="42"/>
      <c r="EN329" s="41"/>
      <c r="EO329" s="40"/>
      <c r="EP329" s="41"/>
      <c r="EQ329" s="42"/>
      <c r="ER329" s="41"/>
      <c r="ES329" s="40"/>
      <c r="ET329" s="41"/>
      <c r="EU329" s="42"/>
      <c r="EV329" s="41"/>
      <c r="EW329" s="40"/>
      <c r="EX329" s="41"/>
      <c r="EY329" s="42"/>
      <c r="EZ329" s="41"/>
      <c r="FA329" s="40"/>
      <c r="FB329" s="41"/>
      <c r="FC329" s="42"/>
      <c r="FD329" s="41"/>
      <c r="FE329" s="40"/>
      <c r="FF329" s="41"/>
      <c r="FG329" s="42"/>
      <c r="FH329" s="41"/>
      <c r="FI329" s="40"/>
      <c r="FJ329" s="41"/>
      <c r="FK329" s="42"/>
      <c r="FL329" s="41"/>
      <c r="FM329" s="40"/>
      <c r="FN329" s="41"/>
      <c r="FO329" s="42"/>
      <c r="FP329" s="43"/>
      <c r="FQ329" s="341"/>
      <c r="FR329" s="27">
        <f>SUMPRODUCT(--(MOD(COLUMN(DU329:ER329),4)=MOD(COLUMN(DU329),4)),DU329:ER329)+SUMPRODUCT(--(MOD(COLUMN(ES329:FP329),4)=MOD(COLUMN(ES329),4)),ES329:FP329)</f>
        <v>0</v>
      </c>
      <c r="FS329" s="27">
        <f t="shared" si="118"/>
        <v>0</v>
      </c>
      <c r="FT329" s="361"/>
    </row>
    <row r="330" spans="1:176" s="116" customFormat="1" outlineLevel="1">
      <c r="A330" s="46" t="s">
        <v>471</v>
      </c>
      <c r="B330" s="46"/>
      <c r="C330" s="650"/>
      <c r="D330" s="651"/>
      <c r="E330" s="133" t="str">
        <f>IF(ISBLANK(G330),"",IF($A$6:$A$330=$A330,COUNTIF($A$6:A330,$A330),""))</f>
        <v/>
      </c>
      <c r="F330" s="134"/>
      <c r="G330" s="135"/>
      <c r="H330" s="608"/>
      <c r="I330" s="632"/>
      <c r="J330" s="632"/>
      <c r="K330" s="136"/>
      <c r="L330" s="632" t="str">
        <f>IF(K330="RUB",J330/ЮАНЬ,IF(K330="EUR",J330*ЕВРО/ЮАНЬ,""))</f>
        <v/>
      </c>
      <c r="M330" s="102"/>
      <c r="N330" s="305">
        <f t="shared" si="95"/>
        <v>0</v>
      </c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  <c r="AA330" s="121"/>
      <c r="AB330" s="121"/>
      <c r="AC330" s="121"/>
      <c r="AD330" s="121"/>
      <c r="AE330" s="121"/>
      <c r="AF330" s="121"/>
      <c r="AG330" s="121"/>
      <c r="AH330" s="121"/>
      <c r="AI330" s="121"/>
      <c r="AJ330" s="121"/>
      <c r="AK330" s="121"/>
      <c r="AL330" s="121"/>
      <c r="AM330" s="121"/>
      <c r="AN330" s="121"/>
      <c r="AO330" s="121"/>
      <c r="AP330" s="121"/>
      <c r="AQ330" s="121"/>
      <c r="AR330" s="121"/>
      <c r="AS330" s="121"/>
      <c r="AT330" s="121"/>
      <c r="AU330" s="121"/>
      <c r="AV330" s="121"/>
      <c r="AW330" s="121"/>
      <c r="AX330" s="121"/>
      <c r="AY330" s="121"/>
      <c r="AZ330" s="121"/>
      <c r="BA330" s="121"/>
      <c r="BB330" s="121"/>
      <c r="BC330" s="121"/>
      <c r="BD330" s="121"/>
      <c r="BE330" s="121"/>
      <c r="BF330" s="121"/>
      <c r="BG330" s="121"/>
      <c r="BH330" s="121"/>
      <c r="BI330" s="121"/>
      <c r="BJ330" s="121"/>
      <c r="BK330" s="356"/>
      <c r="BL330" s="52">
        <f t="shared" si="96"/>
        <v>0</v>
      </c>
      <c r="BM330" s="52">
        <f t="shared" si="97"/>
        <v>0</v>
      </c>
      <c r="BN330" s="52">
        <f t="shared" si="98"/>
        <v>0</v>
      </c>
      <c r="BO330" s="52">
        <f t="shared" si="99"/>
        <v>0</v>
      </c>
      <c r="BP330" s="52">
        <f t="shared" si="100"/>
        <v>0</v>
      </c>
      <c r="BQ330" s="52">
        <f t="shared" si="101"/>
        <v>0</v>
      </c>
      <c r="BR330" s="51"/>
      <c r="BS330" s="335"/>
      <c r="BT330" s="121"/>
      <c r="BU330" s="121"/>
      <c r="BV330" s="121"/>
      <c r="BW330" s="121"/>
      <c r="BX330" s="121"/>
      <c r="BY330" s="121"/>
      <c r="BZ330" s="121"/>
      <c r="CA330" s="121"/>
      <c r="CB330" s="121"/>
      <c r="CC330" s="121"/>
      <c r="CD330" s="121"/>
      <c r="CE330" s="121"/>
      <c r="CF330" s="121"/>
      <c r="CG330" s="121"/>
      <c r="CH330" s="121"/>
      <c r="CI330" s="121"/>
      <c r="CJ330" s="121"/>
      <c r="CK330" s="121"/>
      <c r="CL330" s="121"/>
      <c r="CM330" s="121"/>
      <c r="CN330" s="121"/>
      <c r="CO330" s="121"/>
      <c r="CP330" s="121"/>
      <c r="CQ330" s="121"/>
      <c r="CR330" s="121"/>
      <c r="CS330" s="121"/>
      <c r="CT330" s="121"/>
      <c r="CU330" s="121"/>
      <c r="CV330" s="121"/>
      <c r="CW330" s="121"/>
      <c r="CX330" s="121"/>
      <c r="CY330" s="121"/>
      <c r="CZ330" s="121"/>
      <c r="DA330" s="121"/>
      <c r="DB330" s="121"/>
      <c r="DC330" s="121"/>
      <c r="DD330" s="121"/>
      <c r="DE330" s="121"/>
      <c r="DF330" s="121"/>
      <c r="DG330" s="121"/>
      <c r="DH330" s="121"/>
      <c r="DI330" s="121"/>
      <c r="DJ330" s="121"/>
      <c r="DK330" s="121"/>
      <c r="DL330" s="121"/>
      <c r="DM330" s="121"/>
      <c r="DN330" s="121"/>
      <c r="DO330" s="121"/>
      <c r="DP330" s="356"/>
      <c r="DQ330" s="52">
        <f>SUMPRODUCT(--(MOD(COLUMN(BT330:CQ330),4)=MOD(COLUMN(BT330),4)),BT330:CQ330)+SUMPRODUCT(--(MOD(COLUMN(CR330:DO330),4)=MOD(COLUMN(CR330),4)),CR330:DO330)</f>
        <v>0</v>
      </c>
      <c r="DR330" s="52">
        <f t="shared" si="116"/>
        <v>0</v>
      </c>
      <c r="DS330" s="51"/>
      <c r="DT330" s="335"/>
      <c r="DU330" s="121"/>
      <c r="DV330" s="121"/>
      <c r="DW330" s="121"/>
      <c r="DX330" s="121"/>
      <c r="DY330" s="121"/>
      <c r="DZ330" s="121"/>
      <c r="EA330" s="121"/>
      <c r="EB330" s="121"/>
      <c r="EC330" s="121"/>
      <c r="ED330" s="121"/>
      <c r="EE330" s="121"/>
      <c r="EF330" s="121"/>
      <c r="EG330" s="121"/>
      <c r="EH330" s="121"/>
      <c r="EI330" s="121"/>
      <c r="EJ330" s="121"/>
      <c r="EK330" s="121"/>
      <c r="EL330" s="121"/>
      <c r="EM330" s="121"/>
      <c r="EN330" s="121"/>
      <c r="EO330" s="121"/>
      <c r="EP330" s="121"/>
      <c r="EQ330" s="121"/>
      <c r="ER330" s="121"/>
      <c r="ES330" s="121"/>
      <c r="ET330" s="121"/>
      <c r="EU330" s="121"/>
      <c r="EV330" s="121"/>
      <c r="EW330" s="121"/>
      <c r="EX330" s="121"/>
      <c r="EY330" s="121"/>
      <c r="EZ330" s="121"/>
      <c r="FA330" s="121"/>
      <c r="FB330" s="121"/>
      <c r="FC330" s="121"/>
      <c r="FD330" s="121"/>
      <c r="FE330" s="121"/>
      <c r="FF330" s="121"/>
      <c r="FG330" s="121"/>
      <c r="FH330" s="121"/>
      <c r="FI330" s="121"/>
      <c r="FJ330" s="121"/>
      <c r="FK330" s="121"/>
      <c r="FL330" s="121"/>
      <c r="FM330" s="121"/>
      <c r="FN330" s="121"/>
      <c r="FO330" s="121"/>
      <c r="FP330" s="121"/>
      <c r="FQ330" s="356"/>
      <c r="FR330" s="52">
        <f>SUMPRODUCT(--(MOD(COLUMN(DU330:ER330),4)=MOD(COLUMN(DU330),4)),DU330:ER330)+SUMPRODUCT(--(MOD(COLUMN(ES330:FP330),4)=MOD(COLUMN(ES330),4)),ES330:FP330)</f>
        <v>0</v>
      </c>
      <c r="FS330" s="52">
        <f t="shared" si="118"/>
        <v>0</v>
      </c>
      <c r="FT330" s="343"/>
    </row>
    <row r="331" spans="1:176" s="524" customFormat="1">
      <c r="A331" s="523"/>
      <c r="C331" s="654"/>
      <c r="D331" s="654"/>
      <c r="E331" s="525"/>
      <c r="G331" s="526"/>
      <c r="I331" s="634"/>
      <c r="J331" s="634"/>
      <c r="K331" s="528"/>
      <c r="L331" s="634"/>
      <c r="M331" s="529"/>
      <c r="N331" s="530">
        <f t="shared" ref="N331" si="119">IF(BP331&gt;0,1,IF(BN331&gt;0,2,))</f>
        <v>0</v>
      </c>
      <c r="O331" s="527"/>
      <c r="P331" s="527"/>
      <c r="Q331" s="527"/>
      <c r="R331" s="527"/>
      <c r="S331" s="527"/>
      <c r="T331" s="527"/>
      <c r="U331" s="527"/>
      <c r="V331" s="527"/>
      <c r="W331" s="527"/>
      <c r="X331" s="527"/>
      <c r="Y331" s="527"/>
      <c r="Z331" s="527"/>
      <c r="AA331" s="527"/>
      <c r="AB331" s="527"/>
      <c r="AC331" s="527"/>
      <c r="AD331" s="527"/>
      <c r="AE331" s="527"/>
      <c r="AF331" s="527"/>
      <c r="AG331" s="527"/>
      <c r="AH331" s="527"/>
      <c r="AI331" s="527"/>
      <c r="AJ331" s="527"/>
      <c r="AK331" s="527"/>
      <c r="AL331" s="527"/>
      <c r="AM331" s="527"/>
      <c r="AN331" s="527"/>
      <c r="AO331" s="527"/>
      <c r="AP331" s="527"/>
      <c r="AQ331" s="527"/>
      <c r="AR331" s="527"/>
      <c r="AS331" s="527"/>
      <c r="AT331" s="527"/>
      <c r="AU331" s="527"/>
      <c r="AV331" s="527"/>
      <c r="AW331" s="527"/>
      <c r="AX331" s="527"/>
      <c r="AY331" s="527"/>
      <c r="AZ331" s="527"/>
      <c r="BA331" s="527"/>
      <c r="BB331" s="527"/>
      <c r="BC331" s="527"/>
      <c r="BD331" s="527"/>
      <c r="BE331" s="527"/>
      <c r="BF331" s="527"/>
      <c r="BG331" s="527"/>
      <c r="BH331" s="527"/>
      <c r="BI331" s="527"/>
      <c r="BJ331" s="527"/>
      <c r="BK331" s="531"/>
      <c r="BL331" s="532">
        <f t="shared" ref="BL331:BL339" si="120">SUMPRODUCT(--(MOD(COLUMN($O331:$AL331),4)=MOD(COLUMN($O331)+0,4)),$O331:$AL331)
+SUMPRODUCT(--(MOD(COLUMN($AM331:$BJ331),4)=MOD(COLUMN($AM331)+0,4)),$AM331:$BJ331)</f>
        <v>0</v>
      </c>
      <c r="BM331" s="532">
        <f t="shared" ref="BM331:BM339" si="121">SUMPRODUCT(--(MOD(COLUMN($O331:$AL331),4)=MOD(COLUMN($O331)+0,4)),$O331:$AL331)*$I331
+SUMPRODUCT(--(MOD(COLUMN($AM331:$BJ331),4)=MOD(COLUMN($AM331)+0,4)),$AM331:$BJ331)*$I331</f>
        <v>0</v>
      </c>
      <c r="BN331" s="532">
        <f t="shared" ref="BN331:BN339" si="122">SUMPRODUCT(--(MOD(COLUMN($O331:$AL331),4)=MOD(COLUMN($O331)+1,4)),$O331:$AL331)
+SUMPRODUCT(--(MOD(COLUMN($AM331:$BJ331),4)=MOD(COLUMN($AM331)+1,4)),$AM331:$BJ331)</f>
        <v>0</v>
      </c>
      <c r="BO331" s="532">
        <f t="shared" ref="BO331:BO339" si="123">SUMPRODUCT(--(MOD(COLUMN($O331:$AL331),4)=MOD(COLUMN($O331)+1,4)),$O331:$AL331)*$I331
+SUMPRODUCT(--(MOD(COLUMN($AM331:$BJ331),4)=MOD(COLUMN($AM331)+1,4)),$AM331:$BJ331)*$I331</f>
        <v>0</v>
      </c>
      <c r="BP331" s="532">
        <f t="shared" ref="BP331:BP339" si="124">SUMPRODUCT(--(MOD(COLUMN($O331:$AL331),4)=MOD(COLUMN($O331)+2,4)),$O331:$AL331)
+SUMPRODUCT(--(MOD(COLUMN($AM331:$BJ331),4)=MOD(COLUMN($AM331)+2,4)),$AM331:$BJ331)</f>
        <v>0</v>
      </c>
      <c r="BQ331" s="532">
        <f t="shared" ref="BQ331:BQ339" si="125">SUMPRODUCT(--(MOD(COLUMN($O331:$AL331),4)=MOD(COLUMN($O331)+2,4)),$O331:$AL331)*$I331
+SUMPRODUCT(--(MOD(COLUMN($AM331:$BJ331),4)=MOD(COLUMN($AM331)+2,4)),$AM331:$BJ331)*$I331</f>
        <v>0</v>
      </c>
      <c r="BR331" s="533"/>
      <c r="BS331" s="534"/>
      <c r="BT331" s="527"/>
      <c r="BU331" s="527"/>
      <c r="BV331" s="527"/>
      <c r="BW331" s="527"/>
      <c r="BX331" s="527"/>
      <c r="BY331" s="527"/>
      <c r="BZ331" s="527"/>
      <c r="CA331" s="527"/>
      <c r="CB331" s="527"/>
      <c r="CC331" s="527"/>
      <c r="CD331" s="527"/>
      <c r="CE331" s="527"/>
      <c r="CF331" s="527"/>
      <c r="CG331" s="527"/>
      <c r="CH331" s="527"/>
      <c r="CI331" s="527"/>
      <c r="CJ331" s="527"/>
      <c r="CK331" s="527"/>
      <c r="CL331" s="527"/>
      <c r="CM331" s="527"/>
      <c r="CN331" s="527"/>
      <c r="CO331" s="527"/>
      <c r="CP331" s="527"/>
      <c r="CQ331" s="527"/>
      <c r="CR331" s="527"/>
      <c r="CS331" s="527"/>
      <c r="CT331" s="527"/>
      <c r="CU331" s="527"/>
      <c r="CV331" s="527"/>
      <c r="CW331" s="527"/>
      <c r="CX331" s="527"/>
      <c r="CY331" s="527"/>
      <c r="CZ331" s="527"/>
      <c r="DA331" s="527"/>
      <c r="DB331" s="527"/>
      <c r="DC331" s="527"/>
      <c r="DD331" s="527"/>
      <c r="DE331" s="527"/>
      <c r="DF331" s="527"/>
      <c r="DG331" s="527"/>
      <c r="DH331" s="527"/>
      <c r="DI331" s="527"/>
      <c r="DJ331" s="527"/>
      <c r="DK331" s="527"/>
      <c r="DL331" s="527"/>
      <c r="DM331" s="527"/>
      <c r="DN331" s="527"/>
      <c r="DO331" s="527"/>
      <c r="DP331" s="531"/>
      <c r="DQ331" s="532">
        <f t="shared" ref="DQ331" si="126">SUMPRODUCT(--(MOD(COLUMN(BT331:CQ331),4)=MOD(COLUMN(BT331),4)),BT331:CQ331)+SUMPRODUCT(--(MOD(COLUMN(CR331:DO331),4)=MOD(COLUMN(CR331),4)),CR331:DO331)</f>
        <v>0</v>
      </c>
      <c r="DR331" s="532">
        <f t="shared" ref="DR331:DR351" si="127">SUMPRODUCT(--(MOD(COLUMN(BT331:CQ331),4)=MOD(COLUMN(BT331),4)),BT331:CQ331)*$I331+SUMPRODUCT(--(MOD(COLUMN(CR331:DO331),4)=MOD(COLUMN(CR331),4)),CR331:DO331)*$I331</f>
        <v>0</v>
      </c>
      <c r="DS331" s="533"/>
      <c r="DT331" s="534"/>
      <c r="DU331" s="527"/>
      <c r="DV331" s="527"/>
      <c r="DW331" s="527"/>
      <c r="DX331" s="527"/>
      <c r="DY331" s="527"/>
      <c r="DZ331" s="527"/>
      <c r="EA331" s="527"/>
      <c r="EB331" s="527"/>
      <c r="EC331" s="527"/>
      <c r="ED331" s="527"/>
      <c r="EE331" s="527"/>
      <c r="EF331" s="527"/>
      <c r="EG331" s="527"/>
      <c r="EH331" s="527"/>
      <c r="EI331" s="527"/>
      <c r="EJ331" s="527"/>
      <c r="EK331" s="527"/>
      <c r="EL331" s="527"/>
      <c r="EM331" s="527"/>
      <c r="EN331" s="527"/>
      <c r="EO331" s="527"/>
      <c r="EP331" s="527"/>
      <c r="EQ331" s="527"/>
      <c r="ER331" s="527"/>
      <c r="ES331" s="527"/>
      <c r="ET331" s="527"/>
      <c r="EU331" s="527"/>
      <c r="EV331" s="527"/>
      <c r="EW331" s="527"/>
      <c r="EX331" s="527"/>
      <c r="EY331" s="527"/>
      <c r="EZ331" s="527"/>
      <c r="FA331" s="527"/>
      <c r="FB331" s="527"/>
      <c r="FC331" s="527"/>
      <c r="FD331" s="527"/>
      <c r="FE331" s="527"/>
      <c r="FF331" s="527"/>
      <c r="FG331" s="527"/>
      <c r="FH331" s="527"/>
      <c r="FI331" s="527"/>
      <c r="FJ331" s="527"/>
      <c r="FK331" s="527"/>
      <c r="FL331" s="527"/>
      <c r="FM331" s="527"/>
      <c r="FN331" s="527"/>
      <c r="FO331" s="527"/>
      <c r="FP331" s="527"/>
      <c r="FQ331" s="531"/>
      <c r="FR331" s="532">
        <f t="shared" ref="FR331" si="128">SUMPRODUCT(--(MOD(COLUMN(DU331:ER331),4)=MOD(COLUMN(DU331),4)),DU331:ER331)+SUMPRODUCT(--(MOD(COLUMN(ES331:FP331),4)=MOD(COLUMN(ES331),4)),ES331:FP331)</f>
        <v>0</v>
      </c>
      <c r="FS331" s="532">
        <f t="shared" ref="FS331:FS351" si="129">SUMPRODUCT(--(MOD(COLUMN(DU331:ER331),4)=MOD(COLUMN(DU331),4)),DU331:ER331)*$I331+SUMPRODUCT(--(MOD(COLUMN(ES331:FP331),4)=MOD(COLUMN(ES331),4)),ES331:FP331)*$I331</f>
        <v>0</v>
      </c>
    </row>
    <row r="332" spans="1:176" s="63" customFormat="1" outlineLevel="2">
      <c r="A332" s="64" t="s">
        <v>468</v>
      </c>
      <c r="B332" s="65"/>
      <c r="C332" s="655"/>
      <c r="D332" s="655"/>
      <c r="E332" s="508"/>
      <c r="F332" s="65"/>
      <c r="G332" s="137"/>
      <c r="H332" s="65" t="s">
        <v>56</v>
      </c>
      <c r="I332" s="635"/>
      <c r="J332" s="635"/>
      <c r="K332" s="138"/>
      <c r="L332" s="635"/>
      <c r="M332" s="102"/>
      <c r="N332" s="305">
        <f t="shared" ref="N332:N342" si="130">IF(BP332&gt;0,1,IF(BN332&gt;0,2,))</f>
        <v>1</v>
      </c>
      <c r="O332" s="67">
        <f t="shared" ref="O332:X339" si="131">IFERROR(SUMPRODUCT(($A332=$A$6:$A$330)*$I$6:$I$330*O$6:O$330),"")</f>
        <v>17395.737704918032</v>
      </c>
      <c r="P332" s="67">
        <f t="shared" si="131"/>
        <v>0</v>
      </c>
      <c r="Q332" s="67">
        <f t="shared" si="131"/>
        <v>0</v>
      </c>
      <c r="R332" s="67">
        <f t="shared" si="131"/>
        <v>0</v>
      </c>
      <c r="S332" s="67">
        <f t="shared" si="131"/>
        <v>17395.737704918032</v>
      </c>
      <c r="T332" s="67">
        <f t="shared" si="131"/>
        <v>0</v>
      </c>
      <c r="U332" s="67">
        <f t="shared" si="131"/>
        <v>0</v>
      </c>
      <c r="V332" s="67">
        <f t="shared" si="131"/>
        <v>0</v>
      </c>
      <c r="W332" s="67">
        <f t="shared" si="131"/>
        <v>17395.737704918032</v>
      </c>
      <c r="X332" s="67">
        <f t="shared" si="131"/>
        <v>16955.737704918032</v>
      </c>
      <c r="Y332" s="67">
        <f t="shared" ref="Y332:AH339" si="132">IFERROR(SUMPRODUCT(($A332=$A$6:$A$330)*$I$6:$I$330*Y$6:Y$330),"")</f>
        <v>16955.737704918032</v>
      </c>
      <c r="Z332" s="67">
        <f t="shared" si="132"/>
        <v>0</v>
      </c>
      <c r="AA332" s="67">
        <f t="shared" si="132"/>
        <v>26093.60655737705</v>
      </c>
      <c r="AB332" s="67">
        <f t="shared" si="132"/>
        <v>16955.737704918032</v>
      </c>
      <c r="AC332" s="67">
        <f t="shared" si="132"/>
        <v>16955.737704918032</v>
      </c>
      <c r="AD332" s="67">
        <f t="shared" si="132"/>
        <v>0</v>
      </c>
      <c r="AE332" s="67">
        <f t="shared" si="132"/>
        <v>26093.60655737705</v>
      </c>
      <c r="AF332" s="67">
        <f t="shared" si="132"/>
        <v>0</v>
      </c>
      <c r="AG332" s="67">
        <f t="shared" si="132"/>
        <v>0</v>
      </c>
      <c r="AH332" s="67">
        <f t="shared" si="132"/>
        <v>0</v>
      </c>
      <c r="AI332" s="67">
        <f t="shared" ref="AI332:AR339" si="133">IFERROR(SUMPRODUCT(($A332=$A$6:$A$330)*$I$6:$I$330*AI$6:AI$330),"")</f>
        <v>26093.60655737705</v>
      </c>
      <c r="AJ332" s="67">
        <f t="shared" si="133"/>
        <v>33911.475409836065</v>
      </c>
      <c r="AK332" s="67">
        <f t="shared" si="133"/>
        <v>0</v>
      </c>
      <c r="AL332" s="67">
        <f t="shared" si="133"/>
        <v>0</v>
      </c>
      <c r="AM332" s="67">
        <f t="shared" si="133"/>
        <v>26093.60655737705</v>
      </c>
      <c r="AN332" s="67">
        <f t="shared" si="133"/>
        <v>16955.737704918032</v>
      </c>
      <c r="AO332" s="67">
        <f t="shared" si="133"/>
        <v>0</v>
      </c>
      <c r="AP332" s="67">
        <f t="shared" si="133"/>
        <v>0</v>
      </c>
      <c r="AQ332" s="67">
        <f t="shared" si="133"/>
        <v>26093.60655737705</v>
      </c>
      <c r="AR332" s="67">
        <f t="shared" si="133"/>
        <v>25433.60655737705</v>
      </c>
      <c r="AS332" s="67">
        <f t="shared" ref="AS332:BB339" si="134">IFERROR(SUMPRODUCT(($A332=$A$6:$A$330)*$I$6:$I$330*AS$6:AS$330),"")</f>
        <v>0</v>
      </c>
      <c r="AT332" s="67">
        <f t="shared" si="134"/>
        <v>0</v>
      </c>
      <c r="AU332" s="67">
        <f t="shared" si="134"/>
        <v>26093.60655737705</v>
      </c>
      <c r="AV332" s="67">
        <f t="shared" si="134"/>
        <v>26093.60655737705</v>
      </c>
      <c r="AW332" s="67">
        <f t="shared" si="134"/>
        <v>0</v>
      </c>
      <c r="AX332" s="67">
        <f t="shared" si="134"/>
        <v>0</v>
      </c>
      <c r="AY332" s="67">
        <f t="shared" si="134"/>
        <v>26093.60655737705</v>
      </c>
      <c r="AZ332" s="67">
        <f t="shared" si="134"/>
        <v>26093.60655737705</v>
      </c>
      <c r="BA332" s="67">
        <f t="shared" si="134"/>
        <v>0</v>
      </c>
      <c r="BB332" s="67">
        <f t="shared" si="134"/>
        <v>0</v>
      </c>
      <c r="BC332" s="67">
        <f t="shared" ref="BC332:BJ339" si="135">IFERROR(SUMPRODUCT(($A332=$A$6:$A$330)*$I$6:$I$330*BC$6:BC$330),"")</f>
        <v>26093.60655737705</v>
      </c>
      <c r="BD332" s="67">
        <f t="shared" si="135"/>
        <v>26093.60655737705</v>
      </c>
      <c r="BE332" s="67">
        <f t="shared" si="135"/>
        <v>0</v>
      </c>
      <c r="BF332" s="67">
        <f t="shared" si="135"/>
        <v>0</v>
      </c>
      <c r="BG332" s="67">
        <f t="shared" si="135"/>
        <v>26093.60655737705</v>
      </c>
      <c r="BH332" s="67">
        <f t="shared" si="135"/>
        <v>26093.60655737705</v>
      </c>
      <c r="BI332" s="67">
        <f t="shared" si="135"/>
        <v>0</v>
      </c>
      <c r="BJ332" s="67">
        <f t="shared" si="135"/>
        <v>0</v>
      </c>
      <c r="BK332" s="336"/>
      <c r="BL332" s="67">
        <f t="shared" si="120"/>
        <v>287029.67213114753</v>
      </c>
      <c r="BM332" s="67">
        <f t="shared" si="121"/>
        <v>0</v>
      </c>
      <c r="BN332" s="67">
        <f t="shared" si="122"/>
        <v>214586.72131147538</v>
      </c>
      <c r="BO332" s="67">
        <f t="shared" si="123"/>
        <v>0</v>
      </c>
      <c r="BP332" s="67">
        <f t="shared" si="124"/>
        <v>33911.475409836065</v>
      </c>
      <c r="BQ332" s="67">
        <f t="shared" si="125"/>
        <v>0</v>
      </c>
      <c r="BR332" s="52"/>
      <c r="BS332" s="342"/>
      <c r="BT332" s="67"/>
      <c r="BU332" s="67"/>
      <c r="BV332" s="67"/>
      <c r="BW332" s="67"/>
      <c r="BX332" s="67"/>
      <c r="BY332" s="67"/>
      <c r="BZ332" s="67"/>
      <c r="CA332" s="67"/>
      <c r="CB332" s="67"/>
      <c r="CC332" s="67"/>
      <c r="CD332" s="67"/>
      <c r="CE332" s="67"/>
      <c r="CF332" s="67"/>
      <c r="CG332" s="67"/>
      <c r="CH332" s="67"/>
      <c r="CI332" s="67"/>
      <c r="CJ332" s="67"/>
      <c r="CK332" s="67"/>
      <c r="CL332" s="67"/>
      <c r="CM332" s="67"/>
      <c r="CN332" s="67"/>
      <c r="CO332" s="67"/>
      <c r="CP332" s="67"/>
      <c r="CQ332" s="67"/>
      <c r="CR332" s="67"/>
      <c r="CS332" s="67"/>
      <c r="CT332" s="67"/>
      <c r="CU332" s="67"/>
      <c r="CV332" s="67"/>
      <c r="CW332" s="67"/>
      <c r="CX332" s="67"/>
      <c r="CY332" s="67"/>
      <c r="CZ332" s="67"/>
      <c r="DA332" s="67"/>
      <c r="DB332" s="67"/>
      <c r="DC332" s="67"/>
      <c r="DD332" s="67"/>
      <c r="DE332" s="67"/>
      <c r="DF332" s="67"/>
      <c r="DG332" s="67"/>
      <c r="DH332" s="67"/>
      <c r="DI332" s="67"/>
      <c r="DJ332" s="67"/>
      <c r="DK332" s="67"/>
      <c r="DL332" s="67"/>
      <c r="DM332" s="67"/>
      <c r="DN332" s="67"/>
      <c r="DO332" s="67"/>
      <c r="DP332" s="336"/>
      <c r="DQ332" s="67"/>
      <c r="DR332" s="67">
        <f t="shared" si="127"/>
        <v>0</v>
      </c>
      <c r="DS332" s="52"/>
      <c r="DT332" s="342"/>
      <c r="DU332" s="67"/>
      <c r="DV332" s="67"/>
      <c r="DW332" s="67"/>
      <c r="DX332" s="67"/>
      <c r="DY332" s="67"/>
      <c r="DZ332" s="67"/>
      <c r="EA332" s="67"/>
      <c r="EB332" s="67"/>
      <c r="EC332" s="67"/>
      <c r="ED332" s="67"/>
      <c r="EE332" s="67"/>
      <c r="EF332" s="67"/>
      <c r="EG332" s="67"/>
      <c r="EH332" s="67"/>
      <c r="EI332" s="67"/>
      <c r="EJ332" s="67"/>
      <c r="EK332" s="67"/>
      <c r="EL332" s="67"/>
      <c r="EM332" s="67"/>
      <c r="EN332" s="67"/>
      <c r="EO332" s="67"/>
      <c r="EP332" s="67"/>
      <c r="EQ332" s="67"/>
      <c r="ER332" s="67"/>
      <c r="ES332" s="67"/>
      <c r="ET332" s="67"/>
      <c r="EU332" s="67"/>
      <c r="EV332" s="67"/>
      <c r="EW332" s="67"/>
      <c r="EX332" s="67"/>
      <c r="EY332" s="67"/>
      <c r="EZ332" s="67"/>
      <c r="FA332" s="67"/>
      <c r="FB332" s="67"/>
      <c r="FC332" s="67"/>
      <c r="FD332" s="67"/>
      <c r="FE332" s="67"/>
      <c r="FF332" s="67"/>
      <c r="FG332" s="67"/>
      <c r="FH332" s="67"/>
      <c r="FI332" s="67"/>
      <c r="FJ332" s="67"/>
      <c r="FK332" s="67"/>
      <c r="FL332" s="67"/>
      <c r="FM332" s="67"/>
      <c r="FN332" s="67"/>
      <c r="FO332" s="67"/>
      <c r="FP332" s="67"/>
      <c r="FQ332" s="336"/>
      <c r="FR332" s="67"/>
      <c r="FS332" s="67">
        <f t="shared" si="129"/>
        <v>0</v>
      </c>
    </row>
    <row r="333" spans="1:176" s="63" customFormat="1" outlineLevel="2">
      <c r="A333" s="64" t="s">
        <v>481</v>
      </c>
      <c r="B333" s="65"/>
      <c r="C333" s="655"/>
      <c r="D333" s="655"/>
      <c r="E333" s="508"/>
      <c r="F333" s="65"/>
      <c r="G333" s="137"/>
      <c r="H333" s="65" t="s">
        <v>56</v>
      </c>
      <c r="I333" s="635"/>
      <c r="J333" s="635"/>
      <c r="K333" s="138"/>
      <c r="L333" s="635"/>
      <c r="M333" s="102"/>
      <c r="N333" s="305">
        <f t="shared" si="130"/>
        <v>1</v>
      </c>
      <c r="O333" s="67">
        <f t="shared" si="131"/>
        <v>0</v>
      </c>
      <c r="P333" s="67">
        <f t="shared" si="131"/>
        <v>0</v>
      </c>
      <c r="Q333" s="67">
        <f t="shared" si="131"/>
        <v>0</v>
      </c>
      <c r="R333" s="67">
        <f t="shared" si="131"/>
        <v>0</v>
      </c>
      <c r="S333" s="67">
        <f t="shared" si="131"/>
        <v>0</v>
      </c>
      <c r="T333" s="67">
        <f t="shared" si="131"/>
        <v>466.66666666666663</v>
      </c>
      <c r="U333" s="67">
        <f t="shared" si="131"/>
        <v>466.66666666666663</v>
      </c>
      <c r="V333" s="67">
        <f t="shared" si="131"/>
        <v>0</v>
      </c>
      <c r="W333" s="67">
        <f t="shared" si="131"/>
        <v>0</v>
      </c>
      <c r="X333" s="67">
        <f t="shared" si="131"/>
        <v>0</v>
      </c>
      <c r="Y333" s="67">
        <f t="shared" si="132"/>
        <v>0</v>
      </c>
      <c r="Z333" s="67">
        <f t="shared" si="132"/>
        <v>0</v>
      </c>
      <c r="AA333" s="67">
        <f t="shared" si="132"/>
        <v>0</v>
      </c>
      <c r="AB333" s="67">
        <f t="shared" si="132"/>
        <v>0</v>
      </c>
      <c r="AC333" s="67">
        <f t="shared" si="132"/>
        <v>0</v>
      </c>
      <c r="AD333" s="67">
        <f t="shared" si="132"/>
        <v>0</v>
      </c>
      <c r="AE333" s="67">
        <f t="shared" si="132"/>
        <v>0</v>
      </c>
      <c r="AF333" s="67">
        <f t="shared" si="132"/>
        <v>0</v>
      </c>
      <c r="AG333" s="67">
        <f t="shared" si="132"/>
        <v>0</v>
      </c>
      <c r="AH333" s="67">
        <f t="shared" si="132"/>
        <v>0</v>
      </c>
      <c r="AI333" s="67">
        <f t="shared" si="133"/>
        <v>0</v>
      </c>
      <c r="AJ333" s="67">
        <f t="shared" si="133"/>
        <v>26741.626229508198</v>
      </c>
      <c r="AK333" s="67">
        <f t="shared" si="133"/>
        <v>0</v>
      </c>
      <c r="AL333" s="67">
        <f t="shared" si="133"/>
        <v>0</v>
      </c>
      <c r="AM333" s="67">
        <f t="shared" si="133"/>
        <v>0</v>
      </c>
      <c r="AN333" s="67">
        <f t="shared" si="133"/>
        <v>0</v>
      </c>
      <c r="AO333" s="67">
        <f t="shared" si="133"/>
        <v>0</v>
      </c>
      <c r="AP333" s="67">
        <f t="shared" si="133"/>
        <v>0</v>
      </c>
      <c r="AQ333" s="67">
        <f t="shared" si="133"/>
        <v>0</v>
      </c>
      <c r="AR333" s="67">
        <f t="shared" si="133"/>
        <v>0</v>
      </c>
      <c r="AS333" s="67">
        <f t="shared" si="134"/>
        <v>0</v>
      </c>
      <c r="AT333" s="67">
        <f t="shared" si="134"/>
        <v>0</v>
      </c>
      <c r="AU333" s="67">
        <f t="shared" si="134"/>
        <v>0</v>
      </c>
      <c r="AV333" s="67">
        <f t="shared" si="134"/>
        <v>0</v>
      </c>
      <c r="AW333" s="67">
        <f t="shared" si="134"/>
        <v>0</v>
      </c>
      <c r="AX333" s="67">
        <f t="shared" si="134"/>
        <v>0</v>
      </c>
      <c r="AY333" s="67">
        <f t="shared" si="134"/>
        <v>0</v>
      </c>
      <c r="AZ333" s="67">
        <f t="shared" si="134"/>
        <v>0</v>
      </c>
      <c r="BA333" s="67">
        <f t="shared" si="134"/>
        <v>0</v>
      </c>
      <c r="BB333" s="67">
        <f t="shared" si="134"/>
        <v>0</v>
      </c>
      <c r="BC333" s="67">
        <f t="shared" si="135"/>
        <v>0</v>
      </c>
      <c r="BD333" s="67">
        <f t="shared" si="135"/>
        <v>0</v>
      </c>
      <c r="BE333" s="67">
        <f t="shared" si="135"/>
        <v>0</v>
      </c>
      <c r="BF333" s="67">
        <f t="shared" si="135"/>
        <v>0</v>
      </c>
      <c r="BG333" s="67">
        <f t="shared" si="135"/>
        <v>0</v>
      </c>
      <c r="BH333" s="67">
        <f t="shared" si="135"/>
        <v>0</v>
      </c>
      <c r="BI333" s="67">
        <f t="shared" si="135"/>
        <v>0</v>
      </c>
      <c r="BJ333" s="67">
        <f t="shared" si="135"/>
        <v>0</v>
      </c>
      <c r="BK333" s="336"/>
      <c r="BL333" s="67">
        <f t="shared" si="120"/>
        <v>0</v>
      </c>
      <c r="BM333" s="67">
        <f t="shared" si="121"/>
        <v>0</v>
      </c>
      <c r="BN333" s="67">
        <f t="shared" si="122"/>
        <v>27208.292896174866</v>
      </c>
      <c r="BO333" s="67">
        <f t="shared" si="123"/>
        <v>0</v>
      </c>
      <c r="BP333" s="67">
        <f t="shared" si="124"/>
        <v>466.66666666666663</v>
      </c>
      <c r="BQ333" s="67">
        <f t="shared" si="125"/>
        <v>0</v>
      </c>
      <c r="BR333" s="52"/>
      <c r="BS333" s="342"/>
      <c r="BT333" s="67"/>
      <c r="BU333" s="67"/>
      <c r="BV333" s="67"/>
      <c r="BW333" s="67"/>
      <c r="BX333" s="67"/>
      <c r="BY333" s="67"/>
      <c r="BZ333" s="67"/>
      <c r="CA333" s="67"/>
      <c r="CB333" s="67"/>
      <c r="CC333" s="67"/>
      <c r="CD333" s="67"/>
      <c r="CE333" s="67"/>
      <c r="CF333" s="67"/>
      <c r="CG333" s="67"/>
      <c r="CH333" s="67"/>
      <c r="CI333" s="67"/>
      <c r="CJ333" s="67"/>
      <c r="CK333" s="67"/>
      <c r="CL333" s="67"/>
      <c r="CM333" s="67"/>
      <c r="CN333" s="67"/>
      <c r="CO333" s="67"/>
      <c r="CP333" s="67"/>
      <c r="CQ333" s="67"/>
      <c r="CR333" s="67"/>
      <c r="CS333" s="67"/>
      <c r="CT333" s="67"/>
      <c r="CU333" s="67"/>
      <c r="CV333" s="67"/>
      <c r="CW333" s="67"/>
      <c r="CX333" s="67"/>
      <c r="CY333" s="67"/>
      <c r="CZ333" s="67"/>
      <c r="DA333" s="67"/>
      <c r="DB333" s="67"/>
      <c r="DC333" s="67"/>
      <c r="DD333" s="67"/>
      <c r="DE333" s="67"/>
      <c r="DF333" s="67"/>
      <c r="DG333" s="67"/>
      <c r="DH333" s="67"/>
      <c r="DI333" s="67"/>
      <c r="DJ333" s="67"/>
      <c r="DK333" s="67"/>
      <c r="DL333" s="67"/>
      <c r="DM333" s="67"/>
      <c r="DN333" s="67"/>
      <c r="DO333" s="67"/>
      <c r="DP333" s="336"/>
      <c r="DQ333" s="67"/>
      <c r="DR333" s="67">
        <f t="shared" si="127"/>
        <v>0</v>
      </c>
      <c r="DS333" s="52"/>
      <c r="DT333" s="342"/>
      <c r="DU333" s="67"/>
      <c r="DV333" s="67"/>
      <c r="DW333" s="67"/>
      <c r="DX333" s="67"/>
      <c r="DY333" s="67"/>
      <c r="DZ333" s="67"/>
      <c r="EA333" s="67"/>
      <c r="EB333" s="67"/>
      <c r="EC333" s="67"/>
      <c r="ED333" s="67"/>
      <c r="EE333" s="67"/>
      <c r="EF333" s="67"/>
      <c r="EG333" s="67"/>
      <c r="EH333" s="67"/>
      <c r="EI333" s="67"/>
      <c r="EJ333" s="67"/>
      <c r="EK333" s="67"/>
      <c r="EL333" s="67"/>
      <c r="EM333" s="67"/>
      <c r="EN333" s="67"/>
      <c r="EO333" s="67"/>
      <c r="EP333" s="67"/>
      <c r="EQ333" s="67"/>
      <c r="ER333" s="67"/>
      <c r="ES333" s="67"/>
      <c r="ET333" s="67"/>
      <c r="EU333" s="67"/>
      <c r="EV333" s="67"/>
      <c r="EW333" s="67"/>
      <c r="EX333" s="67"/>
      <c r="EY333" s="67"/>
      <c r="EZ333" s="67"/>
      <c r="FA333" s="67"/>
      <c r="FB333" s="67"/>
      <c r="FC333" s="67"/>
      <c r="FD333" s="67"/>
      <c r="FE333" s="67"/>
      <c r="FF333" s="67"/>
      <c r="FG333" s="67"/>
      <c r="FH333" s="67"/>
      <c r="FI333" s="67"/>
      <c r="FJ333" s="67"/>
      <c r="FK333" s="67"/>
      <c r="FL333" s="67"/>
      <c r="FM333" s="67"/>
      <c r="FN333" s="67"/>
      <c r="FO333" s="67"/>
      <c r="FP333" s="67"/>
      <c r="FQ333" s="336"/>
      <c r="FR333" s="67"/>
      <c r="FS333" s="67">
        <f t="shared" si="129"/>
        <v>0</v>
      </c>
    </row>
    <row r="334" spans="1:176" s="63" customFormat="1" outlineLevel="2">
      <c r="A334" s="64" t="s">
        <v>478</v>
      </c>
      <c r="B334" s="65"/>
      <c r="C334" s="655"/>
      <c r="D334" s="655"/>
      <c r="E334" s="508"/>
      <c r="F334" s="65"/>
      <c r="G334" s="137"/>
      <c r="H334" s="65" t="s">
        <v>56</v>
      </c>
      <c r="I334" s="635"/>
      <c r="J334" s="635"/>
      <c r="K334" s="138"/>
      <c r="L334" s="635"/>
      <c r="M334" s="102"/>
      <c r="N334" s="305">
        <f t="shared" ref="N334" si="136">IF(BP334&gt;0,1,IF(BN334&gt;0,2,))</f>
        <v>1</v>
      </c>
      <c r="O334" s="67">
        <f t="shared" si="131"/>
        <v>0</v>
      </c>
      <c r="P334" s="67">
        <f t="shared" si="131"/>
        <v>14819.918032786885</v>
      </c>
      <c r="Q334" s="67">
        <f t="shared" si="131"/>
        <v>14819.918032786885</v>
      </c>
      <c r="R334" s="67">
        <f t="shared" si="131"/>
        <v>0</v>
      </c>
      <c r="S334" s="67">
        <f t="shared" si="131"/>
        <v>0</v>
      </c>
      <c r="T334" s="67">
        <f t="shared" si="131"/>
        <v>0</v>
      </c>
      <c r="U334" s="67">
        <f t="shared" si="131"/>
        <v>0</v>
      </c>
      <c r="V334" s="67">
        <f t="shared" si="131"/>
        <v>0</v>
      </c>
      <c r="W334" s="67">
        <f t="shared" si="131"/>
        <v>0</v>
      </c>
      <c r="X334" s="67">
        <f t="shared" si="131"/>
        <v>0</v>
      </c>
      <c r="Y334" s="67">
        <f t="shared" si="132"/>
        <v>0</v>
      </c>
      <c r="Z334" s="67">
        <f t="shared" si="132"/>
        <v>0</v>
      </c>
      <c r="AA334" s="67">
        <f t="shared" si="132"/>
        <v>0</v>
      </c>
      <c r="AB334" s="67">
        <f t="shared" si="132"/>
        <v>0</v>
      </c>
      <c r="AC334" s="67">
        <f t="shared" si="132"/>
        <v>0</v>
      </c>
      <c r="AD334" s="67">
        <f t="shared" si="132"/>
        <v>0</v>
      </c>
      <c r="AE334" s="67">
        <f t="shared" si="132"/>
        <v>0</v>
      </c>
      <c r="AF334" s="67">
        <f t="shared" si="132"/>
        <v>0</v>
      </c>
      <c r="AG334" s="67">
        <f t="shared" si="132"/>
        <v>0</v>
      </c>
      <c r="AH334" s="67">
        <f t="shared" si="132"/>
        <v>0</v>
      </c>
      <c r="AI334" s="67">
        <f t="shared" si="133"/>
        <v>0</v>
      </c>
      <c r="AJ334" s="67">
        <f t="shared" si="133"/>
        <v>0</v>
      </c>
      <c r="AK334" s="67">
        <f t="shared" si="133"/>
        <v>0</v>
      </c>
      <c r="AL334" s="67">
        <f t="shared" si="133"/>
        <v>0</v>
      </c>
      <c r="AM334" s="67">
        <f t="shared" si="133"/>
        <v>0</v>
      </c>
      <c r="AN334" s="67">
        <f t="shared" si="133"/>
        <v>0</v>
      </c>
      <c r="AO334" s="67">
        <f t="shared" si="133"/>
        <v>0</v>
      </c>
      <c r="AP334" s="67">
        <f t="shared" si="133"/>
        <v>0</v>
      </c>
      <c r="AQ334" s="67">
        <f t="shared" si="133"/>
        <v>0</v>
      </c>
      <c r="AR334" s="67">
        <f t="shared" si="133"/>
        <v>0</v>
      </c>
      <c r="AS334" s="67">
        <f t="shared" si="134"/>
        <v>0</v>
      </c>
      <c r="AT334" s="67">
        <f t="shared" si="134"/>
        <v>0</v>
      </c>
      <c r="AU334" s="67">
        <f t="shared" si="134"/>
        <v>0</v>
      </c>
      <c r="AV334" s="67">
        <f t="shared" si="134"/>
        <v>0</v>
      </c>
      <c r="AW334" s="67">
        <f t="shared" si="134"/>
        <v>0</v>
      </c>
      <c r="AX334" s="67">
        <f t="shared" si="134"/>
        <v>0</v>
      </c>
      <c r="AY334" s="67">
        <f t="shared" si="134"/>
        <v>0</v>
      </c>
      <c r="AZ334" s="67">
        <f t="shared" si="134"/>
        <v>0</v>
      </c>
      <c r="BA334" s="67">
        <f t="shared" si="134"/>
        <v>0</v>
      </c>
      <c r="BB334" s="67">
        <f t="shared" si="134"/>
        <v>0</v>
      </c>
      <c r="BC334" s="67">
        <f t="shared" si="135"/>
        <v>0</v>
      </c>
      <c r="BD334" s="67">
        <f t="shared" si="135"/>
        <v>0</v>
      </c>
      <c r="BE334" s="67">
        <f t="shared" si="135"/>
        <v>0</v>
      </c>
      <c r="BF334" s="67">
        <f t="shared" si="135"/>
        <v>0</v>
      </c>
      <c r="BG334" s="67">
        <f t="shared" si="135"/>
        <v>0</v>
      </c>
      <c r="BH334" s="67">
        <f t="shared" si="135"/>
        <v>0</v>
      </c>
      <c r="BI334" s="67">
        <f t="shared" si="135"/>
        <v>0</v>
      </c>
      <c r="BJ334" s="67">
        <f t="shared" si="135"/>
        <v>0</v>
      </c>
      <c r="BK334" s="336"/>
      <c r="BL334" s="67">
        <f t="shared" si="120"/>
        <v>0</v>
      </c>
      <c r="BM334" s="67">
        <f t="shared" si="121"/>
        <v>0</v>
      </c>
      <c r="BN334" s="67">
        <f t="shared" si="122"/>
        <v>14819.918032786885</v>
      </c>
      <c r="BO334" s="67">
        <f t="shared" si="123"/>
        <v>0</v>
      </c>
      <c r="BP334" s="67">
        <f t="shared" si="124"/>
        <v>14819.918032786885</v>
      </c>
      <c r="BQ334" s="67">
        <f t="shared" si="125"/>
        <v>0</v>
      </c>
      <c r="BR334" s="52"/>
      <c r="BS334" s="342"/>
      <c r="BT334" s="67"/>
      <c r="BU334" s="67"/>
      <c r="BV334" s="67"/>
      <c r="BW334" s="67"/>
      <c r="BX334" s="67"/>
      <c r="BY334" s="67"/>
      <c r="BZ334" s="67"/>
      <c r="CA334" s="67"/>
      <c r="CB334" s="67"/>
      <c r="CC334" s="67"/>
      <c r="CD334" s="67"/>
      <c r="CE334" s="67"/>
      <c r="CF334" s="67"/>
      <c r="CG334" s="67"/>
      <c r="CH334" s="67"/>
      <c r="CI334" s="67"/>
      <c r="CJ334" s="67"/>
      <c r="CK334" s="67"/>
      <c r="CL334" s="67"/>
      <c r="CM334" s="67"/>
      <c r="CN334" s="67"/>
      <c r="CO334" s="67"/>
      <c r="CP334" s="67"/>
      <c r="CQ334" s="67"/>
      <c r="CR334" s="67"/>
      <c r="CS334" s="67"/>
      <c r="CT334" s="67"/>
      <c r="CU334" s="67"/>
      <c r="CV334" s="67"/>
      <c r="CW334" s="67"/>
      <c r="CX334" s="67"/>
      <c r="CY334" s="67"/>
      <c r="CZ334" s="67"/>
      <c r="DA334" s="67"/>
      <c r="DB334" s="67"/>
      <c r="DC334" s="67"/>
      <c r="DD334" s="67"/>
      <c r="DE334" s="67"/>
      <c r="DF334" s="67"/>
      <c r="DG334" s="67"/>
      <c r="DH334" s="67"/>
      <c r="DI334" s="67"/>
      <c r="DJ334" s="67"/>
      <c r="DK334" s="67"/>
      <c r="DL334" s="67"/>
      <c r="DM334" s="67"/>
      <c r="DN334" s="67"/>
      <c r="DO334" s="67"/>
      <c r="DP334" s="336"/>
      <c r="DQ334" s="67"/>
      <c r="DR334" s="67">
        <f t="shared" si="127"/>
        <v>0</v>
      </c>
      <c r="DS334" s="52"/>
      <c r="DT334" s="342"/>
      <c r="DU334" s="67"/>
      <c r="DV334" s="67"/>
      <c r="DW334" s="67"/>
      <c r="DX334" s="67"/>
      <c r="DY334" s="67"/>
      <c r="DZ334" s="67"/>
      <c r="EA334" s="67"/>
      <c r="EB334" s="67"/>
      <c r="EC334" s="67"/>
      <c r="ED334" s="67"/>
      <c r="EE334" s="67"/>
      <c r="EF334" s="67"/>
      <c r="EG334" s="67"/>
      <c r="EH334" s="67"/>
      <c r="EI334" s="67"/>
      <c r="EJ334" s="67"/>
      <c r="EK334" s="67"/>
      <c r="EL334" s="67"/>
      <c r="EM334" s="67"/>
      <c r="EN334" s="67"/>
      <c r="EO334" s="67"/>
      <c r="EP334" s="67"/>
      <c r="EQ334" s="67"/>
      <c r="ER334" s="67"/>
      <c r="ES334" s="67"/>
      <c r="ET334" s="67"/>
      <c r="EU334" s="67"/>
      <c r="EV334" s="67"/>
      <c r="EW334" s="67"/>
      <c r="EX334" s="67"/>
      <c r="EY334" s="67"/>
      <c r="EZ334" s="67"/>
      <c r="FA334" s="67"/>
      <c r="FB334" s="67"/>
      <c r="FC334" s="67"/>
      <c r="FD334" s="67"/>
      <c r="FE334" s="67"/>
      <c r="FF334" s="67"/>
      <c r="FG334" s="67"/>
      <c r="FH334" s="67"/>
      <c r="FI334" s="67"/>
      <c r="FJ334" s="67"/>
      <c r="FK334" s="67"/>
      <c r="FL334" s="67"/>
      <c r="FM334" s="67"/>
      <c r="FN334" s="67"/>
      <c r="FO334" s="67"/>
      <c r="FP334" s="67"/>
      <c r="FQ334" s="336"/>
      <c r="FR334" s="67"/>
      <c r="FS334" s="67">
        <f t="shared" si="129"/>
        <v>0</v>
      </c>
    </row>
    <row r="335" spans="1:176" s="63" customFormat="1" outlineLevel="2">
      <c r="A335" s="64" t="s">
        <v>480</v>
      </c>
      <c r="B335" s="65"/>
      <c r="C335" s="655"/>
      <c r="D335" s="655"/>
      <c r="E335" s="508"/>
      <c r="F335" s="65"/>
      <c r="G335" s="137"/>
      <c r="H335" s="65" t="s">
        <v>56</v>
      </c>
      <c r="I335" s="635"/>
      <c r="J335" s="635"/>
      <c r="K335" s="138"/>
      <c r="L335" s="635"/>
      <c r="M335" s="102"/>
      <c r="N335" s="305">
        <f t="shared" si="130"/>
        <v>1</v>
      </c>
      <c r="O335" s="67">
        <f t="shared" si="131"/>
        <v>0</v>
      </c>
      <c r="P335" s="67">
        <f t="shared" si="131"/>
        <v>0</v>
      </c>
      <c r="Q335" s="67">
        <f t="shared" si="131"/>
        <v>0</v>
      </c>
      <c r="R335" s="67">
        <f t="shared" si="131"/>
        <v>0</v>
      </c>
      <c r="S335" s="67">
        <f t="shared" si="131"/>
        <v>0</v>
      </c>
      <c r="T335" s="67">
        <f t="shared" si="131"/>
        <v>23448.773224043718</v>
      </c>
      <c r="U335" s="67">
        <f t="shared" si="131"/>
        <v>23448.773224043718</v>
      </c>
      <c r="V335" s="67">
        <f t="shared" si="131"/>
        <v>0</v>
      </c>
      <c r="W335" s="67">
        <f t="shared" si="131"/>
        <v>0</v>
      </c>
      <c r="X335" s="67">
        <f t="shared" si="131"/>
        <v>0</v>
      </c>
      <c r="Y335" s="67">
        <f t="shared" si="132"/>
        <v>0</v>
      </c>
      <c r="Z335" s="67">
        <f t="shared" si="132"/>
        <v>0</v>
      </c>
      <c r="AA335" s="67">
        <f t="shared" si="132"/>
        <v>0</v>
      </c>
      <c r="AB335" s="67">
        <f t="shared" si="132"/>
        <v>0</v>
      </c>
      <c r="AC335" s="67">
        <f t="shared" si="132"/>
        <v>0</v>
      </c>
      <c r="AD335" s="67">
        <f t="shared" si="132"/>
        <v>0</v>
      </c>
      <c r="AE335" s="67">
        <f t="shared" si="132"/>
        <v>0</v>
      </c>
      <c r="AF335" s="67">
        <f t="shared" si="132"/>
        <v>14207.650273224042</v>
      </c>
      <c r="AG335" s="67">
        <f t="shared" si="132"/>
        <v>14207.650273224042</v>
      </c>
      <c r="AH335" s="67">
        <f t="shared" si="132"/>
        <v>0</v>
      </c>
      <c r="AI335" s="67">
        <f t="shared" si="133"/>
        <v>0</v>
      </c>
      <c r="AJ335" s="67">
        <f t="shared" si="133"/>
        <v>0</v>
      </c>
      <c r="AK335" s="67">
        <f t="shared" si="133"/>
        <v>0</v>
      </c>
      <c r="AL335" s="67">
        <f t="shared" si="133"/>
        <v>0</v>
      </c>
      <c r="AM335" s="67">
        <f t="shared" si="133"/>
        <v>0</v>
      </c>
      <c r="AN335" s="67">
        <f t="shared" si="133"/>
        <v>0</v>
      </c>
      <c r="AO335" s="67">
        <f t="shared" si="133"/>
        <v>0</v>
      </c>
      <c r="AP335" s="67">
        <f t="shared" si="133"/>
        <v>0</v>
      </c>
      <c r="AQ335" s="67">
        <f t="shared" si="133"/>
        <v>0</v>
      </c>
      <c r="AR335" s="67">
        <f t="shared" si="133"/>
        <v>0</v>
      </c>
      <c r="AS335" s="67">
        <f t="shared" si="134"/>
        <v>0</v>
      </c>
      <c r="AT335" s="67">
        <f t="shared" si="134"/>
        <v>0</v>
      </c>
      <c r="AU335" s="67">
        <f t="shared" si="134"/>
        <v>0</v>
      </c>
      <c r="AV335" s="67">
        <f t="shared" si="134"/>
        <v>0</v>
      </c>
      <c r="AW335" s="67">
        <f t="shared" si="134"/>
        <v>0</v>
      </c>
      <c r="AX335" s="67">
        <f t="shared" si="134"/>
        <v>0</v>
      </c>
      <c r="AY335" s="67">
        <f t="shared" si="134"/>
        <v>0</v>
      </c>
      <c r="AZ335" s="67">
        <f t="shared" si="134"/>
        <v>0</v>
      </c>
      <c r="BA335" s="67">
        <f t="shared" si="134"/>
        <v>0</v>
      </c>
      <c r="BB335" s="67">
        <f t="shared" si="134"/>
        <v>0</v>
      </c>
      <c r="BC335" s="67">
        <f t="shared" si="135"/>
        <v>0</v>
      </c>
      <c r="BD335" s="67">
        <f t="shared" si="135"/>
        <v>0</v>
      </c>
      <c r="BE335" s="67">
        <f t="shared" si="135"/>
        <v>0</v>
      </c>
      <c r="BF335" s="67">
        <f t="shared" si="135"/>
        <v>0</v>
      </c>
      <c r="BG335" s="67">
        <f t="shared" si="135"/>
        <v>0</v>
      </c>
      <c r="BH335" s="67">
        <f t="shared" si="135"/>
        <v>0</v>
      </c>
      <c r="BI335" s="67">
        <f t="shared" si="135"/>
        <v>0</v>
      </c>
      <c r="BJ335" s="67">
        <f t="shared" si="135"/>
        <v>0</v>
      </c>
      <c r="BK335" s="336"/>
      <c r="BL335" s="67">
        <f t="shared" si="120"/>
        <v>0</v>
      </c>
      <c r="BM335" s="67">
        <f t="shared" si="121"/>
        <v>0</v>
      </c>
      <c r="BN335" s="67">
        <f t="shared" si="122"/>
        <v>37656.423497267759</v>
      </c>
      <c r="BO335" s="67">
        <f t="shared" si="123"/>
        <v>0</v>
      </c>
      <c r="BP335" s="67">
        <f t="shared" si="124"/>
        <v>37656.423497267759</v>
      </c>
      <c r="BQ335" s="67">
        <f t="shared" si="125"/>
        <v>0</v>
      </c>
      <c r="BR335" s="52"/>
      <c r="BS335" s="342"/>
      <c r="BT335" s="67"/>
      <c r="BU335" s="67"/>
      <c r="BV335" s="67"/>
      <c r="BW335" s="67"/>
      <c r="BX335" s="67"/>
      <c r="BY335" s="67"/>
      <c r="BZ335" s="67"/>
      <c r="CA335" s="67"/>
      <c r="CB335" s="67"/>
      <c r="CC335" s="67"/>
      <c r="CD335" s="67"/>
      <c r="CE335" s="67"/>
      <c r="CF335" s="67"/>
      <c r="CG335" s="67"/>
      <c r="CH335" s="67"/>
      <c r="CI335" s="67"/>
      <c r="CJ335" s="67"/>
      <c r="CK335" s="67"/>
      <c r="CL335" s="67"/>
      <c r="CM335" s="67"/>
      <c r="CN335" s="67"/>
      <c r="CO335" s="67"/>
      <c r="CP335" s="67"/>
      <c r="CQ335" s="67"/>
      <c r="CR335" s="67"/>
      <c r="CS335" s="67"/>
      <c r="CT335" s="67"/>
      <c r="CU335" s="67"/>
      <c r="CV335" s="67"/>
      <c r="CW335" s="67"/>
      <c r="CX335" s="67"/>
      <c r="CY335" s="67"/>
      <c r="CZ335" s="67"/>
      <c r="DA335" s="67"/>
      <c r="DB335" s="67"/>
      <c r="DC335" s="67"/>
      <c r="DD335" s="67"/>
      <c r="DE335" s="67"/>
      <c r="DF335" s="67"/>
      <c r="DG335" s="67"/>
      <c r="DH335" s="67"/>
      <c r="DI335" s="67"/>
      <c r="DJ335" s="67"/>
      <c r="DK335" s="67"/>
      <c r="DL335" s="67"/>
      <c r="DM335" s="67"/>
      <c r="DN335" s="67"/>
      <c r="DO335" s="67"/>
      <c r="DP335" s="336"/>
      <c r="DQ335" s="67"/>
      <c r="DR335" s="67">
        <f t="shared" si="127"/>
        <v>0</v>
      </c>
      <c r="DS335" s="52"/>
      <c r="DT335" s="342"/>
      <c r="DU335" s="67"/>
      <c r="DV335" s="67"/>
      <c r="DW335" s="67"/>
      <c r="DX335" s="67"/>
      <c r="DY335" s="67"/>
      <c r="DZ335" s="67"/>
      <c r="EA335" s="67"/>
      <c r="EB335" s="67"/>
      <c r="EC335" s="67"/>
      <c r="ED335" s="67"/>
      <c r="EE335" s="67"/>
      <c r="EF335" s="67"/>
      <c r="EG335" s="67"/>
      <c r="EH335" s="67"/>
      <c r="EI335" s="67"/>
      <c r="EJ335" s="67"/>
      <c r="EK335" s="67"/>
      <c r="EL335" s="67"/>
      <c r="EM335" s="67"/>
      <c r="EN335" s="67"/>
      <c r="EO335" s="67"/>
      <c r="EP335" s="67"/>
      <c r="EQ335" s="67"/>
      <c r="ER335" s="67"/>
      <c r="ES335" s="67"/>
      <c r="ET335" s="67"/>
      <c r="EU335" s="67"/>
      <c r="EV335" s="67"/>
      <c r="EW335" s="67"/>
      <c r="EX335" s="67"/>
      <c r="EY335" s="67"/>
      <c r="EZ335" s="67"/>
      <c r="FA335" s="67"/>
      <c r="FB335" s="67"/>
      <c r="FC335" s="67"/>
      <c r="FD335" s="67"/>
      <c r="FE335" s="67"/>
      <c r="FF335" s="67"/>
      <c r="FG335" s="67"/>
      <c r="FH335" s="67"/>
      <c r="FI335" s="67"/>
      <c r="FJ335" s="67"/>
      <c r="FK335" s="67"/>
      <c r="FL335" s="67"/>
      <c r="FM335" s="67"/>
      <c r="FN335" s="67"/>
      <c r="FO335" s="67"/>
      <c r="FP335" s="67"/>
      <c r="FQ335" s="336"/>
      <c r="FR335" s="67"/>
      <c r="FS335" s="67">
        <f t="shared" si="129"/>
        <v>0</v>
      </c>
    </row>
    <row r="336" spans="1:176" s="63" customFormat="1" outlineLevel="2">
      <c r="A336" s="64" t="s">
        <v>479</v>
      </c>
      <c r="B336" s="65"/>
      <c r="C336" s="655"/>
      <c r="D336" s="655"/>
      <c r="E336" s="508"/>
      <c r="F336" s="65"/>
      <c r="G336" s="137"/>
      <c r="H336" s="65" t="s">
        <v>56</v>
      </c>
      <c r="I336" s="635"/>
      <c r="J336" s="635"/>
      <c r="K336" s="138"/>
      <c r="L336" s="635"/>
      <c r="M336" s="102"/>
      <c r="N336" s="305">
        <f t="shared" si="130"/>
        <v>0</v>
      </c>
      <c r="O336" s="67">
        <f t="shared" si="131"/>
        <v>0</v>
      </c>
      <c r="P336" s="67">
        <f t="shared" si="131"/>
        <v>0</v>
      </c>
      <c r="Q336" s="67">
        <f t="shared" si="131"/>
        <v>0</v>
      </c>
      <c r="R336" s="67">
        <f t="shared" si="131"/>
        <v>0</v>
      </c>
      <c r="S336" s="67">
        <f t="shared" si="131"/>
        <v>0</v>
      </c>
      <c r="T336" s="67">
        <f t="shared" si="131"/>
        <v>0</v>
      </c>
      <c r="U336" s="67">
        <f t="shared" si="131"/>
        <v>0</v>
      </c>
      <c r="V336" s="67">
        <f t="shared" si="131"/>
        <v>0</v>
      </c>
      <c r="W336" s="67">
        <f t="shared" si="131"/>
        <v>0</v>
      </c>
      <c r="X336" s="67">
        <f t="shared" si="131"/>
        <v>0</v>
      </c>
      <c r="Y336" s="67">
        <f t="shared" si="132"/>
        <v>0</v>
      </c>
      <c r="Z336" s="67">
        <f t="shared" si="132"/>
        <v>0</v>
      </c>
      <c r="AA336" s="67">
        <f t="shared" si="132"/>
        <v>0</v>
      </c>
      <c r="AB336" s="67">
        <f t="shared" si="132"/>
        <v>0</v>
      </c>
      <c r="AC336" s="67">
        <f t="shared" si="132"/>
        <v>0</v>
      </c>
      <c r="AD336" s="67">
        <f t="shared" si="132"/>
        <v>0</v>
      </c>
      <c r="AE336" s="67">
        <f t="shared" si="132"/>
        <v>0</v>
      </c>
      <c r="AF336" s="67">
        <f t="shared" si="132"/>
        <v>0</v>
      </c>
      <c r="AG336" s="67">
        <f t="shared" si="132"/>
        <v>0</v>
      </c>
      <c r="AH336" s="67">
        <f t="shared" si="132"/>
        <v>0</v>
      </c>
      <c r="AI336" s="67">
        <f t="shared" si="133"/>
        <v>0</v>
      </c>
      <c r="AJ336" s="67">
        <f t="shared" si="133"/>
        <v>0</v>
      </c>
      <c r="AK336" s="67">
        <f t="shared" si="133"/>
        <v>0</v>
      </c>
      <c r="AL336" s="67">
        <f t="shared" si="133"/>
        <v>0</v>
      </c>
      <c r="AM336" s="67">
        <f t="shared" si="133"/>
        <v>0</v>
      </c>
      <c r="AN336" s="67">
        <f t="shared" si="133"/>
        <v>0</v>
      </c>
      <c r="AO336" s="67">
        <f t="shared" si="133"/>
        <v>0</v>
      </c>
      <c r="AP336" s="67">
        <f t="shared" si="133"/>
        <v>0</v>
      </c>
      <c r="AQ336" s="67">
        <f t="shared" si="133"/>
        <v>0</v>
      </c>
      <c r="AR336" s="67">
        <f t="shared" si="133"/>
        <v>0</v>
      </c>
      <c r="AS336" s="67">
        <f t="shared" si="134"/>
        <v>0</v>
      </c>
      <c r="AT336" s="67">
        <f t="shared" si="134"/>
        <v>0</v>
      </c>
      <c r="AU336" s="67">
        <f t="shared" si="134"/>
        <v>0</v>
      </c>
      <c r="AV336" s="67">
        <f t="shared" si="134"/>
        <v>0</v>
      </c>
      <c r="AW336" s="67">
        <f t="shared" si="134"/>
        <v>0</v>
      </c>
      <c r="AX336" s="67">
        <f t="shared" si="134"/>
        <v>0</v>
      </c>
      <c r="AY336" s="67">
        <f t="shared" si="134"/>
        <v>0</v>
      </c>
      <c r="AZ336" s="67">
        <f t="shared" si="134"/>
        <v>0</v>
      </c>
      <c r="BA336" s="67">
        <f t="shared" si="134"/>
        <v>0</v>
      </c>
      <c r="BB336" s="67">
        <f t="shared" si="134"/>
        <v>0</v>
      </c>
      <c r="BC336" s="67">
        <f t="shared" si="135"/>
        <v>0</v>
      </c>
      <c r="BD336" s="67">
        <f t="shared" si="135"/>
        <v>0</v>
      </c>
      <c r="BE336" s="67">
        <f t="shared" si="135"/>
        <v>0</v>
      </c>
      <c r="BF336" s="67">
        <f t="shared" si="135"/>
        <v>0</v>
      </c>
      <c r="BG336" s="67">
        <f t="shared" si="135"/>
        <v>0</v>
      </c>
      <c r="BH336" s="67">
        <f t="shared" si="135"/>
        <v>0</v>
      </c>
      <c r="BI336" s="67">
        <f t="shared" si="135"/>
        <v>0</v>
      </c>
      <c r="BJ336" s="67">
        <f t="shared" si="135"/>
        <v>0</v>
      </c>
      <c r="BK336" s="336"/>
      <c r="BL336" s="67">
        <f t="shared" si="120"/>
        <v>0</v>
      </c>
      <c r="BM336" s="67">
        <f t="shared" si="121"/>
        <v>0</v>
      </c>
      <c r="BN336" s="67">
        <f t="shared" si="122"/>
        <v>0</v>
      </c>
      <c r="BO336" s="67">
        <f t="shared" si="123"/>
        <v>0</v>
      </c>
      <c r="BP336" s="67">
        <f t="shared" si="124"/>
        <v>0</v>
      </c>
      <c r="BQ336" s="67">
        <f t="shared" si="125"/>
        <v>0</v>
      </c>
      <c r="BR336" s="52"/>
      <c r="BS336" s="342"/>
      <c r="BT336" s="67"/>
      <c r="BU336" s="67"/>
      <c r="BV336" s="67"/>
      <c r="BW336" s="67"/>
      <c r="BX336" s="67"/>
      <c r="BY336" s="67"/>
      <c r="BZ336" s="67"/>
      <c r="CA336" s="67"/>
      <c r="CB336" s="67"/>
      <c r="CC336" s="67"/>
      <c r="CD336" s="67"/>
      <c r="CE336" s="67"/>
      <c r="CF336" s="67"/>
      <c r="CG336" s="67"/>
      <c r="CH336" s="67"/>
      <c r="CI336" s="67"/>
      <c r="CJ336" s="67"/>
      <c r="CK336" s="67"/>
      <c r="CL336" s="67"/>
      <c r="CM336" s="67"/>
      <c r="CN336" s="67"/>
      <c r="CO336" s="67"/>
      <c r="CP336" s="67"/>
      <c r="CQ336" s="67"/>
      <c r="CR336" s="67"/>
      <c r="CS336" s="67"/>
      <c r="CT336" s="67"/>
      <c r="CU336" s="67"/>
      <c r="CV336" s="67"/>
      <c r="CW336" s="67"/>
      <c r="CX336" s="67"/>
      <c r="CY336" s="67"/>
      <c r="CZ336" s="67"/>
      <c r="DA336" s="67"/>
      <c r="DB336" s="67"/>
      <c r="DC336" s="67"/>
      <c r="DD336" s="67"/>
      <c r="DE336" s="67"/>
      <c r="DF336" s="67"/>
      <c r="DG336" s="67"/>
      <c r="DH336" s="67"/>
      <c r="DI336" s="67"/>
      <c r="DJ336" s="67"/>
      <c r="DK336" s="67"/>
      <c r="DL336" s="67"/>
      <c r="DM336" s="67"/>
      <c r="DN336" s="67"/>
      <c r="DO336" s="67"/>
      <c r="DP336" s="336"/>
      <c r="DQ336" s="67"/>
      <c r="DR336" s="67">
        <f t="shared" si="127"/>
        <v>0</v>
      </c>
      <c r="DS336" s="52"/>
      <c r="DT336" s="342"/>
      <c r="DU336" s="67"/>
      <c r="DV336" s="67"/>
      <c r="DW336" s="67"/>
      <c r="DX336" s="67"/>
      <c r="DY336" s="67"/>
      <c r="DZ336" s="67"/>
      <c r="EA336" s="67"/>
      <c r="EB336" s="67"/>
      <c r="EC336" s="67"/>
      <c r="ED336" s="67"/>
      <c r="EE336" s="67"/>
      <c r="EF336" s="67"/>
      <c r="EG336" s="67"/>
      <c r="EH336" s="67"/>
      <c r="EI336" s="67"/>
      <c r="EJ336" s="67"/>
      <c r="EK336" s="67"/>
      <c r="EL336" s="67"/>
      <c r="EM336" s="67"/>
      <c r="EN336" s="67"/>
      <c r="EO336" s="67"/>
      <c r="EP336" s="67"/>
      <c r="EQ336" s="67"/>
      <c r="ER336" s="67"/>
      <c r="ES336" s="67"/>
      <c r="ET336" s="67"/>
      <c r="EU336" s="67"/>
      <c r="EV336" s="67"/>
      <c r="EW336" s="67"/>
      <c r="EX336" s="67"/>
      <c r="EY336" s="67"/>
      <c r="EZ336" s="67"/>
      <c r="FA336" s="67"/>
      <c r="FB336" s="67"/>
      <c r="FC336" s="67"/>
      <c r="FD336" s="67"/>
      <c r="FE336" s="67"/>
      <c r="FF336" s="67"/>
      <c r="FG336" s="67"/>
      <c r="FH336" s="67"/>
      <c r="FI336" s="67"/>
      <c r="FJ336" s="67"/>
      <c r="FK336" s="67"/>
      <c r="FL336" s="67"/>
      <c r="FM336" s="67"/>
      <c r="FN336" s="67"/>
      <c r="FO336" s="67"/>
      <c r="FP336" s="67"/>
      <c r="FQ336" s="336"/>
      <c r="FR336" s="67"/>
      <c r="FS336" s="67">
        <f t="shared" si="129"/>
        <v>0</v>
      </c>
    </row>
    <row r="337" spans="1:175" s="63" customFormat="1" outlineLevel="2">
      <c r="A337" s="64" t="s">
        <v>469</v>
      </c>
      <c r="B337" s="65"/>
      <c r="C337" s="655"/>
      <c r="D337" s="655"/>
      <c r="E337" s="508"/>
      <c r="F337" s="65"/>
      <c r="G337" s="137"/>
      <c r="H337" s="65" t="s">
        <v>56</v>
      </c>
      <c r="I337" s="635"/>
      <c r="J337" s="635"/>
      <c r="K337" s="138"/>
      <c r="L337" s="635"/>
      <c r="M337" s="102"/>
      <c r="N337" s="305">
        <f t="shared" si="130"/>
        <v>1</v>
      </c>
      <c r="O337" s="67">
        <f t="shared" si="131"/>
        <v>201741.63934426231</v>
      </c>
      <c r="P337" s="67">
        <f t="shared" si="131"/>
        <v>240802.54547176682</v>
      </c>
      <c r="Q337" s="67">
        <f t="shared" si="131"/>
        <v>240802.54547176682</v>
      </c>
      <c r="R337" s="67">
        <f t="shared" si="131"/>
        <v>0</v>
      </c>
      <c r="S337" s="67">
        <f t="shared" si="131"/>
        <v>201741.63934426231</v>
      </c>
      <c r="T337" s="67">
        <f t="shared" si="131"/>
        <v>414015.55009107466</v>
      </c>
      <c r="U337" s="67">
        <f t="shared" si="131"/>
        <v>414015.55009107466</v>
      </c>
      <c r="V337" s="67">
        <f t="shared" si="131"/>
        <v>0</v>
      </c>
      <c r="W337" s="67">
        <f t="shared" si="131"/>
        <v>201741.63934426231</v>
      </c>
      <c r="X337" s="67">
        <f t="shared" si="131"/>
        <v>116970.81967213115</v>
      </c>
      <c r="Y337" s="67">
        <f t="shared" si="132"/>
        <v>116970.81967213115</v>
      </c>
      <c r="Z337" s="67">
        <f t="shared" si="132"/>
        <v>0</v>
      </c>
      <c r="AA337" s="67">
        <f t="shared" si="132"/>
        <v>100870.81967213115</v>
      </c>
      <c r="AB337" s="67">
        <f t="shared" si="132"/>
        <v>200741.25634244081</v>
      </c>
      <c r="AC337" s="67">
        <f t="shared" si="132"/>
        <v>200741.25634244081</v>
      </c>
      <c r="AD337" s="67">
        <f t="shared" si="132"/>
        <v>0</v>
      </c>
      <c r="AE337" s="67">
        <f t="shared" si="132"/>
        <v>143112.01967213117</v>
      </c>
      <c r="AF337" s="67">
        <f t="shared" si="132"/>
        <v>228664.75409836069</v>
      </c>
      <c r="AG337" s="67">
        <f t="shared" si="132"/>
        <v>228664.75409836069</v>
      </c>
      <c r="AH337" s="67">
        <f t="shared" si="132"/>
        <v>0</v>
      </c>
      <c r="AI337" s="67">
        <f t="shared" si="133"/>
        <v>143112.01967213117</v>
      </c>
      <c r="AJ337" s="67">
        <f t="shared" si="133"/>
        <v>298688.65573770495</v>
      </c>
      <c r="AK337" s="67">
        <f t="shared" si="133"/>
        <v>0</v>
      </c>
      <c r="AL337" s="67">
        <f t="shared" si="133"/>
        <v>0</v>
      </c>
      <c r="AM337" s="67">
        <f t="shared" si="133"/>
        <v>143112.01967213117</v>
      </c>
      <c r="AN337" s="67">
        <f t="shared" si="133"/>
        <v>296702.78688524594</v>
      </c>
      <c r="AO337" s="67">
        <f t="shared" si="133"/>
        <v>0</v>
      </c>
      <c r="AP337" s="67">
        <f t="shared" si="133"/>
        <v>0</v>
      </c>
      <c r="AQ337" s="67">
        <f t="shared" si="133"/>
        <v>143112.01967213117</v>
      </c>
      <c r="AR337" s="67">
        <f t="shared" si="133"/>
        <v>370411.20000000007</v>
      </c>
      <c r="AS337" s="67">
        <f t="shared" si="134"/>
        <v>0</v>
      </c>
      <c r="AT337" s="67">
        <f t="shared" si="134"/>
        <v>0</v>
      </c>
      <c r="AU337" s="67">
        <f t="shared" si="134"/>
        <v>143112.01967213117</v>
      </c>
      <c r="AV337" s="67">
        <f t="shared" si="134"/>
        <v>248040.7081967213</v>
      </c>
      <c r="AW337" s="67">
        <f t="shared" si="134"/>
        <v>0</v>
      </c>
      <c r="AX337" s="67">
        <f t="shared" si="134"/>
        <v>0</v>
      </c>
      <c r="AY337" s="67">
        <f t="shared" si="134"/>
        <v>143112.01967213117</v>
      </c>
      <c r="AZ337" s="67">
        <f t="shared" si="134"/>
        <v>305390.70819672133</v>
      </c>
      <c r="BA337" s="67">
        <f t="shared" si="134"/>
        <v>0</v>
      </c>
      <c r="BB337" s="67">
        <f t="shared" si="134"/>
        <v>0</v>
      </c>
      <c r="BC337" s="67">
        <f t="shared" si="135"/>
        <v>143112.01967213117</v>
      </c>
      <c r="BD337" s="67">
        <f t="shared" si="135"/>
        <v>305390.70819672133</v>
      </c>
      <c r="BE337" s="67">
        <f t="shared" si="135"/>
        <v>0</v>
      </c>
      <c r="BF337" s="67">
        <f t="shared" si="135"/>
        <v>0</v>
      </c>
      <c r="BG337" s="67">
        <f t="shared" si="135"/>
        <v>143112.01967213117</v>
      </c>
      <c r="BH337" s="67">
        <f t="shared" si="135"/>
        <v>305390.70819672133</v>
      </c>
      <c r="BI337" s="67">
        <f t="shared" si="135"/>
        <v>0</v>
      </c>
      <c r="BJ337" s="67">
        <f t="shared" si="135"/>
        <v>0</v>
      </c>
      <c r="BK337" s="336"/>
      <c r="BL337" s="67">
        <f t="shared" si="120"/>
        <v>1850991.8950819673</v>
      </c>
      <c r="BM337" s="67">
        <f t="shared" si="121"/>
        <v>0</v>
      </c>
      <c r="BN337" s="67">
        <f t="shared" si="122"/>
        <v>3331210.4010856105</v>
      </c>
      <c r="BO337" s="67">
        <f t="shared" si="123"/>
        <v>0</v>
      </c>
      <c r="BP337" s="67">
        <f t="shared" si="124"/>
        <v>1201194.9256757742</v>
      </c>
      <c r="BQ337" s="67">
        <f t="shared" si="125"/>
        <v>0</v>
      </c>
      <c r="BR337" s="52"/>
      <c r="BS337" s="342"/>
      <c r="BT337" s="67"/>
      <c r="BU337" s="67"/>
      <c r="BV337" s="67"/>
      <c r="BW337" s="67"/>
      <c r="BX337" s="67"/>
      <c r="BY337" s="67"/>
      <c r="BZ337" s="67"/>
      <c r="CA337" s="67"/>
      <c r="CB337" s="67"/>
      <c r="CC337" s="67"/>
      <c r="CD337" s="67"/>
      <c r="CE337" s="67"/>
      <c r="CF337" s="67"/>
      <c r="CG337" s="67"/>
      <c r="CH337" s="67"/>
      <c r="CI337" s="67"/>
      <c r="CJ337" s="67"/>
      <c r="CK337" s="67"/>
      <c r="CL337" s="67"/>
      <c r="CM337" s="67"/>
      <c r="CN337" s="67"/>
      <c r="CO337" s="67"/>
      <c r="CP337" s="67"/>
      <c r="CQ337" s="67"/>
      <c r="CR337" s="67"/>
      <c r="CS337" s="67"/>
      <c r="CT337" s="67"/>
      <c r="CU337" s="67"/>
      <c r="CV337" s="67"/>
      <c r="CW337" s="67"/>
      <c r="CX337" s="67"/>
      <c r="CY337" s="67"/>
      <c r="CZ337" s="67"/>
      <c r="DA337" s="67"/>
      <c r="DB337" s="67"/>
      <c r="DC337" s="67"/>
      <c r="DD337" s="67"/>
      <c r="DE337" s="67"/>
      <c r="DF337" s="67"/>
      <c r="DG337" s="67"/>
      <c r="DH337" s="67"/>
      <c r="DI337" s="67"/>
      <c r="DJ337" s="67"/>
      <c r="DK337" s="67"/>
      <c r="DL337" s="67"/>
      <c r="DM337" s="67"/>
      <c r="DN337" s="67"/>
      <c r="DO337" s="67"/>
      <c r="DP337" s="336"/>
      <c r="DQ337" s="67"/>
      <c r="DR337" s="67">
        <f t="shared" si="127"/>
        <v>0</v>
      </c>
      <c r="DS337" s="52"/>
      <c r="DT337" s="342"/>
      <c r="DU337" s="67"/>
      <c r="DV337" s="67"/>
      <c r="DW337" s="67"/>
      <c r="DX337" s="67"/>
      <c r="DY337" s="67"/>
      <c r="DZ337" s="67"/>
      <c r="EA337" s="67"/>
      <c r="EB337" s="67"/>
      <c r="EC337" s="67"/>
      <c r="ED337" s="67"/>
      <c r="EE337" s="67"/>
      <c r="EF337" s="67"/>
      <c r="EG337" s="67"/>
      <c r="EH337" s="67"/>
      <c r="EI337" s="67"/>
      <c r="EJ337" s="67"/>
      <c r="EK337" s="67"/>
      <c r="EL337" s="67"/>
      <c r="EM337" s="67"/>
      <c r="EN337" s="67"/>
      <c r="EO337" s="67"/>
      <c r="EP337" s="67"/>
      <c r="EQ337" s="67"/>
      <c r="ER337" s="67"/>
      <c r="ES337" s="67"/>
      <c r="ET337" s="67"/>
      <c r="EU337" s="67"/>
      <c r="EV337" s="67"/>
      <c r="EW337" s="67"/>
      <c r="EX337" s="67"/>
      <c r="EY337" s="67"/>
      <c r="EZ337" s="67"/>
      <c r="FA337" s="67"/>
      <c r="FB337" s="67"/>
      <c r="FC337" s="67"/>
      <c r="FD337" s="67"/>
      <c r="FE337" s="67"/>
      <c r="FF337" s="67"/>
      <c r="FG337" s="67"/>
      <c r="FH337" s="67"/>
      <c r="FI337" s="67"/>
      <c r="FJ337" s="67"/>
      <c r="FK337" s="67"/>
      <c r="FL337" s="67"/>
      <c r="FM337" s="67"/>
      <c r="FN337" s="67"/>
      <c r="FO337" s="67"/>
      <c r="FP337" s="67"/>
      <c r="FQ337" s="336"/>
      <c r="FR337" s="67"/>
      <c r="FS337" s="67">
        <f t="shared" si="129"/>
        <v>0</v>
      </c>
    </row>
    <row r="338" spans="1:175" s="63" customFormat="1" outlineLevel="2">
      <c r="A338" s="64" t="s">
        <v>470</v>
      </c>
      <c r="B338" s="65"/>
      <c r="C338" s="655"/>
      <c r="D338" s="655"/>
      <c r="E338" s="508"/>
      <c r="F338" s="65"/>
      <c r="G338" s="137"/>
      <c r="H338" s="65" t="s">
        <v>56</v>
      </c>
      <c r="I338" s="635"/>
      <c r="J338" s="635"/>
      <c r="K338" s="138"/>
      <c r="L338" s="635"/>
      <c r="M338" s="102"/>
      <c r="N338" s="305">
        <f t="shared" si="130"/>
        <v>1</v>
      </c>
      <c r="O338" s="67">
        <f t="shared" si="131"/>
        <v>246453.03688524594</v>
      </c>
      <c r="P338" s="67">
        <f t="shared" si="131"/>
        <v>0</v>
      </c>
      <c r="Q338" s="67">
        <f t="shared" si="131"/>
        <v>0</v>
      </c>
      <c r="R338" s="67">
        <f t="shared" si="131"/>
        <v>0</v>
      </c>
      <c r="S338" s="67">
        <f t="shared" si="131"/>
        <v>246453.03688524594</v>
      </c>
      <c r="T338" s="67">
        <f t="shared" si="131"/>
        <v>239534.42622950822</v>
      </c>
      <c r="U338" s="67">
        <f t="shared" si="131"/>
        <v>239534.42622950822</v>
      </c>
      <c r="V338" s="67">
        <f t="shared" si="131"/>
        <v>0</v>
      </c>
      <c r="W338" s="67">
        <f t="shared" si="131"/>
        <v>236420.25000000003</v>
      </c>
      <c r="X338" s="67">
        <f t="shared" si="131"/>
        <v>313554.45901639346</v>
      </c>
      <c r="Y338" s="67">
        <f t="shared" si="132"/>
        <v>313554.45901639346</v>
      </c>
      <c r="Z338" s="67">
        <f t="shared" si="132"/>
        <v>0</v>
      </c>
      <c r="AA338" s="67">
        <f t="shared" si="132"/>
        <v>246453.03688524594</v>
      </c>
      <c r="AB338" s="67">
        <f t="shared" si="132"/>
        <v>339237.21311475412</v>
      </c>
      <c r="AC338" s="67">
        <f t="shared" si="132"/>
        <v>339237.21311475412</v>
      </c>
      <c r="AD338" s="67">
        <f t="shared" si="132"/>
        <v>0</v>
      </c>
      <c r="AE338" s="67">
        <f t="shared" si="132"/>
        <v>216223.52868852462</v>
      </c>
      <c r="AF338" s="67">
        <f t="shared" si="132"/>
        <v>129600.81967213115</v>
      </c>
      <c r="AG338" s="67">
        <f t="shared" si="132"/>
        <v>129600.81967213115</v>
      </c>
      <c r="AH338" s="67">
        <f t="shared" si="132"/>
        <v>0</v>
      </c>
      <c r="AI338" s="67">
        <f t="shared" si="133"/>
        <v>246453.03688524594</v>
      </c>
      <c r="AJ338" s="67">
        <f t="shared" si="133"/>
        <v>250468.89617486339</v>
      </c>
      <c r="AK338" s="67">
        <f t="shared" si="133"/>
        <v>0</v>
      </c>
      <c r="AL338" s="67">
        <f t="shared" si="133"/>
        <v>30229.508196721312</v>
      </c>
      <c r="AM338" s="67">
        <f t="shared" si="133"/>
        <v>216223.52868852462</v>
      </c>
      <c r="AN338" s="67">
        <f t="shared" si="133"/>
        <v>198625.1680327869</v>
      </c>
      <c r="AO338" s="67">
        <f t="shared" si="133"/>
        <v>0</v>
      </c>
      <c r="AP338" s="67">
        <f t="shared" si="133"/>
        <v>0</v>
      </c>
      <c r="AQ338" s="67">
        <f t="shared" si="133"/>
        <v>246453.03688524594</v>
      </c>
      <c r="AR338" s="67">
        <f t="shared" si="133"/>
        <v>206289.1024590164</v>
      </c>
      <c r="AS338" s="67">
        <f t="shared" si="134"/>
        <v>0</v>
      </c>
      <c r="AT338" s="67">
        <f t="shared" si="134"/>
        <v>0</v>
      </c>
      <c r="AU338" s="67">
        <f t="shared" si="134"/>
        <v>250657.9549180328</v>
      </c>
      <c r="AV338" s="67">
        <f t="shared" si="134"/>
        <v>210494.0204918033</v>
      </c>
      <c r="AW338" s="67">
        <f t="shared" si="134"/>
        <v>0</v>
      </c>
      <c r="AX338" s="67">
        <f t="shared" si="134"/>
        <v>0</v>
      </c>
      <c r="AY338" s="67">
        <f t="shared" si="134"/>
        <v>280887.46311475412</v>
      </c>
      <c r="AZ338" s="67">
        <f t="shared" si="134"/>
        <v>280887.46311475412</v>
      </c>
      <c r="BA338" s="67">
        <f t="shared" si="134"/>
        <v>0</v>
      </c>
      <c r="BB338" s="67">
        <f t="shared" si="134"/>
        <v>0</v>
      </c>
      <c r="BC338" s="67">
        <f t="shared" si="135"/>
        <v>250657.9549180328</v>
      </c>
      <c r="BD338" s="67">
        <f t="shared" si="135"/>
        <v>250657.9549180328</v>
      </c>
      <c r="BE338" s="67">
        <f t="shared" si="135"/>
        <v>0</v>
      </c>
      <c r="BF338" s="67">
        <f t="shared" si="135"/>
        <v>0</v>
      </c>
      <c r="BG338" s="67">
        <f t="shared" si="135"/>
        <v>280887.46311475412</v>
      </c>
      <c r="BH338" s="67">
        <f t="shared" si="135"/>
        <v>280887.46311475412</v>
      </c>
      <c r="BI338" s="67">
        <f t="shared" si="135"/>
        <v>0</v>
      </c>
      <c r="BJ338" s="67">
        <f t="shared" si="135"/>
        <v>0</v>
      </c>
      <c r="BK338" s="336"/>
      <c r="BL338" s="67">
        <f t="shared" si="120"/>
        <v>2964223.3278688528</v>
      </c>
      <c r="BM338" s="67">
        <f t="shared" si="121"/>
        <v>0</v>
      </c>
      <c r="BN338" s="67">
        <f t="shared" si="122"/>
        <v>2700236.986338798</v>
      </c>
      <c r="BO338" s="67">
        <f t="shared" si="123"/>
        <v>0</v>
      </c>
      <c r="BP338" s="67">
        <f t="shared" si="124"/>
        <v>1021926.918032787</v>
      </c>
      <c r="BQ338" s="67">
        <f t="shared" si="125"/>
        <v>0</v>
      </c>
      <c r="BR338" s="52"/>
      <c r="BS338" s="342"/>
      <c r="BT338" s="67"/>
      <c r="BU338" s="67"/>
      <c r="BV338" s="67"/>
      <c r="BW338" s="67"/>
      <c r="BX338" s="67"/>
      <c r="BY338" s="67"/>
      <c r="BZ338" s="67"/>
      <c r="CA338" s="67"/>
      <c r="CB338" s="67"/>
      <c r="CC338" s="67"/>
      <c r="CD338" s="67"/>
      <c r="CE338" s="67"/>
      <c r="CF338" s="67"/>
      <c r="CG338" s="67"/>
      <c r="CH338" s="67"/>
      <c r="CI338" s="67"/>
      <c r="CJ338" s="67"/>
      <c r="CK338" s="67"/>
      <c r="CL338" s="67"/>
      <c r="CM338" s="67"/>
      <c r="CN338" s="67"/>
      <c r="CO338" s="67"/>
      <c r="CP338" s="67"/>
      <c r="CQ338" s="67"/>
      <c r="CR338" s="67"/>
      <c r="CS338" s="67"/>
      <c r="CT338" s="67"/>
      <c r="CU338" s="67"/>
      <c r="CV338" s="67"/>
      <c r="CW338" s="67"/>
      <c r="CX338" s="67"/>
      <c r="CY338" s="67"/>
      <c r="CZ338" s="67"/>
      <c r="DA338" s="67"/>
      <c r="DB338" s="67"/>
      <c r="DC338" s="67"/>
      <c r="DD338" s="67"/>
      <c r="DE338" s="67"/>
      <c r="DF338" s="67"/>
      <c r="DG338" s="67"/>
      <c r="DH338" s="67"/>
      <c r="DI338" s="67"/>
      <c r="DJ338" s="67"/>
      <c r="DK338" s="67"/>
      <c r="DL338" s="67"/>
      <c r="DM338" s="67"/>
      <c r="DN338" s="67"/>
      <c r="DO338" s="67"/>
      <c r="DP338" s="336"/>
      <c r="DQ338" s="67"/>
      <c r="DR338" s="67">
        <f t="shared" si="127"/>
        <v>0</v>
      </c>
      <c r="DS338" s="52"/>
      <c r="DT338" s="342"/>
      <c r="DU338" s="67"/>
      <c r="DV338" s="67"/>
      <c r="DW338" s="67"/>
      <c r="DX338" s="67"/>
      <c r="DY338" s="67"/>
      <c r="DZ338" s="67"/>
      <c r="EA338" s="67"/>
      <c r="EB338" s="67"/>
      <c r="EC338" s="67"/>
      <c r="ED338" s="67"/>
      <c r="EE338" s="67"/>
      <c r="EF338" s="67"/>
      <c r="EG338" s="67"/>
      <c r="EH338" s="67"/>
      <c r="EI338" s="67"/>
      <c r="EJ338" s="67"/>
      <c r="EK338" s="67"/>
      <c r="EL338" s="67"/>
      <c r="EM338" s="67"/>
      <c r="EN338" s="67"/>
      <c r="EO338" s="67"/>
      <c r="EP338" s="67"/>
      <c r="EQ338" s="67"/>
      <c r="ER338" s="67"/>
      <c r="ES338" s="67"/>
      <c r="ET338" s="67"/>
      <c r="EU338" s="67"/>
      <c r="EV338" s="67"/>
      <c r="EW338" s="67"/>
      <c r="EX338" s="67"/>
      <c r="EY338" s="67"/>
      <c r="EZ338" s="67"/>
      <c r="FA338" s="67"/>
      <c r="FB338" s="67"/>
      <c r="FC338" s="67"/>
      <c r="FD338" s="67"/>
      <c r="FE338" s="67"/>
      <c r="FF338" s="67"/>
      <c r="FG338" s="67"/>
      <c r="FH338" s="67"/>
      <c r="FI338" s="67"/>
      <c r="FJ338" s="67"/>
      <c r="FK338" s="67"/>
      <c r="FL338" s="67"/>
      <c r="FM338" s="67"/>
      <c r="FN338" s="67"/>
      <c r="FO338" s="67"/>
      <c r="FP338" s="67"/>
      <c r="FQ338" s="336"/>
      <c r="FR338" s="67"/>
      <c r="FS338" s="67">
        <f t="shared" si="129"/>
        <v>0</v>
      </c>
    </row>
    <row r="339" spans="1:175" s="63" customFormat="1" outlineLevel="2">
      <c r="A339" s="64" t="s">
        <v>471</v>
      </c>
      <c r="B339" s="65"/>
      <c r="C339" s="655"/>
      <c r="D339" s="655"/>
      <c r="E339" s="508"/>
      <c r="F339" s="65"/>
      <c r="G339" s="137"/>
      <c r="H339" s="65" t="s">
        <v>56</v>
      </c>
      <c r="I339" s="635"/>
      <c r="J339" s="635"/>
      <c r="K339" s="138"/>
      <c r="L339" s="635"/>
      <c r="M339" s="102"/>
      <c r="N339" s="305">
        <f t="shared" si="130"/>
        <v>1</v>
      </c>
      <c r="O339" s="67">
        <f t="shared" si="131"/>
        <v>655515.93442622956</v>
      </c>
      <c r="P339" s="67">
        <f t="shared" si="131"/>
        <v>0</v>
      </c>
      <c r="Q339" s="67">
        <f t="shared" si="131"/>
        <v>0</v>
      </c>
      <c r="R339" s="67">
        <f t="shared" si="131"/>
        <v>0</v>
      </c>
      <c r="S339" s="67">
        <f t="shared" si="131"/>
        <v>749495.73406193079</v>
      </c>
      <c r="T339" s="67">
        <f t="shared" si="131"/>
        <v>374980.21311475412</v>
      </c>
      <c r="U339" s="67">
        <f t="shared" si="131"/>
        <v>374980.21311475412</v>
      </c>
      <c r="V339" s="67">
        <f t="shared" si="131"/>
        <v>0</v>
      </c>
      <c r="W339" s="67">
        <f t="shared" si="131"/>
        <v>702252.32786885253</v>
      </c>
      <c r="X339" s="67">
        <f t="shared" si="131"/>
        <v>222652.93260473589</v>
      </c>
      <c r="Y339" s="67">
        <f t="shared" si="132"/>
        <v>222652.93260473589</v>
      </c>
      <c r="Z339" s="67">
        <f t="shared" si="132"/>
        <v>222652.93260473589</v>
      </c>
      <c r="AA339" s="67">
        <f t="shared" si="132"/>
        <v>695566.22586520948</v>
      </c>
      <c r="AB339" s="67">
        <f t="shared" si="132"/>
        <v>1346100.9990892531</v>
      </c>
      <c r="AC339" s="67">
        <f t="shared" si="132"/>
        <v>1346100.9990892531</v>
      </c>
      <c r="AD339" s="67">
        <f t="shared" si="132"/>
        <v>655274.97449908929</v>
      </c>
      <c r="AE339" s="67">
        <f t="shared" si="132"/>
        <v>845188.06557377055</v>
      </c>
      <c r="AF339" s="67">
        <f t="shared" si="132"/>
        <v>15901.639344262296</v>
      </c>
      <c r="AG339" s="67">
        <f t="shared" si="132"/>
        <v>15901.639344262296</v>
      </c>
      <c r="AH339" s="67">
        <f t="shared" si="132"/>
        <v>0</v>
      </c>
      <c r="AI339" s="67">
        <f t="shared" si="133"/>
        <v>759336.71766848816</v>
      </c>
      <c r="AJ339" s="67">
        <f t="shared" si="133"/>
        <v>1744679.7340619308</v>
      </c>
      <c r="AK339" s="67">
        <f t="shared" si="133"/>
        <v>0</v>
      </c>
      <c r="AL339" s="67">
        <f t="shared" si="133"/>
        <v>668505.79052823316</v>
      </c>
      <c r="AM339" s="67">
        <f t="shared" si="133"/>
        <v>686291.67213114758</v>
      </c>
      <c r="AN339" s="67">
        <f t="shared" si="133"/>
        <v>611665.2513661203</v>
      </c>
      <c r="AO339" s="67">
        <f t="shared" si="133"/>
        <v>0</v>
      </c>
      <c r="AP339" s="67">
        <f t="shared" si="133"/>
        <v>0</v>
      </c>
      <c r="AQ339" s="67">
        <f t="shared" si="133"/>
        <v>987036.71766848816</v>
      </c>
      <c r="AR339" s="67">
        <f t="shared" si="133"/>
        <v>791139.99635701277</v>
      </c>
      <c r="AS339" s="67">
        <f t="shared" si="134"/>
        <v>0</v>
      </c>
      <c r="AT339" s="67">
        <f t="shared" si="134"/>
        <v>0</v>
      </c>
      <c r="AU339" s="67">
        <f t="shared" si="134"/>
        <v>820881.50819672132</v>
      </c>
      <c r="AV339" s="67">
        <f t="shared" si="134"/>
        <v>984881.50819672132</v>
      </c>
      <c r="AW339" s="67">
        <f t="shared" si="134"/>
        <v>0</v>
      </c>
      <c r="AX339" s="67">
        <f t="shared" si="134"/>
        <v>0</v>
      </c>
      <c r="AY339" s="67">
        <f t="shared" si="134"/>
        <v>898959.66848816024</v>
      </c>
      <c r="AZ339" s="67">
        <f t="shared" si="134"/>
        <v>898959.66848816024</v>
      </c>
      <c r="BA339" s="67">
        <f t="shared" si="134"/>
        <v>0</v>
      </c>
      <c r="BB339" s="67">
        <f t="shared" si="134"/>
        <v>0</v>
      </c>
      <c r="BC339" s="67">
        <f t="shared" si="135"/>
        <v>1181155.6065573769</v>
      </c>
      <c r="BD339" s="67">
        <f t="shared" si="135"/>
        <v>1181155.6065573769</v>
      </c>
      <c r="BE339" s="67">
        <f t="shared" si="135"/>
        <v>0</v>
      </c>
      <c r="BF339" s="67">
        <f t="shared" si="135"/>
        <v>0</v>
      </c>
      <c r="BG339" s="67">
        <f t="shared" si="135"/>
        <v>1046433.4389799635</v>
      </c>
      <c r="BH339" s="67">
        <f t="shared" si="135"/>
        <v>1046433.4389799635</v>
      </c>
      <c r="BI339" s="67">
        <f t="shared" si="135"/>
        <v>0</v>
      </c>
      <c r="BJ339" s="67">
        <f t="shared" si="135"/>
        <v>0</v>
      </c>
      <c r="BK339" s="336"/>
      <c r="BL339" s="67">
        <f t="shared" si="120"/>
        <v>10028113.617486339</v>
      </c>
      <c r="BM339" s="67">
        <f t="shared" si="121"/>
        <v>0</v>
      </c>
      <c r="BN339" s="67">
        <f t="shared" si="122"/>
        <v>9218550.9881602917</v>
      </c>
      <c r="BO339" s="67">
        <f t="shared" si="123"/>
        <v>0</v>
      </c>
      <c r="BP339" s="67">
        <f t="shared" si="124"/>
        <v>1959635.7841530053</v>
      </c>
      <c r="BQ339" s="67">
        <f t="shared" si="125"/>
        <v>0</v>
      </c>
      <c r="BR339" s="52"/>
      <c r="BS339" s="342"/>
      <c r="BT339" s="67"/>
      <c r="BU339" s="67"/>
      <c r="BV339" s="67"/>
      <c r="BW339" s="67"/>
      <c r="BX339" s="67"/>
      <c r="BY339" s="67"/>
      <c r="BZ339" s="67"/>
      <c r="CA339" s="67"/>
      <c r="CB339" s="67"/>
      <c r="CC339" s="67"/>
      <c r="CD339" s="67"/>
      <c r="CE339" s="67"/>
      <c r="CF339" s="67"/>
      <c r="CG339" s="67"/>
      <c r="CH339" s="67"/>
      <c r="CI339" s="67"/>
      <c r="CJ339" s="67"/>
      <c r="CK339" s="67"/>
      <c r="CL339" s="67"/>
      <c r="CM339" s="67"/>
      <c r="CN339" s="67"/>
      <c r="CO339" s="67"/>
      <c r="CP339" s="67"/>
      <c r="CQ339" s="67"/>
      <c r="CR339" s="67"/>
      <c r="CS339" s="67"/>
      <c r="CT339" s="67"/>
      <c r="CU339" s="67"/>
      <c r="CV339" s="67"/>
      <c r="CW339" s="67"/>
      <c r="CX339" s="67"/>
      <c r="CY339" s="67"/>
      <c r="CZ339" s="67"/>
      <c r="DA339" s="67"/>
      <c r="DB339" s="67"/>
      <c r="DC339" s="67"/>
      <c r="DD339" s="67"/>
      <c r="DE339" s="67"/>
      <c r="DF339" s="67"/>
      <c r="DG339" s="67"/>
      <c r="DH339" s="67"/>
      <c r="DI339" s="67"/>
      <c r="DJ339" s="67"/>
      <c r="DK339" s="67"/>
      <c r="DL339" s="67"/>
      <c r="DM339" s="67"/>
      <c r="DN339" s="67"/>
      <c r="DO339" s="67"/>
      <c r="DP339" s="336"/>
      <c r="DQ339" s="67"/>
      <c r="DR339" s="67">
        <f t="shared" si="127"/>
        <v>0</v>
      </c>
      <c r="DS339" s="52"/>
      <c r="DT339" s="342"/>
      <c r="DU339" s="67"/>
      <c r="DV339" s="67"/>
      <c r="DW339" s="67"/>
      <c r="DX339" s="67"/>
      <c r="DY339" s="67"/>
      <c r="DZ339" s="67"/>
      <c r="EA339" s="67"/>
      <c r="EB339" s="67"/>
      <c r="EC339" s="67"/>
      <c r="ED339" s="67"/>
      <c r="EE339" s="67"/>
      <c r="EF339" s="67"/>
      <c r="EG339" s="67"/>
      <c r="EH339" s="67"/>
      <c r="EI339" s="67"/>
      <c r="EJ339" s="67"/>
      <c r="EK339" s="67"/>
      <c r="EL339" s="67"/>
      <c r="EM339" s="67"/>
      <c r="EN339" s="67"/>
      <c r="EO339" s="67"/>
      <c r="EP339" s="67"/>
      <c r="EQ339" s="67"/>
      <c r="ER339" s="67"/>
      <c r="ES339" s="67"/>
      <c r="ET339" s="67"/>
      <c r="EU339" s="67"/>
      <c r="EV339" s="67"/>
      <c r="EW339" s="67"/>
      <c r="EX339" s="67"/>
      <c r="EY339" s="67"/>
      <c r="EZ339" s="67"/>
      <c r="FA339" s="67"/>
      <c r="FB339" s="67"/>
      <c r="FC339" s="67"/>
      <c r="FD339" s="67"/>
      <c r="FE339" s="67"/>
      <c r="FF339" s="67"/>
      <c r="FG339" s="67"/>
      <c r="FH339" s="67"/>
      <c r="FI339" s="67"/>
      <c r="FJ339" s="67"/>
      <c r="FK339" s="67"/>
      <c r="FL339" s="67"/>
      <c r="FM339" s="67"/>
      <c r="FN339" s="67"/>
      <c r="FO339" s="67"/>
      <c r="FP339" s="67"/>
      <c r="FQ339" s="336"/>
      <c r="FR339" s="67"/>
      <c r="FS339" s="67">
        <f t="shared" si="129"/>
        <v>0</v>
      </c>
    </row>
    <row r="340" spans="1:175" s="69" customFormat="1" outlineLevel="1">
      <c r="A340" s="70" t="s">
        <v>57</v>
      </c>
      <c r="C340" s="656"/>
      <c r="D340" s="656"/>
      <c r="E340" s="513"/>
      <c r="G340" s="139"/>
      <c r="H340" s="69" t="s">
        <v>56</v>
      </c>
      <c r="I340" s="636"/>
      <c r="J340" s="636"/>
      <c r="K340" s="140"/>
      <c r="L340" s="636"/>
      <c r="M340" s="364"/>
      <c r="N340" s="365">
        <f t="shared" si="130"/>
        <v>1</v>
      </c>
      <c r="O340" s="72">
        <f t="shared" ref="O340:BJ340" si="137">IFERROR(SUMPRODUCT($I$6:$I$330*O$6:O$330),"")</f>
        <v>1121106.3483606558</v>
      </c>
      <c r="P340" s="72">
        <f t="shared" si="137"/>
        <v>255622.46350455369</v>
      </c>
      <c r="Q340" s="72">
        <f t="shared" si="137"/>
        <v>255622.46350455369</v>
      </c>
      <c r="R340" s="72">
        <f t="shared" si="137"/>
        <v>0</v>
      </c>
      <c r="S340" s="72">
        <f t="shared" si="137"/>
        <v>1215086.1479963572</v>
      </c>
      <c r="T340" s="72">
        <f t="shared" si="137"/>
        <v>1052445.6293260474</v>
      </c>
      <c r="U340" s="72">
        <f t="shared" si="137"/>
        <v>1052445.6293260474</v>
      </c>
      <c r="V340" s="72">
        <f t="shared" si="137"/>
        <v>0</v>
      </c>
      <c r="W340" s="72">
        <f t="shared" si="137"/>
        <v>1157809.9549180327</v>
      </c>
      <c r="X340" s="72">
        <f t="shared" si="137"/>
        <v>670133.94899817859</v>
      </c>
      <c r="Y340" s="72">
        <f t="shared" si="137"/>
        <v>670133.94899817859</v>
      </c>
      <c r="Z340" s="72">
        <f t="shared" si="137"/>
        <v>222652.93260473589</v>
      </c>
      <c r="AA340" s="72">
        <f t="shared" si="137"/>
        <v>1068983.6889799635</v>
      </c>
      <c r="AB340" s="72">
        <f t="shared" si="137"/>
        <v>1903035.2062513661</v>
      </c>
      <c r="AC340" s="72">
        <f t="shared" si="137"/>
        <v>1903035.2062513661</v>
      </c>
      <c r="AD340" s="72">
        <f t="shared" si="137"/>
        <v>655274.97449908929</v>
      </c>
      <c r="AE340" s="72">
        <f t="shared" si="137"/>
        <v>1230617.2204918033</v>
      </c>
      <c r="AF340" s="72">
        <f t="shared" si="137"/>
        <v>388374.86338797817</v>
      </c>
      <c r="AG340" s="72">
        <f t="shared" si="137"/>
        <v>388374.86338797817</v>
      </c>
      <c r="AH340" s="72">
        <f t="shared" si="137"/>
        <v>0</v>
      </c>
      <c r="AI340" s="72">
        <f t="shared" si="137"/>
        <v>1174995.3807832424</v>
      </c>
      <c r="AJ340" s="72">
        <f t="shared" si="137"/>
        <v>2354490.3876138432</v>
      </c>
      <c r="AK340" s="72">
        <f t="shared" si="137"/>
        <v>0</v>
      </c>
      <c r="AL340" s="72">
        <f t="shared" si="137"/>
        <v>698735.29872495448</v>
      </c>
      <c r="AM340" s="72">
        <f t="shared" si="137"/>
        <v>1071720.8270491804</v>
      </c>
      <c r="AN340" s="72">
        <f t="shared" si="137"/>
        <v>1123948.9439890711</v>
      </c>
      <c r="AO340" s="72">
        <f t="shared" si="137"/>
        <v>0</v>
      </c>
      <c r="AP340" s="72">
        <f t="shared" si="137"/>
        <v>0</v>
      </c>
      <c r="AQ340" s="72">
        <f t="shared" si="137"/>
        <v>1402695.3807832424</v>
      </c>
      <c r="AR340" s="72">
        <f t="shared" si="137"/>
        <v>1393273.9053734064</v>
      </c>
      <c r="AS340" s="72">
        <f t="shared" si="137"/>
        <v>0</v>
      </c>
      <c r="AT340" s="72">
        <f t="shared" si="137"/>
        <v>0</v>
      </c>
      <c r="AU340" s="72">
        <f t="shared" si="137"/>
        <v>1240745.0893442624</v>
      </c>
      <c r="AV340" s="72">
        <f t="shared" si="137"/>
        <v>1469509.843442623</v>
      </c>
      <c r="AW340" s="72">
        <f t="shared" si="137"/>
        <v>0</v>
      </c>
      <c r="AX340" s="72">
        <f t="shared" si="137"/>
        <v>0</v>
      </c>
      <c r="AY340" s="72">
        <f t="shared" si="137"/>
        <v>1349052.7578324226</v>
      </c>
      <c r="AZ340" s="72">
        <f t="shared" si="137"/>
        <v>1511331.446357013</v>
      </c>
      <c r="BA340" s="72">
        <f t="shared" si="137"/>
        <v>0</v>
      </c>
      <c r="BB340" s="72">
        <f t="shared" si="137"/>
        <v>0</v>
      </c>
      <c r="BC340" s="72">
        <f t="shared" si="137"/>
        <v>1601019.1877049182</v>
      </c>
      <c r="BD340" s="72">
        <f t="shared" si="137"/>
        <v>1763297.8762295081</v>
      </c>
      <c r="BE340" s="72">
        <f t="shared" si="137"/>
        <v>0</v>
      </c>
      <c r="BF340" s="72">
        <f t="shared" si="137"/>
        <v>0</v>
      </c>
      <c r="BG340" s="72">
        <f t="shared" si="137"/>
        <v>1496526.5283242259</v>
      </c>
      <c r="BH340" s="72">
        <f t="shared" si="137"/>
        <v>1658805.216848816</v>
      </c>
      <c r="BI340" s="72">
        <f t="shared" si="137"/>
        <v>0</v>
      </c>
      <c r="BJ340" s="72">
        <f t="shared" si="137"/>
        <v>0</v>
      </c>
      <c r="BK340" s="337"/>
      <c r="BL340" s="72">
        <f t="shared" ref="BL340:BL351" si="138">SUMPRODUCT(--(MOD(COLUMN($O340:$AL340),4)=MOD(COLUMN($O340)+0,4)),$O340:$AL340)
+SUMPRODUCT(--(MOD(COLUMN($AM340:$BJ340),4)=MOD(COLUMN($AM340)+0,4)),$AM340:$BJ340)</f>
        <v>15130358.512568306</v>
      </c>
      <c r="BM340" s="72">
        <f t="shared" ref="BM340:BM351" si="139">SUMPRODUCT(--(MOD(COLUMN($O340:$AL340),4)=MOD(COLUMN($O340)+0,4)),$O340:$AL340)*$I340
+SUMPRODUCT(--(MOD(COLUMN($AM340:$BJ340),4)=MOD(COLUMN($AM340)+0,4)),$AM340:$BJ340)*$I340</f>
        <v>0</v>
      </c>
      <c r="BN340" s="72">
        <f t="shared" ref="BN340:BN351" si="140">SUMPRODUCT(--(MOD(COLUMN($O340:$AL340),4)=MOD(COLUMN($O340)+1,4)),$O340:$AL340)
+SUMPRODUCT(--(MOD(COLUMN($AM340:$BJ340),4)=MOD(COLUMN($AM340)+1,4)),$AM340:$BJ340)</f>
        <v>15544269.731322404</v>
      </c>
      <c r="BO340" s="72">
        <f t="shared" ref="BO340:BO351" si="141">SUMPRODUCT(--(MOD(COLUMN($O340:$AL340),4)=MOD(COLUMN($O340)+1,4)),$O340:$AL340)*$I340
+SUMPRODUCT(--(MOD(COLUMN($AM340:$BJ340),4)=MOD(COLUMN($AM340)+1,4)),$AM340:$BJ340)*$I340</f>
        <v>0</v>
      </c>
      <c r="BP340" s="72">
        <f t="shared" ref="BP340:BP351" si="142">SUMPRODUCT(--(MOD(COLUMN($O340:$AL340),4)=MOD(COLUMN($O340)+2,4)),$O340:$AL340)
+SUMPRODUCT(--(MOD(COLUMN($AM340:$BJ340),4)=MOD(COLUMN($AM340)+2,4)),$AM340:$BJ340)</f>
        <v>4269612.1114681233</v>
      </c>
      <c r="BQ340" s="72">
        <f t="shared" ref="BQ340:BQ351" si="143">SUMPRODUCT(--(MOD(COLUMN($O340:$AL340),4)=MOD(COLUMN($O340)+2,4)),$O340:$AL340)*$I340
+SUMPRODUCT(--(MOD(COLUMN($AM340:$BJ340),4)=MOD(COLUMN($AM340)+2,4)),$AM340:$BJ340)*$I340</f>
        <v>0</v>
      </c>
      <c r="BR340" s="73"/>
      <c r="BS340" s="344"/>
      <c r="BT340" s="72"/>
      <c r="BU340" s="72"/>
      <c r="BV340" s="72"/>
      <c r="BW340" s="72"/>
      <c r="BX340" s="72"/>
      <c r="BY340" s="72"/>
      <c r="BZ340" s="72"/>
      <c r="CA340" s="72"/>
      <c r="CB340" s="72"/>
      <c r="CC340" s="72"/>
      <c r="CD340" s="72"/>
      <c r="CE340" s="72"/>
      <c r="CF340" s="72"/>
      <c r="CG340" s="72"/>
      <c r="CH340" s="72"/>
      <c r="CI340" s="72"/>
      <c r="CJ340" s="72"/>
      <c r="CK340" s="72"/>
      <c r="CL340" s="72"/>
      <c r="CM340" s="72"/>
      <c r="CN340" s="72"/>
      <c r="CO340" s="72"/>
      <c r="CP340" s="72"/>
      <c r="CQ340" s="72"/>
      <c r="CR340" s="72"/>
      <c r="CS340" s="72"/>
      <c r="CT340" s="72"/>
      <c r="CU340" s="72"/>
      <c r="CV340" s="72"/>
      <c r="CW340" s="72"/>
      <c r="CX340" s="72"/>
      <c r="CY340" s="72"/>
      <c r="CZ340" s="72"/>
      <c r="DA340" s="72"/>
      <c r="DB340" s="72"/>
      <c r="DC340" s="72"/>
      <c r="DD340" s="72"/>
      <c r="DE340" s="72"/>
      <c r="DF340" s="72"/>
      <c r="DG340" s="72"/>
      <c r="DH340" s="72"/>
      <c r="DI340" s="72"/>
      <c r="DJ340" s="72"/>
      <c r="DK340" s="72"/>
      <c r="DL340" s="72"/>
      <c r="DM340" s="72"/>
      <c r="DN340" s="72"/>
      <c r="DO340" s="72"/>
      <c r="DP340" s="337"/>
      <c r="DQ340" s="72"/>
      <c r="DR340" s="72">
        <f t="shared" si="127"/>
        <v>0</v>
      </c>
      <c r="DS340" s="73"/>
      <c r="DT340" s="344"/>
      <c r="DU340" s="72"/>
      <c r="DV340" s="72"/>
      <c r="DW340" s="72"/>
      <c r="DX340" s="72"/>
      <c r="DY340" s="72"/>
      <c r="DZ340" s="72"/>
      <c r="EA340" s="72"/>
      <c r="EB340" s="72"/>
      <c r="EC340" s="72"/>
      <c r="ED340" s="72"/>
      <c r="EE340" s="72"/>
      <c r="EF340" s="72"/>
      <c r="EG340" s="72"/>
      <c r="EH340" s="72"/>
      <c r="EI340" s="72"/>
      <c r="EJ340" s="72"/>
      <c r="EK340" s="72"/>
      <c r="EL340" s="72"/>
      <c r="EM340" s="72"/>
      <c r="EN340" s="72"/>
      <c r="EO340" s="72"/>
      <c r="EP340" s="72"/>
      <c r="EQ340" s="72"/>
      <c r="ER340" s="72"/>
      <c r="ES340" s="72"/>
      <c r="ET340" s="72"/>
      <c r="EU340" s="72"/>
      <c r="EV340" s="72"/>
      <c r="EW340" s="72"/>
      <c r="EX340" s="72"/>
      <c r="EY340" s="72"/>
      <c r="EZ340" s="72"/>
      <c r="FA340" s="72"/>
      <c r="FB340" s="72"/>
      <c r="FC340" s="72"/>
      <c r="FD340" s="72"/>
      <c r="FE340" s="72"/>
      <c r="FF340" s="72"/>
      <c r="FG340" s="72"/>
      <c r="FH340" s="72"/>
      <c r="FI340" s="72"/>
      <c r="FJ340" s="72"/>
      <c r="FK340" s="72"/>
      <c r="FL340" s="72"/>
      <c r="FM340" s="72"/>
      <c r="FN340" s="72"/>
      <c r="FO340" s="72"/>
      <c r="FP340" s="72"/>
      <c r="FQ340" s="337"/>
      <c r="FR340" s="72"/>
      <c r="FS340" s="72">
        <f t="shared" si="129"/>
        <v>0</v>
      </c>
    </row>
    <row r="341" spans="1:175" s="77" customFormat="1" outlineLevel="2">
      <c r="A341" s="78" t="s">
        <v>468</v>
      </c>
      <c r="B341" s="79"/>
      <c r="C341" s="657"/>
      <c r="D341" s="657"/>
      <c r="E341" s="510"/>
      <c r="F341" s="79"/>
      <c r="G341" s="141"/>
      <c r="H341" s="614" t="s">
        <v>58</v>
      </c>
      <c r="I341" s="637"/>
      <c r="J341" s="637"/>
      <c r="K341" s="142"/>
      <c r="L341" s="637"/>
      <c r="M341" s="366"/>
      <c r="N341" s="367">
        <f t="shared" si="130"/>
        <v>1</v>
      </c>
      <c r="O341" s="81">
        <f t="shared" ref="O341:X348" si="144">IFERROR(SUMPRODUCT(($A341=$A$6:$A$330)*($G$6:$G$330&gt;0)*O$6:O$330),"")</f>
        <v>36</v>
      </c>
      <c r="P341" s="81">
        <f t="shared" si="144"/>
        <v>0</v>
      </c>
      <c r="Q341" s="81">
        <f t="shared" si="144"/>
        <v>0</v>
      </c>
      <c r="R341" s="81">
        <f t="shared" si="144"/>
        <v>0</v>
      </c>
      <c r="S341" s="81">
        <f t="shared" si="144"/>
        <v>36</v>
      </c>
      <c r="T341" s="81">
        <f t="shared" si="144"/>
        <v>0</v>
      </c>
      <c r="U341" s="81">
        <f t="shared" si="144"/>
        <v>0</v>
      </c>
      <c r="V341" s="81">
        <f t="shared" si="144"/>
        <v>0</v>
      </c>
      <c r="W341" s="81">
        <f t="shared" si="144"/>
        <v>36</v>
      </c>
      <c r="X341" s="81">
        <f t="shared" si="144"/>
        <v>32</v>
      </c>
      <c r="Y341" s="81">
        <f t="shared" ref="Y341:AH348" si="145">IFERROR(SUMPRODUCT(($A341=$A$6:$A$330)*($G$6:$G$330&gt;0)*Y$6:Y$330),"")</f>
        <v>32</v>
      </c>
      <c r="Z341" s="81">
        <f t="shared" si="145"/>
        <v>0</v>
      </c>
      <c r="AA341" s="81">
        <f t="shared" si="145"/>
        <v>54</v>
      </c>
      <c r="AB341" s="81">
        <f t="shared" si="145"/>
        <v>32</v>
      </c>
      <c r="AC341" s="81">
        <f t="shared" si="145"/>
        <v>10</v>
      </c>
      <c r="AD341" s="81">
        <f t="shared" si="145"/>
        <v>0</v>
      </c>
      <c r="AE341" s="81">
        <f t="shared" si="145"/>
        <v>54</v>
      </c>
      <c r="AF341" s="81">
        <f t="shared" si="145"/>
        <v>0</v>
      </c>
      <c r="AG341" s="81">
        <f t="shared" si="145"/>
        <v>0</v>
      </c>
      <c r="AH341" s="81">
        <f t="shared" si="145"/>
        <v>0</v>
      </c>
      <c r="AI341" s="81">
        <f t="shared" ref="AI341:AR348" si="146">IFERROR(SUMPRODUCT(($A341=$A$6:$A$330)*($G$6:$G$330&gt;0)*AI$6:AI$330),"")</f>
        <v>54</v>
      </c>
      <c r="AJ341" s="81">
        <f t="shared" si="146"/>
        <v>64</v>
      </c>
      <c r="AK341" s="81">
        <f t="shared" si="146"/>
        <v>0</v>
      </c>
      <c r="AL341" s="81">
        <f t="shared" si="146"/>
        <v>0</v>
      </c>
      <c r="AM341" s="81">
        <f t="shared" si="146"/>
        <v>54</v>
      </c>
      <c r="AN341" s="81">
        <f t="shared" si="146"/>
        <v>32</v>
      </c>
      <c r="AO341" s="81">
        <f t="shared" si="146"/>
        <v>0</v>
      </c>
      <c r="AP341" s="81">
        <f t="shared" si="146"/>
        <v>0</v>
      </c>
      <c r="AQ341" s="81">
        <f t="shared" si="146"/>
        <v>54</v>
      </c>
      <c r="AR341" s="81">
        <f t="shared" si="146"/>
        <v>48</v>
      </c>
      <c r="AS341" s="81">
        <f t="shared" ref="AS341:BB348" si="147">IFERROR(SUMPRODUCT(($A341=$A$6:$A$330)*($G$6:$G$330&gt;0)*AS$6:AS$330),"")</f>
        <v>0</v>
      </c>
      <c r="AT341" s="81">
        <f t="shared" si="147"/>
        <v>0</v>
      </c>
      <c r="AU341" s="81">
        <f t="shared" si="147"/>
        <v>54</v>
      </c>
      <c r="AV341" s="81">
        <f t="shared" si="147"/>
        <v>54</v>
      </c>
      <c r="AW341" s="81">
        <f t="shared" si="147"/>
        <v>0</v>
      </c>
      <c r="AX341" s="81">
        <f t="shared" si="147"/>
        <v>0</v>
      </c>
      <c r="AY341" s="81">
        <f t="shared" si="147"/>
        <v>54</v>
      </c>
      <c r="AZ341" s="81">
        <f t="shared" si="147"/>
        <v>54</v>
      </c>
      <c r="BA341" s="81">
        <f t="shared" si="147"/>
        <v>0</v>
      </c>
      <c r="BB341" s="81">
        <f t="shared" si="147"/>
        <v>0</v>
      </c>
      <c r="BC341" s="81">
        <f t="shared" ref="BC341:BJ348" si="148">IFERROR(SUMPRODUCT(($A341=$A$6:$A$330)*($G$6:$G$330&gt;0)*BC$6:BC$330),"")</f>
        <v>54</v>
      </c>
      <c r="BD341" s="81">
        <f t="shared" si="148"/>
        <v>54</v>
      </c>
      <c r="BE341" s="81">
        <f t="shared" si="148"/>
        <v>0</v>
      </c>
      <c r="BF341" s="81">
        <f t="shared" si="148"/>
        <v>0</v>
      </c>
      <c r="BG341" s="81">
        <f t="shared" si="148"/>
        <v>54</v>
      </c>
      <c r="BH341" s="81">
        <f t="shared" si="148"/>
        <v>54</v>
      </c>
      <c r="BI341" s="81">
        <f t="shared" si="148"/>
        <v>0</v>
      </c>
      <c r="BJ341" s="81">
        <f t="shared" si="148"/>
        <v>0</v>
      </c>
      <c r="BK341" s="338"/>
      <c r="BL341" s="81">
        <f t="shared" si="138"/>
        <v>594</v>
      </c>
      <c r="BM341" s="81">
        <f t="shared" si="139"/>
        <v>0</v>
      </c>
      <c r="BN341" s="81">
        <f t="shared" si="140"/>
        <v>424</v>
      </c>
      <c r="BO341" s="81">
        <f t="shared" si="141"/>
        <v>0</v>
      </c>
      <c r="BP341" s="81">
        <f t="shared" si="142"/>
        <v>42</v>
      </c>
      <c r="BQ341" s="81">
        <f t="shared" si="143"/>
        <v>0</v>
      </c>
      <c r="BR341" s="83"/>
      <c r="BS341" s="345"/>
      <c r="BT341" s="81"/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  <c r="CI341" s="81"/>
      <c r="CJ341" s="81"/>
      <c r="CK341" s="81"/>
      <c r="CL341" s="81"/>
      <c r="CM341" s="81"/>
      <c r="CN341" s="81"/>
      <c r="CO341" s="81"/>
      <c r="CP341" s="81"/>
      <c r="CQ341" s="81"/>
      <c r="CR341" s="81"/>
      <c r="CS341" s="81"/>
      <c r="CT341" s="81"/>
      <c r="CU341" s="81"/>
      <c r="CV341" s="81"/>
      <c r="CW341" s="81"/>
      <c r="CX341" s="81"/>
      <c r="CY341" s="81"/>
      <c r="CZ341" s="81"/>
      <c r="DA341" s="81"/>
      <c r="DB341" s="81"/>
      <c r="DC341" s="81"/>
      <c r="DD341" s="81"/>
      <c r="DE341" s="81"/>
      <c r="DF341" s="81"/>
      <c r="DG341" s="81"/>
      <c r="DH341" s="81"/>
      <c r="DI341" s="81"/>
      <c r="DJ341" s="81"/>
      <c r="DK341" s="81"/>
      <c r="DL341" s="81"/>
      <c r="DM341" s="81"/>
      <c r="DN341" s="81"/>
      <c r="DO341" s="81"/>
      <c r="DP341" s="338"/>
      <c r="DQ341" s="81"/>
      <c r="DR341" s="81">
        <f t="shared" si="127"/>
        <v>0</v>
      </c>
      <c r="DS341" s="83"/>
      <c r="DT341" s="345"/>
      <c r="DU341" s="81"/>
      <c r="DV341" s="81"/>
      <c r="DW341" s="81"/>
      <c r="DX341" s="81"/>
      <c r="DY341" s="81"/>
      <c r="DZ341" s="81"/>
      <c r="EA341" s="81"/>
      <c r="EB341" s="81"/>
      <c r="EC341" s="81"/>
      <c r="ED341" s="81"/>
      <c r="EE341" s="81"/>
      <c r="EF341" s="81"/>
      <c r="EG341" s="81"/>
      <c r="EH341" s="81"/>
      <c r="EI341" s="81"/>
      <c r="EJ341" s="81"/>
      <c r="EK341" s="81"/>
      <c r="EL341" s="81"/>
      <c r="EM341" s="81"/>
      <c r="EN341" s="81"/>
      <c r="EO341" s="81"/>
      <c r="EP341" s="81"/>
      <c r="EQ341" s="81"/>
      <c r="ER341" s="81"/>
      <c r="ES341" s="81"/>
      <c r="ET341" s="81"/>
      <c r="EU341" s="81"/>
      <c r="EV341" s="81"/>
      <c r="EW341" s="81"/>
      <c r="EX341" s="81"/>
      <c r="EY341" s="81"/>
      <c r="EZ341" s="81"/>
      <c r="FA341" s="81"/>
      <c r="FB341" s="81"/>
      <c r="FC341" s="81"/>
      <c r="FD341" s="81"/>
      <c r="FE341" s="81"/>
      <c r="FF341" s="81"/>
      <c r="FG341" s="81"/>
      <c r="FH341" s="81"/>
      <c r="FI341" s="81"/>
      <c r="FJ341" s="81"/>
      <c r="FK341" s="81"/>
      <c r="FL341" s="81"/>
      <c r="FM341" s="81"/>
      <c r="FN341" s="81"/>
      <c r="FO341" s="81"/>
      <c r="FP341" s="81"/>
      <c r="FQ341" s="338"/>
      <c r="FR341" s="81"/>
      <c r="FS341" s="81">
        <f t="shared" si="129"/>
        <v>0</v>
      </c>
    </row>
    <row r="342" spans="1:175" s="77" customFormat="1" outlineLevel="2">
      <c r="A342" s="78" t="s">
        <v>481</v>
      </c>
      <c r="B342" s="79"/>
      <c r="C342" s="657"/>
      <c r="D342" s="657"/>
      <c r="E342" s="510"/>
      <c r="F342" s="79"/>
      <c r="G342" s="141"/>
      <c r="H342" s="614" t="s">
        <v>58</v>
      </c>
      <c r="I342" s="637"/>
      <c r="J342" s="637"/>
      <c r="K342" s="142"/>
      <c r="L342" s="637"/>
      <c r="M342" s="366"/>
      <c r="N342" s="367">
        <f t="shared" si="130"/>
        <v>1</v>
      </c>
      <c r="O342" s="81">
        <f t="shared" si="144"/>
        <v>0</v>
      </c>
      <c r="P342" s="81">
        <f t="shared" si="144"/>
        <v>0</v>
      </c>
      <c r="Q342" s="81">
        <f t="shared" si="144"/>
        <v>0</v>
      </c>
      <c r="R342" s="81">
        <f t="shared" si="144"/>
        <v>0</v>
      </c>
      <c r="S342" s="81">
        <f t="shared" si="144"/>
        <v>0</v>
      </c>
      <c r="T342" s="81">
        <f t="shared" si="144"/>
        <v>3</v>
      </c>
      <c r="U342" s="81">
        <f t="shared" si="144"/>
        <v>3</v>
      </c>
      <c r="V342" s="81">
        <f t="shared" si="144"/>
        <v>0</v>
      </c>
      <c r="W342" s="81">
        <f t="shared" si="144"/>
        <v>0</v>
      </c>
      <c r="X342" s="81">
        <f t="shared" si="144"/>
        <v>0</v>
      </c>
      <c r="Y342" s="81">
        <f t="shared" si="145"/>
        <v>0</v>
      </c>
      <c r="Z342" s="81">
        <f t="shared" si="145"/>
        <v>0</v>
      </c>
      <c r="AA342" s="81">
        <f t="shared" si="145"/>
        <v>0</v>
      </c>
      <c r="AB342" s="81">
        <f t="shared" si="145"/>
        <v>0</v>
      </c>
      <c r="AC342" s="81">
        <f t="shared" si="145"/>
        <v>0</v>
      </c>
      <c r="AD342" s="81">
        <f t="shared" si="145"/>
        <v>0</v>
      </c>
      <c r="AE342" s="81">
        <f t="shared" si="145"/>
        <v>0</v>
      </c>
      <c r="AF342" s="81">
        <f t="shared" si="145"/>
        <v>0</v>
      </c>
      <c r="AG342" s="81">
        <f t="shared" si="145"/>
        <v>0</v>
      </c>
      <c r="AH342" s="81">
        <f t="shared" si="145"/>
        <v>0</v>
      </c>
      <c r="AI342" s="81">
        <f t="shared" si="146"/>
        <v>0</v>
      </c>
      <c r="AJ342" s="81">
        <f t="shared" si="146"/>
        <v>26</v>
      </c>
      <c r="AK342" s="81">
        <f t="shared" si="146"/>
        <v>0</v>
      </c>
      <c r="AL342" s="81">
        <f t="shared" si="146"/>
        <v>0</v>
      </c>
      <c r="AM342" s="81">
        <f t="shared" si="146"/>
        <v>0</v>
      </c>
      <c r="AN342" s="81">
        <f t="shared" si="146"/>
        <v>0</v>
      </c>
      <c r="AO342" s="81">
        <f t="shared" si="146"/>
        <v>0</v>
      </c>
      <c r="AP342" s="81">
        <f t="shared" si="146"/>
        <v>0</v>
      </c>
      <c r="AQ342" s="81">
        <f t="shared" si="146"/>
        <v>0</v>
      </c>
      <c r="AR342" s="81">
        <f t="shared" si="146"/>
        <v>0</v>
      </c>
      <c r="AS342" s="81">
        <f t="shared" si="147"/>
        <v>0</v>
      </c>
      <c r="AT342" s="81">
        <f t="shared" si="147"/>
        <v>0</v>
      </c>
      <c r="AU342" s="81">
        <f t="shared" si="147"/>
        <v>0</v>
      </c>
      <c r="AV342" s="81">
        <f t="shared" si="147"/>
        <v>0</v>
      </c>
      <c r="AW342" s="81">
        <f t="shared" si="147"/>
        <v>0</v>
      </c>
      <c r="AX342" s="81">
        <f t="shared" si="147"/>
        <v>0</v>
      </c>
      <c r="AY342" s="81">
        <f t="shared" si="147"/>
        <v>0</v>
      </c>
      <c r="AZ342" s="81">
        <f t="shared" si="147"/>
        <v>0</v>
      </c>
      <c r="BA342" s="81">
        <f t="shared" si="147"/>
        <v>0</v>
      </c>
      <c r="BB342" s="81">
        <f t="shared" si="147"/>
        <v>0</v>
      </c>
      <c r="BC342" s="81">
        <f t="shared" si="148"/>
        <v>0</v>
      </c>
      <c r="BD342" s="81">
        <f t="shared" si="148"/>
        <v>0</v>
      </c>
      <c r="BE342" s="81">
        <f t="shared" si="148"/>
        <v>0</v>
      </c>
      <c r="BF342" s="81">
        <f t="shared" si="148"/>
        <v>0</v>
      </c>
      <c r="BG342" s="81">
        <f t="shared" si="148"/>
        <v>0</v>
      </c>
      <c r="BH342" s="81">
        <f t="shared" si="148"/>
        <v>0</v>
      </c>
      <c r="BI342" s="81">
        <f t="shared" si="148"/>
        <v>0</v>
      </c>
      <c r="BJ342" s="81">
        <f t="shared" si="148"/>
        <v>0</v>
      </c>
      <c r="BK342" s="338"/>
      <c r="BL342" s="81">
        <f t="shared" si="138"/>
        <v>0</v>
      </c>
      <c r="BM342" s="81">
        <f t="shared" si="139"/>
        <v>0</v>
      </c>
      <c r="BN342" s="81">
        <f t="shared" si="140"/>
        <v>29</v>
      </c>
      <c r="BO342" s="81">
        <f t="shared" si="141"/>
        <v>0</v>
      </c>
      <c r="BP342" s="81">
        <f t="shared" si="142"/>
        <v>3</v>
      </c>
      <c r="BQ342" s="81">
        <f t="shared" si="143"/>
        <v>0</v>
      </c>
      <c r="BR342" s="83"/>
      <c r="BS342" s="345"/>
      <c r="BT342" s="81"/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  <c r="CM342" s="81"/>
      <c r="CN342" s="81"/>
      <c r="CO342" s="81"/>
      <c r="CP342" s="81"/>
      <c r="CQ342" s="81"/>
      <c r="CR342" s="81"/>
      <c r="CS342" s="81"/>
      <c r="CT342" s="81"/>
      <c r="CU342" s="81"/>
      <c r="CV342" s="81"/>
      <c r="CW342" s="81"/>
      <c r="CX342" s="81"/>
      <c r="CY342" s="81"/>
      <c r="CZ342" s="81"/>
      <c r="DA342" s="81"/>
      <c r="DB342" s="81"/>
      <c r="DC342" s="81"/>
      <c r="DD342" s="81"/>
      <c r="DE342" s="81"/>
      <c r="DF342" s="81"/>
      <c r="DG342" s="81"/>
      <c r="DH342" s="81"/>
      <c r="DI342" s="81"/>
      <c r="DJ342" s="81"/>
      <c r="DK342" s="81"/>
      <c r="DL342" s="81"/>
      <c r="DM342" s="81"/>
      <c r="DN342" s="81"/>
      <c r="DO342" s="81"/>
      <c r="DP342" s="338"/>
      <c r="DQ342" s="81"/>
      <c r="DR342" s="81">
        <f t="shared" si="127"/>
        <v>0</v>
      </c>
      <c r="DS342" s="83"/>
      <c r="DT342" s="345"/>
      <c r="DU342" s="81"/>
      <c r="DV342" s="81"/>
      <c r="DW342" s="81"/>
      <c r="DX342" s="81"/>
      <c r="DY342" s="81"/>
      <c r="DZ342" s="81"/>
      <c r="EA342" s="81"/>
      <c r="EB342" s="81"/>
      <c r="EC342" s="81"/>
      <c r="ED342" s="81"/>
      <c r="EE342" s="81"/>
      <c r="EF342" s="81"/>
      <c r="EG342" s="81"/>
      <c r="EH342" s="81"/>
      <c r="EI342" s="81"/>
      <c r="EJ342" s="81"/>
      <c r="EK342" s="81"/>
      <c r="EL342" s="81"/>
      <c r="EM342" s="81"/>
      <c r="EN342" s="81"/>
      <c r="EO342" s="81"/>
      <c r="EP342" s="81"/>
      <c r="EQ342" s="81"/>
      <c r="ER342" s="81"/>
      <c r="ES342" s="81"/>
      <c r="ET342" s="81"/>
      <c r="EU342" s="81"/>
      <c r="EV342" s="81"/>
      <c r="EW342" s="81"/>
      <c r="EX342" s="81"/>
      <c r="EY342" s="81"/>
      <c r="EZ342" s="81"/>
      <c r="FA342" s="81"/>
      <c r="FB342" s="81"/>
      <c r="FC342" s="81"/>
      <c r="FD342" s="81"/>
      <c r="FE342" s="81"/>
      <c r="FF342" s="81"/>
      <c r="FG342" s="81"/>
      <c r="FH342" s="81"/>
      <c r="FI342" s="81"/>
      <c r="FJ342" s="81"/>
      <c r="FK342" s="81"/>
      <c r="FL342" s="81"/>
      <c r="FM342" s="81"/>
      <c r="FN342" s="81"/>
      <c r="FO342" s="81"/>
      <c r="FP342" s="81"/>
      <c r="FQ342" s="338"/>
      <c r="FR342" s="81"/>
      <c r="FS342" s="81">
        <f t="shared" si="129"/>
        <v>0</v>
      </c>
    </row>
    <row r="343" spans="1:175" s="77" customFormat="1" outlineLevel="2">
      <c r="A343" s="78" t="s">
        <v>478</v>
      </c>
      <c r="B343" s="79"/>
      <c r="C343" s="657"/>
      <c r="D343" s="657"/>
      <c r="E343" s="510"/>
      <c r="F343" s="79"/>
      <c r="G343" s="141"/>
      <c r="H343" s="614" t="s">
        <v>58</v>
      </c>
      <c r="I343" s="637"/>
      <c r="J343" s="637"/>
      <c r="K343" s="142"/>
      <c r="L343" s="637"/>
      <c r="M343" s="366"/>
      <c r="N343" s="367">
        <f t="shared" ref="N343" si="149">IF(BP343&gt;0,1,IF(BN343&gt;0,2,))</f>
        <v>1</v>
      </c>
      <c r="O343" s="81">
        <f t="shared" si="144"/>
        <v>0</v>
      </c>
      <c r="P343" s="81">
        <f t="shared" si="144"/>
        <v>26</v>
      </c>
      <c r="Q343" s="81">
        <f t="shared" si="144"/>
        <v>26</v>
      </c>
      <c r="R343" s="81">
        <f t="shared" si="144"/>
        <v>0</v>
      </c>
      <c r="S343" s="81">
        <f t="shared" si="144"/>
        <v>0</v>
      </c>
      <c r="T343" s="81">
        <f t="shared" si="144"/>
        <v>0</v>
      </c>
      <c r="U343" s="81">
        <f t="shared" si="144"/>
        <v>0</v>
      </c>
      <c r="V343" s="81">
        <f t="shared" si="144"/>
        <v>0</v>
      </c>
      <c r="W343" s="81">
        <f t="shared" si="144"/>
        <v>0</v>
      </c>
      <c r="X343" s="81">
        <f t="shared" si="144"/>
        <v>0</v>
      </c>
      <c r="Y343" s="81">
        <f t="shared" si="145"/>
        <v>0</v>
      </c>
      <c r="Z343" s="81">
        <f t="shared" si="145"/>
        <v>0</v>
      </c>
      <c r="AA343" s="81">
        <f t="shared" si="145"/>
        <v>0</v>
      </c>
      <c r="AB343" s="81">
        <f t="shared" si="145"/>
        <v>0</v>
      </c>
      <c r="AC343" s="81">
        <f t="shared" si="145"/>
        <v>0</v>
      </c>
      <c r="AD343" s="81">
        <f t="shared" si="145"/>
        <v>0</v>
      </c>
      <c r="AE343" s="81">
        <f t="shared" si="145"/>
        <v>0</v>
      </c>
      <c r="AF343" s="81">
        <f t="shared" si="145"/>
        <v>0</v>
      </c>
      <c r="AG343" s="81">
        <f t="shared" si="145"/>
        <v>0</v>
      </c>
      <c r="AH343" s="81">
        <f t="shared" si="145"/>
        <v>0</v>
      </c>
      <c r="AI343" s="81">
        <f t="shared" si="146"/>
        <v>0</v>
      </c>
      <c r="AJ343" s="81">
        <f t="shared" si="146"/>
        <v>0</v>
      </c>
      <c r="AK343" s="81">
        <f t="shared" si="146"/>
        <v>0</v>
      </c>
      <c r="AL343" s="81">
        <f t="shared" si="146"/>
        <v>0</v>
      </c>
      <c r="AM343" s="81">
        <f t="shared" si="146"/>
        <v>0</v>
      </c>
      <c r="AN343" s="81">
        <f t="shared" si="146"/>
        <v>0</v>
      </c>
      <c r="AO343" s="81">
        <f t="shared" si="146"/>
        <v>0</v>
      </c>
      <c r="AP343" s="81">
        <f t="shared" si="146"/>
        <v>0</v>
      </c>
      <c r="AQ343" s="81">
        <f t="shared" si="146"/>
        <v>0</v>
      </c>
      <c r="AR343" s="81">
        <f t="shared" si="146"/>
        <v>0</v>
      </c>
      <c r="AS343" s="81">
        <f t="shared" si="147"/>
        <v>0</v>
      </c>
      <c r="AT343" s="81">
        <f t="shared" si="147"/>
        <v>0</v>
      </c>
      <c r="AU343" s="81">
        <f t="shared" si="147"/>
        <v>0</v>
      </c>
      <c r="AV343" s="81">
        <f t="shared" si="147"/>
        <v>0</v>
      </c>
      <c r="AW343" s="81">
        <f t="shared" si="147"/>
        <v>0</v>
      </c>
      <c r="AX343" s="81">
        <f t="shared" si="147"/>
        <v>0</v>
      </c>
      <c r="AY343" s="81">
        <f t="shared" si="147"/>
        <v>0</v>
      </c>
      <c r="AZ343" s="81">
        <f t="shared" si="147"/>
        <v>0</v>
      </c>
      <c r="BA343" s="81">
        <f t="shared" si="147"/>
        <v>0</v>
      </c>
      <c r="BB343" s="81">
        <f t="shared" si="147"/>
        <v>0</v>
      </c>
      <c r="BC343" s="81">
        <f t="shared" si="148"/>
        <v>0</v>
      </c>
      <c r="BD343" s="81">
        <f t="shared" si="148"/>
        <v>0</v>
      </c>
      <c r="BE343" s="81">
        <f t="shared" si="148"/>
        <v>0</v>
      </c>
      <c r="BF343" s="81">
        <f t="shared" si="148"/>
        <v>0</v>
      </c>
      <c r="BG343" s="81">
        <f t="shared" si="148"/>
        <v>0</v>
      </c>
      <c r="BH343" s="81">
        <f t="shared" si="148"/>
        <v>0</v>
      </c>
      <c r="BI343" s="81">
        <f t="shared" si="148"/>
        <v>0</v>
      </c>
      <c r="BJ343" s="81">
        <f t="shared" si="148"/>
        <v>0</v>
      </c>
      <c r="BK343" s="338"/>
      <c r="BL343" s="81">
        <f t="shared" si="138"/>
        <v>0</v>
      </c>
      <c r="BM343" s="81">
        <f t="shared" si="139"/>
        <v>0</v>
      </c>
      <c r="BN343" s="81">
        <f t="shared" si="140"/>
        <v>26</v>
      </c>
      <c r="BO343" s="81">
        <f t="shared" si="141"/>
        <v>0</v>
      </c>
      <c r="BP343" s="81">
        <f t="shared" si="142"/>
        <v>26</v>
      </c>
      <c r="BQ343" s="81">
        <f t="shared" si="143"/>
        <v>0</v>
      </c>
      <c r="BR343" s="83"/>
      <c r="BS343" s="345"/>
      <c r="BT343" s="81"/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  <c r="CM343" s="81"/>
      <c r="CN343" s="81"/>
      <c r="CO343" s="81"/>
      <c r="CP343" s="81"/>
      <c r="CQ343" s="81"/>
      <c r="CR343" s="81"/>
      <c r="CS343" s="81"/>
      <c r="CT343" s="81"/>
      <c r="CU343" s="81"/>
      <c r="CV343" s="81"/>
      <c r="CW343" s="81"/>
      <c r="CX343" s="81"/>
      <c r="CY343" s="81"/>
      <c r="CZ343" s="81"/>
      <c r="DA343" s="81"/>
      <c r="DB343" s="81"/>
      <c r="DC343" s="81"/>
      <c r="DD343" s="81"/>
      <c r="DE343" s="81"/>
      <c r="DF343" s="81"/>
      <c r="DG343" s="81"/>
      <c r="DH343" s="81"/>
      <c r="DI343" s="81"/>
      <c r="DJ343" s="81"/>
      <c r="DK343" s="81"/>
      <c r="DL343" s="81"/>
      <c r="DM343" s="81"/>
      <c r="DN343" s="81"/>
      <c r="DO343" s="81"/>
      <c r="DP343" s="338"/>
      <c r="DQ343" s="81"/>
      <c r="DR343" s="81">
        <f t="shared" si="127"/>
        <v>0</v>
      </c>
      <c r="DS343" s="83"/>
      <c r="DT343" s="345"/>
      <c r="DU343" s="81"/>
      <c r="DV343" s="81"/>
      <c r="DW343" s="81"/>
      <c r="DX343" s="81"/>
      <c r="DY343" s="81"/>
      <c r="DZ343" s="81"/>
      <c r="EA343" s="81"/>
      <c r="EB343" s="81"/>
      <c r="EC343" s="81"/>
      <c r="ED343" s="81"/>
      <c r="EE343" s="81"/>
      <c r="EF343" s="81"/>
      <c r="EG343" s="81"/>
      <c r="EH343" s="81"/>
      <c r="EI343" s="81"/>
      <c r="EJ343" s="81"/>
      <c r="EK343" s="81"/>
      <c r="EL343" s="81"/>
      <c r="EM343" s="81"/>
      <c r="EN343" s="81"/>
      <c r="EO343" s="81"/>
      <c r="EP343" s="81"/>
      <c r="EQ343" s="81"/>
      <c r="ER343" s="81"/>
      <c r="ES343" s="81"/>
      <c r="ET343" s="81"/>
      <c r="EU343" s="81"/>
      <c r="EV343" s="81"/>
      <c r="EW343" s="81"/>
      <c r="EX343" s="81"/>
      <c r="EY343" s="81"/>
      <c r="EZ343" s="81"/>
      <c r="FA343" s="81"/>
      <c r="FB343" s="81"/>
      <c r="FC343" s="81"/>
      <c r="FD343" s="81"/>
      <c r="FE343" s="81"/>
      <c r="FF343" s="81"/>
      <c r="FG343" s="81"/>
      <c r="FH343" s="81"/>
      <c r="FI343" s="81"/>
      <c r="FJ343" s="81"/>
      <c r="FK343" s="81"/>
      <c r="FL343" s="81"/>
      <c r="FM343" s="81"/>
      <c r="FN343" s="81"/>
      <c r="FO343" s="81"/>
      <c r="FP343" s="81"/>
      <c r="FQ343" s="338"/>
      <c r="FR343" s="81"/>
      <c r="FS343" s="81">
        <f t="shared" si="129"/>
        <v>0</v>
      </c>
    </row>
    <row r="344" spans="1:175" s="77" customFormat="1" outlineLevel="2">
      <c r="A344" s="78" t="s">
        <v>480</v>
      </c>
      <c r="B344" s="79"/>
      <c r="C344" s="657"/>
      <c r="D344" s="657"/>
      <c r="E344" s="510"/>
      <c r="F344" s="79"/>
      <c r="G344" s="141"/>
      <c r="H344" s="614" t="s">
        <v>58</v>
      </c>
      <c r="I344" s="637"/>
      <c r="J344" s="637"/>
      <c r="K344" s="142"/>
      <c r="L344" s="637"/>
      <c r="M344" s="366"/>
      <c r="N344" s="367">
        <f t="shared" ref="N344:N351" si="150">IF(BP344&gt;0,1,IF(BN344&gt;0,2,))</f>
        <v>1</v>
      </c>
      <c r="O344" s="81">
        <f t="shared" si="144"/>
        <v>0</v>
      </c>
      <c r="P344" s="81">
        <f t="shared" si="144"/>
        <v>0</v>
      </c>
      <c r="Q344" s="81">
        <f t="shared" si="144"/>
        <v>0</v>
      </c>
      <c r="R344" s="81">
        <f t="shared" si="144"/>
        <v>0</v>
      </c>
      <c r="S344" s="81">
        <f t="shared" si="144"/>
        <v>0</v>
      </c>
      <c r="T344" s="81">
        <f t="shared" si="144"/>
        <v>19</v>
      </c>
      <c r="U344" s="81">
        <f t="shared" si="144"/>
        <v>19</v>
      </c>
      <c r="V344" s="81">
        <f t="shared" si="144"/>
        <v>0</v>
      </c>
      <c r="W344" s="81">
        <f t="shared" si="144"/>
        <v>0</v>
      </c>
      <c r="X344" s="81">
        <f t="shared" si="144"/>
        <v>0</v>
      </c>
      <c r="Y344" s="81">
        <f t="shared" si="145"/>
        <v>0</v>
      </c>
      <c r="Z344" s="81">
        <f t="shared" si="145"/>
        <v>0</v>
      </c>
      <c r="AA344" s="81">
        <f t="shared" si="145"/>
        <v>0</v>
      </c>
      <c r="AB344" s="81">
        <f t="shared" si="145"/>
        <v>0</v>
      </c>
      <c r="AC344" s="81">
        <f t="shared" si="145"/>
        <v>0</v>
      </c>
      <c r="AD344" s="81">
        <f t="shared" si="145"/>
        <v>0</v>
      </c>
      <c r="AE344" s="81">
        <f t="shared" si="145"/>
        <v>0</v>
      </c>
      <c r="AF344" s="81">
        <f t="shared" si="145"/>
        <v>18</v>
      </c>
      <c r="AG344" s="81">
        <f t="shared" si="145"/>
        <v>18</v>
      </c>
      <c r="AH344" s="81">
        <f t="shared" si="145"/>
        <v>0</v>
      </c>
      <c r="AI344" s="81">
        <f t="shared" si="146"/>
        <v>0</v>
      </c>
      <c r="AJ344" s="81">
        <f t="shared" si="146"/>
        <v>0</v>
      </c>
      <c r="AK344" s="81">
        <f t="shared" si="146"/>
        <v>0</v>
      </c>
      <c r="AL344" s="81">
        <f t="shared" si="146"/>
        <v>0</v>
      </c>
      <c r="AM344" s="81">
        <f t="shared" si="146"/>
        <v>0</v>
      </c>
      <c r="AN344" s="81">
        <f t="shared" si="146"/>
        <v>0</v>
      </c>
      <c r="AO344" s="81">
        <f t="shared" si="146"/>
        <v>0</v>
      </c>
      <c r="AP344" s="81">
        <f t="shared" si="146"/>
        <v>0</v>
      </c>
      <c r="AQ344" s="81">
        <f t="shared" si="146"/>
        <v>0</v>
      </c>
      <c r="AR344" s="81">
        <f t="shared" si="146"/>
        <v>0</v>
      </c>
      <c r="AS344" s="81">
        <f t="shared" si="147"/>
        <v>0</v>
      </c>
      <c r="AT344" s="81">
        <f t="shared" si="147"/>
        <v>0</v>
      </c>
      <c r="AU344" s="81">
        <f t="shared" si="147"/>
        <v>0</v>
      </c>
      <c r="AV344" s="81">
        <f t="shared" si="147"/>
        <v>0</v>
      </c>
      <c r="AW344" s="81">
        <f t="shared" si="147"/>
        <v>0</v>
      </c>
      <c r="AX344" s="81">
        <f t="shared" si="147"/>
        <v>0</v>
      </c>
      <c r="AY344" s="81">
        <f t="shared" si="147"/>
        <v>0</v>
      </c>
      <c r="AZ344" s="81">
        <f t="shared" si="147"/>
        <v>0</v>
      </c>
      <c r="BA344" s="81">
        <f t="shared" si="147"/>
        <v>0</v>
      </c>
      <c r="BB344" s="81">
        <f t="shared" si="147"/>
        <v>0</v>
      </c>
      <c r="BC344" s="81">
        <f t="shared" si="148"/>
        <v>0</v>
      </c>
      <c r="BD344" s="81">
        <f t="shared" si="148"/>
        <v>0</v>
      </c>
      <c r="BE344" s="81">
        <f t="shared" si="148"/>
        <v>0</v>
      </c>
      <c r="BF344" s="81">
        <f t="shared" si="148"/>
        <v>0</v>
      </c>
      <c r="BG344" s="81">
        <f t="shared" si="148"/>
        <v>0</v>
      </c>
      <c r="BH344" s="81">
        <f t="shared" si="148"/>
        <v>0</v>
      </c>
      <c r="BI344" s="81">
        <f t="shared" si="148"/>
        <v>0</v>
      </c>
      <c r="BJ344" s="81">
        <f t="shared" si="148"/>
        <v>0</v>
      </c>
      <c r="BK344" s="338"/>
      <c r="BL344" s="81">
        <f t="shared" si="138"/>
        <v>0</v>
      </c>
      <c r="BM344" s="81">
        <f t="shared" si="139"/>
        <v>0</v>
      </c>
      <c r="BN344" s="81">
        <f t="shared" si="140"/>
        <v>37</v>
      </c>
      <c r="BO344" s="81">
        <f t="shared" si="141"/>
        <v>0</v>
      </c>
      <c r="BP344" s="81">
        <f t="shared" si="142"/>
        <v>37</v>
      </c>
      <c r="BQ344" s="81">
        <f t="shared" si="143"/>
        <v>0</v>
      </c>
      <c r="BR344" s="83"/>
      <c r="BS344" s="345"/>
      <c r="BT344" s="81"/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  <c r="CI344" s="81"/>
      <c r="CJ344" s="81"/>
      <c r="CK344" s="81"/>
      <c r="CL344" s="81"/>
      <c r="CM344" s="81"/>
      <c r="CN344" s="81"/>
      <c r="CO344" s="81"/>
      <c r="CP344" s="81"/>
      <c r="CQ344" s="81"/>
      <c r="CR344" s="81"/>
      <c r="CS344" s="81"/>
      <c r="CT344" s="81"/>
      <c r="CU344" s="81"/>
      <c r="CV344" s="81"/>
      <c r="CW344" s="81"/>
      <c r="CX344" s="81"/>
      <c r="CY344" s="81"/>
      <c r="CZ344" s="81"/>
      <c r="DA344" s="81"/>
      <c r="DB344" s="81"/>
      <c r="DC344" s="81"/>
      <c r="DD344" s="81"/>
      <c r="DE344" s="81"/>
      <c r="DF344" s="81"/>
      <c r="DG344" s="81"/>
      <c r="DH344" s="81"/>
      <c r="DI344" s="81"/>
      <c r="DJ344" s="81"/>
      <c r="DK344" s="81"/>
      <c r="DL344" s="81"/>
      <c r="DM344" s="81"/>
      <c r="DN344" s="81"/>
      <c r="DO344" s="81"/>
      <c r="DP344" s="338"/>
      <c r="DQ344" s="81"/>
      <c r="DR344" s="81">
        <f t="shared" si="127"/>
        <v>0</v>
      </c>
      <c r="DS344" s="83"/>
      <c r="DT344" s="345"/>
      <c r="DU344" s="81"/>
      <c r="DV344" s="81"/>
      <c r="DW344" s="81"/>
      <c r="DX344" s="81"/>
      <c r="DY344" s="81"/>
      <c r="DZ344" s="81"/>
      <c r="EA344" s="81"/>
      <c r="EB344" s="81"/>
      <c r="EC344" s="81"/>
      <c r="ED344" s="81"/>
      <c r="EE344" s="81"/>
      <c r="EF344" s="81"/>
      <c r="EG344" s="81"/>
      <c r="EH344" s="81"/>
      <c r="EI344" s="81"/>
      <c r="EJ344" s="81"/>
      <c r="EK344" s="81"/>
      <c r="EL344" s="81"/>
      <c r="EM344" s="81"/>
      <c r="EN344" s="81"/>
      <c r="EO344" s="81"/>
      <c r="EP344" s="81"/>
      <c r="EQ344" s="81"/>
      <c r="ER344" s="81"/>
      <c r="ES344" s="81"/>
      <c r="ET344" s="81"/>
      <c r="EU344" s="81"/>
      <c r="EV344" s="81"/>
      <c r="EW344" s="81"/>
      <c r="EX344" s="81"/>
      <c r="EY344" s="81"/>
      <c r="EZ344" s="81"/>
      <c r="FA344" s="81"/>
      <c r="FB344" s="81"/>
      <c r="FC344" s="81"/>
      <c r="FD344" s="81"/>
      <c r="FE344" s="81"/>
      <c r="FF344" s="81"/>
      <c r="FG344" s="81"/>
      <c r="FH344" s="81"/>
      <c r="FI344" s="81"/>
      <c r="FJ344" s="81"/>
      <c r="FK344" s="81"/>
      <c r="FL344" s="81"/>
      <c r="FM344" s="81"/>
      <c r="FN344" s="81"/>
      <c r="FO344" s="81"/>
      <c r="FP344" s="81"/>
      <c r="FQ344" s="338"/>
      <c r="FR344" s="81"/>
      <c r="FS344" s="81">
        <f t="shared" si="129"/>
        <v>0</v>
      </c>
    </row>
    <row r="345" spans="1:175" s="77" customFormat="1" outlineLevel="2">
      <c r="A345" s="78" t="s">
        <v>479</v>
      </c>
      <c r="B345" s="79"/>
      <c r="C345" s="657"/>
      <c r="D345" s="657"/>
      <c r="E345" s="510"/>
      <c r="F345" s="79"/>
      <c r="G345" s="141"/>
      <c r="H345" s="614" t="s">
        <v>58</v>
      </c>
      <c r="I345" s="637"/>
      <c r="J345" s="637"/>
      <c r="K345" s="142"/>
      <c r="L345" s="637"/>
      <c r="M345" s="366"/>
      <c r="N345" s="367">
        <f t="shared" si="150"/>
        <v>0</v>
      </c>
      <c r="O345" s="81">
        <f t="shared" si="144"/>
        <v>0</v>
      </c>
      <c r="P345" s="81">
        <f t="shared" si="144"/>
        <v>0</v>
      </c>
      <c r="Q345" s="81">
        <f t="shared" si="144"/>
        <v>0</v>
      </c>
      <c r="R345" s="81">
        <f t="shared" si="144"/>
        <v>0</v>
      </c>
      <c r="S345" s="81">
        <f t="shared" si="144"/>
        <v>0</v>
      </c>
      <c r="T345" s="81">
        <f t="shared" si="144"/>
        <v>0</v>
      </c>
      <c r="U345" s="81">
        <f t="shared" si="144"/>
        <v>0</v>
      </c>
      <c r="V345" s="81">
        <f t="shared" si="144"/>
        <v>0</v>
      </c>
      <c r="W345" s="81">
        <f t="shared" si="144"/>
        <v>0</v>
      </c>
      <c r="X345" s="81">
        <f t="shared" si="144"/>
        <v>0</v>
      </c>
      <c r="Y345" s="81">
        <f t="shared" si="145"/>
        <v>0</v>
      </c>
      <c r="Z345" s="81">
        <f t="shared" si="145"/>
        <v>0</v>
      </c>
      <c r="AA345" s="81">
        <f t="shared" si="145"/>
        <v>0</v>
      </c>
      <c r="AB345" s="81">
        <f t="shared" si="145"/>
        <v>0</v>
      </c>
      <c r="AC345" s="81">
        <f t="shared" si="145"/>
        <v>0</v>
      </c>
      <c r="AD345" s="81">
        <f t="shared" si="145"/>
        <v>0</v>
      </c>
      <c r="AE345" s="81">
        <f t="shared" si="145"/>
        <v>0</v>
      </c>
      <c r="AF345" s="81">
        <f t="shared" si="145"/>
        <v>0</v>
      </c>
      <c r="AG345" s="81">
        <f t="shared" si="145"/>
        <v>0</v>
      </c>
      <c r="AH345" s="81">
        <f t="shared" si="145"/>
        <v>0</v>
      </c>
      <c r="AI345" s="81">
        <f t="shared" si="146"/>
        <v>0</v>
      </c>
      <c r="AJ345" s="81">
        <f t="shared" si="146"/>
        <v>0</v>
      </c>
      <c r="AK345" s="81">
        <f t="shared" si="146"/>
        <v>0</v>
      </c>
      <c r="AL345" s="81">
        <f t="shared" si="146"/>
        <v>0</v>
      </c>
      <c r="AM345" s="81">
        <f t="shared" si="146"/>
        <v>0</v>
      </c>
      <c r="AN345" s="81">
        <f t="shared" si="146"/>
        <v>0</v>
      </c>
      <c r="AO345" s="81">
        <f t="shared" si="146"/>
        <v>0</v>
      </c>
      <c r="AP345" s="81">
        <f t="shared" si="146"/>
        <v>0</v>
      </c>
      <c r="AQ345" s="81">
        <f t="shared" si="146"/>
        <v>0</v>
      </c>
      <c r="AR345" s="81">
        <f t="shared" si="146"/>
        <v>0</v>
      </c>
      <c r="AS345" s="81">
        <f t="shared" si="147"/>
        <v>0</v>
      </c>
      <c r="AT345" s="81">
        <f t="shared" si="147"/>
        <v>0</v>
      </c>
      <c r="AU345" s="81">
        <f t="shared" si="147"/>
        <v>0</v>
      </c>
      <c r="AV345" s="81">
        <f t="shared" si="147"/>
        <v>0</v>
      </c>
      <c r="AW345" s="81">
        <f t="shared" si="147"/>
        <v>0</v>
      </c>
      <c r="AX345" s="81">
        <f t="shared" si="147"/>
        <v>0</v>
      </c>
      <c r="AY345" s="81">
        <f t="shared" si="147"/>
        <v>0</v>
      </c>
      <c r="AZ345" s="81">
        <f t="shared" si="147"/>
        <v>0</v>
      </c>
      <c r="BA345" s="81">
        <f t="shared" si="147"/>
        <v>0</v>
      </c>
      <c r="BB345" s="81">
        <f t="shared" si="147"/>
        <v>0</v>
      </c>
      <c r="BC345" s="81">
        <f t="shared" si="148"/>
        <v>0</v>
      </c>
      <c r="BD345" s="81">
        <f t="shared" si="148"/>
        <v>0</v>
      </c>
      <c r="BE345" s="81">
        <f t="shared" si="148"/>
        <v>0</v>
      </c>
      <c r="BF345" s="81">
        <f t="shared" si="148"/>
        <v>0</v>
      </c>
      <c r="BG345" s="81">
        <f t="shared" si="148"/>
        <v>0</v>
      </c>
      <c r="BH345" s="81">
        <f t="shared" si="148"/>
        <v>0</v>
      </c>
      <c r="BI345" s="81">
        <f t="shared" si="148"/>
        <v>0</v>
      </c>
      <c r="BJ345" s="81">
        <f t="shared" si="148"/>
        <v>0</v>
      </c>
      <c r="BK345" s="338"/>
      <c r="BL345" s="81">
        <f t="shared" si="138"/>
        <v>0</v>
      </c>
      <c r="BM345" s="81">
        <f t="shared" si="139"/>
        <v>0</v>
      </c>
      <c r="BN345" s="81">
        <f t="shared" si="140"/>
        <v>0</v>
      </c>
      <c r="BO345" s="81">
        <f t="shared" si="141"/>
        <v>0</v>
      </c>
      <c r="BP345" s="81">
        <f t="shared" si="142"/>
        <v>0</v>
      </c>
      <c r="BQ345" s="81">
        <f t="shared" si="143"/>
        <v>0</v>
      </c>
      <c r="BR345" s="83"/>
      <c r="BS345" s="345"/>
      <c r="BT345" s="81"/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  <c r="CI345" s="81"/>
      <c r="CJ345" s="81"/>
      <c r="CK345" s="81"/>
      <c r="CL345" s="81"/>
      <c r="CM345" s="81"/>
      <c r="CN345" s="81"/>
      <c r="CO345" s="81"/>
      <c r="CP345" s="81"/>
      <c r="CQ345" s="81"/>
      <c r="CR345" s="81"/>
      <c r="CS345" s="81"/>
      <c r="CT345" s="81"/>
      <c r="CU345" s="81"/>
      <c r="CV345" s="81"/>
      <c r="CW345" s="81"/>
      <c r="CX345" s="81"/>
      <c r="CY345" s="81"/>
      <c r="CZ345" s="81"/>
      <c r="DA345" s="81"/>
      <c r="DB345" s="81"/>
      <c r="DC345" s="81"/>
      <c r="DD345" s="81"/>
      <c r="DE345" s="81"/>
      <c r="DF345" s="81"/>
      <c r="DG345" s="81"/>
      <c r="DH345" s="81"/>
      <c r="DI345" s="81"/>
      <c r="DJ345" s="81"/>
      <c r="DK345" s="81"/>
      <c r="DL345" s="81"/>
      <c r="DM345" s="81"/>
      <c r="DN345" s="81"/>
      <c r="DO345" s="81"/>
      <c r="DP345" s="338"/>
      <c r="DQ345" s="81"/>
      <c r="DR345" s="81">
        <f t="shared" si="127"/>
        <v>0</v>
      </c>
      <c r="DS345" s="83"/>
      <c r="DT345" s="345"/>
      <c r="DU345" s="81"/>
      <c r="DV345" s="81"/>
      <c r="DW345" s="81"/>
      <c r="DX345" s="81"/>
      <c r="DY345" s="81"/>
      <c r="DZ345" s="81"/>
      <c r="EA345" s="81"/>
      <c r="EB345" s="81"/>
      <c r="EC345" s="81"/>
      <c r="ED345" s="81"/>
      <c r="EE345" s="81"/>
      <c r="EF345" s="81"/>
      <c r="EG345" s="81"/>
      <c r="EH345" s="81"/>
      <c r="EI345" s="81"/>
      <c r="EJ345" s="81"/>
      <c r="EK345" s="81"/>
      <c r="EL345" s="81"/>
      <c r="EM345" s="81"/>
      <c r="EN345" s="81"/>
      <c r="EO345" s="81"/>
      <c r="EP345" s="81"/>
      <c r="EQ345" s="81"/>
      <c r="ER345" s="81"/>
      <c r="ES345" s="81"/>
      <c r="ET345" s="81"/>
      <c r="EU345" s="81"/>
      <c r="EV345" s="81"/>
      <c r="EW345" s="81"/>
      <c r="EX345" s="81"/>
      <c r="EY345" s="81"/>
      <c r="EZ345" s="81"/>
      <c r="FA345" s="81"/>
      <c r="FB345" s="81"/>
      <c r="FC345" s="81"/>
      <c r="FD345" s="81"/>
      <c r="FE345" s="81"/>
      <c r="FF345" s="81"/>
      <c r="FG345" s="81"/>
      <c r="FH345" s="81"/>
      <c r="FI345" s="81"/>
      <c r="FJ345" s="81"/>
      <c r="FK345" s="81"/>
      <c r="FL345" s="81"/>
      <c r="FM345" s="81"/>
      <c r="FN345" s="81"/>
      <c r="FO345" s="81"/>
      <c r="FP345" s="81"/>
      <c r="FQ345" s="338"/>
      <c r="FR345" s="81"/>
      <c r="FS345" s="81">
        <f t="shared" si="129"/>
        <v>0</v>
      </c>
    </row>
    <row r="346" spans="1:175" s="77" customFormat="1" outlineLevel="2">
      <c r="A346" s="78" t="s">
        <v>469</v>
      </c>
      <c r="B346" s="79"/>
      <c r="C346" s="657"/>
      <c r="D346" s="657"/>
      <c r="E346" s="510"/>
      <c r="F346" s="79"/>
      <c r="G346" s="141"/>
      <c r="H346" s="614" t="s">
        <v>58</v>
      </c>
      <c r="I346" s="637"/>
      <c r="J346" s="637"/>
      <c r="K346" s="142"/>
      <c r="L346" s="637"/>
      <c r="M346" s="366"/>
      <c r="N346" s="367">
        <f t="shared" si="150"/>
        <v>1</v>
      </c>
      <c r="O346" s="81">
        <f t="shared" si="144"/>
        <v>560</v>
      </c>
      <c r="P346" s="81">
        <f t="shared" si="144"/>
        <v>451</v>
      </c>
      <c r="Q346" s="81">
        <f t="shared" si="144"/>
        <v>451</v>
      </c>
      <c r="R346" s="81">
        <f t="shared" si="144"/>
        <v>0</v>
      </c>
      <c r="S346" s="81">
        <f t="shared" si="144"/>
        <v>560</v>
      </c>
      <c r="T346" s="81">
        <f t="shared" si="144"/>
        <v>1061</v>
      </c>
      <c r="U346" s="81">
        <f t="shared" si="144"/>
        <v>1061</v>
      </c>
      <c r="V346" s="81">
        <f t="shared" si="144"/>
        <v>0</v>
      </c>
      <c r="W346" s="81">
        <f t="shared" si="144"/>
        <v>560</v>
      </c>
      <c r="X346" s="81">
        <f t="shared" si="144"/>
        <v>360</v>
      </c>
      <c r="Y346" s="81">
        <f t="shared" si="145"/>
        <v>360</v>
      </c>
      <c r="Z346" s="81">
        <f t="shared" si="145"/>
        <v>0</v>
      </c>
      <c r="AA346" s="81">
        <f t="shared" si="145"/>
        <v>280</v>
      </c>
      <c r="AB346" s="81">
        <f t="shared" si="145"/>
        <v>312</v>
      </c>
      <c r="AC346" s="81">
        <f t="shared" si="145"/>
        <v>42</v>
      </c>
      <c r="AD346" s="81">
        <f t="shared" si="145"/>
        <v>0</v>
      </c>
      <c r="AE346" s="81">
        <f t="shared" si="145"/>
        <v>328</v>
      </c>
      <c r="AF346" s="81">
        <f t="shared" si="145"/>
        <v>414</v>
      </c>
      <c r="AG346" s="81">
        <f t="shared" si="145"/>
        <v>414</v>
      </c>
      <c r="AH346" s="81">
        <f t="shared" si="145"/>
        <v>0</v>
      </c>
      <c r="AI346" s="81">
        <f t="shared" si="146"/>
        <v>328</v>
      </c>
      <c r="AJ346" s="81">
        <f t="shared" si="146"/>
        <v>520</v>
      </c>
      <c r="AK346" s="81">
        <f t="shared" si="146"/>
        <v>0</v>
      </c>
      <c r="AL346" s="81">
        <f t="shared" si="146"/>
        <v>0</v>
      </c>
      <c r="AM346" s="81">
        <f t="shared" si="146"/>
        <v>328</v>
      </c>
      <c r="AN346" s="81">
        <f t="shared" si="146"/>
        <v>590</v>
      </c>
      <c r="AO346" s="81">
        <f t="shared" si="146"/>
        <v>0</v>
      </c>
      <c r="AP346" s="81">
        <f t="shared" si="146"/>
        <v>0</v>
      </c>
      <c r="AQ346" s="81">
        <f t="shared" si="146"/>
        <v>328</v>
      </c>
      <c r="AR346" s="81">
        <f t="shared" si="146"/>
        <v>678</v>
      </c>
      <c r="AS346" s="81">
        <f t="shared" si="147"/>
        <v>0</v>
      </c>
      <c r="AT346" s="81">
        <f t="shared" si="147"/>
        <v>0</v>
      </c>
      <c r="AU346" s="81">
        <f t="shared" si="147"/>
        <v>328</v>
      </c>
      <c r="AV346" s="81">
        <f t="shared" si="147"/>
        <v>418</v>
      </c>
      <c r="AW346" s="81">
        <f t="shared" si="147"/>
        <v>0</v>
      </c>
      <c r="AX346" s="81">
        <f t="shared" si="147"/>
        <v>0</v>
      </c>
      <c r="AY346" s="81">
        <f t="shared" si="147"/>
        <v>328</v>
      </c>
      <c r="AZ346" s="81">
        <f t="shared" si="147"/>
        <v>588</v>
      </c>
      <c r="BA346" s="81">
        <f t="shared" si="147"/>
        <v>0</v>
      </c>
      <c r="BB346" s="81">
        <f t="shared" si="147"/>
        <v>0</v>
      </c>
      <c r="BC346" s="81">
        <f t="shared" si="148"/>
        <v>328</v>
      </c>
      <c r="BD346" s="81">
        <f t="shared" si="148"/>
        <v>588</v>
      </c>
      <c r="BE346" s="81">
        <f t="shared" si="148"/>
        <v>0</v>
      </c>
      <c r="BF346" s="81">
        <f t="shared" si="148"/>
        <v>0</v>
      </c>
      <c r="BG346" s="81">
        <f t="shared" si="148"/>
        <v>328</v>
      </c>
      <c r="BH346" s="81">
        <f t="shared" si="148"/>
        <v>588</v>
      </c>
      <c r="BI346" s="81">
        <f t="shared" si="148"/>
        <v>0</v>
      </c>
      <c r="BJ346" s="81">
        <f t="shared" si="148"/>
        <v>0</v>
      </c>
      <c r="BK346" s="338"/>
      <c r="BL346" s="81">
        <f t="shared" si="138"/>
        <v>4584</v>
      </c>
      <c r="BM346" s="81">
        <f t="shared" si="139"/>
        <v>0</v>
      </c>
      <c r="BN346" s="81">
        <f t="shared" si="140"/>
        <v>6568</v>
      </c>
      <c r="BO346" s="81">
        <f t="shared" si="141"/>
        <v>0</v>
      </c>
      <c r="BP346" s="81">
        <f t="shared" si="142"/>
        <v>2328</v>
      </c>
      <c r="BQ346" s="81">
        <f t="shared" si="143"/>
        <v>0</v>
      </c>
      <c r="BR346" s="83"/>
      <c r="BS346" s="345"/>
      <c r="BT346" s="81"/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  <c r="CM346" s="81"/>
      <c r="CN346" s="81"/>
      <c r="CO346" s="81"/>
      <c r="CP346" s="81"/>
      <c r="CQ346" s="81"/>
      <c r="CR346" s="81"/>
      <c r="CS346" s="81"/>
      <c r="CT346" s="81"/>
      <c r="CU346" s="81"/>
      <c r="CV346" s="81"/>
      <c r="CW346" s="81"/>
      <c r="CX346" s="81"/>
      <c r="CY346" s="81"/>
      <c r="CZ346" s="81"/>
      <c r="DA346" s="81"/>
      <c r="DB346" s="81"/>
      <c r="DC346" s="81"/>
      <c r="DD346" s="81"/>
      <c r="DE346" s="81"/>
      <c r="DF346" s="81"/>
      <c r="DG346" s="81"/>
      <c r="DH346" s="81"/>
      <c r="DI346" s="81"/>
      <c r="DJ346" s="81"/>
      <c r="DK346" s="81"/>
      <c r="DL346" s="81"/>
      <c r="DM346" s="81"/>
      <c r="DN346" s="81"/>
      <c r="DO346" s="81"/>
      <c r="DP346" s="338"/>
      <c r="DQ346" s="81"/>
      <c r="DR346" s="81">
        <f t="shared" si="127"/>
        <v>0</v>
      </c>
      <c r="DS346" s="83"/>
      <c r="DT346" s="345"/>
      <c r="DU346" s="81"/>
      <c r="DV346" s="81"/>
      <c r="DW346" s="81"/>
      <c r="DX346" s="81"/>
      <c r="DY346" s="81"/>
      <c r="DZ346" s="81"/>
      <c r="EA346" s="81"/>
      <c r="EB346" s="81"/>
      <c r="EC346" s="81"/>
      <c r="ED346" s="81"/>
      <c r="EE346" s="81"/>
      <c r="EF346" s="81"/>
      <c r="EG346" s="81"/>
      <c r="EH346" s="81"/>
      <c r="EI346" s="81"/>
      <c r="EJ346" s="81"/>
      <c r="EK346" s="81"/>
      <c r="EL346" s="81"/>
      <c r="EM346" s="81"/>
      <c r="EN346" s="81"/>
      <c r="EO346" s="81"/>
      <c r="EP346" s="81"/>
      <c r="EQ346" s="81"/>
      <c r="ER346" s="81"/>
      <c r="ES346" s="81"/>
      <c r="ET346" s="81"/>
      <c r="EU346" s="81"/>
      <c r="EV346" s="81"/>
      <c r="EW346" s="81"/>
      <c r="EX346" s="81"/>
      <c r="EY346" s="81"/>
      <c r="EZ346" s="81"/>
      <c r="FA346" s="81"/>
      <c r="FB346" s="81"/>
      <c r="FC346" s="81"/>
      <c r="FD346" s="81"/>
      <c r="FE346" s="81"/>
      <c r="FF346" s="81"/>
      <c r="FG346" s="81"/>
      <c r="FH346" s="81"/>
      <c r="FI346" s="81"/>
      <c r="FJ346" s="81"/>
      <c r="FK346" s="81"/>
      <c r="FL346" s="81"/>
      <c r="FM346" s="81"/>
      <c r="FN346" s="81"/>
      <c r="FO346" s="81"/>
      <c r="FP346" s="81"/>
      <c r="FQ346" s="338"/>
      <c r="FR346" s="81"/>
      <c r="FS346" s="81">
        <f t="shared" si="129"/>
        <v>0</v>
      </c>
    </row>
    <row r="347" spans="1:175" s="77" customFormat="1" outlineLevel="2">
      <c r="A347" s="78" t="s">
        <v>470</v>
      </c>
      <c r="B347" s="79"/>
      <c r="C347" s="657"/>
      <c r="D347" s="657"/>
      <c r="E347" s="510"/>
      <c r="F347" s="79"/>
      <c r="G347" s="141"/>
      <c r="H347" s="614" t="s">
        <v>58</v>
      </c>
      <c r="I347" s="637"/>
      <c r="J347" s="637"/>
      <c r="K347" s="142"/>
      <c r="L347" s="637"/>
      <c r="M347" s="366"/>
      <c r="N347" s="367">
        <f t="shared" si="150"/>
        <v>1</v>
      </c>
      <c r="O347" s="81">
        <f t="shared" si="144"/>
        <v>565</v>
      </c>
      <c r="P347" s="81">
        <f t="shared" si="144"/>
        <v>0</v>
      </c>
      <c r="Q347" s="81">
        <f t="shared" si="144"/>
        <v>0</v>
      </c>
      <c r="R347" s="81">
        <f t="shared" si="144"/>
        <v>0</v>
      </c>
      <c r="S347" s="81">
        <f t="shared" si="144"/>
        <v>565</v>
      </c>
      <c r="T347" s="81">
        <f t="shared" si="144"/>
        <v>491</v>
      </c>
      <c r="U347" s="81">
        <f t="shared" si="144"/>
        <v>491</v>
      </c>
      <c r="V347" s="81">
        <f t="shared" si="144"/>
        <v>0</v>
      </c>
      <c r="W347" s="81">
        <f t="shared" si="144"/>
        <v>525</v>
      </c>
      <c r="X347" s="81">
        <f t="shared" si="144"/>
        <v>608</v>
      </c>
      <c r="Y347" s="81">
        <f t="shared" si="145"/>
        <v>608</v>
      </c>
      <c r="Z347" s="81">
        <f t="shared" si="145"/>
        <v>0</v>
      </c>
      <c r="AA347" s="81">
        <f t="shared" si="145"/>
        <v>565</v>
      </c>
      <c r="AB347" s="81">
        <f t="shared" si="145"/>
        <v>746</v>
      </c>
      <c r="AC347" s="81">
        <f t="shared" si="145"/>
        <v>306</v>
      </c>
      <c r="AD347" s="81">
        <f t="shared" si="145"/>
        <v>0</v>
      </c>
      <c r="AE347" s="81">
        <f t="shared" si="145"/>
        <v>445</v>
      </c>
      <c r="AF347" s="81">
        <f t="shared" si="145"/>
        <v>168</v>
      </c>
      <c r="AG347" s="81">
        <f t="shared" si="145"/>
        <v>168</v>
      </c>
      <c r="AH347" s="81">
        <f t="shared" si="145"/>
        <v>0</v>
      </c>
      <c r="AI347" s="81">
        <f t="shared" si="146"/>
        <v>565</v>
      </c>
      <c r="AJ347" s="81">
        <f t="shared" si="146"/>
        <v>458</v>
      </c>
      <c r="AK347" s="81">
        <f t="shared" si="146"/>
        <v>0</v>
      </c>
      <c r="AL347" s="81">
        <f t="shared" si="146"/>
        <v>120</v>
      </c>
      <c r="AM347" s="81">
        <f t="shared" si="146"/>
        <v>445</v>
      </c>
      <c r="AN347" s="81">
        <f t="shared" si="146"/>
        <v>350</v>
      </c>
      <c r="AO347" s="81">
        <f t="shared" si="146"/>
        <v>0</v>
      </c>
      <c r="AP347" s="81">
        <f t="shared" si="146"/>
        <v>0</v>
      </c>
      <c r="AQ347" s="81">
        <f t="shared" si="146"/>
        <v>565</v>
      </c>
      <c r="AR347" s="81">
        <f t="shared" si="146"/>
        <v>475</v>
      </c>
      <c r="AS347" s="81">
        <f t="shared" si="147"/>
        <v>0</v>
      </c>
      <c r="AT347" s="81">
        <f t="shared" si="147"/>
        <v>0</v>
      </c>
      <c r="AU347" s="81">
        <f t="shared" si="147"/>
        <v>500</v>
      </c>
      <c r="AV347" s="81">
        <f t="shared" si="147"/>
        <v>410</v>
      </c>
      <c r="AW347" s="81">
        <f t="shared" si="147"/>
        <v>0</v>
      </c>
      <c r="AX347" s="81">
        <f t="shared" si="147"/>
        <v>0</v>
      </c>
      <c r="AY347" s="81">
        <f t="shared" si="147"/>
        <v>620</v>
      </c>
      <c r="AZ347" s="81">
        <f t="shared" si="147"/>
        <v>620</v>
      </c>
      <c r="BA347" s="81">
        <f t="shared" si="147"/>
        <v>0</v>
      </c>
      <c r="BB347" s="81">
        <f t="shared" si="147"/>
        <v>0</v>
      </c>
      <c r="BC347" s="81">
        <f t="shared" si="148"/>
        <v>500</v>
      </c>
      <c r="BD347" s="81">
        <f t="shared" si="148"/>
        <v>500</v>
      </c>
      <c r="BE347" s="81">
        <f t="shared" si="148"/>
        <v>0</v>
      </c>
      <c r="BF347" s="81">
        <f t="shared" si="148"/>
        <v>0</v>
      </c>
      <c r="BG347" s="81">
        <f t="shared" si="148"/>
        <v>620</v>
      </c>
      <c r="BH347" s="81">
        <f t="shared" si="148"/>
        <v>620</v>
      </c>
      <c r="BI347" s="81">
        <f t="shared" si="148"/>
        <v>0</v>
      </c>
      <c r="BJ347" s="81">
        <f t="shared" si="148"/>
        <v>0</v>
      </c>
      <c r="BK347" s="338"/>
      <c r="BL347" s="81">
        <f t="shared" si="138"/>
        <v>6480</v>
      </c>
      <c r="BM347" s="81">
        <f t="shared" si="139"/>
        <v>0</v>
      </c>
      <c r="BN347" s="81">
        <f t="shared" si="140"/>
        <v>5446</v>
      </c>
      <c r="BO347" s="81">
        <f t="shared" si="141"/>
        <v>0</v>
      </c>
      <c r="BP347" s="81">
        <f t="shared" si="142"/>
        <v>1573</v>
      </c>
      <c r="BQ347" s="81">
        <f t="shared" si="143"/>
        <v>0</v>
      </c>
      <c r="BR347" s="83"/>
      <c r="BS347" s="345"/>
      <c r="BT347" s="81"/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  <c r="CI347" s="81"/>
      <c r="CJ347" s="81"/>
      <c r="CK347" s="81"/>
      <c r="CL347" s="81"/>
      <c r="CM347" s="81"/>
      <c r="CN347" s="81"/>
      <c r="CO347" s="81"/>
      <c r="CP347" s="81"/>
      <c r="CQ347" s="81"/>
      <c r="CR347" s="81"/>
      <c r="CS347" s="81"/>
      <c r="CT347" s="81"/>
      <c r="CU347" s="81"/>
      <c r="CV347" s="81"/>
      <c r="CW347" s="81"/>
      <c r="CX347" s="81"/>
      <c r="CY347" s="81"/>
      <c r="CZ347" s="81"/>
      <c r="DA347" s="81"/>
      <c r="DB347" s="81"/>
      <c r="DC347" s="81"/>
      <c r="DD347" s="81"/>
      <c r="DE347" s="81"/>
      <c r="DF347" s="81"/>
      <c r="DG347" s="81"/>
      <c r="DH347" s="81"/>
      <c r="DI347" s="81"/>
      <c r="DJ347" s="81"/>
      <c r="DK347" s="81"/>
      <c r="DL347" s="81"/>
      <c r="DM347" s="81"/>
      <c r="DN347" s="81"/>
      <c r="DO347" s="81"/>
      <c r="DP347" s="338"/>
      <c r="DQ347" s="81"/>
      <c r="DR347" s="81">
        <f t="shared" si="127"/>
        <v>0</v>
      </c>
      <c r="DS347" s="83"/>
      <c r="DT347" s="345"/>
      <c r="DU347" s="81"/>
      <c r="DV347" s="81"/>
      <c r="DW347" s="81"/>
      <c r="DX347" s="81"/>
      <c r="DY347" s="81"/>
      <c r="DZ347" s="81"/>
      <c r="EA347" s="81"/>
      <c r="EB347" s="81"/>
      <c r="EC347" s="81"/>
      <c r="ED347" s="81"/>
      <c r="EE347" s="81"/>
      <c r="EF347" s="81"/>
      <c r="EG347" s="81"/>
      <c r="EH347" s="81"/>
      <c r="EI347" s="81"/>
      <c r="EJ347" s="81"/>
      <c r="EK347" s="81"/>
      <c r="EL347" s="81"/>
      <c r="EM347" s="81"/>
      <c r="EN347" s="81"/>
      <c r="EO347" s="81"/>
      <c r="EP347" s="81"/>
      <c r="EQ347" s="81"/>
      <c r="ER347" s="81"/>
      <c r="ES347" s="81"/>
      <c r="ET347" s="81"/>
      <c r="EU347" s="81"/>
      <c r="EV347" s="81"/>
      <c r="EW347" s="81"/>
      <c r="EX347" s="81"/>
      <c r="EY347" s="81"/>
      <c r="EZ347" s="81"/>
      <c r="FA347" s="81"/>
      <c r="FB347" s="81"/>
      <c r="FC347" s="81"/>
      <c r="FD347" s="81"/>
      <c r="FE347" s="81"/>
      <c r="FF347" s="81"/>
      <c r="FG347" s="81"/>
      <c r="FH347" s="81"/>
      <c r="FI347" s="81"/>
      <c r="FJ347" s="81"/>
      <c r="FK347" s="81"/>
      <c r="FL347" s="81"/>
      <c r="FM347" s="81"/>
      <c r="FN347" s="81"/>
      <c r="FO347" s="81"/>
      <c r="FP347" s="81"/>
      <c r="FQ347" s="338"/>
      <c r="FR347" s="81"/>
      <c r="FS347" s="81">
        <f t="shared" si="129"/>
        <v>0</v>
      </c>
    </row>
    <row r="348" spans="1:175" s="77" customFormat="1" outlineLevel="2">
      <c r="A348" s="78" t="s">
        <v>471</v>
      </c>
      <c r="B348" s="79"/>
      <c r="C348" s="657"/>
      <c r="D348" s="657"/>
      <c r="E348" s="510"/>
      <c r="F348" s="79"/>
      <c r="G348" s="141"/>
      <c r="H348" s="614" t="s">
        <v>58</v>
      </c>
      <c r="I348" s="637"/>
      <c r="J348" s="637"/>
      <c r="K348" s="142"/>
      <c r="L348" s="637"/>
      <c r="M348" s="366"/>
      <c r="N348" s="367">
        <f t="shared" si="150"/>
        <v>1</v>
      </c>
      <c r="O348" s="81">
        <f t="shared" si="144"/>
        <v>1370</v>
      </c>
      <c r="P348" s="81">
        <f t="shared" si="144"/>
        <v>0</v>
      </c>
      <c r="Q348" s="81">
        <f t="shared" si="144"/>
        <v>0</v>
      </c>
      <c r="R348" s="81">
        <f t="shared" si="144"/>
        <v>0</v>
      </c>
      <c r="S348" s="81">
        <f t="shared" si="144"/>
        <v>1705</v>
      </c>
      <c r="T348" s="81">
        <f t="shared" si="144"/>
        <v>785</v>
      </c>
      <c r="U348" s="81">
        <f t="shared" si="144"/>
        <v>785</v>
      </c>
      <c r="V348" s="81">
        <f t="shared" si="144"/>
        <v>0</v>
      </c>
      <c r="W348" s="81">
        <f t="shared" si="144"/>
        <v>1550</v>
      </c>
      <c r="X348" s="81">
        <f t="shared" si="144"/>
        <v>1160</v>
      </c>
      <c r="Y348" s="81">
        <f t="shared" si="145"/>
        <v>1160</v>
      </c>
      <c r="Z348" s="81">
        <f t="shared" si="145"/>
        <v>900</v>
      </c>
      <c r="AA348" s="81">
        <f t="shared" si="145"/>
        <v>1475</v>
      </c>
      <c r="AB348" s="81">
        <f t="shared" si="145"/>
        <v>21090</v>
      </c>
      <c r="AC348" s="81">
        <f t="shared" si="145"/>
        <v>19590</v>
      </c>
      <c r="AD348" s="81">
        <f t="shared" si="145"/>
        <v>2738</v>
      </c>
      <c r="AE348" s="81">
        <f t="shared" si="145"/>
        <v>43190</v>
      </c>
      <c r="AF348" s="81">
        <f t="shared" si="145"/>
        <v>50</v>
      </c>
      <c r="AG348" s="81">
        <f t="shared" si="145"/>
        <v>50</v>
      </c>
      <c r="AH348" s="81">
        <f t="shared" si="145"/>
        <v>0</v>
      </c>
      <c r="AI348" s="81">
        <f t="shared" si="146"/>
        <v>1585</v>
      </c>
      <c r="AJ348" s="81">
        <f t="shared" si="146"/>
        <v>5897</v>
      </c>
      <c r="AK348" s="81">
        <f t="shared" si="146"/>
        <v>0</v>
      </c>
      <c r="AL348" s="81">
        <f t="shared" si="146"/>
        <v>2732</v>
      </c>
      <c r="AM348" s="81">
        <f t="shared" si="146"/>
        <v>1340</v>
      </c>
      <c r="AN348" s="81">
        <f t="shared" si="146"/>
        <v>1070</v>
      </c>
      <c r="AO348" s="81">
        <f t="shared" si="146"/>
        <v>0</v>
      </c>
      <c r="AP348" s="81">
        <f t="shared" si="146"/>
        <v>0</v>
      </c>
      <c r="AQ348" s="81">
        <f t="shared" si="146"/>
        <v>43585</v>
      </c>
      <c r="AR348" s="81">
        <f t="shared" si="146"/>
        <v>1685</v>
      </c>
      <c r="AS348" s="81">
        <f t="shared" si="147"/>
        <v>0</v>
      </c>
      <c r="AT348" s="81">
        <f t="shared" si="147"/>
        <v>0</v>
      </c>
      <c r="AU348" s="81">
        <f t="shared" si="147"/>
        <v>1580</v>
      </c>
      <c r="AV348" s="81">
        <f t="shared" si="147"/>
        <v>26580</v>
      </c>
      <c r="AW348" s="81">
        <f t="shared" si="147"/>
        <v>0</v>
      </c>
      <c r="AX348" s="81">
        <f t="shared" si="147"/>
        <v>0</v>
      </c>
      <c r="AY348" s="81">
        <f t="shared" si="147"/>
        <v>1865</v>
      </c>
      <c r="AZ348" s="81">
        <f t="shared" si="147"/>
        <v>1865</v>
      </c>
      <c r="BA348" s="81">
        <f t="shared" si="147"/>
        <v>0</v>
      </c>
      <c r="BB348" s="81">
        <f t="shared" si="147"/>
        <v>0</v>
      </c>
      <c r="BC348" s="81">
        <f t="shared" si="148"/>
        <v>43840</v>
      </c>
      <c r="BD348" s="81">
        <f t="shared" si="148"/>
        <v>43840</v>
      </c>
      <c r="BE348" s="81">
        <f t="shared" si="148"/>
        <v>0</v>
      </c>
      <c r="BF348" s="81">
        <f t="shared" si="148"/>
        <v>0</v>
      </c>
      <c r="BG348" s="81">
        <f t="shared" si="148"/>
        <v>2165</v>
      </c>
      <c r="BH348" s="81">
        <f t="shared" si="148"/>
        <v>2165</v>
      </c>
      <c r="BI348" s="81">
        <f t="shared" si="148"/>
        <v>0</v>
      </c>
      <c r="BJ348" s="81">
        <f t="shared" si="148"/>
        <v>0</v>
      </c>
      <c r="BK348" s="338"/>
      <c r="BL348" s="81">
        <f t="shared" si="138"/>
        <v>145250</v>
      </c>
      <c r="BM348" s="81">
        <f t="shared" si="139"/>
        <v>0</v>
      </c>
      <c r="BN348" s="81">
        <f t="shared" si="140"/>
        <v>106187</v>
      </c>
      <c r="BO348" s="81">
        <f t="shared" si="141"/>
        <v>0</v>
      </c>
      <c r="BP348" s="81">
        <f t="shared" si="142"/>
        <v>21585</v>
      </c>
      <c r="BQ348" s="81">
        <f t="shared" si="143"/>
        <v>0</v>
      </c>
      <c r="BR348" s="83"/>
      <c r="BS348" s="345"/>
      <c r="BT348" s="81"/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  <c r="CM348" s="81"/>
      <c r="CN348" s="81"/>
      <c r="CO348" s="81"/>
      <c r="CP348" s="81"/>
      <c r="CQ348" s="81"/>
      <c r="CR348" s="81"/>
      <c r="CS348" s="81"/>
      <c r="CT348" s="81"/>
      <c r="CU348" s="81"/>
      <c r="CV348" s="81"/>
      <c r="CW348" s="81"/>
      <c r="CX348" s="81"/>
      <c r="CY348" s="81"/>
      <c r="CZ348" s="81"/>
      <c r="DA348" s="81"/>
      <c r="DB348" s="81"/>
      <c r="DC348" s="81"/>
      <c r="DD348" s="81"/>
      <c r="DE348" s="81"/>
      <c r="DF348" s="81"/>
      <c r="DG348" s="81"/>
      <c r="DH348" s="81"/>
      <c r="DI348" s="81"/>
      <c r="DJ348" s="81"/>
      <c r="DK348" s="81"/>
      <c r="DL348" s="81"/>
      <c r="DM348" s="81"/>
      <c r="DN348" s="81"/>
      <c r="DO348" s="81"/>
      <c r="DP348" s="338"/>
      <c r="DQ348" s="81"/>
      <c r="DR348" s="81">
        <f t="shared" si="127"/>
        <v>0</v>
      </c>
      <c r="DS348" s="83"/>
      <c r="DT348" s="345"/>
      <c r="DU348" s="81"/>
      <c r="DV348" s="81"/>
      <c r="DW348" s="81"/>
      <c r="DX348" s="81"/>
      <c r="DY348" s="81"/>
      <c r="DZ348" s="81"/>
      <c r="EA348" s="81"/>
      <c r="EB348" s="81"/>
      <c r="EC348" s="81"/>
      <c r="ED348" s="81"/>
      <c r="EE348" s="81"/>
      <c r="EF348" s="81"/>
      <c r="EG348" s="81"/>
      <c r="EH348" s="81"/>
      <c r="EI348" s="81"/>
      <c r="EJ348" s="81"/>
      <c r="EK348" s="81"/>
      <c r="EL348" s="81"/>
      <c r="EM348" s="81"/>
      <c r="EN348" s="81"/>
      <c r="EO348" s="81"/>
      <c r="EP348" s="81"/>
      <c r="EQ348" s="81"/>
      <c r="ER348" s="81"/>
      <c r="ES348" s="81"/>
      <c r="ET348" s="81"/>
      <c r="EU348" s="81"/>
      <c r="EV348" s="81"/>
      <c r="EW348" s="81"/>
      <c r="EX348" s="81"/>
      <c r="EY348" s="81"/>
      <c r="EZ348" s="81"/>
      <c r="FA348" s="81"/>
      <c r="FB348" s="81"/>
      <c r="FC348" s="81"/>
      <c r="FD348" s="81"/>
      <c r="FE348" s="81"/>
      <c r="FF348" s="81"/>
      <c r="FG348" s="81"/>
      <c r="FH348" s="81"/>
      <c r="FI348" s="81"/>
      <c r="FJ348" s="81"/>
      <c r="FK348" s="81"/>
      <c r="FL348" s="81"/>
      <c r="FM348" s="81"/>
      <c r="FN348" s="81"/>
      <c r="FO348" s="81"/>
      <c r="FP348" s="81"/>
      <c r="FQ348" s="338"/>
      <c r="FR348" s="81"/>
      <c r="FS348" s="81">
        <f t="shared" si="129"/>
        <v>0</v>
      </c>
    </row>
    <row r="349" spans="1:175" s="88" customFormat="1" outlineLevel="1">
      <c r="A349" s="89" t="s">
        <v>57</v>
      </c>
      <c r="B349" s="90"/>
      <c r="C349" s="658"/>
      <c r="D349" s="658"/>
      <c r="E349" s="512"/>
      <c r="F349" s="90"/>
      <c r="G349" s="143"/>
      <c r="H349" s="615" t="s">
        <v>58</v>
      </c>
      <c r="I349" s="638"/>
      <c r="J349" s="638"/>
      <c r="K349" s="144"/>
      <c r="L349" s="638"/>
      <c r="M349" s="368"/>
      <c r="N349" s="369">
        <f t="shared" si="150"/>
        <v>1</v>
      </c>
      <c r="O349" s="92">
        <f t="shared" ref="O349:BJ349" si="151">IFERROR(SUMPRODUCT(($G$6:$G$330&gt;0)*O$6:O$330),"")</f>
        <v>2531</v>
      </c>
      <c r="P349" s="92">
        <f t="shared" si="151"/>
        <v>477</v>
      </c>
      <c r="Q349" s="92">
        <f t="shared" si="151"/>
        <v>477</v>
      </c>
      <c r="R349" s="92">
        <f t="shared" si="151"/>
        <v>0</v>
      </c>
      <c r="S349" s="92">
        <f t="shared" si="151"/>
        <v>2866</v>
      </c>
      <c r="T349" s="92">
        <f t="shared" si="151"/>
        <v>2359</v>
      </c>
      <c r="U349" s="92">
        <f t="shared" si="151"/>
        <v>2359</v>
      </c>
      <c r="V349" s="92">
        <f t="shared" si="151"/>
        <v>0</v>
      </c>
      <c r="W349" s="92">
        <f t="shared" si="151"/>
        <v>2671</v>
      </c>
      <c r="X349" s="92">
        <f t="shared" si="151"/>
        <v>2160</v>
      </c>
      <c r="Y349" s="92">
        <f t="shared" si="151"/>
        <v>2160</v>
      </c>
      <c r="Z349" s="92">
        <f t="shared" si="151"/>
        <v>900</v>
      </c>
      <c r="AA349" s="92">
        <f t="shared" si="151"/>
        <v>2374</v>
      </c>
      <c r="AB349" s="92">
        <f t="shared" si="151"/>
        <v>22180</v>
      </c>
      <c r="AC349" s="92">
        <f t="shared" si="151"/>
        <v>19948</v>
      </c>
      <c r="AD349" s="92">
        <f t="shared" si="151"/>
        <v>2738</v>
      </c>
      <c r="AE349" s="92">
        <f t="shared" si="151"/>
        <v>44017</v>
      </c>
      <c r="AF349" s="92">
        <f t="shared" si="151"/>
        <v>650</v>
      </c>
      <c r="AG349" s="92">
        <f t="shared" si="151"/>
        <v>650</v>
      </c>
      <c r="AH349" s="92">
        <f t="shared" si="151"/>
        <v>0</v>
      </c>
      <c r="AI349" s="92">
        <f t="shared" si="151"/>
        <v>2532</v>
      </c>
      <c r="AJ349" s="92">
        <f t="shared" si="151"/>
        <v>6965</v>
      </c>
      <c r="AK349" s="92">
        <f t="shared" si="151"/>
        <v>0</v>
      </c>
      <c r="AL349" s="92">
        <f t="shared" si="151"/>
        <v>2852</v>
      </c>
      <c r="AM349" s="92">
        <f t="shared" si="151"/>
        <v>2167</v>
      </c>
      <c r="AN349" s="92">
        <f t="shared" si="151"/>
        <v>2042</v>
      </c>
      <c r="AO349" s="92">
        <f t="shared" si="151"/>
        <v>0</v>
      </c>
      <c r="AP349" s="92">
        <f t="shared" si="151"/>
        <v>0</v>
      </c>
      <c r="AQ349" s="92">
        <f t="shared" si="151"/>
        <v>44532</v>
      </c>
      <c r="AR349" s="92">
        <f t="shared" si="151"/>
        <v>2886</v>
      </c>
      <c r="AS349" s="92">
        <f t="shared" si="151"/>
        <v>0</v>
      </c>
      <c r="AT349" s="92">
        <f t="shared" si="151"/>
        <v>0</v>
      </c>
      <c r="AU349" s="92">
        <f t="shared" si="151"/>
        <v>2462</v>
      </c>
      <c r="AV349" s="92">
        <f t="shared" si="151"/>
        <v>27462</v>
      </c>
      <c r="AW349" s="92">
        <f t="shared" si="151"/>
        <v>0</v>
      </c>
      <c r="AX349" s="92">
        <f t="shared" si="151"/>
        <v>0</v>
      </c>
      <c r="AY349" s="92">
        <f t="shared" si="151"/>
        <v>2867</v>
      </c>
      <c r="AZ349" s="92">
        <f t="shared" si="151"/>
        <v>3127</v>
      </c>
      <c r="BA349" s="92">
        <f t="shared" si="151"/>
        <v>0</v>
      </c>
      <c r="BB349" s="92">
        <f t="shared" si="151"/>
        <v>0</v>
      </c>
      <c r="BC349" s="92">
        <f t="shared" si="151"/>
        <v>44722</v>
      </c>
      <c r="BD349" s="92">
        <f t="shared" si="151"/>
        <v>44982</v>
      </c>
      <c r="BE349" s="92">
        <f t="shared" si="151"/>
        <v>0</v>
      </c>
      <c r="BF349" s="92">
        <f t="shared" si="151"/>
        <v>0</v>
      </c>
      <c r="BG349" s="92">
        <f t="shared" si="151"/>
        <v>3167</v>
      </c>
      <c r="BH349" s="92">
        <f t="shared" si="151"/>
        <v>3427</v>
      </c>
      <c r="BI349" s="92">
        <f t="shared" si="151"/>
        <v>0</v>
      </c>
      <c r="BJ349" s="92">
        <f t="shared" si="151"/>
        <v>0</v>
      </c>
      <c r="BK349" s="339"/>
      <c r="BL349" s="92">
        <f t="shared" si="138"/>
        <v>156908</v>
      </c>
      <c r="BM349" s="92">
        <f t="shared" si="139"/>
        <v>0</v>
      </c>
      <c r="BN349" s="92">
        <f t="shared" si="140"/>
        <v>118717</v>
      </c>
      <c r="BO349" s="92">
        <f t="shared" si="141"/>
        <v>0</v>
      </c>
      <c r="BP349" s="92">
        <f t="shared" si="142"/>
        <v>25594</v>
      </c>
      <c r="BQ349" s="92">
        <f t="shared" si="143"/>
        <v>0</v>
      </c>
      <c r="BR349" s="94"/>
      <c r="BS349" s="346"/>
      <c r="BT349" s="92"/>
      <c r="BU349" s="92"/>
      <c r="BV349" s="92"/>
      <c r="BW349" s="92"/>
      <c r="BX349" s="92"/>
      <c r="BY349" s="92"/>
      <c r="BZ349" s="92"/>
      <c r="CA349" s="92"/>
      <c r="CB349" s="92"/>
      <c r="CC349" s="92"/>
      <c r="CD349" s="92"/>
      <c r="CE349" s="92"/>
      <c r="CF349" s="92"/>
      <c r="CG349" s="92"/>
      <c r="CH349" s="92"/>
      <c r="CI349" s="92"/>
      <c r="CJ349" s="92"/>
      <c r="CK349" s="92"/>
      <c r="CL349" s="92"/>
      <c r="CM349" s="92"/>
      <c r="CN349" s="92"/>
      <c r="CO349" s="92"/>
      <c r="CP349" s="92"/>
      <c r="CQ349" s="92"/>
      <c r="CR349" s="92"/>
      <c r="CS349" s="92"/>
      <c r="CT349" s="92"/>
      <c r="CU349" s="92"/>
      <c r="CV349" s="92"/>
      <c r="CW349" s="92"/>
      <c r="CX349" s="92"/>
      <c r="CY349" s="92"/>
      <c r="CZ349" s="92"/>
      <c r="DA349" s="92"/>
      <c r="DB349" s="92"/>
      <c r="DC349" s="92"/>
      <c r="DD349" s="92"/>
      <c r="DE349" s="92"/>
      <c r="DF349" s="92"/>
      <c r="DG349" s="92"/>
      <c r="DH349" s="92"/>
      <c r="DI349" s="92"/>
      <c r="DJ349" s="92"/>
      <c r="DK349" s="92"/>
      <c r="DL349" s="92"/>
      <c r="DM349" s="92"/>
      <c r="DN349" s="92"/>
      <c r="DO349" s="92"/>
      <c r="DP349" s="339"/>
      <c r="DQ349" s="92"/>
      <c r="DR349" s="92">
        <f t="shared" si="127"/>
        <v>0</v>
      </c>
      <c r="DS349" s="94"/>
      <c r="DT349" s="346"/>
      <c r="DU349" s="92"/>
      <c r="DV349" s="92"/>
      <c r="DW349" s="92"/>
      <c r="DX349" s="92"/>
      <c r="DY349" s="92"/>
      <c r="DZ349" s="92"/>
      <c r="EA349" s="92"/>
      <c r="EB349" s="92"/>
      <c r="EC349" s="92"/>
      <c r="ED349" s="92"/>
      <c r="EE349" s="92"/>
      <c r="EF349" s="92"/>
      <c r="EG349" s="92"/>
      <c r="EH349" s="92"/>
      <c r="EI349" s="92"/>
      <c r="EJ349" s="92"/>
      <c r="EK349" s="92"/>
      <c r="EL349" s="92"/>
      <c r="EM349" s="92"/>
      <c r="EN349" s="92"/>
      <c r="EO349" s="92"/>
      <c r="EP349" s="92"/>
      <c r="EQ349" s="92"/>
      <c r="ER349" s="92"/>
      <c r="ES349" s="92"/>
      <c r="ET349" s="92"/>
      <c r="EU349" s="92"/>
      <c r="EV349" s="92"/>
      <c r="EW349" s="92"/>
      <c r="EX349" s="92"/>
      <c r="EY349" s="92"/>
      <c r="EZ349" s="92"/>
      <c r="FA349" s="92"/>
      <c r="FB349" s="92"/>
      <c r="FC349" s="92"/>
      <c r="FD349" s="92"/>
      <c r="FE349" s="92"/>
      <c r="FF349" s="92"/>
      <c r="FG349" s="92"/>
      <c r="FH349" s="92"/>
      <c r="FI349" s="92"/>
      <c r="FJ349" s="92"/>
      <c r="FK349" s="92"/>
      <c r="FL349" s="92"/>
      <c r="FM349" s="92"/>
      <c r="FN349" s="92"/>
      <c r="FO349" s="92"/>
      <c r="FP349" s="92"/>
      <c r="FQ349" s="339"/>
      <c r="FR349" s="92"/>
      <c r="FS349" s="92">
        <f t="shared" si="129"/>
        <v>0</v>
      </c>
    </row>
    <row r="350" spans="1:175" s="597" customFormat="1" outlineLevel="1">
      <c r="A350" s="559" t="s">
        <v>429</v>
      </c>
      <c r="B350" s="560"/>
      <c r="C350" s="659"/>
      <c r="D350" s="659"/>
      <c r="E350" s="561"/>
      <c r="F350" s="560"/>
      <c r="G350" s="562"/>
      <c r="H350" s="560" t="s">
        <v>56</v>
      </c>
      <c r="I350" s="639"/>
      <c r="J350" s="639"/>
      <c r="K350" s="563"/>
      <c r="L350" s="639"/>
      <c r="M350" s="365"/>
      <c r="N350" s="365">
        <f t="shared" si="150"/>
        <v>1</v>
      </c>
      <c r="O350" s="337">
        <f>ТОРМОЗ!O72</f>
        <v>55404</v>
      </c>
      <c r="P350" s="337">
        <f>ТОРМОЗ!P72</f>
        <v>0</v>
      </c>
      <c r="Q350" s="337">
        <f>ТОРМОЗ!Q72</f>
        <v>0</v>
      </c>
      <c r="R350" s="337">
        <f>ТОРМОЗ!R72</f>
        <v>0</v>
      </c>
      <c r="S350" s="337">
        <f>ТОРМОЗ!S72</f>
        <v>137404</v>
      </c>
      <c r="T350" s="337">
        <f>ТОРМОЗ!T72</f>
        <v>0</v>
      </c>
      <c r="U350" s="337">
        <f>ТОРМОЗ!U72</f>
        <v>0</v>
      </c>
      <c r="V350" s="337">
        <f>ТОРМОЗ!V72</f>
        <v>0</v>
      </c>
      <c r="W350" s="337">
        <f>ТОРМОЗ!W72</f>
        <v>55404</v>
      </c>
      <c r="X350" s="337">
        <f>ТОРМОЗ!X72</f>
        <v>227136</v>
      </c>
      <c r="Y350" s="337">
        <f>ТОРМОЗ!Y72</f>
        <v>227136</v>
      </c>
      <c r="Z350" s="337">
        <f>ТОРМОЗ!Z72</f>
        <v>0</v>
      </c>
      <c r="AA350" s="337">
        <f>ТОРМОЗ!AA72</f>
        <v>231270</v>
      </c>
      <c r="AB350" s="337">
        <f>ТОРМОЗ!AB72</f>
        <v>388064</v>
      </c>
      <c r="AC350" s="337">
        <f>ТОРМОЗ!AC72</f>
        <v>388064</v>
      </c>
      <c r="AD350" s="337">
        <f>ТОРМОЗ!AD72</f>
        <v>0</v>
      </c>
      <c r="AE350" s="337">
        <f>ТОРМОЗ!AE72</f>
        <v>231270</v>
      </c>
      <c r="AF350" s="337">
        <f>ТОРМОЗ!AF72</f>
        <v>120353</v>
      </c>
      <c r="AG350" s="337">
        <f>ТОРМОЗ!AG72</f>
        <v>120353</v>
      </c>
      <c r="AH350" s="337">
        <f>ТОРМОЗ!AH72</f>
        <v>0</v>
      </c>
      <c r="AI350" s="337">
        <f>ТОРМОЗ!AI72</f>
        <v>442954</v>
      </c>
      <c r="AJ350" s="337">
        <f>ТОРМОЗ!AJ72</f>
        <v>273920</v>
      </c>
      <c r="AK350" s="337">
        <f>ТОРМОЗ!AK72</f>
        <v>0</v>
      </c>
      <c r="AL350" s="337">
        <f>ТОРМОЗ!AL72</f>
        <v>0</v>
      </c>
      <c r="AM350" s="337">
        <f>ТОРМОЗ!AM72</f>
        <v>885908</v>
      </c>
      <c r="AN350" s="337">
        <f>ТОРМОЗ!AN72</f>
        <v>255520</v>
      </c>
      <c r="AO350" s="337">
        <f>ТОРМОЗ!AO72</f>
        <v>0</v>
      </c>
      <c r="AP350" s="337">
        <f>ТОРМОЗ!AP72</f>
        <v>0</v>
      </c>
      <c r="AQ350" s="337">
        <f>ТОРМОЗ!AQ72</f>
        <v>885908</v>
      </c>
      <c r="AR350" s="337">
        <f>ТОРМОЗ!AR72</f>
        <v>514990.00000000006</v>
      </c>
      <c r="AS350" s="337">
        <f>ТОРМОЗ!AS72</f>
        <v>0</v>
      </c>
      <c r="AT350" s="337">
        <f>ТОРМОЗ!AT72</f>
        <v>0</v>
      </c>
      <c r="AU350" s="337">
        <f>ТОРМОЗ!AU72</f>
        <v>885908</v>
      </c>
      <c r="AV350" s="337">
        <f>ТОРМОЗ!AV72</f>
        <v>442954</v>
      </c>
      <c r="AW350" s="337">
        <f>ТОРМОЗ!AW72</f>
        <v>0</v>
      </c>
      <c r="AX350" s="337">
        <f>ТОРМОЗ!AX72</f>
        <v>0</v>
      </c>
      <c r="AY350" s="337">
        <f>ТОРМОЗ!AY72</f>
        <v>1383988</v>
      </c>
      <c r="AZ350" s="337">
        <f>ТОРМОЗ!AZ72</f>
        <v>636868</v>
      </c>
      <c r="BA350" s="337">
        <f>ТОРМОЗ!BA72</f>
        <v>0</v>
      </c>
      <c r="BB350" s="337">
        <f>ТОРМОЗ!BB72</f>
        <v>0</v>
      </c>
      <c r="BC350" s="337">
        <f>ТОРМОЗ!BC72</f>
        <v>1383988</v>
      </c>
      <c r="BD350" s="337">
        <f>ТОРМОЗ!BD72</f>
        <v>885908</v>
      </c>
      <c r="BE350" s="337">
        <f>ТОРМОЗ!BE72</f>
        <v>0</v>
      </c>
      <c r="BF350" s="337">
        <f>ТОРМОЗ!BF72</f>
        <v>0</v>
      </c>
      <c r="BG350" s="337">
        <f>ТОРМОЗ!BG72</f>
        <v>1383988</v>
      </c>
      <c r="BH350" s="337">
        <f>ТОРМОЗ!BH72</f>
        <v>1383988</v>
      </c>
      <c r="BI350" s="337">
        <f>ТОРМОЗ!BI72</f>
        <v>0</v>
      </c>
      <c r="BJ350" s="337">
        <f>ТОРМОЗ!BJ72</f>
        <v>0</v>
      </c>
      <c r="BK350" s="337"/>
      <c r="BL350" s="337">
        <f t="shared" si="138"/>
        <v>7963394</v>
      </c>
      <c r="BM350" s="337">
        <f t="shared" si="139"/>
        <v>0</v>
      </c>
      <c r="BN350" s="344">
        <f t="shared" si="140"/>
        <v>5129701</v>
      </c>
      <c r="BO350" s="344">
        <f t="shared" si="141"/>
        <v>0</v>
      </c>
      <c r="BP350" s="337">
        <f t="shared" si="142"/>
        <v>735553</v>
      </c>
      <c r="BQ350" s="337">
        <f t="shared" si="143"/>
        <v>0</v>
      </c>
      <c r="BR350" s="337"/>
      <c r="BS350" s="337"/>
      <c r="BT350" s="337"/>
      <c r="BU350" s="337"/>
      <c r="BV350" s="337"/>
      <c r="BW350" s="337"/>
      <c r="BX350" s="337"/>
      <c r="BY350" s="337"/>
      <c r="BZ350" s="337"/>
      <c r="CA350" s="337"/>
      <c r="CB350" s="337"/>
      <c r="CC350" s="337"/>
      <c r="CD350" s="337"/>
      <c r="CE350" s="337"/>
      <c r="CF350" s="337"/>
      <c r="CG350" s="337"/>
      <c r="CH350" s="337"/>
      <c r="CI350" s="337"/>
      <c r="CJ350" s="337"/>
      <c r="CK350" s="337"/>
      <c r="CL350" s="337"/>
      <c r="CM350" s="337"/>
      <c r="CN350" s="337"/>
      <c r="CO350" s="337"/>
      <c r="CP350" s="337"/>
      <c r="CQ350" s="337"/>
      <c r="CR350" s="337"/>
      <c r="CS350" s="337"/>
      <c r="CT350" s="337"/>
      <c r="CU350" s="337"/>
      <c r="CV350" s="337"/>
      <c r="CW350" s="337"/>
      <c r="CX350" s="337"/>
      <c r="CY350" s="337"/>
      <c r="CZ350" s="337"/>
      <c r="DA350" s="337"/>
      <c r="DB350" s="337"/>
      <c r="DC350" s="337"/>
      <c r="DD350" s="337"/>
      <c r="DE350" s="337"/>
      <c r="DF350" s="337"/>
      <c r="DG350" s="337"/>
      <c r="DH350" s="337"/>
      <c r="DI350" s="337"/>
      <c r="DJ350" s="337"/>
      <c r="DK350" s="337"/>
      <c r="DL350" s="337"/>
      <c r="DM350" s="337"/>
      <c r="DN350" s="337"/>
      <c r="DO350" s="344"/>
      <c r="DP350" s="344"/>
      <c r="DQ350" s="337"/>
      <c r="DR350" s="337">
        <f t="shared" si="127"/>
        <v>0</v>
      </c>
      <c r="DS350" s="337"/>
      <c r="DT350" s="337"/>
      <c r="DU350" s="337"/>
      <c r="DV350" s="337"/>
      <c r="DW350" s="337"/>
      <c r="DX350" s="337"/>
      <c r="DY350" s="337"/>
      <c r="DZ350" s="337"/>
      <c r="EA350" s="337"/>
      <c r="EB350" s="337"/>
      <c r="EC350" s="337"/>
      <c r="ED350" s="337"/>
      <c r="EE350" s="337"/>
      <c r="EF350" s="337"/>
      <c r="EG350" s="337"/>
      <c r="EH350" s="337"/>
      <c r="EI350" s="337"/>
      <c r="EJ350" s="337"/>
      <c r="EK350" s="337"/>
      <c r="EL350" s="337"/>
      <c r="EM350" s="337"/>
      <c r="EN350" s="337"/>
      <c r="EO350" s="337"/>
      <c r="EP350" s="337"/>
      <c r="EQ350" s="337"/>
      <c r="ER350" s="337"/>
      <c r="ES350" s="337"/>
      <c r="ET350" s="337"/>
      <c r="EU350" s="337"/>
      <c r="EV350" s="337"/>
      <c r="EW350" s="337"/>
      <c r="EX350" s="337"/>
      <c r="EY350" s="337"/>
      <c r="EZ350" s="337"/>
      <c r="FA350" s="337"/>
      <c r="FB350" s="337"/>
      <c r="FC350" s="337"/>
      <c r="FD350" s="337"/>
      <c r="FE350" s="337"/>
      <c r="FF350" s="337"/>
      <c r="FG350" s="337"/>
      <c r="FH350" s="337"/>
      <c r="FI350" s="337"/>
      <c r="FJ350" s="337"/>
      <c r="FK350" s="337"/>
      <c r="FL350" s="337"/>
      <c r="FM350" s="337"/>
      <c r="FN350" s="337"/>
      <c r="FO350" s="337"/>
      <c r="FS350" s="597">
        <f t="shared" si="129"/>
        <v>0</v>
      </c>
    </row>
    <row r="351" spans="1:175" s="598" customFormat="1" outlineLevel="1">
      <c r="A351" s="491" t="s">
        <v>428</v>
      </c>
      <c r="B351" s="492"/>
      <c r="C351" s="660"/>
      <c r="D351" s="660"/>
      <c r="E351" s="514"/>
      <c r="F351" s="492"/>
      <c r="G351" s="493"/>
      <c r="H351" s="492" t="s">
        <v>56</v>
      </c>
      <c r="I351" s="640"/>
      <c r="J351" s="640"/>
      <c r="K351" s="494"/>
      <c r="L351" s="640"/>
      <c r="M351" s="495"/>
      <c r="N351" s="495">
        <f t="shared" si="150"/>
        <v>1</v>
      </c>
      <c r="O351" s="496">
        <f t="shared" ref="O351:BJ351" si="152">IFERROR(O350+O340,"")</f>
        <v>1176510.3483606558</v>
      </c>
      <c r="P351" s="496">
        <f t="shared" si="152"/>
        <v>255622.46350455369</v>
      </c>
      <c r="Q351" s="496">
        <f t="shared" si="152"/>
        <v>255622.46350455369</v>
      </c>
      <c r="R351" s="496">
        <f t="shared" si="152"/>
        <v>0</v>
      </c>
      <c r="S351" s="496">
        <f t="shared" si="152"/>
        <v>1352490.1479963572</v>
      </c>
      <c r="T351" s="496">
        <f t="shared" si="152"/>
        <v>1052445.6293260474</v>
      </c>
      <c r="U351" s="496">
        <f t="shared" si="152"/>
        <v>1052445.6293260474</v>
      </c>
      <c r="V351" s="496">
        <f t="shared" si="152"/>
        <v>0</v>
      </c>
      <c r="W351" s="496">
        <f t="shared" si="152"/>
        <v>1213213.9549180327</v>
      </c>
      <c r="X351" s="496">
        <f t="shared" si="152"/>
        <v>897269.94899817859</v>
      </c>
      <c r="Y351" s="496">
        <f t="shared" si="152"/>
        <v>897269.94899817859</v>
      </c>
      <c r="Z351" s="496">
        <f t="shared" si="152"/>
        <v>222652.93260473589</v>
      </c>
      <c r="AA351" s="496">
        <f t="shared" si="152"/>
        <v>1300253.6889799635</v>
      </c>
      <c r="AB351" s="496">
        <f t="shared" si="152"/>
        <v>2291099.2062513661</v>
      </c>
      <c r="AC351" s="496">
        <f t="shared" si="152"/>
        <v>2291099.2062513661</v>
      </c>
      <c r="AD351" s="496">
        <f t="shared" si="152"/>
        <v>655274.97449908929</v>
      </c>
      <c r="AE351" s="496">
        <f t="shared" si="152"/>
        <v>1461887.2204918033</v>
      </c>
      <c r="AF351" s="496">
        <f t="shared" si="152"/>
        <v>508727.86338797817</v>
      </c>
      <c r="AG351" s="496">
        <f t="shared" si="152"/>
        <v>508727.86338797817</v>
      </c>
      <c r="AH351" s="496">
        <f t="shared" si="152"/>
        <v>0</v>
      </c>
      <c r="AI351" s="496">
        <f t="shared" si="152"/>
        <v>1617949.3807832424</v>
      </c>
      <c r="AJ351" s="496">
        <f t="shared" si="152"/>
        <v>2628410.3876138432</v>
      </c>
      <c r="AK351" s="496">
        <f t="shared" si="152"/>
        <v>0</v>
      </c>
      <c r="AL351" s="496">
        <f t="shared" si="152"/>
        <v>698735.29872495448</v>
      </c>
      <c r="AM351" s="496">
        <f t="shared" si="152"/>
        <v>1957628.8270491804</v>
      </c>
      <c r="AN351" s="496">
        <f t="shared" si="152"/>
        <v>1379468.9439890711</v>
      </c>
      <c r="AO351" s="496">
        <f t="shared" si="152"/>
        <v>0</v>
      </c>
      <c r="AP351" s="496">
        <f t="shared" si="152"/>
        <v>0</v>
      </c>
      <c r="AQ351" s="496">
        <f t="shared" si="152"/>
        <v>2288603.3807832422</v>
      </c>
      <c r="AR351" s="496">
        <f t="shared" si="152"/>
        <v>1908263.9053734064</v>
      </c>
      <c r="AS351" s="496">
        <f t="shared" si="152"/>
        <v>0</v>
      </c>
      <c r="AT351" s="496">
        <f t="shared" si="152"/>
        <v>0</v>
      </c>
      <c r="AU351" s="496">
        <f t="shared" si="152"/>
        <v>2126653.0893442621</v>
      </c>
      <c r="AV351" s="496">
        <f t="shared" si="152"/>
        <v>1912463.843442623</v>
      </c>
      <c r="AW351" s="496">
        <f t="shared" si="152"/>
        <v>0</v>
      </c>
      <c r="AX351" s="496">
        <f t="shared" si="152"/>
        <v>0</v>
      </c>
      <c r="AY351" s="496">
        <f t="shared" si="152"/>
        <v>2733040.7578324229</v>
      </c>
      <c r="AZ351" s="496">
        <f t="shared" si="152"/>
        <v>2148199.4463570127</v>
      </c>
      <c r="BA351" s="496">
        <f t="shared" si="152"/>
        <v>0</v>
      </c>
      <c r="BB351" s="496">
        <f t="shared" si="152"/>
        <v>0</v>
      </c>
      <c r="BC351" s="496">
        <f t="shared" si="152"/>
        <v>2985007.187704918</v>
      </c>
      <c r="BD351" s="496">
        <f t="shared" si="152"/>
        <v>2649205.8762295078</v>
      </c>
      <c r="BE351" s="496">
        <f t="shared" si="152"/>
        <v>0</v>
      </c>
      <c r="BF351" s="496">
        <f t="shared" si="152"/>
        <v>0</v>
      </c>
      <c r="BG351" s="496">
        <f t="shared" si="152"/>
        <v>2880514.5283242259</v>
      </c>
      <c r="BH351" s="496">
        <f t="shared" si="152"/>
        <v>3042793.2168488158</v>
      </c>
      <c r="BI351" s="496">
        <f t="shared" si="152"/>
        <v>0</v>
      </c>
      <c r="BJ351" s="496">
        <f t="shared" si="152"/>
        <v>0</v>
      </c>
      <c r="BK351" s="496"/>
      <c r="BL351" s="496">
        <f t="shared" si="138"/>
        <v>23093752.512568306</v>
      </c>
      <c r="BM351" s="496">
        <f t="shared" si="139"/>
        <v>0</v>
      </c>
      <c r="BN351" s="497">
        <f t="shared" si="140"/>
        <v>20673970.731322404</v>
      </c>
      <c r="BO351" s="497">
        <f t="shared" si="141"/>
        <v>0</v>
      </c>
      <c r="BP351" s="496">
        <f t="shared" si="142"/>
        <v>5005165.1114681233</v>
      </c>
      <c r="BQ351" s="496">
        <f t="shared" si="143"/>
        <v>0</v>
      </c>
      <c r="BR351" s="496"/>
      <c r="BS351" s="496"/>
      <c r="BT351" s="496"/>
      <c r="BU351" s="496"/>
      <c r="BV351" s="496"/>
      <c r="BW351" s="496"/>
      <c r="BX351" s="496"/>
      <c r="BY351" s="496"/>
      <c r="BZ351" s="496"/>
      <c r="CA351" s="496"/>
      <c r="CB351" s="496"/>
      <c r="CC351" s="496"/>
      <c r="CD351" s="496"/>
      <c r="CE351" s="496"/>
      <c r="CF351" s="496"/>
      <c r="CG351" s="496"/>
      <c r="CH351" s="496"/>
      <c r="CI351" s="496"/>
      <c r="CJ351" s="496"/>
      <c r="CK351" s="496"/>
      <c r="CL351" s="496"/>
      <c r="CM351" s="496"/>
      <c r="CN351" s="496"/>
      <c r="CO351" s="496"/>
      <c r="CP351" s="496"/>
      <c r="CQ351" s="496"/>
      <c r="CR351" s="496"/>
      <c r="CS351" s="496"/>
      <c r="CT351" s="496"/>
      <c r="CU351" s="496"/>
      <c r="CV351" s="496"/>
      <c r="CW351" s="496"/>
      <c r="CX351" s="496"/>
      <c r="CY351" s="496"/>
      <c r="CZ351" s="496"/>
      <c r="DA351" s="496"/>
      <c r="DB351" s="496"/>
      <c r="DC351" s="496"/>
      <c r="DD351" s="496"/>
      <c r="DE351" s="496"/>
      <c r="DF351" s="496"/>
      <c r="DG351" s="496"/>
      <c r="DH351" s="496"/>
      <c r="DI351" s="496"/>
      <c r="DJ351" s="496"/>
      <c r="DK351" s="496"/>
      <c r="DL351" s="496"/>
      <c r="DM351" s="496"/>
      <c r="DN351" s="496"/>
      <c r="DO351" s="497"/>
      <c r="DP351" s="497"/>
      <c r="DQ351" s="496"/>
      <c r="DR351" s="496">
        <f t="shared" si="127"/>
        <v>0</v>
      </c>
      <c r="DS351" s="496"/>
      <c r="DT351" s="496"/>
      <c r="DU351" s="496"/>
      <c r="DV351" s="496"/>
      <c r="DW351" s="496"/>
      <c r="DX351" s="496"/>
      <c r="DY351" s="496"/>
      <c r="DZ351" s="496"/>
      <c r="EA351" s="496"/>
      <c r="EB351" s="496"/>
      <c r="EC351" s="496"/>
      <c r="ED351" s="496"/>
      <c r="EE351" s="496"/>
      <c r="EF351" s="496"/>
      <c r="EG351" s="496"/>
      <c r="EH351" s="496"/>
      <c r="EI351" s="496"/>
      <c r="EJ351" s="496"/>
      <c r="EK351" s="496"/>
      <c r="EL351" s="496"/>
      <c r="EM351" s="496"/>
      <c r="EN351" s="496"/>
      <c r="EO351" s="496"/>
      <c r="EP351" s="496"/>
      <c r="EQ351" s="496"/>
      <c r="ER351" s="496"/>
      <c r="ES351" s="496"/>
      <c r="ET351" s="496"/>
      <c r="EU351" s="496"/>
      <c r="EV351" s="496"/>
      <c r="EW351" s="496"/>
      <c r="EX351" s="496"/>
      <c r="EY351" s="496"/>
      <c r="EZ351" s="496"/>
      <c r="FA351" s="496"/>
      <c r="FB351" s="496"/>
      <c r="FC351" s="496"/>
      <c r="FD351" s="496"/>
      <c r="FE351" s="496"/>
      <c r="FF351" s="496"/>
      <c r="FG351" s="496"/>
      <c r="FH351" s="496"/>
      <c r="FI351" s="496"/>
      <c r="FJ351" s="496"/>
      <c r="FK351" s="496"/>
      <c r="FL351" s="496"/>
      <c r="FM351" s="496"/>
      <c r="FN351" s="496"/>
      <c r="FO351" s="496"/>
      <c r="FS351" s="598">
        <f t="shared" si="129"/>
        <v>0</v>
      </c>
    </row>
  </sheetData>
  <sheetProtection formatCells="0" formatColumns="0" formatRows="0" insertColumns="0" insertRows="0" insertHyperlinks="0" deleteColumns="0" deleteRows="0" sort="0" autoFilter="0" pivotTables="0"/>
  <autoFilter ref="A5:FU351" xr:uid="{45F48B0B-4518-43C8-9FD1-44EB56DC1418}"/>
  <mergeCells count="65">
    <mergeCell ref="DP4:DP5"/>
    <mergeCell ref="DT3:FT3"/>
    <mergeCell ref="N3:BR3"/>
    <mergeCell ref="BK4:BK5"/>
    <mergeCell ref="BR4:BR5"/>
    <mergeCell ref="FT4:FT5"/>
    <mergeCell ref="FQ4:FQ5"/>
    <mergeCell ref="BS3:DS3"/>
    <mergeCell ref="N4:N5"/>
    <mergeCell ref="DU4:DX4"/>
    <mergeCell ref="DY4:EB4"/>
    <mergeCell ref="EC4:EF4"/>
    <mergeCell ref="EG4:EJ4"/>
    <mergeCell ref="EK4:EN4"/>
    <mergeCell ref="EO4:ER4"/>
    <mergeCell ref="ES4:EV4"/>
    <mergeCell ref="EW4:EZ4"/>
    <mergeCell ref="F4:F5"/>
    <mergeCell ref="G4:G5"/>
    <mergeCell ref="H4:H5"/>
    <mergeCell ref="I3:L3"/>
    <mergeCell ref="I4:I5"/>
    <mergeCell ref="J4:J5"/>
    <mergeCell ref="K4:K5"/>
    <mergeCell ref="L4:L5"/>
    <mergeCell ref="BG4:BJ4"/>
    <mergeCell ref="BL4:BQ4"/>
    <mergeCell ref="CN4:CQ4"/>
    <mergeCell ref="CR4:CU4"/>
    <mergeCell ref="CV4:CY4"/>
    <mergeCell ref="DH4:DK4"/>
    <mergeCell ref="DL4:DO4"/>
    <mergeCell ref="A4:A5"/>
    <mergeCell ref="B4:B5"/>
    <mergeCell ref="C4:C5"/>
    <mergeCell ref="D4:D5"/>
    <mergeCell ref="E4:E5"/>
    <mergeCell ref="FR4:FS4"/>
    <mergeCell ref="DQ4:DR4"/>
    <mergeCell ref="M4:M5"/>
    <mergeCell ref="BS4:BS5"/>
    <mergeCell ref="S4:V4"/>
    <mergeCell ref="O4:R4"/>
    <mergeCell ref="W4:Z4"/>
    <mergeCell ref="AA4:AD4"/>
    <mergeCell ref="AE4:AH4"/>
    <mergeCell ref="AI4:AL4"/>
    <mergeCell ref="FA4:FD4"/>
    <mergeCell ref="FE4:FH4"/>
    <mergeCell ref="FI4:FL4"/>
    <mergeCell ref="FM4:FP4"/>
    <mergeCell ref="DT4:DT5"/>
    <mergeCell ref="DS4:DS5"/>
    <mergeCell ref="CZ4:DC4"/>
    <mergeCell ref="DD4:DG4"/>
    <mergeCell ref="AM4:AP4"/>
    <mergeCell ref="AQ4:AT4"/>
    <mergeCell ref="AU4:AX4"/>
    <mergeCell ref="AY4:BB4"/>
    <mergeCell ref="BC4:BF4"/>
    <mergeCell ref="BT4:BW4"/>
    <mergeCell ref="BX4:CA4"/>
    <mergeCell ref="CB4:CE4"/>
    <mergeCell ref="CF4:CI4"/>
    <mergeCell ref="CJ4:CM4"/>
  </mergeCells>
  <conditionalFormatting sqref="A6:FT330">
    <cfRule type="expression" dxfId="51" priority="2">
      <formula>IF($F6="S",1,0)</formula>
    </cfRule>
  </conditionalFormatting>
  <conditionalFormatting sqref="F6:F330">
    <cfRule type="containsText" dxfId="50" priority="90" operator="containsText" text="S">
      <formula>NOT(ISERROR(SEARCH("S",F6)))</formula>
    </cfRule>
    <cfRule type="cellIs" dxfId="49" priority="1397" operator="equal">
      <formula>2</formula>
    </cfRule>
  </conditionalFormatting>
  <conditionalFormatting sqref="F6:G330">
    <cfRule type="expression" dxfId="48" priority="2362">
      <formula>IF($G6&gt;0,IF(SUMPRODUCT((Список_Сводная_Пневматика_2026=($F6&amp;"_"&amp;$G6))*1)&gt;0,0,1),0)</formula>
    </cfRule>
  </conditionalFormatting>
  <conditionalFormatting sqref="G6:G330">
    <cfRule type="expression" dxfId="46" priority="2932">
      <formula>IF($F6="S",IF(SUMPRODUCT((Список_комплектов=$G6)*1)&gt;0,0,1),0)</formula>
    </cfRule>
    <cfRule type="expression" dxfId="45" priority="2933">
      <formula>IF($G6&gt;0,IF(SUMPRODUCT((Список_артикулов=$G6)*1)&gt;0,0,1),0)</formula>
    </cfRule>
    <cfRule type="expression" dxfId="44" priority="2934">
      <formula>IF($G6&gt;0,IF(SUMPRODUCT(($A$6:$A$329=$A6)*($F$6:$F$329=$F6)*($G$6:$G$329=$G6)*($I$6:$I$329=$I6))&gt;1,1,0),0)</formula>
    </cfRule>
  </conditionalFormatting>
  <conditionalFormatting sqref="I6:J330">
    <cfRule type="expression" dxfId="43" priority="3">
      <formula>IF($J$1&gt;0,IF(IFERROR(SEARCH("НДС_20",_xlfn.FORMULATEXT(I6),1),0)&gt;0,1,0),0)</formula>
    </cfRule>
    <cfRule type="expression" dxfId="42" priority="16">
      <formula>IF($J$2&gt;0,IF(IFERROR(SEARCH("НДС",_xlfn.FORMULATEXT(I6),1),0)&gt;0,1,0),0)</formula>
    </cfRule>
  </conditionalFormatting>
  <conditionalFormatting sqref="I6:BJ330">
    <cfRule type="expression" dxfId="41" priority="2818">
      <formula>IF(AND($G6&gt;0,$I6=0),1,0)</formula>
    </cfRule>
  </conditionalFormatting>
  <conditionalFormatting sqref="K6:K330">
    <cfRule type="containsText" dxfId="40" priority="65" operator="containsText" text="EUR">
      <formula>NOT(ISERROR(SEARCH("EUR",K6)))</formula>
    </cfRule>
    <cfRule type="containsText" dxfId="39" priority="66" operator="containsText" text="RUB">
      <formula>NOT(ISERROR(SEARCH("RUB",K6)))</formula>
    </cfRule>
  </conditionalFormatting>
  <conditionalFormatting sqref="L6:L330">
    <cfRule type="expression" dxfId="38" priority="67">
      <formula>IF($L6="",0,IF($L6&lt;$I6,1,0))</formula>
    </cfRule>
    <cfRule type="expression" dxfId="37" priority="68">
      <formula>IF($L6="",0,IF($L6&gt;$I6,1,0))</formula>
    </cfRule>
  </conditionalFormatting>
  <conditionalFormatting sqref="N6:N351 BL6:BQ351 O332:BJ351">
    <cfRule type="expression" dxfId="36" priority="89">
      <formula>IF(_xlfn.ISFORMULA(N6),0,1)</formula>
    </cfRule>
  </conditionalFormatting>
  <conditionalFormatting sqref="O6:BJ330">
    <cfRule type="expression" dxfId="35" priority="78">
      <formula>IF(IFERROR(SEARCH("Ч(",_xlfn.FORMULATEXT(O6),1),0)&gt;0,1,0)</formula>
    </cfRule>
    <cfRule type="expression" dxfId="34" priority="79">
      <formula>_xlfn.ISFORMULA(O6)</formula>
    </cfRule>
  </conditionalFormatting>
  <dataValidations disablePrompts="1" count="1">
    <dataValidation type="list" allowBlank="1" showInputMessage="1" showErrorMessage="1" sqref="J1:J2" xr:uid="{53B7028F-397D-4EE6-92A6-A11233D51F38}">
      <formula1>"х"</formula1>
    </dataValidation>
  </dataValidations>
  <hyperlinks>
    <hyperlink ref="A1" r:id="rId1" display="https://cbr.ru/currency_base/dynamics/?UniDbQuery.Posted=True&amp;UniDbQuery.VAL_NM_RQ=R01239" xr:uid="{00000000-0004-0000-0100-000000000000}"/>
    <hyperlink ref="A2" r:id="rId2" display="https://cbr.ru/currency_base/dynamics/?UniDbQuery.Posted=True&amp;UniDbQuery.VAL_NM_RQ=R01375" xr:uid="{00000000-0004-0000-0100-000001000000}"/>
  </hyperlinks>
  <pageMargins left="0.7" right="0.7" top="0.75" bottom="0.75" header="0.3" footer="0.3"/>
  <pageSetup paperSize="9" orientation="portrait"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398" operator="containsText" id="{00ED00D9-004A-412D-86FA-00D700C800B9}">
            <xm:f>NOT(ISERROR(SEARCH($G$3,G3)))</xm:f>
            <xm:f>$G$3</xm:f>
            <x14:dxf>
              <fill>
                <patternFill patternType="solid">
                  <fgColor theme="4" tint="0.59996337778862885"/>
                  <bgColor theme="4" tint="0.39994506668294322"/>
                </patternFill>
              </fill>
            </x14:dxf>
          </x14:cfRule>
          <xm:sqref>G3 G6:G330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C73"/>
  <sheetViews>
    <sheetView zoomScale="70" workbookViewId="0">
      <pane xSplit="9" ySplit="4" topLeftCell="J5" activePane="bottomRight" state="frozen"/>
      <selection activeCell="J5" sqref="J5"/>
      <selection pane="topRight"/>
      <selection pane="bottomLeft"/>
      <selection pane="bottomRight" activeCell="J5" sqref="J5"/>
    </sheetView>
  </sheetViews>
  <sheetFormatPr defaultColWidth="12.6640625" defaultRowHeight="14.4" outlineLevelCol="2"/>
  <cols>
    <col min="1" max="1" width="5" style="145" customWidth="1" outlineLevel="1"/>
    <col min="2" max="2" width="15" style="145" bestFit="1" customWidth="1"/>
    <col min="3" max="3" width="12.5546875" style="145" hidden="1" customWidth="1" outlineLevel="2"/>
    <col min="4" max="4" width="20.6640625" style="145" hidden="1" customWidth="1" outlineLevel="2"/>
    <col min="5" max="5" width="7.6640625" style="145" hidden="1" customWidth="1" outlineLevel="2"/>
    <col min="6" max="6" width="5.6640625" style="145" customWidth="1" collapsed="1"/>
    <col min="7" max="7" width="9.6640625" style="145" customWidth="1"/>
    <col min="8" max="8" width="13.5546875" style="145" customWidth="1"/>
    <col min="9" max="9" width="53.6640625" style="146" customWidth="1"/>
    <col min="10" max="10" width="10.33203125" style="147" customWidth="1" outlineLevel="1"/>
    <col min="11" max="11" width="10.33203125" style="147" customWidth="1" outlineLevel="2"/>
    <col min="12" max="12" width="7.6640625" style="147" customWidth="1" outlineLevel="2"/>
    <col min="13" max="13" width="9.6640625" style="147" customWidth="1" outlineLevel="2"/>
    <col min="14" max="14" width="7.6640625" style="147" customWidth="1" outlineLevel="2"/>
    <col min="15" max="15" width="14.6640625" style="147" customWidth="1" outlineLevel="2"/>
    <col min="16" max="16" width="7.6640625" style="147" customWidth="1" outlineLevel="2"/>
    <col min="17" max="17" width="9.6640625" style="147" customWidth="1" outlineLevel="2"/>
    <col min="18" max="18" width="7.6640625" style="147" customWidth="1" outlineLevel="2"/>
    <col min="19" max="19" width="14.6640625" style="147" customWidth="1" outlineLevel="2"/>
    <col min="20" max="20" width="7.6640625" style="147" customWidth="1" outlineLevel="2"/>
    <col min="21" max="21" width="9.6640625" style="147" customWidth="1" outlineLevel="2"/>
    <col min="22" max="22" width="7.6640625" style="147" customWidth="1" outlineLevel="2"/>
    <col min="23" max="23" width="14.6640625" style="147" customWidth="1" outlineLevel="2"/>
    <col min="24" max="24" width="7.6640625" style="147" customWidth="1" outlineLevel="2"/>
    <col min="25" max="25" width="9.6640625" style="147" customWidth="1" outlineLevel="2"/>
    <col min="26" max="26" width="7.6640625" style="147" customWidth="1" outlineLevel="2"/>
    <col min="27" max="27" width="14.6640625" style="147" customWidth="1" outlineLevel="2"/>
    <col min="28" max="28" width="7.6640625" style="147" customWidth="1" outlineLevel="2"/>
    <col min="29" max="29" width="9.6640625" style="147" customWidth="1" outlineLevel="2"/>
    <col min="30" max="30" width="7.6640625" style="147" customWidth="1" outlineLevel="2"/>
    <col min="31" max="31" width="14.6640625" style="147" customWidth="1" outlineLevel="2"/>
    <col min="32" max="32" width="7.6640625" style="147" customWidth="1" outlineLevel="2"/>
    <col min="33" max="33" width="9.6640625" style="147" customWidth="1" outlineLevel="2"/>
    <col min="34" max="34" width="7.6640625" style="146" customWidth="1" outlineLevel="2"/>
    <col min="35" max="35" width="14.6640625" style="146" customWidth="1" outlineLevel="2"/>
    <col min="36" max="36" width="7.6640625" style="146" customWidth="1" outlineLevel="2"/>
    <col min="37" max="37" width="9.6640625" style="146" customWidth="1" outlineLevel="2"/>
    <col min="38" max="38" width="7.6640625" style="146" customWidth="1" outlineLevel="2"/>
    <col min="39" max="39" width="14.6640625" style="146" customWidth="1" outlineLevel="2"/>
    <col min="40" max="40" width="7.6640625" style="146" customWidth="1" outlineLevel="2" collapsed="1"/>
    <col min="41" max="41" width="9.6640625" style="146" customWidth="1" outlineLevel="2"/>
    <col min="42" max="42" width="7.6640625" style="146" customWidth="1" outlineLevel="2"/>
    <col min="43" max="43" width="14.6640625" style="146" customWidth="1" outlineLevel="2"/>
    <col min="44" max="44" width="7.6640625" style="146" customWidth="1" outlineLevel="2" collapsed="1"/>
    <col min="45" max="45" width="9.6640625" style="146" customWidth="1" outlineLevel="2"/>
    <col min="46" max="46" width="7.6640625" style="146" customWidth="1" outlineLevel="2"/>
    <col min="47" max="47" width="14.6640625" style="146" customWidth="1" outlineLevel="2"/>
    <col min="48" max="48" width="7.6640625" style="146" customWidth="1" outlineLevel="1"/>
    <col min="49" max="49" width="9.6640625" style="146" customWidth="1" outlineLevel="1"/>
    <col min="50" max="50" width="7.6640625" style="146" customWidth="1" outlineLevel="1"/>
    <col min="51" max="51" width="14.6640625" style="146" customWidth="1" outlineLevel="1"/>
    <col min="52" max="52" width="7.6640625" style="146" customWidth="1" outlineLevel="1"/>
    <col min="53" max="53" width="9.6640625" style="146" customWidth="1" outlineLevel="1"/>
    <col min="54" max="54" width="7.6640625" style="147" customWidth="1" outlineLevel="1"/>
    <col min="55" max="55" width="14.6640625" style="146" customWidth="1" outlineLevel="1"/>
    <col min="56" max="56" width="7.6640625" style="146" customWidth="1" outlineLevel="1"/>
    <col min="57" max="57" width="9.6640625" style="146" customWidth="1" outlineLevel="1"/>
    <col min="58" max="58" width="7.6640625" style="147" customWidth="1" outlineLevel="1"/>
    <col min="59" max="59" width="14.6640625" style="146" customWidth="1" outlineLevel="1"/>
    <col min="60" max="60" width="6.6640625" style="146" bestFit="1" customWidth="1"/>
    <col min="61" max="61" width="16" style="146" customWidth="1"/>
    <col min="62" max="62" width="9.6640625" style="146" customWidth="1" outlineLevel="1"/>
    <col min="63" max="63" width="15.44140625" style="147" bestFit="1" customWidth="1" outlineLevel="1"/>
    <col min="64" max="64" width="7.6640625" style="145" customWidth="1"/>
    <col min="65" max="65" width="12.6640625" style="145" customWidth="1"/>
    <col min="66" max="66" width="7.6640625" style="145" customWidth="1"/>
    <col min="67" max="68" width="9.6640625" style="145" customWidth="1"/>
    <col min="69" max="69" width="7.6640625" style="145" customWidth="1"/>
    <col min="70" max="70" width="14.6640625" style="145" customWidth="1"/>
    <col min="71" max="71" width="7.6640625" style="145" customWidth="1"/>
    <col min="72" max="73" width="9.6640625" style="145" customWidth="1"/>
    <col min="74" max="74" width="7.6640625" style="145" customWidth="1"/>
    <col min="75" max="75" width="14.6640625" style="145" customWidth="1"/>
    <col min="76" max="76" width="7.6640625" style="145" customWidth="1"/>
    <col min="77" max="78" width="9.6640625" style="145" customWidth="1"/>
    <col min="79" max="79" width="7.6640625" style="145" customWidth="1"/>
    <col min="80" max="80" width="14.6640625" style="145" customWidth="1"/>
    <col min="81" max="81" width="7.6640625" style="145" customWidth="1"/>
    <col min="82" max="83" width="9.6640625" style="145" customWidth="1"/>
    <col min="84" max="84" width="7.6640625" style="145" customWidth="1"/>
    <col min="85" max="85" width="14.6640625" style="145" customWidth="1"/>
    <col min="86" max="86" width="7.6640625" style="145" customWidth="1"/>
    <col min="87" max="88" width="9.6640625" style="145" customWidth="1"/>
    <col min="89" max="89" width="7.6640625" style="145" customWidth="1"/>
    <col min="90" max="90" width="14.6640625" style="145" customWidth="1"/>
    <col min="91" max="91" width="7.6640625" style="145" customWidth="1"/>
    <col min="92" max="93" width="9.6640625" style="145" customWidth="1"/>
    <col min="94" max="94" width="7.6640625" style="145" customWidth="1"/>
    <col min="95" max="95" width="14.6640625" style="145" customWidth="1"/>
    <col min="96" max="96" width="7.6640625" style="145" customWidth="1"/>
    <col min="97" max="98" width="9.6640625" style="145" customWidth="1"/>
    <col min="99" max="99" width="7.6640625" style="145" customWidth="1"/>
    <col min="100" max="100" width="14.6640625" style="145" customWidth="1"/>
    <col min="101" max="101" width="7.6640625" style="145" customWidth="1"/>
    <col min="102" max="103" width="9.6640625" style="145" customWidth="1"/>
    <col min="104" max="104" width="7.6640625" style="145" customWidth="1"/>
    <col min="105" max="105" width="14.6640625" style="145" customWidth="1"/>
    <col min="106" max="106" width="7.6640625" style="145" customWidth="1"/>
    <col min="107" max="108" width="9.6640625" style="145" customWidth="1"/>
    <col min="109" max="109" width="7.6640625" style="145" customWidth="1"/>
    <col min="110" max="110" width="14.6640625" style="145" customWidth="1"/>
    <col min="111" max="111" width="7.6640625" style="145" customWidth="1"/>
    <col min="112" max="113" width="9.6640625" style="145" customWidth="1"/>
    <col min="114" max="114" width="7.6640625" style="145" customWidth="1"/>
    <col min="115" max="115" width="14.6640625" style="145" customWidth="1"/>
    <col min="116" max="116" width="7.6640625" style="145" customWidth="1"/>
    <col min="117" max="118" width="9.6640625" style="145" customWidth="1"/>
    <col min="119" max="119" width="7.6640625" style="145" customWidth="1"/>
    <col min="120" max="120" width="14.6640625" style="145" customWidth="1"/>
    <col min="121" max="121" width="7.6640625" style="145" customWidth="1"/>
    <col min="122" max="123" width="9.6640625" style="145" customWidth="1"/>
    <col min="124" max="124" width="7.6640625" style="145" customWidth="1"/>
    <col min="125" max="125" width="14.6640625" style="145" customWidth="1"/>
    <col min="126" max="126" width="6.6640625" style="145" bestFit="1" customWidth="1"/>
    <col min="127" max="127" width="16" style="145" customWidth="1"/>
    <col min="128" max="128" width="9.6640625" style="145" customWidth="1"/>
    <col min="129" max="129" width="16" style="145" customWidth="1"/>
    <col min="130" max="130" width="9.6640625" style="145" customWidth="1"/>
    <col min="131" max="131" width="15.44140625" style="145" bestFit="1" customWidth="1"/>
    <col min="132" max="132" width="7.6640625" style="145" customWidth="1"/>
    <col min="133" max="133" width="12.6640625" style="145" customWidth="1"/>
    <col min="134" max="16384" width="12.6640625" style="145"/>
  </cols>
  <sheetData>
    <row r="1" spans="1:133">
      <c r="E1" s="148"/>
      <c r="F1" s="148"/>
      <c r="G1" s="148" t="s">
        <v>1</v>
      </c>
      <c r="H1" s="149">
        <f>ПНЕВМАТИКА!G1</f>
        <v>46178</v>
      </c>
    </row>
    <row r="2" spans="1:133" ht="15" customHeight="1">
      <c r="A2" s="150"/>
      <c r="B2" s="151">
        <f>ПНЕВМАТИКА!A2</f>
        <v>11.25</v>
      </c>
      <c r="C2" s="152" t="s">
        <v>2</v>
      </c>
      <c r="D2" s="153"/>
      <c r="E2" s="153"/>
      <c r="F2" s="153"/>
      <c r="G2" s="154">
        <f>ПНЕВМАТИКА!E2</f>
        <v>0</v>
      </c>
      <c r="H2" s="155" t="s">
        <v>3</v>
      </c>
      <c r="I2" s="156"/>
      <c r="J2" s="771" t="s">
        <v>59</v>
      </c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771"/>
      <c r="V2" s="771"/>
      <c r="W2" s="771"/>
      <c r="X2" s="771"/>
      <c r="Y2" s="771"/>
      <c r="Z2" s="771"/>
      <c r="AA2" s="771"/>
      <c r="AB2" s="771"/>
      <c r="AC2" s="771"/>
      <c r="AD2" s="771"/>
      <c r="AE2" s="771"/>
      <c r="AF2" s="771"/>
      <c r="AG2" s="771"/>
      <c r="AH2" s="771"/>
      <c r="AI2" s="771"/>
      <c r="AJ2" s="771"/>
      <c r="AK2" s="771"/>
      <c r="AL2" s="771"/>
      <c r="AM2" s="771"/>
      <c r="AN2" s="771"/>
      <c r="AO2" s="771"/>
      <c r="AP2" s="771"/>
      <c r="AQ2" s="771"/>
      <c r="AR2" s="771"/>
      <c r="AS2" s="771"/>
      <c r="AT2" s="771"/>
      <c r="AU2" s="771"/>
      <c r="AV2" s="771"/>
      <c r="AW2" s="771"/>
      <c r="AX2" s="771"/>
      <c r="AY2" s="771"/>
      <c r="AZ2" s="771"/>
      <c r="BA2" s="771"/>
      <c r="BB2" s="771"/>
      <c r="BC2" s="771"/>
      <c r="BD2" s="771"/>
      <c r="BE2" s="771"/>
      <c r="BF2" s="771"/>
      <c r="BG2" s="771"/>
      <c r="BH2" s="771"/>
      <c r="BI2" s="771"/>
      <c r="BJ2" s="771"/>
      <c r="BK2" s="771"/>
      <c r="BL2" s="771"/>
      <c r="BM2" s="771"/>
      <c r="BN2" s="771" t="s">
        <v>6</v>
      </c>
      <c r="BO2" s="771"/>
      <c r="BP2" s="771"/>
      <c r="BQ2" s="771"/>
      <c r="BR2" s="771"/>
      <c r="BS2" s="771"/>
      <c r="BT2" s="771"/>
      <c r="BU2" s="771"/>
      <c r="BV2" s="771"/>
      <c r="BW2" s="771"/>
      <c r="BX2" s="771"/>
      <c r="BY2" s="771"/>
      <c r="BZ2" s="771"/>
      <c r="CA2" s="771"/>
      <c r="CB2" s="771"/>
      <c r="CC2" s="771"/>
      <c r="CD2" s="771"/>
      <c r="CE2" s="771"/>
      <c r="CF2" s="771"/>
      <c r="CG2" s="771"/>
      <c r="CH2" s="771"/>
      <c r="CI2" s="771"/>
      <c r="CJ2" s="771"/>
      <c r="CK2" s="771"/>
      <c r="CL2" s="771"/>
      <c r="CM2" s="771"/>
      <c r="CN2" s="771"/>
      <c r="CO2" s="771"/>
      <c r="CP2" s="771"/>
      <c r="CQ2" s="771"/>
      <c r="CR2" s="771"/>
      <c r="CS2" s="771"/>
      <c r="CT2" s="771"/>
      <c r="CU2" s="771"/>
      <c r="CV2" s="771"/>
      <c r="CW2" s="771"/>
      <c r="CX2" s="771"/>
      <c r="CY2" s="771"/>
      <c r="CZ2" s="771"/>
      <c r="DA2" s="771"/>
      <c r="DB2" s="771"/>
      <c r="DC2" s="771"/>
      <c r="DD2" s="771"/>
      <c r="DE2" s="771"/>
      <c r="DF2" s="771"/>
      <c r="DG2" s="771"/>
      <c r="DH2" s="771"/>
      <c r="DI2" s="771"/>
      <c r="DJ2" s="771"/>
      <c r="DK2" s="771"/>
      <c r="DL2" s="771"/>
      <c r="DM2" s="771"/>
      <c r="DN2" s="771"/>
      <c r="DO2" s="771"/>
      <c r="DP2" s="771"/>
      <c r="DQ2" s="771"/>
      <c r="DR2" s="771"/>
      <c r="DS2" s="771"/>
      <c r="DT2" s="771"/>
      <c r="DU2" s="771"/>
      <c r="DV2" s="771"/>
      <c r="DW2" s="771"/>
      <c r="DX2" s="771"/>
      <c r="DY2" s="771"/>
      <c r="DZ2" s="771"/>
      <c r="EA2" s="771"/>
      <c r="EB2" s="771"/>
      <c r="EC2" s="771"/>
    </row>
    <row r="3" spans="1:133" ht="15" customHeight="1">
      <c r="A3" s="772" t="s">
        <v>4</v>
      </c>
      <c r="B3" s="773"/>
      <c r="C3" s="773"/>
      <c r="D3" s="773"/>
      <c r="E3" s="773"/>
      <c r="F3" s="773"/>
      <c r="G3" s="774"/>
      <c r="H3" s="10" t="s">
        <v>164</v>
      </c>
      <c r="I3" s="157"/>
      <c r="J3" s="158" t="s">
        <v>165</v>
      </c>
      <c r="K3" s="158" t="s">
        <v>166</v>
      </c>
      <c r="L3" s="775" t="s">
        <v>61</v>
      </c>
      <c r="M3" s="775"/>
      <c r="N3" s="775"/>
      <c r="O3" s="775"/>
      <c r="P3" s="775" t="s">
        <v>62</v>
      </c>
      <c r="Q3" s="775"/>
      <c r="R3" s="775"/>
      <c r="S3" s="775"/>
      <c r="T3" s="775" t="s">
        <v>63</v>
      </c>
      <c r="U3" s="775"/>
      <c r="V3" s="775"/>
      <c r="W3" s="775"/>
      <c r="X3" s="775" t="s">
        <v>64</v>
      </c>
      <c r="Y3" s="775"/>
      <c r="Z3" s="775"/>
      <c r="AA3" s="775"/>
      <c r="AB3" s="775" t="s">
        <v>65</v>
      </c>
      <c r="AC3" s="775"/>
      <c r="AD3" s="775"/>
      <c r="AE3" s="775"/>
      <c r="AF3" s="775" t="s">
        <v>66</v>
      </c>
      <c r="AG3" s="775"/>
      <c r="AH3" s="775"/>
      <c r="AI3" s="775"/>
      <c r="AJ3" s="775" t="s">
        <v>67</v>
      </c>
      <c r="AK3" s="775"/>
      <c r="AL3" s="775"/>
      <c r="AM3" s="775"/>
      <c r="AN3" s="775" t="s">
        <v>68</v>
      </c>
      <c r="AO3" s="775"/>
      <c r="AP3" s="775"/>
      <c r="AQ3" s="775"/>
      <c r="AR3" s="775" t="s">
        <v>69</v>
      </c>
      <c r="AS3" s="775"/>
      <c r="AT3" s="775"/>
      <c r="AU3" s="775"/>
      <c r="AV3" s="775" t="s">
        <v>70</v>
      </c>
      <c r="AW3" s="775"/>
      <c r="AX3" s="775"/>
      <c r="AY3" s="775"/>
      <c r="AZ3" s="768">
        <v>45597</v>
      </c>
      <c r="BA3" s="768"/>
      <c r="BB3" s="768"/>
      <c r="BC3" s="768"/>
      <c r="BD3" s="768">
        <v>45627</v>
      </c>
      <c r="BE3" s="768"/>
      <c r="BF3" s="768"/>
      <c r="BG3" s="768"/>
      <c r="BH3" s="769" t="s">
        <v>71</v>
      </c>
      <c r="BI3" s="769"/>
      <c r="BJ3" s="769"/>
      <c r="BK3" s="769"/>
      <c r="BL3" s="769"/>
      <c r="BM3" s="769"/>
      <c r="BN3" s="768" t="s">
        <v>167</v>
      </c>
      <c r="BO3" s="768"/>
      <c r="BP3" s="768"/>
      <c r="BQ3" s="768"/>
      <c r="BR3" s="768"/>
      <c r="BS3" s="768" t="s">
        <v>168</v>
      </c>
      <c r="BT3" s="768"/>
      <c r="BU3" s="768"/>
      <c r="BV3" s="768"/>
      <c r="BW3" s="768"/>
      <c r="BX3" s="768" t="s">
        <v>169</v>
      </c>
      <c r="BY3" s="768"/>
      <c r="BZ3" s="768"/>
      <c r="CA3" s="768"/>
      <c r="CB3" s="768"/>
      <c r="CC3" s="768">
        <v>45748</v>
      </c>
      <c r="CD3" s="768"/>
      <c r="CE3" s="768"/>
      <c r="CF3" s="768"/>
      <c r="CG3" s="768"/>
      <c r="CH3" s="768">
        <v>45778</v>
      </c>
      <c r="CI3" s="768"/>
      <c r="CJ3" s="768"/>
      <c r="CK3" s="768"/>
      <c r="CL3" s="768"/>
      <c r="CM3" s="768">
        <v>45809</v>
      </c>
      <c r="CN3" s="768"/>
      <c r="CO3" s="768"/>
      <c r="CP3" s="768"/>
      <c r="CQ3" s="768"/>
      <c r="CR3" s="768">
        <v>45839</v>
      </c>
      <c r="CS3" s="768"/>
      <c r="CT3" s="768"/>
      <c r="CU3" s="768"/>
      <c r="CV3" s="768"/>
      <c r="CW3" s="768">
        <v>45870</v>
      </c>
      <c r="CX3" s="768"/>
      <c r="CY3" s="768"/>
      <c r="CZ3" s="768"/>
      <c r="DA3" s="768"/>
      <c r="DB3" s="768">
        <v>45901</v>
      </c>
      <c r="DC3" s="768"/>
      <c r="DD3" s="768"/>
      <c r="DE3" s="768"/>
      <c r="DF3" s="768"/>
      <c r="DG3" s="768">
        <v>45931</v>
      </c>
      <c r="DH3" s="768"/>
      <c r="DI3" s="768"/>
      <c r="DJ3" s="768"/>
      <c r="DK3" s="768"/>
      <c r="DL3" s="768">
        <v>45962</v>
      </c>
      <c r="DM3" s="768"/>
      <c r="DN3" s="768"/>
      <c r="DO3" s="768"/>
      <c r="DP3" s="768"/>
      <c r="DQ3" s="768">
        <v>45992</v>
      </c>
      <c r="DR3" s="768"/>
      <c r="DS3" s="768"/>
      <c r="DT3" s="768"/>
      <c r="DU3" s="768"/>
      <c r="DV3" s="769" t="s">
        <v>19</v>
      </c>
      <c r="DW3" s="769"/>
      <c r="DX3" s="769"/>
      <c r="DY3" s="769"/>
      <c r="DZ3" s="769"/>
      <c r="EA3" s="769"/>
      <c r="EB3" s="769"/>
      <c r="EC3" s="769"/>
    </row>
    <row r="4" spans="1:133" ht="43.2">
      <c r="A4" s="159" t="s">
        <v>170</v>
      </c>
      <c r="B4" s="160" t="s">
        <v>7</v>
      </c>
      <c r="C4" s="161" t="s">
        <v>171</v>
      </c>
      <c r="D4" s="161" t="s">
        <v>172</v>
      </c>
      <c r="E4" s="160" t="s">
        <v>173</v>
      </c>
      <c r="F4" s="161" t="s">
        <v>11</v>
      </c>
      <c r="G4" s="160" t="s">
        <v>12</v>
      </c>
      <c r="H4" s="160" t="s">
        <v>13</v>
      </c>
      <c r="I4" s="160" t="s">
        <v>14</v>
      </c>
      <c r="J4" s="162" t="s">
        <v>174</v>
      </c>
      <c r="K4" s="162" t="s">
        <v>175</v>
      </c>
      <c r="L4" s="163" t="s">
        <v>176</v>
      </c>
      <c r="M4" s="164" t="s">
        <v>177</v>
      </c>
      <c r="N4" s="165" t="s">
        <v>178</v>
      </c>
      <c r="O4" s="166" t="s">
        <v>179</v>
      </c>
      <c r="P4" s="163" t="s">
        <v>180</v>
      </c>
      <c r="Q4" s="164" t="s">
        <v>181</v>
      </c>
      <c r="R4" s="165" t="s">
        <v>182</v>
      </c>
      <c r="S4" s="166" t="s">
        <v>183</v>
      </c>
      <c r="T4" s="163" t="s">
        <v>184</v>
      </c>
      <c r="U4" s="164" t="s">
        <v>185</v>
      </c>
      <c r="V4" s="165" t="s">
        <v>186</v>
      </c>
      <c r="W4" s="166" t="s">
        <v>187</v>
      </c>
      <c r="X4" s="163" t="s">
        <v>188</v>
      </c>
      <c r="Y4" s="164" t="s">
        <v>189</v>
      </c>
      <c r="Z4" s="165" t="s">
        <v>190</v>
      </c>
      <c r="AA4" s="166" t="s">
        <v>191</v>
      </c>
      <c r="AB4" s="163" t="s">
        <v>192</v>
      </c>
      <c r="AC4" s="164" t="s">
        <v>193</v>
      </c>
      <c r="AD4" s="165" t="s">
        <v>194</v>
      </c>
      <c r="AE4" s="166" t="s">
        <v>195</v>
      </c>
      <c r="AF4" s="163" t="s">
        <v>196</v>
      </c>
      <c r="AG4" s="164" t="s">
        <v>197</v>
      </c>
      <c r="AH4" s="165" t="s">
        <v>198</v>
      </c>
      <c r="AI4" s="166" t="s">
        <v>199</v>
      </c>
      <c r="AJ4" s="163" t="s">
        <v>200</v>
      </c>
      <c r="AK4" s="164" t="s">
        <v>201</v>
      </c>
      <c r="AL4" s="165" t="s">
        <v>202</v>
      </c>
      <c r="AM4" s="166" t="s">
        <v>203</v>
      </c>
      <c r="AN4" s="163" t="s">
        <v>204</v>
      </c>
      <c r="AO4" s="164" t="s">
        <v>205</v>
      </c>
      <c r="AP4" s="165" t="s">
        <v>206</v>
      </c>
      <c r="AQ4" s="166" t="s">
        <v>207</v>
      </c>
      <c r="AR4" s="163" t="s">
        <v>208</v>
      </c>
      <c r="AS4" s="164" t="s">
        <v>209</v>
      </c>
      <c r="AT4" s="165" t="s">
        <v>210</v>
      </c>
      <c r="AU4" s="166" t="s">
        <v>211</v>
      </c>
      <c r="AV4" s="163" t="s">
        <v>212</v>
      </c>
      <c r="AW4" s="164" t="s">
        <v>213</v>
      </c>
      <c r="AX4" s="165" t="s">
        <v>214</v>
      </c>
      <c r="AY4" s="166" t="s">
        <v>215</v>
      </c>
      <c r="AZ4" s="163" t="s">
        <v>216</v>
      </c>
      <c r="BA4" s="164" t="s">
        <v>217</v>
      </c>
      <c r="BB4" s="165" t="s">
        <v>218</v>
      </c>
      <c r="BC4" s="166" t="s">
        <v>219</v>
      </c>
      <c r="BD4" s="163" t="s">
        <v>220</v>
      </c>
      <c r="BE4" s="164" t="s">
        <v>221</v>
      </c>
      <c r="BF4" s="165" t="s">
        <v>222</v>
      </c>
      <c r="BG4" s="166" t="s">
        <v>223</v>
      </c>
      <c r="BH4" s="163" t="s">
        <v>224</v>
      </c>
      <c r="BI4" s="163" t="s">
        <v>225</v>
      </c>
      <c r="BJ4" s="164" t="s">
        <v>226</v>
      </c>
      <c r="BK4" s="164" t="s">
        <v>227</v>
      </c>
      <c r="BL4" s="165" t="s">
        <v>228</v>
      </c>
      <c r="BM4" s="165" t="s">
        <v>229</v>
      </c>
      <c r="BN4" s="163" t="s">
        <v>230</v>
      </c>
      <c r="BO4" s="167" t="s">
        <v>231</v>
      </c>
      <c r="BP4" s="164" t="s">
        <v>232</v>
      </c>
      <c r="BQ4" s="165" t="s">
        <v>233</v>
      </c>
      <c r="BR4" s="166" t="s">
        <v>234</v>
      </c>
      <c r="BS4" s="163" t="s">
        <v>235</v>
      </c>
      <c r="BT4" s="167" t="s">
        <v>236</v>
      </c>
      <c r="BU4" s="164" t="s">
        <v>237</v>
      </c>
      <c r="BV4" s="165" t="s">
        <v>238</v>
      </c>
      <c r="BW4" s="166" t="s">
        <v>239</v>
      </c>
      <c r="BX4" s="163" t="s">
        <v>240</v>
      </c>
      <c r="BY4" s="167" t="s">
        <v>241</v>
      </c>
      <c r="BZ4" s="164" t="s">
        <v>242</v>
      </c>
      <c r="CA4" s="165" t="s">
        <v>243</v>
      </c>
      <c r="CB4" s="166" t="s">
        <v>244</v>
      </c>
      <c r="CC4" s="163" t="s">
        <v>245</v>
      </c>
      <c r="CD4" s="167" t="s">
        <v>246</v>
      </c>
      <c r="CE4" s="164" t="s">
        <v>247</v>
      </c>
      <c r="CF4" s="165" t="s">
        <v>248</v>
      </c>
      <c r="CG4" s="166" t="s">
        <v>249</v>
      </c>
      <c r="CH4" s="163" t="s">
        <v>250</v>
      </c>
      <c r="CI4" s="167" t="s">
        <v>251</v>
      </c>
      <c r="CJ4" s="164" t="s">
        <v>252</v>
      </c>
      <c r="CK4" s="165" t="s">
        <v>253</v>
      </c>
      <c r="CL4" s="166" t="s">
        <v>254</v>
      </c>
      <c r="CM4" s="163" t="s">
        <v>255</v>
      </c>
      <c r="CN4" s="167" t="s">
        <v>256</v>
      </c>
      <c r="CO4" s="164" t="s">
        <v>257</v>
      </c>
      <c r="CP4" s="165" t="s">
        <v>258</v>
      </c>
      <c r="CQ4" s="166" t="s">
        <v>259</v>
      </c>
      <c r="CR4" s="163" t="s">
        <v>260</v>
      </c>
      <c r="CS4" s="167" t="s">
        <v>261</v>
      </c>
      <c r="CT4" s="164" t="s">
        <v>262</v>
      </c>
      <c r="CU4" s="165" t="s">
        <v>263</v>
      </c>
      <c r="CV4" s="166" t="s">
        <v>264</v>
      </c>
      <c r="CW4" s="163" t="s">
        <v>265</v>
      </c>
      <c r="CX4" s="167" t="s">
        <v>266</v>
      </c>
      <c r="CY4" s="164" t="s">
        <v>267</v>
      </c>
      <c r="CZ4" s="165" t="s">
        <v>268</v>
      </c>
      <c r="DA4" s="166" t="s">
        <v>269</v>
      </c>
      <c r="DB4" s="163" t="s">
        <v>270</v>
      </c>
      <c r="DC4" s="167" t="s">
        <v>271</v>
      </c>
      <c r="DD4" s="164" t="s">
        <v>272</v>
      </c>
      <c r="DE4" s="165" t="s">
        <v>273</v>
      </c>
      <c r="DF4" s="166" t="s">
        <v>274</v>
      </c>
      <c r="DG4" s="163" t="s">
        <v>275</v>
      </c>
      <c r="DH4" s="167" t="s">
        <v>276</v>
      </c>
      <c r="DI4" s="164" t="s">
        <v>277</v>
      </c>
      <c r="DJ4" s="165" t="s">
        <v>278</v>
      </c>
      <c r="DK4" s="166" t="s">
        <v>279</v>
      </c>
      <c r="DL4" s="163" t="s">
        <v>280</v>
      </c>
      <c r="DM4" s="167" t="s">
        <v>281</v>
      </c>
      <c r="DN4" s="164" t="s">
        <v>282</v>
      </c>
      <c r="DO4" s="165" t="s">
        <v>283</v>
      </c>
      <c r="DP4" s="166" t="s">
        <v>284</v>
      </c>
      <c r="DQ4" s="163" t="s">
        <v>285</v>
      </c>
      <c r="DR4" s="167" t="s">
        <v>286</v>
      </c>
      <c r="DS4" s="164" t="s">
        <v>287</v>
      </c>
      <c r="DT4" s="165" t="s">
        <v>288</v>
      </c>
      <c r="DU4" s="166" t="s">
        <v>289</v>
      </c>
      <c r="DV4" s="163" t="s">
        <v>290</v>
      </c>
      <c r="DW4" s="163" t="s">
        <v>291</v>
      </c>
      <c r="DX4" s="168" t="s">
        <v>292</v>
      </c>
      <c r="DY4" s="169" t="s">
        <v>293</v>
      </c>
      <c r="DZ4" s="164" t="s">
        <v>294</v>
      </c>
      <c r="EA4" s="164" t="s">
        <v>295</v>
      </c>
      <c r="EB4" s="165" t="s">
        <v>296</v>
      </c>
      <c r="EC4" s="170" t="s">
        <v>297</v>
      </c>
    </row>
    <row r="5" spans="1:133">
      <c r="A5" s="171"/>
      <c r="B5" s="172"/>
      <c r="C5" s="173" t="s">
        <v>298</v>
      </c>
      <c r="D5" s="173" t="s">
        <v>299</v>
      </c>
      <c r="E5" s="174">
        <v>1</v>
      </c>
      <c r="F5" s="174">
        <v>1</v>
      </c>
      <c r="G5" s="174"/>
      <c r="H5" s="175">
        <v>9522010010</v>
      </c>
      <c r="I5" s="176" t="s">
        <v>73</v>
      </c>
      <c r="J5" s="177">
        <f t="shared" ref="J5:J6" si="0">89.6/1.2</f>
        <v>74.666666666666671</v>
      </c>
      <c r="K5" s="177"/>
      <c r="L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157</v>
      </c>
      <c r="M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162</v>
      </c>
      <c r="N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134</v>
      </c>
      <c r="O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165</v>
      </c>
      <c r="Q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160</v>
      </c>
      <c r="R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65</v>
      </c>
      <c r="S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175</v>
      </c>
      <c r="U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220</v>
      </c>
      <c r="V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180</v>
      </c>
      <c r="W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180</v>
      </c>
      <c r="Y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175</v>
      </c>
      <c r="Z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152</v>
      </c>
      <c r="AA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180</v>
      </c>
      <c r="AC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175</v>
      </c>
      <c r="AD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180</v>
      </c>
      <c r="AG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175</v>
      </c>
      <c r="AH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180</v>
      </c>
      <c r="AK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180</v>
      </c>
      <c r="AL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180</v>
      </c>
      <c r="AO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100</v>
      </c>
      <c r="AP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180</v>
      </c>
      <c r="AS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150</v>
      </c>
      <c r="AT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180</v>
      </c>
      <c r="AW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130</v>
      </c>
      <c r="AX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180</v>
      </c>
      <c r="BA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150</v>
      </c>
      <c r="BB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180</v>
      </c>
      <c r="BE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170</v>
      </c>
      <c r="BF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5" s="180">
        <f t="shared" ref="BH5:BH36" si="1">SUMPRODUCT(--(MOD(COLUMN($L5:$BG5),4)=MOD(COLUMN($L5),4)),$L5:$BG5)</f>
        <v>2117</v>
      </c>
      <c r="BI5" s="181">
        <f>Автовик[[#This Row],[Цена, 
юань, без НДС 1]]*BH5</f>
        <v>158069.33333333334</v>
      </c>
      <c r="BJ5" s="130">
        <f t="shared" ref="BJ5:BJ36" si="2">SUMPRODUCT(--(MOD(COLUMN($L5:$BG5),4)=MOD(COLUMN($L5)+1,4)),$L5:$BG5)</f>
        <v>1947</v>
      </c>
      <c r="BK5" s="182">
        <f>Автовик[[#This Row],[Цена, 
юань, без НДС 1]]*BJ5</f>
        <v>145376</v>
      </c>
      <c r="BL5" s="109">
        <f t="shared" ref="BL5:BL36" si="3">SUMPRODUCT(--(MOD(COLUMN($L5:$BG5),4)=MOD(COLUMN($L5)+2,4)),$L5:$BG5)</f>
        <v>531</v>
      </c>
      <c r="BM5" s="183">
        <f>Автовик[[#This Row],[Цена, 
юань, без НДС 1]]*BL5</f>
        <v>39648</v>
      </c>
      <c r="BN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80</v>
      </c>
      <c r="BQ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110</v>
      </c>
      <c r="BV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130</v>
      </c>
      <c r="CA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150</v>
      </c>
      <c r="CF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150</v>
      </c>
      <c r="CK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160</v>
      </c>
      <c r="CP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150</v>
      </c>
      <c r="CU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160</v>
      </c>
      <c r="CZ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150</v>
      </c>
      <c r="DE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160</v>
      </c>
      <c r="DJ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150</v>
      </c>
      <c r="DO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180</v>
      </c>
      <c r="DT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5" s="180">
        <f t="shared" ref="DV5:DV36" si="4">SUMPRODUCT(--(MOD(COLUMN($BN5:$DU5),5)=MOD(COLUMN($BN5),5)),$BN5:$DU5)</f>
        <v>0</v>
      </c>
      <c r="DW5" s="181">
        <f>Автовик[[#This Row],[Цена, 
юань, без НДС 1]]*DV5</f>
        <v>0</v>
      </c>
      <c r="DX5" s="185">
        <f t="shared" ref="DX5:DX36" si="5">SUMPRODUCT(--(MOD(COLUMN($BN5:$DU5),5)=MOD(COLUMN($BN5)+1,5)),$BN5:$DU5)</f>
        <v>0</v>
      </c>
      <c r="DY5" s="186">
        <f>Автовик[[#This Row],[Цена, 
юань, без НДС 1]]*DX5</f>
        <v>0</v>
      </c>
      <c r="DZ5" s="130">
        <f t="shared" ref="DZ5:DZ36" si="6">SUMPRODUCT(--(MOD(COLUMN($BN5:$DU5),5)=MOD(COLUMN($BN5)+2,5)),$BN5:$DU5)</f>
        <v>1730</v>
      </c>
      <c r="EA5" s="187">
        <f>Автовик[[#This Row],[Цена, 
юань, без НДС 1]]*DZ5</f>
        <v>129173.33333333334</v>
      </c>
      <c r="EB5" s="109">
        <f t="shared" ref="EB5:EB36" si="7">SUMPRODUCT(--(MOD(COLUMN($BN5:$DU5),5)=MOD(COLUMN($BN5)+3,5)),$BN5:$DU5)</f>
        <v>0</v>
      </c>
      <c r="EC5" s="188">
        <f>Автовик[[#This Row],[Цена, 
юань, без НДС 1]]*EB5</f>
        <v>0</v>
      </c>
    </row>
    <row r="6" spans="1:133">
      <c r="A6" s="171"/>
      <c r="B6" s="172"/>
      <c r="C6" s="173" t="s">
        <v>298</v>
      </c>
      <c r="D6" s="173" t="s">
        <v>299</v>
      </c>
      <c r="E6" s="174">
        <v>1</v>
      </c>
      <c r="F6" s="174">
        <v>2</v>
      </c>
      <c r="G6" s="174"/>
      <c r="H6" s="175">
        <v>9522010020</v>
      </c>
      <c r="I6" s="176" t="s">
        <v>74</v>
      </c>
      <c r="J6" s="177">
        <f t="shared" si="0"/>
        <v>74.666666666666671</v>
      </c>
      <c r="K6" s="177"/>
      <c r="L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157</v>
      </c>
      <c r="M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162</v>
      </c>
      <c r="N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134</v>
      </c>
      <c r="O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165</v>
      </c>
      <c r="Q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160</v>
      </c>
      <c r="R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65</v>
      </c>
      <c r="S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175</v>
      </c>
      <c r="U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220</v>
      </c>
      <c r="V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180</v>
      </c>
      <c r="W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180</v>
      </c>
      <c r="Y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175</v>
      </c>
      <c r="Z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152</v>
      </c>
      <c r="AA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180</v>
      </c>
      <c r="AC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175</v>
      </c>
      <c r="AD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180</v>
      </c>
      <c r="AG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175</v>
      </c>
      <c r="AH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180</v>
      </c>
      <c r="AK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180</v>
      </c>
      <c r="AL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180</v>
      </c>
      <c r="AO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100</v>
      </c>
      <c r="AP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180</v>
      </c>
      <c r="AS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150</v>
      </c>
      <c r="AT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180</v>
      </c>
      <c r="AW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130</v>
      </c>
      <c r="AX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180</v>
      </c>
      <c r="BA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150</v>
      </c>
      <c r="BB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180</v>
      </c>
      <c r="BE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170</v>
      </c>
      <c r="BF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6" s="180">
        <f t="shared" si="1"/>
        <v>2117</v>
      </c>
      <c r="BI6" s="181">
        <f>Автовик[[#This Row],[Цена, 
юань, без НДС 1]]*BH6</f>
        <v>158069.33333333334</v>
      </c>
      <c r="BJ6" s="130">
        <f t="shared" si="2"/>
        <v>1947</v>
      </c>
      <c r="BK6" s="182">
        <f>Автовик[[#This Row],[Цена, 
юань, без НДС 1]]*BJ6</f>
        <v>145376</v>
      </c>
      <c r="BL6" s="109">
        <f t="shared" si="3"/>
        <v>531</v>
      </c>
      <c r="BM6" s="183">
        <f>Автовик[[#This Row],[Цена, 
юань, без НДС 1]]*BL6</f>
        <v>39648</v>
      </c>
      <c r="BN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80</v>
      </c>
      <c r="BQ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110</v>
      </c>
      <c r="BV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130</v>
      </c>
      <c r="CA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150</v>
      </c>
      <c r="CF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150</v>
      </c>
      <c r="CK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160</v>
      </c>
      <c r="CP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150</v>
      </c>
      <c r="CU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160</v>
      </c>
      <c r="CZ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150</v>
      </c>
      <c r="DE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160</v>
      </c>
      <c r="DJ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150</v>
      </c>
      <c r="DO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180</v>
      </c>
      <c r="DT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6" s="180">
        <f t="shared" si="4"/>
        <v>0</v>
      </c>
      <c r="DW6" s="181">
        <f>Автовик[[#This Row],[Цена, 
юань, без НДС 1]]*DV6</f>
        <v>0</v>
      </c>
      <c r="DX6" s="185">
        <f t="shared" si="5"/>
        <v>0</v>
      </c>
      <c r="DY6" s="186">
        <f>Автовик[[#This Row],[Цена, 
юань, без НДС 1]]*DX6</f>
        <v>0</v>
      </c>
      <c r="DZ6" s="130">
        <f t="shared" si="6"/>
        <v>1730</v>
      </c>
      <c r="EA6" s="187">
        <f>Автовик[[#This Row],[Цена, 
юань, без НДС 1]]*DZ6</f>
        <v>129173.33333333334</v>
      </c>
      <c r="EB6" s="109">
        <f t="shared" si="7"/>
        <v>0</v>
      </c>
      <c r="EC6" s="188">
        <f>Автовик[[#This Row],[Цена, 
юань, без НДС 1]]*EB6</f>
        <v>0</v>
      </c>
    </row>
    <row r="7" spans="1:133">
      <c r="A7" s="171"/>
      <c r="B7" s="172"/>
      <c r="C7" s="173" t="s">
        <v>298</v>
      </c>
      <c r="D7" s="173" t="s">
        <v>299</v>
      </c>
      <c r="E7" s="174">
        <v>1</v>
      </c>
      <c r="F7" s="174">
        <v>3</v>
      </c>
      <c r="G7" s="174"/>
      <c r="H7" s="175">
        <v>9710029000</v>
      </c>
      <c r="I7" s="176" t="s">
        <v>75</v>
      </c>
      <c r="J7" s="177">
        <f>639/1.2</f>
        <v>532.5</v>
      </c>
      <c r="K7" s="177"/>
      <c r="L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157</v>
      </c>
      <c r="M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162</v>
      </c>
      <c r="N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134</v>
      </c>
      <c r="O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165</v>
      </c>
      <c r="Q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160</v>
      </c>
      <c r="R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65</v>
      </c>
      <c r="S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175</v>
      </c>
      <c r="U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220</v>
      </c>
      <c r="V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180</v>
      </c>
      <c r="W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180</v>
      </c>
      <c r="Y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175</v>
      </c>
      <c r="Z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152</v>
      </c>
      <c r="AA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180</v>
      </c>
      <c r="AC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175</v>
      </c>
      <c r="AD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180</v>
      </c>
      <c r="AG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175</v>
      </c>
      <c r="AH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180</v>
      </c>
      <c r="AK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180</v>
      </c>
      <c r="AL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180</v>
      </c>
      <c r="AO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100</v>
      </c>
      <c r="AP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180</v>
      </c>
      <c r="AS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150</v>
      </c>
      <c r="AT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180</v>
      </c>
      <c r="AW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130</v>
      </c>
      <c r="AX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180</v>
      </c>
      <c r="BA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150</v>
      </c>
      <c r="BB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180</v>
      </c>
      <c r="BE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170</v>
      </c>
      <c r="BF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7" s="180">
        <f t="shared" si="1"/>
        <v>2117</v>
      </c>
      <c r="BI7" s="181">
        <f>Автовик[[#This Row],[Цена, 
юань, без НДС 1]]*BH7</f>
        <v>1127302.5</v>
      </c>
      <c r="BJ7" s="130">
        <f t="shared" si="2"/>
        <v>1947</v>
      </c>
      <c r="BK7" s="182">
        <f>Автовик[[#This Row],[Цена, 
юань, без НДС 1]]*BJ7</f>
        <v>1036777.5</v>
      </c>
      <c r="BL7" s="109">
        <f t="shared" si="3"/>
        <v>531</v>
      </c>
      <c r="BM7" s="183">
        <f>Автовик[[#This Row],[Цена, 
юань, без НДС 1]]*BL7</f>
        <v>282757.5</v>
      </c>
      <c r="BN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80</v>
      </c>
      <c r="BQ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110</v>
      </c>
      <c r="BV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130</v>
      </c>
      <c r="CA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150</v>
      </c>
      <c r="CF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150</v>
      </c>
      <c r="CK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160</v>
      </c>
      <c r="CP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150</v>
      </c>
      <c r="CU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160</v>
      </c>
      <c r="CZ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150</v>
      </c>
      <c r="DE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160</v>
      </c>
      <c r="DJ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150</v>
      </c>
      <c r="DO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180</v>
      </c>
      <c r="DT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7" s="180">
        <f t="shared" si="4"/>
        <v>0</v>
      </c>
      <c r="DW7" s="181">
        <f>Автовик[[#This Row],[Цена, 
юань, без НДС 1]]*DV7</f>
        <v>0</v>
      </c>
      <c r="DX7" s="185">
        <f t="shared" si="5"/>
        <v>0</v>
      </c>
      <c r="DY7" s="186">
        <f>Автовик[[#This Row],[Цена, 
юань, без НДС 1]]*DX7</f>
        <v>0</v>
      </c>
      <c r="DZ7" s="130">
        <f t="shared" si="6"/>
        <v>1730</v>
      </c>
      <c r="EA7" s="187">
        <f>Автовик[[#This Row],[Цена, 
юань, без НДС 1]]*DZ7</f>
        <v>921225</v>
      </c>
      <c r="EB7" s="109">
        <f t="shared" si="7"/>
        <v>0</v>
      </c>
      <c r="EC7" s="188">
        <f>Автовик[[#This Row],[Цена, 
юань, без НДС 1]]*EB7</f>
        <v>0</v>
      </c>
    </row>
    <row r="8" spans="1:133">
      <c r="A8" s="171"/>
      <c r="B8" s="172"/>
      <c r="C8" s="173" t="s">
        <v>298</v>
      </c>
      <c r="D8" s="173" t="s">
        <v>299</v>
      </c>
      <c r="E8" s="174">
        <v>1</v>
      </c>
      <c r="F8" s="174">
        <v>4</v>
      </c>
      <c r="G8" s="174"/>
      <c r="H8" s="175">
        <v>4801020640</v>
      </c>
      <c r="I8" s="176" t="s">
        <v>76</v>
      </c>
      <c r="J8" s="177">
        <f>4032.9/1.2</f>
        <v>3360.75</v>
      </c>
      <c r="K8" s="177"/>
      <c r="L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157</v>
      </c>
      <c r="M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162</v>
      </c>
      <c r="N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134</v>
      </c>
      <c r="O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165</v>
      </c>
      <c r="Q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160</v>
      </c>
      <c r="R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65</v>
      </c>
      <c r="S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175</v>
      </c>
      <c r="U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220</v>
      </c>
      <c r="V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180</v>
      </c>
      <c r="W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180</v>
      </c>
      <c r="Y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175</v>
      </c>
      <c r="Z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152</v>
      </c>
      <c r="AA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180</v>
      </c>
      <c r="AC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175</v>
      </c>
      <c r="AD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180</v>
      </c>
      <c r="AG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175</v>
      </c>
      <c r="AH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180</v>
      </c>
      <c r="AK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180</v>
      </c>
      <c r="AL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180</v>
      </c>
      <c r="AO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100</v>
      </c>
      <c r="AP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180</v>
      </c>
      <c r="AS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150</v>
      </c>
      <c r="AT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180</v>
      </c>
      <c r="AW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130</v>
      </c>
      <c r="AX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180</v>
      </c>
      <c r="BA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150</v>
      </c>
      <c r="BB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180</v>
      </c>
      <c r="BE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170</v>
      </c>
      <c r="BF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8" s="180">
        <f t="shared" si="1"/>
        <v>2117</v>
      </c>
      <c r="BI8" s="181">
        <f>Автовик[[#This Row],[Цена, 
юань, без НДС 1]]*BH8</f>
        <v>7114707.75</v>
      </c>
      <c r="BJ8" s="130">
        <f t="shared" si="2"/>
        <v>1947</v>
      </c>
      <c r="BK8" s="182">
        <f>Автовик[[#This Row],[Цена, 
юань, без НДС 1]]*BJ8</f>
        <v>6543380.25</v>
      </c>
      <c r="BL8" s="109">
        <f t="shared" si="3"/>
        <v>531</v>
      </c>
      <c r="BM8" s="183">
        <f>Автовик[[#This Row],[Цена, 
юань, без НДС 1]]*BL8</f>
        <v>1784558.25</v>
      </c>
      <c r="BN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80</v>
      </c>
      <c r="BQ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110</v>
      </c>
      <c r="BV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130</v>
      </c>
      <c r="CA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150</v>
      </c>
      <c r="CF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150</v>
      </c>
      <c r="CK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160</v>
      </c>
      <c r="CP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150</v>
      </c>
      <c r="CU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160</v>
      </c>
      <c r="CZ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150</v>
      </c>
      <c r="DE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160</v>
      </c>
      <c r="DJ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150</v>
      </c>
      <c r="DO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180</v>
      </c>
      <c r="DT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8" s="180">
        <f t="shared" si="4"/>
        <v>0</v>
      </c>
      <c r="DW8" s="181">
        <f>Автовик[[#This Row],[Цена, 
юань, без НДС 1]]*DV8</f>
        <v>0</v>
      </c>
      <c r="DX8" s="185">
        <f t="shared" si="5"/>
        <v>0</v>
      </c>
      <c r="DY8" s="186">
        <f>Автовик[[#This Row],[Цена, 
юань, без НДС 1]]*DX8</f>
        <v>0</v>
      </c>
      <c r="DZ8" s="130">
        <f t="shared" si="6"/>
        <v>1730</v>
      </c>
      <c r="EA8" s="187">
        <f>Автовик[[#This Row],[Цена, 
юань, без НДС 1]]*DZ8</f>
        <v>5814097.5</v>
      </c>
      <c r="EB8" s="109">
        <f t="shared" si="7"/>
        <v>0</v>
      </c>
      <c r="EC8" s="188">
        <f>Автовик[[#This Row],[Цена, 
юань, без НДС 1]]*EB8</f>
        <v>0</v>
      </c>
    </row>
    <row r="9" spans="1:133">
      <c r="A9" s="171"/>
      <c r="B9" s="172"/>
      <c r="C9" s="173" t="s">
        <v>298</v>
      </c>
      <c r="D9" s="173" t="s">
        <v>299</v>
      </c>
      <c r="E9" s="174">
        <v>1</v>
      </c>
      <c r="F9" s="174">
        <v>5</v>
      </c>
      <c r="G9" s="174"/>
      <c r="H9" s="175">
        <v>4491731200</v>
      </c>
      <c r="I9" s="176" t="s">
        <v>83</v>
      </c>
      <c r="J9" s="177">
        <f>842.2/1.2</f>
        <v>701.83333333333337</v>
      </c>
      <c r="K9" s="177"/>
      <c r="L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60</v>
      </c>
      <c r="M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60</v>
      </c>
      <c r="N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60</v>
      </c>
      <c r="O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60</v>
      </c>
      <c r="Q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60</v>
      </c>
      <c r="R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50</v>
      </c>
      <c r="S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60</v>
      </c>
      <c r="U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60</v>
      </c>
      <c r="V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60</v>
      </c>
      <c r="W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60</v>
      </c>
      <c r="Y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60</v>
      </c>
      <c r="Z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50</v>
      </c>
      <c r="AA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60</v>
      </c>
      <c r="AC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60</v>
      </c>
      <c r="AD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60</v>
      </c>
      <c r="AG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60</v>
      </c>
      <c r="AH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60</v>
      </c>
      <c r="AK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60</v>
      </c>
      <c r="AL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60</v>
      </c>
      <c r="AO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50</v>
      </c>
      <c r="AP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60</v>
      </c>
      <c r="AS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50</v>
      </c>
      <c r="AT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60</v>
      </c>
      <c r="AW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50</v>
      </c>
      <c r="AX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60</v>
      </c>
      <c r="BA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60</v>
      </c>
      <c r="BB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60</v>
      </c>
      <c r="BE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50</v>
      </c>
      <c r="BF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9" s="180">
        <f t="shared" si="1"/>
        <v>720</v>
      </c>
      <c r="BI9" s="181">
        <f>Автовик[[#This Row],[Цена, 
юань, без НДС 1]]*BH9</f>
        <v>505320</v>
      </c>
      <c r="BJ9" s="130">
        <f t="shared" si="2"/>
        <v>680</v>
      </c>
      <c r="BK9" s="182">
        <f>Автовик[[#This Row],[Цена, 
юань, без НДС 1]]*BJ9</f>
        <v>477246.66666666669</v>
      </c>
      <c r="BL9" s="109">
        <f t="shared" si="3"/>
        <v>220</v>
      </c>
      <c r="BM9" s="183">
        <f>Автовик[[#This Row],[Цена, 
юань, без НДС 1]]*BL9</f>
        <v>154403.33333333334</v>
      </c>
      <c r="BN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40</v>
      </c>
      <c r="BQ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40</v>
      </c>
      <c r="BV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50</v>
      </c>
      <c r="CA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60</v>
      </c>
      <c r="CF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60</v>
      </c>
      <c r="CK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60</v>
      </c>
      <c r="CP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60</v>
      </c>
      <c r="CU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60</v>
      </c>
      <c r="CZ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60</v>
      </c>
      <c r="DE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60</v>
      </c>
      <c r="DJ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60</v>
      </c>
      <c r="DO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60</v>
      </c>
      <c r="DT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9" s="180">
        <f t="shared" si="4"/>
        <v>0</v>
      </c>
      <c r="DW9" s="181">
        <f>Автовик[[#This Row],[Цена, 
юань, без НДС 1]]*DV9</f>
        <v>0</v>
      </c>
      <c r="DX9" s="185">
        <f t="shared" si="5"/>
        <v>0</v>
      </c>
      <c r="DY9" s="186">
        <f>Автовик[[#This Row],[Цена, 
юань, без НДС 1]]*DX9</f>
        <v>0</v>
      </c>
      <c r="DZ9" s="130">
        <f t="shared" si="6"/>
        <v>670</v>
      </c>
      <c r="EA9" s="187">
        <f>Автовик[[#This Row],[Цена, 
юань, без НДС 1]]*DZ9</f>
        <v>470228.33333333337</v>
      </c>
      <c r="EB9" s="109">
        <f t="shared" si="7"/>
        <v>0</v>
      </c>
      <c r="EC9" s="188">
        <f>Автовик[[#This Row],[Цена, 
юань, без НДС 1]]*EB9</f>
        <v>0</v>
      </c>
    </row>
    <row r="10" spans="1:133">
      <c r="A10" s="171"/>
      <c r="B10" s="172"/>
      <c r="C10" s="173" t="s">
        <v>298</v>
      </c>
      <c r="D10" s="173" t="s">
        <v>299</v>
      </c>
      <c r="E10" s="174"/>
      <c r="F10" s="174">
        <v>6</v>
      </c>
      <c r="G10" s="174"/>
      <c r="H10" s="175">
        <v>4491731500</v>
      </c>
      <c r="I10" s="176" t="s">
        <v>77</v>
      </c>
      <c r="J10" s="177">
        <f>1090.2/1.2</f>
        <v>908.50000000000011</v>
      </c>
      <c r="K10" s="177"/>
      <c r="L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97</v>
      </c>
      <c r="M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102</v>
      </c>
      <c r="N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74</v>
      </c>
      <c r="O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105</v>
      </c>
      <c r="Q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100</v>
      </c>
      <c r="R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15</v>
      </c>
      <c r="S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115</v>
      </c>
      <c r="U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160</v>
      </c>
      <c r="V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120</v>
      </c>
      <c r="W1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120</v>
      </c>
      <c r="Y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115</v>
      </c>
      <c r="Z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102</v>
      </c>
      <c r="AA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120</v>
      </c>
      <c r="AC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115</v>
      </c>
      <c r="AD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120</v>
      </c>
      <c r="AG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115</v>
      </c>
      <c r="AH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120</v>
      </c>
      <c r="AK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120</v>
      </c>
      <c r="AL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120</v>
      </c>
      <c r="AO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50</v>
      </c>
      <c r="AP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120</v>
      </c>
      <c r="AS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100</v>
      </c>
      <c r="AT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120</v>
      </c>
      <c r="AW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56</v>
      </c>
      <c r="AX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120</v>
      </c>
      <c r="BA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65</v>
      </c>
      <c r="BB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120</v>
      </c>
      <c r="BE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120</v>
      </c>
      <c r="BF1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10" s="180">
        <f t="shared" si="1"/>
        <v>1397</v>
      </c>
      <c r="BI10" s="181">
        <f>Автовик[[#This Row],[Цена, 
юань, без НДС 1]]*BH10</f>
        <v>1269174.5000000002</v>
      </c>
      <c r="BJ10" s="130">
        <f t="shared" si="2"/>
        <v>1218</v>
      </c>
      <c r="BK10" s="182">
        <f>Автовик[[#This Row],[Цена, 
юань, без НДС 1]]*BJ10</f>
        <v>1106553.0000000002</v>
      </c>
      <c r="BL10" s="109">
        <f t="shared" si="3"/>
        <v>311</v>
      </c>
      <c r="BM10" s="183">
        <f>Автовик[[#This Row],[Цена, 
юань, без НДС 1]]*BL10</f>
        <v>282543.50000000006</v>
      </c>
      <c r="BN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40</v>
      </c>
      <c r="BQ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70</v>
      </c>
      <c r="BV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80</v>
      </c>
      <c r="CA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1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90</v>
      </c>
      <c r="CF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90</v>
      </c>
      <c r="CK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100</v>
      </c>
      <c r="CP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90</v>
      </c>
      <c r="CU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100</v>
      </c>
      <c r="CZ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90</v>
      </c>
      <c r="DE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100</v>
      </c>
      <c r="DJ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90</v>
      </c>
      <c r="DO1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1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1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120</v>
      </c>
      <c r="DT1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1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10" s="180">
        <f t="shared" si="4"/>
        <v>0</v>
      </c>
      <c r="DW10" s="181">
        <f>Автовик[[#This Row],[Цена, 
юань, без НДС 1]]*DV10</f>
        <v>0</v>
      </c>
      <c r="DX10" s="185">
        <f t="shared" si="5"/>
        <v>0</v>
      </c>
      <c r="DY10" s="186">
        <f>Автовик[[#This Row],[Цена, 
юань, без НДС 1]]*DX10</f>
        <v>0</v>
      </c>
      <c r="DZ10" s="130">
        <f t="shared" si="6"/>
        <v>1060</v>
      </c>
      <c r="EA10" s="187">
        <f>Автовик[[#This Row],[Цена, 
юань, без НДС 1]]*DZ10</f>
        <v>963010.00000000012</v>
      </c>
      <c r="EB10" s="109">
        <f t="shared" si="7"/>
        <v>0</v>
      </c>
      <c r="EC10" s="188">
        <f>Автовик[[#This Row],[Цена, 
юань, без НДС 1]]*EB10</f>
        <v>0</v>
      </c>
    </row>
    <row r="11" spans="1:133">
      <c r="A11" s="171"/>
      <c r="B11" s="172"/>
      <c r="C11" s="173" t="s">
        <v>298</v>
      </c>
      <c r="D11" s="173" t="s">
        <v>299</v>
      </c>
      <c r="E11" s="174"/>
      <c r="F11" s="174">
        <v>7</v>
      </c>
      <c r="G11" s="174">
        <v>2</v>
      </c>
      <c r="H11" s="175">
        <v>4493711800</v>
      </c>
      <c r="I11" s="176" t="s">
        <v>85</v>
      </c>
      <c r="J11" s="177">
        <f>908.5*0.8</f>
        <v>726.80000000000007</v>
      </c>
      <c r="K11" s="177"/>
      <c r="L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1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24</v>
      </c>
      <c r="AX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25</v>
      </c>
      <c r="BB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1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11" s="180">
        <f t="shared" si="1"/>
        <v>0</v>
      </c>
      <c r="BI11" s="181">
        <f>Автовик[[#This Row],[Цена, 
юань, без НДС 1]]*BH11</f>
        <v>0</v>
      </c>
      <c r="BJ11" s="130">
        <f t="shared" si="2"/>
        <v>49</v>
      </c>
      <c r="BK11" s="182">
        <f>Автовик[[#This Row],[Цена, 
юань, без НДС 1]]*BJ11</f>
        <v>35613.200000000004</v>
      </c>
      <c r="BL11" s="109">
        <f t="shared" si="3"/>
        <v>0</v>
      </c>
      <c r="BM11" s="183">
        <f>Автовик[[#This Row],[Цена, 
юань, без НДС 1]]*BL11</f>
        <v>0</v>
      </c>
      <c r="BN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1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1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1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1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1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1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11" s="180">
        <f t="shared" si="4"/>
        <v>0</v>
      </c>
      <c r="DW11" s="181">
        <f>Автовик[[#This Row],[Цена, 
юань, без НДС 1]]*DV11</f>
        <v>0</v>
      </c>
      <c r="DX11" s="185">
        <f t="shared" si="5"/>
        <v>0</v>
      </c>
      <c r="DY11" s="186">
        <f>Автовик[[#This Row],[Цена, 
юань, без НДС 1]]*DX11</f>
        <v>0</v>
      </c>
      <c r="DZ11" s="130">
        <f t="shared" si="6"/>
        <v>0</v>
      </c>
      <c r="EA11" s="187">
        <f>Автовик[[#This Row],[Цена, 
юань, без НДС 1]]*DZ11</f>
        <v>0</v>
      </c>
      <c r="EB11" s="109">
        <f t="shared" si="7"/>
        <v>0</v>
      </c>
      <c r="EC11" s="188">
        <f>Автовик[[#This Row],[Цена, 
юань, без НДС 1]]*EB11</f>
        <v>0</v>
      </c>
    </row>
    <row r="12" spans="1:133">
      <c r="A12" s="171"/>
      <c r="B12" s="172"/>
      <c r="C12" s="173" t="s">
        <v>298</v>
      </c>
      <c r="D12" s="173" t="s">
        <v>299</v>
      </c>
      <c r="E12" s="174"/>
      <c r="F12" s="174">
        <v>8</v>
      </c>
      <c r="G12" s="174">
        <v>2</v>
      </c>
      <c r="H12" s="175">
        <v>4460084042</v>
      </c>
      <c r="I12" s="176" t="s">
        <v>86</v>
      </c>
      <c r="J12" s="177">
        <f>908.5*0.2</f>
        <v>181.70000000000002</v>
      </c>
      <c r="K12" s="177"/>
      <c r="L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1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24</v>
      </c>
      <c r="AX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25</v>
      </c>
      <c r="BB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1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12" s="180">
        <f t="shared" si="1"/>
        <v>0</v>
      </c>
      <c r="BI12" s="181">
        <f>Автовик[[#This Row],[Цена, 
юань, без НДС 1]]*BH12</f>
        <v>0</v>
      </c>
      <c r="BJ12" s="130">
        <f t="shared" si="2"/>
        <v>49</v>
      </c>
      <c r="BK12" s="182">
        <f>Автовик[[#This Row],[Цена, 
юань, без НДС 1]]*BJ12</f>
        <v>8903.3000000000011</v>
      </c>
      <c r="BL12" s="109">
        <f t="shared" si="3"/>
        <v>0</v>
      </c>
      <c r="BM12" s="183">
        <f>Автовик[[#This Row],[Цена, 
юань, без НДС 1]]*BL12</f>
        <v>0</v>
      </c>
      <c r="BN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1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1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1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1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1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1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12" s="180">
        <f t="shared" si="4"/>
        <v>0</v>
      </c>
      <c r="DW12" s="181">
        <f>Автовик[[#This Row],[Цена, 
юань, без НДС 1]]*DV12</f>
        <v>0</v>
      </c>
      <c r="DX12" s="185">
        <f t="shared" si="5"/>
        <v>0</v>
      </c>
      <c r="DY12" s="186">
        <f>Автовик[[#This Row],[Цена, 
юань, без НДС 1]]*DX12</f>
        <v>0</v>
      </c>
      <c r="DZ12" s="130">
        <f t="shared" si="6"/>
        <v>0</v>
      </c>
      <c r="EA12" s="187">
        <f>Автовик[[#This Row],[Цена, 
юань, без НДС 1]]*DZ12</f>
        <v>0</v>
      </c>
      <c r="EB12" s="109">
        <f t="shared" si="7"/>
        <v>0</v>
      </c>
      <c r="EC12" s="188">
        <f>Автовик[[#This Row],[Цена, 
юань, без НДС 1]]*EB12</f>
        <v>0</v>
      </c>
    </row>
    <row r="13" spans="1:133">
      <c r="A13" s="171"/>
      <c r="B13" s="172"/>
      <c r="C13" s="173" t="s">
        <v>298</v>
      </c>
      <c r="D13" s="173" t="s">
        <v>299</v>
      </c>
      <c r="E13" s="174"/>
      <c r="F13" s="174">
        <v>9</v>
      </c>
      <c r="G13" s="174"/>
      <c r="H13" s="175">
        <v>4497230400</v>
      </c>
      <c r="I13" s="176" t="s">
        <v>148</v>
      </c>
      <c r="J13" s="177">
        <f t="shared" ref="J13:J14" si="8">71.7/1.2</f>
        <v>59.750000000000007</v>
      </c>
      <c r="K13" s="177"/>
      <c r="L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126</v>
      </c>
      <c r="O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30</v>
      </c>
      <c r="S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10</v>
      </c>
      <c r="W1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300</v>
      </c>
      <c r="AX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1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13" s="180">
        <f t="shared" si="1"/>
        <v>0</v>
      </c>
      <c r="BI13" s="181">
        <f>Автовик[[#This Row],[Цена, 
юань, без НДС 1]]*BH13</f>
        <v>0</v>
      </c>
      <c r="BJ13" s="130">
        <f t="shared" si="2"/>
        <v>300</v>
      </c>
      <c r="BK13" s="182">
        <f>Автовик[[#This Row],[Цена, 
юань, без НДС 1]]*BJ13</f>
        <v>17925.000000000004</v>
      </c>
      <c r="BL13" s="109">
        <f t="shared" si="3"/>
        <v>166</v>
      </c>
      <c r="BM13" s="183">
        <f>Автовик[[#This Row],[Цена, 
юань, без НДС 1]]*BL13</f>
        <v>9918.5000000000018</v>
      </c>
      <c r="BN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1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1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1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1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1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1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13" s="180">
        <f t="shared" si="4"/>
        <v>0</v>
      </c>
      <c r="DW13" s="181">
        <f>Автовик[[#This Row],[Цена, 
юань, без НДС 1]]*DV13</f>
        <v>0</v>
      </c>
      <c r="DX13" s="185">
        <f t="shared" si="5"/>
        <v>0</v>
      </c>
      <c r="DY13" s="186">
        <f>Автовик[[#This Row],[Цена, 
юань, без НДС 1]]*DX13</f>
        <v>0</v>
      </c>
      <c r="DZ13" s="130">
        <f t="shared" si="6"/>
        <v>0</v>
      </c>
      <c r="EA13" s="187">
        <f>Автовик[[#This Row],[Цена, 
юань, без НДС 1]]*DZ13</f>
        <v>0</v>
      </c>
      <c r="EB13" s="109">
        <f t="shared" si="7"/>
        <v>0</v>
      </c>
      <c r="EC13" s="188">
        <f>Автовик[[#This Row],[Цена, 
юань, без НДС 1]]*EB13</f>
        <v>0</v>
      </c>
    </row>
    <row r="14" spans="1:133">
      <c r="A14" s="171"/>
      <c r="B14" s="172"/>
      <c r="C14" s="173" t="s">
        <v>298</v>
      </c>
      <c r="D14" s="173" t="s">
        <v>299</v>
      </c>
      <c r="E14" s="174">
        <v>2</v>
      </c>
      <c r="F14" s="174">
        <v>10</v>
      </c>
      <c r="G14" s="174"/>
      <c r="H14" s="175">
        <v>4497230500</v>
      </c>
      <c r="I14" s="176" t="s">
        <v>78</v>
      </c>
      <c r="J14" s="177">
        <f t="shared" si="8"/>
        <v>59.750000000000007</v>
      </c>
      <c r="K14" s="177"/>
      <c r="L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434</v>
      </c>
      <c r="M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444</v>
      </c>
      <c r="N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142</v>
      </c>
      <c r="O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450</v>
      </c>
      <c r="Q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440</v>
      </c>
      <c r="R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100</v>
      </c>
      <c r="S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470</v>
      </c>
      <c r="U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580</v>
      </c>
      <c r="V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350</v>
      </c>
      <c r="W1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480</v>
      </c>
      <c r="Y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470</v>
      </c>
      <c r="Z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504</v>
      </c>
      <c r="AA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480</v>
      </c>
      <c r="AC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470</v>
      </c>
      <c r="AD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480</v>
      </c>
      <c r="AG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470</v>
      </c>
      <c r="AH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480</v>
      </c>
      <c r="AK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480</v>
      </c>
      <c r="AL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480</v>
      </c>
      <c r="AO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250</v>
      </c>
      <c r="AP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480</v>
      </c>
      <c r="AS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400</v>
      </c>
      <c r="AT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480</v>
      </c>
      <c r="AW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60</v>
      </c>
      <c r="AX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480</v>
      </c>
      <c r="BA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420</v>
      </c>
      <c r="BB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480</v>
      </c>
      <c r="BE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440</v>
      </c>
      <c r="BF1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14" s="180">
        <f t="shared" si="1"/>
        <v>5674</v>
      </c>
      <c r="BI14" s="181">
        <f>Автовик[[#This Row],[Цена, 
юань, без НДС 1]]*BH14</f>
        <v>339021.50000000006</v>
      </c>
      <c r="BJ14" s="130">
        <f t="shared" si="2"/>
        <v>4924</v>
      </c>
      <c r="BK14" s="182">
        <f>Автовик[[#This Row],[Цена, 
юань, без НДС 1]]*BJ14</f>
        <v>294209.00000000006</v>
      </c>
      <c r="BL14" s="109">
        <f t="shared" si="3"/>
        <v>1096</v>
      </c>
      <c r="BM14" s="183">
        <f>Автовик[[#This Row],[Цена, 
юань, без НДС 1]]*BL14</f>
        <v>65486.000000000007</v>
      </c>
      <c r="BN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240</v>
      </c>
      <c r="BQ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300</v>
      </c>
      <c r="BV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360</v>
      </c>
      <c r="CA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1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420</v>
      </c>
      <c r="CF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420</v>
      </c>
      <c r="CK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440</v>
      </c>
      <c r="CP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420</v>
      </c>
      <c r="CU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440</v>
      </c>
      <c r="CZ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420</v>
      </c>
      <c r="DE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440</v>
      </c>
      <c r="DJ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420</v>
      </c>
      <c r="DO1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1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1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480</v>
      </c>
      <c r="DT1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1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14" s="180">
        <f t="shared" si="4"/>
        <v>0</v>
      </c>
      <c r="DW14" s="181">
        <f>Автовик[[#This Row],[Цена, 
юань, без НДС 1]]*DV14</f>
        <v>0</v>
      </c>
      <c r="DX14" s="185">
        <f t="shared" si="5"/>
        <v>0</v>
      </c>
      <c r="DY14" s="186">
        <f>Автовик[[#This Row],[Цена, 
юань, без НДС 1]]*DX14</f>
        <v>0</v>
      </c>
      <c r="DZ14" s="130">
        <f t="shared" si="6"/>
        <v>4800</v>
      </c>
      <c r="EA14" s="187">
        <f>Автовик[[#This Row],[Цена, 
юань, без НДС 1]]*DZ14</f>
        <v>286800.00000000006</v>
      </c>
      <c r="EB14" s="109">
        <f t="shared" si="7"/>
        <v>0</v>
      </c>
      <c r="EC14" s="188">
        <f>Автовик[[#This Row],[Цена, 
юань, без НДС 1]]*EB14</f>
        <v>0</v>
      </c>
    </row>
    <row r="15" spans="1:133">
      <c r="A15" s="171"/>
      <c r="B15" s="172"/>
      <c r="C15" s="173" t="s">
        <v>298</v>
      </c>
      <c r="D15" s="173" t="s">
        <v>299</v>
      </c>
      <c r="E15" s="174">
        <v>1</v>
      </c>
      <c r="F15" s="174">
        <v>11</v>
      </c>
      <c r="G15" s="174"/>
      <c r="H15" s="175">
        <v>4640061000</v>
      </c>
      <c r="I15" s="176" t="s">
        <v>79</v>
      </c>
      <c r="J15" s="177">
        <f>584/1.2</f>
        <v>486.66666666666669</v>
      </c>
      <c r="K15" s="177"/>
      <c r="L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157</v>
      </c>
      <c r="M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162</v>
      </c>
      <c r="N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134</v>
      </c>
      <c r="O1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165</v>
      </c>
      <c r="Q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160</v>
      </c>
      <c r="R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65</v>
      </c>
      <c r="S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175</v>
      </c>
      <c r="U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220</v>
      </c>
      <c r="V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180</v>
      </c>
      <c r="W1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180</v>
      </c>
      <c r="Y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175</v>
      </c>
      <c r="Z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152</v>
      </c>
      <c r="AA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180</v>
      </c>
      <c r="AC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175</v>
      </c>
      <c r="AD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180</v>
      </c>
      <c r="AG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175</v>
      </c>
      <c r="AH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180</v>
      </c>
      <c r="AK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180</v>
      </c>
      <c r="AL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180</v>
      </c>
      <c r="AO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100</v>
      </c>
      <c r="AP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180</v>
      </c>
      <c r="AS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150</v>
      </c>
      <c r="AT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180</v>
      </c>
      <c r="AW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130</v>
      </c>
      <c r="AX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180</v>
      </c>
      <c r="BA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150</v>
      </c>
      <c r="BB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180</v>
      </c>
      <c r="BE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170</v>
      </c>
      <c r="BF1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15" s="180">
        <f t="shared" si="1"/>
        <v>2117</v>
      </c>
      <c r="BI15" s="181">
        <f>Автовик[[#This Row],[Цена, 
юань, без НДС 1]]*BH15</f>
        <v>1030273.3333333334</v>
      </c>
      <c r="BJ15" s="130">
        <f t="shared" si="2"/>
        <v>1947</v>
      </c>
      <c r="BK15" s="182">
        <f>Автовик[[#This Row],[Цена, 
юань, без НДС 1]]*BJ15</f>
        <v>947540</v>
      </c>
      <c r="BL15" s="109">
        <f t="shared" si="3"/>
        <v>531</v>
      </c>
      <c r="BM15" s="183">
        <f>Автовик[[#This Row],[Цена, 
юань, без НДС 1]]*BL15</f>
        <v>258420</v>
      </c>
      <c r="BN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80</v>
      </c>
      <c r="BQ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1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110</v>
      </c>
      <c r="BV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130</v>
      </c>
      <c r="CA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1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150</v>
      </c>
      <c r="CF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150</v>
      </c>
      <c r="CK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160</v>
      </c>
      <c r="CP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150</v>
      </c>
      <c r="CU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160</v>
      </c>
      <c r="CZ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150</v>
      </c>
      <c r="DE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160</v>
      </c>
      <c r="DJ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150</v>
      </c>
      <c r="DO1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1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1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180</v>
      </c>
      <c r="DT1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1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15" s="180">
        <f t="shared" si="4"/>
        <v>0</v>
      </c>
      <c r="DW15" s="181">
        <f>Автовик[[#This Row],[Цена, 
юань, без НДС 1]]*DV15</f>
        <v>0</v>
      </c>
      <c r="DX15" s="185">
        <f t="shared" si="5"/>
        <v>0</v>
      </c>
      <c r="DY15" s="186">
        <f>Автовик[[#This Row],[Цена, 
юань, без НДС 1]]*DX15</f>
        <v>0</v>
      </c>
      <c r="DZ15" s="130">
        <f t="shared" si="6"/>
        <v>1730</v>
      </c>
      <c r="EA15" s="187">
        <f>Автовик[[#This Row],[Цена, 
юань, без НДС 1]]*DZ15</f>
        <v>841933.33333333337</v>
      </c>
      <c r="EB15" s="109">
        <f t="shared" si="7"/>
        <v>0</v>
      </c>
      <c r="EC15" s="188">
        <f>Автовик[[#This Row],[Цена, 
юань, без НДС 1]]*EB15</f>
        <v>0</v>
      </c>
    </row>
    <row r="16" spans="1:133">
      <c r="A16" s="171"/>
      <c r="B16" s="172"/>
      <c r="C16" s="173" t="s">
        <v>298</v>
      </c>
      <c r="D16" s="173" t="s">
        <v>299</v>
      </c>
      <c r="E16" s="174">
        <v>1</v>
      </c>
      <c r="F16" s="174">
        <v>12</v>
      </c>
      <c r="G16" s="174"/>
      <c r="H16" s="175">
        <v>4630320200</v>
      </c>
      <c r="I16" s="176" t="s">
        <v>80</v>
      </c>
      <c r="J16" s="177">
        <f>537.4/1.2</f>
        <v>447.83333333333331</v>
      </c>
      <c r="K16" s="177"/>
      <c r="L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157</v>
      </c>
      <c r="M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162</v>
      </c>
      <c r="N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134</v>
      </c>
      <c r="O1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165</v>
      </c>
      <c r="Q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160</v>
      </c>
      <c r="R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65</v>
      </c>
      <c r="S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175</v>
      </c>
      <c r="U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220</v>
      </c>
      <c r="V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180</v>
      </c>
      <c r="W1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180</v>
      </c>
      <c r="Y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175</v>
      </c>
      <c r="Z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152</v>
      </c>
      <c r="AA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180</v>
      </c>
      <c r="AC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175</v>
      </c>
      <c r="AD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180</v>
      </c>
      <c r="AG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175</v>
      </c>
      <c r="AH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180</v>
      </c>
      <c r="AK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180</v>
      </c>
      <c r="AL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180</v>
      </c>
      <c r="AO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100</v>
      </c>
      <c r="AP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180</v>
      </c>
      <c r="AS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150</v>
      </c>
      <c r="AT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180</v>
      </c>
      <c r="AW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30</v>
      </c>
      <c r="AX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180</v>
      </c>
      <c r="BA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50</v>
      </c>
      <c r="BB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180</v>
      </c>
      <c r="BE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170</v>
      </c>
      <c r="BF1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16" s="180">
        <f t="shared" si="1"/>
        <v>2117</v>
      </c>
      <c r="BI16" s="181">
        <f>Автовик[[#This Row],[Цена, 
юань, без НДС 1]]*BH16</f>
        <v>948063.16666666663</v>
      </c>
      <c r="BJ16" s="130">
        <f t="shared" si="2"/>
        <v>1747</v>
      </c>
      <c r="BK16" s="182">
        <f>Автовик[[#This Row],[Цена, 
юань, без НДС 1]]*BJ16</f>
        <v>782364.83333333326</v>
      </c>
      <c r="BL16" s="109">
        <f t="shared" si="3"/>
        <v>531</v>
      </c>
      <c r="BM16" s="183">
        <f>Автовик[[#This Row],[Цена, 
юань, без НДС 1]]*BL16</f>
        <v>237799.5</v>
      </c>
      <c r="BN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80</v>
      </c>
      <c r="BQ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1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110</v>
      </c>
      <c r="BV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130</v>
      </c>
      <c r="CA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1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150</v>
      </c>
      <c r="CF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150</v>
      </c>
      <c r="CK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160</v>
      </c>
      <c r="CP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150</v>
      </c>
      <c r="CU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160</v>
      </c>
      <c r="CZ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150</v>
      </c>
      <c r="DE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160</v>
      </c>
      <c r="DJ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150</v>
      </c>
      <c r="DO1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1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1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180</v>
      </c>
      <c r="DT1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1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16" s="180">
        <f t="shared" si="4"/>
        <v>0</v>
      </c>
      <c r="DW16" s="181">
        <f>Автовик[[#This Row],[Цена, 
юань, без НДС 1]]*DV16</f>
        <v>0</v>
      </c>
      <c r="DX16" s="185">
        <f t="shared" si="5"/>
        <v>0</v>
      </c>
      <c r="DY16" s="186">
        <f>Автовик[[#This Row],[Цена, 
юань, без НДС 1]]*DX16</f>
        <v>0</v>
      </c>
      <c r="DZ16" s="130">
        <f t="shared" si="6"/>
        <v>1730</v>
      </c>
      <c r="EA16" s="187">
        <f>Автовик[[#This Row],[Цена, 
юань, без НДС 1]]*DZ16</f>
        <v>774751.66666666663</v>
      </c>
      <c r="EB16" s="109">
        <f t="shared" si="7"/>
        <v>0</v>
      </c>
      <c r="EC16" s="188">
        <f>Автовик[[#This Row],[Цена, 
юань, без НДС 1]]*EB16</f>
        <v>0</v>
      </c>
    </row>
    <row r="17" spans="1:133">
      <c r="A17" s="171"/>
      <c r="B17" s="172"/>
      <c r="C17" s="173" t="s">
        <v>298</v>
      </c>
      <c r="D17" s="173" t="s">
        <v>299</v>
      </c>
      <c r="E17" s="174"/>
      <c r="F17" s="174">
        <v>13</v>
      </c>
      <c r="G17" s="174"/>
      <c r="H17" s="175" t="s">
        <v>149</v>
      </c>
      <c r="I17" s="176" t="s">
        <v>80</v>
      </c>
      <c r="J17" s="177">
        <v>447.83333333333331</v>
      </c>
      <c r="K17" s="177"/>
      <c r="L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1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1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100</v>
      </c>
      <c r="AX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100</v>
      </c>
      <c r="BB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1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17" s="180">
        <f t="shared" si="1"/>
        <v>0</v>
      </c>
      <c r="BI17" s="181">
        <f>Автовик[[#This Row],[Цена, 
юань, без НДС 1]]*BH17</f>
        <v>0</v>
      </c>
      <c r="BJ17" s="130">
        <f t="shared" si="2"/>
        <v>200</v>
      </c>
      <c r="BK17" s="182">
        <f>Автовик[[#This Row],[Цена, 
юань, без НДС 1]]*BJ17</f>
        <v>89566.666666666657</v>
      </c>
      <c r="BL17" s="109">
        <f t="shared" si="3"/>
        <v>0</v>
      </c>
      <c r="BM17" s="183">
        <f>Автовик[[#This Row],[Цена, 
юань, без НДС 1]]*BL17</f>
        <v>0</v>
      </c>
      <c r="BN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1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1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1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1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1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1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1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17" s="180">
        <f t="shared" si="4"/>
        <v>0</v>
      </c>
      <c r="DW17" s="181">
        <f>Автовик[[#This Row],[Цена, 
юань, без НДС 1]]*DV17</f>
        <v>0</v>
      </c>
      <c r="DX17" s="185">
        <f t="shared" si="5"/>
        <v>0</v>
      </c>
      <c r="DY17" s="186">
        <f>Автовик[[#This Row],[Цена, 
юань, без НДС 1]]*DX17</f>
        <v>0</v>
      </c>
      <c r="DZ17" s="130">
        <f t="shared" si="6"/>
        <v>0</v>
      </c>
      <c r="EA17" s="187">
        <f>Автовик[[#This Row],[Цена, 
юань, без НДС 1]]*DZ17</f>
        <v>0</v>
      </c>
      <c r="EB17" s="109">
        <f t="shared" si="7"/>
        <v>0</v>
      </c>
      <c r="EC17" s="188">
        <f>Автовик[[#This Row],[Цена, 
юань, без НДС 1]]*EB17</f>
        <v>0</v>
      </c>
    </row>
    <row r="18" spans="1:133">
      <c r="A18" s="171"/>
      <c r="B18" s="172"/>
      <c r="C18" s="173" t="s">
        <v>298</v>
      </c>
      <c r="D18" s="173" t="s">
        <v>299</v>
      </c>
      <c r="E18" s="174">
        <v>1</v>
      </c>
      <c r="F18" s="174">
        <v>14</v>
      </c>
      <c r="G18" s="174"/>
      <c r="H18" s="175">
        <v>4334010030</v>
      </c>
      <c r="I18" s="176" t="s">
        <v>81</v>
      </c>
      <c r="J18" s="177">
        <f>41.9/1.2</f>
        <v>34.916666666666664</v>
      </c>
      <c r="K18" s="177"/>
      <c r="L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157</v>
      </c>
      <c r="M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162</v>
      </c>
      <c r="N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134</v>
      </c>
      <c r="O1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165</v>
      </c>
      <c r="Q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160</v>
      </c>
      <c r="R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65</v>
      </c>
      <c r="S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175</v>
      </c>
      <c r="U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220</v>
      </c>
      <c r="V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180</v>
      </c>
      <c r="W1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180</v>
      </c>
      <c r="Y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175</v>
      </c>
      <c r="Z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152</v>
      </c>
      <c r="AA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180</v>
      </c>
      <c r="AC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175</v>
      </c>
      <c r="AD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180</v>
      </c>
      <c r="AG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175</v>
      </c>
      <c r="AH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180</v>
      </c>
      <c r="AK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180</v>
      </c>
      <c r="AL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180</v>
      </c>
      <c r="AO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100</v>
      </c>
      <c r="AP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180</v>
      </c>
      <c r="AS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150</v>
      </c>
      <c r="AT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180</v>
      </c>
      <c r="AW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130</v>
      </c>
      <c r="AX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180</v>
      </c>
      <c r="BA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150</v>
      </c>
      <c r="BB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180</v>
      </c>
      <c r="BE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170</v>
      </c>
      <c r="BF1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18" s="180">
        <f t="shared" si="1"/>
        <v>2117</v>
      </c>
      <c r="BI18" s="181">
        <f>Автовик[[#This Row],[Цена, 
юань, без НДС 1]]*BH18</f>
        <v>73918.583333333328</v>
      </c>
      <c r="BJ18" s="130">
        <f t="shared" si="2"/>
        <v>1947</v>
      </c>
      <c r="BK18" s="182">
        <f>Автовик[[#This Row],[Цена, 
юань, без НДС 1]]*BJ18</f>
        <v>67982.75</v>
      </c>
      <c r="BL18" s="109">
        <f t="shared" si="3"/>
        <v>531</v>
      </c>
      <c r="BM18" s="183">
        <f>Автовик[[#This Row],[Цена, 
юань, без НДС 1]]*BL18</f>
        <v>18540.75</v>
      </c>
      <c r="BN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80</v>
      </c>
      <c r="BQ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1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110</v>
      </c>
      <c r="BV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130</v>
      </c>
      <c r="CA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1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150</v>
      </c>
      <c r="CF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150</v>
      </c>
      <c r="CK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160</v>
      </c>
      <c r="CP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150</v>
      </c>
      <c r="CU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160</v>
      </c>
      <c r="CZ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150</v>
      </c>
      <c r="DE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160</v>
      </c>
      <c r="DJ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150</v>
      </c>
      <c r="DO1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1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1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180</v>
      </c>
      <c r="DT1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1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18" s="180">
        <f t="shared" si="4"/>
        <v>0</v>
      </c>
      <c r="DW18" s="181">
        <f>Автовик[[#This Row],[Цена, 
юань, без НДС 1]]*DV18</f>
        <v>0</v>
      </c>
      <c r="DX18" s="185">
        <f t="shared" si="5"/>
        <v>0</v>
      </c>
      <c r="DY18" s="186">
        <f>Автовик[[#This Row],[Цена, 
юань, без НДС 1]]*DX18</f>
        <v>0</v>
      </c>
      <c r="DZ18" s="130">
        <f t="shared" si="6"/>
        <v>1730</v>
      </c>
      <c r="EA18" s="187">
        <f>Автовик[[#This Row],[Цена, 
юань, без НДС 1]]*DZ18</f>
        <v>60405.833333333328</v>
      </c>
      <c r="EB18" s="109">
        <f t="shared" si="7"/>
        <v>0</v>
      </c>
      <c r="EC18" s="188">
        <f>Автовик[[#This Row],[Цена, 
юань, без НДС 1]]*EB18</f>
        <v>0</v>
      </c>
    </row>
    <row r="19" spans="1:133">
      <c r="A19" s="171"/>
      <c r="B19" s="172"/>
      <c r="C19" s="173" t="s">
        <v>298</v>
      </c>
      <c r="D19" s="173" t="s">
        <v>300</v>
      </c>
      <c r="E19" s="174">
        <v>1</v>
      </c>
      <c r="F19" s="174">
        <v>15</v>
      </c>
      <c r="G19" s="174"/>
      <c r="H19" s="175">
        <v>4630840310</v>
      </c>
      <c r="I19" s="176" t="s">
        <v>135</v>
      </c>
      <c r="J19" s="177">
        <f>550.4/1.2</f>
        <v>458.66666666666669</v>
      </c>
      <c r="K19" s="177"/>
      <c r="L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172</v>
      </c>
      <c r="M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172</v>
      </c>
      <c r="N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142</v>
      </c>
      <c r="O1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180</v>
      </c>
      <c r="Q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175</v>
      </c>
      <c r="R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148</v>
      </c>
      <c r="S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190</v>
      </c>
      <c r="U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290</v>
      </c>
      <c r="V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164</v>
      </c>
      <c r="W1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195</v>
      </c>
      <c r="Y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190</v>
      </c>
      <c r="Z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150</v>
      </c>
      <c r="AA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195</v>
      </c>
      <c r="AC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190</v>
      </c>
      <c r="AD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195</v>
      </c>
      <c r="AG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190</v>
      </c>
      <c r="AH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195</v>
      </c>
      <c r="AK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195</v>
      </c>
      <c r="AL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195</v>
      </c>
      <c r="AO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120</v>
      </c>
      <c r="AP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195</v>
      </c>
      <c r="AS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155</v>
      </c>
      <c r="AT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195</v>
      </c>
      <c r="AW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150</v>
      </c>
      <c r="AX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195</v>
      </c>
      <c r="BA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180</v>
      </c>
      <c r="BB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195</v>
      </c>
      <c r="BE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170</v>
      </c>
      <c r="BF1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19" s="180">
        <f t="shared" si="1"/>
        <v>2297</v>
      </c>
      <c r="BI19" s="181">
        <f>Автовик[[#This Row],[Цена, 
юань, без НДС 1]]*BH19</f>
        <v>1053557.3333333335</v>
      </c>
      <c r="BJ19" s="130">
        <f t="shared" si="2"/>
        <v>2177</v>
      </c>
      <c r="BK19" s="182">
        <f>Автовик[[#This Row],[Цена, 
юань, без НДС 1]]*BJ19</f>
        <v>998517.33333333337</v>
      </c>
      <c r="BL19" s="109">
        <f t="shared" si="3"/>
        <v>604</v>
      </c>
      <c r="BM19" s="183">
        <f>Автовик[[#This Row],[Цена, 
юань, без НДС 1]]*BL19</f>
        <v>277034.66666666669</v>
      </c>
      <c r="BN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85</v>
      </c>
      <c r="BQ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1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105</v>
      </c>
      <c r="BV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125</v>
      </c>
      <c r="CA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1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135</v>
      </c>
      <c r="CF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145</v>
      </c>
      <c r="CK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135</v>
      </c>
      <c r="CP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145</v>
      </c>
      <c r="CU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135</v>
      </c>
      <c r="CZ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145</v>
      </c>
      <c r="DE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135</v>
      </c>
      <c r="DJ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145</v>
      </c>
      <c r="DO1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1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1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155</v>
      </c>
      <c r="DT1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1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19" s="180">
        <f t="shared" si="4"/>
        <v>0</v>
      </c>
      <c r="DW19" s="181">
        <f>Автовик[[#This Row],[Цена, 
юань, без НДС 1]]*DV19</f>
        <v>0</v>
      </c>
      <c r="DX19" s="185">
        <f t="shared" si="5"/>
        <v>0</v>
      </c>
      <c r="DY19" s="186">
        <f>Автовик[[#This Row],[Цена, 
юань, без НДС 1]]*DX19</f>
        <v>0</v>
      </c>
      <c r="DZ19" s="130">
        <f t="shared" si="6"/>
        <v>1590</v>
      </c>
      <c r="EA19" s="187">
        <f>Автовик[[#This Row],[Цена, 
юань, без НДС 1]]*DZ19</f>
        <v>729280</v>
      </c>
      <c r="EB19" s="109">
        <f t="shared" si="7"/>
        <v>0</v>
      </c>
      <c r="EC19" s="188">
        <f>Автовик[[#This Row],[Цена, 
юань, без НДС 1]]*EB19</f>
        <v>0</v>
      </c>
    </row>
    <row r="20" spans="1:133">
      <c r="A20" s="171"/>
      <c r="B20" s="172"/>
      <c r="C20" s="173" t="s">
        <v>298</v>
      </c>
      <c r="D20" s="173" t="s">
        <v>300</v>
      </c>
      <c r="E20" s="174"/>
      <c r="F20" s="174">
        <v>16</v>
      </c>
      <c r="G20" s="174"/>
      <c r="H20" s="175">
        <v>4494430400</v>
      </c>
      <c r="I20" s="176" t="s">
        <v>150</v>
      </c>
      <c r="J20" s="189">
        <f>164.1/1.2</f>
        <v>136.75</v>
      </c>
      <c r="K20" s="177"/>
      <c r="L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2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2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20" s="180">
        <f t="shared" si="1"/>
        <v>0</v>
      </c>
      <c r="BI20" s="181">
        <f>Автовик[[#This Row],[Цена, 
юань, без НДС 1]]*BH20</f>
        <v>0</v>
      </c>
      <c r="BJ20" s="130">
        <f t="shared" si="2"/>
        <v>0</v>
      </c>
      <c r="BK20" s="182">
        <f>Автовик[[#This Row],[Цена, 
юань, без НДС 1]]*BJ20</f>
        <v>0</v>
      </c>
      <c r="BL20" s="109">
        <f t="shared" si="3"/>
        <v>0</v>
      </c>
      <c r="BM20" s="183">
        <f>Автовик[[#This Row],[Цена, 
юань, без НДС 1]]*BL20</f>
        <v>0</v>
      </c>
      <c r="BN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2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2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2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2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2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2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20" s="180">
        <f t="shared" si="4"/>
        <v>0</v>
      </c>
      <c r="DW20" s="181">
        <f>Автовик[[#This Row],[Цена, 
юань, без НДС 1]]*DV20</f>
        <v>0</v>
      </c>
      <c r="DX20" s="185">
        <f t="shared" si="5"/>
        <v>0</v>
      </c>
      <c r="DY20" s="186">
        <f>Автовик[[#This Row],[Цена, 
юань, без НДС 1]]*DX20</f>
        <v>0</v>
      </c>
      <c r="DZ20" s="130">
        <f t="shared" si="6"/>
        <v>0</v>
      </c>
      <c r="EA20" s="187">
        <f>Автовик[[#This Row],[Цена, 
юань, без НДС 1]]*DZ20</f>
        <v>0</v>
      </c>
      <c r="EB20" s="109">
        <f t="shared" si="7"/>
        <v>0</v>
      </c>
      <c r="EC20" s="188">
        <f>Автовик[[#This Row],[Цена, 
юань, без НДС 1]]*EB20</f>
        <v>0</v>
      </c>
    </row>
    <row r="21" spans="1:133">
      <c r="A21" s="171"/>
      <c r="B21" s="172"/>
      <c r="C21" s="173" t="s">
        <v>298</v>
      </c>
      <c r="D21" s="173" t="s">
        <v>300</v>
      </c>
      <c r="E21" s="174">
        <v>1</v>
      </c>
      <c r="F21" s="174">
        <v>17</v>
      </c>
      <c r="G21" s="174"/>
      <c r="H21" s="175">
        <v>4494430600</v>
      </c>
      <c r="I21" s="176" t="s">
        <v>136</v>
      </c>
      <c r="J21" s="177">
        <f>174.6/1.2</f>
        <v>145.5</v>
      </c>
      <c r="K21" s="177"/>
      <c r="L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292</v>
      </c>
      <c r="M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292</v>
      </c>
      <c r="N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142</v>
      </c>
      <c r="O2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300</v>
      </c>
      <c r="Q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295</v>
      </c>
      <c r="R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249</v>
      </c>
      <c r="S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310</v>
      </c>
      <c r="U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410</v>
      </c>
      <c r="V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284</v>
      </c>
      <c r="W2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315</v>
      </c>
      <c r="Y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310</v>
      </c>
      <c r="Z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250</v>
      </c>
      <c r="AA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315</v>
      </c>
      <c r="AC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310</v>
      </c>
      <c r="AD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315</v>
      </c>
      <c r="AG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310</v>
      </c>
      <c r="AH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315</v>
      </c>
      <c r="AK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315</v>
      </c>
      <c r="AL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315</v>
      </c>
      <c r="AO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220</v>
      </c>
      <c r="AP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315</v>
      </c>
      <c r="AS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255</v>
      </c>
      <c r="AT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315</v>
      </c>
      <c r="AW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250</v>
      </c>
      <c r="AX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315</v>
      </c>
      <c r="BA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300</v>
      </c>
      <c r="BB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315</v>
      </c>
      <c r="BE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270</v>
      </c>
      <c r="BF2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21" s="180">
        <f t="shared" si="1"/>
        <v>3737</v>
      </c>
      <c r="BI21" s="181">
        <f>Автовик[[#This Row],[Цена, 
юань, без НДС 1]]*BH21</f>
        <v>543733.5</v>
      </c>
      <c r="BJ21" s="130">
        <f t="shared" si="2"/>
        <v>3537</v>
      </c>
      <c r="BK21" s="182">
        <f>Автовик[[#This Row],[Цена, 
юань, без НДС 1]]*BJ21</f>
        <v>514633.5</v>
      </c>
      <c r="BL21" s="109">
        <f t="shared" si="3"/>
        <v>925</v>
      </c>
      <c r="BM21" s="183">
        <f>Автовик[[#This Row],[Цена, 
юань, без НДС 1]]*BL21</f>
        <v>134587.5</v>
      </c>
      <c r="BN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165</v>
      </c>
      <c r="BQ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2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185</v>
      </c>
      <c r="BV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225</v>
      </c>
      <c r="CA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2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235</v>
      </c>
      <c r="CF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265</v>
      </c>
      <c r="CK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235</v>
      </c>
      <c r="CP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265</v>
      </c>
      <c r="CU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235</v>
      </c>
      <c r="CZ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265</v>
      </c>
      <c r="DE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235</v>
      </c>
      <c r="DJ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265</v>
      </c>
      <c r="DO2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2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2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255</v>
      </c>
      <c r="DT2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2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21" s="180">
        <f t="shared" si="4"/>
        <v>0</v>
      </c>
      <c r="DW21" s="181">
        <f>Автовик[[#This Row],[Цена, 
юань, без НДС 1]]*DV21</f>
        <v>0</v>
      </c>
      <c r="DX21" s="185">
        <f t="shared" si="5"/>
        <v>0</v>
      </c>
      <c r="DY21" s="186">
        <f>Автовик[[#This Row],[Цена, 
юань, без НДС 1]]*DX21</f>
        <v>0</v>
      </c>
      <c r="DZ21" s="130">
        <f t="shared" si="6"/>
        <v>2830</v>
      </c>
      <c r="EA21" s="187">
        <f>Автовик[[#This Row],[Цена, 
юань, без НДС 1]]*DZ21</f>
        <v>411765</v>
      </c>
      <c r="EB21" s="109">
        <f t="shared" si="7"/>
        <v>0</v>
      </c>
      <c r="EC21" s="188">
        <f>Автовик[[#This Row],[Цена, 
юань, без НДС 1]]*EB21</f>
        <v>0</v>
      </c>
    </row>
    <row r="22" spans="1:133">
      <c r="A22" s="171"/>
      <c r="B22" s="172"/>
      <c r="C22" s="173" t="s">
        <v>301</v>
      </c>
      <c r="D22" s="173" t="s">
        <v>302</v>
      </c>
      <c r="E22" s="174">
        <v>1</v>
      </c>
      <c r="F22" s="174">
        <v>18</v>
      </c>
      <c r="G22" s="190">
        <v>2</v>
      </c>
      <c r="H22" s="191">
        <v>4005000880</v>
      </c>
      <c r="I22" s="192" t="s">
        <v>96</v>
      </c>
      <c r="J22" s="177">
        <f t="shared" ref="J22:J23" si="9">2906.4/1.2</f>
        <v>2422</v>
      </c>
      <c r="K22" s="189"/>
      <c r="L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50</v>
      </c>
      <c r="M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50</v>
      </c>
      <c r="N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50</v>
      </c>
      <c r="Q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50</v>
      </c>
      <c r="U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50</v>
      </c>
      <c r="Y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50</v>
      </c>
      <c r="AC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50</v>
      </c>
      <c r="AG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50</v>
      </c>
      <c r="AK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50</v>
      </c>
      <c r="AO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50</v>
      </c>
      <c r="AS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50</v>
      </c>
      <c r="AW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50</v>
      </c>
      <c r="BA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22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50</v>
      </c>
      <c r="BE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2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22" s="180">
        <f t="shared" si="1"/>
        <v>600</v>
      </c>
      <c r="BI22" s="181">
        <f>Автовик[[#This Row],[Цена, 
юань, без НДС 1]]*BH22</f>
        <v>1453200</v>
      </c>
      <c r="BJ22" s="130">
        <f t="shared" si="2"/>
        <v>50</v>
      </c>
      <c r="BK22" s="182">
        <f>Автовик[[#This Row],[Цена, 
юань, без НДС 1]]*BJ22</f>
        <v>121100</v>
      </c>
      <c r="BL22" s="109">
        <f t="shared" si="3"/>
        <v>0</v>
      </c>
      <c r="BM22" s="183">
        <f>Автовик[[#This Row],[Цена, 
юань, без НДС 1]]*BL22</f>
        <v>0</v>
      </c>
      <c r="BN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2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2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22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2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2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2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2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22" s="180">
        <f t="shared" si="4"/>
        <v>0</v>
      </c>
      <c r="DW22" s="181">
        <f>Автовик[[#This Row],[Цена, 
юань, без НДС 1]]*DV22</f>
        <v>0</v>
      </c>
      <c r="DX22" s="185">
        <f t="shared" si="5"/>
        <v>0</v>
      </c>
      <c r="DY22" s="186">
        <f>Автовик[[#This Row],[Цена, 
юань, без НДС 1]]*DX22</f>
        <v>0</v>
      </c>
      <c r="DZ22" s="130">
        <f t="shared" si="6"/>
        <v>0</v>
      </c>
      <c r="EA22" s="187">
        <f>Автовик[[#This Row],[Цена, 
юань, без НДС 1]]*DZ22</f>
        <v>0</v>
      </c>
      <c r="EB22" s="109">
        <f t="shared" si="7"/>
        <v>0</v>
      </c>
      <c r="EC22" s="188">
        <f>Автовик[[#This Row],[Цена, 
юань, без НДС 1]]*EB22</f>
        <v>0</v>
      </c>
    </row>
    <row r="23" spans="1:133">
      <c r="A23" s="171"/>
      <c r="B23" s="172"/>
      <c r="C23" s="173" t="s">
        <v>301</v>
      </c>
      <c r="D23" s="173" t="s">
        <v>302</v>
      </c>
      <c r="E23" s="174"/>
      <c r="F23" s="174">
        <v>19</v>
      </c>
      <c r="G23" s="190">
        <v>2</v>
      </c>
      <c r="H23" s="191">
        <v>4005000810</v>
      </c>
      <c r="I23" s="192" t="s">
        <v>96</v>
      </c>
      <c r="J23" s="177">
        <f t="shared" si="9"/>
        <v>2422</v>
      </c>
      <c r="K23" s="189"/>
      <c r="L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23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2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23" s="180">
        <f t="shared" si="1"/>
        <v>0</v>
      </c>
      <c r="BI23" s="181">
        <f>Автовик[[#This Row],[Цена, 
юань, без НДС 1]]*BH23</f>
        <v>0</v>
      </c>
      <c r="BJ23" s="130">
        <f t="shared" si="2"/>
        <v>0</v>
      </c>
      <c r="BK23" s="182">
        <f>Автовик[[#This Row],[Цена, 
юань, без НДС 1]]*BJ23</f>
        <v>0</v>
      </c>
      <c r="BL23" s="109">
        <f t="shared" si="3"/>
        <v>0</v>
      </c>
      <c r="BM23" s="183">
        <f>Автовик[[#This Row],[Цена, 
юань, без НДС 1]]*BL23</f>
        <v>0</v>
      </c>
      <c r="BN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2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2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23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2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2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2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2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23" s="180">
        <f t="shared" si="4"/>
        <v>0</v>
      </c>
      <c r="DW23" s="181">
        <f>Автовик[[#This Row],[Цена, 
юань, без НДС 1]]*DV23</f>
        <v>0</v>
      </c>
      <c r="DX23" s="185">
        <f t="shared" si="5"/>
        <v>0</v>
      </c>
      <c r="DY23" s="186">
        <f>Автовик[[#This Row],[Цена, 
юань, без НДС 1]]*DX23</f>
        <v>0</v>
      </c>
      <c r="DZ23" s="130">
        <f t="shared" si="6"/>
        <v>0</v>
      </c>
      <c r="EA23" s="187">
        <f>Автовик[[#This Row],[Цена, 
юань, без НДС 1]]*DZ23</f>
        <v>0</v>
      </c>
      <c r="EB23" s="109">
        <f t="shared" si="7"/>
        <v>0</v>
      </c>
      <c r="EC23" s="188">
        <f>Автовик[[#This Row],[Цена, 
юань, без НДС 1]]*EB23</f>
        <v>0</v>
      </c>
    </row>
    <row r="24" spans="1:133">
      <c r="A24" s="171"/>
      <c r="B24" s="172"/>
      <c r="C24" s="173" t="s">
        <v>301</v>
      </c>
      <c r="D24" s="173" t="s">
        <v>302</v>
      </c>
      <c r="E24" s="174">
        <v>1</v>
      </c>
      <c r="F24" s="174">
        <v>20</v>
      </c>
      <c r="G24" s="190">
        <v>2</v>
      </c>
      <c r="H24" s="191">
        <v>4493702820</v>
      </c>
      <c r="I24" s="192" t="s">
        <v>97</v>
      </c>
      <c r="J24" s="177">
        <f>228.1/1.2</f>
        <v>190.08333333333334</v>
      </c>
      <c r="K24" s="189"/>
      <c r="L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50</v>
      </c>
      <c r="M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50</v>
      </c>
      <c r="N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50</v>
      </c>
      <c r="Q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50</v>
      </c>
      <c r="U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50</v>
      </c>
      <c r="Y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50</v>
      </c>
      <c r="AC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50</v>
      </c>
      <c r="AG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50</v>
      </c>
      <c r="AK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50</v>
      </c>
      <c r="AO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50</v>
      </c>
      <c r="AS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50</v>
      </c>
      <c r="AW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50</v>
      </c>
      <c r="BA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24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50</v>
      </c>
      <c r="BE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2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24" s="180">
        <f t="shared" si="1"/>
        <v>600</v>
      </c>
      <c r="BI24" s="181">
        <f>Автовик[[#This Row],[Цена, 
юань, без НДС 1]]*BH24</f>
        <v>114050</v>
      </c>
      <c r="BJ24" s="130">
        <f t="shared" si="2"/>
        <v>50</v>
      </c>
      <c r="BK24" s="182">
        <f>Автовик[[#This Row],[Цена, 
юань, без НДС 1]]*BJ24</f>
        <v>9504.1666666666679</v>
      </c>
      <c r="BL24" s="109">
        <f t="shared" si="3"/>
        <v>0</v>
      </c>
      <c r="BM24" s="183">
        <f>Автовик[[#This Row],[Цена, 
юань, без НДС 1]]*BL24</f>
        <v>0</v>
      </c>
      <c r="BN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2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2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24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2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2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2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2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24" s="180">
        <f t="shared" si="4"/>
        <v>0</v>
      </c>
      <c r="DW24" s="181">
        <f>Автовик[[#This Row],[Цена, 
юань, без НДС 1]]*DV24</f>
        <v>0</v>
      </c>
      <c r="DX24" s="185">
        <f t="shared" si="5"/>
        <v>0</v>
      </c>
      <c r="DY24" s="186">
        <f>Автовик[[#This Row],[Цена, 
юань, без НДС 1]]*DX24</f>
        <v>0</v>
      </c>
      <c r="DZ24" s="130">
        <f t="shared" si="6"/>
        <v>0</v>
      </c>
      <c r="EA24" s="187">
        <f>Автовик[[#This Row],[Цена, 
юань, без НДС 1]]*DZ24</f>
        <v>0</v>
      </c>
      <c r="EB24" s="109">
        <f t="shared" si="7"/>
        <v>0</v>
      </c>
      <c r="EC24" s="188">
        <f>Автовик[[#This Row],[Цена, 
юань, без НДС 1]]*EB24</f>
        <v>0</v>
      </c>
    </row>
    <row r="25" spans="1:133">
      <c r="A25" s="171"/>
      <c r="B25" s="172"/>
      <c r="C25" s="173" t="s">
        <v>301</v>
      </c>
      <c r="D25" s="173" t="s">
        <v>302</v>
      </c>
      <c r="E25" s="174">
        <v>1</v>
      </c>
      <c r="F25" s="174">
        <v>21</v>
      </c>
      <c r="G25" s="190">
        <v>2</v>
      </c>
      <c r="H25" s="191">
        <v>4491301200</v>
      </c>
      <c r="I25" s="192" t="s">
        <v>98</v>
      </c>
      <c r="J25" s="177">
        <f t="shared" ref="J25:J26" si="10">684.3/1.2</f>
        <v>570.25</v>
      </c>
      <c r="K25" s="177"/>
      <c r="L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50</v>
      </c>
      <c r="M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50</v>
      </c>
      <c r="N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50</v>
      </c>
      <c r="Q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50</v>
      </c>
      <c r="U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50</v>
      </c>
      <c r="Y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50</v>
      </c>
      <c r="AC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50</v>
      </c>
      <c r="AG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50</v>
      </c>
      <c r="AK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50</v>
      </c>
      <c r="AO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50</v>
      </c>
      <c r="AS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50</v>
      </c>
      <c r="AW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50</v>
      </c>
      <c r="BA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25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50</v>
      </c>
      <c r="BE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25" s="180">
        <f t="shared" si="1"/>
        <v>600</v>
      </c>
      <c r="BI25" s="181">
        <f>Автовик[[#This Row],[Цена, 
юань, без НДС 1]]*BH25</f>
        <v>342150</v>
      </c>
      <c r="BJ25" s="130">
        <f t="shared" si="2"/>
        <v>50</v>
      </c>
      <c r="BK25" s="182">
        <f>Автовик[[#This Row],[Цена, 
юань, без НДС 1]]*BJ25</f>
        <v>28512.5</v>
      </c>
      <c r="BL25" s="109">
        <f t="shared" si="3"/>
        <v>0</v>
      </c>
      <c r="BM25" s="183">
        <f>Автовик[[#This Row],[Цена, 
юань, без НДС 1]]*BL25</f>
        <v>0</v>
      </c>
      <c r="BN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2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2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25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2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2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2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2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25" s="180">
        <f t="shared" si="4"/>
        <v>0</v>
      </c>
      <c r="DW25" s="181">
        <f>Автовик[[#This Row],[Цена, 
юань, без НДС 1]]*DV25</f>
        <v>0</v>
      </c>
      <c r="DX25" s="185">
        <f t="shared" si="5"/>
        <v>0</v>
      </c>
      <c r="DY25" s="186">
        <f>Автовик[[#This Row],[Цена, 
юань, без НДС 1]]*DX25</f>
        <v>0</v>
      </c>
      <c r="DZ25" s="130">
        <f t="shared" si="6"/>
        <v>0</v>
      </c>
      <c r="EA25" s="187">
        <f>Автовик[[#This Row],[Цена, 
юань, без НДС 1]]*DZ25</f>
        <v>0</v>
      </c>
      <c r="EB25" s="109">
        <f t="shared" si="7"/>
        <v>0</v>
      </c>
      <c r="EC25" s="188">
        <f>Автовик[[#This Row],[Цена, 
юань, без НДС 1]]*EB25</f>
        <v>0</v>
      </c>
    </row>
    <row r="26" spans="1:133">
      <c r="A26" s="171"/>
      <c r="B26" s="172"/>
      <c r="C26" s="173" t="s">
        <v>301</v>
      </c>
      <c r="D26" s="173" t="s">
        <v>302</v>
      </c>
      <c r="E26" s="174"/>
      <c r="F26" s="174">
        <v>22</v>
      </c>
      <c r="G26" s="190">
        <v>2</v>
      </c>
      <c r="H26" s="191">
        <v>4491301500</v>
      </c>
      <c r="I26" s="192" t="s">
        <v>99</v>
      </c>
      <c r="J26" s="177">
        <f t="shared" si="10"/>
        <v>570.25</v>
      </c>
      <c r="K26" s="177"/>
      <c r="L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26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26" s="180">
        <f t="shared" si="1"/>
        <v>0</v>
      </c>
      <c r="BI26" s="181">
        <f>Автовик[[#This Row],[Цена, 
юань, без НДС 1]]*BH26</f>
        <v>0</v>
      </c>
      <c r="BJ26" s="130">
        <f t="shared" si="2"/>
        <v>0</v>
      </c>
      <c r="BK26" s="182">
        <f>Автовик[[#This Row],[Цена, 
юань, без НДС 1]]*BJ26</f>
        <v>0</v>
      </c>
      <c r="BL26" s="109">
        <f t="shared" si="3"/>
        <v>0</v>
      </c>
      <c r="BM26" s="183">
        <f>Автовик[[#This Row],[Цена, 
юань, без НДС 1]]*BL26</f>
        <v>0</v>
      </c>
      <c r="BN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2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2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26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2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2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2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2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26" s="180">
        <f t="shared" si="4"/>
        <v>0</v>
      </c>
      <c r="DW26" s="181">
        <f>Автовик[[#This Row],[Цена, 
юань, без НДС 1]]*DV26</f>
        <v>0</v>
      </c>
      <c r="DX26" s="185">
        <f t="shared" si="5"/>
        <v>0</v>
      </c>
      <c r="DY26" s="186">
        <f>Автовик[[#This Row],[Цена, 
юань, без НДС 1]]*DX26</f>
        <v>0</v>
      </c>
      <c r="DZ26" s="130">
        <f t="shared" si="6"/>
        <v>0</v>
      </c>
      <c r="EA26" s="187">
        <f>Автовик[[#This Row],[Цена, 
юань, без НДС 1]]*DZ26</f>
        <v>0</v>
      </c>
      <c r="EB26" s="109">
        <f t="shared" si="7"/>
        <v>0</v>
      </c>
      <c r="EC26" s="188">
        <f>Автовик[[#This Row],[Цена, 
юань, без НДС 1]]*EB26</f>
        <v>0</v>
      </c>
    </row>
    <row r="27" spans="1:133">
      <c r="A27" s="171"/>
      <c r="B27" s="172"/>
      <c r="C27" s="173" t="s">
        <v>301</v>
      </c>
      <c r="D27" s="173" t="s">
        <v>302</v>
      </c>
      <c r="E27" s="174"/>
      <c r="F27" s="174">
        <v>23</v>
      </c>
      <c r="G27" s="190">
        <v>2</v>
      </c>
      <c r="H27" s="191">
        <v>4497120300</v>
      </c>
      <c r="I27" s="192" t="s">
        <v>100</v>
      </c>
      <c r="J27" s="177">
        <f t="shared" ref="J27:J28" si="11">68/1.2</f>
        <v>56.666666666666671</v>
      </c>
      <c r="K27" s="177"/>
      <c r="L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200</v>
      </c>
      <c r="M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200</v>
      </c>
      <c r="N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200</v>
      </c>
      <c r="Q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200</v>
      </c>
      <c r="U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200</v>
      </c>
      <c r="Y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200</v>
      </c>
      <c r="AC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200</v>
      </c>
      <c r="AG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200</v>
      </c>
      <c r="AK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200</v>
      </c>
      <c r="AO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200</v>
      </c>
      <c r="AS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200</v>
      </c>
      <c r="AW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200</v>
      </c>
      <c r="BA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27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200</v>
      </c>
      <c r="BE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27" s="180">
        <f t="shared" si="1"/>
        <v>2400</v>
      </c>
      <c r="BI27" s="181">
        <f>Автовик[[#This Row],[Цена, 
юань, без НДС 1]]*BH27</f>
        <v>136000</v>
      </c>
      <c r="BJ27" s="130">
        <f t="shared" si="2"/>
        <v>200</v>
      </c>
      <c r="BK27" s="182">
        <f>Автовик[[#This Row],[Цена, 
юань, без НДС 1]]*BJ27</f>
        <v>11333.333333333334</v>
      </c>
      <c r="BL27" s="109">
        <f t="shared" si="3"/>
        <v>0</v>
      </c>
      <c r="BM27" s="183">
        <f>Автовик[[#This Row],[Цена, 
юань, без НДС 1]]*BL27</f>
        <v>0</v>
      </c>
      <c r="BN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2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2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27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2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2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2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2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27" s="180">
        <f t="shared" si="4"/>
        <v>0</v>
      </c>
      <c r="DW27" s="181">
        <f>Автовик[[#This Row],[Цена, 
юань, без НДС 1]]*DV27</f>
        <v>0</v>
      </c>
      <c r="DX27" s="185">
        <f t="shared" si="5"/>
        <v>0</v>
      </c>
      <c r="DY27" s="186">
        <f>Автовик[[#This Row],[Цена, 
юань, без НДС 1]]*DX27</f>
        <v>0</v>
      </c>
      <c r="DZ27" s="130">
        <f t="shared" si="6"/>
        <v>0</v>
      </c>
      <c r="EA27" s="187">
        <f>Автовик[[#This Row],[Цена, 
юань, без НДС 1]]*DZ27</f>
        <v>0</v>
      </c>
      <c r="EB27" s="109">
        <f t="shared" si="7"/>
        <v>0</v>
      </c>
      <c r="EC27" s="188">
        <f>Автовик[[#This Row],[Цена, 
юань, без НДС 1]]*EB27</f>
        <v>0</v>
      </c>
    </row>
    <row r="28" spans="1:133">
      <c r="A28" s="171"/>
      <c r="B28" s="172"/>
      <c r="C28" s="173" t="s">
        <v>301</v>
      </c>
      <c r="D28" s="173" t="s">
        <v>302</v>
      </c>
      <c r="E28" s="174">
        <v>2</v>
      </c>
      <c r="F28" s="174">
        <v>24</v>
      </c>
      <c r="G28" s="190">
        <v>2</v>
      </c>
      <c r="H28" s="191">
        <v>4497490300</v>
      </c>
      <c r="I28" s="192" t="s">
        <v>100</v>
      </c>
      <c r="J28" s="177">
        <f t="shared" si="11"/>
        <v>56.666666666666671</v>
      </c>
      <c r="K28" s="177"/>
      <c r="L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28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28" s="180">
        <f t="shared" si="1"/>
        <v>0</v>
      </c>
      <c r="BI28" s="181">
        <f>Автовик[[#This Row],[Цена, 
юань, без НДС 1]]*BH28</f>
        <v>0</v>
      </c>
      <c r="BJ28" s="130">
        <f t="shared" si="2"/>
        <v>0</v>
      </c>
      <c r="BK28" s="182">
        <f>Автовик[[#This Row],[Цена, 
юань, без НДС 1]]*BJ28</f>
        <v>0</v>
      </c>
      <c r="BL28" s="109">
        <f t="shared" si="3"/>
        <v>0</v>
      </c>
      <c r="BM28" s="183">
        <f>Автовик[[#This Row],[Цена, 
юань, без НДС 1]]*BL28</f>
        <v>0</v>
      </c>
      <c r="BN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2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2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28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2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2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2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2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28" s="180">
        <f t="shared" si="4"/>
        <v>0</v>
      </c>
      <c r="DW28" s="181">
        <f>Автовик[[#This Row],[Цена, 
юань, без НДС 1]]*DV28</f>
        <v>0</v>
      </c>
      <c r="DX28" s="185">
        <f t="shared" si="5"/>
        <v>0</v>
      </c>
      <c r="DY28" s="186">
        <f>Автовик[[#This Row],[Цена, 
юань, без НДС 1]]*DX28</f>
        <v>0</v>
      </c>
      <c r="DZ28" s="130">
        <f t="shared" si="6"/>
        <v>0</v>
      </c>
      <c r="EA28" s="187">
        <f>Автовик[[#This Row],[Цена, 
юань, без НДС 1]]*DZ28</f>
        <v>0</v>
      </c>
      <c r="EB28" s="109">
        <f t="shared" si="7"/>
        <v>0</v>
      </c>
      <c r="EC28" s="188">
        <f>Автовик[[#This Row],[Цена, 
юань, без НДС 1]]*EB28</f>
        <v>0</v>
      </c>
    </row>
    <row r="29" spans="1:133">
      <c r="A29" s="171"/>
      <c r="B29" s="172"/>
      <c r="C29" s="173" t="s">
        <v>301</v>
      </c>
      <c r="D29" s="173" t="s">
        <v>302</v>
      </c>
      <c r="E29" s="174">
        <v>1</v>
      </c>
      <c r="F29" s="174">
        <v>25</v>
      </c>
      <c r="G29" s="190">
        <v>2</v>
      </c>
      <c r="H29" s="191">
        <v>9522010010</v>
      </c>
      <c r="I29" s="192" t="s">
        <v>73</v>
      </c>
      <c r="J29" s="177">
        <f t="shared" ref="J29:J30" si="12">89.6/1.2</f>
        <v>74.666666666666671</v>
      </c>
      <c r="K29" s="177"/>
      <c r="L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50</v>
      </c>
      <c r="M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50</v>
      </c>
      <c r="N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50</v>
      </c>
      <c r="Q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50</v>
      </c>
      <c r="U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50</v>
      </c>
      <c r="Y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50</v>
      </c>
      <c r="AC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50</v>
      </c>
      <c r="AG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50</v>
      </c>
      <c r="AK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50</v>
      </c>
      <c r="AO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50</v>
      </c>
      <c r="AS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50</v>
      </c>
      <c r="AW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50</v>
      </c>
      <c r="BA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29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50</v>
      </c>
      <c r="BE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29" s="180">
        <f t="shared" si="1"/>
        <v>600</v>
      </c>
      <c r="BI29" s="181">
        <f>Автовик[[#This Row],[Цена, 
юань, без НДС 1]]*BH29</f>
        <v>44800</v>
      </c>
      <c r="BJ29" s="130">
        <f t="shared" si="2"/>
        <v>50</v>
      </c>
      <c r="BK29" s="182">
        <f>Автовик[[#This Row],[Цена, 
юань, без НДС 1]]*BJ29</f>
        <v>3733.3333333333335</v>
      </c>
      <c r="BL29" s="109">
        <f t="shared" si="3"/>
        <v>0</v>
      </c>
      <c r="BM29" s="183">
        <f>Автовик[[#This Row],[Цена, 
юань, без НДС 1]]*BL29</f>
        <v>0</v>
      </c>
      <c r="BN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2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2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29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2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2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2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2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29" s="180">
        <f t="shared" si="4"/>
        <v>0</v>
      </c>
      <c r="DW29" s="181">
        <f>Автовик[[#This Row],[Цена, 
юань, без НДС 1]]*DV29</f>
        <v>0</v>
      </c>
      <c r="DX29" s="185">
        <f t="shared" si="5"/>
        <v>0</v>
      </c>
      <c r="DY29" s="186">
        <f>Автовик[[#This Row],[Цена, 
юань, без НДС 1]]*DX29</f>
        <v>0</v>
      </c>
      <c r="DZ29" s="130">
        <f t="shared" si="6"/>
        <v>0</v>
      </c>
      <c r="EA29" s="187">
        <f>Автовик[[#This Row],[Цена, 
юань, без НДС 1]]*DZ29</f>
        <v>0</v>
      </c>
      <c r="EB29" s="109">
        <f t="shared" si="7"/>
        <v>0</v>
      </c>
      <c r="EC29" s="188">
        <f>Автовик[[#This Row],[Цена, 
юань, без НДС 1]]*EB29</f>
        <v>0</v>
      </c>
    </row>
    <row r="30" spans="1:133">
      <c r="A30" s="171"/>
      <c r="B30" s="172"/>
      <c r="C30" s="173" t="s">
        <v>301</v>
      </c>
      <c r="D30" s="173" t="s">
        <v>302</v>
      </c>
      <c r="E30" s="174">
        <v>1</v>
      </c>
      <c r="F30" s="174">
        <v>26</v>
      </c>
      <c r="G30" s="190">
        <v>2</v>
      </c>
      <c r="H30" s="191">
        <v>9522010020</v>
      </c>
      <c r="I30" s="192" t="s">
        <v>74</v>
      </c>
      <c r="J30" s="177">
        <f t="shared" si="12"/>
        <v>74.666666666666671</v>
      </c>
      <c r="K30" s="177"/>
      <c r="L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50</v>
      </c>
      <c r="M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50</v>
      </c>
      <c r="N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50</v>
      </c>
      <c r="Q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50</v>
      </c>
      <c r="U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50</v>
      </c>
      <c r="Y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50</v>
      </c>
      <c r="AC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50</v>
      </c>
      <c r="AG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50</v>
      </c>
      <c r="AK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50</v>
      </c>
      <c r="AO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50</v>
      </c>
      <c r="AS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50</v>
      </c>
      <c r="AW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50</v>
      </c>
      <c r="BA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30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50</v>
      </c>
      <c r="BE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30" s="180">
        <f t="shared" si="1"/>
        <v>600</v>
      </c>
      <c r="BI30" s="181">
        <f>Автовик[[#This Row],[Цена, 
юань, без НДС 1]]*BH30</f>
        <v>44800</v>
      </c>
      <c r="BJ30" s="130">
        <f t="shared" si="2"/>
        <v>50</v>
      </c>
      <c r="BK30" s="182">
        <f>Автовик[[#This Row],[Цена, 
юань, без НДС 1]]*BJ30</f>
        <v>3733.3333333333335</v>
      </c>
      <c r="BL30" s="109">
        <f t="shared" si="3"/>
        <v>0</v>
      </c>
      <c r="BM30" s="183">
        <f>Автовик[[#This Row],[Цена, 
юань, без НДС 1]]*BL30</f>
        <v>0</v>
      </c>
      <c r="BN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3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3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30" s="193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3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3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3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3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30" s="180">
        <f t="shared" si="4"/>
        <v>0</v>
      </c>
      <c r="DW30" s="181">
        <f>Автовик[[#This Row],[Цена, 
юань, без НДС 1]]*DV30</f>
        <v>0</v>
      </c>
      <c r="DX30" s="185">
        <f t="shared" si="5"/>
        <v>0</v>
      </c>
      <c r="DY30" s="186">
        <f>Автовик[[#This Row],[Цена, 
юань, без НДС 1]]*DX30</f>
        <v>0</v>
      </c>
      <c r="DZ30" s="130">
        <f t="shared" si="6"/>
        <v>0</v>
      </c>
      <c r="EA30" s="187">
        <f>Автовик[[#This Row],[Цена, 
юань, без НДС 1]]*DZ30</f>
        <v>0</v>
      </c>
      <c r="EB30" s="109">
        <f t="shared" si="7"/>
        <v>0</v>
      </c>
      <c r="EC30" s="188">
        <f>Автовик[[#This Row],[Цена, 
юань, без НДС 1]]*EB30</f>
        <v>0</v>
      </c>
    </row>
    <row r="31" spans="1:133">
      <c r="A31" s="171"/>
      <c r="B31" s="172"/>
      <c r="C31" s="173" t="s">
        <v>301</v>
      </c>
      <c r="D31" s="173" t="s">
        <v>302</v>
      </c>
      <c r="E31" s="174">
        <v>1</v>
      </c>
      <c r="F31" s="174">
        <v>27</v>
      </c>
      <c r="G31" s="190">
        <v>2</v>
      </c>
      <c r="H31" s="191">
        <v>9710020400</v>
      </c>
      <c r="I31" s="192" t="s">
        <v>101</v>
      </c>
      <c r="J31" s="177">
        <f>440/1.2</f>
        <v>366.66666666666669</v>
      </c>
      <c r="K31" s="177"/>
      <c r="L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50</v>
      </c>
      <c r="M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50</v>
      </c>
      <c r="N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50</v>
      </c>
      <c r="Q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50</v>
      </c>
      <c r="U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50</v>
      </c>
      <c r="Y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50</v>
      </c>
      <c r="AC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50</v>
      </c>
      <c r="AG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50</v>
      </c>
      <c r="AK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50</v>
      </c>
      <c r="AO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50</v>
      </c>
      <c r="AS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50</v>
      </c>
      <c r="AW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50</v>
      </c>
      <c r="BA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50</v>
      </c>
      <c r="BE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31" s="180">
        <f t="shared" si="1"/>
        <v>600</v>
      </c>
      <c r="BI31" s="181">
        <f>Автовик[[#This Row],[Цена, 
юань, без НДС 1]]*BH31</f>
        <v>220000</v>
      </c>
      <c r="BJ31" s="130">
        <f t="shared" si="2"/>
        <v>50</v>
      </c>
      <c r="BK31" s="182">
        <f>Автовик[[#This Row],[Цена, 
юань, без НДС 1]]*BJ31</f>
        <v>18333.333333333336</v>
      </c>
      <c r="BL31" s="109">
        <f t="shared" si="3"/>
        <v>0</v>
      </c>
      <c r="BM31" s="183">
        <f>Автовик[[#This Row],[Цена, 
юань, без НДС 1]]*BL31</f>
        <v>0</v>
      </c>
      <c r="BN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3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3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3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3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3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3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31" s="180">
        <f t="shared" si="4"/>
        <v>0</v>
      </c>
      <c r="DW31" s="181">
        <f>Автовик[[#This Row],[Цена, 
юань, без НДС 1]]*DV31</f>
        <v>0</v>
      </c>
      <c r="DX31" s="185">
        <f t="shared" si="5"/>
        <v>0</v>
      </c>
      <c r="DY31" s="186">
        <f>Автовик[[#This Row],[Цена, 
юань, без НДС 1]]*DX31</f>
        <v>0</v>
      </c>
      <c r="DZ31" s="130">
        <f t="shared" si="6"/>
        <v>0</v>
      </c>
      <c r="EA31" s="187">
        <f>Автовик[[#This Row],[Цена, 
юань, без НДС 1]]*DZ31</f>
        <v>0</v>
      </c>
      <c r="EB31" s="109">
        <f t="shared" si="7"/>
        <v>0</v>
      </c>
      <c r="EC31" s="188">
        <f>Автовик[[#This Row],[Цена, 
юань, без НДС 1]]*EB31</f>
        <v>0</v>
      </c>
    </row>
    <row r="32" spans="1:133">
      <c r="A32" s="171"/>
      <c r="B32" s="172"/>
      <c r="C32" s="173" t="s">
        <v>303</v>
      </c>
      <c r="D32" s="173" t="s">
        <v>303</v>
      </c>
      <c r="E32" s="174">
        <v>1</v>
      </c>
      <c r="F32" s="174">
        <v>28</v>
      </c>
      <c r="G32" s="195"/>
      <c r="H32" s="196">
        <v>4721950310</v>
      </c>
      <c r="I32" s="197" t="s">
        <v>102</v>
      </c>
      <c r="J32" s="177">
        <f>535.6/1.2</f>
        <v>446.33333333333337</v>
      </c>
      <c r="K32" s="177"/>
      <c r="L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10</v>
      </c>
      <c r="M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10</v>
      </c>
      <c r="N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10</v>
      </c>
      <c r="Q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10</v>
      </c>
      <c r="U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10</v>
      </c>
      <c r="Y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10</v>
      </c>
      <c r="AC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10</v>
      </c>
      <c r="AG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10</v>
      </c>
      <c r="AK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10</v>
      </c>
      <c r="AO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10</v>
      </c>
      <c r="AS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10</v>
      </c>
      <c r="AW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10</v>
      </c>
      <c r="BA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32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10</v>
      </c>
      <c r="BE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32" s="180">
        <f t="shared" si="1"/>
        <v>120</v>
      </c>
      <c r="BI32" s="181">
        <f>Автовик[[#This Row],[Цена, 
юань, без НДС 1]]*BH32</f>
        <v>53560.000000000007</v>
      </c>
      <c r="BJ32" s="130">
        <f t="shared" si="2"/>
        <v>10</v>
      </c>
      <c r="BK32" s="182">
        <f>Автовик[[#This Row],[Цена, 
юань, без НДС 1]]*BJ32</f>
        <v>4463.3333333333339</v>
      </c>
      <c r="BL32" s="109">
        <f t="shared" si="3"/>
        <v>0</v>
      </c>
      <c r="BM32" s="183">
        <f>Автовик[[#This Row],[Цена, 
юань, без НДС 1]]*BL32</f>
        <v>0</v>
      </c>
      <c r="BN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3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3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32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3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3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3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3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32" s="180">
        <f t="shared" si="4"/>
        <v>0</v>
      </c>
      <c r="DW32" s="181">
        <f>Автовик[[#This Row],[Цена, 
юань, без НДС 1]]*DV32</f>
        <v>0</v>
      </c>
      <c r="DX32" s="185">
        <f t="shared" si="5"/>
        <v>0</v>
      </c>
      <c r="DY32" s="186">
        <f>Автовик[[#This Row],[Цена, 
юань, без НДС 1]]*DX32</f>
        <v>0</v>
      </c>
      <c r="DZ32" s="130">
        <f t="shared" si="6"/>
        <v>0</v>
      </c>
      <c r="EA32" s="187">
        <f>Автовик[[#This Row],[Цена, 
юань, без НДС 1]]*DZ32</f>
        <v>0</v>
      </c>
      <c r="EB32" s="109">
        <f t="shared" si="7"/>
        <v>0</v>
      </c>
      <c r="EC32" s="188">
        <f>Автовик[[#This Row],[Цена, 
юань, без НДС 1]]*EB32</f>
        <v>0</v>
      </c>
    </row>
    <row r="33" spans="1:133">
      <c r="A33" s="171"/>
      <c r="B33" s="172"/>
      <c r="C33" s="173" t="s">
        <v>303</v>
      </c>
      <c r="D33" s="173" t="s">
        <v>303</v>
      </c>
      <c r="E33" s="174">
        <v>1</v>
      </c>
      <c r="F33" s="174">
        <v>29</v>
      </c>
      <c r="G33" s="195"/>
      <c r="H33" s="196">
        <v>4496161560</v>
      </c>
      <c r="I33" s="197" t="s">
        <v>103</v>
      </c>
      <c r="J33" s="177">
        <f>301.2/1.2</f>
        <v>251</v>
      </c>
      <c r="K33" s="177"/>
      <c r="L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10</v>
      </c>
      <c r="M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10</v>
      </c>
      <c r="N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10</v>
      </c>
      <c r="Q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10</v>
      </c>
      <c r="U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10</v>
      </c>
      <c r="Y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10</v>
      </c>
      <c r="AC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10</v>
      </c>
      <c r="AG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10</v>
      </c>
      <c r="AK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10</v>
      </c>
      <c r="AO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10</v>
      </c>
      <c r="AS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10</v>
      </c>
      <c r="AW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10</v>
      </c>
      <c r="BA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33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10</v>
      </c>
      <c r="BE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33" s="180">
        <f t="shared" si="1"/>
        <v>120</v>
      </c>
      <c r="BI33" s="181">
        <f>Автовик[[#This Row],[Цена, 
юань, без НДС 1]]*BH33</f>
        <v>30120</v>
      </c>
      <c r="BJ33" s="130">
        <f t="shared" si="2"/>
        <v>10</v>
      </c>
      <c r="BK33" s="182">
        <f>Автовик[[#This Row],[Цена, 
юань, без НДС 1]]*BJ33</f>
        <v>2510</v>
      </c>
      <c r="BL33" s="109">
        <f t="shared" si="3"/>
        <v>0</v>
      </c>
      <c r="BM33" s="183">
        <f>Автовик[[#This Row],[Цена, 
юань, без НДС 1]]*BL33</f>
        <v>0</v>
      </c>
      <c r="BN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3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3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33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3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3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3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3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33" s="180">
        <f t="shared" si="4"/>
        <v>0</v>
      </c>
      <c r="DW33" s="181">
        <f>Автовик[[#This Row],[Цена, 
юань, без НДС 1]]*DV33</f>
        <v>0</v>
      </c>
      <c r="DX33" s="185">
        <f t="shared" si="5"/>
        <v>0</v>
      </c>
      <c r="DY33" s="186">
        <f>Автовик[[#This Row],[Цена, 
юань, без НДС 1]]*DX33</f>
        <v>0</v>
      </c>
      <c r="DZ33" s="130">
        <f t="shared" si="6"/>
        <v>0</v>
      </c>
      <c r="EA33" s="187">
        <f>Автовик[[#This Row],[Цена, 
юань, без НДС 1]]*DZ33</f>
        <v>0</v>
      </c>
      <c r="EB33" s="109">
        <f t="shared" si="7"/>
        <v>0</v>
      </c>
      <c r="EC33" s="188">
        <f>Автовик[[#This Row],[Цена, 
юань, без НДС 1]]*EB33</f>
        <v>0</v>
      </c>
    </row>
    <row r="34" spans="1:133">
      <c r="A34" s="171"/>
      <c r="B34" s="172"/>
      <c r="C34" s="173" t="s">
        <v>303</v>
      </c>
      <c r="D34" s="173" t="s">
        <v>303</v>
      </c>
      <c r="E34" s="174">
        <v>2</v>
      </c>
      <c r="F34" s="174">
        <v>30</v>
      </c>
      <c r="G34" s="195">
        <v>2</v>
      </c>
      <c r="H34" s="196">
        <v>4497120300</v>
      </c>
      <c r="I34" s="197" t="s">
        <v>100</v>
      </c>
      <c r="J34" s="177">
        <f t="shared" ref="J34:J35" si="13">68/1.2</f>
        <v>56.666666666666671</v>
      </c>
      <c r="K34" s="177"/>
      <c r="L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34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34" s="180">
        <f t="shared" si="1"/>
        <v>0</v>
      </c>
      <c r="BI34" s="181">
        <f>Автовик[[#This Row],[Цена, 
юань, без НДС 1]]*BH34</f>
        <v>0</v>
      </c>
      <c r="BJ34" s="130">
        <f t="shared" si="2"/>
        <v>0</v>
      </c>
      <c r="BK34" s="182">
        <f>Автовик[[#This Row],[Цена, 
юань, без НДС 1]]*BJ34</f>
        <v>0</v>
      </c>
      <c r="BL34" s="109">
        <f t="shared" si="3"/>
        <v>0</v>
      </c>
      <c r="BM34" s="183">
        <f>Автовик[[#This Row],[Цена, 
юань, без НДС 1]]*BL34</f>
        <v>0</v>
      </c>
      <c r="BN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3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3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34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3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3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3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3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34" s="180">
        <f t="shared" si="4"/>
        <v>0</v>
      </c>
      <c r="DW34" s="181">
        <f>Автовик[[#This Row],[Цена, 
юань, без НДС 1]]*DV34</f>
        <v>0</v>
      </c>
      <c r="DX34" s="185">
        <f t="shared" si="5"/>
        <v>0</v>
      </c>
      <c r="DY34" s="186">
        <f>Автовик[[#This Row],[Цена, 
юань, без НДС 1]]*DX34</f>
        <v>0</v>
      </c>
      <c r="DZ34" s="130">
        <f t="shared" si="6"/>
        <v>0</v>
      </c>
      <c r="EA34" s="187">
        <f>Автовик[[#This Row],[Цена, 
юань, без НДС 1]]*DZ34</f>
        <v>0</v>
      </c>
      <c r="EB34" s="109">
        <f t="shared" si="7"/>
        <v>0</v>
      </c>
      <c r="EC34" s="188">
        <f>Автовик[[#This Row],[Цена, 
юань, без НДС 1]]*EB34</f>
        <v>0</v>
      </c>
    </row>
    <row r="35" spans="1:133">
      <c r="A35" s="171"/>
      <c r="B35" s="172"/>
      <c r="C35" s="173" t="s">
        <v>303</v>
      </c>
      <c r="D35" s="173" t="s">
        <v>303</v>
      </c>
      <c r="E35" s="174"/>
      <c r="F35" s="174">
        <v>31</v>
      </c>
      <c r="G35" s="195">
        <v>2</v>
      </c>
      <c r="H35" s="196">
        <v>4497490300</v>
      </c>
      <c r="I35" s="197" t="s">
        <v>100</v>
      </c>
      <c r="J35" s="177">
        <f t="shared" si="13"/>
        <v>56.666666666666671</v>
      </c>
      <c r="K35" s="177"/>
      <c r="L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20</v>
      </c>
      <c r="M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20</v>
      </c>
      <c r="N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20</v>
      </c>
      <c r="Q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20</v>
      </c>
      <c r="U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20</v>
      </c>
      <c r="Y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20</v>
      </c>
      <c r="AC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20</v>
      </c>
      <c r="AG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20</v>
      </c>
      <c r="AK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20</v>
      </c>
      <c r="AO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20</v>
      </c>
      <c r="AS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20</v>
      </c>
      <c r="AW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20</v>
      </c>
      <c r="BA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35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20</v>
      </c>
      <c r="BE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3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35" s="180">
        <f t="shared" si="1"/>
        <v>240</v>
      </c>
      <c r="BI35" s="181">
        <f>Автовик[[#This Row],[Цена, 
юань, без НДС 1]]*BH35</f>
        <v>13600.000000000002</v>
      </c>
      <c r="BJ35" s="130">
        <f t="shared" si="2"/>
        <v>20</v>
      </c>
      <c r="BK35" s="182">
        <f>Автовик[[#This Row],[Цена, 
юань, без НДС 1]]*BJ35</f>
        <v>1133.3333333333335</v>
      </c>
      <c r="BL35" s="109">
        <f t="shared" si="3"/>
        <v>0</v>
      </c>
      <c r="BM35" s="183">
        <f>Автовик[[#This Row],[Цена, 
юань, без НДС 1]]*BL35</f>
        <v>0</v>
      </c>
      <c r="BN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3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3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35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3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3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3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3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35" s="180">
        <f t="shared" si="4"/>
        <v>0</v>
      </c>
      <c r="DW35" s="181">
        <f>Автовик[[#This Row],[Цена, 
юань, без НДС 1]]*DV35</f>
        <v>0</v>
      </c>
      <c r="DX35" s="185">
        <f t="shared" si="5"/>
        <v>0</v>
      </c>
      <c r="DY35" s="186">
        <f>Автовик[[#This Row],[Цена, 
юань, без НДС 1]]*DX35</f>
        <v>0</v>
      </c>
      <c r="DZ35" s="130">
        <f t="shared" si="6"/>
        <v>0</v>
      </c>
      <c r="EA35" s="187">
        <f>Автовик[[#This Row],[Цена, 
юань, без НДС 1]]*DZ35</f>
        <v>0</v>
      </c>
      <c r="EB35" s="109">
        <f t="shared" si="7"/>
        <v>0</v>
      </c>
      <c r="EC35" s="188">
        <f>Автовик[[#This Row],[Цена, 
юань, без НДС 1]]*EB35</f>
        <v>0</v>
      </c>
    </row>
    <row r="36" spans="1:133">
      <c r="A36" s="171"/>
      <c r="B36" s="172"/>
      <c r="C36" s="173" t="s">
        <v>304</v>
      </c>
      <c r="D36" s="173"/>
      <c r="E36" s="174"/>
      <c r="F36" s="174">
        <v>32</v>
      </c>
      <c r="G36" s="198"/>
      <c r="H36" s="199">
        <v>9630010510</v>
      </c>
      <c r="I36" s="200" t="s">
        <v>91</v>
      </c>
      <c r="J36" s="177">
        <f>330/1.2</f>
        <v>275</v>
      </c>
      <c r="K36" s="177"/>
      <c r="L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70</v>
      </c>
      <c r="M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70</v>
      </c>
      <c r="N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70</v>
      </c>
      <c r="Q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70</v>
      </c>
      <c r="U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70</v>
      </c>
      <c r="Y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70</v>
      </c>
      <c r="AC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70</v>
      </c>
      <c r="AG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70</v>
      </c>
      <c r="AK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70</v>
      </c>
      <c r="AO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70</v>
      </c>
      <c r="AS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70</v>
      </c>
      <c r="AW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70</v>
      </c>
      <c r="BA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36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70</v>
      </c>
      <c r="BE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3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36" s="180">
        <f t="shared" si="1"/>
        <v>840</v>
      </c>
      <c r="BI36" s="181">
        <f>Автовик[[#This Row],[Цена, 
юань, без НДС 1]]*BH36</f>
        <v>231000</v>
      </c>
      <c r="BJ36" s="130">
        <f t="shared" si="2"/>
        <v>70</v>
      </c>
      <c r="BK36" s="182">
        <f>Автовик[[#This Row],[Цена, 
юань, без НДС 1]]*BJ36</f>
        <v>19250</v>
      </c>
      <c r="BL36" s="109">
        <f t="shared" si="3"/>
        <v>0</v>
      </c>
      <c r="BM36" s="183">
        <f>Автовик[[#This Row],[Цена, 
юань, без НДС 1]]*BL36</f>
        <v>0</v>
      </c>
      <c r="BN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3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3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36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3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3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3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3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36" s="180">
        <f t="shared" si="4"/>
        <v>0</v>
      </c>
      <c r="DW36" s="181">
        <f>Автовик[[#This Row],[Цена, 
юань, без НДС 1]]*DV36</f>
        <v>0</v>
      </c>
      <c r="DX36" s="185">
        <f t="shared" si="5"/>
        <v>0</v>
      </c>
      <c r="DY36" s="186">
        <f>Автовик[[#This Row],[Цена, 
юань, без НДС 1]]*DX36</f>
        <v>0</v>
      </c>
      <c r="DZ36" s="130">
        <f t="shared" si="6"/>
        <v>0</v>
      </c>
      <c r="EA36" s="187">
        <f>Автовик[[#This Row],[Цена, 
юань, без НДС 1]]*DZ36</f>
        <v>0</v>
      </c>
      <c r="EB36" s="109">
        <f t="shared" si="7"/>
        <v>0</v>
      </c>
      <c r="EC36" s="188">
        <f>Автовик[[#This Row],[Цена, 
юань, без НДС 1]]*EB36</f>
        <v>0</v>
      </c>
    </row>
    <row r="37" spans="1:133">
      <c r="A37" s="171"/>
      <c r="B37" s="172"/>
      <c r="C37" s="173" t="s">
        <v>304</v>
      </c>
      <c r="D37" s="173"/>
      <c r="E37" s="174"/>
      <c r="F37" s="174">
        <v>33</v>
      </c>
      <c r="G37" s="198"/>
      <c r="H37" s="199">
        <v>9735000510</v>
      </c>
      <c r="I37" s="200" t="s">
        <v>87</v>
      </c>
      <c r="J37" s="177">
        <f>128/1.2</f>
        <v>106.66666666666667</v>
      </c>
      <c r="K37" s="177"/>
      <c r="L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70</v>
      </c>
      <c r="M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70</v>
      </c>
      <c r="N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70</v>
      </c>
      <c r="Q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70</v>
      </c>
      <c r="U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70</v>
      </c>
      <c r="Y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70</v>
      </c>
      <c r="AC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70</v>
      </c>
      <c r="AG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70</v>
      </c>
      <c r="AK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70</v>
      </c>
      <c r="AO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70</v>
      </c>
      <c r="AS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70</v>
      </c>
      <c r="AW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70</v>
      </c>
      <c r="BA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37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70</v>
      </c>
      <c r="BE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3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37" s="180">
        <f t="shared" ref="BH37:BH70" si="14">SUMPRODUCT(--(MOD(COLUMN($L37:$BG37),4)=MOD(COLUMN($L37),4)),$L37:$BG37)</f>
        <v>840</v>
      </c>
      <c r="BI37" s="181">
        <f>Автовик[[#This Row],[Цена, 
юань, без НДС 1]]*BH37</f>
        <v>89600</v>
      </c>
      <c r="BJ37" s="130">
        <f t="shared" ref="BJ37:BJ70" si="15">SUMPRODUCT(--(MOD(COLUMN($L37:$BG37),4)=MOD(COLUMN($L37)+1,4)),$L37:$BG37)</f>
        <v>70</v>
      </c>
      <c r="BK37" s="182">
        <f>Автовик[[#This Row],[Цена, 
юань, без НДС 1]]*BJ37</f>
        <v>7466.666666666667</v>
      </c>
      <c r="BL37" s="109">
        <f t="shared" ref="BL37:BL70" si="16">SUMPRODUCT(--(MOD(COLUMN($L37:$BG37),4)=MOD(COLUMN($L37)+2,4)),$L37:$BG37)</f>
        <v>0</v>
      </c>
      <c r="BM37" s="183">
        <f>Автовик[[#This Row],[Цена, 
юань, без НДС 1]]*BL37</f>
        <v>0</v>
      </c>
      <c r="BN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3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3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37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3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3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3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3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37" s="180">
        <f t="shared" ref="DV37:DV70" si="17">SUMPRODUCT(--(MOD(COLUMN($BN37:$DU37),5)=MOD(COLUMN($BN37),5)),$BN37:$DU37)</f>
        <v>0</v>
      </c>
      <c r="DW37" s="181">
        <f>Автовик[[#This Row],[Цена, 
юань, без НДС 1]]*DV37</f>
        <v>0</v>
      </c>
      <c r="DX37" s="185">
        <f t="shared" ref="DX37:DX70" si="18">SUMPRODUCT(--(MOD(COLUMN($BN37:$DU37),5)=MOD(COLUMN($BN37)+1,5)),$BN37:$DU37)</f>
        <v>0</v>
      </c>
      <c r="DY37" s="186">
        <f>Автовик[[#This Row],[Цена, 
юань, без НДС 1]]*DX37</f>
        <v>0</v>
      </c>
      <c r="DZ37" s="130">
        <f t="shared" ref="DZ37:DZ70" si="19">SUMPRODUCT(--(MOD(COLUMN($BN37:$DU37),5)=MOD(COLUMN($BN37)+2,5)),$BN37:$DU37)</f>
        <v>0</v>
      </c>
      <c r="EA37" s="187">
        <f>Автовик[[#This Row],[Цена, 
юань, без НДС 1]]*DZ37</f>
        <v>0</v>
      </c>
      <c r="EB37" s="109">
        <f t="shared" ref="EB37:EB70" si="20">SUMPRODUCT(--(MOD(COLUMN($BN37:$DU37),5)=MOD(COLUMN($BN37)+3,5)),$BN37:$DU37)</f>
        <v>0</v>
      </c>
      <c r="EC37" s="188">
        <f>Автовик[[#This Row],[Цена, 
юань, без НДС 1]]*EB37</f>
        <v>0</v>
      </c>
    </row>
    <row r="38" spans="1:133">
      <c r="A38" s="171"/>
      <c r="B38" s="172"/>
      <c r="C38" s="173" t="s">
        <v>304</v>
      </c>
      <c r="D38" s="173"/>
      <c r="E38" s="174"/>
      <c r="F38" s="174">
        <v>34</v>
      </c>
      <c r="G38" s="198"/>
      <c r="H38" s="199">
        <v>4341001250</v>
      </c>
      <c r="I38" s="200" t="s">
        <v>92</v>
      </c>
      <c r="J38" s="177">
        <f>118/1.2</f>
        <v>98.333333333333343</v>
      </c>
      <c r="K38" s="177"/>
      <c r="L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70</v>
      </c>
      <c r="M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70</v>
      </c>
      <c r="N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70</v>
      </c>
      <c r="Q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70</v>
      </c>
      <c r="U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70</v>
      </c>
      <c r="Y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70</v>
      </c>
      <c r="AC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70</v>
      </c>
      <c r="AG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70</v>
      </c>
      <c r="AK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70</v>
      </c>
      <c r="AO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70</v>
      </c>
      <c r="AS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70</v>
      </c>
      <c r="AW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70</v>
      </c>
      <c r="BA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38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70</v>
      </c>
      <c r="BE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3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38" s="180">
        <f t="shared" si="14"/>
        <v>840</v>
      </c>
      <c r="BI38" s="181">
        <f>Автовик[[#This Row],[Цена, 
юань, без НДС 1]]*BH38</f>
        <v>82600.000000000015</v>
      </c>
      <c r="BJ38" s="130">
        <f t="shared" si="15"/>
        <v>70</v>
      </c>
      <c r="BK38" s="182">
        <f>Автовик[[#This Row],[Цена, 
юань, без НДС 1]]*BJ38</f>
        <v>6883.3333333333339</v>
      </c>
      <c r="BL38" s="109">
        <f t="shared" si="16"/>
        <v>0</v>
      </c>
      <c r="BM38" s="183">
        <f>Автовик[[#This Row],[Цена, 
юань, без НДС 1]]*BL38</f>
        <v>0</v>
      </c>
      <c r="BN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3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3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38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3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3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3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3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38" s="180">
        <f t="shared" si="17"/>
        <v>0</v>
      </c>
      <c r="DW38" s="181">
        <f>Автовик[[#This Row],[Цена, 
юань, без НДС 1]]*DV38</f>
        <v>0</v>
      </c>
      <c r="DX38" s="185">
        <f t="shared" si="18"/>
        <v>0</v>
      </c>
      <c r="DY38" s="186">
        <f>Автовик[[#This Row],[Цена, 
юань, без НДС 1]]*DX38</f>
        <v>0</v>
      </c>
      <c r="DZ38" s="130">
        <f t="shared" si="19"/>
        <v>0</v>
      </c>
      <c r="EA38" s="187">
        <f>Автовик[[#This Row],[Цена, 
юань, без НДС 1]]*DZ38</f>
        <v>0</v>
      </c>
      <c r="EB38" s="109">
        <f t="shared" si="20"/>
        <v>0</v>
      </c>
      <c r="EC38" s="188">
        <f>Автовик[[#This Row],[Цена, 
юань, без НДС 1]]*EB38</f>
        <v>0</v>
      </c>
    </row>
    <row r="39" spans="1:133">
      <c r="A39" s="171"/>
      <c r="B39" s="172"/>
      <c r="C39" s="173" t="s">
        <v>304</v>
      </c>
      <c r="D39" s="173"/>
      <c r="E39" s="174"/>
      <c r="F39" s="174">
        <v>35</v>
      </c>
      <c r="G39" s="198"/>
      <c r="H39" s="199">
        <v>4640061000</v>
      </c>
      <c r="I39" s="200" t="s">
        <v>93</v>
      </c>
      <c r="J39" s="177">
        <f>294/1.2</f>
        <v>245</v>
      </c>
      <c r="K39" s="177"/>
      <c r="L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70</v>
      </c>
      <c r="M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70</v>
      </c>
      <c r="N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70</v>
      </c>
      <c r="Q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70</v>
      </c>
      <c r="U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70</v>
      </c>
      <c r="Y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70</v>
      </c>
      <c r="AC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70</v>
      </c>
      <c r="AG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70</v>
      </c>
      <c r="AK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70</v>
      </c>
      <c r="AO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70</v>
      </c>
      <c r="AS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70</v>
      </c>
      <c r="AW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70</v>
      </c>
      <c r="BA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39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70</v>
      </c>
      <c r="BE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3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39" s="180">
        <f t="shared" si="14"/>
        <v>840</v>
      </c>
      <c r="BI39" s="181">
        <f>Автовик[[#This Row],[Цена, 
юань, без НДС 1]]*BH39</f>
        <v>205800</v>
      </c>
      <c r="BJ39" s="130">
        <f t="shared" si="15"/>
        <v>70</v>
      </c>
      <c r="BK39" s="182">
        <f>Автовик[[#This Row],[Цена, 
юань, без НДС 1]]*BJ39</f>
        <v>17150</v>
      </c>
      <c r="BL39" s="109">
        <f t="shared" si="16"/>
        <v>0</v>
      </c>
      <c r="BM39" s="183">
        <f>Автовик[[#This Row],[Цена, 
юань, без НДС 1]]*BL39</f>
        <v>0</v>
      </c>
      <c r="BN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3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3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39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3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3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3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3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39" s="180">
        <f t="shared" si="17"/>
        <v>0</v>
      </c>
      <c r="DW39" s="181">
        <f>Автовик[[#This Row],[Цена, 
юань, без НДС 1]]*DV39</f>
        <v>0</v>
      </c>
      <c r="DX39" s="185">
        <f t="shared" si="18"/>
        <v>0</v>
      </c>
      <c r="DY39" s="186">
        <f>Автовик[[#This Row],[Цена, 
юань, без НДС 1]]*DX39</f>
        <v>0</v>
      </c>
      <c r="DZ39" s="130">
        <f t="shared" si="19"/>
        <v>0</v>
      </c>
      <c r="EA39" s="187">
        <f>Автовик[[#This Row],[Цена, 
юань, без НДС 1]]*DZ39</f>
        <v>0</v>
      </c>
      <c r="EB39" s="109">
        <f t="shared" si="20"/>
        <v>0</v>
      </c>
      <c r="EC39" s="188">
        <f>Автовик[[#This Row],[Цена, 
юань, без НДС 1]]*EB39</f>
        <v>0</v>
      </c>
    </row>
    <row r="40" spans="1:133">
      <c r="A40" s="171"/>
      <c r="B40" s="172"/>
      <c r="C40" s="173" t="s">
        <v>304</v>
      </c>
      <c r="D40" s="173"/>
      <c r="E40" s="174"/>
      <c r="F40" s="174">
        <v>36</v>
      </c>
      <c r="G40" s="198"/>
      <c r="H40" s="199">
        <v>4630320200</v>
      </c>
      <c r="I40" s="200" t="s">
        <v>80</v>
      </c>
      <c r="J40" s="177">
        <f>319/1.2</f>
        <v>265.83333333333337</v>
      </c>
      <c r="K40" s="177"/>
      <c r="L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70</v>
      </c>
      <c r="M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70</v>
      </c>
      <c r="N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70</v>
      </c>
      <c r="Q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70</v>
      </c>
      <c r="U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70</v>
      </c>
      <c r="Y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70</v>
      </c>
      <c r="AC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70</v>
      </c>
      <c r="AG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70</v>
      </c>
      <c r="AK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70</v>
      </c>
      <c r="AO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70</v>
      </c>
      <c r="AS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70</v>
      </c>
      <c r="AW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70</v>
      </c>
      <c r="BA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40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70</v>
      </c>
      <c r="BE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4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40" s="180">
        <f t="shared" si="14"/>
        <v>840</v>
      </c>
      <c r="BI40" s="181">
        <f>Автовик[[#This Row],[Цена, 
юань, без НДС 1]]*BH40</f>
        <v>223300.00000000003</v>
      </c>
      <c r="BJ40" s="130">
        <f t="shared" si="15"/>
        <v>70</v>
      </c>
      <c r="BK40" s="182">
        <f>Автовик[[#This Row],[Цена, 
юань, без НДС 1]]*BJ40</f>
        <v>18608.333333333336</v>
      </c>
      <c r="BL40" s="109">
        <f t="shared" si="16"/>
        <v>0</v>
      </c>
      <c r="BM40" s="183">
        <f>Автовик[[#This Row],[Цена, 
юань, без НДС 1]]*BL40</f>
        <v>0</v>
      </c>
      <c r="BN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4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4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40" s="19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4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4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4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4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40" s="180">
        <f t="shared" si="17"/>
        <v>0</v>
      </c>
      <c r="DW40" s="181">
        <f>Автовик[[#This Row],[Цена, 
юань, без НДС 1]]*DV40</f>
        <v>0</v>
      </c>
      <c r="DX40" s="185">
        <f t="shared" si="18"/>
        <v>0</v>
      </c>
      <c r="DY40" s="186">
        <f>Автовик[[#This Row],[Цена, 
юань, без НДС 1]]*DX40</f>
        <v>0</v>
      </c>
      <c r="DZ40" s="130">
        <f t="shared" si="19"/>
        <v>0</v>
      </c>
      <c r="EA40" s="187">
        <f>Автовик[[#This Row],[Цена, 
юань, без НДС 1]]*DZ40</f>
        <v>0</v>
      </c>
      <c r="EB40" s="109">
        <f t="shared" si="20"/>
        <v>0</v>
      </c>
      <c r="EC40" s="188">
        <f>Автовик[[#This Row],[Цена, 
юань, без НДС 1]]*EB40</f>
        <v>0</v>
      </c>
    </row>
    <row r="41" spans="1:133">
      <c r="A41" s="171"/>
      <c r="B41" s="172"/>
      <c r="C41" s="173" t="s">
        <v>304</v>
      </c>
      <c r="D41" s="173"/>
      <c r="E41" s="174"/>
      <c r="F41" s="174">
        <v>37</v>
      </c>
      <c r="G41" s="198"/>
      <c r="H41" s="199">
        <v>4334010030</v>
      </c>
      <c r="I41" s="200" t="s">
        <v>81</v>
      </c>
      <c r="J41" s="177">
        <f>50/1.2</f>
        <v>41.666666666666671</v>
      </c>
      <c r="K41" s="177"/>
      <c r="L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70</v>
      </c>
      <c r="M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70</v>
      </c>
      <c r="N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70</v>
      </c>
      <c r="Q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70</v>
      </c>
      <c r="U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70</v>
      </c>
      <c r="Y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70</v>
      </c>
      <c r="AC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70</v>
      </c>
      <c r="AG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70</v>
      </c>
      <c r="AK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70</v>
      </c>
      <c r="AO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70</v>
      </c>
      <c r="AS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70</v>
      </c>
      <c r="AW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70</v>
      </c>
      <c r="BA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70</v>
      </c>
      <c r="BE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4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41" s="180">
        <f t="shared" si="14"/>
        <v>840</v>
      </c>
      <c r="BI41" s="181">
        <f>Автовик[[#This Row],[Цена, 
юань, без НДС 1]]*BH41</f>
        <v>35000.000000000007</v>
      </c>
      <c r="BJ41" s="130">
        <f t="shared" si="15"/>
        <v>70</v>
      </c>
      <c r="BK41" s="182">
        <f>Автовик[[#This Row],[Цена, 
юань, без НДС 1]]*BJ41</f>
        <v>2916.666666666667</v>
      </c>
      <c r="BL41" s="109">
        <f t="shared" si="16"/>
        <v>0</v>
      </c>
      <c r="BM41" s="183">
        <f>Автовик[[#This Row],[Цена, 
юань, без НДС 1]]*BL41</f>
        <v>0</v>
      </c>
      <c r="BN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4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4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4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4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4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4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41" s="180">
        <f t="shared" si="17"/>
        <v>0</v>
      </c>
      <c r="DW41" s="181">
        <f>Автовик[[#This Row],[Цена, 
юань, без НДС 1]]*DV41</f>
        <v>0</v>
      </c>
      <c r="DX41" s="185">
        <f t="shared" si="18"/>
        <v>0</v>
      </c>
      <c r="DY41" s="186">
        <f>Автовик[[#This Row],[Цена, 
юань, без НДС 1]]*DX41</f>
        <v>0</v>
      </c>
      <c r="DZ41" s="130">
        <f t="shared" si="19"/>
        <v>0</v>
      </c>
      <c r="EA41" s="187">
        <f>Автовик[[#This Row],[Цена, 
юань, без НДС 1]]*DZ41</f>
        <v>0</v>
      </c>
      <c r="EB41" s="109">
        <f t="shared" si="20"/>
        <v>0</v>
      </c>
      <c r="EC41" s="188">
        <f>Автовик[[#This Row],[Цена, 
юань, без НДС 1]]*EB41</f>
        <v>0</v>
      </c>
    </row>
    <row r="42" spans="1:133">
      <c r="A42" s="171"/>
      <c r="B42" s="172"/>
      <c r="C42" s="173" t="s">
        <v>304</v>
      </c>
      <c r="D42" s="173"/>
      <c r="E42" s="174"/>
      <c r="F42" s="174">
        <v>38</v>
      </c>
      <c r="G42" s="198"/>
      <c r="H42" s="199">
        <v>4757145000</v>
      </c>
      <c r="I42" s="200" t="s">
        <v>94</v>
      </c>
      <c r="J42" s="177">
        <f>633/1.2</f>
        <v>527.5</v>
      </c>
      <c r="K42" s="177"/>
      <c r="L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70</v>
      </c>
      <c r="M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70</v>
      </c>
      <c r="N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70</v>
      </c>
      <c r="Q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70</v>
      </c>
      <c r="U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70</v>
      </c>
      <c r="Y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70</v>
      </c>
      <c r="AC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70</v>
      </c>
      <c r="AG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70</v>
      </c>
      <c r="AK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70</v>
      </c>
      <c r="AO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70</v>
      </c>
      <c r="AS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70</v>
      </c>
      <c r="AW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70</v>
      </c>
      <c r="BA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70</v>
      </c>
      <c r="BE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4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42" s="180">
        <f t="shared" si="14"/>
        <v>840</v>
      </c>
      <c r="BI42" s="181">
        <f>Автовик[[#This Row],[Цена, 
юань, без НДС 1]]*BH42</f>
        <v>443100</v>
      </c>
      <c r="BJ42" s="130">
        <f t="shared" si="15"/>
        <v>70</v>
      </c>
      <c r="BK42" s="182">
        <f>Автовик[[#This Row],[Цена, 
юань, без НДС 1]]*BJ42</f>
        <v>36925</v>
      </c>
      <c r="BL42" s="109">
        <f t="shared" si="16"/>
        <v>0</v>
      </c>
      <c r="BM42" s="183">
        <f>Автовик[[#This Row],[Цена, 
юань, без НДС 1]]*BL42</f>
        <v>0</v>
      </c>
      <c r="BN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4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4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4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4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4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4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42" s="180">
        <f t="shared" si="17"/>
        <v>0</v>
      </c>
      <c r="DW42" s="181">
        <f>Автовик[[#This Row],[Цена, 
юань, без НДС 1]]*DV42</f>
        <v>0</v>
      </c>
      <c r="DX42" s="185">
        <f t="shared" si="18"/>
        <v>0</v>
      </c>
      <c r="DY42" s="186">
        <f>Автовик[[#This Row],[Цена, 
юань, без НДС 1]]*DX42</f>
        <v>0</v>
      </c>
      <c r="DZ42" s="130">
        <f t="shared" si="19"/>
        <v>0</v>
      </c>
      <c r="EA42" s="187">
        <f>Автовик[[#This Row],[Цена, 
юань, без НДС 1]]*DZ42</f>
        <v>0</v>
      </c>
      <c r="EB42" s="109">
        <f t="shared" si="20"/>
        <v>0</v>
      </c>
      <c r="EC42" s="188">
        <f>Автовик[[#This Row],[Цена, 
юань, без НДС 1]]*EB42</f>
        <v>0</v>
      </c>
    </row>
    <row r="43" spans="1:133">
      <c r="A43" s="171"/>
      <c r="B43" s="172"/>
      <c r="C43" s="173"/>
      <c r="D43" s="173"/>
      <c r="E43" s="174"/>
      <c r="F43" s="174">
        <v>39</v>
      </c>
      <c r="G43" s="201"/>
      <c r="H43" s="202">
        <v>8282519676</v>
      </c>
      <c r="I43" s="203" t="s">
        <v>151</v>
      </c>
      <c r="J43" s="177">
        <v>3.1</v>
      </c>
      <c r="K43" s="177"/>
      <c r="L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4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43" s="180">
        <f t="shared" si="14"/>
        <v>0</v>
      </c>
      <c r="BI43" s="181">
        <f>Автовик[[#This Row],[Цена, 
юань, без НДС 1]]*BH43</f>
        <v>0</v>
      </c>
      <c r="BJ43" s="130">
        <f t="shared" si="15"/>
        <v>0</v>
      </c>
      <c r="BK43" s="182">
        <f>Автовик[[#This Row],[Цена, 
юань, без НДС 1]]*BJ43</f>
        <v>0</v>
      </c>
      <c r="BL43" s="109">
        <f t="shared" si="16"/>
        <v>0</v>
      </c>
      <c r="BM43" s="183">
        <f>Автовик[[#This Row],[Цена, 
юань, без НДС 1]]*BL43</f>
        <v>0</v>
      </c>
      <c r="BN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4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4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4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4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4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4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43" s="180">
        <f t="shared" si="17"/>
        <v>0</v>
      </c>
      <c r="DW43" s="181">
        <f>Автовик[[#This Row],[Цена, 
юань, без НДС 1]]*DV43</f>
        <v>0</v>
      </c>
      <c r="DX43" s="185">
        <f t="shared" si="18"/>
        <v>0</v>
      </c>
      <c r="DY43" s="186">
        <f>Автовик[[#This Row],[Цена, 
юань, без НДС 1]]*DX43</f>
        <v>0</v>
      </c>
      <c r="DZ43" s="130">
        <f t="shared" si="19"/>
        <v>0</v>
      </c>
      <c r="EA43" s="187">
        <f>Автовик[[#This Row],[Цена, 
юань, без НДС 1]]*DZ43</f>
        <v>0</v>
      </c>
      <c r="EB43" s="109">
        <f t="shared" si="20"/>
        <v>0</v>
      </c>
      <c r="EC43" s="188">
        <f>Автовик[[#This Row],[Цена, 
юань, без НДС 1]]*EB43</f>
        <v>0</v>
      </c>
    </row>
    <row r="44" spans="1:133">
      <c r="A44" s="171"/>
      <c r="B44" s="172"/>
      <c r="C44" s="173"/>
      <c r="D44" s="173"/>
      <c r="E44" s="174"/>
      <c r="F44" s="174">
        <v>40</v>
      </c>
      <c r="G44" s="201"/>
      <c r="H44" s="202">
        <v>8282510086</v>
      </c>
      <c r="I44" s="203" t="s">
        <v>152</v>
      </c>
      <c r="J44" s="177">
        <f>40.97/12.96</f>
        <v>3.161265432098765</v>
      </c>
      <c r="K44" s="177"/>
      <c r="L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4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44" s="180">
        <f t="shared" si="14"/>
        <v>0</v>
      </c>
      <c r="BI44" s="181">
        <f>Автовик[[#This Row],[Цена, 
юань, без НДС 1]]*BH44</f>
        <v>0</v>
      </c>
      <c r="BJ44" s="130">
        <f t="shared" si="15"/>
        <v>0</v>
      </c>
      <c r="BK44" s="182">
        <f>Автовик[[#This Row],[Цена, 
юань, без НДС 1]]*BJ44</f>
        <v>0</v>
      </c>
      <c r="BL44" s="109">
        <f t="shared" si="16"/>
        <v>0</v>
      </c>
      <c r="BM44" s="183">
        <f>Автовик[[#This Row],[Цена, 
юань, без НДС 1]]*BL44</f>
        <v>0</v>
      </c>
      <c r="BN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4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4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4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4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4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44" s="180">
        <f t="shared" si="17"/>
        <v>0</v>
      </c>
      <c r="DW44" s="181">
        <f>Автовик[[#This Row],[Цена, 
юань, без НДС 1]]*DV44</f>
        <v>0</v>
      </c>
      <c r="DX44" s="185">
        <f t="shared" si="18"/>
        <v>0</v>
      </c>
      <c r="DY44" s="186">
        <f>Автовик[[#This Row],[Цена, 
юань, без НДС 1]]*DX44</f>
        <v>0</v>
      </c>
      <c r="DZ44" s="130">
        <f t="shared" si="19"/>
        <v>0</v>
      </c>
      <c r="EA44" s="187">
        <f>Автовик[[#This Row],[Цена, 
юань, без НДС 1]]*DZ44</f>
        <v>0</v>
      </c>
      <c r="EB44" s="109">
        <f t="shared" si="20"/>
        <v>0</v>
      </c>
      <c r="EC44" s="188">
        <f>Автовик[[#This Row],[Цена, 
юань, без НДС 1]]*EB44</f>
        <v>0</v>
      </c>
    </row>
    <row r="45" spans="1:133">
      <c r="A45" s="171"/>
      <c r="B45" s="172"/>
      <c r="C45" s="173"/>
      <c r="D45" s="173"/>
      <c r="E45" s="174"/>
      <c r="F45" s="174">
        <v>41</v>
      </c>
      <c r="G45" s="201"/>
      <c r="H45" s="202">
        <v>8282510106</v>
      </c>
      <c r="I45" s="203" t="s">
        <v>153</v>
      </c>
      <c r="J45" s="177">
        <f>51.98 /12.96</f>
        <v>4.0108024691358022</v>
      </c>
      <c r="K45" s="177"/>
      <c r="L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4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45" s="180">
        <f t="shared" si="14"/>
        <v>0</v>
      </c>
      <c r="BI45" s="181">
        <f>Автовик[[#This Row],[Цена, 
юань, без НДС 1]]*BH45</f>
        <v>0</v>
      </c>
      <c r="BJ45" s="130">
        <f t="shared" si="15"/>
        <v>0</v>
      </c>
      <c r="BK45" s="182">
        <f>Автовик[[#This Row],[Цена, 
юань, без НДС 1]]*BJ45</f>
        <v>0</v>
      </c>
      <c r="BL45" s="109">
        <f t="shared" si="16"/>
        <v>0</v>
      </c>
      <c r="BM45" s="183">
        <f>Автовик[[#This Row],[Цена, 
юань, без НДС 1]]*BL45</f>
        <v>0</v>
      </c>
      <c r="BN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4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4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4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4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4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45" s="180">
        <f t="shared" si="17"/>
        <v>0</v>
      </c>
      <c r="DW45" s="181">
        <f>Автовик[[#This Row],[Цена, 
юань, без НДС 1]]*DV45</f>
        <v>0</v>
      </c>
      <c r="DX45" s="185">
        <f t="shared" si="18"/>
        <v>0</v>
      </c>
      <c r="DY45" s="186">
        <f>Автовик[[#This Row],[Цена, 
юань, без НДС 1]]*DX45</f>
        <v>0</v>
      </c>
      <c r="DZ45" s="130">
        <f t="shared" si="19"/>
        <v>0</v>
      </c>
      <c r="EA45" s="187">
        <f>Автовик[[#This Row],[Цена, 
юань, без НДС 1]]*DZ45</f>
        <v>0</v>
      </c>
      <c r="EB45" s="109">
        <f t="shared" si="20"/>
        <v>0</v>
      </c>
      <c r="EC45" s="188">
        <f>Автовик[[#This Row],[Цена, 
юань, без НДС 1]]*EB45</f>
        <v>0</v>
      </c>
    </row>
    <row r="46" spans="1:133">
      <c r="A46" s="171"/>
      <c r="B46" s="172"/>
      <c r="C46" s="173"/>
      <c r="D46" s="173"/>
      <c r="E46" s="174"/>
      <c r="F46" s="174">
        <v>42</v>
      </c>
      <c r="G46" s="201"/>
      <c r="H46" s="202">
        <v>8282510126</v>
      </c>
      <c r="I46" s="203" t="s">
        <v>154</v>
      </c>
      <c r="J46" s="177">
        <f>79.31/12.96</f>
        <v>6.1195987654320989</v>
      </c>
      <c r="K46" s="177"/>
      <c r="L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4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46" s="180">
        <f t="shared" si="14"/>
        <v>0</v>
      </c>
      <c r="BI46" s="181">
        <f>Автовик[[#This Row],[Цена, 
юань, без НДС 1]]*BH46</f>
        <v>0</v>
      </c>
      <c r="BJ46" s="130">
        <f t="shared" si="15"/>
        <v>0</v>
      </c>
      <c r="BK46" s="182">
        <f>Автовик[[#This Row],[Цена, 
юань, без НДС 1]]*BJ46</f>
        <v>0</v>
      </c>
      <c r="BL46" s="109">
        <f t="shared" si="16"/>
        <v>0</v>
      </c>
      <c r="BM46" s="183">
        <f>Автовик[[#This Row],[Цена, 
юань, без НДС 1]]*BL46</f>
        <v>0</v>
      </c>
      <c r="BN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4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4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4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4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4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46" s="180">
        <f t="shared" si="17"/>
        <v>0</v>
      </c>
      <c r="DW46" s="181">
        <f>Автовик[[#This Row],[Цена, 
юань, без НДС 1]]*DV46</f>
        <v>0</v>
      </c>
      <c r="DX46" s="185">
        <f t="shared" si="18"/>
        <v>0</v>
      </c>
      <c r="DY46" s="186">
        <f>Автовик[[#This Row],[Цена, 
юань, без НДС 1]]*DX46</f>
        <v>0</v>
      </c>
      <c r="DZ46" s="130">
        <f t="shared" si="19"/>
        <v>0</v>
      </c>
      <c r="EA46" s="187">
        <f>Автовик[[#This Row],[Цена, 
юань, без НДС 1]]*DZ46</f>
        <v>0</v>
      </c>
      <c r="EB46" s="109">
        <f t="shared" si="20"/>
        <v>0</v>
      </c>
      <c r="EC46" s="188">
        <f>Автовик[[#This Row],[Цена, 
юань, без НДС 1]]*EB46</f>
        <v>0</v>
      </c>
    </row>
    <row r="47" spans="1:133">
      <c r="A47" s="171"/>
      <c r="B47" s="172"/>
      <c r="C47" s="173"/>
      <c r="D47" s="173"/>
      <c r="E47" s="174"/>
      <c r="F47" s="174">
        <v>43</v>
      </c>
      <c r="G47" s="201"/>
      <c r="H47" s="202">
        <v>8282519726</v>
      </c>
      <c r="I47" s="203" t="s">
        <v>155</v>
      </c>
      <c r="J47" s="177">
        <f>124.61/12.96</f>
        <v>9.6149691358024683</v>
      </c>
      <c r="K47" s="177"/>
      <c r="L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4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47" s="180">
        <f t="shared" si="14"/>
        <v>0</v>
      </c>
      <c r="BI47" s="181">
        <f>Автовик[[#This Row],[Цена, 
юань, без НДС 1]]*BH47</f>
        <v>0</v>
      </c>
      <c r="BJ47" s="130">
        <f t="shared" si="15"/>
        <v>0</v>
      </c>
      <c r="BK47" s="182">
        <f>Автовик[[#This Row],[Цена, 
юань, без НДС 1]]*BJ47</f>
        <v>0</v>
      </c>
      <c r="BL47" s="109">
        <f t="shared" si="16"/>
        <v>0</v>
      </c>
      <c r="BM47" s="183">
        <f>Автовик[[#This Row],[Цена, 
юань, без НДС 1]]*BL47</f>
        <v>0</v>
      </c>
      <c r="BN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4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4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4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4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4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47" s="180">
        <f t="shared" si="17"/>
        <v>0</v>
      </c>
      <c r="DW47" s="181">
        <f>Автовик[[#This Row],[Цена, 
юань, без НДС 1]]*DV47</f>
        <v>0</v>
      </c>
      <c r="DX47" s="185">
        <f t="shared" si="18"/>
        <v>0</v>
      </c>
      <c r="DY47" s="186">
        <f>Автовик[[#This Row],[Цена, 
юань, без НДС 1]]*DX47</f>
        <v>0</v>
      </c>
      <c r="DZ47" s="130">
        <f t="shared" si="19"/>
        <v>0</v>
      </c>
      <c r="EA47" s="187">
        <f>Автовик[[#This Row],[Цена, 
юань, без НДС 1]]*DZ47</f>
        <v>0</v>
      </c>
      <c r="EB47" s="109">
        <f t="shared" si="20"/>
        <v>0</v>
      </c>
      <c r="EC47" s="188">
        <f>Автовик[[#This Row],[Цена, 
юань, без НДС 1]]*EB47</f>
        <v>0</v>
      </c>
    </row>
    <row r="48" spans="1:133">
      <c r="A48" s="171"/>
      <c r="B48" s="172"/>
      <c r="C48" s="173"/>
      <c r="D48" s="173"/>
      <c r="E48" s="174"/>
      <c r="F48" s="174">
        <v>44</v>
      </c>
      <c r="G48" s="201">
        <v>2</v>
      </c>
      <c r="H48" s="202">
        <v>8282520016</v>
      </c>
      <c r="I48" s="203" t="s">
        <v>156</v>
      </c>
      <c r="J48" s="177">
        <v>2957.8189300411523</v>
      </c>
      <c r="K48" s="177"/>
      <c r="L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4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48" s="180">
        <f t="shared" si="14"/>
        <v>0</v>
      </c>
      <c r="BI48" s="181">
        <f>Автовик[[#This Row],[Цена, 
юань, без НДС 1]]*BH48</f>
        <v>0</v>
      </c>
      <c r="BJ48" s="130">
        <f t="shared" si="15"/>
        <v>0</v>
      </c>
      <c r="BK48" s="182">
        <f>Автовик[[#This Row],[Цена, 
юань, без НДС 1]]*BJ48</f>
        <v>0</v>
      </c>
      <c r="BL48" s="109">
        <f t="shared" si="16"/>
        <v>0</v>
      </c>
      <c r="BM48" s="183">
        <f>Автовик[[#This Row],[Цена, 
юань, без НДС 1]]*BL48</f>
        <v>0</v>
      </c>
      <c r="BN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4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4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4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4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4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48" s="180">
        <f t="shared" si="17"/>
        <v>0</v>
      </c>
      <c r="DW48" s="181">
        <f>Автовик[[#This Row],[Цена, 
юань, без НДС 1]]*DV48</f>
        <v>0</v>
      </c>
      <c r="DX48" s="185">
        <f t="shared" si="18"/>
        <v>0</v>
      </c>
      <c r="DY48" s="186">
        <f>Автовик[[#This Row],[Цена, 
юань, без НДС 1]]*DX48</f>
        <v>0</v>
      </c>
      <c r="DZ48" s="130">
        <f t="shared" si="19"/>
        <v>0</v>
      </c>
      <c r="EA48" s="187">
        <f>Автовик[[#This Row],[Цена, 
юань, без НДС 1]]*DZ48</f>
        <v>0</v>
      </c>
      <c r="EB48" s="109">
        <f t="shared" si="20"/>
        <v>0</v>
      </c>
      <c r="EC48" s="188">
        <f>Автовик[[#This Row],[Цена, 
юань, без НДС 1]]*EB48</f>
        <v>0</v>
      </c>
    </row>
    <row r="49" spans="1:133">
      <c r="A49" s="171"/>
      <c r="B49" s="172"/>
      <c r="C49" s="173"/>
      <c r="D49" s="173"/>
      <c r="E49" s="174"/>
      <c r="F49" s="174">
        <v>45</v>
      </c>
      <c r="G49" s="201"/>
      <c r="H49" s="202">
        <v>4231069000</v>
      </c>
      <c r="I49" s="203" t="s">
        <v>52</v>
      </c>
      <c r="J49" s="177">
        <f>144.6/1.2</f>
        <v>120.5</v>
      </c>
      <c r="K49" s="177"/>
      <c r="L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4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49" s="180">
        <f t="shared" si="14"/>
        <v>0</v>
      </c>
      <c r="BI49" s="181">
        <f>Автовик[[#This Row],[Цена, 
юань, без НДС 1]]*BH49</f>
        <v>0</v>
      </c>
      <c r="BJ49" s="130">
        <f t="shared" si="15"/>
        <v>0</v>
      </c>
      <c r="BK49" s="182">
        <f>Автовик[[#This Row],[Цена, 
юань, без НДС 1]]*BJ49</f>
        <v>0</v>
      </c>
      <c r="BL49" s="109">
        <f t="shared" si="16"/>
        <v>0</v>
      </c>
      <c r="BM49" s="183">
        <f>Автовик[[#This Row],[Цена, 
юань, без НДС 1]]*BL49</f>
        <v>0</v>
      </c>
      <c r="BN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4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4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4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4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4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49" s="180">
        <f t="shared" si="17"/>
        <v>0</v>
      </c>
      <c r="DW49" s="181">
        <f>Автовик[[#This Row],[Цена, 
юань, без НДС 1]]*DV49</f>
        <v>0</v>
      </c>
      <c r="DX49" s="185">
        <f t="shared" si="18"/>
        <v>0</v>
      </c>
      <c r="DY49" s="186">
        <f>Автовик[[#This Row],[Цена, 
юань, без НДС 1]]*DX49</f>
        <v>0</v>
      </c>
      <c r="DZ49" s="130">
        <f t="shared" si="19"/>
        <v>0</v>
      </c>
      <c r="EA49" s="187">
        <f>Автовик[[#This Row],[Цена, 
юань, без НДС 1]]*DZ49</f>
        <v>0</v>
      </c>
      <c r="EB49" s="109">
        <f t="shared" si="20"/>
        <v>0</v>
      </c>
      <c r="EC49" s="188">
        <f>Автовик[[#This Row],[Цена, 
юань, без НДС 1]]*EB49</f>
        <v>0</v>
      </c>
    </row>
    <row r="50" spans="1:133">
      <c r="A50" s="171"/>
      <c r="B50" s="172"/>
      <c r="C50" s="173"/>
      <c r="D50" s="173"/>
      <c r="E50" s="174"/>
      <c r="F50" s="174">
        <v>46</v>
      </c>
      <c r="G50" s="201"/>
      <c r="H50" s="202">
        <v>4231079000</v>
      </c>
      <c r="I50" s="203" t="s">
        <v>53</v>
      </c>
      <c r="J50" s="177">
        <f>153.2/1.2</f>
        <v>127.66666666666666</v>
      </c>
      <c r="K50" s="177"/>
      <c r="L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140</v>
      </c>
      <c r="S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50</v>
      </c>
      <c r="V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5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50" s="180">
        <f t="shared" si="14"/>
        <v>0</v>
      </c>
      <c r="BI50" s="181">
        <f>Автовик[[#This Row],[Цена, 
юань, без НДС 1]]*BH50</f>
        <v>0</v>
      </c>
      <c r="BJ50" s="130">
        <f t="shared" si="15"/>
        <v>50</v>
      </c>
      <c r="BK50" s="182">
        <f>Автовик[[#This Row],[Цена, 
юань, без НДС 1]]*BJ50</f>
        <v>6383.333333333333</v>
      </c>
      <c r="BL50" s="109">
        <f t="shared" si="16"/>
        <v>140</v>
      </c>
      <c r="BM50" s="183">
        <f>Автовик[[#This Row],[Цена, 
юань, без НДС 1]]*BL50</f>
        <v>17873.333333333332</v>
      </c>
      <c r="BN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5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5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5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5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5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50" s="180">
        <f t="shared" si="17"/>
        <v>0</v>
      </c>
      <c r="DW50" s="181">
        <f>Автовик[[#This Row],[Цена, 
юань, без НДС 1]]*DV50</f>
        <v>0</v>
      </c>
      <c r="DX50" s="185">
        <f t="shared" si="18"/>
        <v>0</v>
      </c>
      <c r="DY50" s="186">
        <f>Автовик[[#This Row],[Цена, 
юань, без НДС 1]]*DX50</f>
        <v>0</v>
      </c>
      <c r="DZ50" s="130">
        <f t="shared" si="19"/>
        <v>0</v>
      </c>
      <c r="EA50" s="187">
        <f>Автовик[[#This Row],[Цена, 
юань, без НДС 1]]*DZ50</f>
        <v>0</v>
      </c>
      <c r="EB50" s="109">
        <f t="shared" si="20"/>
        <v>0</v>
      </c>
      <c r="EC50" s="188">
        <f>Автовик[[#This Row],[Цена, 
юань, без НДС 1]]*EB50</f>
        <v>0</v>
      </c>
    </row>
    <row r="51" spans="1:133">
      <c r="A51" s="171"/>
      <c r="B51" s="172"/>
      <c r="C51" s="173"/>
      <c r="D51" s="173"/>
      <c r="E51" s="174"/>
      <c r="F51" s="174">
        <v>47</v>
      </c>
      <c r="G51" s="201"/>
      <c r="H51" s="202">
        <v>9253761210</v>
      </c>
      <c r="I51" s="203" t="s">
        <v>54</v>
      </c>
      <c r="J51" s="177">
        <f>300.5/1.2</f>
        <v>250.41666666666669</v>
      </c>
      <c r="K51" s="177"/>
      <c r="L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5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51" s="180">
        <f t="shared" si="14"/>
        <v>0</v>
      </c>
      <c r="BI51" s="181">
        <f>Автовик[[#This Row],[Цена, 
юань, без НДС 1]]*BH51</f>
        <v>0</v>
      </c>
      <c r="BJ51" s="130">
        <f t="shared" si="15"/>
        <v>0</v>
      </c>
      <c r="BK51" s="182">
        <f>Автовик[[#This Row],[Цена, 
юань, без НДС 1]]*BJ51</f>
        <v>0</v>
      </c>
      <c r="BL51" s="109">
        <f t="shared" si="16"/>
        <v>0</v>
      </c>
      <c r="BM51" s="183">
        <f>Автовик[[#This Row],[Цена, 
юань, без НДС 1]]*BL51</f>
        <v>0</v>
      </c>
      <c r="BN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5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5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5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5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5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51" s="180">
        <f t="shared" si="17"/>
        <v>0</v>
      </c>
      <c r="DW51" s="181">
        <f>Автовик[[#This Row],[Цена, 
юань, без НДС 1]]*DV51</f>
        <v>0</v>
      </c>
      <c r="DX51" s="185">
        <f t="shared" si="18"/>
        <v>0</v>
      </c>
      <c r="DY51" s="186">
        <f>Автовик[[#This Row],[Цена, 
юань, без НДС 1]]*DX51</f>
        <v>0</v>
      </c>
      <c r="DZ51" s="130">
        <f t="shared" si="19"/>
        <v>0</v>
      </c>
      <c r="EA51" s="187">
        <f>Автовик[[#This Row],[Цена, 
юань, без НДС 1]]*DZ51</f>
        <v>0</v>
      </c>
      <c r="EB51" s="109">
        <f t="shared" si="20"/>
        <v>0</v>
      </c>
      <c r="EC51" s="188">
        <f>Автовик[[#This Row],[Цена, 
юань, без НДС 1]]*EB51</f>
        <v>0</v>
      </c>
    </row>
    <row r="52" spans="1:133">
      <c r="A52" s="171"/>
      <c r="B52" s="172"/>
      <c r="C52" s="173"/>
      <c r="D52" s="173"/>
      <c r="E52" s="174"/>
      <c r="F52" s="174">
        <v>48</v>
      </c>
      <c r="G52" s="201"/>
      <c r="H52" s="202">
        <v>9253771100</v>
      </c>
      <c r="I52" s="203" t="s">
        <v>55</v>
      </c>
      <c r="J52" s="177">
        <f>305.1/1.2</f>
        <v>254.25000000000003</v>
      </c>
      <c r="K52" s="177"/>
      <c r="L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12</v>
      </c>
      <c r="R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122</v>
      </c>
      <c r="S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50</v>
      </c>
      <c r="V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4</v>
      </c>
      <c r="W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12</v>
      </c>
      <c r="AA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5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52" s="180">
        <f t="shared" si="14"/>
        <v>0</v>
      </c>
      <c r="BI52" s="181">
        <f>Автовик[[#This Row],[Цена, 
юань, без НДС 1]]*BH52</f>
        <v>0</v>
      </c>
      <c r="BJ52" s="130">
        <f t="shared" si="15"/>
        <v>62</v>
      </c>
      <c r="BK52" s="182">
        <f>Автовик[[#This Row],[Цена, 
юань, без НДС 1]]*BJ52</f>
        <v>15763.500000000002</v>
      </c>
      <c r="BL52" s="109">
        <f t="shared" si="16"/>
        <v>138</v>
      </c>
      <c r="BM52" s="183">
        <f>Автовик[[#This Row],[Цена, 
юань, без НДС 1]]*BL52</f>
        <v>35086.500000000007</v>
      </c>
      <c r="BN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5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5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5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5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5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52" s="180">
        <f t="shared" si="17"/>
        <v>0</v>
      </c>
      <c r="DW52" s="181">
        <f>Автовик[[#This Row],[Цена, 
юань, без НДС 1]]*DV52</f>
        <v>0</v>
      </c>
      <c r="DX52" s="185">
        <f t="shared" si="18"/>
        <v>0</v>
      </c>
      <c r="DY52" s="186">
        <f>Автовик[[#This Row],[Цена, 
юань, без НДС 1]]*DX52</f>
        <v>0</v>
      </c>
      <c r="DZ52" s="130">
        <f t="shared" si="19"/>
        <v>0</v>
      </c>
      <c r="EA52" s="187">
        <f>Автовик[[#This Row],[Цена, 
юань, без НДС 1]]*DZ52</f>
        <v>0</v>
      </c>
      <c r="EB52" s="109">
        <f t="shared" si="20"/>
        <v>0</v>
      </c>
      <c r="EC52" s="188">
        <f>Автовик[[#This Row],[Цена, 
юань, без НДС 1]]*EB52</f>
        <v>0</v>
      </c>
    </row>
    <row r="53" spans="1:133">
      <c r="A53" s="171"/>
      <c r="B53" s="172"/>
      <c r="C53" s="173" t="s">
        <v>305</v>
      </c>
      <c r="D53" s="173" t="s">
        <v>306</v>
      </c>
      <c r="E53" s="174">
        <v>1</v>
      </c>
      <c r="F53" s="174">
        <v>49</v>
      </c>
      <c r="G53" s="204">
        <v>2</v>
      </c>
      <c r="H53" s="205">
        <v>9522010010</v>
      </c>
      <c r="I53" s="206" t="s">
        <v>106</v>
      </c>
      <c r="J53" s="189">
        <v>96.4</v>
      </c>
      <c r="K53" s="177"/>
      <c r="L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</v>
      </c>
      <c r="R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</v>
      </c>
      <c r="S5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5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53" s="180">
        <f t="shared" si="14"/>
        <v>0</v>
      </c>
      <c r="BI53" s="181">
        <f>Автовик[[#This Row],[Цена, 
юань, без НДС 1]]*BH53</f>
        <v>0</v>
      </c>
      <c r="BJ53" s="130">
        <f t="shared" si="15"/>
        <v>1</v>
      </c>
      <c r="BK53" s="182">
        <f>Автовик[[#This Row],[Цена, 
юань, без НДС 1]]*BJ53</f>
        <v>96.4</v>
      </c>
      <c r="BL53" s="109">
        <f t="shared" si="16"/>
        <v>1</v>
      </c>
      <c r="BM53" s="183">
        <f>Автовик[[#This Row],[Цена, 
юань, без НДС 1]]*BL53</f>
        <v>96.4</v>
      </c>
      <c r="BN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5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5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5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5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5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5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53" s="180">
        <f t="shared" si="17"/>
        <v>0</v>
      </c>
      <c r="DW53" s="181">
        <f>Автовик[[#This Row],[Цена, 
юань, без НДС 1]]*DV53</f>
        <v>0</v>
      </c>
      <c r="DX53" s="185">
        <f t="shared" si="18"/>
        <v>0</v>
      </c>
      <c r="DY53" s="186">
        <f>Автовик[[#This Row],[Цена, 
юань, без НДС 1]]*DX53</f>
        <v>0</v>
      </c>
      <c r="DZ53" s="130">
        <f t="shared" si="19"/>
        <v>0</v>
      </c>
      <c r="EA53" s="187">
        <f>Автовик[[#This Row],[Цена, 
юань, без НДС 1]]*DZ53</f>
        <v>0</v>
      </c>
      <c r="EB53" s="109">
        <f t="shared" si="20"/>
        <v>0</v>
      </c>
      <c r="EC53" s="188">
        <f>Автовик[[#This Row],[Цена, 
юань, без НДС 1]]*EB53</f>
        <v>0</v>
      </c>
    </row>
    <row r="54" spans="1:133">
      <c r="A54" s="171"/>
      <c r="B54" s="172"/>
      <c r="C54" s="173" t="s">
        <v>305</v>
      </c>
      <c r="D54" s="173" t="s">
        <v>306</v>
      </c>
      <c r="E54" s="174">
        <v>1</v>
      </c>
      <c r="F54" s="174">
        <v>50</v>
      </c>
      <c r="G54" s="204">
        <v>2</v>
      </c>
      <c r="H54" s="205">
        <v>9522010020</v>
      </c>
      <c r="I54" s="206" t="s">
        <v>106</v>
      </c>
      <c r="J54" s="189">
        <v>96.4</v>
      </c>
      <c r="K54" s="177"/>
      <c r="L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</v>
      </c>
      <c r="R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</v>
      </c>
      <c r="S5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5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54" s="180">
        <f t="shared" si="14"/>
        <v>0</v>
      </c>
      <c r="BI54" s="181">
        <f>Автовик[[#This Row],[Цена, 
юань, без НДС 1]]*BH54</f>
        <v>0</v>
      </c>
      <c r="BJ54" s="130">
        <f t="shared" si="15"/>
        <v>1</v>
      </c>
      <c r="BK54" s="182">
        <f>Автовик[[#This Row],[Цена, 
юань, без НДС 1]]*BJ54</f>
        <v>96.4</v>
      </c>
      <c r="BL54" s="109">
        <f t="shared" si="16"/>
        <v>1</v>
      </c>
      <c r="BM54" s="183">
        <f>Автовик[[#This Row],[Цена, 
юань, без НДС 1]]*BL54</f>
        <v>96.4</v>
      </c>
      <c r="BN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5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5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5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5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5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5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54" s="180">
        <f t="shared" si="17"/>
        <v>0</v>
      </c>
      <c r="DW54" s="181">
        <f>Автовик[[#This Row],[Цена, 
юань, без НДС 1]]*DV54</f>
        <v>0</v>
      </c>
      <c r="DX54" s="185">
        <f t="shared" si="18"/>
        <v>0</v>
      </c>
      <c r="DY54" s="186">
        <f>Автовик[[#This Row],[Цена, 
юань, без НДС 1]]*DX54</f>
        <v>0</v>
      </c>
      <c r="DZ54" s="130">
        <f t="shared" si="19"/>
        <v>0</v>
      </c>
      <c r="EA54" s="187">
        <f>Автовик[[#This Row],[Цена, 
юань, без НДС 1]]*DZ54</f>
        <v>0</v>
      </c>
      <c r="EB54" s="109">
        <f t="shared" si="20"/>
        <v>0</v>
      </c>
      <c r="EC54" s="188">
        <f>Автовик[[#This Row],[Цена, 
юань, без НДС 1]]*EB54</f>
        <v>0</v>
      </c>
    </row>
    <row r="55" spans="1:133">
      <c r="A55" s="171"/>
      <c r="B55" s="172"/>
      <c r="C55" s="173" t="s">
        <v>305</v>
      </c>
      <c r="D55" s="173" t="s">
        <v>306</v>
      </c>
      <c r="E55" s="174">
        <v>1</v>
      </c>
      <c r="F55" s="174">
        <v>51</v>
      </c>
      <c r="G55" s="204">
        <v>2</v>
      </c>
      <c r="H55" s="205">
        <v>4801020640</v>
      </c>
      <c r="I55" s="206" t="s">
        <v>107</v>
      </c>
      <c r="J55" s="189">
        <v>8819.4</v>
      </c>
      <c r="K55" s="177"/>
      <c r="L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</v>
      </c>
      <c r="R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</v>
      </c>
      <c r="S5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5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55" s="180">
        <f t="shared" si="14"/>
        <v>0</v>
      </c>
      <c r="BI55" s="181">
        <f>Автовик[[#This Row],[Цена, 
юань, без НДС 1]]*BH55</f>
        <v>0</v>
      </c>
      <c r="BJ55" s="130">
        <f t="shared" si="15"/>
        <v>1</v>
      </c>
      <c r="BK55" s="182">
        <f>Автовик[[#This Row],[Цена, 
юань, без НДС 1]]*BJ55</f>
        <v>8819.4</v>
      </c>
      <c r="BL55" s="109">
        <f t="shared" si="16"/>
        <v>1</v>
      </c>
      <c r="BM55" s="183">
        <f>Автовик[[#This Row],[Цена, 
юань, без НДС 1]]*BL55</f>
        <v>8819.4</v>
      </c>
      <c r="BN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5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5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5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5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5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5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55" s="180">
        <f t="shared" si="17"/>
        <v>0</v>
      </c>
      <c r="DW55" s="181">
        <f>Автовик[[#This Row],[Цена, 
юань, без НДС 1]]*DV55</f>
        <v>0</v>
      </c>
      <c r="DX55" s="185">
        <f t="shared" si="18"/>
        <v>0</v>
      </c>
      <c r="DY55" s="186">
        <f>Автовик[[#This Row],[Цена, 
юань, без НДС 1]]*DX55</f>
        <v>0</v>
      </c>
      <c r="DZ55" s="130">
        <f t="shared" si="19"/>
        <v>0</v>
      </c>
      <c r="EA55" s="187">
        <f>Автовик[[#This Row],[Цена, 
юань, без НДС 1]]*DZ55</f>
        <v>0</v>
      </c>
      <c r="EB55" s="109">
        <f t="shared" si="20"/>
        <v>0</v>
      </c>
      <c r="EC55" s="188">
        <f>Автовик[[#This Row],[Цена, 
юань, без НДС 1]]*EB55</f>
        <v>0</v>
      </c>
    </row>
    <row r="56" spans="1:133">
      <c r="A56" s="171"/>
      <c r="B56" s="172"/>
      <c r="C56" s="173" t="s">
        <v>305</v>
      </c>
      <c r="D56" s="173" t="s">
        <v>306</v>
      </c>
      <c r="E56" s="174">
        <v>1</v>
      </c>
      <c r="F56" s="174">
        <v>52</v>
      </c>
      <c r="G56" s="204">
        <v>2</v>
      </c>
      <c r="H56" s="205">
        <v>4491731200</v>
      </c>
      <c r="I56" s="206" t="s">
        <v>157</v>
      </c>
      <c r="J56" s="189">
        <v>912.4</v>
      </c>
      <c r="K56" s="177"/>
      <c r="L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</v>
      </c>
      <c r="R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</v>
      </c>
      <c r="S5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5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56" s="180">
        <f t="shared" si="14"/>
        <v>0</v>
      </c>
      <c r="BI56" s="181">
        <f>Автовик[[#This Row],[Цена, 
юань, без НДС 1]]*BH56</f>
        <v>0</v>
      </c>
      <c r="BJ56" s="130">
        <f t="shared" si="15"/>
        <v>1</v>
      </c>
      <c r="BK56" s="182">
        <f>Автовик[[#This Row],[Цена, 
юань, без НДС 1]]*BJ56</f>
        <v>912.4</v>
      </c>
      <c r="BL56" s="109">
        <f t="shared" si="16"/>
        <v>1</v>
      </c>
      <c r="BM56" s="183">
        <f>Автовик[[#This Row],[Цена, 
юань, без НДС 1]]*BL56</f>
        <v>912.4</v>
      </c>
      <c r="BN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5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5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5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5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5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5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56" s="180">
        <f t="shared" si="17"/>
        <v>0</v>
      </c>
      <c r="DW56" s="181">
        <f>Автовик[[#This Row],[Цена, 
юань, без НДС 1]]*DV56</f>
        <v>0</v>
      </c>
      <c r="DX56" s="185">
        <f t="shared" si="18"/>
        <v>0</v>
      </c>
      <c r="DY56" s="186">
        <f>Автовик[[#This Row],[Цена, 
юань, без НДС 1]]*DX56</f>
        <v>0</v>
      </c>
      <c r="DZ56" s="130">
        <f t="shared" si="19"/>
        <v>0</v>
      </c>
      <c r="EA56" s="187">
        <f>Автовик[[#This Row],[Цена, 
юань, без НДС 1]]*DZ56</f>
        <v>0</v>
      </c>
      <c r="EB56" s="109">
        <f t="shared" si="20"/>
        <v>0</v>
      </c>
      <c r="EC56" s="188">
        <f>Автовик[[#This Row],[Цена, 
юань, без НДС 1]]*EB56</f>
        <v>0</v>
      </c>
    </row>
    <row r="57" spans="1:133">
      <c r="A57" s="171"/>
      <c r="B57" s="172"/>
      <c r="C57" s="173" t="s">
        <v>305</v>
      </c>
      <c r="D57" s="173" t="s">
        <v>306</v>
      </c>
      <c r="E57" s="174">
        <v>1</v>
      </c>
      <c r="F57" s="174">
        <v>53</v>
      </c>
      <c r="G57" s="204"/>
      <c r="H57" s="205">
        <v>9710029000</v>
      </c>
      <c r="I57" s="206" t="s">
        <v>75</v>
      </c>
      <c r="J57" s="189">
        <v>532.5</v>
      </c>
      <c r="K57" s="177"/>
      <c r="L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</v>
      </c>
      <c r="R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</v>
      </c>
      <c r="S5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5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57" s="180">
        <f t="shared" si="14"/>
        <v>0</v>
      </c>
      <c r="BI57" s="181">
        <f>Автовик[[#This Row],[Цена, 
юань, без НДС 1]]*BH57</f>
        <v>0</v>
      </c>
      <c r="BJ57" s="130">
        <f t="shared" si="15"/>
        <v>1</v>
      </c>
      <c r="BK57" s="182">
        <f>Автовик[[#This Row],[Цена, 
юань, без НДС 1]]*BJ57</f>
        <v>532.5</v>
      </c>
      <c r="BL57" s="109">
        <f t="shared" si="16"/>
        <v>1</v>
      </c>
      <c r="BM57" s="183">
        <f>Автовик[[#This Row],[Цена, 
юань, без НДС 1]]*BL57</f>
        <v>532.5</v>
      </c>
      <c r="BN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5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5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5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5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5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5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57" s="180">
        <f t="shared" si="17"/>
        <v>0</v>
      </c>
      <c r="DW57" s="181">
        <f>Автовик[[#This Row],[Цена, 
юань, без НДС 1]]*DV57</f>
        <v>0</v>
      </c>
      <c r="DX57" s="185">
        <f t="shared" si="18"/>
        <v>0</v>
      </c>
      <c r="DY57" s="186">
        <f>Автовик[[#This Row],[Цена, 
юань, без НДС 1]]*DX57</f>
        <v>0</v>
      </c>
      <c r="DZ57" s="130">
        <f t="shared" si="19"/>
        <v>0</v>
      </c>
      <c r="EA57" s="187">
        <f>Автовик[[#This Row],[Цена, 
юань, без НДС 1]]*DZ57</f>
        <v>0</v>
      </c>
      <c r="EB57" s="109">
        <f t="shared" si="20"/>
        <v>0</v>
      </c>
      <c r="EC57" s="188">
        <f>Автовик[[#This Row],[Цена, 
юань, без НДС 1]]*EB57</f>
        <v>0</v>
      </c>
    </row>
    <row r="58" spans="1:133">
      <c r="A58" s="171"/>
      <c r="B58" s="172"/>
      <c r="C58" s="173" t="s">
        <v>305</v>
      </c>
      <c r="D58" s="173" t="s">
        <v>306</v>
      </c>
      <c r="E58" s="174">
        <v>1</v>
      </c>
      <c r="F58" s="174">
        <v>54</v>
      </c>
      <c r="G58" s="204"/>
      <c r="H58" s="205">
        <v>4341001250</v>
      </c>
      <c r="I58" s="206" t="s">
        <v>92</v>
      </c>
      <c r="J58" s="189">
        <v>98.3</v>
      </c>
      <c r="K58" s="177"/>
      <c r="L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</v>
      </c>
      <c r="R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</v>
      </c>
      <c r="S5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5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58" s="180">
        <f t="shared" si="14"/>
        <v>0</v>
      </c>
      <c r="BI58" s="181">
        <f>Автовик[[#This Row],[Цена, 
юань, без НДС 1]]*BH58</f>
        <v>0</v>
      </c>
      <c r="BJ58" s="130">
        <f t="shared" si="15"/>
        <v>1</v>
      </c>
      <c r="BK58" s="182">
        <f>Автовик[[#This Row],[Цена, 
юань, без НДС 1]]*BJ58</f>
        <v>98.3</v>
      </c>
      <c r="BL58" s="109">
        <f t="shared" si="16"/>
        <v>1</v>
      </c>
      <c r="BM58" s="183">
        <f>Автовик[[#This Row],[Цена, 
юань, без НДС 1]]*BL58</f>
        <v>98.3</v>
      </c>
      <c r="BN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5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5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5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5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5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5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58" s="180">
        <f t="shared" si="17"/>
        <v>0</v>
      </c>
      <c r="DW58" s="181">
        <f>Автовик[[#This Row],[Цена, 
юань, без НДС 1]]*DV58</f>
        <v>0</v>
      </c>
      <c r="DX58" s="185">
        <f t="shared" si="18"/>
        <v>0</v>
      </c>
      <c r="DY58" s="186">
        <f>Автовик[[#This Row],[Цена, 
юань, без НДС 1]]*DX58</f>
        <v>0</v>
      </c>
      <c r="DZ58" s="130">
        <f t="shared" si="19"/>
        <v>0</v>
      </c>
      <c r="EA58" s="187">
        <f>Автовик[[#This Row],[Цена, 
юань, без НДС 1]]*DZ58</f>
        <v>0</v>
      </c>
      <c r="EB58" s="109">
        <f t="shared" si="20"/>
        <v>0</v>
      </c>
      <c r="EC58" s="188">
        <f>Автовик[[#This Row],[Цена, 
юань, без НДС 1]]*EB58</f>
        <v>0</v>
      </c>
    </row>
    <row r="59" spans="1:133">
      <c r="A59" s="171"/>
      <c r="B59" s="172"/>
      <c r="C59" s="173" t="s">
        <v>305</v>
      </c>
      <c r="D59" s="173" t="s">
        <v>306</v>
      </c>
      <c r="E59" s="174">
        <v>4</v>
      </c>
      <c r="F59" s="174">
        <v>55</v>
      </c>
      <c r="G59" s="204">
        <v>2</v>
      </c>
      <c r="H59" s="205">
        <v>4497230300</v>
      </c>
      <c r="I59" s="206" t="s">
        <v>111</v>
      </c>
      <c r="J59" s="189">
        <v>82.4</v>
      </c>
      <c r="K59" s="177"/>
      <c r="L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4</v>
      </c>
      <c r="R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4</v>
      </c>
      <c r="S5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5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59" s="180">
        <f t="shared" si="14"/>
        <v>0</v>
      </c>
      <c r="BI59" s="181">
        <f>Автовик[[#This Row],[Цена, 
юань, без НДС 1]]*BH59</f>
        <v>0</v>
      </c>
      <c r="BJ59" s="130">
        <f t="shared" si="15"/>
        <v>4</v>
      </c>
      <c r="BK59" s="182">
        <f>Автовик[[#This Row],[Цена, 
юань, без НДС 1]]*BJ59</f>
        <v>329.6</v>
      </c>
      <c r="BL59" s="109">
        <f t="shared" si="16"/>
        <v>4</v>
      </c>
      <c r="BM59" s="183">
        <f>Автовик[[#This Row],[Цена, 
юань, без НДС 1]]*BL59</f>
        <v>329.6</v>
      </c>
      <c r="BN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5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5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5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5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5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5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59" s="180">
        <f t="shared" si="17"/>
        <v>0</v>
      </c>
      <c r="DW59" s="181">
        <f>Автовик[[#This Row],[Цена, 
юань, без НДС 1]]*DV59</f>
        <v>0</v>
      </c>
      <c r="DX59" s="185">
        <f t="shared" si="18"/>
        <v>0</v>
      </c>
      <c r="DY59" s="186">
        <f>Автовик[[#This Row],[Цена, 
юань, без НДС 1]]*DX59</f>
        <v>0</v>
      </c>
      <c r="DZ59" s="130">
        <f t="shared" si="19"/>
        <v>0</v>
      </c>
      <c r="EA59" s="187">
        <f>Автовик[[#This Row],[Цена, 
юань, без НДС 1]]*DZ59</f>
        <v>0</v>
      </c>
      <c r="EB59" s="109">
        <f t="shared" si="20"/>
        <v>0</v>
      </c>
      <c r="EC59" s="188">
        <f>Автовик[[#This Row],[Цена, 
юань, без НДС 1]]*EB59</f>
        <v>0</v>
      </c>
    </row>
    <row r="60" spans="1:133">
      <c r="A60" s="171"/>
      <c r="B60" s="172"/>
      <c r="C60" s="173" t="s">
        <v>305</v>
      </c>
      <c r="D60" s="173" t="s">
        <v>306</v>
      </c>
      <c r="E60" s="174"/>
      <c r="F60" s="174">
        <v>56</v>
      </c>
      <c r="G60" s="204">
        <v>2</v>
      </c>
      <c r="H60" s="205">
        <v>4497120300</v>
      </c>
      <c r="I60" s="206" t="s">
        <v>100</v>
      </c>
      <c r="J60" s="189">
        <v>56.7</v>
      </c>
      <c r="K60" s="177"/>
      <c r="L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6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6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60" s="180">
        <f t="shared" si="14"/>
        <v>0</v>
      </c>
      <c r="BI60" s="181">
        <f>Автовик[[#This Row],[Цена, 
юань, без НДС 1]]*BH60</f>
        <v>0</v>
      </c>
      <c r="BJ60" s="130">
        <f t="shared" si="15"/>
        <v>0</v>
      </c>
      <c r="BK60" s="182">
        <f>Автовик[[#This Row],[Цена, 
юань, без НДС 1]]*BJ60</f>
        <v>0</v>
      </c>
      <c r="BL60" s="109">
        <f t="shared" si="16"/>
        <v>0</v>
      </c>
      <c r="BM60" s="183">
        <f>Автовик[[#This Row],[Цена, 
юань, без НДС 1]]*BL60</f>
        <v>0</v>
      </c>
      <c r="BN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6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6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6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6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6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6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60" s="180">
        <f t="shared" si="17"/>
        <v>0</v>
      </c>
      <c r="DW60" s="181">
        <f>Автовик[[#This Row],[Цена, 
юань, без НДС 1]]*DV60</f>
        <v>0</v>
      </c>
      <c r="DX60" s="185">
        <f t="shared" si="18"/>
        <v>0</v>
      </c>
      <c r="DY60" s="186">
        <f>Автовик[[#This Row],[Цена, 
юань, без НДС 1]]*DX60</f>
        <v>0</v>
      </c>
      <c r="DZ60" s="130">
        <f t="shared" si="19"/>
        <v>0</v>
      </c>
      <c r="EA60" s="187">
        <f>Автовик[[#This Row],[Цена, 
юань, без НДС 1]]*DZ60</f>
        <v>0</v>
      </c>
      <c r="EB60" s="109">
        <f t="shared" si="20"/>
        <v>0</v>
      </c>
      <c r="EC60" s="188">
        <f>Автовик[[#This Row],[Цена, 
юань, без НДС 1]]*EB60</f>
        <v>0</v>
      </c>
    </row>
    <row r="61" spans="1:133">
      <c r="A61" s="171"/>
      <c r="B61" s="172"/>
      <c r="C61" s="173" t="s">
        <v>305</v>
      </c>
      <c r="D61" s="173" t="s">
        <v>306</v>
      </c>
      <c r="E61" s="174">
        <v>2</v>
      </c>
      <c r="F61" s="174">
        <v>57</v>
      </c>
      <c r="G61" s="204">
        <v>2</v>
      </c>
      <c r="H61" s="205">
        <v>4497490300</v>
      </c>
      <c r="I61" s="206" t="s">
        <v>100</v>
      </c>
      <c r="J61" s="189">
        <v>56.7</v>
      </c>
      <c r="K61" s="177"/>
      <c r="L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2</v>
      </c>
      <c r="R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2</v>
      </c>
      <c r="S6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6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61" s="180">
        <f t="shared" si="14"/>
        <v>0</v>
      </c>
      <c r="BI61" s="181">
        <f>Автовик[[#This Row],[Цена, 
юань, без НДС 1]]*BH61</f>
        <v>0</v>
      </c>
      <c r="BJ61" s="130">
        <f t="shared" si="15"/>
        <v>2</v>
      </c>
      <c r="BK61" s="182">
        <f>Автовик[[#This Row],[Цена, 
юань, без НДС 1]]*BJ61</f>
        <v>113.4</v>
      </c>
      <c r="BL61" s="109">
        <f t="shared" si="16"/>
        <v>2</v>
      </c>
      <c r="BM61" s="183">
        <f>Автовик[[#This Row],[Цена, 
юань, без НДС 1]]*BL61</f>
        <v>113.4</v>
      </c>
      <c r="BN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61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61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61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61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61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61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61" s="180">
        <f t="shared" si="17"/>
        <v>0</v>
      </c>
      <c r="DW61" s="181">
        <f>Автовик[[#This Row],[Цена, 
юань, без НДС 1]]*DV61</f>
        <v>0</v>
      </c>
      <c r="DX61" s="185">
        <f t="shared" si="18"/>
        <v>0</v>
      </c>
      <c r="DY61" s="186">
        <f>Автовик[[#This Row],[Цена, 
юань, без НДС 1]]*DX61</f>
        <v>0</v>
      </c>
      <c r="DZ61" s="130">
        <f t="shared" si="19"/>
        <v>0</v>
      </c>
      <c r="EA61" s="187">
        <f>Автовик[[#This Row],[Цена, 
юань, без НДС 1]]*DZ61</f>
        <v>0</v>
      </c>
      <c r="EB61" s="109">
        <f t="shared" si="20"/>
        <v>0</v>
      </c>
      <c r="EC61" s="188">
        <f>Автовик[[#This Row],[Цена, 
юань, без НДС 1]]*EB61</f>
        <v>0</v>
      </c>
    </row>
    <row r="62" spans="1:133">
      <c r="A62" s="171"/>
      <c r="B62" s="172"/>
      <c r="C62" s="173" t="s">
        <v>305</v>
      </c>
      <c r="D62" s="173" t="s">
        <v>306</v>
      </c>
      <c r="E62" s="174">
        <v>1</v>
      </c>
      <c r="F62" s="174">
        <v>58</v>
      </c>
      <c r="G62" s="204">
        <v>2</v>
      </c>
      <c r="H62" s="205">
        <v>4802070010</v>
      </c>
      <c r="I62" s="206" t="s">
        <v>112</v>
      </c>
      <c r="J62" s="189">
        <v>1186</v>
      </c>
      <c r="K62" s="177"/>
      <c r="L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</v>
      </c>
      <c r="R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</v>
      </c>
      <c r="S6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6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62" s="180">
        <f t="shared" si="14"/>
        <v>0</v>
      </c>
      <c r="BI62" s="181">
        <f>Автовик[[#This Row],[Цена, 
юань, без НДС 1]]*BH62</f>
        <v>0</v>
      </c>
      <c r="BJ62" s="130">
        <f t="shared" si="15"/>
        <v>1</v>
      </c>
      <c r="BK62" s="182">
        <f>Автовик[[#This Row],[Цена, 
юань, без НДС 1]]*BJ62</f>
        <v>1186</v>
      </c>
      <c r="BL62" s="109">
        <f t="shared" si="16"/>
        <v>1</v>
      </c>
      <c r="BM62" s="183">
        <f>Автовик[[#This Row],[Цена, 
юань, без НДС 1]]*BL62</f>
        <v>1186</v>
      </c>
      <c r="BN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62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62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62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62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62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62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62" s="180">
        <f t="shared" si="17"/>
        <v>0</v>
      </c>
      <c r="DW62" s="181">
        <f>Автовик[[#This Row],[Цена, 
юань, без НДС 1]]*DV62</f>
        <v>0</v>
      </c>
      <c r="DX62" s="185">
        <f t="shared" si="18"/>
        <v>0</v>
      </c>
      <c r="DY62" s="186">
        <f>Автовик[[#This Row],[Цена, 
юань, без НДС 1]]*DX62</f>
        <v>0</v>
      </c>
      <c r="DZ62" s="130">
        <f t="shared" si="19"/>
        <v>0</v>
      </c>
      <c r="EA62" s="187">
        <f>Автовик[[#This Row],[Цена, 
юань, без НДС 1]]*DZ62</f>
        <v>0</v>
      </c>
      <c r="EB62" s="109">
        <f t="shared" si="20"/>
        <v>0</v>
      </c>
      <c r="EC62" s="188">
        <f>Автовик[[#This Row],[Цена, 
юань, без НДС 1]]*EB62</f>
        <v>0</v>
      </c>
    </row>
    <row r="63" spans="1:133">
      <c r="A63" s="171"/>
      <c r="B63" s="172"/>
      <c r="C63" s="173" t="s">
        <v>305</v>
      </c>
      <c r="D63" s="173" t="s">
        <v>306</v>
      </c>
      <c r="E63" s="174">
        <v>1</v>
      </c>
      <c r="F63" s="174">
        <v>59</v>
      </c>
      <c r="G63" s="204">
        <v>2</v>
      </c>
      <c r="H63" s="205">
        <v>4494290800</v>
      </c>
      <c r="I63" s="206" t="s">
        <v>113</v>
      </c>
      <c r="J63" s="189">
        <v>395.3</v>
      </c>
      <c r="K63" s="177"/>
      <c r="L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</v>
      </c>
      <c r="R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</v>
      </c>
      <c r="S6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6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63" s="180">
        <f t="shared" si="14"/>
        <v>0</v>
      </c>
      <c r="BI63" s="181">
        <f>Автовик[[#This Row],[Цена, 
юань, без НДС 1]]*BH63</f>
        <v>0</v>
      </c>
      <c r="BJ63" s="130">
        <f t="shared" si="15"/>
        <v>1</v>
      </c>
      <c r="BK63" s="182">
        <f>Автовик[[#This Row],[Цена, 
юань, без НДС 1]]*BJ63</f>
        <v>395.3</v>
      </c>
      <c r="BL63" s="109">
        <f t="shared" si="16"/>
        <v>1</v>
      </c>
      <c r="BM63" s="183">
        <f>Автовик[[#This Row],[Цена, 
юань, без НДС 1]]*BL63</f>
        <v>395.3</v>
      </c>
      <c r="BN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63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63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63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63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63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63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63" s="180">
        <f t="shared" si="17"/>
        <v>0</v>
      </c>
      <c r="DW63" s="181">
        <f>Автовик[[#This Row],[Цена, 
юань, без НДС 1]]*DV63</f>
        <v>0</v>
      </c>
      <c r="DX63" s="185">
        <f t="shared" si="18"/>
        <v>0</v>
      </c>
      <c r="DY63" s="186">
        <f>Автовик[[#This Row],[Цена, 
юань, без НДС 1]]*DX63</f>
        <v>0</v>
      </c>
      <c r="DZ63" s="130">
        <f t="shared" si="19"/>
        <v>0</v>
      </c>
      <c r="EA63" s="187">
        <f>Автовик[[#This Row],[Цена, 
юань, без НДС 1]]*DZ63</f>
        <v>0</v>
      </c>
      <c r="EB63" s="109">
        <f t="shared" si="20"/>
        <v>0</v>
      </c>
      <c r="EC63" s="188">
        <f>Автовик[[#This Row],[Цена, 
юань, без НДС 1]]*EB63</f>
        <v>0</v>
      </c>
    </row>
    <row r="64" spans="1:133">
      <c r="A64" s="171"/>
      <c r="B64" s="172"/>
      <c r="C64" s="173" t="s">
        <v>305</v>
      </c>
      <c r="D64" s="173" t="s">
        <v>306</v>
      </c>
      <c r="E64" s="174">
        <v>1</v>
      </c>
      <c r="F64" s="174">
        <v>60</v>
      </c>
      <c r="G64" s="204">
        <v>2</v>
      </c>
      <c r="H64" s="205">
        <v>4640061000</v>
      </c>
      <c r="I64" s="206" t="s">
        <v>93</v>
      </c>
      <c r="J64" s="189">
        <v>743.8</v>
      </c>
      <c r="K64" s="177"/>
      <c r="L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</v>
      </c>
      <c r="R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</v>
      </c>
      <c r="S6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6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64" s="180">
        <f t="shared" si="14"/>
        <v>0</v>
      </c>
      <c r="BI64" s="181">
        <f>Автовик[[#This Row],[Цена, 
юань, без НДС 1]]*BH64</f>
        <v>0</v>
      </c>
      <c r="BJ64" s="130">
        <f t="shared" si="15"/>
        <v>1</v>
      </c>
      <c r="BK64" s="182">
        <f>Автовик[[#This Row],[Цена, 
юань, без НДС 1]]*BJ64</f>
        <v>743.8</v>
      </c>
      <c r="BL64" s="109">
        <f t="shared" si="16"/>
        <v>1</v>
      </c>
      <c r="BM64" s="183">
        <f>Автовик[[#This Row],[Цена, 
юань, без НДС 1]]*BL64</f>
        <v>743.8</v>
      </c>
      <c r="BN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64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64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64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64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64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64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64" s="180">
        <f t="shared" si="17"/>
        <v>0</v>
      </c>
      <c r="DW64" s="181">
        <f>Автовик[[#This Row],[Цена, 
юань, без НДС 1]]*DV64</f>
        <v>0</v>
      </c>
      <c r="DX64" s="185">
        <f t="shared" si="18"/>
        <v>0</v>
      </c>
      <c r="DY64" s="186">
        <f>Автовик[[#This Row],[Цена, 
юань, без НДС 1]]*DX64</f>
        <v>0</v>
      </c>
      <c r="DZ64" s="130">
        <f t="shared" si="19"/>
        <v>0</v>
      </c>
      <c r="EA64" s="187">
        <f>Автовик[[#This Row],[Цена, 
юань, без НДС 1]]*DZ64</f>
        <v>0</v>
      </c>
      <c r="EB64" s="109">
        <f t="shared" si="20"/>
        <v>0</v>
      </c>
      <c r="EC64" s="188">
        <f>Автовик[[#This Row],[Цена, 
юань, без НДС 1]]*EB64</f>
        <v>0</v>
      </c>
    </row>
    <row r="65" spans="1:133">
      <c r="A65" s="171"/>
      <c r="B65" s="172"/>
      <c r="C65" s="173" t="s">
        <v>305</v>
      </c>
      <c r="D65" s="173" t="s">
        <v>306</v>
      </c>
      <c r="E65" s="174">
        <v>1</v>
      </c>
      <c r="F65" s="174">
        <v>61</v>
      </c>
      <c r="G65" s="204">
        <v>2</v>
      </c>
      <c r="H65" s="205">
        <v>4630320200</v>
      </c>
      <c r="I65" s="206" t="s">
        <v>80</v>
      </c>
      <c r="J65" s="189">
        <v>775</v>
      </c>
      <c r="K65" s="177"/>
      <c r="L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</v>
      </c>
      <c r="R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</v>
      </c>
      <c r="S6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6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65" s="180">
        <f t="shared" si="14"/>
        <v>0</v>
      </c>
      <c r="BI65" s="181">
        <f>Автовик[[#This Row],[Цена, 
юань, без НДС 1]]*BH65</f>
        <v>0</v>
      </c>
      <c r="BJ65" s="130">
        <f t="shared" si="15"/>
        <v>1</v>
      </c>
      <c r="BK65" s="182">
        <f>Автовик[[#This Row],[Цена, 
юань, без НДС 1]]*BJ65</f>
        <v>775</v>
      </c>
      <c r="BL65" s="109">
        <f t="shared" si="16"/>
        <v>1</v>
      </c>
      <c r="BM65" s="183">
        <f>Автовик[[#This Row],[Цена, 
юань, без НДС 1]]*BL65</f>
        <v>775</v>
      </c>
      <c r="BN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65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65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65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65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65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65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65" s="180">
        <f t="shared" si="17"/>
        <v>0</v>
      </c>
      <c r="DW65" s="181">
        <f>Автовик[[#This Row],[Цена, 
юань, без НДС 1]]*DV65</f>
        <v>0</v>
      </c>
      <c r="DX65" s="185">
        <f t="shared" si="18"/>
        <v>0</v>
      </c>
      <c r="DY65" s="186">
        <f>Автовик[[#This Row],[Цена, 
юань, без НДС 1]]*DX65</f>
        <v>0</v>
      </c>
      <c r="DZ65" s="130">
        <f t="shared" si="19"/>
        <v>0</v>
      </c>
      <c r="EA65" s="187">
        <f>Автовик[[#This Row],[Цена, 
юань, без НДС 1]]*DZ65</f>
        <v>0</v>
      </c>
      <c r="EB65" s="109">
        <f t="shared" si="20"/>
        <v>0</v>
      </c>
      <c r="EC65" s="188">
        <f>Автовик[[#This Row],[Цена, 
юань, без НДС 1]]*EB65</f>
        <v>0</v>
      </c>
    </row>
    <row r="66" spans="1:133">
      <c r="A66" s="171"/>
      <c r="B66" s="172"/>
      <c r="C66" s="173" t="s">
        <v>305</v>
      </c>
      <c r="D66" s="173" t="s">
        <v>306</v>
      </c>
      <c r="E66" s="174">
        <v>1</v>
      </c>
      <c r="F66" s="174">
        <v>62</v>
      </c>
      <c r="G66" s="204">
        <v>2</v>
      </c>
      <c r="H66" s="205">
        <v>4334010030</v>
      </c>
      <c r="I66" s="206" t="s">
        <v>81</v>
      </c>
      <c r="J66" s="189">
        <v>67.3</v>
      </c>
      <c r="K66" s="177"/>
      <c r="L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1</v>
      </c>
      <c r="R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1</v>
      </c>
      <c r="S6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6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66" s="180">
        <f t="shared" si="14"/>
        <v>0</v>
      </c>
      <c r="BI66" s="181">
        <f>Автовик[[#This Row],[Цена, 
юань, без НДС 1]]*BH66</f>
        <v>0</v>
      </c>
      <c r="BJ66" s="130">
        <f t="shared" si="15"/>
        <v>1</v>
      </c>
      <c r="BK66" s="182">
        <f>Автовик[[#This Row],[Цена, 
юань, без НДС 1]]*BJ66</f>
        <v>67.3</v>
      </c>
      <c r="BL66" s="109">
        <f t="shared" si="16"/>
        <v>1</v>
      </c>
      <c r="BM66" s="183">
        <f>Автовик[[#This Row],[Цена, 
юань, без НДС 1]]*BL66</f>
        <v>67.3</v>
      </c>
      <c r="BN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66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66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66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66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66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66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66" s="180">
        <f t="shared" si="17"/>
        <v>0</v>
      </c>
      <c r="DW66" s="181">
        <f>Автовик[[#This Row],[Цена, 
юань, без НДС 1]]*DV66</f>
        <v>0</v>
      </c>
      <c r="DX66" s="185">
        <f t="shared" si="18"/>
        <v>0</v>
      </c>
      <c r="DY66" s="186">
        <f>Автовик[[#This Row],[Цена, 
юань, без НДС 1]]*DX66</f>
        <v>0</v>
      </c>
      <c r="DZ66" s="130">
        <f t="shared" si="19"/>
        <v>0</v>
      </c>
      <c r="EA66" s="187">
        <f>Автовик[[#This Row],[Цена, 
юань, без НДС 1]]*DZ66</f>
        <v>0</v>
      </c>
      <c r="EB66" s="109">
        <f t="shared" si="20"/>
        <v>0</v>
      </c>
      <c r="EC66" s="188">
        <f>Автовик[[#This Row],[Цена, 
юань, без НДС 1]]*EB66</f>
        <v>0</v>
      </c>
    </row>
    <row r="67" spans="1:133">
      <c r="A67" s="171"/>
      <c r="B67" s="172"/>
      <c r="C67" s="173"/>
      <c r="D67" s="173"/>
      <c r="E67" s="174"/>
      <c r="F67" s="174">
        <v>63</v>
      </c>
      <c r="G67" s="174">
        <v>2</v>
      </c>
      <c r="H67" s="175">
        <v>4495351500</v>
      </c>
      <c r="I67" s="176" t="s">
        <v>158</v>
      </c>
      <c r="J67" s="189">
        <f>418/1.2</f>
        <v>348.33333333333337</v>
      </c>
      <c r="K67" s="177"/>
      <c r="L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6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6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67" s="180">
        <f t="shared" si="14"/>
        <v>0</v>
      </c>
      <c r="BI67" s="181">
        <f>Автовик[[#This Row],[Цена, 
юань, без НДС 1]]*BH67</f>
        <v>0</v>
      </c>
      <c r="BJ67" s="130">
        <f t="shared" si="15"/>
        <v>0</v>
      </c>
      <c r="BK67" s="182">
        <f>Автовик[[#This Row],[Цена, 
юань, без НДС 1]]*BJ67</f>
        <v>0</v>
      </c>
      <c r="BL67" s="109">
        <f t="shared" si="16"/>
        <v>0</v>
      </c>
      <c r="BM67" s="183">
        <f>Автовик[[#This Row],[Цена, 
юань, без НДС 1]]*BL67</f>
        <v>0</v>
      </c>
      <c r="BN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67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67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67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67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67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67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67" s="180">
        <f t="shared" si="17"/>
        <v>0</v>
      </c>
      <c r="DW67" s="181">
        <f>Автовик[[#This Row],[Цена, 
юань, без НДС 1]]*DV67</f>
        <v>0</v>
      </c>
      <c r="DX67" s="185">
        <f t="shared" si="18"/>
        <v>0</v>
      </c>
      <c r="DY67" s="186">
        <f>Автовик[[#This Row],[Цена, 
юань, без НДС 1]]*DX67</f>
        <v>0</v>
      </c>
      <c r="DZ67" s="130">
        <f t="shared" si="19"/>
        <v>0</v>
      </c>
      <c r="EA67" s="187">
        <f>Автовик[[#This Row],[Цена, 
юань, без НДС 1]]*DZ67</f>
        <v>0</v>
      </c>
      <c r="EB67" s="109">
        <f t="shared" si="20"/>
        <v>0</v>
      </c>
      <c r="EC67" s="188">
        <f>Автовик[[#This Row],[Цена, 
юань, без НДС 1]]*EB67</f>
        <v>0</v>
      </c>
    </row>
    <row r="68" spans="1:133">
      <c r="A68" s="171"/>
      <c r="B68" s="172"/>
      <c r="C68" s="173" t="s">
        <v>301</v>
      </c>
      <c r="D68" s="173"/>
      <c r="E68" s="174"/>
      <c r="F68" s="174">
        <v>64</v>
      </c>
      <c r="G68" s="174">
        <v>2</v>
      </c>
      <c r="H68" s="175">
        <v>4492251200</v>
      </c>
      <c r="I68" s="176" t="s">
        <v>159</v>
      </c>
      <c r="J68" s="189">
        <f>190.1+570.3</f>
        <v>760.4</v>
      </c>
      <c r="K68" s="177"/>
      <c r="L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6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6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68" s="180">
        <f t="shared" si="14"/>
        <v>0</v>
      </c>
      <c r="BI68" s="181">
        <f>Автовик[[#This Row],[Цена, 
юань, без НДС 1]]*BH68</f>
        <v>0</v>
      </c>
      <c r="BJ68" s="130">
        <f t="shared" si="15"/>
        <v>0</v>
      </c>
      <c r="BK68" s="182">
        <f>Автовик[[#This Row],[Цена, 
юань, без НДС 1]]*BJ68</f>
        <v>0</v>
      </c>
      <c r="BL68" s="109">
        <f t="shared" si="16"/>
        <v>0</v>
      </c>
      <c r="BM68" s="183">
        <f>Автовик[[#This Row],[Цена, 
юань, без НДС 1]]*BL68</f>
        <v>0</v>
      </c>
      <c r="BN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68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68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68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68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68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68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68" s="180">
        <f t="shared" si="17"/>
        <v>0</v>
      </c>
      <c r="DW68" s="181">
        <f>Автовик[[#This Row],[Цена, 
юань, без НДС 1]]*DV68</f>
        <v>0</v>
      </c>
      <c r="DX68" s="185">
        <f t="shared" si="18"/>
        <v>0</v>
      </c>
      <c r="DY68" s="186">
        <f>Автовик[[#This Row],[Цена, 
юань, без НДС 1]]*DX68</f>
        <v>0</v>
      </c>
      <c r="DZ68" s="130">
        <f t="shared" si="19"/>
        <v>0</v>
      </c>
      <c r="EA68" s="187">
        <f>Автовик[[#This Row],[Цена, 
юань, без НДС 1]]*DZ68</f>
        <v>0</v>
      </c>
      <c r="EB68" s="109">
        <f t="shared" si="20"/>
        <v>0</v>
      </c>
      <c r="EC68" s="188">
        <f>Автовик[[#This Row],[Цена, 
юань, без НДС 1]]*EB68</f>
        <v>0</v>
      </c>
    </row>
    <row r="69" spans="1:133" ht="28.8">
      <c r="A69" s="171"/>
      <c r="B69" s="172"/>
      <c r="C69" s="173"/>
      <c r="D69" s="173"/>
      <c r="E69" s="174"/>
      <c r="F69" s="174">
        <v>65</v>
      </c>
      <c r="G69" s="174"/>
      <c r="H69" s="175">
        <v>4801020640</v>
      </c>
      <c r="I69" s="176" t="s">
        <v>307</v>
      </c>
      <c r="J69" s="189">
        <v>4783.9506172839501</v>
      </c>
      <c r="K69" s="177"/>
      <c r="L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6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6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69" s="180">
        <f t="shared" si="14"/>
        <v>0</v>
      </c>
      <c r="BI69" s="181">
        <f>Автовик[[#This Row],[Цена, 
юань, без НДС 1]]*BH69</f>
        <v>0</v>
      </c>
      <c r="BJ69" s="130">
        <f t="shared" si="15"/>
        <v>0</v>
      </c>
      <c r="BK69" s="182">
        <f>Автовик[[#This Row],[Цена, 
юань, без НДС 1]]*BJ69</f>
        <v>0</v>
      </c>
      <c r="BL69" s="109">
        <f t="shared" si="16"/>
        <v>0</v>
      </c>
      <c r="BM69" s="183">
        <f>Автовик[[#This Row],[Цена, 
юань, без НДС 1]]*BL69</f>
        <v>0</v>
      </c>
      <c r="BN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69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69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69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69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69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69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69" s="180">
        <f t="shared" si="17"/>
        <v>0</v>
      </c>
      <c r="DW69" s="181">
        <f>Автовик[[#This Row],[Цена, 
юань, без НДС 1]]*DV69</f>
        <v>0</v>
      </c>
      <c r="DX69" s="185">
        <f t="shared" si="18"/>
        <v>0</v>
      </c>
      <c r="DY69" s="186">
        <f>Автовик[[#This Row],[Цена, 
юань, без НДС 1]]*DX69</f>
        <v>0</v>
      </c>
      <c r="DZ69" s="130">
        <f t="shared" si="19"/>
        <v>0</v>
      </c>
      <c r="EA69" s="187">
        <f>Автовик[[#This Row],[Цена, 
юань, без НДС 1]]*DZ69</f>
        <v>0</v>
      </c>
      <c r="EB69" s="109">
        <f t="shared" si="20"/>
        <v>0</v>
      </c>
      <c r="EC69" s="188">
        <f>Автовик[[#This Row],[Цена, 
юань, без НДС 1]]*EB69</f>
        <v>0</v>
      </c>
    </row>
    <row r="70" spans="1:133">
      <c r="A70" s="171"/>
      <c r="B70" s="172"/>
      <c r="C70" s="173"/>
      <c r="D70" s="173"/>
      <c r="E70" s="174"/>
      <c r="F70" s="174">
        <v>66</v>
      </c>
      <c r="G70" s="174"/>
      <c r="H70" s="175"/>
      <c r="I70" s="176"/>
      <c r="J70" s="189"/>
      <c r="K70" s="177"/>
      <c r="L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Row],[Раздел]])*АВТОВИК_разбивка!L$5:L$254)</f>
        <v>0</v>
      </c>
      <c r="M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Row],[Раздел]])*АВТОВИК_разбивка!M$5:M$254)</f>
        <v>0</v>
      </c>
      <c r="N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Row],[Раздел]])*АВТОВИК_разбивка!N$5:N$254)</f>
        <v>0</v>
      </c>
      <c r="O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Row],[Раздел]])*АВТОВИК_разбивка!O$5:O$254)</f>
        <v>0</v>
      </c>
      <c r="P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Row],[Раздел]])*АВТОВИК_разбивка!P$5:P$254)</f>
        <v>0</v>
      </c>
      <c r="Q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Row],[Раздел]])*АВТОВИК_разбивка!Q$5:Q$254)</f>
        <v>0</v>
      </c>
      <c r="R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Row],[Раздел]])*АВТОВИК_разбивка!R$5:R$254)</f>
        <v>0</v>
      </c>
      <c r="S7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Row],[Раздел]])*АВТОВИК_разбивка!S$5:S$254)</f>
        <v>0</v>
      </c>
      <c r="T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Row],[Раздел]])*АВТОВИК_разбивка!T$5:T$254)</f>
        <v>0</v>
      </c>
      <c r="U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Row],[Раздел]])*АВТОВИК_разбивка!U$5:U$254)</f>
        <v>0</v>
      </c>
      <c r="V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Row],[Раздел]])*АВТОВИК_разбивка!V$5:V$254)</f>
        <v>0</v>
      </c>
      <c r="W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Row],[Раздел]])*АВТОВИК_разбивка!W$5:W$254)</f>
        <v>0</v>
      </c>
      <c r="X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Row],[Раздел]])*АВТОВИК_разбивка!X$5:X$254)</f>
        <v>0</v>
      </c>
      <c r="Y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Row],[Раздел]])*АВТОВИК_разбивка!Y$5:Y$254)</f>
        <v>0</v>
      </c>
      <c r="Z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Row],[Раздел]])*АВТОВИК_разбивка!Z$5:Z$254)</f>
        <v>0</v>
      </c>
      <c r="AA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Row],[Раздел]])*АВТОВИК_разбивка!AA$5:AA$254)</f>
        <v>0</v>
      </c>
      <c r="AB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Row],[Раздел]])*АВТОВИК_разбивка!AB$5:AB$254)</f>
        <v>0</v>
      </c>
      <c r="AC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Row],[Раздел]])*АВТОВИК_разбивка!AC$5:AC$254)</f>
        <v>0</v>
      </c>
      <c r="AD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Row],[Раздел]])*АВТОВИК_разбивка!AD$5:AD$254)</f>
        <v>0</v>
      </c>
      <c r="AE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Row],[Раздел]])*АВТОВИК_разбивка!AE$5:AE$254)</f>
        <v>0</v>
      </c>
      <c r="AF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Row],[Раздел]])*АВТОВИК_разбивка!AF$5:AF$254)</f>
        <v>0</v>
      </c>
      <c r="AG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Row],[Раздел]])*АВТОВИК_разбивка!AG$5:AG$254)</f>
        <v>0</v>
      </c>
      <c r="AH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Row],[Раздел]])*АВТОВИК_разбивка!AH$5:AH$254)</f>
        <v>0</v>
      </c>
      <c r="AI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Row],[Раздел]])*АВТОВИК_разбивка!AI$5:AI$254)</f>
        <v>0</v>
      </c>
      <c r="AJ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Row],[Раздел]])*АВТОВИК_разбивка!AJ$5:AJ$254)</f>
        <v>0</v>
      </c>
      <c r="AK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Row],[Раздел]])*АВТОВИК_разбивка!AK$5:AK$254)</f>
        <v>0</v>
      </c>
      <c r="AL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Row],[Раздел]])*АВТОВИК_разбивка!AL$5:AL$254)</f>
        <v>0</v>
      </c>
      <c r="AM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Row],[Раздел]])*АВТОВИК_разбивка!AM$5:AM$254)</f>
        <v>0</v>
      </c>
      <c r="AN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Row],[Раздел]])*АВТОВИК_разбивка!AN$5:AN$254)</f>
        <v>0</v>
      </c>
      <c r="AO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Row],[Раздел]])*АВТОВИК_разбивка!AO$5:AO$254)</f>
        <v>0</v>
      </c>
      <c r="AP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Row],[Раздел]])*АВТОВИК_разбивка!AP$5:AP$254)</f>
        <v>0</v>
      </c>
      <c r="AQ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Row],[Раздел]])*АВТОВИК_разбивка!AQ$5:AQ$254)</f>
        <v>0</v>
      </c>
      <c r="AR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Row],[Раздел]])*АВТОВИК_разбивка!AR$5:AR$254)</f>
        <v>0</v>
      </c>
      <c r="AS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Row],[Раздел]])*АВТОВИК_разбивка!AS$5:AS$254)</f>
        <v>0</v>
      </c>
      <c r="AT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Row],[Раздел]])*АВТОВИК_разбивка!AT$5:AT$254)</f>
        <v>0</v>
      </c>
      <c r="AU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Row],[Раздел]])*АВТОВИК_разбивка!AU$5:AU$254)</f>
        <v>0</v>
      </c>
      <c r="AV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Row],[Раздел]])*АВТОВИК_разбивка!AV$5:AV$254)</f>
        <v>0</v>
      </c>
      <c r="AW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Row],[Раздел]])*АВТОВИК_разбивка!AW$5:AW$254)</f>
        <v>0</v>
      </c>
      <c r="AX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Row],[Раздел]])*АВТОВИК_разбивка!AX$5:AX$254)</f>
        <v>0</v>
      </c>
      <c r="AY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Row],[Раздел]])*АВТОВИК_разбивка!AY$5:AY$254)</f>
        <v>0</v>
      </c>
      <c r="AZ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Row],[Раздел]])*АВТОВИК_разбивка!AZ$5:AZ$254)</f>
        <v>0</v>
      </c>
      <c r="BA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Row],[Раздел]])*АВТОВИК_разбивка!BA$5:BA$254)</f>
        <v>0</v>
      </c>
      <c r="BB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Row],[Раздел]])*АВТОВИК_разбивка!BB$5:BB$254)</f>
        <v>0</v>
      </c>
      <c r="BC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Row],[Раздел]])*АВТОВИК_разбивка!BC$5:BC$254)</f>
        <v>0</v>
      </c>
      <c r="BD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Row],[Раздел]])*АВТОВИК_разбивка!BD$5:BD$254)</f>
        <v>0</v>
      </c>
      <c r="BE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Row],[Раздел]])*АВТОВИК_разбивка!BE$5:BE$254)</f>
        <v>0</v>
      </c>
      <c r="BF7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Row],[Раздел]])*АВТОВИК_разбивка!BF$5:BF$254)</f>
        <v>0</v>
      </c>
      <c r="BG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Row],[Раздел]])*АВТОВИК_разбивка!BG$5:BG$254)</f>
        <v>0</v>
      </c>
      <c r="BH70" s="180">
        <f t="shared" si="14"/>
        <v>0</v>
      </c>
      <c r="BI70" s="181">
        <f>Автовик[[#This Row],[Цена, 
юань, без НДС 1]]*BH70</f>
        <v>0</v>
      </c>
      <c r="BJ70" s="130">
        <f t="shared" si="15"/>
        <v>0</v>
      </c>
      <c r="BK70" s="182">
        <f>Автовик[[#This Row],[Цена, 
юань, без НДС 1]]*BJ70</f>
        <v>0</v>
      </c>
      <c r="BL70" s="109">
        <f t="shared" si="16"/>
        <v>0</v>
      </c>
      <c r="BM70" s="183">
        <f>Автовик[[#This Row],[Цена, 
юань, без НДС 1]]*BL70</f>
        <v>0</v>
      </c>
      <c r="BN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Row],[Раздел]])*АВТОВИК_разбивка!BN$5:BN$254)</f>
        <v>0</v>
      </c>
      <c r="BO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Row],[Раздел]])*АВТОВИК_разбивка!BO$5:BO$254)</f>
        <v>0</v>
      </c>
      <c r="BP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Row],[Раздел]])*АВТОВИК_разбивка!BP$5:BP$254)</f>
        <v>0</v>
      </c>
      <c r="BQ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Row],[Раздел]])*АВТОВИК_разбивка!BQ$5:BQ$254)</f>
        <v>0</v>
      </c>
      <c r="BR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Row],[Раздел]])*АВТОВИК_разбивка!BR$5:BR$254)</f>
        <v>0</v>
      </c>
      <c r="BS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Row],[Раздел]])*АВТОВИК_разбивка!BS$5:BS$254)</f>
        <v>0</v>
      </c>
      <c r="BT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Row],[Раздел]])*АВТОВИК_разбивка!BT$5:BT$254)</f>
        <v>0</v>
      </c>
      <c r="BU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Row],[Раздел]])*АВТОВИК_разбивка!BU$5:BU$254)</f>
        <v>0</v>
      </c>
      <c r="BV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Row],[Раздел]])*АВТОВИК_разбивка!BV$5:BV$254)</f>
        <v>0</v>
      </c>
      <c r="BW70" s="2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Row],[Раздел]])*АВТОВИК_разбивка!BW$5:BW$254)</f>
        <v>0</v>
      </c>
      <c r="BX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Row],[Раздел]])*АВТОВИК_разбивка!BX$5:BX$254)</f>
        <v>0</v>
      </c>
      <c r="BY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Row],[Раздел]])*АВТОВИК_разбивка!BY$5:BY$254)</f>
        <v>0</v>
      </c>
      <c r="BZ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Row],[Раздел]])*АВТОВИК_разбивка!BZ$5:BZ$254)</f>
        <v>0</v>
      </c>
      <c r="CA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Row],[Раздел]])*АВТОВИК_разбивка!CA$5:CA$254)</f>
        <v>0</v>
      </c>
      <c r="CB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Row],[Раздел]])*АВТОВИК_разбивка!CB$5:CB$254)</f>
        <v>0</v>
      </c>
      <c r="CC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Row],[Раздел]])*АВТОВИК_разбивка!CC$5:CC$254)</f>
        <v>0</v>
      </c>
      <c r="CD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Row],[Раздел]])*АВТОВИК_разбивка!CD$5:CD$254)</f>
        <v>0</v>
      </c>
      <c r="CE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Row],[Раздел]])*АВТОВИК_разбивка!CE$5:CE$254)</f>
        <v>0</v>
      </c>
      <c r="CF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Row],[Раздел]])*АВТОВИК_разбивка!CF$5:CF$254)</f>
        <v>0</v>
      </c>
      <c r="CG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Row],[Раздел]])*АВТОВИК_разбивка!CG$5:CG$254)</f>
        <v>0</v>
      </c>
      <c r="CH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Row],[Раздел]])*АВТОВИК_разбивка!CH$5:CH$254)</f>
        <v>0</v>
      </c>
      <c r="CI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Row],[Раздел]])*АВТОВИК_разбивка!CI$5:CI$254)</f>
        <v>0</v>
      </c>
      <c r="CJ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Row],[Раздел]])*АВТОВИК_разбивка!CJ$5:CJ$254)</f>
        <v>0</v>
      </c>
      <c r="CK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Row],[Раздел]])*АВТОВИК_разбивка!CK$5:CK$254)</f>
        <v>0</v>
      </c>
      <c r="CL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Row],[Раздел]])*АВТОВИК_разбивка!CL$5:CL$254)</f>
        <v>0</v>
      </c>
      <c r="CM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Row],[Раздел]])*АВТОВИК_разбивка!CM$5:CM$254)</f>
        <v>0</v>
      </c>
      <c r="CN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Row],[Раздел]])*АВТОВИК_разбивка!CN$5:CN$254)</f>
        <v>0</v>
      </c>
      <c r="CO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Row],[Раздел]])*АВТОВИК_разбивка!CO$5:CO$254)</f>
        <v>0</v>
      </c>
      <c r="CP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Row],[Раздел]])*АВТОВИК_разбивка!CP$5:CP$254)</f>
        <v>0</v>
      </c>
      <c r="CQ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Row],[Раздел]])*АВТОВИК_разбивка!CQ$5:CQ$254)</f>
        <v>0</v>
      </c>
      <c r="CR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Row],[Раздел]])*АВТОВИК_разбивка!CR$5:CR$254)</f>
        <v>0</v>
      </c>
      <c r="CS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Row],[Раздел]])*АВТОВИК_разбивка!CS$5:CS$254)</f>
        <v>0</v>
      </c>
      <c r="CT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Row],[Раздел]])*АВТОВИК_разбивка!CT$5:CT$254)</f>
        <v>0</v>
      </c>
      <c r="CU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Row],[Раздел]])*АВТОВИК_разбивка!CU$5:CU$254)</f>
        <v>0</v>
      </c>
      <c r="CV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Row],[Раздел]])*АВТОВИК_разбивка!CV$5:CV$254)</f>
        <v>0</v>
      </c>
      <c r="CW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Row],[Раздел]])*АВТОВИК_разбивка!CW$5:CW$254)</f>
        <v>0</v>
      </c>
      <c r="CX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Row],[Раздел]])*АВТОВИК_разбивка!CX$5:CX$254)</f>
        <v>0</v>
      </c>
      <c r="CY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Row],[Раздел]])*АВТОВИК_разбивка!CY$5:CY$254)</f>
        <v>0</v>
      </c>
      <c r="CZ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Row],[Раздел]])*АВТОВИК_разбивка!CZ$5:CZ$254)</f>
        <v>0</v>
      </c>
      <c r="DA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Row],[Раздел]])*АВТОВИК_разбивка!DA$5:DA$254)</f>
        <v>0</v>
      </c>
      <c r="DB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Row],[Раздел]])*АВТОВИК_разбивка!DB$5:DB$254)</f>
        <v>0</v>
      </c>
      <c r="DC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Row],[Раздел]])*АВТОВИК_разбивка!DC$5:DC$254)</f>
        <v>0</v>
      </c>
      <c r="DD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Row],[Раздел]])*АВТОВИК_разбивка!DD$5:DD$254)</f>
        <v>0</v>
      </c>
      <c r="DE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Row],[Раздел]])*АВТОВИК_разбивка!DE$5:DE$254)</f>
        <v>0</v>
      </c>
      <c r="DF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Row],[Раздел]])*АВТОВИК_разбивка!DF$5:DF$254)</f>
        <v>0</v>
      </c>
      <c r="DG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Row],[Раздел]])*АВТОВИК_разбивка!DG$5:DG$254)</f>
        <v>0</v>
      </c>
      <c r="DH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Row],[Раздел]])*АВТОВИК_разбивка!DH$5:DH$254)</f>
        <v>0</v>
      </c>
      <c r="DI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Row],[Раздел]])*АВТОВИК_разбивка!DI$5:DI$254)</f>
        <v>0</v>
      </c>
      <c r="DJ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Row],[Раздел]])*АВТОВИК_разбивка!DJ$5:DJ$254)</f>
        <v>0</v>
      </c>
      <c r="DK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Row],[Раздел]])*АВТОВИК_разбивка!DK$5:DK$254)</f>
        <v>0</v>
      </c>
      <c r="DL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Row],[Раздел]])*АВТОВИК_разбивка!DL$5:DL$254)</f>
        <v>0</v>
      </c>
      <c r="DM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Row],[Раздел]])*АВТОВИК_разбивка!DM$5:DM$254)</f>
        <v>0</v>
      </c>
      <c r="DN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Row],[Раздел]])*АВТОВИК_разбивка!DN$5:DN$254)</f>
        <v>0</v>
      </c>
      <c r="DO70" s="17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Row],[Раздел]])*АВТОВИК_разбивка!DO$5:DO$254)</f>
        <v>0</v>
      </c>
      <c r="DP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Row],[Раздел]])*АВТОВИК_разбивка!DP$5:DP$254)</f>
        <v>0</v>
      </c>
      <c r="DQ70" s="178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Row],[Раздел]])*АВТОВИК_разбивка!DQ$5:DQ$254)</f>
        <v>0</v>
      </c>
      <c r="DR70" s="184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Row],[Раздел]])*АВТОВИК_разбивка!DR$5:DR$254)</f>
        <v>0</v>
      </c>
      <c r="DS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Row],[Раздел]])*АВТОВИК_разбивка!DS$5:DS$254)</f>
        <v>0</v>
      </c>
      <c r="DT70" s="109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Row],[Раздел]])*АВТОВИК_разбивка!DT$5:DT$254)</f>
        <v>0</v>
      </c>
      <c r="DU70" s="130">
        <f>SUMPRODUCT((Автовик_разбивка[Номер изделия/ артикул]=Автовик[[#This Row],[Номер изделия/ артикул]])*(Автовик_разбивка[2 - продукт WABCO]=Автовик[[#This Row],[2 - продукт WABCO]])*(Автовик_разбивка[Раздел]=Автовик[[#This Row],[Раздел]])*АВТОВИК_разбивка!DU$5:DU$254)</f>
        <v>0</v>
      </c>
      <c r="DV70" s="180">
        <f t="shared" si="17"/>
        <v>0</v>
      </c>
      <c r="DW70" s="181">
        <f>Автовик[[#This Row],[Цена, 
юань, без НДС 1]]*DV70</f>
        <v>0</v>
      </c>
      <c r="DX70" s="185">
        <f t="shared" si="18"/>
        <v>0</v>
      </c>
      <c r="DY70" s="186">
        <f>Автовик[[#This Row],[Цена, 
юань, без НДС 1]]*DX70</f>
        <v>0</v>
      </c>
      <c r="DZ70" s="130">
        <f t="shared" si="19"/>
        <v>0</v>
      </c>
      <c r="EA70" s="187">
        <f>Автовик[[#This Row],[Цена, 
юань, без НДС 1]]*DZ70</f>
        <v>0</v>
      </c>
      <c r="EB70" s="109">
        <f t="shared" si="20"/>
        <v>0</v>
      </c>
      <c r="EC70" s="188">
        <f>Автовик[[#This Row],[Цена, 
юань, без НДС 1]]*EB70</f>
        <v>0</v>
      </c>
    </row>
    <row r="71" spans="1:133">
      <c r="A71" s="207"/>
      <c r="B71" s="208"/>
      <c r="C71" s="209"/>
      <c r="D71" s="209"/>
      <c r="E71" s="12"/>
      <c r="F71" s="12"/>
      <c r="G71" s="12"/>
      <c r="H71" s="210"/>
      <c r="I71" s="211" t="s">
        <v>308</v>
      </c>
      <c r="J71" s="212"/>
      <c r="K71" s="213"/>
      <c r="L71" s="214">
        <f>SUM(L$5:L$70)</f>
        <v>3184</v>
      </c>
      <c r="M71" s="215">
        <f>SUM(M$5:M$70)</f>
        <v>3234</v>
      </c>
      <c r="N71" s="216">
        <f>SUM(N$5:N$70)</f>
        <v>1624</v>
      </c>
      <c r="O71" s="215"/>
      <c r="P71" s="214">
        <f>SUM(P$5:P$70)</f>
        <v>3280</v>
      </c>
      <c r="Q71" s="215">
        <f>SUM(Q$5:Q$70)</f>
        <v>2219</v>
      </c>
      <c r="R71" s="216">
        <f>SUM(R$5:R$70)</f>
        <v>1326</v>
      </c>
      <c r="S71" s="215"/>
      <c r="T71" s="214">
        <f>SUM(T$5:T$70)</f>
        <v>3400</v>
      </c>
      <c r="U71" s="215">
        <f>SUM(U$5:U$70)</f>
        <v>3140</v>
      </c>
      <c r="V71" s="216">
        <f>SUM(V$5:V$70)</f>
        <v>2252</v>
      </c>
      <c r="W71" s="215"/>
      <c r="X71" s="214">
        <f>SUM(X$5:X$70)</f>
        <v>3460</v>
      </c>
      <c r="Y71" s="215">
        <f>SUM(Y$5:Y$70)</f>
        <v>2370</v>
      </c>
      <c r="Z71" s="216">
        <f>SUM(Z$5:Z$70)</f>
        <v>2132</v>
      </c>
      <c r="AA71" s="215"/>
      <c r="AB71" s="214">
        <f>SUM(AB$5:AB$70)</f>
        <v>3460</v>
      </c>
      <c r="AC71" s="215">
        <f>SUM(AC$5:AC$70)</f>
        <v>2370</v>
      </c>
      <c r="AD71" s="216">
        <f>SUM(AD$5:AD$70)</f>
        <v>0</v>
      </c>
      <c r="AE71" s="215"/>
      <c r="AF71" s="214">
        <f>SUM(AF$5:AF$70)</f>
        <v>3460</v>
      </c>
      <c r="AG71" s="215">
        <f>SUM(AG$5:AG$70)</f>
        <v>2370</v>
      </c>
      <c r="AH71" s="216">
        <f>SUM(AH$5:AH$70)</f>
        <v>0</v>
      </c>
      <c r="AI71" s="215"/>
      <c r="AJ71" s="214">
        <f>SUM(AJ$5:AJ$70)</f>
        <v>3460</v>
      </c>
      <c r="AK71" s="215">
        <f>SUM(AK$5:AK$70)</f>
        <v>2430</v>
      </c>
      <c r="AL71" s="216">
        <f>SUM(AL$5:AL$70)</f>
        <v>0</v>
      </c>
      <c r="AM71" s="215"/>
      <c r="AN71" s="214">
        <f>SUM(AN$5:AN$70)</f>
        <v>3460</v>
      </c>
      <c r="AO71" s="215">
        <f>SUM(AO$5:AO$70)</f>
        <v>1390</v>
      </c>
      <c r="AP71" s="216">
        <f>SUM(AP$5:AP$70)</f>
        <v>0</v>
      </c>
      <c r="AQ71" s="215"/>
      <c r="AR71" s="214">
        <f>SUM(AR$5:AR$70)</f>
        <v>3460</v>
      </c>
      <c r="AS71" s="215">
        <f>SUM(AS$5:AS$70)</f>
        <v>2010</v>
      </c>
      <c r="AT71" s="216">
        <f>SUM(AT$5:AT$70)</f>
        <v>0</v>
      </c>
      <c r="AU71" s="215"/>
      <c r="AV71" s="214">
        <f>SUM(AV$5:AV$70)</f>
        <v>3460</v>
      </c>
      <c r="AW71" s="215">
        <f>SUM(AW$5:AW$70)</f>
        <v>1824</v>
      </c>
      <c r="AX71" s="216">
        <f>SUM(AX$5:AX$70)</f>
        <v>0</v>
      </c>
      <c r="AY71" s="215"/>
      <c r="AZ71" s="214">
        <f>SUM(AZ$5:AZ$70)</f>
        <v>3460</v>
      </c>
      <c r="BA71" s="215">
        <f>SUM(BA$5:BA$70)</f>
        <v>2125</v>
      </c>
      <c r="BB71" s="216">
        <f>SUM(BB$5:BB$70)</f>
        <v>0</v>
      </c>
      <c r="BC71" s="215"/>
      <c r="BD71" s="214">
        <f>SUM(BD$5:BD$70)</f>
        <v>3460</v>
      </c>
      <c r="BE71" s="215">
        <f>SUM(BE$5:BE$70)</f>
        <v>2240</v>
      </c>
      <c r="BF71" s="217">
        <f>SUM(BF$5:BF$70)</f>
        <v>0</v>
      </c>
      <c r="BG71" s="215"/>
      <c r="BH71" s="218">
        <f t="shared" ref="BH71:CM71" si="21">SUM(BH$5:BH$70)</f>
        <v>41004</v>
      </c>
      <c r="BI71" s="218">
        <f t="shared" si="21"/>
        <v>18083890.833333336</v>
      </c>
      <c r="BJ71" s="215">
        <f t="shared" si="21"/>
        <v>27722</v>
      </c>
      <c r="BK71" s="215">
        <f t="shared" si="21"/>
        <v>13561834.30000001</v>
      </c>
      <c r="BL71" s="217">
        <f t="shared" si="21"/>
        <v>7334</v>
      </c>
      <c r="BM71" s="217">
        <f t="shared" si="21"/>
        <v>3652471.1333333324</v>
      </c>
      <c r="BN71" s="214">
        <f t="shared" si="21"/>
        <v>0</v>
      </c>
      <c r="BO71" s="219">
        <f t="shared" si="21"/>
        <v>0</v>
      </c>
      <c r="BP71" s="215">
        <f t="shared" si="21"/>
        <v>1130</v>
      </c>
      <c r="BQ71" s="216">
        <f t="shared" si="21"/>
        <v>0</v>
      </c>
      <c r="BR71" s="215">
        <f t="shared" si="21"/>
        <v>0</v>
      </c>
      <c r="BS71" s="214">
        <f t="shared" si="21"/>
        <v>0</v>
      </c>
      <c r="BT71" s="219">
        <f t="shared" si="21"/>
        <v>0</v>
      </c>
      <c r="BU71" s="215">
        <f t="shared" si="21"/>
        <v>1470</v>
      </c>
      <c r="BV71" s="216">
        <f t="shared" si="21"/>
        <v>0</v>
      </c>
      <c r="BW71" s="215">
        <f t="shared" si="21"/>
        <v>0</v>
      </c>
      <c r="BX71" s="214">
        <f t="shared" si="21"/>
        <v>0</v>
      </c>
      <c r="BY71" s="219">
        <f t="shared" si="21"/>
        <v>0</v>
      </c>
      <c r="BZ71" s="215">
        <f t="shared" si="21"/>
        <v>1750</v>
      </c>
      <c r="CA71" s="216">
        <f t="shared" si="21"/>
        <v>0</v>
      </c>
      <c r="CB71" s="215">
        <f t="shared" si="21"/>
        <v>0</v>
      </c>
      <c r="CC71" s="214">
        <f t="shared" si="21"/>
        <v>0</v>
      </c>
      <c r="CD71" s="219">
        <f t="shared" si="21"/>
        <v>0</v>
      </c>
      <c r="CE71" s="215">
        <f t="shared" si="21"/>
        <v>1990</v>
      </c>
      <c r="CF71" s="216">
        <f t="shared" si="21"/>
        <v>0</v>
      </c>
      <c r="CG71" s="215">
        <f t="shared" si="21"/>
        <v>0</v>
      </c>
      <c r="CH71" s="214">
        <f t="shared" si="21"/>
        <v>0</v>
      </c>
      <c r="CI71" s="219">
        <f t="shared" si="21"/>
        <v>0</v>
      </c>
      <c r="CJ71" s="215">
        <f t="shared" si="21"/>
        <v>2030</v>
      </c>
      <c r="CK71" s="216">
        <f t="shared" si="21"/>
        <v>0</v>
      </c>
      <c r="CL71" s="215">
        <f t="shared" si="21"/>
        <v>0</v>
      </c>
      <c r="CM71" s="214">
        <f t="shared" si="21"/>
        <v>0</v>
      </c>
      <c r="CN71" s="219">
        <f t="shared" ref="CN71:DW71" si="22">SUM(CN$5:CN$70)</f>
        <v>0</v>
      </c>
      <c r="CO71" s="215">
        <f t="shared" si="22"/>
        <v>2090</v>
      </c>
      <c r="CP71" s="216">
        <f t="shared" si="22"/>
        <v>0</v>
      </c>
      <c r="CQ71" s="215">
        <f t="shared" si="22"/>
        <v>0</v>
      </c>
      <c r="CR71" s="214">
        <f t="shared" si="22"/>
        <v>0</v>
      </c>
      <c r="CS71" s="219">
        <f t="shared" si="22"/>
        <v>0</v>
      </c>
      <c r="CT71" s="215">
        <f t="shared" si="22"/>
        <v>2030</v>
      </c>
      <c r="CU71" s="216">
        <f t="shared" si="22"/>
        <v>0</v>
      </c>
      <c r="CV71" s="215">
        <f t="shared" si="22"/>
        <v>0</v>
      </c>
      <c r="CW71" s="214">
        <f t="shared" si="22"/>
        <v>0</v>
      </c>
      <c r="CX71" s="219">
        <f t="shared" si="22"/>
        <v>0</v>
      </c>
      <c r="CY71" s="215">
        <f t="shared" si="22"/>
        <v>2090</v>
      </c>
      <c r="CZ71" s="216">
        <f t="shared" si="22"/>
        <v>0</v>
      </c>
      <c r="DA71" s="215">
        <f t="shared" si="22"/>
        <v>0</v>
      </c>
      <c r="DB71" s="214">
        <f t="shared" si="22"/>
        <v>0</v>
      </c>
      <c r="DC71" s="219">
        <f t="shared" si="22"/>
        <v>0</v>
      </c>
      <c r="DD71" s="215">
        <f t="shared" si="22"/>
        <v>2030</v>
      </c>
      <c r="DE71" s="216">
        <f t="shared" si="22"/>
        <v>0</v>
      </c>
      <c r="DF71" s="215">
        <f t="shared" si="22"/>
        <v>0</v>
      </c>
      <c r="DG71" s="214">
        <f t="shared" si="22"/>
        <v>0</v>
      </c>
      <c r="DH71" s="219">
        <f t="shared" si="22"/>
        <v>0</v>
      </c>
      <c r="DI71" s="215">
        <f t="shared" si="22"/>
        <v>2090</v>
      </c>
      <c r="DJ71" s="216">
        <f t="shared" si="22"/>
        <v>0</v>
      </c>
      <c r="DK71" s="215">
        <f t="shared" si="22"/>
        <v>0</v>
      </c>
      <c r="DL71" s="214">
        <f t="shared" si="22"/>
        <v>0</v>
      </c>
      <c r="DM71" s="219">
        <f t="shared" si="22"/>
        <v>0</v>
      </c>
      <c r="DN71" s="215">
        <f t="shared" si="22"/>
        <v>2030</v>
      </c>
      <c r="DO71" s="216">
        <f t="shared" si="22"/>
        <v>0</v>
      </c>
      <c r="DP71" s="215">
        <f t="shared" si="22"/>
        <v>0</v>
      </c>
      <c r="DQ71" s="214">
        <f t="shared" si="22"/>
        <v>0</v>
      </c>
      <c r="DR71" s="219">
        <f t="shared" si="22"/>
        <v>0</v>
      </c>
      <c r="DS71" s="215">
        <f t="shared" si="22"/>
        <v>2330</v>
      </c>
      <c r="DT71" s="217">
        <f t="shared" si="22"/>
        <v>0</v>
      </c>
      <c r="DU71" s="215">
        <f t="shared" si="22"/>
        <v>0</v>
      </c>
      <c r="DV71" s="218">
        <f t="shared" si="22"/>
        <v>0</v>
      </c>
      <c r="DW71" s="218">
        <f t="shared" si="22"/>
        <v>0</v>
      </c>
      <c r="DX71" s="218"/>
      <c r="DY71" s="218"/>
      <c r="DZ71" s="215">
        <f>SUM(DZ$5:DZ$70)</f>
        <v>23060</v>
      </c>
      <c r="EA71" s="215">
        <f>SUM(EA$5:EA$70)</f>
        <v>11531843.333333334</v>
      </c>
      <c r="EB71" s="217">
        <f>SUM(EB$5:EB$70)</f>
        <v>0</v>
      </c>
      <c r="EC71" s="220">
        <f>SUM(EC$5:EC$70)</f>
        <v>0</v>
      </c>
    </row>
    <row r="73" spans="1:133" ht="61.2">
      <c r="A73" s="770" t="s">
        <v>309</v>
      </c>
      <c r="B73" s="770"/>
      <c r="C73" s="770"/>
      <c r="D73" s="770"/>
      <c r="E73" s="770"/>
      <c r="F73" s="770"/>
      <c r="G73" s="770"/>
      <c r="H73" s="770"/>
      <c r="I73" s="770"/>
    </row>
  </sheetData>
  <sheetProtection formatCells="0" formatColumns="0" formatRows="0" insertColumns="0" insertRows="0" insertHyperlinks="0" deleteColumns="0" deleteRows="0" sort="0" autoFilter="0" pivotTables="0"/>
  <mergeCells count="30">
    <mergeCell ref="J2:BM2"/>
    <mergeCell ref="BN2:EC2"/>
    <mergeCell ref="A3:G3"/>
    <mergeCell ref="L3:O3"/>
    <mergeCell ref="P3:S3"/>
    <mergeCell ref="T3:W3"/>
    <mergeCell ref="X3:AA3"/>
    <mergeCell ref="AB3:AE3"/>
    <mergeCell ref="AF3:AI3"/>
    <mergeCell ref="AJ3:AM3"/>
    <mergeCell ref="AN3:AQ3"/>
    <mergeCell ref="AR3:AU3"/>
    <mergeCell ref="AV3:AY3"/>
    <mergeCell ref="AZ3:BC3"/>
    <mergeCell ref="BD3:BG3"/>
    <mergeCell ref="BH3:BM3"/>
    <mergeCell ref="DL3:DP3"/>
    <mergeCell ref="DQ3:DU3"/>
    <mergeCell ref="DV3:EC3"/>
    <mergeCell ref="A73:I73"/>
    <mergeCell ref="CM3:CQ3"/>
    <mergeCell ref="CR3:CV3"/>
    <mergeCell ref="CW3:DA3"/>
    <mergeCell ref="DB3:DF3"/>
    <mergeCell ref="DG3:DK3"/>
    <mergeCell ref="BN3:BR3"/>
    <mergeCell ref="BS3:BW3"/>
    <mergeCell ref="BX3:CB3"/>
    <mergeCell ref="CC3:CG3"/>
    <mergeCell ref="CH3:CL3"/>
  </mergeCells>
  <conditionalFormatting sqref="H22:H31">
    <cfRule type="duplicateValues" dxfId="31" priority="4"/>
  </conditionalFormatting>
  <conditionalFormatting sqref="H32:H35">
    <cfRule type="duplicateValues" dxfId="30" priority="3"/>
  </conditionalFormatting>
  <conditionalFormatting sqref="H53:H66">
    <cfRule type="duplicateValues" dxfId="29" priority="2"/>
  </conditionalFormatting>
  <pageMargins left="0.7" right="0.7" top="0.75" bottom="0.75" header="0.3" footer="0.3"/>
  <pageSetup paperSize="9" orientation="portrait"/>
  <legacy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003004B-00B2-486B-B785-001600AA00BB}">
            <xm:f>NOT(ISERROR(SEARCH($H$3,H3)))</xm:f>
            <xm:f>$H$3</xm:f>
            <x14:dxf>
              <fill>
                <patternFill patternType="solid">
                  <fgColor theme="4" tint="0.59996337778862885"/>
                  <bgColor theme="4" tint="0.59996337778862885"/>
                </patternFill>
              </fill>
            </x14:dxf>
          </x14:cfRule>
          <xm:sqref>H3 H5:H70</xm:sqref>
        </x14:conditionalFormatting>
        <x14:conditionalFormatting xmlns:xm="http://schemas.microsoft.com/office/excel/2006/main">
          <x14:cfRule type="containsText" priority="5" operator="containsText" id="{0076009C-00C1-4F19-9B93-002D00E50060}">
            <xm:f>NOT(ISERROR(SEARCH($H$3,H5)))</xm:f>
            <xm:f>$H$3</xm:f>
            <x14:dxf>
              <fill>
                <patternFill patternType="solid">
                  <fgColor theme="4" tint="0.59996337778862885"/>
                  <bgColor theme="4" tint="0.59996337778862885"/>
                </patternFill>
              </fill>
            </x14:dxf>
          </x14:cfRule>
          <xm:sqref>H5:H70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C326"/>
  <sheetViews>
    <sheetView zoomScale="70" workbookViewId="0">
      <pane xSplit="9" ySplit="4" topLeftCell="J5" activePane="bottomRight" state="frozen"/>
      <selection activeCell="J5" sqref="J5"/>
      <selection pane="topRight"/>
      <selection pane="bottomLeft"/>
      <selection pane="bottomRight" activeCell="J5" sqref="J5"/>
    </sheetView>
  </sheetViews>
  <sheetFormatPr defaultColWidth="12.6640625" defaultRowHeight="14.4" outlineLevelCol="2"/>
  <cols>
    <col min="1" max="1" width="5" style="145" customWidth="1" outlineLevel="1"/>
    <col min="2" max="2" width="15" style="145" bestFit="1" customWidth="1"/>
    <col min="3" max="3" width="12.5546875" style="145" hidden="1" customWidth="1" outlineLevel="2"/>
    <col min="4" max="4" width="20.6640625" style="145" hidden="1" customWidth="1" outlineLevel="2"/>
    <col min="5" max="5" width="7.6640625" style="145" hidden="1" customWidth="1" outlineLevel="2"/>
    <col min="6" max="6" width="5.6640625" style="145" customWidth="1" collapsed="1"/>
    <col min="7" max="7" width="9.6640625" style="145" customWidth="1"/>
    <col min="8" max="8" width="13.5546875" style="145" customWidth="1"/>
    <col min="9" max="9" width="53.6640625" style="146" customWidth="1"/>
    <col min="10" max="10" width="10.33203125" style="147" customWidth="1" outlineLevel="1"/>
    <col min="11" max="11" width="10.33203125" style="147" hidden="1" customWidth="1" outlineLevel="2"/>
    <col min="12" max="12" width="7.6640625" style="147" hidden="1" customWidth="1" outlineLevel="2"/>
    <col min="13" max="13" width="9.6640625" style="147" hidden="1" customWidth="1" outlineLevel="2"/>
    <col min="14" max="14" width="7.6640625" style="147" hidden="1" customWidth="1" outlineLevel="2"/>
    <col min="15" max="15" width="14.6640625" style="147" hidden="1" customWidth="1" outlineLevel="2"/>
    <col min="16" max="16" width="7.6640625" style="147" hidden="1" customWidth="1" outlineLevel="2"/>
    <col min="17" max="17" width="9.6640625" style="147" hidden="1" customWidth="1" outlineLevel="2"/>
    <col min="18" max="18" width="7.6640625" style="147" hidden="1" customWidth="1" outlineLevel="2"/>
    <col min="19" max="19" width="14.6640625" style="147" hidden="1" customWidth="1" outlineLevel="2"/>
    <col min="20" max="20" width="7.6640625" style="147" hidden="1" customWidth="1" outlineLevel="2"/>
    <col min="21" max="21" width="9.6640625" style="147" hidden="1" customWidth="1" outlineLevel="2"/>
    <col min="22" max="22" width="7.6640625" style="147" hidden="1" customWidth="1" outlineLevel="2"/>
    <col min="23" max="23" width="14.6640625" style="147" hidden="1" customWidth="1" outlineLevel="2"/>
    <col min="24" max="24" width="7.6640625" style="147" hidden="1" customWidth="1" outlineLevel="2"/>
    <col min="25" max="25" width="9.6640625" style="147" hidden="1" customWidth="1" outlineLevel="2"/>
    <col min="26" max="26" width="7.6640625" style="147" hidden="1" customWidth="1" outlineLevel="2"/>
    <col min="27" max="27" width="14.6640625" style="147" hidden="1" customWidth="1" outlineLevel="2"/>
    <col min="28" max="28" width="7.6640625" style="147" hidden="1" customWidth="1" outlineLevel="2"/>
    <col min="29" max="29" width="9.6640625" style="147" hidden="1" customWidth="1" outlineLevel="2"/>
    <col min="30" max="30" width="7.6640625" style="147" hidden="1" customWidth="1" outlineLevel="2"/>
    <col min="31" max="31" width="14.6640625" style="147" hidden="1" customWidth="1" outlineLevel="2"/>
    <col min="32" max="32" width="7.6640625" style="147" hidden="1" customWidth="1" outlineLevel="2"/>
    <col min="33" max="33" width="9.6640625" style="147" hidden="1" customWidth="1" outlineLevel="2"/>
    <col min="34" max="34" width="7.6640625" style="146" hidden="1" customWidth="1" outlineLevel="2"/>
    <col min="35" max="35" width="14.6640625" style="146" hidden="1" customWidth="1" outlineLevel="2"/>
    <col min="36" max="36" width="7.6640625" style="146" hidden="1" customWidth="1" outlineLevel="2"/>
    <col min="37" max="37" width="9.6640625" style="146" hidden="1" customWidth="1" outlineLevel="2"/>
    <col min="38" max="38" width="7.6640625" style="146" hidden="1" customWidth="1" outlineLevel="2"/>
    <col min="39" max="39" width="14.6640625" style="146" hidden="1" customWidth="1" outlineLevel="2"/>
    <col min="40" max="40" width="7.6640625" style="146" hidden="1" customWidth="1" outlineLevel="2" collapsed="1"/>
    <col min="41" max="41" width="9.6640625" style="146" hidden="1" customWidth="1" outlineLevel="2"/>
    <col min="42" max="42" width="7.6640625" style="146" hidden="1" customWidth="1" outlineLevel="2"/>
    <col min="43" max="43" width="14.6640625" style="146" hidden="1" customWidth="1" outlineLevel="2"/>
    <col min="44" max="44" width="7.6640625" style="146" hidden="1" customWidth="1" outlineLevel="2" collapsed="1"/>
    <col min="45" max="45" width="9.6640625" style="146" hidden="1" customWidth="1" outlineLevel="2"/>
    <col min="46" max="46" width="7.6640625" style="146" hidden="1" customWidth="1" outlineLevel="2"/>
    <col min="47" max="47" width="14.6640625" style="146" hidden="1" customWidth="1" outlineLevel="2"/>
    <col min="48" max="48" width="7.6640625" style="146" customWidth="1" outlineLevel="1" collapsed="1"/>
    <col min="49" max="49" width="9.6640625" style="146" customWidth="1" outlineLevel="1"/>
    <col min="50" max="50" width="7.6640625" style="146" customWidth="1" outlineLevel="1"/>
    <col min="51" max="51" width="14.6640625" style="146" customWidth="1" outlineLevel="1"/>
    <col min="52" max="52" width="7.6640625" style="146" customWidth="1" outlineLevel="1"/>
    <col min="53" max="53" width="9.6640625" style="146" customWidth="1" outlineLevel="1"/>
    <col min="54" max="54" width="7.6640625" style="147" customWidth="1" outlineLevel="1"/>
    <col min="55" max="55" width="14.6640625" style="146" customWidth="1" outlineLevel="1"/>
    <col min="56" max="56" width="7.6640625" style="146" customWidth="1" outlineLevel="1"/>
    <col min="57" max="57" width="9.6640625" style="146" customWidth="1" outlineLevel="1"/>
    <col min="58" max="58" width="7.6640625" style="147" customWidth="1" outlineLevel="1"/>
    <col min="59" max="59" width="14.6640625" style="146" customWidth="1" outlineLevel="1"/>
    <col min="60" max="60" width="6.6640625" style="146" bestFit="1" customWidth="1"/>
    <col min="61" max="61" width="10.6640625" style="146" customWidth="1"/>
    <col min="62" max="62" width="9.6640625" style="146" customWidth="1" outlineLevel="1"/>
    <col min="63" max="63" width="10.6640625" style="147" customWidth="1" outlineLevel="1"/>
    <col min="64" max="64" width="7.6640625" style="145" customWidth="1"/>
    <col min="65" max="65" width="8.6640625" style="145" customWidth="1"/>
    <col min="66" max="66" width="7.6640625" style="145" customWidth="1"/>
    <col min="67" max="68" width="9.6640625" style="145" customWidth="1"/>
    <col min="69" max="69" width="7.6640625" style="145" customWidth="1"/>
    <col min="70" max="70" width="14.6640625" style="145" customWidth="1"/>
    <col min="71" max="71" width="7.6640625" style="145" customWidth="1"/>
    <col min="72" max="73" width="9.6640625" style="145" customWidth="1"/>
    <col min="74" max="74" width="7.6640625" style="145" customWidth="1"/>
    <col min="75" max="75" width="14.6640625" style="145" customWidth="1"/>
    <col min="76" max="76" width="7.6640625" style="145" customWidth="1"/>
    <col min="77" max="78" width="9.6640625" style="145" customWidth="1"/>
    <col min="79" max="79" width="7.6640625" style="145" customWidth="1"/>
    <col min="80" max="80" width="14.6640625" style="145" customWidth="1"/>
    <col min="81" max="81" width="7.6640625" style="145" customWidth="1"/>
    <col min="82" max="83" width="9.6640625" style="145" customWidth="1"/>
    <col min="84" max="84" width="7.6640625" style="145" customWidth="1"/>
    <col min="85" max="85" width="14.6640625" style="145" customWidth="1"/>
    <col min="86" max="86" width="7.6640625" style="145" customWidth="1"/>
    <col min="87" max="88" width="9.6640625" style="145" customWidth="1"/>
    <col min="89" max="89" width="7.6640625" style="145" customWidth="1"/>
    <col min="90" max="90" width="14.6640625" style="145" customWidth="1"/>
    <col min="91" max="91" width="7.6640625" style="145" customWidth="1"/>
    <col min="92" max="93" width="9.6640625" style="145" customWidth="1"/>
    <col min="94" max="94" width="7.6640625" style="145" customWidth="1"/>
    <col min="95" max="95" width="14.6640625" style="145" customWidth="1"/>
    <col min="96" max="96" width="7.6640625" style="145" customWidth="1"/>
    <col min="97" max="98" width="9.6640625" style="145" customWidth="1"/>
    <col min="99" max="99" width="7.6640625" style="145" customWidth="1"/>
    <col min="100" max="100" width="14.6640625" style="145" customWidth="1"/>
    <col min="101" max="101" width="7.6640625" style="145" customWidth="1"/>
    <col min="102" max="103" width="9.6640625" style="145" customWidth="1"/>
    <col min="104" max="104" width="7.6640625" style="145" customWidth="1"/>
    <col min="105" max="105" width="14.6640625" style="145" customWidth="1"/>
    <col min="106" max="106" width="7.6640625" style="145" customWidth="1"/>
    <col min="107" max="108" width="9.6640625" style="145" customWidth="1"/>
    <col min="109" max="109" width="7.6640625" style="145" customWidth="1"/>
    <col min="110" max="110" width="14.6640625" style="145" customWidth="1"/>
    <col min="111" max="111" width="7.6640625" style="145" customWidth="1"/>
    <col min="112" max="113" width="9.6640625" style="145" customWidth="1"/>
    <col min="114" max="114" width="7.6640625" style="145" customWidth="1"/>
    <col min="115" max="115" width="14.6640625" style="145" customWidth="1"/>
    <col min="116" max="116" width="7.6640625" style="145" customWidth="1"/>
    <col min="117" max="118" width="9.6640625" style="145" customWidth="1"/>
    <col min="119" max="119" width="7.6640625" style="145" customWidth="1"/>
    <col min="120" max="120" width="14.6640625" style="145" customWidth="1"/>
    <col min="121" max="121" width="7.6640625" style="145" customWidth="1"/>
    <col min="122" max="123" width="9.6640625" style="145" customWidth="1"/>
    <col min="124" max="124" width="7.6640625" style="145" customWidth="1"/>
    <col min="125" max="125" width="14.6640625" style="145" customWidth="1"/>
    <col min="126" max="126" width="6.6640625" style="145" bestFit="1" customWidth="1"/>
    <col min="127" max="127" width="16" style="145" customWidth="1"/>
    <col min="128" max="128" width="9.6640625" style="145" customWidth="1"/>
    <col min="129" max="129" width="16" style="145" customWidth="1"/>
    <col min="130" max="130" width="9.6640625" style="145" customWidth="1"/>
    <col min="131" max="131" width="15.44140625" style="145" bestFit="1" customWidth="1"/>
    <col min="132" max="132" width="7.6640625" style="145" customWidth="1"/>
    <col min="133" max="133" width="12.6640625" style="145" customWidth="1"/>
    <col min="134" max="16384" width="12.6640625" style="145"/>
  </cols>
  <sheetData>
    <row r="1" spans="1:133">
      <c r="E1" s="148"/>
      <c r="F1" s="148"/>
      <c r="G1" s="148" t="s">
        <v>1</v>
      </c>
      <c r="H1" s="149">
        <f>ПНЕВМАТИКА!G1</f>
        <v>46178</v>
      </c>
    </row>
    <row r="2" spans="1:133" ht="15" customHeight="1">
      <c r="A2" s="150"/>
      <c r="B2" s="151">
        <f>ПНЕВМАТИКА!A2</f>
        <v>11.25</v>
      </c>
      <c r="C2" s="152" t="s">
        <v>2</v>
      </c>
      <c r="D2" s="153"/>
      <c r="E2" s="153"/>
      <c r="F2" s="153"/>
      <c r="G2" s="154">
        <f>ПНЕВМАТИКА!E2</f>
        <v>0</v>
      </c>
      <c r="H2" s="155" t="s">
        <v>3</v>
      </c>
      <c r="I2" s="156"/>
      <c r="J2" s="771" t="s">
        <v>59</v>
      </c>
      <c r="K2" s="771"/>
      <c r="L2" s="771"/>
      <c r="M2" s="771"/>
      <c r="N2" s="771"/>
      <c r="O2" s="771"/>
      <c r="P2" s="771"/>
      <c r="Q2" s="771"/>
      <c r="R2" s="771"/>
      <c r="S2" s="771"/>
      <c r="T2" s="771"/>
      <c r="U2" s="771"/>
      <c r="V2" s="771"/>
      <c r="W2" s="771"/>
      <c r="X2" s="771"/>
      <c r="Y2" s="771"/>
      <c r="Z2" s="771"/>
      <c r="AA2" s="771"/>
      <c r="AB2" s="771"/>
      <c r="AC2" s="771"/>
      <c r="AD2" s="771"/>
      <c r="AE2" s="771"/>
      <c r="AF2" s="771"/>
      <c r="AG2" s="771"/>
      <c r="AH2" s="771"/>
      <c r="AI2" s="771"/>
      <c r="AJ2" s="771"/>
      <c r="AK2" s="771"/>
      <c r="AL2" s="771"/>
      <c r="AM2" s="771"/>
      <c r="AN2" s="771"/>
      <c r="AO2" s="771"/>
      <c r="AP2" s="771"/>
      <c r="AQ2" s="771"/>
      <c r="AR2" s="771"/>
      <c r="AS2" s="771"/>
      <c r="AT2" s="771"/>
      <c r="AU2" s="771"/>
      <c r="AV2" s="771"/>
      <c r="AW2" s="771"/>
      <c r="AX2" s="771"/>
      <c r="AY2" s="771"/>
      <c r="AZ2" s="771"/>
      <c r="BA2" s="771"/>
      <c r="BB2" s="771"/>
      <c r="BC2" s="771"/>
      <c r="BD2" s="771"/>
      <c r="BE2" s="771"/>
      <c r="BF2" s="771"/>
      <c r="BG2" s="771"/>
      <c r="BH2" s="771"/>
      <c r="BI2" s="771"/>
      <c r="BJ2" s="771"/>
      <c r="BK2" s="771"/>
      <c r="BL2" s="771"/>
      <c r="BM2" s="771"/>
      <c r="BN2" s="771" t="s">
        <v>6</v>
      </c>
      <c r="BO2" s="771"/>
      <c r="BP2" s="771"/>
      <c r="BQ2" s="771"/>
      <c r="BR2" s="771"/>
      <c r="BS2" s="771"/>
      <c r="BT2" s="771"/>
      <c r="BU2" s="771"/>
      <c r="BV2" s="771"/>
      <c r="BW2" s="771"/>
      <c r="BX2" s="771"/>
      <c r="BY2" s="771"/>
      <c r="BZ2" s="771"/>
      <c r="CA2" s="771"/>
      <c r="CB2" s="771"/>
      <c r="CC2" s="771"/>
      <c r="CD2" s="771"/>
      <c r="CE2" s="771"/>
      <c r="CF2" s="771"/>
      <c r="CG2" s="771"/>
      <c r="CH2" s="771"/>
      <c r="CI2" s="771"/>
      <c r="CJ2" s="771"/>
      <c r="CK2" s="771"/>
      <c r="CL2" s="771"/>
      <c r="CM2" s="771"/>
      <c r="CN2" s="771"/>
      <c r="CO2" s="771"/>
      <c r="CP2" s="771"/>
      <c r="CQ2" s="771"/>
      <c r="CR2" s="771"/>
      <c r="CS2" s="771"/>
      <c r="CT2" s="771"/>
      <c r="CU2" s="771"/>
      <c r="CV2" s="771"/>
      <c r="CW2" s="771"/>
      <c r="CX2" s="771"/>
      <c r="CY2" s="771"/>
      <c r="CZ2" s="771"/>
      <c r="DA2" s="771"/>
      <c r="DB2" s="771"/>
      <c r="DC2" s="771"/>
      <c r="DD2" s="771"/>
      <c r="DE2" s="771"/>
      <c r="DF2" s="771"/>
      <c r="DG2" s="771"/>
      <c r="DH2" s="771"/>
      <c r="DI2" s="771"/>
      <c r="DJ2" s="771"/>
      <c r="DK2" s="771"/>
      <c r="DL2" s="771"/>
      <c r="DM2" s="771"/>
      <c r="DN2" s="771"/>
      <c r="DO2" s="771"/>
      <c r="DP2" s="771"/>
      <c r="DQ2" s="771"/>
      <c r="DR2" s="771"/>
      <c r="DS2" s="771"/>
      <c r="DT2" s="771"/>
      <c r="DU2" s="771"/>
      <c r="DV2" s="771"/>
      <c r="DW2" s="771"/>
      <c r="DX2" s="771"/>
      <c r="DY2" s="771"/>
      <c r="DZ2" s="771"/>
      <c r="EA2" s="771"/>
      <c r="EB2" s="771"/>
      <c r="EC2" s="771"/>
    </row>
    <row r="3" spans="1:133" ht="15" customHeight="1">
      <c r="A3" s="772" t="s">
        <v>4</v>
      </c>
      <c r="B3" s="773"/>
      <c r="C3" s="773"/>
      <c r="D3" s="773"/>
      <c r="E3" s="773"/>
      <c r="F3" s="773"/>
      <c r="G3" s="774"/>
      <c r="H3" s="10" t="s">
        <v>164</v>
      </c>
      <c r="I3" s="157"/>
      <c r="J3" s="158" t="s">
        <v>165</v>
      </c>
      <c r="K3" s="158" t="s">
        <v>166</v>
      </c>
      <c r="L3" s="775" t="s">
        <v>61</v>
      </c>
      <c r="M3" s="775"/>
      <c r="N3" s="775"/>
      <c r="O3" s="775"/>
      <c r="P3" s="775" t="s">
        <v>62</v>
      </c>
      <c r="Q3" s="775"/>
      <c r="R3" s="775"/>
      <c r="S3" s="775"/>
      <c r="T3" s="775" t="s">
        <v>63</v>
      </c>
      <c r="U3" s="775"/>
      <c r="V3" s="775"/>
      <c r="W3" s="775"/>
      <c r="X3" s="775" t="s">
        <v>64</v>
      </c>
      <c r="Y3" s="775"/>
      <c r="Z3" s="775"/>
      <c r="AA3" s="775"/>
      <c r="AB3" s="775" t="s">
        <v>65</v>
      </c>
      <c r="AC3" s="775"/>
      <c r="AD3" s="775"/>
      <c r="AE3" s="775"/>
      <c r="AF3" s="775" t="s">
        <v>66</v>
      </c>
      <c r="AG3" s="775"/>
      <c r="AH3" s="775"/>
      <c r="AI3" s="775"/>
      <c r="AJ3" s="775" t="s">
        <v>67</v>
      </c>
      <c r="AK3" s="775"/>
      <c r="AL3" s="775"/>
      <c r="AM3" s="775"/>
      <c r="AN3" s="775" t="s">
        <v>68</v>
      </c>
      <c r="AO3" s="775"/>
      <c r="AP3" s="775"/>
      <c r="AQ3" s="775"/>
      <c r="AR3" s="775" t="s">
        <v>69</v>
      </c>
      <c r="AS3" s="775"/>
      <c r="AT3" s="775"/>
      <c r="AU3" s="775"/>
      <c r="AV3" s="775" t="s">
        <v>70</v>
      </c>
      <c r="AW3" s="775"/>
      <c r="AX3" s="775"/>
      <c r="AY3" s="775"/>
      <c r="AZ3" s="768">
        <v>45597</v>
      </c>
      <c r="BA3" s="768"/>
      <c r="BB3" s="768"/>
      <c r="BC3" s="768"/>
      <c r="BD3" s="768">
        <v>45627</v>
      </c>
      <c r="BE3" s="768"/>
      <c r="BF3" s="768"/>
      <c r="BG3" s="768"/>
      <c r="BH3" s="769" t="s">
        <v>71</v>
      </c>
      <c r="BI3" s="769"/>
      <c r="BJ3" s="769"/>
      <c r="BK3" s="769"/>
      <c r="BL3" s="769"/>
      <c r="BM3" s="769"/>
      <c r="BN3" s="768" t="s">
        <v>167</v>
      </c>
      <c r="BO3" s="768"/>
      <c r="BP3" s="768"/>
      <c r="BQ3" s="768"/>
      <c r="BR3" s="768"/>
      <c r="BS3" s="768" t="s">
        <v>168</v>
      </c>
      <c r="BT3" s="768"/>
      <c r="BU3" s="768"/>
      <c r="BV3" s="768"/>
      <c r="BW3" s="768"/>
      <c r="BX3" s="768" t="s">
        <v>169</v>
      </c>
      <c r="BY3" s="768"/>
      <c r="BZ3" s="768"/>
      <c r="CA3" s="768"/>
      <c r="CB3" s="768"/>
      <c r="CC3" s="768">
        <v>45748</v>
      </c>
      <c r="CD3" s="768"/>
      <c r="CE3" s="768"/>
      <c r="CF3" s="768"/>
      <c r="CG3" s="768"/>
      <c r="CH3" s="768">
        <v>45778</v>
      </c>
      <c r="CI3" s="768"/>
      <c r="CJ3" s="768"/>
      <c r="CK3" s="768"/>
      <c r="CL3" s="768"/>
      <c r="CM3" s="768">
        <v>45809</v>
      </c>
      <c r="CN3" s="768"/>
      <c r="CO3" s="768"/>
      <c r="CP3" s="768"/>
      <c r="CQ3" s="768"/>
      <c r="CR3" s="768">
        <v>45839</v>
      </c>
      <c r="CS3" s="768"/>
      <c r="CT3" s="768"/>
      <c r="CU3" s="768"/>
      <c r="CV3" s="768"/>
      <c r="CW3" s="768">
        <v>45870</v>
      </c>
      <c r="CX3" s="768"/>
      <c r="CY3" s="768"/>
      <c r="CZ3" s="768"/>
      <c r="DA3" s="768"/>
      <c r="DB3" s="768">
        <v>45901</v>
      </c>
      <c r="DC3" s="768"/>
      <c r="DD3" s="768"/>
      <c r="DE3" s="768"/>
      <c r="DF3" s="768"/>
      <c r="DG3" s="768">
        <v>45931</v>
      </c>
      <c r="DH3" s="768"/>
      <c r="DI3" s="768"/>
      <c r="DJ3" s="768"/>
      <c r="DK3" s="768"/>
      <c r="DL3" s="768">
        <v>45962</v>
      </c>
      <c r="DM3" s="768"/>
      <c r="DN3" s="768"/>
      <c r="DO3" s="768"/>
      <c r="DP3" s="768"/>
      <c r="DQ3" s="768">
        <v>45992</v>
      </c>
      <c r="DR3" s="768"/>
      <c r="DS3" s="768"/>
      <c r="DT3" s="768"/>
      <c r="DU3" s="768"/>
      <c r="DV3" s="769" t="s">
        <v>19</v>
      </c>
      <c r="DW3" s="769"/>
      <c r="DX3" s="769"/>
      <c r="DY3" s="769"/>
      <c r="DZ3" s="769"/>
      <c r="EA3" s="769"/>
      <c r="EB3" s="769"/>
      <c r="EC3" s="769"/>
    </row>
    <row r="4" spans="1:133" ht="43.2">
      <c r="A4" s="159" t="s">
        <v>170</v>
      </c>
      <c r="B4" s="160" t="s">
        <v>7</v>
      </c>
      <c r="C4" s="161" t="s">
        <v>171</v>
      </c>
      <c r="D4" s="161" t="s">
        <v>172</v>
      </c>
      <c r="E4" s="160" t="s">
        <v>173</v>
      </c>
      <c r="F4" s="161" t="s">
        <v>11</v>
      </c>
      <c r="G4" s="160" t="s">
        <v>12</v>
      </c>
      <c r="H4" s="160" t="s">
        <v>13</v>
      </c>
      <c r="I4" s="160" t="s">
        <v>14</v>
      </c>
      <c r="J4" s="162" t="s">
        <v>174</v>
      </c>
      <c r="K4" s="162" t="s">
        <v>175</v>
      </c>
      <c r="L4" s="163" t="s">
        <v>176</v>
      </c>
      <c r="M4" s="164" t="s">
        <v>177</v>
      </c>
      <c r="N4" s="165" t="s">
        <v>178</v>
      </c>
      <c r="O4" s="166" t="s">
        <v>179</v>
      </c>
      <c r="P4" s="163" t="s">
        <v>180</v>
      </c>
      <c r="Q4" s="164" t="s">
        <v>181</v>
      </c>
      <c r="R4" s="165" t="s">
        <v>182</v>
      </c>
      <c r="S4" s="166" t="s">
        <v>183</v>
      </c>
      <c r="T4" s="163" t="s">
        <v>184</v>
      </c>
      <c r="U4" s="164" t="s">
        <v>185</v>
      </c>
      <c r="V4" s="165" t="s">
        <v>186</v>
      </c>
      <c r="W4" s="166" t="s">
        <v>187</v>
      </c>
      <c r="X4" s="163" t="s">
        <v>188</v>
      </c>
      <c r="Y4" s="164" t="s">
        <v>189</v>
      </c>
      <c r="Z4" s="165" t="s">
        <v>190</v>
      </c>
      <c r="AA4" s="166" t="s">
        <v>191</v>
      </c>
      <c r="AB4" s="163" t="s">
        <v>192</v>
      </c>
      <c r="AC4" s="164" t="s">
        <v>193</v>
      </c>
      <c r="AD4" s="165" t="s">
        <v>194</v>
      </c>
      <c r="AE4" s="166" t="s">
        <v>195</v>
      </c>
      <c r="AF4" s="163" t="s">
        <v>196</v>
      </c>
      <c r="AG4" s="164" t="s">
        <v>197</v>
      </c>
      <c r="AH4" s="165" t="s">
        <v>198</v>
      </c>
      <c r="AI4" s="166" t="s">
        <v>199</v>
      </c>
      <c r="AJ4" s="163" t="s">
        <v>200</v>
      </c>
      <c r="AK4" s="164" t="s">
        <v>201</v>
      </c>
      <c r="AL4" s="165" t="s">
        <v>202</v>
      </c>
      <c r="AM4" s="166" t="s">
        <v>203</v>
      </c>
      <c r="AN4" s="163" t="s">
        <v>204</v>
      </c>
      <c r="AO4" s="164" t="s">
        <v>205</v>
      </c>
      <c r="AP4" s="165" t="s">
        <v>206</v>
      </c>
      <c r="AQ4" s="166" t="s">
        <v>207</v>
      </c>
      <c r="AR4" s="163" t="s">
        <v>208</v>
      </c>
      <c r="AS4" s="164" t="s">
        <v>209</v>
      </c>
      <c r="AT4" s="165" t="s">
        <v>210</v>
      </c>
      <c r="AU4" s="166" t="s">
        <v>211</v>
      </c>
      <c r="AV4" s="163" t="s">
        <v>212</v>
      </c>
      <c r="AW4" s="164" t="s">
        <v>213</v>
      </c>
      <c r="AX4" s="165" t="s">
        <v>214</v>
      </c>
      <c r="AY4" s="166" t="s">
        <v>215</v>
      </c>
      <c r="AZ4" s="163" t="s">
        <v>216</v>
      </c>
      <c r="BA4" s="164" t="s">
        <v>217</v>
      </c>
      <c r="BB4" s="165" t="s">
        <v>218</v>
      </c>
      <c r="BC4" s="166" t="s">
        <v>219</v>
      </c>
      <c r="BD4" s="163" t="s">
        <v>220</v>
      </c>
      <c r="BE4" s="164" t="s">
        <v>221</v>
      </c>
      <c r="BF4" s="165" t="s">
        <v>222</v>
      </c>
      <c r="BG4" s="166" t="s">
        <v>223</v>
      </c>
      <c r="BH4" s="163" t="s">
        <v>224</v>
      </c>
      <c r="BI4" s="163" t="s">
        <v>225</v>
      </c>
      <c r="BJ4" s="164" t="s">
        <v>226</v>
      </c>
      <c r="BK4" s="164" t="s">
        <v>310</v>
      </c>
      <c r="BL4" s="165" t="s">
        <v>228</v>
      </c>
      <c r="BM4" s="165" t="s">
        <v>229</v>
      </c>
      <c r="BN4" s="163" t="s">
        <v>230</v>
      </c>
      <c r="BO4" s="167" t="s">
        <v>231</v>
      </c>
      <c r="BP4" s="164" t="s">
        <v>232</v>
      </c>
      <c r="BQ4" s="165" t="s">
        <v>233</v>
      </c>
      <c r="BR4" s="166" t="s">
        <v>234</v>
      </c>
      <c r="BS4" s="163" t="s">
        <v>235</v>
      </c>
      <c r="BT4" s="167" t="s">
        <v>236</v>
      </c>
      <c r="BU4" s="164" t="s">
        <v>237</v>
      </c>
      <c r="BV4" s="165" t="s">
        <v>238</v>
      </c>
      <c r="BW4" s="166" t="s">
        <v>239</v>
      </c>
      <c r="BX4" s="163" t="s">
        <v>240</v>
      </c>
      <c r="BY4" s="167" t="s">
        <v>241</v>
      </c>
      <c r="BZ4" s="164" t="s">
        <v>242</v>
      </c>
      <c r="CA4" s="165" t="s">
        <v>243</v>
      </c>
      <c r="CB4" s="166" t="s">
        <v>244</v>
      </c>
      <c r="CC4" s="163" t="s">
        <v>245</v>
      </c>
      <c r="CD4" s="167" t="s">
        <v>246</v>
      </c>
      <c r="CE4" s="164" t="s">
        <v>247</v>
      </c>
      <c r="CF4" s="165" t="s">
        <v>248</v>
      </c>
      <c r="CG4" s="166" t="s">
        <v>249</v>
      </c>
      <c r="CH4" s="163" t="s">
        <v>250</v>
      </c>
      <c r="CI4" s="167" t="s">
        <v>251</v>
      </c>
      <c r="CJ4" s="164" t="s">
        <v>252</v>
      </c>
      <c r="CK4" s="165" t="s">
        <v>253</v>
      </c>
      <c r="CL4" s="166" t="s">
        <v>254</v>
      </c>
      <c r="CM4" s="163" t="s">
        <v>255</v>
      </c>
      <c r="CN4" s="167" t="s">
        <v>256</v>
      </c>
      <c r="CO4" s="164" t="s">
        <v>257</v>
      </c>
      <c r="CP4" s="165" t="s">
        <v>258</v>
      </c>
      <c r="CQ4" s="166" t="s">
        <v>259</v>
      </c>
      <c r="CR4" s="163" t="s">
        <v>260</v>
      </c>
      <c r="CS4" s="167" t="s">
        <v>261</v>
      </c>
      <c r="CT4" s="164" t="s">
        <v>262</v>
      </c>
      <c r="CU4" s="165" t="s">
        <v>263</v>
      </c>
      <c r="CV4" s="166" t="s">
        <v>264</v>
      </c>
      <c r="CW4" s="163" t="s">
        <v>265</v>
      </c>
      <c r="CX4" s="167" t="s">
        <v>266</v>
      </c>
      <c r="CY4" s="164" t="s">
        <v>267</v>
      </c>
      <c r="CZ4" s="165" t="s">
        <v>268</v>
      </c>
      <c r="DA4" s="166" t="s">
        <v>269</v>
      </c>
      <c r="DB4" s="163" t="s">
        <v>270</v>
      </c>
      <c r="DC4" s="167" t="s">
        <v>271</v>
      </c>
      <c r="DD4" s="164" t="s">
        <v>272</v>
      </c>
      <c r="DE4" s="165" t="s">
        <v>273</v>
      </c>
      <c r="DF4" s="166" t="s">
        <v>274</v>
      </c>
      <c r="DG4" s="163" t="s">
        <v>275</v>
      </c>
      <c r="DH4" s="167" t="s">
        <v>276</v>
      </c>
      <c r="DI4" s="164" t="s">
        <v>277</v>
      </c>
      <c r="DJ4" s="165" t="s">
        <v>278</v>
      </c>
      <c r="DK4" s="166" t="s">
        <v>279</v>
      </c>
      <c r="DL4" s="163" t="s">
        <v>280</v>
      </c>
      <c r="DM4" s="167" t="s">
        <v>281</v>
      </c>
      <c r="DN4" s="164" t="s">
        <v>282</v>
      </c>
      <c r="DO4" s="165" t="s">
        <v>283</v>
      </c>
      <c r="DP4" s="166" t="s">
        <v>284</v>
      </c>
      <c r="DQ4" s="163" t="s">
        <v>285</v>
      </c>
      <c r="DR4" s="167" t="s">
        <v>286</v>
      </c>
      <c r="DS4" s="164" t="s">
        <v>287</v>
      </c>
      <c r="DT4" s="165" t="s">
        <v>288</v>
      </c>
      <c r="DU4" s="166" t="s">
        <v>289</v>
      </c>
      <c r="DV4" s="163" t="s">
        <v>290</v>
      </c>
      <c r="DW4" s="163" t="s">
        <v>291</v>
      </c>
      <c r="DX4" s="168" t="s">
        <v>292</v>
      </c>
      <c r="DY4" s="169" t="s">
        <v>293</v>
      </c>
      <c r="DZ4" s="164" t="s">
        <v>294</v>
      </c>
      <c r="EA4" s="164" t="s">
        <v>295</v>
      </c>
      <c r="EB4" s="165" t="s">
        <v>296</v>
      </c>
      <c r="EC4" s="170" t="s">
        <v>297</v>
      </c>
    </row>
    <row r="5" spans="1:133">
      <c r="A5" s="221">
        <v>11</v>
      </c>
      <c r="B5" s="172" t="s">
        <v>109</v>
      </c>
      <c r="C5" s="173" t="s">
        <v>298</v>
      </c>
      <c r="D5" s="173" t="s">
        <v>300</v>
      </c>
      <c r="E5" s="174">
        <v>1</v>
      </c>
      <c r="F5" s="174"/>
      <c r="G5" s="174"/>
      <c r="H5" s="175">
        <v>4494430600</v>
      </c>
      <c r="I5" s="176" t="s">
        <v>136</v>
      </c>
      <c r="J5" s="222"/>
      <c r="K5" s="223"/>
      <c r="L5" s="178">
        <v>35</v>
      </c>
      <c r="M5" s="130">
        <f t="shared" ref="M5:M6" si="0">$E5*35</f>
        <v>35</v>
      </c>
      <c r="N5" s="179">
        <v>0</v>
      </c>
      <c r="O5" s="130"/>
      <c r="P5" s="178">
        <v>35</v>
      </c>
      <c r="Q5" s="130">
        <f t="shared" ref="Q5:Q6" si="1">$E5*35</f>
        <v>35</v>
      </c>
      <c r="R5" s="179">
        <v>0</v>
      </c>
      <c r="S5" s="130"/>
      <c r="T5" s="178">
        <v>35</v>
      </c>
      <c r="U5" s="130">
        <f t="shared" ref="U5:U16" si="2">$E5*100</f>
        <v>100</v>
      </c>
      <c r="V5" s="179">
        <v>0</v>
      </c>
      <c r="W5" s="130"/>
      <c r="X5" s="178">
        <v>35</v>
      </c>
      <c r="Y5" s="130">
        <f t="shared" ref="Y5:Y6" si="3">$E5*35</f>
        <v>35</v>
      </c>
      <c r="Z5" s="179">
        <v>0</v>
      </c>
      <c r="AA5" s="130"/>
      <c r="AB5" s="178">
        <v>35</v>
      </c>
      <c r="AC5" s="130">
        <f t="shared" ref="AC5:AC6" si="4">$E5*35</f>
        <v>35</v>
      </c>
      <c r="AD5" s="179"/>
      <c r="AE5" s="130"/>
      <c r="AF5" s="178">
        <v>35</v>
      </c>
      <c r="AG5" s="130">
        <f t="shared" ref="AG5:AG6" si="5">$E5*35</f>
        <v>35</v>
      </c>
      <c r="AH5" s="179"/>
      <c r="AI5" s="130"/>
      <c r="AJ5" s="178">
        <v>35</v>
      </c>
      <c r="AK5" s="130">
        <f t="shared" ref="AK5:AK6" si="6">$E5*35</f>
        <v>35</v>
      </c>
      <c r="AL5" s="179"/>
      <c r="AM5" s="130"/>
      <c r="AN5" s="178">
        <v>35</v>
      </c>
      <c r="AO5" s="130">
        <f t="shared" ref="AO5:AO6" si="7">$E5*5</f>
        <v>5</v>
      </c>
      <c r="AP5" s="179"/>
      <c r="AQ5" s="130"/>
      <c r="AR5" s="178">
        <v>35</v>
      </c>
      <c r="AS5" s="130">
        <f t="shared" ref="AS5:AS6" si="8">$E5*5</f>
        <v>5</v>
      </c>
      <c r="AT5" s="179"/>
      <c r="AU5" s="130"/>
      <c r="AV5" s="178">
        <v>35</v>
      </c>
      <c r="AW5" s="130">
        <f t="shared" ref="AW5:AW6" si="9">$E5*5</f>
        <v>5</v>
      </c>
      <c r="AX5" s="179"/>
      <c r="AY5" s="130"/>
      <c r="AZ5" s="178">
        <v>35</v>
      </c>
      <c r="BA5" s="130">
        <f t="shared" ref="BA5:BA6" si="10">$E5*5</f>
        <v>5</v>
      </c>
      <c r="BB5" s="194"/>
      <c r="BC5" s="130"/>
      <c r="BD5" s="178">
        <v>35</v>
      </c>
      <c r="BE5" s="130">
        <f t="shared" ref="BE5:BE6" si="11">$E5*5</f>
        <v>5</v>
      </c>
      <c r="BF5" s="109"/>
      <c r="BG5" s="130"/>
      <c r="BH5" s="180">
        <f t="shared" ref="BH5:BH68" si="12">SUMPRODUCT(--(MOD(COLUMN($L5:$BG5),4)=MOD(COLUMN($L5),4)),$L5:$BG5)</f>
        <v>420</v>
      </c>
      <c r="BI5" s="181">
        <f>Автовик_разбивка[[#This Row],[Цена, 
юань, без НДС 1]]*BH5</f>
        <v>0</v>
      </c>
      <c r="BJ5" s="130">
        <f t="shared" ref="BJ5:BJ68" si="13">SUMPRODUCT(--(MOD(COLUMN($L5:$BG5),4)=MOD(COLUMN($L5)+1,4)),$L5:$BG5)</f>
        <v>335</v>
      </c>
      <c r="BK5" s="187">
        <f>Автовик_разбивка[[#This Row],[Цена, 
юань, без НДС 1]]*BJ5</f>
        <v>0</v>
      </c>
      <c r="BL5" s="109">
        <f t="shared" ref="BL5:BL68" si="14">SUMPRODUCT(--(MOD(COLUMN($L5:$BG5),4)=MOD(COLUMN($L5)+2,4)),$L5:$BG5)</f>
        <v>0</v>
      </c>
      <c r="BM5" s="224">
        <f>Автовик_разбивка[[#This Row],[Цена, 
юань, без НДС 1]]*BL5</f>
        <v>0</v>
      </c>
      <c r="BN5" s="178"/>
      <c r="BO5" s="184"/>
      <c r="BP5" s="130"/>
      <c r="BQ5" s="179"/>
      <c r="BR5" s="130"/>
      <c r="BS5" s="178"/>
      <c r="BT5" s="184"/>
      <c r="BU5" s="130"/>
      <c r="BV5" s="179"/>
      <c r="BW5" s="130"/>
      <c r="BX5" s="178"/>
      <c r="BY5" s="184"/>
      <c r="BZ5" s="130"/>
      <c r="CA5" s="179"/>
      <c r="CB5" s="130"/>
      <c r="CC5" s="178"/>
      <c r="CD5" s="184"/>
      <c r="CE5" s="130"/>
      <c r="CF5" s="179"/>
      <c r="CG5" s="130"/>
      <c r="CH5" s="178"/>
      <c r="CI5" s="184"/>
      <c r="CJ5" s="130"/>
      <c r="CK5" s="179"/>
      <c r="CL5" s="130"/>
      <c r="CM5" s="178"/>
      <c r="CN5" s="184"/>
      <c r="CO5" s="130"/>
      <c r="CP5" s="179"/>
      <c r="CQ5" s="130"/>
      <c r="CR5" s="178"/>
      <c r="CS5" s="184"/>
      <c r="CT5" s="130"/>
      <c r="CU5" s="179"/>
      <c r="CV5" s="130"/>
      <c r="CW5" s="178"/>
      <c r="CX5" s="184"/>
      <c r="CY5" s="130"/>
      <c r="CZ5" s="179"/>
      <c r="DA5" s="130"/>
      <c r="DB5" s="178"/>
      <c r="DC5" s="184"/>
      <c r="DD5" s="130"/>
      <c r="DE5" s="179"/>
      <c r="DF5" s="130"/>
      <c r="DG5" s="178"/>
      <c r="DH5" s="184"/>
      <c r="DI5" s="130"/>
      <c r="DJ5" s="179"/>
      <c r="DK5" s="130"/>
      <c r="DL5" s="178"/>
      <c r="DM5" s="184"/>
      <c r="DN5" s="130"/>
      <c r="DO5" s="194"/>
      <c r="DP5" s="130"/>
      <c r="DQ5" s="178"/>
      <c r="DR5" s="184"/>
      <c r="DS5" s="130"/>
      <c r="DT5" s="109"/>
      <c r="DU5" s="130"/>
      <c r="DV5" s="180">
        <f t="shared" ref="DV5:DV68" si="15">SUMPRODUCT(--(MOD(COLUMN($BN5:$DU5),5)=MOD(COLUMN($BN5),5)),$BN5:$DU5)</f>
        <v>0</v>
      </c>
      <c r="DW5" s="181">
        <f>Автовик_разбивка[[#This Row],[Цена, 
юань, без НДС 1]]*DV5</f>
        <v>0</v>
      </c>
      <c r="DX5" s="186">
        <f t="shared" ref="DX5:DX68" si="16">SUMPRODUCT(--(MOD(COLUMN($BN5:$DU5),5)=MOD(COLUMN($BN5)+1,5)),$BN5:$DU5)</f>
        <v>0</v>
      </c>
      <c r="DY5" s="186">
        <f>Автовик_разбивка[[#This Row],[Цена, 
юань, без НДС 1]]*DX5</f>
        <v>0</v>
      </c>
      <c r="DZ5" s="130">
        <f t="shared" ref="DZ5:DZ68" si="17">SUMPRODUCT(--(MOD(COLUMN($BN5:$DU5),5)=MOD(COLUMN($BN5)+2,5)),$BN5:$DU5)</f>
        <v>0</v>
      </c>
      <c r="EA5" s="187">
        <f>Автовик_разбивка[[#This Row],[Цена, 
юань, без НДС 1]]*DZ5</f>
        <v>0</v>
      </c>
      <c r="EB5" s="109">
        <f t="shared" ref="EB5:EB68" si="18">SUMPRODUCT(--(MOD(COLUMN($BN5:$DU5),5)=MOD(COLUMN($BN5)+3,5)),$BN5:$DU5)</f>
        <v>0</v>
      </c>
      <c r="EC5" s="224">
        <f>Автовик_разбивка[[#This Row],[Цена, 
юань, без НДС 1]]*EB5</f>
        <v>0</v>
      </c>
    </row>
    <row r="6" spans="1:133">
      <c r="A6" s="221">
        <v>11</v>
      </c>
      <c r="B6" s="172" t="s">
        <v>109</v>
      </c>
      <c r="C6" s="173" t="s">
        <v>298</v>
      </c>
      <c r="D6" s="173" t="s">
        <v>300</v>
      </c>
      <c r="E6" s="174">
        <v>1</v>
      </c>
      <c r="F6" s="174"/>
      <c r="G6" s="174"/>
      <c r="H6" s="175">
        <v>4630840310</v>
      </c>
      <c r="I6" s="176" t="s">
        <v>135</v>
      </c>
      <c r="J6" s="222"/>
      <c r="K6" s="223"/>
      <c r="L6" s="178">
        <v>35</v>
      </c>
      <c r="M6" s="130">
        <f t="shared" si="0"/>
        <v>35</v>
      </c>
      <c r="N6" s="179">
        <v>0</v>
      </c>
      <c r="O6" s="130"/>
      <c r="P6" s="178">
        <v>35</v>
      </c>
      <c r="Q6" s="130">
        <f t="shared" si="1"/>
        <v>35</v>
      </c>
      <c r="R6" s="179">
        <v>0</v>
      </c>
      <c r="S6" s="130"/>
      <c r="T6" s="178">
        <v>35</v>
      </c>
      <c r="U6" s="130">
        <f t="shared" si="2"/>
        <v>100</v>
      </c>
      <c r="V6" s="179">
        <v>0</v>
      </c>
      <c r="W6" s="130"/>
      <c r="X6" s="178">
        <v>35</v>
      </c>
      <c r="Y6" s="130">
        <f t="shared" si="3"/>
        <v>35</v>
      </c>
      <c r="Z6" s="179">
        <v>0</v>
      </c>
      <c r="AA6" s="130"/>
      <c r="AB6" s="178">
        <v>35</v>
      </c>
      <c r="AC6" s="130">
        <f t="shared" si="4"/>
        <v>35</v>
      </c>
      <c r="AD6" s="179"/>
      <c r="AE6" s="130"/>
      <c r="AF6" s="178">
        <v>35</v>
      </c>
      <c r="AG6" s="130">
        <f t="shared" si="5"/>
        <v>35</v>
      </c>
      <c r="AH6" s="179"/>
      <c r="AI6" s="130"/>
      <c r="AJ6" s="178">
        <v>35</v>
      </c>
      <c r="AK6" s="130">
        <f t="shared" si="6"/>
        <v>35</v>
      </c>
      <c r="AL6" s="179"/>
      <c r="AM6" s="130"/>
      <c r="AN6" s="178">
        <v>35</v>
      </c>
      <c r="AO6" s="130">
        <f t="shared" si="7"/>
        <v>5</v>
      </c>
      <c r="AP6" s="179"/>
      <c r="AQ6" s="130"/>
      <c r="AR6" s="178">
        <v>35</v>
      </c>
      <c r="AS6" s="130">
        <f t="shared" si="8"/>
        <v>5</v>
      </c>
      <c r="AT6" s="179"/>
      <c r="AU6" s="130"/>
      <c r="AV6" s="178">
        <v>35</v>
      </c>
      <c r="AW6" s="130">
        <f t="shared" si="9"/>
        <v>5</v>
      </c>
      <c r="AX6" s="179"/>
      <c r="AY6" s="130"/>
      <c r="AZ6" s="178">
        <v>35</v>
      </c>
      <c r="BA6" s="130">
        <f t="shared" si="10"/>
        <v>5</v>
      </c>
      <c r="BB6" s="194"/>
      <c r="BC6" s="130"/>
      <c r="BD6" s="178">
        <v>35</v>
      </c>
      <c r="BE6" s="130">
        <f t="shared" si="11"/>
        <v>5</v>
      </c>
      <c r="BF6" s="109"/>
      <c r="BG6" s="130"/>
      <c r="BH6" s="180">
        <f t="shared" si="12"/>
        <v>420</v>
      </c>
      <c r="BI6" s="181">
        <f>Автовик_разбивка[[#This Row],[Цена, 
юань, без НДС 1]]*BH6</f>
        <v>0</v>
      </c>
      <c r="BJ6" s="130">
        <f t="shared" si="13"/>
        <v>335</v>
      </c>
      <c r="BK6" s="187">
        <f>Автовик_разбивка[[#This Row],[Цена, 
юань, без НДС 1]]*BJ6</f>
        <v>0</v>
      </c>
      <c r="BL6" s="109">
        <f t="shared" si="14"/>
        <v>0</v>
      </c>
      <c r="BM6" s="224">
        <f>Автовик_разбивка[[#This Row],[Цена, 
юань, без НДС 1]]*BL6</f>
        <v>0</v>
      </c>
      <c r="BN6" s="178"/>
      <c r="BO6" s="184"/>
      <c r="BP6" s="130"/>
      <c r="BQ6" s="179"/>
      <c r="BR6" s="130"/>
      <c r="BS6" s="178"/>
      <c r="BT6" s="184"/>
      <c r="BU6" s="130"/>
      <c r="BV6" s="179"/>
      <c r="BW6" s="130"/>
      <c r="BX6" s="178"/>
      <c r="BY6" s="184"/>
      <c r="BZ6" s="130"/>
      <c r="CA6" s="179"/>
      <c r="CB6" s="130"/>
      <c r="CC6" s="178"/>
      <c r="CD6" s="184"/>
      <c r="CE6" s="130"/>
      <c r="CF6" s="179"/>
      <c r="CG6" s="130"/>
      <c r="CH6" s="178"/>
      <c r="CI6" s="184"/>
      <c r="CJ6" s="130"/>
      <c r="CK6" s="179"/>
      <c r="CL6" s="130"/>
      <c r="CM6" s="178"/>
      <c r="CN6" s="184"/>
      <c r="CO6" s="130"/>
      <c r="CP6" s="179"/>
      <c r="CQ6" s="130"/>
      <c r="CR6" s="178"/>
      <c r="CS6" s="184"/>
      <c r="CT6" s="130"/>
      <c r="CU6" s="179"/>
      <c r="CV6" s="130"/>
      <c r="CW6" s="178"/>
      <c r="CX6" s="184"/>
      <c r="CY6" s="130"/>
      <c r="CZ6" s="179"/>
      <c r="DA6" s="130"/>
      <c r="DB6" s="178"/>
      <c r="DC6" s="184"/>
      <c r="DD6" s="130"/>
      <c r="DE6" s="179"/>
      <c r="DF6" s="130"/>
      <c r="DG6" s="178"/>
      <c r="DH6" s="184"/>
      <c r="DI6" s="130"/>
      <c r="DJ6" s="179"/>
      <c r="DK6" s="130"/>
      <c r="DL6" s="178"/>
      <c r="DM6" s="184"/>
      <c r="DN6" s="130"/>
      <c r="DO6" s="194"/>
      <c r="DP6" s="130"/>
      <c r="DQ6" s="178"/>
      <c r="DR6" s="184"/>
      <c r="DS6" s="130"/>
      <c r="DT6" s="109"/>
      <c r="DU6" s="130"/>
      <c r="DV6" s="180">
        <f t="shared" si="15"/>
        <v>0</v>
      </c>
      <c r="DW6" s="181">
        <f>Автовик_разбивка[[#This Row],[Цена, 
юань, без НДС 1]]*DV6</f>
        <v>0</v>
      </c>
      <c r="DX6" s="186">
        <f t="shared" si="16"/>
        <v>0</v>
      </c>
      <c r="DY6" s="186">
        <f>Автовик_разбивка[[#This Row],[Цена, 
юань, без НДС 1]]*DX6</f>
        <v>0</v>
      </c>
      <c r="DZ6" s="130">
        <f t="shared" si="17"/>
        <v>0</v>
      </c>
      <c r="EA6" s="187">
        <f>Автовик_разбивка[[#This Row],[Цена, 
юань, без НДС 1]]*DZ6</f>
        <v>0</v>
      </c>
      <c r="EB6" s="109">
        <f t="shared" si="18"/>
        <v>0</v>
      </c>
      <c r="EC6" s="224">
        <f>Автовик_разбивка[[#This Row],[Цена, 
юань, без НДС 1]]*EB6</f>
        <v>0</v>
      </c>
    </row>
    <row r="7" spans="1:133">
      <c r="A7" s="221">
        <v>11</v>
      </c>
      <c r="B7" s="172" t="s">
        <v>109</v>
      </c>
      <c r="C7" s="173" t="s">
        <v>298</v>
      </c>
      <c r="D7" s="173" t="s">
        <v>311</v>
      </c>
      <c r="E7" s="174">
        <v>1</v>
      </c>
      <c r="F7" s="174"/>
      <c r="G7" s="174"/>
      <c r="H7" s="175">
        <v>4334010030</v>
      </c>
      <c r="I7" s="176" t="s">
        <v>81</v>
      </c>
      <c r="J7" s="222"/>
      <c r="K7" s="223"/>
      <c r="L7" s="178">
        <v>70</v>
      </c>
      <c r="M7" s="130">
        <f t="shared" ref="M7:M16" si="19">$E7*75</f>
        <v>75</v>
      </c>
      <c r="N7" s="179">
        <v>70</v>
      </c>
      <c r="O7" s="130"/>
      <c r="P7" s="178">
        <v>70</v>
      </c>
      <c r="Q7" s="130">
        <f t="shared" ref="Q7:Q16" si="20">$E7*70</f>
        <v>70</v>
      </c>
      <c r="R7" s="179">
        <v>0</v>
      </c>
      <c r="S7" s="130"/>
      <c r="T7" s="178">
        <v>70</v>
      </c>
      <c r="U7" s="130">
        <f t="shared" si="2"/>
        <v>100</v>
      </c>
      <c r="V7" s="179">
        <v>100</v>
      </c>
      <c r="W7" s="130"/>
      <c r="X7" s="178">
        <v>70</v>
      </c>
      <c r="Y7" s="130">
        <f t="shared" ref="Y7:Y16" si="21">$E7*70</f>
        <v>70</v>
      </c>
      <c r="Z7" s="179">
        <v>70</v>
      </c>
      <c r="AA7" s="130"/>
      <c r="AB7" s="178">
        <v>70</v>
      </c>
      <c r="AC7" s="130">
        <f t="shared" ref="AC7:AC16" si="22">$E7*70</f>
        <v>70</v>
      </c>
      <c r="AD7" s="109"/>
      <c r="AE7" s="130"/>
      <c r="AF7" s="178">
        <v>70</v>
      </c>
      <c r="AG7" s="130">
        <f t="shared" ref="AG7:AG16" si="23">$E7*70</f>
        <v>70</v>
      </c>
      <c r="AH7" s="109"/>
      <c r="AI7" s="130"/>
      <c r="AJ7" s="178">
        <v>70</v>
      </c>
      <c r="AK7" s="130">
        <f t="shared" ref="AK7:AK16" si="24">$E7*70</f>
        <v>70</v>
      </c>
      <c r="AL7" s="109"/>
      <c r="AM7" s="130"/>
      <c r="AN7" s="178">
        <v>70</v>
      </c>
      <c r="AO7" s="130">
        <f t="shared" ref="AO7:AO16" si="25">$E7*50</f>
        <v>50</v>
      </c>
      <c r="AP7" s="109"/>
      <c r="AQ7" s="130"/>
      <c r="AR7" s="178">
        <v>70</v>
      </c>
      <c r="AS7" s="130">
        <f t="shared" ref="AS7:AS16" si="26">$E7*50</f>
        <v>50</v>
      </c>
      <c r="AT7" s="109"/>
      <c r="AU7" s="130"/>
      <c r="AV7" s="178">
        <v>70</v>
      </c>
      <c r="AW7" s="130">
        <f>$E7*50</f>
        <v>50</v>
      </c>
      <c r="AX7" s="109"/>
      <c r="AY7" s="130"/>
      <c r="AZ7" s="178">
        <v>70</v>
      </c>
      <c r="BA7" s="130">
        <f t="shared" ref="BA7:BA20" si="27">$E7*50</f>
        <v>50</v>
      </c>
      <c r="BB7" s="194"/>
      <c r="BC7" s="130"/>
      <c r="BD7" s="178">
        <v>70</v>
      </c>
      <c r="BE7" s="130">
        <f t="shared" ref="BE7:BE20" si="28">$E7*40</f>
        <v>40</v>
      </c>
      <c r="BF7" s="109"/>
      <c r="BG7" s="130"/>
      <c r="BH7" s="180">
        <f t="shared" si="12"/>
        <v>840</v>
      </c>
      <c r="BI7" s="181">
        <f>Автовик_разбивка[[#This Row],[Цена, 
юань, без НДС 1]]*BH7</f>
        <v>0</v>
      </c>
      <c r="BJ7" s="130">
        <f t="shared" si="13"/>
        <v>765</v>
      </c>
      <c r="BK7" s="187">
        <f>Автовик_разбивка[[#This Row],[Цена, 
юань, без НДС 1]]*BJ7</f>
        <v>0</v>
      </c>
      <c r="BL7" s="109">
        <f t="shared" si="14"/>
        <v>240</v>
      </c>
      <c r="BM7" s="224">
        <f>Автовик_разбивка[[#This Row],[Цена, 
юань, без НДС 1]]*BL7</f>
        <v>0</v>
      </c>
      <c r="BN7" s="178"/>
      <c r="BO7" s="184"/>
      <c r="BP7" s="130">
        <f t="shared" ref="BP7:BP20" si="29">$E7*30</f>
        <v>30</v>
      </c>
      <c r="BQ7" s="179"/>
      <c r="BR7" s="130"/>
      <c r="BS7" s="178"/>
      <c r="BT7" s="184"/>
      <c r="BU7" s="130">
        <f t="shared" ref="BU7:BU20" si="30">$E7*30</f>
        <v>30</v>
      </c>
      <c r="BV7" s="179"/>
      <c r="BW7" s="130"/>
      <c r="BX7" s="178"/>
      <c r="BY7" s="184"/>
      <c r="BZ7" s="130">
        <f t="shared" ref="BZ7:BZ20" si="31">$E7*40</f>
        <v>40</v>
      </c>
      <c r="CA7" s="179"/>
      <c r="CB7" s="130"/>
      <c r="CC7" s="178"/>
      <c r="CD7" s="184"/>
      <c r="CE7" s="130">
        <f t="shared" ref="CE7:CE20" si="32">$E7*40</f>
        <v>40</v>
      </c>
      <c r="CF7" s="179"/>
      <c r="CG7" s="130"/>
      <c r="CH7" s="178"/>
      <c r="CI7" s="184"/>
      <c r="CJ7" s="130">
        <f t="shared" ref="CJ7:CJ20" si="33">$E7*50</f>
        <v>50</v>
      </c>
      <c r="CK7" s="109"/>
      <c r="CL7" s="130"/>
      <c r="CM7" s="178"/>
      <c r="CN7" s="184"/>
      <c r="CO7" s="130">
        <f t="shared" ref="CO7:CO20" si="34">$E7*50</f>
        <v>50</v>
      </c>
      <c r="CP7" s="109"/>
      <c r="CQ7" s="130"/>
      <c r="CR7" s="178"/>
      <c r="CS7" s="184"/>
      <c r="CT7" s="130">
        <f t="shared" ref="CT7:CT20" si="35">$E7*50</f>
        <v>50</v>
      </c>
      <c r="CU7" s="109"/>
      <c r="CV7" s="130"/>
      <c r="CW7" s="178"/>
      <c r="CX7" s="184"/>
      <c r="CY7" s="130">
        <f t="shared" ref="CY7:CY20" si="36">$E7*50</f>
        <v>50</v>
      </c>
      <c r="CZ7" s="109"/>
      <c r="DA7" s="130"/>
      <c r="DB7" s="178"/>
      <c r="DC7" s="184"/>
      <c r="DD7" s="130">
        <f t="shared" ref="DD7:DD20" si="37">$E7*50</f>
        <v>50</v>
      </c>
      <c r="DE7" s="109"/>
      <c r="DF7" s="130"/>
      <c r="DG7" s="178"/>
      <c r="DH7" s="184"/>
      <c r="DI7" s="130">
        <f t="shared" ref="DI7:DI20" si="38">$E7*50</f>
        <v>50</v>
      </c>
      <c r="DJ7" s="109"/>
      <c r="DK7" s="130"/>
      <c r="DL7" s="178"/>
      <c r="DM7" s="184"/>
      <c r="DN7" s="130">
        <f t="shared" ref="DN7:DN20" si="39">$E7*50</f>
        <v>50</v>
      </c>
      <c r="DO7" s="194"/>
      <c r="DP7" s="130"/>
      <c r="DQ7" s="178"/>
      <c r="DR7" s="184"/>
      <c r="DS7" s="130">
        <f t="shared" ref="DS7:DS20" si="40">$E7*50</f>
        <v>50</v>
      </c>
      <c r="DT7" s="109"/>
      <c r="DU7" s="130"/>
      <c r="DV7" s="180">
        <f t="shared" si="15"/>
        <v>0</v>
      </c>
      <c r="DW7" s="181">
        <f>Автовик_разбивка[[#This Row],[Цена, 
юань, без НДС 1]]*DV7</f>
        <v>0</v>
      </c>
      <c r="DX7" s="186">
        <f t="shared" si="16"/>
        <v>0</v>
      </c>
      <c r="DY7" s="186">
        <f>Автовик_разбивка[[#This Row],[Цена, 
юань, без НДС 1]]*DX7</f>
        <v>0</v>
      </c>
      <c r="DZ7" s="130">
        <f t="shared" si="17"/>
        <v>540</v>
      </c>
      <c r="EA7" s="187">
        <f>Автовик_разбивка[[#This Row],[Цена, 
юань, без НДС 1]]*DZ7</f>
        <v>0</v>
      </c>
      <c r="EB7" s="109">
        <f t="shared" si="18"/>
        <v>0</v>
      </c>
      <c r="EC7" s="224">
        <f>Автовик_разбивка[[#This Row],[Цена, 
юань, без НДС 1]]*EB7</f>
        <v>0</v>
      </c>
    </row>
    <row r="8" spans="1:133">
      <c r="A8" s="221">
        <v>11</v>
      </c>
      <c r="B8" s="172" t="s">
        <v>109</v>
      </c>
      <c r="C8" s="173" t="s">
        <v>298</v>
      </c>
      <c r="D8" s="173" t="s">
        <v>311</v>
      </c>
      <c r="E8" s="174">
        <v>1</v>
      </c>
      <c r="F8" s="174"/>
      <c r="G8" s="174"/>
      <c r="H8" s="175">
        <v>4491731500</v>
      </c>
      <c r="I8" s="176" t="s">
        <v>77</v>
      </c>
      <c r="J8" s="222"/>
      <c r="K8" s="223"/>
      <c r="L8" s="178">
        <v>70</v>
      </c>
      <c r="M8" s="130">
        <f t="shared" si="19"/>
        <v>75</v>
      </c>
      <c r="N8" s="179">
        <v>70</v>
      </c>
      <c r="O8" s="130"/>
      <c r="P8" s="178">
        <v>70</v>
      </c>
      <c r="Q8" s="130">
        <f t="shared" si="20"/>
        <v>70</v>
      </c>
      <c r="R8" s="179">
        <v>0</v>
      </c>
      <c r="S8" s="130"/>
      <c r="T8" s="178">
        <v>70</v>
      </c>
      <c r="U8" s="130">
        <f t="shared" si="2"/>
        <v>100</v>
      </c>
      <c r="V8" s="179">
        <v>100</v>
      </c>
      <c r="W8" s="130"/>
      <c r="X8" s="178">
        <v>70</v>
      </c>
      <c r="Y8" s="130">
        <f t="shared" si="21"/>
        <v>70</v>
      </c>
      <c r="Z8" s="179">
        <v>70</v>
      </c>
      <c r="AA8" s="130"/>
      <c r="AB8" s="178">
        <v>70</v>
      </c>
      <c r="AC8" s="130">
        <f t="shared" si="22"/>
        <v>70</v>
      </c>
      <c r="AD8" s="109"/>
      <c r="AE8" s="130"/>
      <c r="AF8" s="178">
        <v>70</v>
      </c>
      <c r="AG8" s="130">
        <f t="shared" si="23"/>
        <v>70</v>
      </c>
      <c r="AH8" s="109"/>
      <c r="AI8" s="130"/>
      <c r="AJ8" s="178">
        <v>70</v>
      </c>
      <c r="AK8" s="130">
        <f t="shared" si="24"/>
        <v>70</v>
      </c>
      <c r="AL8" s="109"/>
      <c r="AM8" s="130"/>
      <c r="AN8" s="178">
        <v>70</v>
      </c>
      <c r="AO8" s="130">
        <f t="shared" si="25"/>
        <v>50</v>
      </c>
      <c r="AP8" s="109"/>
      <c r="AQ8" s="130"/>
      <c r="AR8" s="178">
        <v>70</v>
      </c>
      <c r="AS8" s="130">
        <f t="shared" si="26"/>
        <v>50</v>
      </c>
      <c r="AT8" s="109"/>
      <c r="AU8" s="130"/>
      <c r="AV8" s="178">
        <v>70</v>
      </c>
      <c r="AW8" s="130">
        <v>26</v>
      </c>
      <c r="AX8" s="109"/>
      <c r="AY8" s="130"/>
      <c r="AZ8" s="178">
        <v>70</v>
      </c>
      <c r="BA8" s="130">
        <v>25</v>
      </c>
      <c r="BB8" s="193"/>
      <c r="BC8" s="130"/>
      <c r="BD8" s="178">
        <v>70</v>
      </c>
      <c r="BE8" s="130">
        <f t="shared" si="28"/>
        <v>40</v>
      </c>
      <c r="BF8" s="109"/>
      <c r="BG8" s="130"/>
      <c r="BH8" s="180">
        <f t="shared" si="12"/>
        <v>840</v>
      </c>
      <c r="BI8" s="181">
        <f>Автовик_разбивка[[#This Row],[Цена, 
юань, без НДС 1]]*BH8</f>
        <v>0</v>
      </c>
      <c r="BJ8" s="130">
        <f t="shared" si="13"/>
        <v>716</v>
      </c>
      <c r="BK8" s="187">
        <f>Автовик_разбивка[[#This Row],[Цена, 
юань, без НДС 1]]*BJ8</f>
        <v>0</v>
      </c>
      <c r="BL8" s="109">
        <f t="shared" si="14"/>
        <v>240</v>
      </c>
      <c r="BM8" s="224">
        <f>Автовик_разбивка[[#This Row],[Цена, 
юань, без НДС 1]]*BL8</f>
        <v>0</v>
      </c>
      <c r="BN8" s="178"/>
      <c r="BO8" s="184"/>
      <c r="BP8" s="130">
        <f t="shared" si="29"/>
        <v>30</v>
      </c>
      <c r="BQ8" s="179"/>
      <c r="BR8" s="130"/>
      <c r="BS8" s="178"/>
      <c r="BT8" s="184"/>
      <c r="BU8" s="130">
        <f t="shared" si="30"/>
        <v>30</v>
      </c>
      <c r="BV8" s="179"/>
      <c r="BW8" s="130"/>
      <c r="BX8" s="178"/>
      <c r="BY8" s="184"/>
      <c r="BZ8" s="130">
        <f t="shared" si="31"/>
        <v>40</v>
      </c>
      <c r="CA8" s="179"/>
      <c r="CB8" s="130"/>
      <c r="CC8" s="178"/>
      <c r="CD8" s="184"/>
      <c r="CE8" s="130">
        <f t="shared" si="32"/>
        <v>40</v>
      </c>
      <c r="CF8" s="179"/>
      <c r="CG8" s="130"/>
      <c r="CH8" s="178"/>
      <c r="CI8" s="184"/>
      <c r="CJ8" s="130">
        <f t="shared" si="33"/>
        <v>50</v>
      </c>
      <c r="CK8" s="109"/>
      <c r="CL8" s="130"/>
      <c r="CM8" s="178"/>
      <c r="CN8" s="184"/>
      <c r="CO8" s="130">
        <f t="shared" si="34"/>
        <v>50</v>
      </c>
      <c r="CP8" s="109"/>
      <c r="CQ8" s="130"/>
      <c r="CR8" s="178"/>
      <c r="CS8" s="184"/>
      <c r="CT8" s="130">
        <f t="shared" si="35"/>
        <v>50</v>
      </c>
      <c r="CU8" s="109"/>
      <c r="CV8" s="130"/>
      <c r="CW8" s="178"/>
      <c r="CX8" s="184"/>
      <c r="CY8" s="130">
        <f t="shared" si="36"/>
        <v>50</v>
      </c>
      <c r="CZ8" s="109"/>
      <c r="DA8" s="130"/>
      <c r="DB8" s="178"/>
      <c r="DC8" s="184"/>
      <c r="DD8" s="130">
        <f t="shared" si="37"/>
        <v>50</v>
      </c>
      <c r="DE8" s="109"/>
      <c r="DF8" s="130"/>
      <c r="DG8" s="178"/>
      <c r="DH8" s="184"/>
      <c r="DI8" s="130">
        <f t="shared" si="38"/>
        <v>50</v>
      </c>
      <c r="DJ8" s="109"/>
      <c r="DK8" s="130"/>
      <c r="DL8" s="178"/>
      <c r="DM8" s="184"/>
      <c r="DN8" s="130">
        <f t="shared" si="39"/>
        <v>50</v>
      </c>
      <c r="DO8" s="193"/>
      <c r="DP8" s="130"/>
      <c r="DQ8" s="178"/>
      <c r="DR8" s="184"/>
      <c r="DS8" s="130">
        <f t="shared" si="40"/>
        <v>50</v>
      </c>
      <c r="DT8" s="109"/>
      <c r="DU8" s="130"/>
      <c r="DV8" s="180">
        <f t="shared" si="15"/>
        <v>0</v>
      </c>
      <c r="DW8" s="181">
        <f>Автовик_разбивка[[#This Row],[Цена, 
юань, без НДС 1]]*DV8</f>
        <v>0</v>
      </c>
      <c r="DX8" s="186">
        <f t="shared" si="16"/>
        <v>0</v>
      </c>
      <c r="DY8" s="186">
        <f>Автовик_разбивка[[#This Row],[Цена, 
юань, без НДС 1]]*DX8</f>
        <v>0</v>
      </c>
      <c r="DZ8" s="130">
        <f t="shared" si="17"/>
        <v>540</v>
      </c>
      <c r="EA8" s="187">
        <f>Автовик_разбивка[[#This Row],[Цена, 
юань, без НДС 1]]*DZ8</f>
        <v>0</v>
      </c>
      <c r="EB8" s="109">
        <f t="shared" si="18"/>
        <v>0</v>
      </c>
      <c r="EC8" s="224">
        <f>Автовик_разбивка[[#This Row],[Цена, 
юань, без НДС 1]]*EB8</f>
        <v>0</v>
      </c>
    </row>
    <row r="9" spans="1:133">
      <c r="A9" s="221">
        <v>11</v>
      </c>
      <c r="B9" s="172" t="s">
        <v>109</v>
      </c>
      <c r="C9" s="173" t="s">
        <v>298</v>
      </c>
      <c r="D9" s="173" t="s">
        <v>311</v>
      </c>
      <c r="E9" s="174"/>
      <c r="F9" s="174"/>
      <c r="G9" s="174">
        <v>2</v>
      </c>
      <c r="H9" s="175">
        <v>4493711800</v>
      </c>
      <c r="I9" s="176" t="s">
        <v>85</v>
      </c>
      <c r="J9" s="222"/>
      <c r="K9" s="223"/>
      <c r="L9" s="178"/>
      <c r="M9" s="130"/>
      <c r="N9" s="179"/>
      <c r="O9" s="130"/>
      <c r="P9" s="178"/>
      <c r="Q9" s="130"/>
      <c r="R9" s="179"/>
      <c r="S9" s="130"/>
      <c r="T9" s="178"/>
      <c r="U9" s="130"/>
      <c r="V9" s="179"/>
      <c r="W9" s="130"/>
      <c r="X9" s="178"/>
      <c r="Y9" s="130"/>
      <c r="Z9" s="179"/>
      <c r="AA9" s="130"/>
      <c r="AB9" s="178"/>
      <c r="AC9" s="130"/>
      <c r="AD9" s="109"/>
      <c r="AE9" s="130"/>
      <c r="AF9" s="178"/>
      <c r="AG9" s="130"/>
      <c r="AH9" s="109"/>
      <c r="AI9" s="130"/>
      <c r="AJ9" s="178"/>
      <c r="AK9" s="130"/>
      <c r="AL9" s="109"/>
      <c r="AM9" s="130"/>
      <c r="AN9" s="178"/>
      <c r="AO9" s="130"/>
      <c r="AP9" s="109"/>
      <c r="AQ9" s="130"/>
      <c r="AR9" s="178"/>
      <c r="AS9" s="130"/>
      <c r="AT9" s="109"/>
      <c r="AU9" s="130"/>
      <c r="AV9" s="178"/>
      <c r="AW9" s="130">
        <v>24</v>
      </c>
      <c r="AX9" s="109"/>
      <c r="AY9" s="130"/>
      <c r="AZ9" s="178"/>
      <c r="BA9" s="130">
        <v>25</v>
      </c>
      <c r="BB9" s="193"/>
      <c r="BC9" s="130"/>
      <c r="BD9" s="178"/>
      <c r="BE9" s="130">
        <f t="shared" si="28"/>
        <v>0</v>
      </c>
      <c r="BF9" s="109"/>
      <c r="BG9" s="130"/>
      <c r="BH9" s="180">
        <f t="shared" si="12"/>
        <v>0</v>
      </c>
      <c r="BI9" s="181">
        <f>Автовик_разбивка[[#This Row],[Цена, 
юань, без НДС 1]]*BH9</f>
        <v>0</v>
      </c>
      <c r="BJ9" s="130">
        <f t="shared" si="13"/>
        <v>49</v>
      </c>
      <c r="BK9" s="187">
        <f>Автовик_разбивка[[#This Row],[Цена, 
юань, без НДС 1]]*BJ9</f>
        <v>0</v>
      </c>
      <c r="BL9" s="109">
        <f t="shared" si="14"/>
        <v>0</v>
      </c>
      <c r="BM9" s="224">
        <f>Автовик_разбивка[[#This Row],[Цена, 
юань, без НДС 1]]*BL9</f>
        <v>0</v>
      </c>
      <c r="BN9" s="178"/>
      <c r="BO9" s="184"/>
      <c r="BP9" s="130">
        <f t="shared" si="29"/>
        <v>0</v>
      </c>
      <c r="BQ9" s="179"/>
      <c r="BR9" s="130"/>
      <c r="BS9" s="178"/>
      <c r="BT9" s="184"/>
      <c r="BU9" s="130">
        <f t="shared" si="30"/>
        <v>0</v>
      </c>
      <c r="BV9" s="179"/>
      <c r="BW9" s="130"/>
      <c r="BX9" s="178"/>
      <c r="BY9" s="184"/>
      <c r="BZ9" s="130">
        <f t="shared" si="31"/>
        <v>0</v>
      </c>
      <c r="CA9" s="179"/>
      <c r="CB9" s="130"/>
      <c r="CC9" s="178"/>
      <c r="CD9" s="184"/>
      <c r="CE9" s="130">
        <f t="shared" si="32"/>
        <v>0</v>
      </c>
      <c r="CF9" s="179"/>
      <c r="CG9" s="130"/>
      <c r="CH9" s="178"/>
      <c r="CI9" s="184"/>
      <c r="CJ9" s="130"/>
      <c r="CK9" s="109"/>
      <c r="CL9" s="130"/>
      <c r="CM9" s="178"/>
      <c r="CN9" s="184"/>
      <c r="CO9" s="130"/>
      <c r="CP9" s="109"/>
      <c r="CQ9" s="130"/>
      <c r="CR9" s="178"/>
      <c r="CS9" s="184"/>
      <c r="CT9" s="130"/>
      <c r="CU9" s="109"/>
      <c r="CV9" s="130"/>
      <c r="CW9" s="178"/>
      <c r="CX9" s="184"/>
      <c r="CY9" s="130"/>
      <c r="CZ9" s="109"/>
      <c r="DA9" s="130"/>
      <c r="DB9" s="178"/>
      <c r="DC9" s="184"/>
      <c r="DD9" s="130"/>
      <c r="DE9" s="109"/>
      <c r="DF9" s="130"/>
      <c r="DG9" s="178"/>
      <c r="DH9" s="184"/>
      <c r="DI9" s="130"/>
      <c r="DJ9" s="109"/>
      <c r="DK9" s="130"/>
      <c r="DL9" s="178"/>
      <c r="DM9" s="184"/>
      <c r="DN9" s="130"/>
      <c r="DO9" s="193"/>
      <c r="DP9" s="130"/>
      <c r="DQ9" s="178"/>
      <c r="DR9" s="184"/>
      <c r="DS9" s="130"/>
      <c r="DT9" s="109"/>
      <c r="DU9" s="130"/>
      <c r="DV9" s="180">
        <f t="shared" si="15"/>
        <v>0</v>
      </c>
      <c r="DW9" s="181">
        <f>Автовик_разбивка[[#This Row],[Цена, 
юань, без НДС 1]]*DV9</f>
        <v>0</v>
      </c>
      <c r="DX9" s="186">
        <f t="shared" si="16"/>
        <v>0</v>
      </c>
      <c r="DY9" s="186">
        <f>Автовик_разбивка[[#This Row],[Цена, 
юань, без НДС 1]]*DX9</f>
        <v>0</v>
      </c>
      <c r="DZ9" s="130">
        <f t="shared" si="17"/>
        <v>0</v>
      </c>
      <c r="EA9" s="187">
        <f>Автовик_разбивка[[#This Row],[Цена, 
юань, без НДС 1]]*DZ9</f>
        <v>0</v>
      </c>
      <c r="EB9" s="109">
        <f t="shared" si="18"/>
        <v>0</v>
      </c>
      <c r="EC9" s="224">
        <f>Автовик_разбивка[[#This Row],[Цена, 
юань, без НДС 1]]*EB9</f>
        <v>0</v>
      </c>
    </row>
    <row r="10" spans="1:133">
      <c r="A10" s="221">
        <v>11</v>
      </c>
      <c r="B10" s="172" t="s">
        <v>109</v>
      </c>
      <c r="C10" s="173" t="s">
        <v>298</v>
      </c>
      <c r="D10" s="173" t="s">
        <v>311</v>
      </c>
      <c r="E10" s="174"/>
      <c r="F10" s="174"/>
      <c r="G10" s="174">
        <v>2</v>
      </c>
      <c r="H10" s="175">
        <v>4460084042</v>
      </c>
      <c r="I10" s="176" t="s">
        <v>86</v>
      </c>
      <c r="J10" s="222"/>
      <c r="K10" s="223"/>
      <c r="L10" s="178"/>
      <c r="M10" s="130"/>
      <c r="N10" s="179"/>
      <c r="O10" s="130"/>
      <c r="P10" s="178"/>
      <c r="Q10" s="130"/>
      <c r="R10" s="179"/>
      <c r="S10" s="130"/>
      <c r="T10" s="178"/>
      <c r="U10" s="130"/>
      <c r="V10" s="179"/>
      <c r="W10" s="130"/>
      <c r="X10" s="178"/>
      <c r="Y10" s="130"/>
      <c r="Z10" s="179"/>
      <c r="AA10" s="130"/>
      <c r="AB10" s="178"/>
      <c r="AC10" s="130"/>
      <c r="AD10" s="109"/>
      <c r="AE10" s="130"/>
      <c r="AF10" s="178"/>
      <c r="AG10" s="130"/>
      <c r="AH10" s="109"/>
      <c r="AI10" s="130"/>
      <c r="AJ10" s="178"/>
      <c r="AK10" s="130"/>
      <c r="AL10" s="109"/>
      <c r="AM10" s="130"/>
      <c r="AN10" s="178"/>
      <c r="AO10" s="130"/>
      <c r="AP10" s="109"/>
      <c r="AQ10" s="130"/>
      <c r="AR10" s="178"/>
      <c r="AS10" s="130"/>
      <c r="AT10" s="109"/>
      <c r="AU10" s="130"/>
      <c r="AV10" s="178"/>
      <c r="AW10" s="130">
        <v>24</v>
      </c>
      <c r="AX10" s="109"/>
      <c r="AY10" s="130"/>
      <c r="AZ10" s="178"/>
      <c r="BA10" s="130">
        <v>25</v>
      </c>
      <c r="BB10" s="193"/>
      <c r="BC10" s="130"/>
      <c r="BD10" s="178"/>
      <c r="BE10" s="130">
        <f t="shared" si="28"/>
        <v>0</v>
      </c>
      <c r="BF10" s="109"/>
      <c r="BG10" s="130"/>
      <c r="BH10" s="180">
        <f t="shared" si="12"/>
        <v>0</v>
      </c>
      <c r="BI10" s="181">
        <f>Автовик_разбивка[[#This Row],[Цена, 
юань, без НДС 1]]*BH10</f>
        <v>0</v>
      </c>
      <c r="BJ10" s="130">
        <f t="shared" si="13"/>
        <v>49</v>
      </c>
      <c r="BK10" s="187">
        <f>Автовик_разбивка[[#This Row],[Цена, 
юань, без НДС 1]]*BJ10</f>
        <v>0</v>
      </c>
      <c r="BL10" s="109">
        <f t="shared" si="14"/>
        <v>0</v>
      </c>
      <c r="BM10" s="224">
        <f>Автовик_разбивка[[#This Row],[Цена, 
юань, без НДС 1]]*BL10</f>
        <v>0</v>
      </c>
      <c r="BN10" s="178"/>
      <c r="BO10" s="184"/>
      <c r="BP10" s="130">
        <f t="shared" si="29"/>
        <v>0</v>
      </c>
      <c r="BQ10" s="179"/>
      <c r="BR10" s="130"/>
      <c r="BS10" s="178"/>
      <c r="BT10" s="184"/>
      <c r="BU10" s="130">
        <f t="shared" si="30"/>
        <v>0</v>
      </c>
      <c r="BV10" s="179"/>
      <c r="BW10" s="130"/>
      <c r="BX10" s="178"/>
      <c r="BY10" s="184"/>
      <c r="BZ10" s="130">
        <f t="shared" si="31"/>
        <v>0</v>
      </c>
      <c r="CA10" s="179"/>
      <c r="CB10" s="130"/>
      <c r="CC10" s="178"/>
      <c r="CD10" s="184"/>
      <c r="CE10" s="130">
        <f t="shared" si="32"/>
        <v>0</v>
      </c>
      <c r="CF10" s="179"/>
      <c r="CG10" s="130"/>
      <c r="CH10" s="178"/>
      <c r="CI10" s="184"/>
      <c r="CJ10" s="130"/>
      <c r="CK10" s="109"/>
      <c r="CL10" s="130"/>
      <c r="CM10" s="178"/>
      <c r="CN10" s="184"/>
      <c r="CO10" s="130"/>
      <c r="CP10" s="109"/>
      <c r="CQ10" s="130"/>
      <c r="CR10" s="178"/>
      <c r="CS10" s="184"/>
      <c r="CT10" s="130"/>
      <c r="CU10" s="109"/>
      <c r="CV10" s="130"/>
      <c r="CW10" s="178"/>
      <c r="CX10" s="184"/>
      <c r="CY10" s="130"/>
      <c r="CZ10" s="109"/>
      <c r="DA10" s="130"/>
      <c r="DB10" s="178"/>
      <c r="DC10" s="184"/>
      <c r="DD10" s="130"/>
      <c r="DE10" s="109"/>
      <c r="DF10" s="130"/>
      <c r="DG10" s="178"/>
      <c r="DH10" s="184"/>
      <c r="DI10" s="130"/>
      <c r="DJ10" s="109"/>
      <c r="DK10" s="130"/>
      <c r="DL10" s="178"/>
      <c r="DM10" s="184"/>
      <c r="DN10" s="130"/>
      <c r="DO10" s="193"/>
      <c r="DP10" s="130"/>
      <c r="DQ10" s="178"/>
      <c r="DR10" s="184"/>
      <c r="DS10" s="130"/>
      <c r="DT10" s="109"/>
      <c r="DU10" s="130"/>
      <c r="DV10" s="180">
        <f t="shared" si="15"/>
        <v>0</v>
      </c>
      <c r="DW10" s="181">
        <f>Автовик_разбивка[[#This Row],[Цена, 
юань, без НДС 1]]*DV10</f>
        <v>0</v>
      </c>
      <c r="DX10" s="186">
        <f t="shared" si="16"/>
        <v>0</v>
      </c>
      <c r="DY10" s="186">
        <f>Автовик_разбивка[[#This Row],[Цена, 
юань, без НДС 1]]*DX10</f>
        <v>0</v>
      </c>
      <c r="DZ10" s="130">
        <f t="shared" si="17"/>
        <v>0</v>
      </c>
      <c r="EA10" s="187">
        <f>Автовик_разбивка[[#This Row],[Цена, 
юань, без НДС 1]]*DZ10</f>
        <v>0</v>
      </c>
      <c r="EB10" s="109">
        <f t="shared" si="18"/>
        <v>0</v>
      </c>
      <c r="EC10" s="224">
        <f>Автовик_разбивка[[#This Row],[Цена, 
юань, без НДС 1]]*EB10</f>
        <v>0</v>
      </c>
    </row>
    <row r="11" spans="1:133">
      <c r="A11" s="221">
        <v>11</v>
      </c>
      <c r="B11" s="172" t="s">
        <v>109</v>
      </c>
      <c r="C11" s="173" t="s">
        <v>298</v>
      </c>
      <c r="D11" s="173" t="s">
        <v>311</v>
      </c>
      <c r="E11" s="174"/>
      <c r="F11" s="174"/>
      <c r="G11" s="174"/>
      <c r="H11" s="175">
        <v>4497230400</v>
      </c>
      <c r="I11" s="176" t="s">
        <v>148</v>
      </c>
      <c r="J11" s="222"/>
      <c r="K11" s="223"/>
      <c r="L11" s="178"/>
      <c r="M11" s="130"/>
      <c r="N11" s="179"/>
      <c r="O11" s="130"/>
      <c r="P11" s="178"/>
      <c r="Q11" s="130"/>
      <c r="R11" s="179"/>
      <c r="S11" s="130"/>
      <c r="T11" s="178"/>
      <c r="U11" s="130"/>
      <c r="V11" s="179"/>
      <c r="W11" s="130"/>
      <c r="X11" s="178"/>
      <c r="Y11" s="130"/>
      <c r="Z11" s="179"/>
      <c r="AA11" s="130"/>
      <c r="AB11" s="178"/>
      <c r="AC11" s="130"/>
      <c r="AD11" s="109"/>
      <c r="AE11" s="130"/>
      <c r="AF11" s="178"/>
      <c r="AG11" s="130"/>
      <c r="AH11" s="109"/>
      <c r="AI11" s="130"/>
      <c r="AJ11" s="178"/>
      <c r="AK11" s="130"/>
      <c r="AL11" s="109"/>
      <c r="AM11" s="130"/>
      <c r="AN11" s="178"/>
      <c r="AO11" s="130"/>
      <c r="AP11" s="109"/>
      <c r="AQ11" s="130"/>
      <c r="AR11" s="178"/>
      <c r="AS11" s="130"/>
      <c r="AT11" s="109"/>
      <c r="AU11" s="130"/>
      <c r="AV11" s="178"/>
      <c r="AW11" s="130">
        <v>100</v>
      </c>
      <c r="AX11" s="109"/>
      <c r="AY11" s="130"/>
      <c r="AZ11" s="178"/>
      <c r="BA11" s="130"/>
      <c r="BB11" s="193"/>
      <c r="BC11" s="130"/>
      <c r="BD11" s="178"/>
      <c r="BE11" s="130">
        <f t="shared" si="28"/>
        <v>0</v>
      </c>
      <c r="BF11" s="109"/>
      <c r="BG11" s="130"/>
      <c r="BH11" s="180">
        <f t="shared" si="12"/>
        <v>0</v>
      </c>
      <c r="BI11" s="181">
        <f>Автовик_разбивка[[#This Row],[Цена, 
юань, без НДС 1]]*BH11</f>
        <v>0</v>
      </c>
      <c r="BJ11" s="130">
        <f t="shared" si="13"/>
        <v>100</v>
      </c>
      <c r="BK11" s="187">
        <f>Автовик_разбивка[[#This Row],[Цена, 
юань, без НДС 1]]*BJ11</f>
        <v>0</v>
      </c>
      <c r="BL11" s="109">
        <f t="shared" si="14"/>
        <v>0</v>
      </c>
      <c r="BM11" s="224">
        <f>Автовик_разбивка[[#This Row],[Цена, 
юань, без НДС 1]]*BL11</f>
        <v>0</v>
      </c>
      <c r="BN11" s="178"/>
      <c r="BO11" s="184"/>
      <c r="BP11" s="130">
        <f t="shared" si="29"/>
        <v>0</v>
      </c>
      <c r="BQ11" s="179"/>
      <c r="BR11" s="130"/>
      <c r="BS11" s="178"/>
      <c r="BT11" s="184"/>
      <c r="BU11" s="130">
        <f t="shared" si="30"/>
        <v>0</v>
      </c>
      <c r="BV11" s="179"/>
      <c r="BW11" s="130"/>
      <c r="BX11" s="178"/>
      <c r="BY11" s="184"/>
      <c r="BZ11" s="130">
        <f t="shared" si="31"/>
        <v>0</v>
      </c>
      <c r="CA11" s="179"/>
      <c r="CB11" s="130"/>
      <c r="CC11" s="178"/>
      <c r="CD11" s="184"/>
      <c r="CE11" s="130">
        <f t="shared" si="32"/>
        <v>0</v>
      </c>
      <c r="CF11" s="179"/>
      <c r="CG11" s="130"/>
      <c r="CH11" s="178"/>
      <c r="CI11" s="184"/>
      <c r="CJ11" s="130"/>
      <c r="CK11" s="109"/>
      <c r="CL11" s="130"/>
      <c r="CM11" s="178"/>
      <c r="CN11" s="184"/>
      <c r="CO11" s="130"/>
      <c r="CP11" s="109"/>
      <c r="CQ11" s="130"/>
      <c r="CR11" s="178"/>
      <c r="CS11" s="184"/>
      <c r="CT11" s="130"/>
      <c r="CU11" s="109"/>
      <c r="CV11" s="130"/>
      <c r="CW11" s="178"/>
      <c r="CX11" s="184"/>
      <c r="CY11" s="130"/>
      <c r="CZ11" s="109"/>
      <c r="DA11" s="130"/>
      <c r="DB11" s="178"/>
      <c r="DC11" s="184"/>
      <c r="DD11" s="130"/>
      <c r="DE11" s="109"/>
      <c r="DF11" s="130"/>
      <c r="DG11" s="178"/>
      <c r="DH11" s="184"/>
      <c r="DI11" s="130"/>
      <c r="DJ11" s="109"/>
      <c r="DK11" s="130"/>
      <c r="DL11" s="178"/>
      <c r="DM11" s="184"/>
      <c r="DN11" s="130"/>
      <c r="DO11" s="193"/>
      <c r="DP11" s="130"/>
      <c r="DQ11" s="178"/>
      <c r="DR11" s="184"/>
      <c r="DS11" s="130"/>
      <c r="DT11" s="109"/>
      <c r="DU11" s="130"/>
      <c r="DV11" s="180">
        <f t="shared" si="15"/>
        <v>0</v>
      </c>
      <c r="DW11" s="181">
        <f>Автовик_разбивка[[#This Row],[Цена, 
юань, без НДС 1]]*DV11</f>
        <v>0</v>
      </c>
      <c r="DX11" s="186">
        <f t="shared" si="16"/>
        <v>0</v>
      </c>
      <c r="DY11" s="186">
        <f>Автовик_разбивка[[#This Row],[Цена, 
юань, без НДС 1]]*DX11</f>
        <v>0</v>
      </c>
      <c r="DZ11" s="130">
        <f t="shared" si="17"/>
        <v>0</v>
      </c>
      <c r="EA11" s="187">
        <f>Автовик_разбивка[[#This Row],[Цена, 
юань, без НДС 1]]*DZ11</f>
        <v>0</v>
      </c>
      <c r="EB11" s="109">
        <f t="shared" si="18"/>
        <v>0</v>
      </c>
      <c r="EC11" s="224">
        <f>Автовик_разбивка[[#This Row],[Цена, 
юань, без НДС 1]]*EB11</f>
        <v>0</v>
      </c>
    </row>
    <row r="12" spans="1:133">
      <c r="A12" s="221">
        <v>11</v>
      </c>
      <c r="B12" s="172" t="s">
        <v>109</v>
      </c>
      <c r="C12" s="173" t="s">
        <v>298</v>
      </c>
      <c r="D12" s="173" t="s">
        <v>311</v>
      </c>
      <c r="E12" s="174">
        <v>2</v>
      </c>
      <c r="F12" s="174"/>
      <c r="G12" s="174"/>
      <c r="H12" s="175">
        <v>4497230500</v>
      </c>
      <c r="I12" s="176" t="s">
        <v>78</v>
      </c>
      <c r="J12" s="222"/>
      <c r="K12" s="223"/>
      <c r="L12" s="178">
        <v>140</v>
      </c>
      <c r="M12" s="130">
        <f t="shared" si="19"/>
        <v>150</v>
      </c>
      <c r="N12" s="179">
        <v>140</v>
      </c>
      <c r="O12" s="130"/>
      <c r="P12" s="178">
        <v>140</v>
      </c>
      <c r="Q12" s="130">
        <f t="shared" si="20"/>
        <v>140</v>
      </c>
      <c r="R12" s="179">
        <v>0</v>
      </c>
      <c r="S12" s="130"/>
      <c r="T12" s="178">
        <v>140</v>
      </c>
      <c r="U12" s="130">
        <f t="shared" si="2"/>
        <v>200</v>
      </c>
      <c r="V12" s="179">
        <v>200</v>
      </c>
      <c r="W12" s="130"/>
      <c r="X12" s="178">
        <v>140</v>
      </c>
      <c r="Y12" s="130">
        <f t="shared" si="21"/>
        <v>140</v>
      </c>
      <c r="Z12" s="179">
        <v>140</v>
      </c>
      <c r="AA12" s="130"/>
      <c r="AB12" s="178">
        <v>140</v>
      </c>
      <c r="AC12" s="130">
        <f t="shared" si="22"/>
        <v>140</v>
      </c>
      <c r="AD12" s="109"/>
      <c r="AE12" s="130"/>
      <c r="AF12" s="178">
        <v>140</v>
      </c>
      <c r="AG12" s="130">
        <f t="shared" si="23"/>
        <v>140</v>
      </c>
      <c r="AH12" s="109"/>
      <c r="AI12" s="130"/>
      <c r="AJ12" s="178">
        <v>140</v>
      </c>
      <c r="AK12" s="130">
        <f t="shared" si="24"/>
        <v>140</v>
      </c>
      <c r="AL12" s="109"/>
      <c r="AM12" s="130"/>
      <c r="AN12" s="178">
        <v>140</v>
      </c>
      <c r="AO12" s="130">
        <f t="shared" si="25"/>
        <v>100</v>
      </c>
      <c r="AP12" s="109"/>
      <c r="AQ12" s="130"/>
      <c r="AR12" s="178">
        <v>140</v>
      </c>
      <c r="AS12" s="130">
        <f t="shared" si="26"/>
        <v>100</v>
      </c>
      <c r="AT12" s="109"/>
      <c r="AU12" s="130"/>
      <c r="AV12" s="178">
        <v>140</v>
      </c>
      <c r="AW12" s="130"/>
      <c r="AX12" s="109"/>
      <c r="AY12" s="130"/>
      <c r="AZ12" s="178">
        <v>140</v>
      </c>
      <c r="BA12" s="130">
        <f t="shared" si="27"/>
        <v>100</v>
      </c>
      <c r="BB12" s="193"/>
      <c r="BC12" s="130"/>
      <c r="BD12" s="178">
        <v>140</v>
      </c>
      <c r="BE12" s="130">
        <f t="shared" si="28"/>
        <v>80</v>
      </c>
      <c r="BF12" s="109"/>
      <c r="BG12" s="130"/>
      <c r="BH12" s="180">
        <f t="shared" si="12"/>
        <v>1680</v>
      </c>
      <c r="BI12" s="181">
        <f>Автовик_разбивка[[#This Row],[Цена, 
юань, без НДС 1]]*BH12</f>
        <v>0</v>
      </c>
      <c r="BJ12" s="130">
        <f t="shared" si="13"/>
        <v>1430</v>
      </c>
      <c r="BK12" s="187">
        <f>Автовик_разбивка[[#This Row],[Цена, 
юань, без НДС 1]]*BJ12</f>
        <v>0</v>
      </c>
      <c r="BL12" s="109">
        <f t="shared" si="14"/>
        <v>480</v>
      </c>
      <c r="BM12" s="224">
        <f>Автовик_разбивка[[#This Row],[Цена, 
юань, без НДС 1]]*BL12</f>
        <v>0</v>
      </c>
      <c r="BN12" s="178"/>
      <c r="BO12" s="184"/>
      <c r="BP12" s="130">
        <f t="shared" si="29"/>
        <v>60</v>
      </c>
      <c r="BQ12" s="179"/>
      <c r="BR12" s="130"/>
      <c r="BS12" s="178"/>
      <c r="BT12" s="184"/>
      <c r="BU12" s="130">
        <f t="shared" si="30"/>
        <v>60</v>
      </c>
      <c r="BV12" s="179"/>
      <c r="BW12" s="130"/>
      <c r="BX12" s="178"/>
      <c r="BY12" s="184"/>
      <c r="BZ12" s="130">
        <f t="shared" si="31"/>
        <v>80</v>
      </c>
      <c r="CA12" s="179"/>
      <c r="CB12" s="130"/>
      <c r="CC12" s="178"/>
      <c r="CD12" s="184"/>
      <c r="CE12" s="130">
        <f t="shared" si="32"/>
        <v>80</v>
      </c>
      <c r="CF12" s="179"/>
      <c r="CG12" s="130"/>
      <c r="CH12" s="178"/>
      <c r="CI12" s="184"/>
      <c r="CJ12" s="130">
        <f t="shared" si="33"/>
        <v>100</v>
      </c>
      <c r="CK12" s="109"/>
      <c r="CL12" s="130"/>
      <c r="CM12" s="178"/>
      <c r="CN12" s="184"/>
      <c r="CO12" s="130">
        <f t="shared" si="34"/>
        <v>100</v>
      </c>
      <c r="CP12" s="109"/>
      <c r="CQ12" s="130"/>
      <c r="CR12" s="178"/>
      <c r="CS12" s="184"/>
      <c r="CT12" s="130">
        <f t="shared" si="35"/>
        <v>100</v>
      </c>
      <c r="CU12" s="109"/>
      <c r="CV12" s="130"/>
      <c r="CW12" s="178"/>
      <c r="CX12" s="184"/>
      <c r="CY12" s="130">
        <f t="shared" si="36"/>
        <v>100</v>
      </c>
      <c r="CZ12" s="109"/>
      <c r="DA12" s="130"/>
      <c r="DB12" s="178"/>
      <c r="DC12" s="184"/>
      <c r="DD12" s="130">
        <f t="shared" si="37"/>
        <v>100</v>
      </c>
      <c r="DE12" s="109"/>
      <c r="DF12" s="130"/>
      <c r="DG12" s="178"/>
      <c r="DH12" s="184"/>
      <c r="DI12" s="130">
        <f t="shared" si="38"/>
        <v>100</v>
      </c>
      <c r="DJ12" s="109"/>
      <c r="DK12" s="130"/>
      <c r="DL12" s="178"/>
      <c r="DM12" s="184"/>
      <c r="DN12" s="130">
        <f t="shared" si="39"/>
        <v>100</v>
      </c>
      <c r="DO12" s="193"/>
      <c r="DP12" s="130"/>
      <c r="DQ12" s="178"/>
      <c r="DR12" s="184"/>
      <c r="DS12" s="130">
        <f t="shared" si="40"/>
        <v>100</v>
      </c>
      <c r="DT12" s="109"/>
      <c r="DU12" s="130"/>
      <c r="DV12" s="180">
        <f t="shared" si="15"/>
        <v>0</v>
      </c>
      <c r="DW12" s="181">
        <f>Автовик_разбивка[[#This Row],[Цена, 
юань, без НДС 1]]*DV12</f>
        <v>0</v>
      </c>
      <c r="DX12" s="186">
        <f t="shared" si="16"/>
        <v>0</v>
      </c>
      <c r="DY12" s="186">
        <f>Автовик_разбивка[[#This Row],[Цена, 
юань, без НДС 1]]*DX12</f>
        <v>0</v>
      </c>
      <c r="DZ12" s="130">
        <f t="shared" si="17"/>
        <v>1080</v>
      </c>
      <c r="EA12" s="187">
        <f>Автовик_разбивка[[#This Row],[Цена, 
юань, без НДС 1]]*DZ12</f>
        <v>0</v>
      </c>
      <c r="EB12" s="109">
        <f t="shared" si="18"/>
        <v>0</v>
      </c>
      <c r="EC12" s="224">
        <f>Автовик_разбивка[[#This Row],[Цена, 
юань, без НДС 1]]*EB12</f>
        <v>0</v>
      </c>
    </row>
    <row r="13" spans="1:133">
      <c r="A13" s="221">
        <v>11</v>
      </c>
      <c r="B13" s="172" t="s">
        <v>109</v>
      </c>
      <c r="C13" s="173" t="s">
        <v>298</v>
      </c>
      <c r="D13" s="173" t="s">
        <v>311</v>
      </c>
      <c r="E13" s="174">
        <v>1</v>
      </c>
      <c r="F13" s="174"/>
      <c r="G13" s="174"/>
      <c r="H13" s="175">
        <v>4630320200</v>
      </c>
      <c r="I13" s="176" t="s">
        <v>80</v>
      </c>
      <c r="J13" s="222"/>
      <c r="K13" s="223"/>
      <c r="L13" s="178">
        <v>70</v>
      </c>
      <c r="M13" s="130">
        <f t="shared" si="19"/>
        <v>75</v>
      </c>
      <c r="N13" s="179">
        <v>70</v>
      </c>
      <c r="O13" s="130"/>
      <c r="P13" s="178">
        <v>70</v>
      </c>
      <c r="Q13" s="130">
        <f t="shared" si="20"/>
        <v>70</v>
      </c>
      <c r="R13" s="179">
        <v>0</v>
      </c>
      <c r="S13" s="130"/>
      <c r="T13" s="178">
        <v>70</v>
      </c>
      <c r="U13" s="130">
        <f t="shared" si="2"/>
        <v>100</v>
      </c>
      <c r="V13" s="179">
        <v>100</v>
      </c>
      <c r="W13" s="130"/>
      <c r="X13" s="178">
        <v>70</v>
      </c>
      <c r="Y13" s="130">
        <f t="shared" si="21"/>
        <v>70</v>
      </c>
      <c r="Z13" s="179">
        <v>70</v>
      </c>
      <c r="AA13" s="130"/>
      <c r="AB13" s="178">
        <v>70</v>
      </c>
      <c r="AC13" s="130">
        <f t="shared" si="22"/>
        <v>70</v>
      </c>
      <c r="AD13" s="109"/>
      <c r="AE13" s="130"/>
      <c r="AF13" s="178">
        <v>70</v>
      </c>
      <c r="AG13" s="130">
        <f t="shared" si="23"/>
        <v>70</v>
      </c>
      <c r="AH13" s="109"/>
      <c r="AI13" s="130"/>
      <c r="AJ13" s="178">
        <v>70</v>
      </c>
      <c r="AK13" s="130">
        <f t="shared" si="24"/>
        <v>70</v>
      </c>
      <c r="AL13" s="109"/>
      <c r="AM13" s="130"/>
      <c r="AN13" s="178">
        <v>70</v>
      </c>
      <c r="AO13" s="130">
        <f t="shared" si="25"/>
        <v>50</v>
      </c>
      <c r="AP13" s="109"/>
      <c r="AQ13" s="130"/>
      <c r="AR13" s="178">
        <v>70</v>
      </c>
      <c r="AS13" s="130">
        <f t="shared" si="26"/>
        <v>50</v>
      </c>
      <c r="AT13" s="109"/>
      <c r="AU13" s="130"/>
      <c r="AV13" s="178">
        <v>70</v>
      </c>
      <c r="AW13" s="130"/>
      <c r="AX13" s="109"/>
      <c r="AY13" s="130"/>
      <c r="AZ13" s="178">
        <v>70</v>
      </c>
      <c r="BA13" s="130"/>
      <c r="BB13" s="194"/>
      <c r="BC13" s="130"/>
      <c r="BD13" s="178">
        <v>70</v>
      </c>
      <c r="BE13" s="130">
        <f t="shared" si="28"/>
        <v>40</v>
      </c>
      <c r="BF13" s="109"/>
      <c r="BG13" s="130"/>
      <c r="BH13" s="180">
        <f t="shared" si="12"/>
        <v>840</v>
      </c>
      <c r="BI13" s="181">
        <f>Автовик_разбивка[[#This Row],[Цена, 
юань, без НДС 1]]*BH13</f>
        <v>0</v>
      </c>
      <c r="BJ13" s="130">
        <f t="shared" si="13"/>
        <v>665</v>
      </c>
      <c r="BK13" s="187">
        <f>Автовик_разбивка[[#This Row],[Цена, 
юань, без НДС 1]]*BJ13</f>
        <v>0</v>
      </c>
      <c r="BL13" s="109">
        <f t="shared" si="14"/>
        <v>240</v>
      </c>
      <c r="BM13" s="224">
        <f>Автовик_разбивка[[#This Row],[Цена, 
юань, без НДС 1]]*BL13</f>
        <v>0</v>
      </c>
      <c r="BN13" s="178"/>
      <c r="BO13" s="184"/>
      <c r="BP13" s="130">
        <f t="shared" si="29"/>
        <v>30</v>
      </c>
      <c r="BQ13" s="179"/>
      <c r="BR13" s="130"/>
      <c r="BS13" s="178"/>
      <c r="BT13" s="184"/>
      <c r="BU13" s="130">
        <f t="shared" si="30"/>
        <v>30</v>
      </c>
      <c r="BV13" s="179"/>
      <c r="BW13" s="130"/>
      <c r="BX13" s="178"/>
      <c r="BY13" s="184"/>
      <c r="BZ13" s="130">
        <f t="shared" si="31"/>
        <v>40</v>
      </c>
      <c r="CA13" s="179"/>
      <c r="CB13" s="130"/>
      <c r="CC13" s="178"/>
      <c r="CD13" s="184"/>
      <c r="CE13" s="130">
        <f t="shared" si="32"/>
        <v>40</v>
      </c>
      <c r="CF13" s="179"/>
      <c r="CG13" s="130"/>
      <c r="CH13" s="178"/>
      <c r="CI13" s="184"/>
      <c r="CJ13" s="130">
        <f t="shared" si="33"/>
        <v>50</v>
      </c>
      <c r="CK13" s="109"/>
      <c r="CL13" s="130"/>
      <c r="CM13" s="178"/>
      <c r="CN13" s="184"/>
      <c r="CO13" s="130">
        <f t="shared" si="34"/>
        <v>50</v>
      </c>
      <c r="CP13" s="109"/>
      <c r="CQ13" s="130"/>
      <c r="CR13" s="178"/>
      <c r="CS13" s="184"/>
      <c r="CT13" s="130">
        <f t="shared" si="35"/>
        <v>50</v>
      </c>
      <c r="CU13" s="109"/>
      <c r="CV13" s="130"/>
      <c r="CW13" s="178"/>
      <c r="CX13" s="184"/>
      <c r="CY13" s="130">
        <f t="shared" si="36"/>
        <v>50</v>
      </c>
      <c r="CZ13" s="109"/>
      <c r="DA13" s="130"/>
      <c r="DB13" s="178"/>
      <c r="DC13" s="184"/>
      <c r="DD13" s="130">
        <f t="shared" si="37"/>
        <v>50</v>
      </c>
      <c r="DE13" s="109"/>
      <c r="DF13" s="130"/>
      <c r="DG13" s="178"/>
      <c r="DH13" s="184"/>
      <c r="DI13" s="130">
        <f t="shared" si="38"/>
        <v>50</v>
      </c>
      <c r="DJ13" s="109"/>
      <c r="DK13" s="130"/>
      <c r="DL13" s="178"/>
      <c r="DM13" s="184"/>
      <c r="DN13" s="130">
        <f t="shared" si="39"/>
        <v>50</v>
      </c>
      <c r="DO13" s="194"/>
      <c r="DP13" s="130"/>
      <c r="DQ13" s="178"/>
      <c r="DR13" s="184"/>
      <c r="DS13" s="130">
        <f t="shared" si="40"/>
        <v>50</v>
      </c>
      <c r="DT13" s="109"/>
      <c r="DU13" s="130"/>
      <c r="DV13" s="180">
        <f t="shared" si="15"/>
        <v>0</v>
      </c>
      <c r="DW13" s="181">
        <f>Автовик_разбивка[[#This Row],[Цена, 
юань, без НДС 1]]*DV13</f>
        <v>0</v>
      </c>
      <c r="DX13" s="186">
        <f t="shared" si="16"/>
        <v>0</v>
      </c>
      <c r="DY13" s="186">
        <f>Автовик_разбивка[[#This Row],[Цена, 
юань, без НДС 1]]*DX13</f>
        <v>0</v>
      </c>
      <c r="DZ13" s="130">
        <f t="shared" si="17"/>
        <v>540</v>
      </c>
      <c r="EA13" s="187">
        <f>Автовик_разбивка[[#This Row],[Цена, 
юань, без НДС 1]]*DZ13</f>
        <v>0</v>
      </c>
      <c r="EB13" s="109">
        <f t="shared" si="18"/>
        <v>0</v>
      </c>
      <c r="EC13" s="224">
        <f>Автовик_разбивка[[#This Row],[Цена, 
юань, без НДС 1]]*EB13</f>
        <v>0</v>
      </c>
    </row>
    <row r="14" spans="1:133">
      <c r="A14" s="221">
        <v>11</v>
      </c>
      <c r="B14" s="172" t="s">
        <v>109</v>
      </c>
      <c r="C14" s="173" t="s">
        <v>298</v>
      </c>
      <c r="D14" s="173" t="s">
        <v>311</v>
      </c>
      <c r="E14" s="174"/>
      <c r="F14" s="174"/>
      <c r="G14" s="174"/>
      <c r="H14" s="175" t="s">
        <v>149</v>
      </c>
      <c r="I14" s="176" t="s">
        <v>80</v>
      </c>
      <c r="J14" s="222"/>
      <c r="K14" s="223"/>
      <c r="L14" s="178"/>
      <c r="M14" s="130"/>
      <c r="N14" s="179"/>
      <c r="O14" s="130"/>
      <c r="P14" s="178"/>
      <c r="Q14" s="130"/>
      <c r="R14" s="179"/>
      <c r="S14" s="130"/>
      <c r="T14" s="178"/>
      <c r="U14" s="130"/>
      <c r="V14" s="179"/>
      <c r="W14" s="130"/>
      <c r="X14" s="178"/>
      <c r="Y14" s="130"/>
      <c r="Z14" s="179"/>
      <c r="AA14" s="130"/>
      <c r="AB14" s="178"/>
      <c r="AC14" s="130"/>
      <c r="AD14" s="109"/>
      <c r="AE14" s="130"/>
      <c r="AF14" s="178"/>
      <c r="AG14" s="130"/>
      <c r="AH14" s="109"/>
      <c r="AI14" s="130"/>
      <c r="AJ14" s="178"/>
      <c r="AK14" s="130"/>
      <c r="AL14" s="109"/>
      <c r="AM14" s="130"/>
      <c r="AN14" s="178"/>
      <c r="AO14" s="130"/>
      <c r="AP14" s="109"/>
      <c r="AQ14" s="130"/>
      <c r="AR14" s="178"/>
      <c r="AS14" s="130"/>
      <c r="AT14" s="109"/>
      <c r="AU14" s="130"/>
      <c r="AV14" s="178"/>
      <c r="AW14" s="130">
        <v>50</v>
      </c>
      <c r="AX14" s="109"/>
      <c r="AY14" s="130"/>
      <c r="AZ14" s="178"/>
      <c r="BA14" s="130">
        <v>50</v>
      </c>
      <c r="BB14" s="194"/>
      <c r="BC14" s="130"/>
      <c r="BD14" s="178"/>
      <c r="BE14" s="130">
        <f t="shared" si="28"/>
        <v>0</v>
      </c>
      <c r="BF14" s="109"/>
      <c r="BG14" s="130"/>
      <c r="BH14" s="180">
        <f t="shared" si="12"/>
        <v>0</v>
      </c>
      <c r="BI14" s="181">
        <f>Автовик_разбивка[[#This Row],[Цена, 
юань, без НДС 1]]*BH14</f>
        <v>0</v>
      </c>
      <c r="BJ14" s="130">
        <f t="shared" si="13"/>
        <v>100</v>
      </c>
      <c r="BK14" s="187">
        <f>Автовик_разбивка[[#This Row],[Цена, 
юань, без НДС 1]]*BJ14</f>
        <v>0</v>
      </c>
      <c r="BL14" s="109">
        <f t="shared" si="14"/>
        <v>0</v>
      </c>
      <c r="BM14" s="224">
        <f>Автовик_разбивка[[#This Row],[Цена, 
юань, без НДС 1]]*BL14</f>
        <v>0</v>
      </c>
      <c r="BN14" s="178"/>
      <c r="BO14" s="184"/>
      <c r="BP14" s="130">
        <f t="shared" si="29"/>
        <v>0</v>
      </c>
      <c r="BQ14" s="179"/>
      <c r="BR14" s="130"/>
      <c r="BS14" s="178"/>
      <c r="BT14" s="184"/>
      <c r="BU14" s="130">
        <f t="shared" si="30"/>
        <v>0</v>
      </c>
      <c r="BV14" s="179"/>
      <c r="BW14" s="130"/>
      <c r="BX14" s="178"/>
      <c r="BY14" s="184"/>
      <c r="BZ14" s="130">
        <f t="shared" si="31"/>
        <v>0</v>
      </c>
      <c r="CA14" s="179"/>
      <c r="CB14" s="130"/>
      <c r="CC14" s="178"/>
      <c r="CD14" s="184"/>
      <c r="CE14" s="130">
        <f t="shared" si="32"/>
        <v>0</v>
      </c>
      <c r="CF14" s="179"/>
      <c r="CG14" s="130"/>
      <c r="CH14" s="178"/>
      <c r="CI14" s="184"/>
      <c r="CJ14" s="130"/>
      <c r="CK14" s="109"/>
      <c r="CL14" s="130"/>
      <c r="CM14" s="178"/>
      <c r="CN14" s="184"/>
      <c r="CO14" s="130"/>
      <c r="CP14" s="109"/>
      <c r="CQ14" s="130"/>
      <c r="CR14" s="178"/>
      <c r="CS14" s="184"/>
      <c r="CT14" s="130"/>
      <c r="CU14" s="109"/>
      <c r="CV14" s="130"/>
      <c r="CW14" s="178"/>
      <c r="CX14" s="184"/>
      <c r="CY14" s="130"/>
      <c r="CZ14" s="109"/>
      <c r="DA14" s="130"/>
      <c r="DB14" s="178"/>
      <c r="DC14" s="184"/>
      <c r="DD14" s="130"/>
      <c r="DE14" s="109"/>
      <c r="DF14" s="130"/>
      <c r="DG14" s="178"/>
      <c r="DH14" s="184"/>
      <c r="DI14" s="130"/>
      <c r="DJ14" s="109"/>
      <c r="DK14" s="130"/>
      <c r="DL14" s="178"/>
      <c r="DM14" s="184"/>
      <c r="DN14" s="130"/>
      <c r="DO14" s="194"/>
      <c r="DP14" s="130"/>
      <c r="DQ14" s="178"/>
      <c r="DR14" s="184"/>
      <c r="DS14" s="130"/>
      <c r="DT14" s="109"/>
      <c r="DU14" s="130"/>
      <c r="DV14" s="180">
        <f t="shared" si="15"/>
        <v>0</v>
      </c>
      <c r="DW14" s="181">
        <f>Автовик_разбивка[[#This Row],[Цена, 
юань, без НДС 1]]*DV14</f>
        <v>0</v>
      </c>
      <c r="DX14" s="186">
        <f t="shared" si="16"/>
        <v>0</v>
      </c>
      <c r="DY14" s="186">
        <f>Автовик_разбивка[[#This Row],[Цена, 
юань, без НДС 1]]*DX14</f>
        <v>0</v>
      </c>
      <c r="DZ14" s="130">
        <f t="shared" si="17"/>
        <v>0</v>
      </c>
      <c r="EA14" s="187">
        <f>Автовик_разбивка[[#This Row],[Цена, 
юань, без НДС 1]]*DZ14</f>
        <v>0</v>
      </c>
      <c r="EB14" s="109">
        <f t="shared" si="18"/>
        <v>0</v>
      </c>
      <c r="EC14" s="224">
        <f>Автовик_разбивка[[#This Row],[Цена, 
юань, без НДС 1]]*EB14</f>
        <v>0</v>
      </c>
    </row>
    <row r="15" spans="1:133">
      <c r="A15" s="221">
        <v>11</v>
      </c>
      <c r="B15" s="172" t="s">
        <v>109</v>
      </c>
      <c r="C15" s="173" t="s">
        <v>298</v>
      </c>
      <c r="D15" s="173" t="s">
        <v>311</v>
      </c>
      <c r="E15" s="174">
        <v>1</v>
      </c>
      <c r="F15" s="174"/>
      <c r="G15" s="174"/>
      <c r="H15" s="175">
        <v>4640061000</v>
      </c>
      <c r="I15" s="176" t="s">
        <v>79</v>
      </c>
      <c r="J15" s="222"/>
      <c r="K15" s="223"/>
      <c r="L15" s="178">
        <v>70</v>
      </c>
      <c r="M15" s="130">
        <f t="shared" si="19"/>
        <v>75</v>
      </c>
      <c r="N15" s="179">
        <v>70</v>
      </c>
      <c r="O15" s="130"/>
      <c r="P15" s="178">
        <v>70</v>
      </c>
      <c r="Q15" s="130">
        <f t="shared" si="20"/>
        <v>70</v>
      </c>
      <c r="R15" s="179">
        <v>0</v>
      </c>
      <c r="S15" s="130"/>
      <c r="T15" s="178">
        <v>70</v>
      </c>
      <c r="U15" s="130">
        <f t="shared" si="2"/>
        <v>100</v>
      </c>
      <c r="V15" s="179">
        <v>100</v>
      </c>
      <c r="W15" s="130"/>
      <c r="X15" s="178">
        <v>70</v>
      </c>
      <c r="Y15" s="130">
        <f t="shared" si="21"/>
        <v>70</v>
      </c>
      <c r="Z15" s="179">
        <v>70</v>
      </c>
      <c r="AA15" s="130"/>
      <c r="AB15" s="178">
        <v>70</v>
      </c>
      <c r="AC15" s="130">
        <f t="shared" si="22"/>
        <v>70</v>
      </c>
      <c r="AD15" s="109"/>
      <c r="AE15" s="130"/>
      <c r="AF15" s="178">
        <v>70</v>
      </c>
      <c r="AG15" s="130">
        <f t="shared" si="23"/>
        <v>70</v>
      </c>
      <c r="AH15" s="109"/>
      <c r="AI15" s="130"/>
      <c r="AJ15" s="178">
        <v>70</v>
      </c>
      <c r="AK15" s="130">
        <f t="shared" si="24"/>
        <v>70</v>
      </c>
      <c r="AL15" s="109"/>
      <c r="AM15" s="130"/>
      <c r="AN15" s="178">
        <v>70</v>
      </c>
      <c r="AO15" s="130">
        <f t="shared" si="25"/>
        <v>50</v>
      </c>
      <c r="AP15" s="109"/>
      <c r="AQ15" s="130"/>
      <c r="AR15" s="178">
        <v>70</v>
      </c>
      <c r="AS15" s="130">
        <f t="shared" si="26"/>
        <v>50</v>
      </c>
      <c r="AT15" s="109"/>
      <c r="AU15" s="130"/>
      <c r="AV15" s="178">
        <v>70</v>
      </c>
      <c r="AW15" s="130">
        <f t="shared" ref="AW15:AW20" si="41">$E15*50</f>
        <v>50</v>
      </c>
      <c r="AX15" s="109"/>
      <c r="AY15" s="130"/>
      <c r="AZ15" s="178">
        <v>70</v>
      </c>
      <c r="BA15" s="130">
        <f t="shared" si="27"/>
        <v>50</v>
      </c>
      <c r="BB15" s="179"/>
      <c r="BC15" s="130"/>
      <c r="BD15" s="178">
        <v>70</v>
      </c>
      <c r="BE15" s="130">
        <f t="shared" si="28"/>
        <v>40</v>
      </c>
      <c r="BF15" s="109"/>
      <c r="BG15" s="130"/>
      <c r="BH15" s="180">
        <f t="shared" si="12"/>
        <v>840</v>
      </c>
      <c r="BI15" s="181">
        <f>Автовик_разбивка[[#This Row],[Цена, 
юань, без НДС 1]]*BH15</f>
        <v>0</v>
      </c>
      <c r="BJ15" s="130">
        <f t="shared" si="13"/>
        <v>765</v>
      </c>
      <c r="BK15" s="187">
        <f>Автовик_разбивка[[#This Row],[Цена, 
юань, без НДС 1]]*BJ15</f>
        <v>0</v>
      </c>
      <c r="BL15" s="109">
        <f t="shared" si="14"/>
        <v>240</v>
      </c>
      <c r="BM15" s="224">
        <f>Автовик_разбивка[[#This Row],[Цена, 
юань, без НДС 1]]*BL15</f>
        <v>0</v>
      </c>
      <c r="BN15" s="178"/>
      <c r="BO15" s="184"/>
      <c r="BP15" s="130">
        <f t="shared" si="29"/>
        <v>30</v>
      </c>
      <c r="BQ15" s="179"/>
      <c r="BR15" s="130"/>
      <c r="BS15" s="178"/>
      <c r="BT15" s="184"/>
      <c r="BU15" s="130">
        <f t="shared" si="30"/>
        <v>30</v>
      </c>
      <c r="BV15" s="179"/>
      <c r="BW15" s="130"/>
      <c r="BX15" s="178"/>
      <c r="BY15" s="184"/>
      <c r="BZ15" s="130">
        <f t="shared" si="31"/>
        <v>40</v>
      </c>
      <c r="CA15" s="179"/>
      <c r="CB15" s="130"/>
      <c r="CC15" s="178"/>
      <c r="CD15" s="184"/>
      <c r="CE15" s="130">
        <f t="shared" si="32"/>
        <v>40</v>
      </c>
      <c r="CF15" s="179"/>
      <c r="CG15" s="130"/>
      <c r="CH15" s="178"/>
      <c r="CI15" s="184"/>
      <c r="CJ15" s="130">
        <f t="shared" si="33"/>
        <v>50</v>
      </c>
      <c r="CK15" s="109"/>
      <c r="CL15" s="130"/>
      <c r="CM15" s="178"/>
      <c r="CN15" s="184"/>
      <c r="CO15" s="130">
        <f t="shared" si="34"/>
        <v>50</v>
      </c>
      <c r="CP15" s="109"/>
      <c r="CQ15" s="130"/>
      <c r="CR15" s="178"/>
      <c r="CS15" s="184"/>
      <c r="CT15" s="130">
        <f t="shared" si="35"/>
        <v>50</v>
      </c>
      <c r="CU15" s="109"/>
      <c r="CV15" s="130"/>
      <c r="CW15" s="178"/>
      <c r="CX15" s="184"/>
      <c r="CY15" s="130">
        <f t="shared" si="36"/>
        <v>50</v>
      </c>
      <c r="CZ15" s="109"/>
      <c r="DA15" s="130"/>
      <c r="DB15" s="178"/>
      <c r="DC15" s="184"/>
      <c r="DD15" s="130">
        <f t="shared" si="37"/>
        <v>50</v>
      </c>
      <c r="DE15" s="109"/>
      <c r="DF15" s="130"/>
      <c r="DG15" s="178"/>
      <c r="DH15" s="184"/>
      <c r="DI15" s="130">
        <f t="shared" si="38"/>
        <v>50</v>
      </c>
      <c r="DJ15" s="109"/>
      <c r="DK15" s="130"/>
      <c r="DL15" s="178"/>
      <c r="DM15" s="184"/>
      <c r="DN15" s="130">
        <f t="shared" si="39"/>
        <v>50</v>
      </c>
      <c r="DO15" s="179"/>
      <c r="DP15" s="130"/>
      <c r="DQ15" s="178"/>
      <c r="DR15" s="184"/>
      <c r="DS15" s="130">
        <f t="shared" si="40"/>
        <v>50</v>
      </c>
      <c r="DT15" s="109"/>
      <c r="DU15" s="130"/>
      <c r="DV15" s="180">
        <f t="shared" si="15"/>
        <v>0</v>
      </c>
      <c r="DW15" s="181">
        <f>Автовик_разбивка[[#This Row],[Цена, 
юань, без НДС 1]]*DV15</f>
        <v>0</v>
      </c>
      <c r="DX15" s="186">
        <f t="shared" si="16"/>
        <v>0</v>
      </c>
      <c r="DY15" s="186">
        <f>Автовик_разбивка[[#This Row],[Цена, 
юань, без НДС 1]]*DX15</f>
        <v>0</v>
      </c>
      <c r="DZ15" s="130">
        <f t="shared" si="17"/>
        <v>540</v>
      </c>
      <c r="EA15" s="187">
        <f>Автовик_разбивка[[#This Row],[Цена, 
юань, без НДС 1]]*DZ15</f>
        <v>0</v>
      </c>
      <c r="EB15" s="109">
        <f t="shared" si="18"/>
        <v>0</v>
      </c>
      <c r="EC15" s="224">
        <f>Автовик_разбивка[[#This Row],[Цена, 
юань, без НДС 1]]*EB15</f>
        <v>0</v>
      </c>
    </row>
    <row r="16" spans="1:133">
      <c r="A16" s="221">
        <v>11</v>
      </c>
      <c r="B16" s="172" t="s">
        <v>109</v>
      </c>
      <c r="C16" s="173" t="s">
        <v>298</v>
      </c>
      <c r="D16" s="173" t="s">
        <v>311</v>
      </c>
      <c r="E16" s="174">
        <v>1</v>
      </c>
      <c r="F16" s="174"/>
      <c r="G16" s="174"/>
      <c r="H16" s="175">
        <v>4801020640</v>
      </c>
      <c r="I16" s="176" t="s">
        <v>76</v>
      </c>
      <c r="J16" s="222"/>
      <c r="K16" s="223"/>
      <c r="L16" s="178">
        <v>70</v>
      </c>
      <c r="M16" s="130">
        <f t="shared" si="19"/>
        <v>75</v>
      </c>
      <c r="N16" s="179">
        <v>24</v>
      </c>
      <c r="O16" s="130"/>
      <c r="P16" s="178">
        <v>70</v>
      </c>
      <c r="Q16" s="130">
        <f t="shared" si="20"/>
        <v>70</v>
      </c>
      <c r="R16" s="179">
        <v>0</v>
      </c>
      <c r="S16" s="130"/>
      <c r="T16" s="178">
        <v>70</v>
      </c>
      <c r="U16" s="130">
        <f t="shared" si="2"/>
        <v>100</v>
      </c>
      <c r="V16" s="179">
        <v>80</v>
      </c>
      <c r="W16" s="130"/>
      <c r="X16" s="178">
        <v>70</v>
      </c>
      <c r="Y16" s="130">
        <f t="shared" si="21"/>
        <v>70</v>
      </c>
      <c r="Z16" s="179">
        <v>70</v>
      </c>
      <c r="AA16" s="130"/>
      <c r="AB16" s="178">
        <v>70</v>
      </c>
      <c r="AC16" s="130">
        <f t="shared" si="22"/>
        <v>70</v>
      </c>
      <c r="AD16" s="109"/>
      <c r="AE16" s="130"/>
      <c r="AF16" s="178">
        <v>70</v>
      </c>
      <c r="AG16" s="130">
        <f t="shared" si="23"/>
        <v>70</v>
      </c>
      <c r="AH16" s="109"/>
      <c r="AI16" s="130"/>
      <c r="AJ16" s="178">
        <v>70</v>
      </c>
      <c r="AK16" s="130">
        <f t="shared" si="24"/>
        <v>70</v>
      </c>
      <c r="AL16" s="109"/>
      <c r="AM16" s="130"/>
      <c r="AN16" s="178">
        <v>70</v>
      </c>
      <c r="AO16" s="130">
        <f t="shared" si="25"/>
        <v>50</v>
      </c>
      <c r="AP16" s="109"/>
      <c r="AQ16" s="130"/>
      <c r="AR16" s="178">
        <v>70</v>
      </c>
      <c r="AS16" s="130">
        <f t="shared" si="26"/>
        <v>50</v>
      </c>
      <c r="AT16" s="109"/>
      <c r="AU16" s="130"/>
      <c r="AV16" s="178">
        <v>70</v>
      </c>
      <c r="AW16" s="130">
        <f t="shared" si="41"/>
        <v>50</v>
      </c>
      <c r="AX16" s="109"/>
      <c r="AY16" s="130"/>
      <c r="AZ16" s="178">
        <v>70</v>
      </c>
      <c r="BA16" s="130">
        <f t="shared" si="27"/>
        <v>50</v>
      </c>
      <c r="BB16" s="193"/>
      <c r="BC16" s="130"/>
      <c r="BD16" s="178">
        <v>70</v>
      </c>
      <c r="BE16" s="130">
        <f t="shared" si="28"/>
        <v>40</v>
      </c>
      <c r="BF16" s="109"/>
      <c r="BG16" s="130"/>
      <c r="BH16" s="180">
        <f t="shared" si="12"/>
        <v>840</v>
      </c>
      <c r="BI16" s="181">
        <f>Автовик_разбивка[[#This Row],[Цена, 
юань, без НДС 1]]*BH16</f>
        <v>0</v>
      </c>
      <c r="BJ16" s="130">
        <f t="shared" si="13"/>
        <v>765</v>
      </c>
      <c r="BK16" s="187">
        <f>Автовик_разбивка[[#This Row],[Цена, 
юань, без НДС 1]]*BJ16</f>
        <v>0</v>
      </c>
      <c r="BL16" s="109">
        <f t="shared" si="14"/>
        <v>174</v>
      </c>
      <c r="BM16" s="224">
        <f>Автовик_разбивка[[#This Row],[Цена, 
юань, без НДС 1]]*BL16</f>
        <v>0</v>
      </c>
      <c r="BN16" s="178"/>
      <c r="BO16" s="184"/>
      <c r="BP16" s="130">
        <f t="shared" si="29"/>
        <v>30</v>
      </c>
      <c r="BQ16" s="179"/>
      <c r="BR16" s="130"/>
      <c r="BS16" s="178"/>
      <c r="BT16" s="184"/>
      <c r="BU16" s="130">
        <f t="shared" si="30"/>
        <v>30</v>
      </c>
      <c r="BV16" s="179"/>
      <c r="BW16" s="130"/>
      <c r="BX16" s="178"/>
      <c r="BY16" s="184"/>
      <c r="BZ16" s="130">
        <f t="shared" si="31"/>
        <v>40</v>
      </c>
      <c r="CA16" s="179"/>
      <c r="CB16" s="130"/>
      <c r="CC16" s="178"/>
      <c r="CD16" s="184"/>
      <c r="CE16" s="130">
        <f t="shared" si="32"/>
        <v>40</v>
      </c>
      <c r="CF16" s="179"/>
      <c r="CG16" s="130"/>
      <c r="CH16" s="178"/>
      <c r="CI16" s="184"/>
      <c r="CJ16" s="130">
        <f t="shared" si="33"/>
        <v>50</v>
      </c>
      <c r="CK16" s="109"/>
      <c r="CL16" s="130"/>
      <c r="CM16" s="178"/>
      <c r="CN16" s="184"/>
      <c r="CO16" s="130">
        <f t="shared" si="34"/>
        <v>50</v>
      </c>
      <c r="CP16" s="109"/>
      <c r="CQ16" s="130"/>
      <c r="CR16" s="178"/>
      <c r="CS16" s="184"/>
      <c r="CT16" s="130">
        <f t="shared" si="35"/>
        <v>50</v>
      </c>
      <c r="CU16" s="109"/>
      <c r="CV16" s="130"/>
      <c r="CW16" s="178"/>
      <c r="CX16" s="184"/>
      <c r="CY16" s="130">
        <f t="shared" si="36"/>
        <v>50</v>
      </c>
      <c r="CZ16" s="109"/>
      <c r="DA16" s="130"/>
      <c r="DB16" s="178"/>
      <c r="DC16" s="184"/>
      <c r="DD16" s="130">
        <f t="shared" si="37"/>
        <v>50</v>
      </c>
      <c r="DE16" s="109"/>
      <c r="DF16" s="130"/>
      <c r="DG16" s="178"/>
      <c r="DH16" s="184"/>
      <c r="DI16" s="130">
        <f t="shared" si="38"/>
        <v>50</v>
      </c>
      <c r="DJ16" s="109"/>
      <c r="DK16" s="130"/>
      <c r="DL16" s="178"/>
      <c r="DM16" s="184"/>
      <c r="DN16" s="130">
        <f t="shared" si="39"/>
        <v>50</v>
      </c>
      <c r="DO16" s="193"/>
      <c r="DP16" s="130"/>
      <c r="DQ16" s="178"/>
      <c r="DR16" s="184"/>
      <c r="DS16" s="130">
        <f t="shared" si="40"/>
        <v>50</v>
      </c>
      <c r="DT16" s="109"/>
      <c r="DU16" s="130"/>
      <c r="DV16" s="180">
        <f t="shared" si="15"/>
        <v>0</v>
      </c>
      <c r="DW16" s="181">
        <f>Автовик_разбивка[[#This Row],[Цена, 
юань, без НДС 1]]*DV16</f>
        <v>0</v>
      </c>
      <c r="DX16" s="186">
        <f t="shared" si="16"/>
        <v>0</v>
      </c>
      <c r="DY16" s="186">
        <f>Автовик_разбивка[[#This Row],[Цена, 
юань, без НДС 1]]*DX16</f>
        <v>0</v>
      </c>
      <c r="DZ16" s="130">
        <f t="shared" si="17"/>
        <v>540</v>
      </c>
      <c r="EA16" s="187">
        <f>Автовик_разбивка[[#This Row],[Цена, 
юань, без НДС 1]]*DZ16</f>
        <v>0</v>
      </c>
      <c r="EB16" s="109">
        <f t="shared" si="18"/>
        <v>0</v>
      </c>
      <c r="EC16" s="224">
        <f>Автовик_разбивка[[#This Row],[Цена, 
юань, без НДС 1]]*EB16</f>
        <v>0</v>
      </c>
    </row>
    <row r="17" spans="1:133">
      <c r="A17" s="221">
        <v>11</v>
      </c>
      <c r="B17" s="172" t="s">
        <v>109</v>
      </c>
      <c r="C17" s="173" t="s">
        <v>298</v>
      </c>
      <c r="D17" s="173" t="s">
        <v>311</v>
      </c>
      <c r="E17" s="174"/>
      <c r="F17" s="174"/>
      <c r="G17" s="174"/>
      <c r="H17" s="225">
        <v>4801020640</v>
      </c>
      <c r="I17" s="226" t="s">
        <v>312</v>
      </c>
      <c r="J17" s="222"/>
      <c r="K17" s="223"/>
      <c r="L17" s="178"/>
      <c r="M17" s="130">
        <v>0</v>
      </c>
      <c r="N17" s="179">
        <v>46</v>
      </c>
      <c r="O17" s="130"/>
      <c r="P17" s="178"/>
      <c r="Q17" s="130">
        <v>0</v>
      </c>
      <c r="R17" s="179">
        <v>0</v>
      </c>
      <c r="S17" s="130"/>
      <c r="T17" s="178"/>
      <c r="U17" s="130">
        <v>0</v>
      </c>
      <c r="V17" s="179">
        <v>20</v>
      </c>
      <c r="W17" s="130"/>
      <c r="X17" s="178"/>
      <c r="Y17" s="130">
        <v>0</v>
      </c>
      <c r="Z17" s="179">
        <v>0</v>
      </c>
      <c r="AA17" s="130"/>
      <c r="AB17" s="178"/>
      <c r="AC17" s="130"/>
      <c r="AD17" s="109"/>
      <c r="AE17" s="130"/>
      <c r="AF17" s="178"/>
      <c r="AG17" s="130"/>
      <c r="AH17" s="109"/>
      <c r="AI17" s="130"/>
      <c r="AJ17" s="178"/>
      <c r="AK17" s="130"/>
      <c r="AL17" s="109"/>
      <c r="AM17" s="130"/>
      <c r="AN17" s="178"/>
      <c r="AO17" s="130"/>
      <c r="AP17" s="109"/>
      <c r="AQ17" s="130"/>
      <c r="AR17" s="178"/>
      <c r="AS17" s="130"/>
      <c r="AT17" s="109"/>
      <c r="AU17" s="130"/>
      <c r="AV17" s="178"/>
      <c r="AW17" s="130"/>
      <c r="AX17" s="109"/>
      <c r="AY17" s="130"/>
      <c r="AZ17" s="178"/>
      <c r="BA17" s="130">
        <f t="shared" si="27"/>
        <v>0</v>
      </c>
      <c r="BB17" s="179"/>
      <c r="BC17" s="130"/>
      <c r="BD17" s="178"/>
      <c r="BE17" s="130">
        <f t="shared" si="28"/>
        <v>0</v>
      </c>
      <c r="BF17" s="109"/>
      <c r="BG17" s="130"/>
      <c r="BH17" s="180">
        <f t="shared" si="12"/>
        <v>0</v>
      </c>
      <c r="BI17" s="181">
        <f>Автовик_разбивка[[#This Row],[Цена, 
юань, без НДС 1]]*BH17</f>
        <v>0</v>
      </c>
      <c r="BJ17" s="130">
        <f t="shared" si="13"/>
        <v>0</v>
      </c>
      <c r="BK17" s="187">
        <f>Автовик_разбивка[[#This Row],[Цена, 
юань, без НДС 1]]*BJ17</f>
        <v>0</v>
      </c>
      <c r="BL17" s="109">
        <f t="shared" si="14"/>
        <v>66</v>
      </c>
      <c r="BM17" s="224">
        <f>Автовик_разбивка[[#This Row],[Цена, 
юань, без НДС 1]]*BL17</f>
        <v>0</v>
      </c>
      <c r="BN17" s="178"/>
      <c r="BO17" s="184"/>
      <c r="BP17" s="130">
        <f t="shared" si="29"/>
        <v>0</v>
      </c>
      <c r="BQ17" s="179"/>
      <c r="BR17" s="130"/>
      <c r="BS17" s="178"/>
      <c r="BT17" s="184"/>
      <c r="BU17" s="130">
        <f t="shared" si="30"/>
        <v>0</v>
      </c>
      <c r="BV17" s="179"/>
      <c r="BW17" s="130"/>
      <c r="BX17" s="178"/>
      <c r="BY17" s="184"/>
      <c r="BZ17" s="130">
        <f t="shared" si="31"/>
        <v>0</v>
      </c>
      <c r="CA17" s="179"/>
      <c r="CB17" s="130"/>
      <c r="CC17" s="178"/>
      <c r="CD17" s="184"/>
      <c r="CE17" s="130">
        <f t="shared" si="32"/>
        <v>0</v>
      </c>
      <c r="CF17" s="179"/>
      <c r="CG17" s="130"/>
      <c r="CH17" s="178"/>
      <c r="CI17" s="184"/>
      <c r="CJ17" s="130">
        <f t="shared" si="33"/>
        <v>0</v>
      </c>
      <c r="CK17" s="109"/>
      <c r="CL17" s="130"/>
      <c r="CM17" s="178"/>
      <c r="CN17" s="184"/>
      <c r="CO17" s="130">
        <f t="shared" si="34"/>
        <v>0</v>
      </c>
      <c r="CP17" s="109"/>
      <c r="CQ17" s="130"/>
      <c r="CR17" s="178"/>
      <c r="CS17" s="184"/>
      <c r="CT17" s="130">
        <f t="shared" si="35"/>
        <v>0</v>
      </c>
      <c r="CU17" s="109"/>
      <c r="CV17" s="130"/>
      <c r="CW17" s="178"/>
      <c r="CX17" s="184"/>
      <c r="CY17" s="130">
        <f t="shared" si="36"/>
        <v>0</v>
      </c>
      <c r="CZ17" s="109"/>
      <c r="DA17" s="130"/>
      <c r="DB17" s="178"/>
      <c r="DC17" s="184"/>
      <c r="DD17" s="130">
        <f t="shared" si="37"/>
        <v>0</v>
      </c>
      <c r="DE17" s="109"/>
      <c r="DF17" s="130"/>
      <c r="DG17" s="178"/>
      <c r="DH17" s="184"/>
      <c r="DI17" s="130">
        <f t="shared" si="38"/>
        <v>0</v>
      </c>
      <c r="DJ17" s="109"/>
      <c r="DK17" s="130"/>
      <c r="DL17" s="178"/>
      <c r="DM17" s="184"/>
      <c r="DN17" s="130">
        <f t="shared" si="39"/>
        <v>0</v>
      </c>
      <c r="DO17" s="179"/>
      <c r="DP17" s="130"/>
      <c r="DQ17" s="178"/>
      <c r="DR17" s="184"/>
      <c r="DS17" s="130">
        <f t="shared" si="40"/>
        <v>0</v>
      </c>
      <c r="DT17" s="109"/>
      <c r="DU17" s="130"/>
      <c r="DV17" s="180">
        <f t="shared" si="15"/>
        <v>0</v>
      </c>
      <c r="DW17" s="181">
        <f>Автовик_разбивка[[#This Row],[Цена, 
юань, без НДС 1]]*DV17</f>
        <v>0</v>
      </c>
      <c r="DX17" s="186">
        <f t="shared" si="16"/>
        <v>0</v>
      </c>
      <c r="DY17" s="186">
        <f>Автовик_разбивка[[#This Row],[Цена, 
юань, без НДС 1]]*DX17</f>
        <v>0</v>
      </c>
      <c r="DZ17" s="130">
        <f t="shared" si="17"/>
        <v>0</v>
      </c>
      <c r="EA17" s="187">
        <f>Автовик_разбивка[[#This Row],[Цена, 
юань, без НДС 1]]*DZ17</f>
        <v>0</v>
      </c>
      <c r="EB17" s="109">
        <f t="shared" si="18"/>
        <v>0</v>
      </c>
      <c r="EC17" s="224">
        <f>Автовик_разбивка[[#This Row],[Цена, 
юань, без НДС 1]]*EB17</f>
        <v>0</v>
      </c>
    </row>
    <row r="18" spans="1:133">
      <c r="A18" s="221">
        <v>11</v>
      </c>
      <c r="B18" s="172" t="s">
        <v>109</v>
      </c>
      <c r="C18" s="173" t="s">
        <v>298</v>
      </c>
      <c r="D18" s="173" t="s">
        <v>311</v>
      </c>
      <c r="E18" s="174">
        <v>1</v>
      </c>
      <c r="F18" s="174"/>
      <c r="G18" s="174"/>
      <c r="H18" s="175">
        <v>9522010010</v>
      </c>
      <c r="I18" s="176" t="s">
        <v>73</v>
      </c>
      <c r="J18" s="222"/>
      <c r="K18" s="227"/>
      <c r="L18" s="178">
        <v>70</v>
      </c>
      <c r="M18" s="130">
        <f t="shared" ref="M18:M20" si="42">$E18*75</f>
        <v>75</v>
      </c>
      <c r="N18" s="179">
        <v>70</v>
      </c>
      <c r="O18" s="130"/>
      <c r="P18" s="178">
        <v>70</v>
      </c>
      <c r="Q18" s="130">
        <f t="shared" ref="Q18:Q20" si="43">$E18*70</f>
        <v>70</v>
      </c>
      <c r="R18" s="179">
        <v>0</v>
      </c>
      <c r="S18" s="130"/>
      <c r="T18" s="178">
        <v>70</v>
      </c>
      <c r="U18" s="130">
        <f t="shared" ref="U18:U20" si="44">$E18*100</f>
        <v>100</v>
      </c>
      <c r="V18" s="179">
        <v>100</v>
      </c>
      <c r="W18" s="130"/>
      <c r="X18" s="178">
        <v>70</v>
      </c>
      <c r="Y18" s="130">
        <f t="shared" ref="Y18:Y20" si="45">$E18*70</f>
        <v>70</v>
      </c>
      <c r="Z18" s="179">
        <v>70</v>
      </c>
      <c r="AA18" s="130"/>
      <c r="AB18" s="178">
        <v>70</v>
      </c>
      <c r="AC18" s="130">
        <f t="shared" ref="AC18:AC20" si="46">$E18*70</f>
        <v>70</v>
      </c>
      <c r="AD18" s="179"/>
      <c r="AE18" s="130"/>
      <c r="AF18" s="178">
        <v>70</v>
      </c>
      <c r="AG18" s="130">
        <f t="shared" ref="AG18:AG20" si="47">$E18*70</f>
        <v>70</v>
      </c>
      <c r="AH18" s="179"/>
      <c r="AI18" s="130"/>
      <c r="AJ18" s="178">
        <v>70</v>
      </c>
      <c r="AK18" s="130">
        <f t="shared" ref="AK18:AK20" si="48">$E18*70</f>
        <v>70</v>
      </c>
      <c r="AL18" s="179"/>
      <c r="AM18" s="130"/>
      <c r="AN18" s="178">
        <v>70</v>
      </c>
      <c r="AO18" s="130">
        <f t="shared" ref="AO18:AO20" si="49">$E18*50</f>
        <v>50</v>
      </c>
      <c r="AP18" s="179"/>
      <c r="AQ18" s="130"/>
      <c r="AR18" s="178">
        <v>70</v>
      </c>
      <c r="AS18" s="130">
        <f t="shared" ref="AS18:AS20" si="50">$E18*50</f>
        <v>50</v>
      </c>
      <c r="AT18" s="179"/>
      <c r="AU18" s="130"/>
      <c r="AV18" s="178">
        <v>70</v>
      </c>
      <c r="AW18" s="130">
        <f t="shared" si="41"/>
        <v>50</v>
      </c>
      <c r="AX18" s="179"/>
      <c r="AY18" s="130"/>
      <c r="AZ18" s="178">
        <v>70</v>
      </c>
      <c r="BA18" s="130">
        <f t="shared" si="27"/>
        <v>50</v>
      </c>
      <c r="BB18" s="228"/>
      <c r="BC18" s="130"/>
      <c r="BD18" s="178">
        <v>70</v>
      </c>
      <c r="BE18" s="130">
        <f t="shared" si="28"/>
        <v>40</v>
      </c>
      <c r="BF18" s="109"/>
      <c r="BG18" s="130"/>
      <c r="BH18" s="180">
        <f t="shared" si="12"/>
        <v>840</v>
      </c>
      <c r="BI18" s="181">
        <f>Автовик_разбивка[[#This Row],[Цена, 
юань, без НДС 1]]*BH18</f>
        <v>0</v>
      </c>
      <c r="BJ18" s="130">
        <f t="shared" si="13"/>
        <v>765</v>
      </c>
      <c r="BK18" s="187">
        <f>Автовик_разбивка[[#This Row],[Цена, 
юань, без НДС 1]]*BJ18</f>
        <v>0</v>
      </c>
      <c r="BL18" s="109">
        <f t="shared" si="14"/>
        <v>240</v>
      </c>
      <c r="BM18" s="224">
        <f>Автовик_разбивка[[#This Row],[Цена, 
юань, без НДС 1]]*BL18</f>
        <v>0</v>
      </c>
      <c r="BN18" s="178"/>
      <c r="BO18" s="184"/>
      <c r="BP18" s="130">
        <f t="shared" si="29"/>
        <v>30</v>
      </c>
      <c r="BQ18" s="179"/>
      <c r="BR18" s="130"/>
      <c r="BS18" s="178"/>
      <c r="BT18" s="184"/>
      <c r="BU18" s="130">
        <f t="shared" si="30"/>
        <v>30</v>
      </c>
      <c r="BV18" s="179"/>
      <c r="BW18" s="130"/>
      <c r="BX18" s="178"/>
      <c r="BY18" s="184"/>
      <c r="BZ18" s="130">
        <f t="shared" si="31"/>
        <v>40</v>
      </c>
      <c r="CA18" s="179"/>
      <c r="CB18" s="130"/>
      <c r="CC18" s="178"/>
      <c r="CD18" s="184"/>
      <c r="CE18" s="130">
        <f t="shared" si="32"/>
        <v>40</v>
      </c>
      <c r="CF18" s="179"/>
      <c r="CG18" s="130"/>
      <c r="CH18" s="178"/>
      <c r="CI18" s="184"/>
      <c r="CJ18" s="130">
        <f t="shared" si="33"/>
        <v>50</v>
      </c>
      <c r="CK18" s="179"/>
      <c r="CL18" s="130"/>
      <c r="CM18" s="178"/>
      <c r="CN18" s="184"/>
      <c r="CO18" s="130">
        <f t="shared" si="34"/>
        <v>50</v>
      </c>
      <c r="CP18" s="179"/>
      <c r="CQ18" s="130"/>
      <c r="CR18" s="178"/>
      <c r="CS18" s="184"/>
      <c r="CT18" s="130">
        <f t="shared" si="35"/>
        <v>50</v>
      </c>
      <c r="CU18" s="179"/>
      <c r="CV18" s="130"/>
      <c r="CW18" s="178"/>
      <c r="CX18" s="184"/>
      <c r="CY18" s="130">
        <f t="shared" si="36"/>
        <v>50</v>
      </c>
      <c r="CZ18" s="179"/>
      <c r="DA18" s="130"/>
      <c r="DB18" s="178"/>
      <c r="DC18" s="184"/>
      <c r="DD18" s="130">
        <f t="shared" si="37"/>
        <v>50</v>
      </c>
      <c r="DE18" s="179"/>
      <c r="DF18" s="130"/>
      <c r="DG18" s="178"/>
      <c r="DH18" s="184"/>
      <c r="DI18" s="130">
        <f t="shared" si="38"/>
        <v>50</v>
      </c>
      <c r="DJ18" s="179"/>
      <c r="DK18" s="130"/>
      <c r="DL18" s="178"/>
      <c r="DM18" s="184"/>
      <c r="DN18" s="130">
        <f t="shared" si="39"/>
        <v>50</v>
      </c>
      <c r="DO18" s="228"/>
      <c r="DP18" s="130"/>
      <c r="DQ18" s="178"/>
      <c r="DR18" s="184"/>
      <c r="DS18" s="130">
        <f t="shared" si="40"/>
        <v>50</v>
      </c>
      <c r="DT18" s="109"/>
      <c r="DU18" s="130"/>
      <c r="DV18" s="180">
        <f t="shared" si="15"/>
        <v>0</v>
      </c>
      <c r="DW18" s="181">
        <f>Автовик_разбивка[[#This Row],[Цена, 
юань, без НДС 1]]*DV18</f>
        <v>0</v>
      </c>
      <c r="DX18" s="186">
        <f t="shared" si="16"/>
        <v>0</v>
      </c>
      <c r="DY18" s="186">
        <f>Автовик_разбивка[[#This Row],[Цена, 
юань, без НДС 1]]*DX18</f>
        <v>0</v>
      </c>
      <c r="DZ18" s="130">
        <f t="shared" si="17"/>
        <v>540</v>
      </c>
      <c r="EA18" s="187">
        <f>Автовик_разбивка[[#This Row],[Цена, 
юань, без НДС 1]]*DZ18</f>
        <v>0</v>
      </c>
      <c r="EB18" s="109">
        <f t="shared" si="18"/>
        <v>0</v>
      </c>
      <c r="EC18" s="224">
        <f>Автовик_разбивка[[#This Row],[Цена, 
юань, без НДС 1]]*EB18</f>
        <v>0</v>
      </c>
    </row>
    <row r="19" spans="1:133">
      <c r="A19" s="221">
        <v>11</v>
      </c>
      <c r="B19" s="172" t="s">
        <v>109</v>
      </c>
      <c r="C19" s="173" t="s">
        <v>298</v>
      </c>
      <c r="D19" s="173" t="s">
        <v>311</v>
      </c>
      <c r="E19" s="174">
        <v>1</v>
      </c>
      <c r="F19" s="174"/>
      <c r="G19" s="174"/>
      <c r="H19" s="175">
        <v>9522010020</v>
      </c>
      <c r="I19" s="176" t="s">
        <v>74</v>
      </c>
      <c r="J19" s="222"/>
      <c r="K19" s="227"/>
      <c r="L19" s="178">
        <v>70</v>
      </c>
      <c r="M19" s="130">
        <f t="shared" si="42"/>
        <v>75</v>
      </c>
      <c r="N19" s="179">
        <v>70</v>
      </c>
      <c r="O19" s="130"/>
      <c r="P19" s="178">
        <v>70</v>
      </c>
      <c r="Q19" s="130">
        <f t="shared" si="43"/>
        <v>70</v>
      </c>
      <c r="R19" s="179">
        <v>0</v>
      </c>
      <c r="S19" s="130"/>
      <c r="T19" s="178">
        <v>70</v>
      </c>
      <c r="U19" s="130">
        <f t="shared" si="44"/>
        <v>100</v>
      </c>
      <c r="V19" s="179">
        <v>100</v>
      </c>
      <c r="W19" s="130"/>
      <c r="X19" s="178">
        <v>70</v>
      </c>
      <c r="Y19" s="130">
        <f t="shared" si="45"/>
        <v>70</v>
      </c>
      <c r="Z19" s="179">
        <v>70</v>
      </c>
      <c r="AA19" s="130"/>
      <c r="AB19" s="178">
        <v>70</v>
      </c>
      <c r="AC19" s="130">
        <f t="shared" si="46"/>
        <v>70</v>
      </c>
      <c r="AD19" s="179"/>
      <c r="AE19" s="130"/>
      <c r="AF19" s="178">
        <v>70</v>
      </c>
      <c r="AG19" s="130">
        <f t="shared" si="47"/>
        <v>70</v>
      </c>
      <c r="AH19" s="179"/>
      <c r="AI19" s="130"/>
      <c r="AJ19" s="178">
        <v>70</v>
      </c>
      <c r="AK19" s="130">
        <f t="shared" si="48"/>
        <v>70</v>
      </c>
      <c r="AL19" s="179"/>
      <c r="AM19" s="130"/>
      <c r="AN19" s="178">
        <v>70</v>
      </c>
      <c r="AO19" s="130">
        <f t="shared" si="49"/>
        <v>50</v>
      </c>
      <c r="AP19" s="179"/>
      <c r="AQ19" s="130"/>
      <c r="AR19" s="178">
        <v>70</v>
      </c>
      <c r="AS19" s="130">
        <f t="shared" si="50"/>
        <v>50</v>
      </c>
      <c r="AT19" s="179"/>
      <c r="AU19" s="130"/>
      <c r="AV19" s="178">
        <v>70</v>
      </c>
      <c r="AW19" s="130">
        <f t="shared" si="41"/>
        <v>50</v>
      </c>
      <c r="AX19" s="179"/>
      <c r="AY19" s="130"/>
      <c r="AZ19" s="178">
        <v>70</v>
      </c>
      <c r="BA19" s="130">
        <f t="shared" si="27"/>
        <v>50</v>
      </c>
      <c r="BB19" s="228"/>
      <c r="BC19" s="130"/>
      <c r="BD19" s="178">
        <v>70</v>
      </c>
      <c r="BE19" s="130">
        <f t="shared" si="28"/>
        <v>40</v>
      </c>
      <c r="BF19" s="109"/>
      <c r="BG19" s="130"/>
      <c r="BH19" s="180">
        <f t="shared" si="12"/>
        <v>840</v>
      </c>
      <c r="BI19" s="181">
        <f>Автовик_разбивка[[#This Row],[Цена, 
юань, без НДС 1]]*BH19</f>
        <v>0</v>
      </c>
      <c r="BJ19" s="130">
        <f t="shared" si="13"/>
        <v>765</v>
      </c>
      <c r="BK19" s="187">
        <f>Автовик_разбивка[[#This Row],[Цена, 
юань, без НДС 1]]*BJ19</f>
        <v>0</v>
      </c>
      <c r="BL19" s="109">
        <f t="shared" si="14"/>
        <v>240</v>
      </c>
      <c r="BM19" s="224">
        <f>Автовик_разбивка[[#This Row],[Цена, 
юань, без НДС 1]]*BL19</f>
        <v>0</v>
      </c>
      <c r="BN19" s="178"/>
      <c r="BO19" s="184"/>
      <c r="BP19" s="130">
        <f t="shared" si="29"/>
        <v>30</v>
      </c>
      <c r="BQ19" s="179"/>
      <c r="BR19" s="130"/>
      <c r="BS19" s="178"/>
      <c r="BT19" s="184"/>
      <c r="BU19" s="130">
        <f t="shared" si="30"/>
        <v>30</v>
      </c>
      <c r="BV19" s="179"/>
      <c r="BW19" s="130"/>
      <c r="BX19" s="178"/>
      <c r="BY19" s="184"/>
      <c r="BZ19" s="130">
        <f t="shared" si="31"/>
        <v>40</v>
      </c>
      <c r="CA19" s="179"/>
      <c r="CB19" s="130"/>
      <c r="CC19" s="178"/>
      <c r="CD19" s="184"/>
      <c r="CE19" s="130">
        <f t="shared" si="32"/>
        <v>40</v>
      </c>
      <c r="CF19" s="179"/>
      <c r="CG19" s="130"/>
      <c r="CH19" s="178"/>
      <c r="CI19" s="184"/>
      <c r="CJ19" s="130">
        <f t="shared" si="33"/>
        <v>50</v>
      </c>
      <c r="CK19" s="179"/>
      <c r="CL19" s="130"/>
      <c r="CM19" s="178"/>
      <c r="CN19" s="184"/>
      <c r="CO19" s="130">
        <f t="shared" si="34"/>
        <v>50</v>
      </c>
      <c r="CP19" s="179"/>
      <c r="CQ19" s="130"/>
      <c r="CR19" s="178"/>
      <c r="CS19" s="184"/>
      <c r="CT19" s="130">
        <f t="shared" si="35"/>
        <v>50</v>
      </c>
      <c r="CU19" s="179"/>
      <c r="CV19" s="130"/>
      <c r="CW19" s="178"/>
      <c r="CX19" s="184"/>
      <c r="CY19" s="130">
        <f t="shared" si="36"/>
        <v>50</v>
      </c>
      <c r="CZ19" s="179"/>
      <c r="DA19" s="130"/>
      <c r="DB19" s="178"/>
      <c r="DC19" s="184"/>
      <c r="DD19" s="130">
        <f t="shared" si="37"/>
        <v>50</v>
      </c>
      <c r="DE19" s="179"/>
      <c r="DF19" s="130"/>
      <c r="DG19" s="178"/>
      <c r="DH19" s="184"/>
      <c r="DI19" s="130">
        <f t="shared" si="38"/>
        <v>50</v>
      </c>
      <c r="DJ19" s="179"/>
      <c r="DK19" s="130"/>
      <c r="DL19" s="178"/>
      <c r="DM19" s="184"/>
      <c r="DN19" s="130">
        <f t="shared" si="39"/>
        <v>50</v>
      </c>
      <c r="DO19" s="228"/>
      <c r="DP19" s="130"/>
      <c r="DQ19" s="178"/>
      <c r="DR19" s="184"/>
      <c r="DS19" s="130">
        <f t="shared" si="40"/>
        <v>50</v>
      </c>
      <c r="DT19" s="109"/>
      <c r="DU19" s="130"/>
      <c r="DV19" s="180">
        <f t="shared" si="15"/>
        <v>0</v>
      </c>
      <c r="DW19" s="181">
        <f>Автовик_разбивка[[#This Row],[Цена, 
юань, без НДС 1]]*DV19</f>
        <v>0</v>
      </c>
      <c r="DX19" s="186">
        <f t="shared" si="16"/>
        <v>0</v>
      </c>
      <c r="DY19" s="186">
        <f>Автовик_разбивка[[#This Row],[Цена, 
юань, без НДС 1]]*DX19</f>
        <v>0</v>
      </c>
      <c r="DZ19" s="130">
        <f t="shared" si="17"/>
        <v>540</v>
      </c>
      <c r="EA19" s="187">
        <f>Автовик_разбивка[[#This Row],[Цена, 
юань, без НДС 1]]*DZ19</f>
        <v>0</v>
      </c>
      <c r="EB19" s="109">
        <f t="shared" si="18"/>
        <v>0</v>
      </c>
      <c r="EC19" s="224">
        <f>Автовик_разбивка[[#This Row],[Цена, 
юань, без НДС 1]]*EB19</f>
        <v>0</v>
      </c>
    </row>
    <row r="20" spans="1:133">
      <c r="A20" s="221">
        <v>11</v>
      </c>
      <c r="B20" s="172" t="s">
        <v>109</v>
      </c>
      <c r="C20" s="173" t="s">
        <v>298</v>
      </c>
      <c r="D20" s="173" t="s">
        <v>311</v>
      </c>
      <c r="E20" s="174">
        <v>1</v>
      </c>
      <c r="F20" s="174"/>
      <c r="G20" s="174"/>
      <c r="H20" s="175">
        <v>9710029000</v>
      </c>
      <c r="I20" s="176" t="s">
        <v>75</v>
      </c>
      <c r="J20" s="222"/>
      <c r="K20" s="223"/>
      <c r="L20" s="178">
        <v>70</v>
      </c>
      <c r="M20" s="130">
        <f t="shared" si="42"/>
        <v>75</v>
      </c>
      <c r="N20" s="179">
        <v>70</v>
      </c>
      <c r="O20" s="130"/>
      <c r="P20" s="178">
        <v>70</v>
      </c>
      <c r="Q20" s="130">
        <f t="shared" si="43"/>
        <v>70</v>
      </c>
      <c r="R20" s="179">
        <v>0</v>
      </c>
      <c r="S20" s="130"/>
      <c r="T20" s="178">
        <v>70</v>
      </c>
      <c r="U20" s="130">
        <f t="shared" si="44"/>
        <v>100</v>
      </c>
      <c r="V20" s="179">
        <v>100</v>
      </c>
      <c r="W20" s="130"/>
      <c r="X20" s="178">
        <v>70</v>
      </c>
      <c r="Y20" s="130">
        <f t="shared" si="45"/>
        <v>70</v>
      </c>
      <c r="Z20" s="179">
        <v>70</v>
      </c>
      <c r="AA20" s="130"/>
      <c r="AB20" s="178">
        <v>70</v>
      </c>
      <c r="AC20" s="130">
        <f t="shared" si="46"/>
        <v>70</v>
      </c>
      <c r="AD20" s="109"/>
      <c r="AE20" s="130"/>
      <c r="AF20" s="178">
        <v>70</v>
      </c>
      <c r="AG20" s="130">
        <f t="shared" si="47"/>
        <v>70</v>
      </c>
      <c r="AH20" s="109"/>
      <c r="AI20" s="130"/>
      <c r="AJ20" s="178">
        <v>70</v>
      </c>
      <c r="AK20" s="130">
        <f t="shared" si="48"/>
        <v>70</v>
      </c>
      <c r="AL20" s="109"/>
      <c r="AM20" s="130"/>
      <c r="AN20" s="178">
        <v>70</v>
      </c>
      <c r="AO20" s="130">
        <f t="shared" si="49"/>
        <v>50</v>
      </c>
      <c r="AP20" s="109"/>
      <c r="AQ20" s="130"/>
      <c r="AR20" s="178">
        <v>70</v>
      </c>
      <c r="AS20" s="130">
        <f t="shared" si="50"/>
        <v>50</v>
      </c>
      <c r="AT20" s="109"/>
      <c r="AU20" s="130"/>
      <c r="AV20" s="178">
        <v>70</v>
      </c>
      <c r="AW20" s="130">
        <f t="shared" si="41"/>
        <v>50</v>
      </c>
      <c r="AX20" s="109"/>
      <c r="AY20" s="130"/>
      <c r="AZ20" s="178">
        <v>70</v>
      </c>
      <c r="BA20" s="130">
        <f t="shared" si="27"/>
        <v>50</v>
      </c>
      <c r="BB20" s="194"/>
      <c r="BC20" s="130"/>
      <c r="BD20" s="178">
        <v>70</v>
      </c>
      <c r="BE20" s="130">
        <f t="shared" si="28"/>
        <v>40</v>
      </c>
      <c r="BF20" s="109"/>
      <c r="BG20" s="130"/>
      <c r="BH20" s="180">
        <f t="shared" si="12"/>
        <v>840</v>
      </c>
      <c r="BI20" s="181">
        <f>Автовик_разбивка[[#This Row],[Цена, 
юань, без НДС 1]]*BH20</f>
        <v>0</v>
      </c>
      <c r="BJ20" s="130">
        <f t="shared" si="13"/>
        <v>765</v>
      </c>
      <c r="BK20" s="187">
        <f>Автовик_разбивка[[#This Row],[Цена, 
юань, без НДС 1]]*BJ20</f>
        <v>0</v>
      </c>
      <c r="BL20" s="109">
        <f t="shared" si="14"/>
        <v>240</v>
      </c>
      <c r="BM20" s="224">
        <f>Автовик_разбивка[[#This Row],[Цена, 
юань, без НДС 1]]*BL20</f>
        <v>0</v>
      </c>
      <c r="BN20" s="178"/>
      <c r="BO20" s="184"/>
      <c r="BP20" s="130">
        <f t="shared" si="29"/>
        <v>30</v>
      </c>
      <c r="BQ20" s="179"/>
      <c r="BR20" s="130"/>
      <c r="BS20" s="178"/>
      <c r="BT20" s="184"/>
      <c r="BU20" s="130">
        <f t="shared" si="30"/>
        <v>30</v>
      </c>
      <c r="BV20" s="179"/>
      <c r="BW20" s="130"/>
      <c r="BX20" s="178"/>
      <c r="BY20" s="184"/>
      <c r="BZ20" s="130">
        <f t="shared" si="31"/>
        <v>40</v>
      </c>
      <c r="CA20" s="179"/>
      <c r="CB20" s="130"/>
      <c r="CC20" s="178"/>
      <c r="CD20" s="184"/>
      <c r="CE20" s="130">
        <f t="shared" si="32"/>
        <v>40</v>
      </c>
      <c r="CF20" s="179"/>
      <c r="CG20" s="130"/>
      <c r="CH20" s="178"/>
      <c r="CI20" s="184"/>
      <c r="CJ20" s="130">
        <f t="shared" si="33"/>
        <v>50</v>
      </c>
      <c r="CK20" s="109"/>
      <c r="CL20" s="130"/>
      <c r="CM20" s="178"/>
      <c r="CN20" s="184"/>
      <c r="CO20" s="130">
        <f t="shared" si="34"/>
        <v>50</v>
      </c>
      <c r="CP20" s="109"/>
      <c r="CQ20" s="130"/>
      <c r="CR20" s="178"/>
      <c r="CS20" s="184"/>
      <c r="CT20" s="130">
        <f t="shared" si="35"/>
        <v>50</v>
      </c>
      <c r="CU20" s="109"/>
      <c r="CV20" s="130"/>
      <c r="CW20" s="178"/>
      <c r="CX20" s="184"/>
      <c r="CY20" s="130">
        <f t="shared" si="36"/>
        <v>50</v>
      </c>
      <c r="CZ20" s="109"/>
      <c r="DA20" s="130"/>
      <c r="DB20" s="178"/>
      <c r="DC20" s="184"/>
      <c r="DD20" s="130">
        <f t="shared" si="37"/>
        <v>50</v>
      </c>
      <c r="DE20" s="109"/>
      <c r="DF20" s="130"/>
      <c r="DG20" s="178"/>
      <c r="DH20" s="184"/>
      <c r="DI20" s="130">
        <f t="shared" si="38"/>
        <v>50</v>
      </c>
      <c r="DJ20" s="109"/>
      <c r="DK20" s="130"/>
      <c r="DL20" s="178"/>
      <c r="DM20" s="184"/>
      <c r="DN20" s="130">
        <f t="shared" si="39"/>
        <v>50</v>
      </c>
      <c r="DO20" s="194"/>
      <c r="DP20" s="130"/>
      <c r="DQ20" s="178"/>
      <c r="DR20" s="184"/>
      <c r="DS20" s="130">
        <f t="shared" si="40"/>
        <v>50</v>
      </c>
      <c r="DT20" s="109"/>
      <c r="DU20" s="130"/>
      <c r="DV20" s="180">
        <f t="shared" si="15"/>
        <v>0</v>
      </c>
      <c r="DW20" s="181">
        <f>Автовик_разбивка[[#This Row],[Цена, 
юань, без НДС 1]]*DV20</f>
        <v>0</v>
      </c>
      <c r="DX20" s="186">
        <f t="shared" si="16"/>
        <v>0</v>
      </c>
      <c r="DY20" s="186">
        <f>Автовик_разбивка[[#This Row],[Цена, 
юань, без НДС 1]]*DX20</f>
        <v>0</v>
      </c>
      <c r="DZ20" s="130">
        <f t="shared" si="17"/>
        <v>540</v>
      </c>
      <c r="EA20" s="187">
        <f>Автовик_разбивка[[#This Row],[Цена, 
юань, без НДС 1]]*DZ20</f>
        <v>0</v>
      </c>
      <c r="EB20" s="109">
        <f t="shared" si="18"/>
        <v>0</v>
      </c>
      <c r="EC20" s="224">
        <f>Автовик_разбивка[[#This Row],[Цена, 
юань, без НДС 1]]*EB20</f>
        <v>0</v>
      </c>
    </row>
    <row r="21" spans="1:133">
      <c r="A21" s="221">
        <v>11</v>
      </c>
      <c r="B21" s="172" t="s">
        <v>109</v>
      </c>
      <c r="C21" s="173" t="s">
        <v>298</v>
      </c>
      <c r="D21" s="173"/>
      <c r="E21" s="174"/>
      <c r="F21" s="174"/>
      <c r="G21" s="174">
        <v>2</v>
      </c>
      <c r="H21" s="175">
        <v>4460084042</v>
      </c>
      <c r="I21" s="176" t="s">
        <v>86</v>
      </c>
      <c r="J21" s="222"/>
      <c r="K21" s="223"/>
      <c r="L21" s="178"/>
      <c r="M21" s="130"/>
      <c r="N21" s="179"/>
      <c r="O21" s="130"/>
      <c r="P21" s="178"/>
      <c r="Q21" s="130"/>
      <c r="R21" s="179"/>
      <c r="S21" s="130"/>
      <c r="T21" s="178"/>
      <c r="U21" s="130"/>
      <c r="V21" s="179"/>
      <c r="W21" s="130"/>
      <c r="X21" s="178"/>
      <c r="Y21" s="130"/>
      <c r="Z21" s="179"/>
      <c r="AA21" s="130"/>
      <c r="AB21" s="178"/>
      <c r="AC21" s="130"/>
      <c r="AD21" s="109"/>
      <c r="AE21" s="130"/>
      <c r="AF21" s="178"/>
      <c r="AG21" s="130"/>
      <c r="AH21" s="109"/>
      <c r="AI21" s="130"/>
      <c r="AJ21" s="178"/>
      <c r="AK21" s="130"/>
      <c r="AL21" s="109"/>
      <c r="AM21" s="130"/>
      <c r="AN21" s="178"/>
      <c r="AO21" s="130"/>
      <c r="AP21" s="109"/>
      <c r="AQ21" s="130"/>
      <c r="AR21" s="178"/>
      <c r="AS21" s="130"/>
      <c r="AT21" s="109"/>
      <c r="AU21" s="130"/>
      <c r="AV21" s="178"/>
      <c r="AW21" s="130"/>
      <c r="AX21" s="109"/>
      <c r="AY21" s="130"/>
      <c r="AZ21" s="178"/>
      <c r="BA21" s="130"/>
      <c r="BB21" s="194"/>
      <c r="BC21" s="130"/>
      <c r="BD21" s="178"/>
      <c r="BE21" s="130"/>
      <c r="BF21" s="109"/>
      <c r="BG21" s="130"/>
      <c r="BH21" s="180">
        <f t="shared" si="12"/>
        <v>0</v>
      </c>
      <c r="BI21" s="181">
        <f>Автовик_разбивка[[#This Row],[Цена, 
юань, без НДС 1]]*BH21</f>
        <v>0</v>
      </c>
      <c r="BJ21" s="130">
        <f t="shared" si="13"/>
        <v>0</v>
      </c>
      <c r="BK21" s="187">
        <f>Автовик_разбивка[[#This Row],[Цена, 
юань, без НДС 1]]*BJ21</f>
        <v>0</v>
      </c>
      <c r="BL21" s="109">
        <f t="shared" si="14"/>
        <v>0</v>
      </c>
      <c r="BM21" s="224">
        <f>Автовик_разбивка[[#This Row],[Цена, 
юань, без НДС 1]]*BL21</f>
        <v>0</v>
      </c>
      <c r="BN21" s="178"/>
      <c r="BO21" s="184"/>
      <c r="BP21" s="130"/>
      <c r="BQ21" s="179"/>
      <c r="BR21" s="130"/>
      <c r="BS21" s="178"/>
      <c r="BT21" s="184"/>
      <c r="BU21" s="130"/>
      <c r="BV21" s="179"/>
      <c r="BW21" s="130"/>
      <c r="BX21" s="178"/>
      <c r="BY21" s="184"/>
      <c r="BZ21" s="130"/>
      <c r="CA21" s="179"/>
      <c r="CB21" s="130"/>
      <c r="CC21" s="178"/>
      <c r="CD21" s="184"/>
      <c r="CE21" s="130"/>
      <c r="CF21" s="179"/>
      <c r="CG21" s="130"/>
      <c r="CH21" s="178"/>
      <c r="CI21" s="184"/>
      <c r="CJ21" s="130"/>
      <c r="CK21" s="109"/>
      <c r="CL21" s="130"/>
      <c r="CM21" s="178"/>
      <c r="CN21" s="184"/>
      <c r="CO21" s="130"/>
      <c r="CP21" s="109"/>
      <c r="CQ21" s="130"/>
      <c r="CR21" s="178"/>
      <c r="CS21" s="184"/>
      <c r="CT21" s="130"/>
      <c r="CU21" s="109"/>
      <c r="CV21" s="130"/>
      <c r="CW21" s="178"/>
      <c r="CX21" s="184"/>
      <c r="CY21" s="130"/>
      <c r="CZ21" s="109"/>
      <c r="DA21" s="130"/>
      <c r="DB21" s="178"/>
      <c r="DC21" s="184"/>
      <c r="DD21" s="130"/>
      <c r="DE21" s="109"/>
      <c r="DF21" s="130"/>
      <c r="DG21" s="178"/>
      <c r="DH21" s="184"/>
      <c r="DI21" s="130"/>
      <c r="DJ21" s="109"/>
      <c r="DK21" s="130"/>
      <c r="DL21" s="178"/>
      <c r="DM21" s="184"/>
      <c r="DN21" s="130"/>
      <c r="DO21" s="194"/>
      <c r="DP21" s="130"/>
      <c r="DQ21" s="178"/>
      <c r="DR21" s="184"/>
      <c r="DS21" s="130"/>
      <c r="DT21" s="109"/>
      <c r="DU21" s="130"/>
      <c r="DV21" s="180">
        <f t="shared" si="15"/>
        <v>0</v>
      </c>
      <c r="DW21" s="181">
        <f>Автовик_разбивка[[#This Row],[Цена, 
юань, без НДС 1]]*DV21</f>
        <v>0</v>
      </c>
      <c r="DX21" s="186">
        <f t="shared" si="16"/>
        <v>0</v>
      </c>
      <c r="DY21" s="186">
        <f>Автовик_разбивка[[#This Row],[Цена, 
юань, без НДС 1]]*DX21</f>
        <v>0</v>
      </c>
      <c r="DZ21" s="130">
        <f t="shared" si="17"/>
        <v>0</v>
      </c>
      <c r="EA21" s="187">
        <f>Автовик_разбивка[[#This Row],[Цена, 
юань, без НДС 1]]*DZ21</f>
        <v>0</v>
      </c>
      <c r="EB21" s="109">
        <f t="shared" si="18"/>
        <v>0</v>
      </c>
      <c r="EC21" s="224">
        <f>Автовик_разбивка[[#This Row],[Цена, 
юань, без НДС 1]]*EB21</f>
        <v>0</v>
      </c>
    </row>
    <row r="22" spans="1:133">
      <c r="A22" s="221">
        <v>11</v>
      </c>
      <c r="B22" s="172" t="s">
        <v>109</v>
      </c>
      <c r="C22" s="173" t="s">
        <v>298</v>
      </c>
      <c r="D22" s="173"/>
      <c r="E22" s="174"/>
      <c r="F22" s="174"/>
      <c r="G22" s="174">
        <v>2</v>
      </c>
      <c r="H22" s="175">
        <v>4493711800</v>
      </c>
      <c r="I22" s="176" t="s">
        <v>85</v>
      </c>
      <c r="J22" s="222"/>
      <c r="K22" s="223"/>
      <c r="L22" s="178"/>
      <c r="M22" s="130"/>
      <c r="N22" s="179"/>
      <c r="O22" s="130"/>
      <c r="P22" s="178"/>
      <c r="Q22" s="130"/>
      <c r="R22" s="179"/>
      <c r="S22" s="130"/>
      <c r="T22" s="178"/>
      <c r="U22" s="130"/>
      <c r="V22" s="179"/>
      <c r="W22" s="130"/>
      <c r="X22" s="178"/>
      <c r="Y22" s="130"/>
      <c r="Z22" s="179"/>
      <c r="AA22" s="130"/>
      <c r="AB22" s="178"/>
      <c r="AC22" s="130"/>
      <c r="AD22" s="109"/>
      <c r="AE22" s="130"/>
      <c r="AF22" s="178"/>
      <c r="AG22" s="130"/>
      <c r="AH22" s="109"/>
      <c r="AI22" s="130"/>
      <c r="AJ22" s="178"/>
      <c r="AK22" s="130"/>
      <c r="AL22" s="109"/>
      <c r="AM22" s="130"/>
      <c r="AN22" s="178"/>
      <c r="AO22" s="130"/>
      <c r="AP22" s="109"/>
      <c r="AQ22" s="130"/>
      <c r="AR22" s="178"/>
      <c r="AS22" s="130"/>
      <c r="AT22" s="109"/>
      <c r="AU22" s="130"/>
      <c r="AV22" s="178"/>
      <c r="AW22" s="130"/>
      <c r="AX22" s="109"/>
      <c r="AY22" s="130"/>
      <c r="AZ22" s="178"/>
      <c r="BA22" s="130"/>
      <c r="BB22" s="194"/>
      <c r="BC22" s="130"/>
      <c r="BD22" s="178"/>
      <c r="BE22" s="130"/>
      <c r="BF22" s="109"/>
      <c r="BG22" s="130"/>
      <c r="BH22" s="180">
        <f t="shared" si="12"/>
        <v>0</v>
      </c>
      <c r="BI22" s="181">
        <f>Автовик_разбивка[[#This Row],[Цена, 
юань, без НДС 1]]*BH22</f>
        <v>0</v>
      </c>
      <c r="BJ22" s="130">
        <f t="shared" si="13"/>
        <v>0</v>
      </c>
      <c r="BK22" s="187">
        <f>Автовик_разбивка[[#This Row],[Цена, 
юань, без НДС 1]]*BJ22</f>
        <v>0</v>
      </c>
      <c r="BL22" s="109">
        <f t="shared" si="14"/>
        <v>0</v>
      </c>
      <c r="BM22" s="224">
        <f>Автовик_разбивка[[#This Row],[Цена, 
юань, без НДС 1]]*BL22</f>
        <v>0</v>
      </c>
      <c r="BN22" s="178"/>
      <c r="BO22" s="184"/>
      <c r="BP22" s="130"/>
      <c r="BQ22" s="179"/>
      <c r="BR22" s="130"/>
      <c r="BS22" s="178"/>
      <c r="BT22" s="184"/>
      <c r="BU22" s="130"/>
      <c r="BV22" s="179"/>
      <c r="BW22" s="130"/>
      <c r="BX22" s="178"/>
      <c r="BY22" s="184"/>
      <c r="BZ22" s="130"/>
      <c r="CA22" s="179"/>
      <c r="CB22" s="130"/>
      <c r="CC22" s="178"/>
      <c r="CD22" s="184"/>
      <c r="CE22" s="130"/>
      <c r="CF22" s="179"/>
      <c r="CG22" s="130"/>
      <c r="CH22" s="178"/>
      <c r="CI22" s="184"/>
      <c r="CJ22" s="130"/>
      <c r="CK22" s="109"/>
      <c r="CL22" s="130"/>
      <c r="CM22" s="178"/>
      <c r="CN22" s="184"/>
      <c r="CO22" s="130"/>
      <c r="CP22" s="109"/>
      <c r="CQ22" s="130"/>
      <c r="CR22" s="178"/>
      <c r="CS22" s="184"/>
      <c r="CT22" s="130"/>
      <c r="CU22" s="109"/>
      <c r="CV22" s="130"/>
      <c r="CW22" s="178"/>
      <c r="CX22" s="184"/>
      <c r="CY22" s="130"/>
      <c r="CZ22" s="109"/>
      <c r="DA22" s="130"/>
      <c r="DB22" s="178"/>
      <c r="DC22" s="184"/>
      <c r="DD22" s="130"/>
      <c r="DE22" s="109"/>
      <c r="DF22" s="130"/>
      <c r="DG22" s="178"/>
      <c r="DH22" s="184"/>
      <c r="DI22" s="130"/>
      <c r="DJ22" s="109"/>
      <c r="DK22" s="130"/>
      <c r="DL22" s="178"/>
      <c r="DM22" s="184"/>
      <c r="DN22" s="130"/>
      <c r="DO22" s="194"/>
      <c r="DP22" s="130"/>
      <c r="DQ22" s="178"/>
      <c r="DR22" s="184"/>
      <c r="DS22" s="130"/>
      <c r="DT22" s="109"/>
      <c r="DU22" s="130"/>
      <c r="DV22" s="180">
        <f t="shared" si="15"/>
        <v>0</v>
      </c>
      <c r="DW22" s="181">
        <f>Автовик_разбивка[[#This Row],[Цена, 
юань, без НДС 1]]*DV22</f>
        <v>0</v>
      </c>
      <c r="DX22" s="186">
        <f t="shared" si="16"/>
        <v>0</v>
      </c>
      <c r="DY22" s="186">
        <f>Автовик_разбивка[[#This Row],[Цена, 
юань, без НДС 1]]*DX22</f>
        <v>0</v>
      </c>
      <c r="DZ22" s="130">
        <f t="shared" si="17"/>
        <v>0</v>
      </c>
      <c r="EA22" s="187">
        <f>Автовик_разбивка[[#This Row],[Цена, 
юань, без НДС 1]]*DZ22</f>
        <v>0</v>
      </c>
      <c r="EB22" s="109">
        <f t="shared" si="18"/>
        <v>0</v>
      </c>
      <c r="EC22" s="224">
        <f>Автовик_разбивка[[#This Row],[Цена, 
юань, без НДС 1]]*EB22</f>
        <v>0</v>
      </c>
    </row>
    <row r="23" spans="1:133">
      <c r="A23" s="221">
        <v>11</v>
      </c>
      <c r="B23" s="172" t="s">
        <v>109</v>
      </c>
      <c r="C23" s="173"/>
      <c r="D23" s="173"/>
      <c r="E23" s="174"/>
      <c r="F23" s="174"/>
      <c r="G23" s="174"/>
      <c r="H23" s="175">
        <v>9253771100</v>
      </c>
      <c r="I23" s="176" t="s">
        <v>55</v>
      </c>
      <c r="J23" s="222"/>
      <c r="K23" s="223"/>
      <c r="L23" s="178"/>
      <c r="M23" s="130"/>
      <c r="N23" s="179"/>
      <c r="O23" s="130"/>
      <c r="P23" s="178"/>
      <c r="Q23" s="130"/>
      <c r="R23" s="179"/>
      <c r="S23" s="130"/>
      <c r="T23" s="178"/>
      <c r="U23" s="130">
        <v>0</v>
      </c>
      <c r="V23" s="179">
        <v>4</v>
      </c>
      <c r="W23" s="130"/>
      <c r="X23" s="178"/>
      <c r="Y23" s="130"/>
      <c r="Z23" s="179"/>
      <c r="AA23" s="130"/>
      <c r="AB23" s="178"/>
      <c r="AC23" s="130"/>
      <c r="AD23" s="109"/>
      <c r="AE23" s="130"/>
      <c r="AF23" s="178"/>
      <c r="AG23" s="130"/>
      <c r="AH23" s="109"/>
      <c r="AI23" s="130"/>
      <c r="AJ23" s="178"/>
      <c r="AK23" s="130"/>
      <c r="AL23" s="109"/>
      <c r="AM23" s="130"/>
      <c r="AN23" s="178"/>
      <c r="AO23" s="130"/>
      <c r="AP23" s="109"/>
      <c r="AQ23" s="130"/>
      <c r="AR23" s="178"/>
      <c r="AS23" s="130"/>
      <c r="AT23" s="109"/>
      <c r="AU23" s="130"/>
      <c r="AV23" s="178"/>
      <c r="AW23" s="130"/>
      <c r="AX23" s="109"/>
      <c r="AY23" s="130"/>
      <c r="AZ23" s="178"/>
      <c r="BA23" s="130"/>
      <c r="BB23" s="194"/>
      <c r="BC23" s="130"/>
      <c r="BD23" s="178"/>
      <c r="BE23" s="130"/>
      <c r="BF23" s="109"/>
      <c r="BG23" s="130"/>
      <c r="BH23" s="180">
        <f t="shared" si="12"/>
        <v>0</v>
      </c>
      <c r="BI23" s="181">
        <f>Автовик_разбивка[[#This Row],[Цена, 
юань, без НДС 1]]*BH23</f>
        <v>0</v>
      </c>
      <c r="BJ23" s="130">
        <f t="shared" si="13"/>
        <v>0</v>
      </c>
      <c r="BK23" s="187">
        <f>Автовик_разбивка[[#This Row],[Цена, 
юань, без НДС 1]]*BJ23</f>
        <v>0</v>
      </c>
      <c r="BL23" s="109">
        <f t="shared" si="14"/>
        <v>4</v>
      </c>
      <c r="BM23" s="224">
        <f>Автовик_разбивка[[#This Row],[Цена, 
юань, без НДС 1]]*BL23</f>
        <v>0</v>
      </c>
      <c r="BN23" s="178"/>
      <c r="BO23" s="184"/>
      <c r="BP23" s="130"/>
      <c r="BQ23" s="179"/>
      <c r="BR23" s="130"/>
      <c r="BS23" s="178"/>
      <c r="BT23" s="184"/>
      <c r="BU23" s="130"/>
      <c r="BV23" s="179"/>
      <c r="BW23" s="130"/>
      <c r="BX23" s="178"/>
      <c r="BY23" s="184"/>
      <c r="BZ23" s="130"/>
      <c r="CA23" s="179"/>
      <c r="CB23" s="130"/>
      <c r="CC23" s="178"/>
      <c r="CD23" s="184"/>
      <c r="CE23" s="130"/>
      <c r="CF23" s="179"/>
      <c r="CG23" s="130"/>
      <c r="CH23" s="178"/>
      <c r="CI23" s="184"/>
      <c r="CJ23" s="130"/>
      <c r="CK23" s="109"/>
      <c r="CL23" s="130"/>
      <c r="CM23" s="178"/>
      <c r="CN23" s="184"/>
      <c r="CO23" s="130"/>
      <c r="CP23" s="109"/>
      <c r="CQ23" s="130"/>
      <c r="CR23" s="178"/>
      <c r="CS23" s="184"/>
      <c r="CT23" s="130"/>
      <c r="CU23" s="109"/>
      <c r="CV23" s="130"/>
      <c r="CW23" s="178"/>
      <c r="CX23" s="184"/>
      <c r="CY23" s="130"/>
      <c r="CZ23" s="109"/>
      <c r="DA23" s="130"/>
      <c r="DB23" s="178"/>
      <c r="DC23" s="184"/>
      <c r="DD23" s="130"/>
      <c r="DE23" s="109"/>
      <c r="DF23" s="130"/>
      <c r="DG23" s="178"/>
      <c r="DH23" s="184"/>
      <c r="DI23" s="130"/>
      <c r="DJ23" s="109"/>
      <c r="DK23" s="130"/>
      <c r="DL23" s="178"/>
      <c r="DM23" s="184"/>
      <c r="DN23" s="130"/>
      <c r="DO23" s="194"/>
      <c r="DP23" s="130"/>
      <c r="DQ23" s="178"/>
      <c r="DR23" s="184"/>
      <c r="DS23" s="130"/>
      <c r="DT23" s="109"/>
      <c r="DU23" s="130"/>
      <c r="DV23" s="180">
        <f t="shared" si="15"/>
        <v>0</v>
      </c>
      <c r="DW23" s="181">
        <f>Автовик_разбивка[[#This Row],[Цена, 
юань, без НДС 1]]*DV23</f>
        <v>0</v>
      </c>
      <c r="DX23" s="186">
        <f t="shared" si="16"/>
        <v>0</v>
      </c>
      <c r="DY23" s="186">
        <f>Автовик_разбивка[[#This Row],[Цена, 
юань, без НДС 1]]*DX23</f>
        <v>0</v>
      </c>
      <c r="DZ23" s="130">
        <f t="shared" si="17"/>
        <v>0</v>
      </c>
      <c r="EA23" s="187">
        <f>Автовик_разбивка[[#This Row],[Цена, 
юань, без НДС 1]]*DZ23</f>
        <v>0</v>
      </c>
      <c r="EB23" s="109">
        <f t="shared" si="18"/>
        <v>0</v>
      </c>
      <c r="EC23" s="224">
        <f>Автовик_разбивка[[#This Row],[Цена, 
юань, без НДС 1]]*EB23</f>
        <v>0</v>
      </c>
    </row>
    <row r="24" spans="1:133">
      <c r="A24" s="221">
        <v>11</v>
      </c>
      <c r="B24" s="172" t="s">
        <v>109</v>
      </c>
      <c r="C24" s="132"/>
      <c r="D24" s="132"/>
      <c r="E24" s="229"/>
      <c r="F24" s="229"/>
      <c r="G24" s="229"/>
      <c r="H24" s="230"/>
      <c r="I24" s="231" t="s">
        <v>43</v>
      </c>
      <c r="J24" s="232"/>
      <c r="K24" s="232"/>
      <c r="L24" s="233"/>
      <c r="M24" s="234"/>
      <c r="N24" s="235"/>
      <c r="O24" s="234"/>
      <c r="P24" s="233"/>
      <c r="Q24" s="234"/>
      <c r="R24" s="235"/>
      <c r="S24" s="234"/>
      <c r="T24" s="233"/>
      <c r="U24" s="234"/>
      <c r="V24" s="235"/>
      <c r="W24" s="234"/>
      <c r="X24" s="233"/>
      <c r="Y24" s="234"/>
      <c r="Z24" s="179"/>
      <c r="AA24" s="234"/>
      <c r="AB24" s="233"/>
      <c r="AC24" s="234"/>
      <c r="AD24" s="235"/>
      <c r="AE24" s="234"/>
      <c r="AF24" s="233"/>
      <c r="AG24" s="234"/>
      <c r="AH24" s="179"/>
      <c r="AI24" s="234"/>
      <c r="AJ24" s="233"/>
      <c r="AK24" s="234"/>
      <c r="AL24" s="179"/>
      <c r="AM24" s="234"/>
      <c r="AN24" s="233"/>
      <c r="AO24" s="234"/>
      <c r="AP24" s="179"/>
      <c r="AQ24" s="234"/>
      <c r="AR24" s="233"/>
      <c r="AS24" s="234"/>
      <c r="AT24" s="179"/>
      <c r="AU24" s="234"/>
      <c r="AV24" s="233"/>
      <c r="AW24" s="234"/>
      <c r="AX24" s="235"/>
      <c r="AY24" s="234"/>
      <c r="AZ24" s="233"/>
      <c r="BA24" s="236"/>
      <c r="BB24" s="114"/>
      <c r="BC24" s="234"/>
      <c r="BD24" s="233"/>
      <c r="BE24" s="237"/>
      <c r="BF24" s="115"/>
      <c r="BG24" s="234"/>
      <c r="BH24" s="233">
        <f t="shared" si="12"/>
        <v>0</v>
      </c>
      <c r="BI24" s="238">
        <f>Автовик_разбивка[[#This Row],[Цена, 
юань, без НДС 1]]*BH24</f>
        <v>0</v>
      </c>
      <c r="BJ24" s="237">
        <f t="shared" si="13"/>
        <v>0</v>
      </c>
      <c r="BK24" s="239">
        <f>Автовик_разбивка[[#This Row],[Цена, 
юань, без НДС 1]]*BJ24</f>
        <v>0</v>
      </c>
      <c r="BL24" s="115">
        <f t="shared" si="14"/>
        <v>0</v>
      </c>
      <c r="BM24" s="240">
        <f>Автовик_разбивка[[#This Row],[Цена, 
юань, без НДС 1]]*BL24</f>
        <v>0</v>
      </c>
      <c r="BN24" s="233"/>
      <c r="BO24" s="241"/>
      <c r="BP24" s="234"/>
      <c r="BQ24" s="235"/>
      <c r="BR24" s="234"/>
      <c r="BS24" s="233"/>
      <c r="BT24" s="241"/>
      <c r="BU24" s="234"/>
      <c r="BV24" s="235"/>
      <c r="BW24" s="234"/>
      <c r="BX24" s="233"/>
      <c r="BY24" s="241"/>
      <c r="BZ24" s="234"/>
      <c r="CA24" s="235"/>
      <c r="CB24" s="234"/>
      <c r="CC24" s="233"/>
      <c r="CD24" s="241"/>
      <c r="CE24" s="234"/>
      <c r="CF24" s="179"/>
      <c r="CG24" s="234"/>
      <c r="CH24" s="233"/>
      <c r="CI24" s="241"/>
      <c r="CJ24" s="234"/>
      <c r="CK24" s="235"/>
      <c r="CL24" s="234"/>
      <c r="CM24" s="233"/>
      <c r="CN24" s="241"/>
      <c r="CO24" s="234"/>
      <c r="CP24" s="179"/>
      <c r="CQ24" s="234"/>
      <c r="CR24" s="233"/>
      <c r="CS24" s="241"/>
      <c r="CT24" s="234"/>
      <c r="CU24" s="179"/>
      <c r="CV24" s="234"/>
      <c r="CW24" s="233"/>
      <c r="CX24" s="241"/>
      <c r="CY24" s="234"/>
      <c r="CZ24" s="179"/>
      <c r="DA24" s="234"/>
      <c r="DB24" s="233"/>
      <c r="DC24" s="241"/>
      <c r="DD24" s="234"/>
      <c r="DE24" s="179"/>
      <c r="DF24" s="234"/>
      <c r="DG24" s="233"/>
      <c r="DH24" s="241"/>
      <c r="DI24" s="234"/>
      <c r="DJ24" s="235"/>
      <c r="DK24" s="234"/>
      <c r="DL24" s="233"/>
      <c r="DM24" s="241"/>
      <c r="DN24" s="236"/>
      <c r="DO24" s="114"/>
      <c r="DP24" s="234"/>
      <c r="DQ24" s="233"/>
      <c r="DR24" s="241"/>
      <c r="DS24" s="237"/>
      <c r="DT24" s="115"/>
      <c r="DU24" s="234"/>
      <c r="DV24" s="233">
        <f t="shared" si="15"/>
        <v>0</v>
      </c>
      <c r="DW24" s="238">
        <f>Автовик_разбивка[[#This Row],[Цена, 
юань, без НДС 1]]*DV24</f>
        <v>0</v>
      </c>
      <c r="DX24" s="242">
        <f t="shared" si="16"/>
        <v>0</v>
      </c>
      <c r="DY24" s="242">
        <f>Автовик_разбивка[[#This Row],[Цена, 
юань, без НДС 1]]*DX24</f>
        <v>0</v>
      </c>
      <c r="DZ24" s="237">
        <f t="shared" si="17"/>
        <v>0</v>
      </c>
      <c r="EA24" s="239">
        <f>Автовик_разбивка[[#This Row],[Цена, 
юань, без НДС 1]]*DZ24</f>
        <v>0</v>
      </c>
      <c r="EB24" s="115">
        <f t="shared" si="18"/>
        <v>0</v>
      </c>
      <c r="EC24" s="240">
        <f>Автовик_разбивка[[#This Row],[Цена, 
юань, без НДС 1]]*EB24</f>
        <v>0</v>
      </c>
    </row>
    <row r="25" spans="1:133">
      <c r="A25" s="221">
        <v>11</v>
      </c>
      <c r="B25" s="243" t="s">
        <v>109</v>
      </c>
      <c r="C25" s="244"/>
      <c r="D25" s="244"/>
      <c r="E25" s="245"/>
      <c r="F25" s="245"/>
      <c r="G25" s="245"/>
      <c r="H25" s="246"/>
      <c r="I25" s="247"/>
      <c r="J25" s="248"/>
      <c r="K25" s="248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49"/>
      <c r="Y25" s="249"/>
      <c r="Z25" s="249"/>
      <c r="AA25" s="249"/>
      <c r="AB25" s="249"/>
      <c r="AC25" s="249"/>
      <c r="AD25" s="249"/>
      <c r="AE25" s="249"/>
      <c r="AF25" s="249"/>
      <c r="AG25" s="249"/>
      <c r="AH25" s="249"/>
      <c r="AI25" s="249"/>
      <c r="AJ25" s="249"/>
      <c r="AK25" s="249"/>
      <c r="AL25" s="249"/>
      <c r="AM25" s="249"/>
      <c r="AN25" s="249"/>
      <c r="AO25" s="249"/>
      <c r="AP25" s="249"/>
      <c r="AQ25" s="249"/>
      <c r="AR25" s="249"/>
      <c r="AS25" s="249"/>
      <c r="AT25" s="249"/>
      <c r="AU25" s="249"/>
      <c r="AV25" s="249"/>
      <c r="AW25" s="249"/>
      <c r="AX25" s="250"/>
      <c r="AY25" s="249"/>
      <c r="AZ25" s="250"/>
      <c r="BA25" s="250"/>
      <c r="BB25" s="250"/>
      <c r="BC25" s="249"/>
      <c r="BD25" s="250"/>
      <c r="BE25" s="250"/>
      <c r="BF25" s="250"/>
      <c r="BG25" s="249"/>
      <c r="BH25" s="250">
        <f t="shared" si="12"/>
        <v>0</v>
      </c>
      <c r="BI25" s="251">
        <f>Автовик_разбивка[[#This Row],[Цена, 
юань, без НДС 1]]*BH25</f>
        <v>0</v>
      </c>
      <c r="BJ25" s="250">
        <f t="shared" si="13"/>
        <v>0</v>
      </c>
      <c r="BK25" s="251">
        <f>Автовик_разбивка[[#This Row],[Цена, 
юань, без НДС 1]]*BJ25</f>
        <v>0</v>
      </c>
      <c r="BL25" s="250">
        <f t="shared" si="14"/>
        <v>0</v>
      </c>
      <c r="BM25" s="251">
        <f>Автовик_разбивка[[#This Row],[Цена, 
юань, без НДС 1]]*BL25</f>
        <v>0</v>
      </c>
      <c r="BN25" s="249"/>
      <c r="BO25" s="249"/>
      <c r="BP25" s="249"/>
      <c r="BQ25" s="249"/>
      <c r="BR25" s="249"/>
      <c r="BS25" s="249"/>
      <c r="BT25" s="249"/>
      <c r="BU25" s="249"/>
      <c r="BV25" s="249"/>
      <c r="BW25" s="249"/>
      <c r="BX25" s="249"/>
      <c r="BY25" s="249"/>
      <c r="BZ25" s="249"/>
      <c r="CA25" s="249"/>
      <c r="CB25" s="249"/>
      <c r="CC25" s="249"/>
      <c r="CD25" s="249"/>
      <c r="CE25" s="249"/>
      <c r="CF25" s="249"/>
      <c r="CG25" s="249"/>
      <c r="CH25" s="249"/>
      <c r="CI25" s="249"/>
      <c r="CJ25" s="249"/>
      <c r="CK25" s="249"/>
      <c r="CL25" s="249"/>
      <c r="CM25" s="249"/>
      <c r="CN25" s="249"/>
      <c r="CO25" s="249"/>
      <c r="CP25" s="249"/>
      <c r="CQ25" s="249"/>
      <c r="CR25" s="249"/>
      <c r="CS25" s="249"/>
      <c r="CT25" s="249"/>
      <c r="CU25" s="249"/>
      <c r="CV25" s="249"/>
      <c r="CW25" s="249"/>
      <c r="CX25" s="249"/>
      <c r="CY25" s="249"/>
      <c r="CZ25" s="249"/>
      <c r="DA25" s="249"/>
      <c r="DB25" s="249"/>
      <c r="DC25" s="249"/>
      <c r="DD25" s="249"/>
      <c r="DE25" s="249"/>
      <c r="DF25" s="249"/>
      <c r="DG25" s="249"/>
      <c r="DH25" s="249"/>
      <c r="DI25" s="249"/>
      <c r="DJ25" s="250"/>
      <c r="DK25" s="249"/>
      <c r="DL25" s="250"/>
      <c r="DM25" s="250"/>
      <c r="DN25" s="250"/>
      <c r="DO25" s="250"/>
      <c r="DP25" s="249"/>
      <c r="DQ25" s="250"/>
      <c r="DR25" s="250"/>
      <c r="DS25" s="250"/>
      <c r="DT25" s="250"/>
      <c r="DU25" s="249"/>
      <c r="DV25" s="250">
        <f t="shared" si="15"/>
        <v>0</v>
      </c>
      <c r="DW25" s="251">
        <f>Автовик_разбивка[[#This Row],[Цена, 
юань, без НДС 1]]*DV25</f>
        <v>0</v>
      </c>
      <c r="DX25" s="251">
        <f t="shared" si="16"/>
        <v>0</v>
      </c>
      <c r="DY25" s="251">
        <f>Автовик_разбивка[[#This Row],[Цена, 
юань, без НДС 1]]*DX25</f>
        <v>0</v>
      </c>
      <c r="DZ25" s="250">
        <f t="shared" si="17"/>
        <v>0</v>
      </c>
      <c r="EA25" s="251">
        <f>Автовик_разбивка[[#This Row],[Цена, 
юань, без НДС 1]]*DZ25</f>
        <v>0</v>
      </c>
      <c r="EB25" s="250">
        <f t="shared" si="18"/>
        <v>0</v>
      </c>
      <c r="EC25" s="251">
        <f>Автовик_разбивка[[#This Row],[Цена, 
юань, без НДС 1]]*EB25</f>
        <v>0</v>
      </c>
    </row>
    <row r="26" spans="1:133">
      <c r="A26" s="221">
        <v>11</v>
      </c>
      <c r="B26" s="172" t="s">
        <v>313</v>
      </c>
      <c r="C26" s="173" t="s">
        <v>298</v>
      </c>
      <c r="D26" s="173" t="s">
        <v>300</v>
      </c>
      <c r="E26" s="174">
        <v>1</v>
      </c>
      <c r="F26" s="174"/>
      <c r="G26" s="174"/>
      <c r="H26" s="175">
        <v>4494430600</v>
      </c>
      <c r="I26" s="176" t="s">
        <v>136</v>
      </c>
      <c r="J26" s="222"/>
      <c r="K26" s="223"/>
      <c r="L26" s="178">
        <v>0</v>
      </c>
      <c r="M26" s="130">
        <f t="shared" ref="M26:M37" si="51">$E26*0</f>
        <v>0</v>
      </c>
      <c r="N26" s="179">
        <v>15</v>
      </c>
      <c r="O26" s="130"/>
      <c r="P26" s="178">
        <v>5</v>
      </c>
      <c r="Q26" s="130">
        <f t="shared" ref="Q26:Q37" si="52">$E26*5</f>
        <v>5</v>
      </c>
      <c r="R26" s="179">
        <v>30</v>
      </c>
      <c r="S26" s="130"/>
      <c r="T26" s="178">
        <v>10</v>
      </c>
      <c r="U26" s="130">
        <f t="shared" ref="U26:U37" si="53">$E26*15</f>
        <v>15</v>
      </c>
      <c r="V26" s="179">
        <v>25</v>
      </c>
      <c r="W26" s="130"/>
      <c r="X26" s="178">
        <v>10</v>
      </c>
      <c r="Y26" s="130">
        <f t="shared" ref="Y26:Y37" si="54">$E26*10</f>
        <v>10</v>
      </c>
      <c r="Z26" s="179">
        <v>35</v>
      </c>
      <c r="AA26" s="130"/>
      <c r="AB26" s="178">
        <v>10</v>
      </c>
      <c r="AC26" s="130">
        <f t="shared" ref="AC26:AC37" si="55">$E26*10</f>
        <v>10</v>
      </c>
      <c r="AD26" s="179"/>
      <c r="AE26" s="130"/>
      <c r="AF26" s="178">
        <v>10</v>
      </c>
      <c r="AG26" s="130">
        <f t="shared" ref="AG26:AG37" si="56">$E26*10</f>
        <v>10</v>
      </c>
      <c r="AH26" s="179"/>
      <c r="AI26" s="130"/>
      <c r="AJ26" s="178">
        <v>10</v>
      </c>
      <c r="AK26" s="130">
        <f t="shared" ref="AK26:AK37" si="57">$E26*10</f>
        <v>10</v>
      </c>
      <c r="AL26" s="179"/>
      <c r="AM26" s="130"/>
      <c r="AN26" s="178">
        <v>10</v>
      </c>
      <c r="AO26" s="130">
        <f t="shared" ref="AO26:AO27" si="58">$E26*10</f>
        <v>10</v>
      </c>
      <c r="AP26" s="179"/>
      <c r="AQ26" s="130"/>
      <c r="AR26" s="178">
        <v>10</v>
      </c>
      <c r="AS26" s="130">
        <f t="shared" ref="AS26:AS37" si="59">$E26*5</f>
        <v>5</v>
      </c>
      <c r="AT26" s="179"/>
      <c r="AU26" s="130"/>
      <c r="AV26" s="178">
        <v>10</v>
      </c>
      <c r="AW26" s="130">
        <f t="shared" ref="AW26:AW37" si="60">$E26*10</f>
        <v>10</v>
      </c>
      <c r="AX26" s="179"/>
      <c r="AY26" s="130"/>
      <c r="AZ26" s="178">
        <v>10</v>
      </c>
      <c r="BA26" s="130">
        <f t="shared" ref="BA26:BA37" si="61">$E26*10</f>
        <v>10</v>
      </c>
      <c r="BB26" s="194"/>
      <c r="BC26" s="130"/>
      <c r="BD26" s="178">
        <v>10</v>
      </c>
      <c r="BE26" s="130">
        <f t="shared" ref="BE26:BE37" si="62">$E26*4</f>
        <v>4</v>
      </c>
      <c r="BF26" s="109"/>
      <c r="BG26" s="130"/>
      <c r="BH26" s="180">
        <f t="shared" si="12"/>
        <v>105</v>
      </c>
      <c r="BI26" s="181">
        <f>Автовик_разбивка[[#This Row],[Цена, 
юань, без НДС 1]]*BH26</f>
        <v>0</v>
      </c>
      <c r="BJ26" s="130">
        <f t="shared" si="13"/>
        <v>99</v>
      </c>
      <c r="BK26" s="187">
        <f>Автовик_разбивка[[#This Row],[Цена, 
юань, без НДС 1]]*BJ26</f>
        <v>0</v>
      </c>
      <c r="BL26" s="109">
        <f t="shared" si="14"/>
        <v>105</v>
      </c>
      <c r="BM26" s="224">
        <f>Автовик_разбивка[[#This Row],[Цена, 
юань, без НДС 1]]*BL26</f>
        <v>0</v>
      </c>
      <c r="BN26" s="178"/>
      <c r="BO26" s="184"/>
      <c r="BP26" s="130">
        <f t="shared" ref="BP26:BP37" si="63">$E26*5</f>
        <v>5</v>
      </c>
      <c r="BQ26" s="179"/>
      <c r="BR26" s="130"/>
      <c r="BS26" s="178"/>
      <c r="BT26" s="184"/>
      <c r="BU26" s="130">
        <f t="shared" ref="BU26:BU37" si="64">$E26*5</f>
        <v>5</v>
      </c>
      <c r="BV26" s="179"/>
      <c r="BW26" s="130"/>
      <c r="BX26" s="178"/>
      <c r="BY26" s="184"/>
      <c r="BZ26" s="130">
        <f t="shared" ref="BZ26:BZ37" si="65">$E26*10</f>
        <v>10</v>
      </c>
      <c r="CA26" s="179"/>
      <c r="CB26" s="130"/>
      <c r="CC26" s="178"/>
      <c r="CD26" s="184"/>
      <c r="CE26" s="130">
        <f t="shared" ref="CE26:CE37" si="66">$E26*10</f>
        <v>10</v>
      </c>
      <c r="CF26" s="179"/>
      <c r="CG26" s="130"/>
      <c r="CH26" s="178"/>
      <c r="CI26" s="184"/>
      <c r="CJ26" s="130">
        <f t="shared" ref="CJ26:CJ37" si="67">$E26*10</f>
        <v>10</v>
      </c>
      <c r="CK26" s="179"/>
      <c r="CL26" s="130"/>
      <c r="CM26" s="178"/>
      <c r="CN26" s="184"/>
      <c r="CO26" s="130">
        <f t="shared" ref="CO26:CO37" si="68">$E26*10</f>
        <v>10</v>
      </c>
      <c r="CP26" s="179"/>
      <c r="CQ26" s="130"/>
      <c r="CR26" s="178"/>
      <c r="CS26" s="184"/>
      <c r="CT26" s="130">
        <f t="shared" ref="CT26:CT37" si="69">$E26*10</f>
        <v>10</v>
      </c>
      <c r="CU26" s="179"/>
      <c r="CV26" s="130"/>
      <c r="CW26" s="178"/>
      <c r="CX26" s="184"/>
      <c r="CY26" s="130">
        <f t="shared" ref="CY26:CY37" si="70">$E26*10</f>
        <v>10</v>
      </c>
      <c r="CZ26" s="179"/>
      <c r="DA26" s="130"/>
      <c r="DB26" s="178"/>
      <c r="DC26" s="184"/>
      <c r="DD26" s="130">
        <f t="shared" ref="DD26:DD37" si="71">$E26*10</f>
        <v>10</v>
      </c>
      <c r="DE26" s="179"/>
      <c r="DF26" s="130"/>
      <c r="DG26" s="178"/>
      <c r="DH26" s="184"/>
      <c r="DI26" s="130">
        <f t="shared" ref="DI26:DI37" si="72">$E26*10</f>
        <v>10</v>
      </c>
      <c r="DJ26" s="179"/>
      <c r="DK26" s="130"/>
      <c r="DL26" s="178"/>
      <c r="DM26" s="184"/>
      <c r="DN26" s="130">
        <f t="shared" ref="DN26:DN37" si="73">$E26*10</f>
        <v>10</v>
      </c>
      <c r="DO26" s="194"/>
      <c r="DP26" s="130"/>
      <c r="DQ26" s="178"/>
      <c r="DR26" s="184"/>
      <c r="DS26" s="130">
        <f t="shared" ref="DS26:DS37" si="74">$E26*10</f>
        <v>10</v>
      </c>
      <c r="DT26" s="109"/>
      <c r="DU26" s="130"/>
      <c r="DV26" s="180">
        <f t="shared" si="15"/>
        <v>0</v>
      </c>
      <c r="DW26" s="181">
        <f>Автовик_разбивка[[#This Row],[Цена, 
юань, без НДС 1]]*DV26</f>
        <v>0</v>
      </c>
      <c r="DX26" s="186">
        <f t="shared" si="16"/>
        <v>0</v>
      </c>
      <c r="DY26" s="186">
        <f>Автовик_разбивка[[#This Row],[Цена, 
юань, без НДС 1]]*DX26</f>
        <v>0</v>
      </c>
      <c r="DZ26" s="130">
        <f t="shared" si="17"/>
        <v>110</v>
      </c>
      <c r="EA26" s="187">
        <f>Автовик_разбивка[[#This Row],[Цена, 
юань, без НДС 1]]*DZ26</f>
        <v>0</v>
      </c>
      <c r="EB26" s="109">
        <f t="shared" si="18"/>
        <v>0</v>
      </c>
      <c r="EC26" s="224">
        <f>Автовик_разбивка[[#This Row],[Цена, 
юань, без НДС 1]]*EB26</f>
        <v>0</v>
      </c>
    </row>
    <row r="27" spans="1:133">
      <c r="A27" s="221">
        <v>11</v>
      </c>
      <c r="B27" s="172" t="s">
        <v>313</v>
      </c>
      <c r="C27" s="173" t="s">
        <v>298</v>
      </c>
      <c r="D27" s="173" t="s">
        <v>300</v>
      </c>
      <c r="E27" s="174">
        <v>1</v>
      </c>
      <c r="F27" s="174"/>
      <c r="G27" s="174"/>
      <c r="H27" s="175">
        <v>4630840310</v>
      </c>
      <c r="I27" s="176" t="s">
        <v>135</v>
      </c>
      <c r="J27" s="222"/>
      <c r="K27" s="223"/>
      <c r="L27" s="178">
        <v>0</v>
      </c>
      <c r="M27" s="130">
        <f t="shared" si="51"/>
        <v>0</v>
      </c>
      <c r="N27" s="179">
        <v>15</v>
      </c>
      <c r="O27" s="130"/>
      <c r="P27" s="178">
        <v>5</v>
      </c>
      <c r="Q27" s="130">
        <f t="shared" si="52"/>
        <v>5</v>
      </c>
      <c r="R27" s="179">
        <v>30</v>
      </c>
      <c r="S27" s="130"/>
      <c r="T27" s="178">
        <v>10</v>
      </c>
      <c r="U27" s="130">
        <f t="shared" si="53"/>
        <v>15</v>
      </c>
      <c r="V27" s="179">
        <v>25</v>
      </c>
      <c r="W27" s="130"/>
      <c r="X27" s="178">
        <v>10</v>
      </c>
      <c r="Y27" s="130">
        <f t="shared" si="54"/>
        <v>10</v>
      </c>
      <c r="Z27" s="179">
        <v>35</v>
      </c>
      <c r="AA27" s="130"/>
      <c r="AB27" s="178">
        <v>10</v>
      </c>
      <c r="AC27" s="130">
        <f t="shared" si="55"/>
        <v>10</v>
      </c>
      <c r="AD27" s="179"/>
      <c r="AE27" s="130"/>
      <c r="AF27" s="178">
        <v>10</v>
      </c>
      <c r="AG27" s="130">
        <f t="shared" si="56"/>
        <v>10</v>
      </c>
      <c r="AH27" s="179"/>
      <c r="AI27" s="130"/>
      <c r="AJ27" s="178">
        <v>10</v>
      </c>
      <c r="AK27" s="130">
        <f t="shared" si="57"/>
        <v>10</v>
      </c>
      <c r="AL27" s="179"/>
      <c r="AM27" s="130"/>
      <c r="AN27" s="178">
        <v>10</v>
      </c>
      <c r="AO27" s="130">
        <f t="shared" si="58"/>
        <v>10</v>
      </c>
      <c r="AP27" s="179"/>
      <c r="AQ27" s="130"/>
      <c r="AR27" s="178">
        <v>10</v>
      </c>
      <c r="AS27" s="130">
        <f t="shared" si="59"/>
        <v>5</v>
      </c>
      <c r="AT27" s="179"/>
      <c r="AU27" s="130"/>
      <c r="AV27" s="178">
        <v>10</v>
      </c>
      <c r="AW27" s="130">
        <f t="shared" si="60"/>
        <v>10</v>
      </c>
      <c r="AX27" s="179"/>
      <c r="AY27" s="130"/>
      <c r="AZ27" s="178">
        <v>10</v>
      </c>
      <c r="BA27" s="130">
        <f t="shared" si="61"/>
        <v>10</v>
      </c>
      <c r="BB27" s="194"/>
      <c r="BC27" s="130"/>
      <c r="BD27" s="178">
        <v>10</v>
      </c>
      <c r="BE27" s="130">
        <f t="shared" si="62"/>
        <v>4</v>
      </c>
      <c r="BF27" s="109"/>
      <c r="BG27" s="130"/>
      <c r="BH27" s="180">
        <f t="shared" si="12"/>
        <v>105</v>
      </c>
      <c r="BI27" s="181">
        <f>Автовик_разбивка[[#This Row],[Цена, 
юань, без НДС 1]]*BH27</f>
        <v>0</v>
      </c>
      <c r="BJ27" s="130">
        <f t="shared" si="13"/>
        <v>99</v>
      </c>
      <c r="BK27" s="187">
        <f>Автовик_разбивка[[#This Row],[Цена, 
юань, без НДС 1]]*BJ27</f>
        <v>0</v>
      </c>
      <c r="BL27" s="109">
        <f t="shared" si="14"/>
        <v>105</v>
      </c>
      <c r="BM27" s="224">
        <f>Автовик_разбивка[[#This Row],[Цена, 
юань, без НДС 1]]*BL27</f>
        <v>0</v>
      </c>
      <c r="BN27" s="178"/>
      <c r="BO27" s="184"/>
      <c r="BP27" s="130">
        <f t="shared" si="63"/>
        <v>5</v>
      </c>
      <c r="BQ27" s="179"/>
      <c r="BR27" s="130"/>
      <c r="BS27" s="178"/>
      <c r="BT27" s="184"/>
      <c r="BU27" s="130">
        <f t="shared" si="64"/>
        <v>5</v>
      </c>
      <c r="BV27" s="179"/>
      <c r="BW27" s="130"/>
      <c r="BX27" s="178"/>
      <c r="BY27" s="184"/>
      <c r="BZ27" s="130">
        <f t="shared" si="65"/>
        <v>10</v>
      </c>
      <c r="CA27" s="179"/>
      <c r="CB27" s="130"/>
      <c r="CC27" s="178"/>
      <c r="CD27" s="184"/>
      <c r="CE27" s="130">
        <f t="shared" si="66"/>
        <v>10</v>
      </c>
      <c r="CF27" s="179"/>
      <c r="CG27" s="130"/>
      <c r="CH27" s="178"/>
      <c r="CI27" s="184"/>
      <c r="CJ27" s="130">
        <f t="shared" si="67"/>
        <v>10</v>
      </c>
      <c r="CK27" s="179"/>
      <c r="CL27" s="130"/>
      <c r="CM27" s="178"/>
      <c r="CN27" s="184"/>
      <c r="CO27" s="130">
        <f t="shared" si="68"/>
        <v>10</v>
      </c>
      <c r="CP27" s="179"/>
      <c r="CQ27" s="130"/>
      <c r="CR27" s="178"/>
      <c r="CS27" s="184"/>
      <c r="CT27" s="130">
        <f t="shared" si="69"/>
        <v>10</v>
      </c>
      <c r="CU27" s="179"/>
      <c r="CV27" s="130"/>
      <c r="CW27" s="178"/>
      <c r="CX27" s="184"/>
      <c r="CY27" s="130">
        <f t="shared" si="70"/>
        <v>10</v>
      </c>
      <c r="CZ27" s="179"/>
      <c r="DA27" s="130"/>
      <c r="DB27" s="178"/>
      <c r="DC27" s="184"/>
      <c r="DD27" s="130">
        <f t="shared" si="71"/>
        <v>10</v>
      </c>
      <c r="DE27" s="179"/>
      <c r="DF27" s="130"/>
      <c r="DG27" s="178"/>
      <c r="DH27" s="184"/>
      <c r="DI27" s="130">
        <f t="shared" si="72"/>
        <v>10</v>
      </c>
      <c r="DJ27" s="179"/>
      <c r="DK27" s="130"/>
      <c r="DL27" s="178"/>
      <c r="DM27" s="184"/>
      <c r="DN27" s="130">
        <f t="shared" si="73"/>
        <v>10</v>
      </c>
      <c r="DO27" s="194"/>
      <c r="DP27" s="130"/>
      <c r="DQ27" s="178"/>
      <c r="DR27" s="184"/>
      <c r="DS27" s="130">
        <f t="shared" si="74"/>
        <v>10</v>
      </c>
      <c r="DT27" s="109"/>
      <c r="DU27" s="130"/>
      <c r="DV27" s="180">
        <f t="shared" si="15"/>
        <v>0</v>
      </c>
      <c r="DW27" s="181">
        <f>Автовик_разбивка[[#This Row],[Цена, 
юань, без НДС 1]]*DV27</f>
        <v>0</v>
      </c>
      <c r="DX27" s="186">
        <f t="shared" si="16"/>
        <v>0</v>
      </c>
      <c r="DY27" s="186">
        <f>Автовик_разбивка[[#This Row],[Цена, 
юань, без НДС 1]]*DX27</f>
        <v>0</v>
      </c>
      <c r="DZ27" s="130">
        <f t="shared" si="17"/>
        <v>110</v>
      </c>
      <c r="EA27" s="187">
        <f>Автовик_разбивка[[#This Row],[Цена, 
юань, без НДС 1]]*DZ27</f>
        <v>0</v>
      </c>
      <c r="EB27" s="109">
        <f t="shared" si="18"/>
        <v>0</v>
      </c>
      <c r="EC27" s="224">
        <f>Автовик_разбивка[[#This Row],[Цена, 
юань, без НДС 1]]*EB27</f>
        <v>0</v>
      </c>
    </row>
    <row r="28" spans="1:133">
      <c r="A28" s="221">
        <v>11</v>
      </c>
      <c r="B28" s="172" t="s">
        <v>313</v>
      </c>
      <c r="C28" s="173" t="s">
        <v>298</v>
      </c>
      <c r="D28" s="173" t="s">
        <v>311</v>
      </c>
      <c r="E28" s="174">
        <v>1</v>
      </c>
      <c r="F28" s="174"/>
      <c r="G28" s="174"/>
      <c r="H28" s="175">
        <v>4334010030</v>
      </c>
      <c r="I28" s="176" t="s">
        <v>81</v>
      </c>
      <c r="J28" s="222"/>
      <c r="K28" s="227"/>
      <c r="L28" s="178">
        <v>0</v>
      </c>
      <c r="M28" s="130">
        <f t="shared" si="51"/>
        <v>0</v>
      </c>
      <c r="N28" s="179">
        <v>3</v>
      </c>
      <c r="O28" s="130"/>
      <c r="P28" s="178">
        <v>5</v>
      </c>
      <c r="Q28" s="130">
        <f t="shared" si="52"/>
        <v>5</v>
      </c>
      <c r="R28" s="179">
        <v>10</v>
      </c>
      <c r="S28" s="130"/>
      <c r="T28" s="178">
        <v>10</v>
      </c>
      <c r="U28" s="130">
        <f t="shared" si="53"/>
        <v>15</v>
      </c>
      <c r="V28" s="179">
        <v>11</v>
      </c>
      <c r="W28" s="130"/>
      <c r="X28" s="178">
        <v>10</v>
      </c>
      <c r="Y28" s="130">
        <f t="shared" si="54"/>
        <v>10</v>
      </c>
      <c r="Z28" s="179">
        <v>22</v>
      </c>
      <c r="AA28" s="130"/>
      <c r="AB28" s="178">
        <v>10</v>
      </c>
      <c r="AC28" s="130">
        <f t="shared" si="55"/>
        <v>10</v>
      </c>
      <c r="AD28" s="109"/>
      <c r="AE28" s="252"/>
      <c r="AF28" s="178">
        <v>10</v>
      </c>
      <c r="AG28" s="130">
        <f t="shared" si="56"/>
        <v>10</v>
      </c>
      <c r="AH28" s="109"/>
      <c r="AI28" s="252"/>
      <c r="AJ28" s="178">
        <v>10</v>
      </c>
      <c r="AK28" s="130">
        <f t="shared" si="57"/>
        <v>10</v>
      </c>
      <c r="AL28" s="109"/>
      <c r="AM28" s="252"/>
      <c r="AN28" s="178">
        <v>10</v>
      </c>
      <c r="AO28" s="130">
        <f t="shared" ref="AO28:AO37" si="75">$E28*0</f>
        <v>0</v>
      </c>
      <c r="AP28" s="109"/>
      <c r="AQ28" s="252"/>
      <c r="AR28" s="178">
        <v>10</v>
      </c>
      <c r="AS28" s="130">
        <f t="shared" si="59"/>
        <v>5</v>
      </c>
      <c r="AT28" s="109"/>
      <c r="AU28" s="252"/>
      <c r="AV28" s="178">
        <v>10</v>
      </c>
      <c r="AW28" s="130">
        <f t="shared" si="60"/>
        <v>10</v>
      </c>
      <c r="AX28" s="109"/>
      <c r="AY28" s="252"/>
      <c r="AZ28" s="178">
        <v>10</v>
      </c>
      <c r="BA28" s="130">
        <f t="shared" si="61"/>
        <v>10</v>
      </c>
      <c r="BB28" s="194"/>
      <c r="BC28" s="252"/>
      <c r="BD28" s="178">
        <v>10</v>
      </c>
      <c r="BE28" s="130">
        <f t="shared" si="62"/>
        <v>4</v>
      </c>
      <c r="BF28" s="109"/>
      <c r="BG28" s="252"/>
      <c r="BH28" s="180">
        <f t="shared" si="12"/>
        <v>105</v>
      </c>
      <c r="BI28" s="181">
        <f>Автовик_разбивка[[#This Row],[Цена, 
юань, без НДС 1]]*BH28</f>
        <v>0</v>
      </c>
      <c r="BJ28" s="130">
        <f t="shared" si="13"/>
        <v>89</v>
      </c>
      <c r="BK28" s="187">
        <f>Автовик_разбивка[[#This Row],[Цена, 
юань, без НДС 1]]*BJ28</f>
        <v>0</v>
      </c>
      <c r="BL28" s="109">
        <f t="shared" si="14"/>
        <v>46</v>
      </c>
      <c r="BM28" s="224">
        <f>Автовик_разбивка[[#This Row],[Цена, 
юань, без НДС 1]]*BL28</f>
        <v>0</v>
      </c>
      <c r="BN28" s="178"/>
      <c r="BO28" s="184"/>
      <c r="BP28" s="130">
        <f t="shared" si="63"/>
        <v>5</v>
      </c>
      <c r="BQ28" s="179"/>
      <c r="BR28" s="130"/>
      <c r="BS28" s="178"/>
      <c r="BT28" s="184"/>
      <c r="BU28" s="130">
        <f t="shared" si="64"/>
        <v>5</v>
      </c>
      <c r="BV28" s="179"/>
      <c r="BW28" s="130"/>
      <c r="BX28" s="178"/>
      <c r="BY28" s="184"/>
      <c r="BZ28" s="130">
        <f t="shared" si="65"/>
        <v>10</v>
      </c>
      <c r="CA28" s="179"/>
      <c r="CB28" s="130"/>
      <c r="CC28" s="178"/>
      <c r="CD28" s="184"/>
      <c r="CE28" s="130">
        <f t="shared" si="66"/>
        <v>10</v>
      </c>
      <c r="CF28" s="179"/>
      <c r="CG28" s="130"/>
      <c r="CH28" s="178"/>
      <c r="CI28" s="184"/>
      <c r="CJ28" s="130">
        <f t="shared" si="67"/>
        <v>10</v>
      </c>
      <c r="CK28" s="109"/>
      <c r="CL28" s="252"/>
      <c r="CM28" s="178"/>
      <c r="CN28" s="184"/>
      <c r="CO28" s="130">
        <f t="shared" si="68"/>
        <v>10</v>
      </c>
      <c r="CP28" s="109"/>
      <c r="CQ28" s="252"/>
      <c r="CR28" s="178"/>
      <c r="CS28" s="184"/>
      <c r="CT28" s="130">
        <f t="shared" si="69"/>
        <v>10</v>
      </c>
      <c r="CU28" s="109"/>
      <c r="CV28" s="252"/>
      <c r="CW28" s="178"/>
      <c r="CX28" s="184"/>
      <c r="CY28" s="130">
        <f t="shared" si="70"/>
        <v>10</v>
      </c>
      <c r="CZ28" s="109"/>
      <c r="DA28" s="252"/>
      <c r="DB28" s="178"/>
      <c r="DC28" s="184"/>
      <c r="DD28" s="130">
        <f t="shared" si="71"/>
        <v>10</v>
      </c>
      <c r="DE28" s="109"/>
      <c r="DF28" s="252"/>
      <c r="DG28" s="178"/>
      <c r="DH28" s="184"/>
      <c r="DI28" s="130">
        <f t="shared" si="72"/>
        <v>10</v>
      </c>
      <c r="DJ28" s="109"/>
      <c r="DK28" s="252"/>
      <c r="DL28" s="178"/>
      <c r="DM28" s="184"/>
      <c r="DN28" s="130">
        <f t="shared" si="73"/>
        <v>10</v>
      </c>
      <c r="DO28" s="194"/>
      <c r="DP28" s="252"/>
      <c r="DQ28" s="178"/>
      <c r="DR28" s="184"/>
      <c r="DS28" s="130">
        <f t="shared" si="74"/>
        <v>10</v>
      </c>
      <c r="DT28" s="109"/>
      <c r="DU28" s="252"/>
      <c r="DV28" s="180">
        <f t="shared" si="15"/>
        <v>0</v>
      </c>
      <c r="DW28" s="181">
        <f>Автовик_разбивка[[#This Row],[Цена, 
юань, без НДС 1]]*DV28</f>
        <v>0</v>
      </c>
      <c r="DX28" s="186">
        <f t="shared" si="16"/>
        <v>0</v>
      </c>
      <c r="DY28" s="186">
        <f>Автовик_разбивка[[#This Row],[Цена, 
юань, без НДС 1]]*DX28</f>
        <v>0</v>
      </c>
      <c r="DZ28" s="130">
        <f t="shared" si="17"/>
        <v>110</v>
      </c>
      <c r="EA28" s="187">
        <f>Автовик_разбивка[[#This Row],[Цена, 
юань, без НДС 1]]*DZ28</f>
        <v>0</v>
      </c>
      <c r="EB28" s="109">
        <f t="shared" si="18"/>
        <v>0</v>
      </c>
      <c r="EC28" s="224">
        <f>Автовик_разбивка[[#This Row],[Цена, 
юань, без НДС 1]]*EB28</f>
        <v>0</v>
      </c>
    </row>
    <row r="29" spans="1:133">
      <c r="A29" s="221">
        <v>11</v>
      </c>
      <c r="B29" s="172" t="s">
        <v>313</v>
      </c>
      <c r="C29" s="173" t="s">
        <v>298</v>
      </c>
      <c r="D29" s="173" t="s">
        <v>311</v>
      </c>
      <c r="E29" s="174">
        <v>1</v>
      </c>
      <c r="F29" s="174"/>
      <c r="G29" s="174"/>
      <c r="H29" s="175">
        <v>4491731500</v>
      </c>
      <c r="I29" s="176" t="s">
        <v>77</v>
      </c>
      <c r="J29" s="222"/>
      <c r="K29" s="223"/>
      <c r="L29" s="178">
        <v>0</v>
      </c>
      <c r="M29" s="130">
        <f t="shared" si="51"/>
        <v>0</v>
      </c>
      <c r="N29" s="179">
        <v>3</v>
      </c>
      <c r="O29" s="130"/>
      <c r="P29" s="178">
        <v>5</v>
      </c>
      <c r="Q29" s="130">
        <f t="shared" si="52"/>
        <v>5</v>
      </c>
      <c r="R29" s="179">
        <v>10</v>
      </c>
      <c r="S29" s="130"/>
      <c r="T29" s="178">
        <v>10</v>
      </c>
      <c r="U29" s="130">
        <f t="shared" si="53"/>
        <v>15</v>
      </c>
      <c r="V29" s="179">
        <v>11</v>
      </c>
      <c r="W29" s="130"/>
      <c r="X29" s="178">
        <v>10</v>
      </c>
      <c r="Y29" s="130">
        <f t="shared" si="54"/>
        <v>10</v>
      </c>
      <c r="Z29" s="179">
        <v>22</v>
      </c>
      <c r="AA29" s="130"/>
      <c r="AB29" s="178">
        <v>10</v>
      </c>
      <c r="AC29" s="130">
        <f t="shared" si="55"/>
        <v>10</v>
      </c>
      <c r="AD29" s="109"/>
      <c r="AE29" s="252"/>
      <c r="AF29" s="178">
        <v>10</v>
      </c>
      <c r="AG29" s="130">
        <f t="shared" si="56"/>
        <v>10</v>
      </c>
      <c r="AH29" s="109"/>
      <c r="AI29" s="252"/>
      <c r="AJ29" s="178">
        <v>10</v>
      </c>
      <c r="AK29" s="130">
        <f t="shared" si="57"/>
        <v>10</v>
      </c>
      <c r="AL29" s="109"/>
      <c r="AM29" s="252"/>
      <c r="AN29" s="178">
        <v>10</v>
      </c>
      <c r="AO29" s="130">
        <f t="shared" si="75"/>
        <v>0</v>
      </c>
      <c r="AP29" s="109"/>
      <c r="AQ29" s="252"/>
      <c r="AR29" s="178">
        <v>10</v>
      </c>
      <c r="AS29" s="130">
        <f t="shared" si="59"/>
        <v>5</v>
      </c>
      <c r="AT29" s="109"/>
      <c r="AU29" s="252"/>
      <c r="AV29" s="178">
        <v>10</v>
      </c>
      <c r="AW29" s="130">
        <f t="shared" si="60"/>
        <v>10</v>
      </c>
      <c r="AX29" s="109"/>
      <c r="AY29" s="252"/>
      <c r="AZ29" s="178">
        <v>10</v>
      </c>
      <c r="BA29" s="130">
        <f t="shared" si="61"/>
        <v>10</v>
      </c>
      <c r="BB29" s="193"/>
      <c r="BC29" s="252"/>
      <c r="BD29" s="178">
        <v>10</v>
      </c>
      <c r="BE29" s="130">
        <f t="shared" si="62"/>
        <v>4</v>
      </c>
      <c r="BF29" s="109"/>
      <c r="BG29" s="252"/>
      <c r="BH29" s="180">
        <f t="shared" si="12"/>
        <v>105</v>
      </c>
      <c r="BI29" s="181">
        <f>Автовик_разбивка[[#This Row],[Цена, 
юань, без НДС 1]]*BH29</f>
        <v>0</v>
      </c>
      <c r="BJ29" s="130">
        <f t="shared" si="13"/>
        <v>89</v>
      </c>
      <c r="BK29" s="187">
        <f>Автовик_разбивка[[#This Row],[Цена, 
юань, без НДС 1]]*BJ29</f>
        <v>0</v>
      </c>
      <c r="BL29" s="109">
        <f t="shared" si="14"/>
        <v>46</v>
      </c>
      <c r="BM29" s="224">
        <f>Автовик_разбивка[[#This Row],[Цена, 
юань, без НДС 1]]*BL29</f>
        <v>0</v>
      </c>
      <c r="BN29" s="178"/>
      <c r="BO29" s="184"/>
      <c r="BP29" s="130">
        <f t="shared" si="63"/>
        <v>5</v>
      </c>
      <c r="BQ29" s="179"/>
      <c r="BR29" s="130"/>
      <c r="BS29" s="178"/>
      <c r="BT29" s="184"/>
      <c r="BU29" s="130">
        <f t="shared" si="64"/>
        <v>5</v>
      </c>
      <c r="BV29" s="179"/>
      <c r="BW29" s="130"/>
      <c r="BX29" s="178"/>
      <c r="BY29" s="184"/>
      <c r="BZ29" s="130">
        <f t="shared" si="65"/>
        <v>10</v>
      </c>
      <c r="CA29" s="179"/>
      <c r="CB29" s="130"/>
      <c r="CC29" s="178"/>
      <c r="CD29" s="184"/>
      <c r="CE29" s="130">
        <f t="shared" si="66"/>
        <v>10</v>
      </c>
      <c r="CF29" s="179"/>
      <c r="CG29" s="130"/>
      <c r="CH29" s="178"/>
      <c r="CI29" s="184"/>
      <c r="CJ29" s="130">
        <f t="shared" si="67"/>
        <v>10</v>
      </c>
      <c r="CK29" s="109"/>
      <c r="CL29" s="252"/>
      <c r="CM29" s="178"/>
      <c r="CN29" s="184"/>
      <c r="CO29" s="130">
        <f t="shared" si="68"/>
        <v>10</v>
      </c>
      <c r="CP29" s="109"/>
      <c r="CQ29" s="252"/>
      <c r="CR29" s="178"/>
      <c r="CS29" s="184"/>
      <c r="CT29" s="130">
        <f t="shared" si="69"/>
        <v>10</v>
      </c>
      <c r="CU29" s="109"/>
      <c r="CV29" s="252"/>
      <c r="CW29" s="178"/>
      <c r="CX29" s="184"/>
      <c r="CY29" s="130">
        <f t="shared" si="70"/>
        <v>10</v>
      </c>
      <c r="CZ29" s="109"/>
      <c r="DA29" s="252"/>
      <c r="DB29" s="178"/>
      <c r="DC29" s="184"/>
      <c r="DD29" s="130">
        <f t="shared" si="71"/>
        <v>10</v>
      </c>
      <c r="DE29" s="109"/>
      <c r="DF29" s="252"/>
      <c r="DG29" s="178"/>
      <c r="DH29" s="184"/>
      <c r="DI29" s="130">
        <f t="shared" si="72"/>
        <v>10</v>
      </c>
      <c r="DJ29" s="109"/>
      <c r="DK29" s="252"/>
      <c r="DL29" s="178"/>
      <c r="DM29" s="184"/>
      <c r="DN29" s="130">
        <f t="shared" si="73"/>
        <v>10</v>
      </c>
      <c r="DO29" s="193"/>
      <c r="DP29" s="252"/>
      <c r="DQ29" s="178"/>
      <c r="DR29" s="184"/>
      <c r="DS29" s="130">
        <f t="shared" si="74"/>
        <v>10</v>
      </c>
      <c r="DT29" s="109"/>
      <c r="DU29" s="252"/>
      <c r="DV29" s="180">
        <f t="shared" si="15"/>
        <v>0</v>
      </c>
      <c r="DW29" s="181">
        <f>Автовик_разбивка[[#This Row],[Цена, 
юань, без НДС 1]]*DV29</f>
        <v>0</v>
      </c>
      <c r="DX29" s="186">
        <f t="shared" si="16"/>
        <v>0</v>
      </c>
      <c r="DY29" s="186">
        <f>Автовик_разбивка[[#This Row],[Цена, 
юань, без НДС 1]]*DX29</f>
        <v>0</v>
      </c>
      <c r="DZ29" s="130">
        <f t="shared" si="17"/>
        <v>110</v>
      </c>
      <c r="EA29" s="187">
        <f>Автовик_разбивка[[#This Row],[Цена, 
юань, без НДС 1]]*DZ29</f>
        <v>0</v>
      </c>
      <c r="EB29" s="109">
        <f t="shared" si="18"/>
        <v>0</v>
      </c>
      <c r="EC29" s="224">
        <f>Автовик_разбивка[[#This Row],[Цена, 
юань, без НДС 1]]*EB29</f>
        <v>0</v>
      </c>
    </row>
    <row r="30" spans="1:133">
      <c r="A30" s="221">
        <v>11</v>
      </c>
      <c r="B30" s="172" t="s">
        <v>313</v>
      </c>
      <c r="C30" s="173" t="s">
        <v>298</v>
      </c>
      <c r="D30" s="173" t="s">
        <v>311</v>
      </c>
      <c r="E30" s="174"/>
      <c r="F30" s="174"/>
      <c r="G30" s="174"/>
      <c r="H30" s="175">
        <v>4497230400</v>
      </c>
      <c r="I30" s="176" t="s">
        <v>148</v>
      </c>
      <c r="J30" s="222"/>
      <c r="K30" s="223"/>
      <c r="L30" s="178"/>
      <c r="M30" s="130">
        <v>0</v>
      </c>
      <c r="N30" s="179">
        <v>6</v>
      </c>
      <c r="O30" s="130"/>
      <c r="P30" s="178"/>
      <c r="Q30" s="130">
        <v>0</v>
      </c>
      <c r="R30" s="179">
        <v>20</v>
      </c>
      <c r="S30" s="130"/>
      <c r="T30" s="178"/>
      <c r="U30" s="130">
        <v>0</v>
      </c>
      <c r="V30" s="179">
        <v>10</v>
      </c>
      <c r="W30" s="130"/>
      <c r="X30" s="178"/>
      <c r="Y30" s="130"/>
      <c r="Z30" s="179"/>
      <c r="AA30" s="130"/>
      <c r="AB30" s="178"/>
      <c r="AC30" s="130"/>
      <c r="AD30" s="109"/>
      <c r="AE30" s="252"/>
      <c r="AF30" s="178"/>
      <c r="AG30" s="130"/>
      <c r="AH30" s="109"/>
      <c r="AI30" s="252"/>
      <c r="AJ30" s="178"/>
      <c r="AK30" s="130"/>
      <c r="AL30" s="109"/>
      <c r="AM30" s="252"/>
      <c r="AN30" s="178"/>
      <c r="AO30" s="130"/>
      <c r="AP30" s="109"/>
      <c r="AQ30" s="252"/>
      <c r="AR30" s="178"/>
      <c r="AS30" s="130"/>
      <c r="AT30" s="109"/>
      <c r="AU30" s="252"/>
      <c r="AV30" s="178"/>
      <c r="AW30" s="130"/>
      <c r="AX30" s="109"/>
      <c r="AY30" s="252"/>
      <c r="AZ30" s="178"/>
      <c r="BA30" s="130"/>
      <c r="BB30" s="193"/>
      <c r="BC30" s="252"/>
      <c r="BD30" s="178"/>
      <c r="BE30" s="130">
        <f t="shared" si="62"/>
        <v>0</v>
      </c>
      <c r="BF30" s="109"/>
      <c r="BG30" s="252"/>
      <c r="BH30" s="180">
        <f t="shared" si="12"/>
        <v>0</v>
      </c>
      <c r="BI30" s="181">
        <f>Автовик_разбивка[[#This Row],[Цена, 
юань, без НДС 1]]*BH30</f>
        <v>0</v>
      </c>
      <c r="BJ30" s="130">
        <f t="shared" si="13"/>
        <v>0</v>
      </c>
      <c r="BK30" s="187">
        <f>Автовик_разбивка[[#This Row],[Цена, 
юань, без НДС 1]]*BJ30</f>
        <v>0</v>
      </c>
      <c r="BL30" s="109">
        <f t="shared" si="14"/>
        <v>36</v>
      </c>
      <c r="BM30" s="224">
        <f>Автовик_разбивка[[#This Row],[Цена, 
юань, без НДС 1]]*BL30</f>
        <v>0</v>
      </c>
      <c r="BN30" s="178"/>
      <c r="BO30" s="184"/>
      <c r="BP30" s="130">
        <f t="shared" si="63"/>
        <v>0</v>
      </c>
      <c r="BQ30" s="179"/>
      <c r="BR30" s="130"/>
      <c r="BS30" s="178"/>
      <c r="BT30" s="184"/>
      <c r="BU30" s="130">
        <f t="shared" si="64"/>
        <v>0</v>
      </c>
      <c r="BV30" s="179"/>
      <c r="BW30" s="130"/>
      <c r="BX30" s="178"/>
      <c r="BY30" s="184"/>
      <c r="BZ30" s="130">
        <f t="shared" si="65"/>
        <v>0</v>
      </c>
      <c r="CA30" s="179"/>
      <c r="CB30" s="130"/>
      <c r="CC30" s="178"/>
      <c r="CD30" s="184"/>
      <c r="CE30" s="130">
        <f t="shared" si="66"/>
        <v>0</v>
      </c>
      <c r="CF30" s="179"/>
      <c r="CG30" s="130"/>
      <c r="CH30" s="178"/>
      <c r="CI30" s="184"/>
      <c r="CJ30" s="130">
        <f t="shared" si="67"/>
        <v>0</v>
      </c>
      <c r="CK30" s="109"/>
      <c r="CL30" s="252"/>
      <c r="CM30" s="178"/>
      <c r="CN30" s="184"/>
      <c r="CO30" s="130">
        <f t="shared" si="68"/>
        <v>0</v>
      </c>
      <c r="CP30" s="109"/>
      <c r="CQ30" s="252"/>
      <c r="CR30" s="178"/>
      <c r="CS30" s="184"/>
      <c r="CT30" s="130">
        <f t="shared" si="69"/>
        <v>0</v>
      </c>
      <c r="CU30" s="109"/>
      <c r="CV30" s="252"/>
      <c r="CW30" s="178"/>
      <c r="CX30" s="184"/>
      <c r="CY30" s="130">
        <f t="shared" si="70"/>
        <v>0</v>
      </c>
      <c r="CZ30" s="109"/>
      <c r="DA30" s="252"/>
      <c r="DB30" s="178"/>
      <c r="DC30" s="184"/>
      <c r="DD30" s="130">
        <f t="shared" si="71"/>
        <v>0</v>
      </c>
      <c r="DE30" s="109"/>
      <c r="DF30" s="252"/>
      <c r="DG30" s="178"/>
      <c r="DH30" s="184"/>
      <c r="DI30" s="130">
        <f t="shared" si="72"/>
        <v>0</v>
      </c>
      <c r="DJ30" s="109"/>
      <c r="DK30" s="252"/>
      <c r="DL30" s="178"/>
      <c r="DM30" s="184"/>
      <c r="DN30" s="130">
        <f t="shared" si="73"/>
        <v>0</v>
      </c>
      <c r="DO30" s="193"/>
      <c r="DP30" s="252"/>
      <c r="DQ30" s="178"/>
      <c r="DR30" s="184"/>
      <c r="DS30" s="130">
        <f t="shared" si="74"/>
        <v>0</v>
      </c>
      <c r="DT30" s="109"/>
      <c r="DU30" s="252"/>
      <c r="DV30" s="180">
        <f t="shared" si="15"/>
        <v>0</v>
      </c>
      <c r="DW30" s="181">
        <f>Автовик_разбивка[[#This Row],[Цена, 
юань, без НДС 1]]*DV30</f>
        <v>0</v>
      </c>
      <c r="DX30" s="186">
        <f t="shared" si="16"/>
        <v>0</v>
      </c>
      <c r="DY30" s="186">
        <f>Автовик_разбивка[[#This Row],[Цена, 
юань, без НДС 1]]*DX30</f>
        <v>0</v>
      </c>
      <c r="DZ30" s="130">
        <f t="shared" si="17"/>
        <v>0</v>
      </c>
      <c r="EA30" s="187">
        <f>Автовик_разбивка[[#This Row],[Цена, 
юань, без НДС 1]]*DZ30</f>
        <v>0</v>
      </c>
      <c r="EB30" s="109">
        <f t="shared" si="18"/>
        <v>0</v>
      </c>
      <c r="EC30" s="224">
        <f>Автовик_разбивка[[#This Row],[Цена, 
юань, без НДС 1]]*EB30</f>
        <v>0</v>
      </c>
    </row>
    <row r="31" spans="1:133">
      <c r="A31" s="221">
        <v>11</v>
      </c>
      <c r="B31" s="172" t="s">
        <v>313</v>
      </c>
      <c r="C31" s="173" t="s">
        <v>298</v>
      </c>
      <c r="D31" s="173" t="s">
        <v>311</v>
      </c>
      <c r="E31" s="174">
        <v>2</v>
      </c>
      <c r="F31" s="174"/>
      <c r="G31" s="174"/>
      <c r="H31" s="175">
        <v>4497230500</v>
      </c>
      <c r="I31" s="176" t="s">
        <v>78</v>
      </c>
      <c r="J31" s="222"/>
      <c r="K31" s="223"/>
      <c r="L31" s="178">
        <v>0</v>
      </c>
      <c r="M31" s="130">
        <f t="shared" si="51"/>
        <v>0</v>
      </c>
      <c r="N31" s="179">
        <v>0</v>
      </c>
      <c r="O31" s="130"/>
      <c r="P31" s="178">
        <v>10</v>
      </c>
      <c r="Q31" s="130">
        <f t="shared" si="52"/>
        <v>10</v>
      </c>
      <c r="R31" s="179">
        <v>0</v>
      </c>
      <c r="S31" s="130"/>
      <c r="T31" s="178">
        <v>20</v>
      </c>
      <c r="U31" s="130">
        <f t="shared" si="53"/>
        <v>30</v>
      </c>
      <c r="V31" s="179">
        <v>12</v>
      </c>
      <c r="W31" s="130"/>
      <c r="X31" s="178">
        <v>20</v>
      </c>
      <c r="Y31" s="130">
        <f t="shared" si="54"/>
        <v>20</v>
      </c>
      <c r="Z31" s="179">
        <v>44</v>
      </c>
      <c r="AA31" s="130"/>
      <c r="AB31" s="178">
        <v>20</v>
      </c>
      <c r="AC31" s="130">
        <f t="shared" si="55"/>
        <v>20</v>
      </c>
      <c r="AD31" s="109"/>
      <c r="AE31" s="252"/>
      <c r="AF31" s="178">
        <v>20</v>
      </c>
      <c r="AG31" s="130">
        <f t="shared" si="56"/>
        <v>20</v>
      </c>
      <c r="AH31" s="109"/>
      <c r="AI31" s="252"/>
      <c r="AJ31" s="178">
        <v>20</v>
      </c>
      <c r="AK31" s="130">
        <f t="shared" si="57"/>
        <v>20</v>
      </c>
      <c r="AL31" s="109"/>
      <c r="AM31" s="252"/>
      <c r="AN31" s="178">
        <v>20</v>
      </c>
      <c r="AO31" s="130">
        <f t="shared" si="75"/>
        <v>0</v>
      </c>
      <c r="AP31" s="109"/>
      <c r="AQ31" s="252"/>
      <c r="AR31" s="178">
        <v>20</v>
      </c>
      <c r="AS31" s="130">
        <f t="shared" si="59"/>
        <v>10</v>
      </c>
      <c r="AT31" s="109"/>
      <c r="AU31" s="252"/>
      <c r="AV31" s="178">
        <v>20</v>
      </c>
      <c r="AW31" s="130">
        <f t="shared" si="60"/>
        <v>20</v>
      </c>
      <c r="AX31" s="109"/>
      <c r="AY31" s="252"/>
      <c r="AZ31" s="178">
        <v>20</v>
      </c>
      <c r="BA31" s="130">
        <f t="shared" si="61"/>
        <v>20</v>
      </c>
      <c r="BB31" s="193"/>
      <c r="BC31" s="252"/>
      <c r="BD31" s="178">
        <v>20</v>
      </c>
      <c r="BE31" s="130">
        <f t="shared" si="62"/>
        <v>8</v>
      </c>
      <c r="BF31" s="109"/>
      <c r="BG31" s="252"/>
      <c r="BH31" s="180">
        <f t="shared" si="12"/>
        <v>210</v>
      </c>
      <c r="BI31" s="181">
        <f>Автовик_разбивка[[#This Row],[Цена, 
юань, без НДС 1]]*BH31</f>
        <v>0</v>
      </c>
      <c r="BJ31" s="130">
        <f t="shared" si="13"/>
        <v>178</v>
      </c>
      <c r="BK31" s="187">
        <f>Автовик_разбивка[[#This Row],[Цена, 
юань, без НДС 1]]*BJ31</f>
        <v>0</v>
      </c>
      <c r="BL31" s="109">
        <f t="shared" si="14"/>
        <v>56</v>
      </c>
      <c r="BM31" s="224">
        <f>Автовик_разбивка[[#This Row],[Цена, 
юань, без НДС 1]]*BL31</f>
        <v>0</v>
      </c>
      <c r="BN31" s="178"/>
      <c r="BO31" s="184"/>
      <c r="BP31" s="130">
        <f t="shared" si="63"/>
        <v>10</v>
      </c>
      <c r="BQ31" s="179"/>
      <c r="BR31" s="130"/>
      <c r="BS31" s="178"/>
      <c r="BT31" s="184"/>
      <c r="BU31" s="130">
        <f t="shared" si="64"/>
        <v>10</v>
      </c>
      <c r="BV31" s="179"/>
      <c r="BW31" s="130"/>
      <c r="BX31" s="178"/>
      <c r="BY31" s="184"/>
      <c r="BZ31" s="130">
        <f t="shared" si="65"/>
        <v>20</v>
      </c>
      <c r="CA31" s="179"/>
      <c r="CB31" s="130"/>
      <c r="CC31" s="178"/>
      <c r="CD31" s="184"/>
      <c r="CE31" s="130">
        <f t="shared" si="66"/>
        <v>20</v>
      </c>
      <c r="CF31" s="179"/>
      <c r="CG31" s="130"/>
      <c r="CH31" s="178"/>
      <c r="CI31" s="184"/>
      <c r="CJ31" s="130">
        <f t="shared" si="67"/>
        <v>20</v>
      </c>
      <c r="CK31" s="109"/>
      <c r="CL31" s="252"/>
      <c r="CM31" s="178"/>
      <c r="CN31" s="184"/>
      <c r="CO31" s="130">
        <f t="shared" si="68"/>
        <v>20</v>
      </c>
      <c r="CP31" s="109"/>
      <c r="CQ31" s="252"/>
      <c r="CR31" s="178"/>
      <c r="CS31" s="184"/>
      <c r="CT31" s="130">
        <f t="shared" si="69"/>
        <v>20</v>
      </c>
      <c r="CU31" s="109"/>
      <c r="CV31" s="252"/>
      <c r="CW31" s="178"/>
      <c r="CX31" s="184"/>
      <c r="CY31" s="130">
        <f t="shared" si="70"/>
        <v>20</v>
      </c>
      <c r="CZ31" s="109"/>
      <c r="DA31" s="252"/>
      <c r="DB31" s="178"/>
      <c r="DC31" s="184"/>
      <c r="DD31" s="130">
        <f t="shared" si="71"/>
        <v>20</v>
      </c>
      <c r="DE31" s="109"/>
      <c r="DF31" s="252"/>
      <c r="DG31" s="178"/>
      <c r="DH31" s="184"/>
      <c r="DI31" s="130">
        <f t="shared" si="72"/>
        <v>20</v>
      </c>
      <c r="DJ31" s="109"/>
      <c r="DK31" s="252"/>
      <c r="DL31" s="178"/>
      <c r="DM31" s="184"/>
      <c r="DN31" s="130">
        <f t="shared" si="73"/>
        <v>20</v>
      </c>
      <c r="DO31" s="193"/>
      <c r="DP31" s="252"/>
      <c r="DQ31" s="178"/>
      <c r="DR31" s="184"/>
      <c r="DS31" s="130">
        <f t="shared" si="74"/>
        <v>20</v>
      </c>
      <c r="DT31" s="109"/>
      <c r="DU31" s="252"/>
      <c r="DV31" s="180">
        <f t="shared" si="15"/>
        <v>0</v>
      </c>
      <c r="DW31" s="181">
        <f>Автовик_разбивка[[#This Row],[Цена, 
юань, без НДС 1]]*DV31</f>
        <v>0</v>
      </c>
      <c r="DX31" s="186">
        <f t="shared" si="16"/>
        <v>0</v>
      </c>
      <c r="DY31" s="186">
        <f>Автовик_разбивка[[#This Row],[Цена, 
юань, без НДС 1]]*DX31</f>
        <v>0</v>
      </c>
      <c r="DZ31" s="130">
        <f t="shared" si="17"/>
        <v>220</v>
      </c>
      <c r="EA31" s="187">
        <f>Автовик_разбивка[[#This Row],[Цена, 
юань, без НДС 1]]*DZ31</f>
        <v>0</v>
      </c>
      <c r="EB31" s="109">
        <f t="shared" si="18"/>
        <v>0</v>
      </c>
      <c r="EC31" s="224">
        <f>Автовик_разбивка[[#This Row],[Цена, 
юань, без НДС 1]]*EB31</f>
        <v>0</v>
      </c>
    </row>
    <row r="32" spans="1:133">
      <c r="A32" s="221">
        <v>11</v>
      </c>
      <c r="B32" s="172" t="s">
        <v>313</v>
      </c>
      <c r="C32" s="173" t="s">
        <v>298</v>
      </c>
      <c r="D32" s="173" t="s">
        <v>311</v>
      </c>
      <c r="E32" s="174">
        <v>1</v>
      </c>
      <c r="F32" s="174"/>
      <c r="G32" s="174"/>
      <c r="H32" s="175">
        <v>4630320200</v>
      </c>
      <c r="I32" s="176" t="s">
        <v>80</v>
      </c>
      <c r="J32" s="222"/>
      <c r="K32" s="227"/>
      <c r="L32" s="178">
        <v>0</v>
      </c>
      <c r="M32" s="130">
        <f t="shared" si="51"/>
        <v>0</v>
      </c>
      <c r="N32" s="179">
        <v>3</v>
      </c>
      <c r="O32" s="130"/>
      <c r="P32" s="178">
        <v>5</v>
      </c>
      <c r="Q32" s="130">
        <f t="shared" si="52"/>
        <v>5</v>
      </c>
      <c r="R32" s="179">
        <v>10</v>
      </c>
      <c r="S32" s="130"/>
      <c r="T32" s="178">
        <v>10</v>
      </c>
      <c r="U32" s="130">
        <f t="shared" si="53"/>
        <v>15</v>
      </c>
      <c r="V32" s="179">
        <v>11</v>
      </c>
      <c r="W32" s="130"/>
      <c r="X32" s="178">
        <v>10</v>
      </c>
      <c r="Y32" s="130">
        <f t="shared" si="54"/>
        <v>10</v>
      </c>
      <c r="Z32" s="179">
        <v>22</v>
      </c>
      <c r="AA32" s="130"/>
      <c r="AB32" s="178">
        <v>10</v>
      </c>
      <c r="AC32" s="130">
        <f t="shared" si="55"/>
        <v>10</v>
      </c>
      <c r="AD32" s="109"/>
      <c r="AE32" s="252"/>
      <c r="AF32" s="178">
        <v>10</v>
      </c>
      <c r="AG32" s="130">
        <f t="shared" si="56"/>
        <v>10</v>
      </c>
      <c r="AH32" s="109"/>
      <c r="AI32" s="252"/>
      <c r="AJ32" s="178">
        <v>10</v>
      </c>
      <c r="AK32" s="130">
        <f t="shared" si="57"/>
        <v>10</v>
      </c>
      <c r="AL32" s="109"/>
      <c r="AM32" s="252"/>
      <c r="AN32" s="178">
        <v>10</v>
      </c>
      <c r="AO32" s="130">
        <f t="shared" si="75"/>
        <v>0</v>
      </c>
      <c r="AP32" s="109"/>
      <c r="AQ32" s="252"/>
      <c r="AR32" s="178">
        <v>10</v>
      </c>
      <c r="AS32" s="130">
        <f t="shared" si="59"/>
        <v>5</v>
      </c>
      <c r="AT32" s="109"/>
      <c r="AU32" s="252"/>
      <c r="AV32" s="178">
        <v>10</v>
      </c>
      <c r="AW32" s="130">
        <f t="shared" si="60"/>
        <v>10</v>
      </c>
      <c r="AX32" s="109"/>
      <c r="AY32" s="252"/>
      <c r="AZ32" s="178">
        <v>10</v>
      </c>
      <c r="BA32" s="130">
        <f t="shared" si="61"/>
        <v>10</v>
      </c>
      <c r="BB32" s="194"/>
      <c r="BC32" s="252"/>
      <c r="BD32" s="178">
        <v>10</v>
      </c>
      <c r="BE32" s="130">
        <f t="shared" si="62"/>
        <v>4</v>
      </c>
      <c r="BF32" s="109"/>
      <c r="BG32" s="252"/>
      <c r="BH32" s="180">
        <f t="shared" si="12"/>
        <v>105</v>
      </c>
      <c r="BI32" s="181">
        <f>Автовик_разбивка[[#This Row],[Цена, 
юань, без НДС 1]]*BH32</f>
        <v>0</v>
      </c>
      <c r="BJ32" s="130">
        <f t="shared" si="13"/>
        <v>89</v>
      </c>
      <c r="BK32" s="187">
        <f>Автовик_разбивка[[#This Row],[Цена, 
юань, без НДС 1]]*BJ32</f>
        <v>0</v>
      </c>
      <c r="BL32" s="109">
        <f t="shared" si="14"/>
        <v>46</v>
      </c>
      <c r="BM32" s="224">
        <f>Автовик_разбивка[[#This Row],[Цена, 
юань, без НДС 1]]*BL32</f>
        <v>0</v>
      </c>
      <c r="BN32" s="178"/>
      <c r="BO32" s="184"/>
      <c r="BP32" s="130">
        <f t="shared" si="63"/>
        <v>5</v>
      </c>
      <c r="BQ32" s="179"/>
      <c r="BR32" s="130"/>
      <c r="BS32" s="178"/>
      <c r="BT32" s="184"/>
      <c r="BU32" s="130">
        <f t="shared" si="64"/>
        <v>5</v>
      </c>
      <c r="BV32" s="179"/>
      <c r="BW32" s="130"/>
      <c r="BX32" s="178"/>
      <c r="BY32" s="184"/>
      <c r="BZ32" s="130">
        <f t="shared" si="65"/>
        <v>10</v>
      </c>
      <c r="CA32" s="179"/>
      <c r="CB32" s="130"/>
      <c r="CC32" s="178"/>
      <c r="CD32" s="184"/>
      <c r="CE32" s="130">
        <f t="shared" si="66"/>
        <v>10</v>
      </c>
      <c r="CF32" s="179"/>
      <c r="CG32" s="130"/>
      <c r="CH32" s="178"/>
      <c r="CI32" s="184"/>
      <c r="CJ32" s="130">
        <f t="shared" si="67"/>
        <v>10</v>
      </c>
      <c r="CK32" s="109"/>
      <c r="CL32" s="252"/>
      <c r="CM32" s="178"/>
      <c r="CN32" s="184"/>
      <c r="CO32" s="130">
        <f t="shared" si="68"/>
        <v>10</v>
      </c>
      <c r="CP32" s="109"/>
      <c r="CQ32" s="252"/>
      <c r="CR32" s="178"/>
      <c r="CS32" s="184"/>
      <c r="CT32" s="130">
        <f t="shared" si="69"/>
        <v>10</v>
      </c>
      <c r="CU32" s="109"/>
      <c r="CV32" s="252"/>
      <c r="CW32" s="178"/>
      <c r="CX32" s="184"/>
      <c r="CY32" s="130">
        <f t="shared" si="70"/>
        <v>10</v>
      </c>
      <c r="CZ32" s="109"/>
      <c r="DA32" s="252"/>
      <c r="DB32" s="178"/>
      <c r="DC32" s="184"/>
      <c r="DD32" s="130">
        <f t="shared" si="71"/>
        <v>10</v>
      </c>
      <c r="DE32" s="109"/>
      <c r="DF32" s="252"/>
      <c r="DG32" s="178"/>
      <c r="DH32" s="184"/>
      <c r="DI32" s="130">
        <f t="shared" si="72"/>
        <v>10</v>
      </c>
      <c r="DJ32" s="109"/>
      <c r="DK32" s="252"/>
      <c r="DL32" s="178"/>
      <c r="DM32" s="184"/>
      <c r="DN32" s="130">
        <f t="shared" si="73"/>
        <v>10</v>
      </c>
      <c r="DO32" s="194"/>
      <c r="DP32" s="252"/>
      <c r="DQ32" s="178"/>
      <c r="DR32" s="184"/>
      <c r="DS32" s="130">
        <f t="shared" si="74"/>
        <v>10</v>
      </c>
      <c r="DT32" s="109"/>
      <c r="DU32" s="252"/>
      <c r="DV32" s="180">
        <f t="shared" si="15"/>
        <v>0</v>
      </c>
      <c r="DW32" s="181">
        <f>Автовик_разбивка[[#This Row],[Цена, 
юань, без НДС 1]]*DV32</f>
        <v>0</v>
      </c>
      <c r="DX32" s="186">
        <f t="shared" si="16"/>
        <v>0</v>
      </c>
      <c r="DY32" s="186">
        <f>Автовик_разбивка[[#This Row],[Цена, 
юань, без НДС 1]]*DX32</f>
        <v>0</v>
      </c>
      <c r="DZ32" s="130">
        <f t="shared" si="17"/>
        <v>110</v>
      </c>
      <c r="EA32" s="187">
        <f>Автовик_разбивка[[#This Row],[Цена, 
юань, без НДС 1]]*DZ32</f>
        <v>0</v>
      </c>
      <c r="EB32" s="109">
        <f t="shared" si="18"/>
        <v>0</v>
      </c>
      <c r="EC32" s="224">
        <f>Автовик_разбивка[[#This Row],[Цена, 
юань, без НДС 1]]*EB32</f>
        <v>0</v>
      </c>
    </row>
    <row r="33" spans="1:133">
      <c r="A33" s="221">
        <v>11</v>
      </c>
      <c r="B33" s="172" t="s">
        <v>313</v>
      </c>
      <c r="C33" s="173" t="s">
        <v>298</v>
      </c>
      <c r="D33" s="173" t="s">
        <v>311</v>
      </c>
      <c r="E33" s="174">
        <v>1</v>
      </c>
      <c r="F33" s="174"/>
      <c r="G33" s="174"/>
      <c r="H33" s="175">
        <v>4640061000</v>
      </c>
      <c r="I33" s="176" t="s">
        <v>79</v>
      </c>
      <c r="J33" s="222"/>
      <c r="K33" s="223"/>
      <c r="L33" s="178">
        <v>0</v>
      </c>
      <c r="M33" s="130">
        <f t="shared" si="51"/>
        <v>0</v>
      </c>
      <c r="N33" s="179">
        <v>3</v>
      </c>
      <c r="O33" s="130"/>
      <c r="P33" s="178">
        <v>5</v>
      </c>
      <c r="Q33" s="130">
        <f t="shared" si="52"/>
        <v>5</v>
      </c>
      <c r="R33" s="179">
        <v>10</v>
      </c>
      <c r="S33" s="130"/>
      <c r="T33" s="178">
        <v>10</v>
      </c>
      <c r="U33" s="130">
        <f t="shared" si="53"/>
        <v>15</v>
      </c>
      <c r="V33" s="179">
        <v>11</v>
      </c>
      <c r="W33" s="130"/>
      <c r="X33" s="178">
        <v>10</v>
      </c>
      <c r="Y33" s="130">
        <f t="shared" si="54"/>
        <v>10</v>
      </c>
      <c r="Z33" s="179">
        <v>22</v>
      </c>
      <c r="AA33" s="130"/>
      <c r="AB33" s="178">
        <v>10</v>
      </c>
      <c r="AC33" s="130">
        <f t="shared" si="55"/>
        <v>10</v>
      </c>
      <c r="AD33" s="109"/>
      <c r="AE33" s="252"/>
      <c r="AF33" s="178">
        <v>10</v>
      </c>
      <c r="AG33" s="130">
        <f t="shared" si="56"/>
        <v>10</v>
      </c>
      <c r="AH33" s="109"/>
      <c r="AI33" s="252"/>
      <c r="AJ33" s="178">
        <v>10</v>
      </c>
      <c r="AK33" s="130">
        <f t="shared" si="57"/>
        <v>10</v>
      </c>
      <c r="AL33" s="109"/>
      <c r="AM33" s="252"/>
      <c r="AN33" s="178">
        <v>10</v>
      </c>
      <c r="AO33" s="130">
        <f t="shared" si="75"/>
        <v>0</v>
      </c>
      <c r="AP33" s="109"/>
      <c r="AQ33" s="252"/>
      <c r="AR33" s="178">
        <v>10</v>
      </c>
      <c r="AS33" s="130">
        <f t="shared" si="59"/>
        <v>5</v>
      </c>
      <c r="AT33" s="109"/>
      <c r="AU33" s="252"/>
      <c r="AV33" s="178">
        <v>10</v>
      </c>
      <c r="AW33" s="130">
        <f t="shared" si="60"/>
        <v>10</v>
      </c>
      <c r="AX33" s="109"/>
      <c r="AY33" s="252"/>
      <c r="AZ33" s="178">
        <v>10</v>
      </c>
      <c r="BA33" s="130">
        <f t="shared" si="61"/>
        <v>10</v>
      </c>
      <c r="BB33" s="179"/>
      <c r="BC33" s="252"/>
      <c r="BD33" s="178">
        <v>10</v>
      </c>
      <c r="BE33" s="130">
        <f t="shared" si="62"/>
        <v>4</v>
      </c>
      <c r="BF33" s="109"/>
      <c r="BG33" s="252"/>
      <c r="BH33" s="180">
        <f t="shared" si="12"/>
        <v>105</v>
      </c>
      <c r="BI33" s="181">
        <f>Автовик_разбивка[[#This Row],[Цена, 
юань, без НДС 1]]*BH33</f>
        <v>0</v>
      </c>
      <c r="BJ33" s="130">
        <f t="shared" si="13"/>
        <v>89</v>
      </c>
      <c r="BK33" s="187">
        <f>Автовик_разбивка[[#This Row],[Цена, 
юань, без НДС 1]]*BJ33</f>
        <v>0</v>
      </c>
      <c r="BL33" s="109">
        <f t="shared" si="14"/>
        <v>46</v>
      </c>
      <c r="BM33" s="224">
        <f>Автовик_разбивка[[#This Row],[Цена, 
юань, без НДС 1]]*BL33</f>
        <v>0</v>
      </c>
      <c r="BN33" s="178"/>
      <c r="BO33" s="184"/>
      <c r="BP33" s="130">
        <f t="shared" si="63"/>
        <v>5</v>
      </c>
      <c r="BQ33" s="179"/>
      <c r="BR33" s="130"/>
      <c r="BS33" s="178"/>
      <c r="BT33" s="184"/>
      <c r="BU33" s="130">
        <f t="shared" si="64"/>
        <v>5</v>
      </c>
      <c r="BV33" s="179"/>
      <c r="BW33" s="130"/>
      <c r="BX33" s="178"/>
      <c r="BY33" s="184"/>
      <c r="BZ33" s="130">
        <f t="shared" si="65"/>
        <v>10</v>
      </c>
      <c r="CA33" s="179"/>
      <c r="CB33" s="130"/>
      <c r="CC33" s="178"/>
      <c r="CD33" s="184"/>
      <c r="CE33" s="130">
        <f t="shared" si="66"/>
        <v>10</v>
      </c>
      <c r="CF33" s="179"/>
      <c r="CG33" s="130"/>
      <c r="CH33" s="178"/>
      <c r="CI33" s="184"/>
      <c r="CJ33" s="130">
        <f t="shared" si="67"/>
        <v>10</v>
      </c>
      <c r="CK33" s="109"/>
      <c r="CL33" s="252"/>
      <c r="CM33" s="178"/>
      <c r="CN33" s="184"/>
      <c r="CO33" s="130">
        <f t="shared" si="68"/>
        <v>10</v>
      </c>
      <c r="CP33" s="109"/>
      <c r="CQ33" s="252"/>
      <c r="CR33" s="178"/>
      <c r="CS33" s="184"/>
      <c r="CT33" s="130">
        <f t="shared" si="69"/>
        <v>10</v>
      </c>
      <c r="CU33" s="109"/>
      <c r="CV33" s="252"/>
      <c r="CW33" s="178"/>
      <c r="CX33" s="184"/>
      <c r="CY33" s="130">
        <f t="shared" si="70"/>
        <v>10</v>
      </c>
      <c r="CZ33" s="109"/>
      <c r="DA33" s="252"/>
      <c r="DB33" s="178"/>
      <c r="DC33" s="184"/>
      <c r="DD33" s="130">
        <f t="shared" si="71"/>
        <v>10</v>
      </c>
      <c r="DE33" s="109"/>
      <c r="DF33" s="252"/>
      <c r="DG33" s="178"/>
      <c r="DH33" s="184"/>
      <c r="DI33" s="130">
        <f t="shared" si="72"/>
        <v>10</v>
      </c>
      <c r="DJ33" s="109"/>
      <c r="DK33" s="252"/>
      <c r="DL33" s="178"/>
      <c r="DM33" s="184"/>
      <c r="DN33" s="130">
        <f t="shared" si="73"/>
        <v>10</v>
      </c>
      <c r="DO33" s="179"/>
      <c r="DP33" s="252"/>
      <c r="DQ33" s="178"/>
      <c r="DR33" s="184"/>
      <c r="DS33" s="130">
        <f t="shared" si="74"/>
        <v>10</v>
      </c>
      <c r="DT33" s="109"/>
      <c r="DU33" s="252"/>
      <c r="DV33" s="180">
        <f t="shared" si="15"/>
        <v>0</v>
      </c>
      <c r="DW33" s="181">
        <f>Автовик_разбивка[[#This Row],[Цена, 
юань, без НДС 1]]*DV33</f>
        <v>0</v>
      </c>
      <c r="DX33" s="186">
        <f t="shared" si="16"/>
        <v>0</v>
      </c>
      <c r="DY33" s="186">
        <f>Автовик_разбивка[[#This Row],[Цена, 
юань, без НДС 1]]*DX33</f>
        <v>0</v>
      </c>
      <c r="DZ33" s="130">
        <f t="shared" si="17"/>
        <v>110</v>
      </c>
      <c r="EA33" s="187">
        <f>Автовик_разбивка[[#This Row],[Цена, 
юань, без НДС 1]]*DZ33</f>
        <v>0</v>
      </c>
      <c r="EB33" s="109">
        <f t="shared" si="18"/>
        <v>0</v>
      </c>
      <c r="EC33" s="224">
        <f>Автовик_разбивка[[#This Row],[Цена, 
юань, без НДС 1]]*EB33</f>
        <v>0</v>
      </c>
    </row>
    <row r="34" spans="1:133">
      <c r="A34" s="221">
        <v>11</v>
      </c>
      <c r="B34" s="172" t="s">
        <v>313</v>
      </c>
      <c r="C34" s="173" t="s">
        <v>298</v>
      </c>
      <c r="D34" s="173" t="s">
        <v>311</v>
      </c>
      <c r="E34" s="174">
        <v>1</v>
      </c>
      <c r="F34" s="174"/>
      <c r="G34" s="174"/>
      <c r="H34" s="175">
        <v>4801020640</v>
      </c>
      <c r="I34" s="176" t="s">
        <v>76</v>
      </c>
      <c r="J34" s="222"/>
      <c r="K34" s="227"/>
      <c r="L34" s="178">
        <v>0</v>
      </c>
      <c r="M34" s="130">
        <f t="shared" si="51"/>
        <v>0</v>
      </c>
      <c r="N34" s="179">
        <v>3</v>
      </c>
      <c r="O34" s="130"/>
      <c r="P34" s="178">
        <v>5</v>
      </c>
      <c r="Q34" s="130">
        <f t="shared" si="52"/>
        <v>5</v>
      </c>
      <c r="R34" s="179">
        <v>10</v>
      </c>
      <c r="S34" s="130"/>
      <c r="T34" s="178">
        <v>10</v>
      </c>
      <c r="U34" s="130">
        <f t="shared" si="53"/>
        <v>15</v>
      </c>
      <c r="V34" s="179">
        <v>11</v>
      </c>
      <c r="W34" s="130"/>
      <c r="X34" s="178">
        <v>10</v>
      </c>
      <c r="Y34" s="130">
        <f t="shared" si="54"/>
        <v>10</v>
      </c>
      <c r="Z34" s="179">
        <v>22</v>
      </c>
      <c r="AA34" s="130"/>
      <c r="AB34" s="178">
        <v>10</v>
      </c>
      <c r="AC34" s="130">
        <f t="shared" si="55"/>
        <v>10</v>
      </c>
      <c r="AD34" s="109"/>
      <c r="AE34" s="252"/>
      <c r="AF34" s="178">
        <v>10</v>
      </c>
      <c r="AG34" s="130">
        <f t="shared" si="56"/>
        <v>10</v>
      </c>
      <c r="AH34" s="109"/>
      <c r="AI34" s="252"/>
      <c r="AJ34" s="178">
        <v>10</v>
      </c>
      <c r="AK34" s="130">
        <f t="shared" si="57"/>
        <v>10</v>
      </c>
      <c r="AL34" s="109"/>
      <c r="AM34" s="252"/>
      <c r="AN34" s="178">
        <v>10</v>
      </c>
      <c r="AO34" s="130">
        <f t="shared" si="75"/>
        <v>0</v>
      </c>
      <c r="AP34" s="109"/>
      <c r="AQ34" s="252"/>
      <c r="AR34" s="178">
        <v>10</v>
      </c>
      <c r="AS34" s="130">
        <f t="shared" si="59"/>
        <v>5</v>
      </c>
      <c r="AT34" s="109"/>
      <c r="AU34" s="252"/>
      <c r="AV34" s="178">
        <v>10</v>
      </c>
      <c r="AW34" s="130">
        <f t="shared" si="60"/>
        <v>10</v>
      </c>
      <c r="AX34" s="109"/>
      <c r="AY34" s="252"/>
      <c r="AZ34" s="178">
        <v>10</v>
      </c>
      <c r="BA34" s="130">
        <f t="shared" si="61"/>
        <v>10</v>
      </c>
      <c r="BB34" s="193"/>
      <c r="BC34" s="252"/>
      <c r="BD34" s="178">
        <v>10</v>
      </c>
      <c r="BE34" s="130">
        <f t="shared" si="62"/>
        <v>4</v>
      </c>
      <c r="BF34" s="109"/>
      <c r="BG34" s="252"/>
      <c r="BH34" s="180">
        <f t="shared" si="12"/>
        <v>105</v>
      </c>
      <c r="BI34" s="181">
        <f>Автовик_разбивка[[#This Row],[Цена, 
юань, без НДС 1]]*BH34</f>
        <v>0</v>
      </c>
      <c r="BJ34" s="130">
        <f t="shared" si="13"/>
        <v>89</v>
      </c>
      <c r="BK34" s="187">
        <f>Автовик_разбивка[[#This Row],[Цена, 
юань, без НДС 1]]*BJ34</f>
        <v>0</v>
      </c>
      <c r="BL34" s="109">
        <f t="shared" si="14"/>
        <v>46</v>
      </c>
      <c r="BM34" s="224">
        <f>Автовик_разбивка[[#This Row],[Цена, 
юань, без НДС 1]]*BL34</f>
        <v>0</v>
      </c>
      <c r="BN34" s="178"/>
      <c r="BO34" s="184"/>
      <c r="BP34" s="130">
        <f t="shared" si="63"/>
        <v>5</v>
      </c>
      <c r="BQ34" s="179"/>
      <c r="BR34" s="130"/>
      <c r="BS34" s="178"/>
      <c r="BT34" s="184"/>
      <c r="BU34" s="130">
        <f t="shared" si="64"/>
        <v>5</v>
      </c>
      <c r="BV34" s="179"/>
      <c r="BW34" s="130"/>
      <c r="BX34" s="178"/>
      <c r="BY34" s="184"/>
      <c r="BZ34" s="130">
        <f t="shared" si="65"/>
        <v>10</v>
      </c>
      <c r="CA34" s="179"/>
      <c r="CB34" s="130"/>
      <c r="CC34" s="178"/>
      <c r="CD34" s="184"/>
      <c r="CE34" s="130">
        <f t="shared" si="66"/>
        <v>10</v>
      </c>
      <c r="CF34" s="179"/>
      <c r="CG34" s="130"/>
      <c r="CH34" s="178"/>
      <c r="CI34" s="184"/>
      <c r="CJ34" s="130">
        <f t="shared" si="67"/>
        <v>10</v>
      </c>
      <c r="CK34" s="109"/>
      <c r="CL34" s="252"/>
      <c r="CM34" s="178"/>
      <c r="CN34" s="184"/>
      <c r="CO34" s="130">
        <f t="shared" si="68"/>
        <v>10</v>
      </c>
      <c r="CP34" s="109"/>
      <c r="CQ34" s="252"/>
      <c r="CR34" s="178"/>
      <c r="CS34" s="184"/>
      <c r="CT34" s="130">
        <f t="shared" si="69"/>
        <v>10</v>
      </c>
      <c r="CU34" s="109"/>
      <c r="CV34" s="252"/>
      <c r="CW34" s="178"/>
      <c r="CX34" s="184"/>
      <c r="CY34" s="130">
        <f t="shared" si="70"/>
        <v>10</v>
      </c>
      <c r="CZ34" s="109"/>
      <c r="DA34" s="252"/>
      <c r="DB34" s="178"/>
      <c r="DC34" s="184"/>
      <c r="DD34" s="130">
        <f t="shared" si="71"/>
        <v>10</v>
      </c>
      <c r="DE34" s="109"/>
      <c r="DF34" s="252"/>
      <c r="DG34" s="178"/>
      <c r="DH34" s="184"/>
      <c r="DI34" s="130">
        <f t="shared" si="72"/>
        <v>10</v>
      </c>
      <c r="DJ34" s="109"/>
      <c r="DK34" s="252"/>
      <c r="DL34" s="178"/>
      <c r="DM34" s="184"/>
      <c r="DN34" s="130">
        <f t="shared" si="73"/>
        <v>10</v>
      </c>
      <c r="DO34" s="193"/>
      <c r="DP34" s="252"/>
      <c r="DQ34" s="178"/>
      <c r="DR34" s="184"/>
      <c r="DS34" s="130">
        <f t="shared" si="74"/>
        <v>10</v>
      </c>
      <c r="DT34" s="109"/>
      <c r="DU34" s="252"/>
      <c r="DV34" s="180">
        <f t="shared" si="15"/>
        <v>0</v>
      </c>
      <c r="DW34" s="181">
        <f>Автовик_разбивка[[#This Row],[Цена, 
юань, без НДС 1]]*DV34</f>
        <v>0</v>
      </c>
      <c r="DX34" s="186">
        <f t="shared" si="16"/>
        <v>0</v>
      </c>
      <c r="DY34" s="186">
        <f>Автовик_разбивка[[#This Row],[Цена, 
юань, без НДС 1]]*DX34</f>
        <v>0</v>
      </c>
      <c r="DZ34" s="130">
        <f t="shared" si="17"/>
        <v>110</v>
      </c>
      <c r="EA34" s="187">
        <f>Автовик_разбивка[[#This Row],[Цена, 
юань, без НДС 1]]*DZ34</f>
        <v>0</v>
      </c>
      <c r="EB34" s="109">
        <f t="shared" si="18"/>
        <v>0</v>
      </c>
      <c r="EC34" s="224">
        <f>Автовик_разбивка[[#This Row],[Цена, 
юань, без НДС 1]]*EB34</f>
        <v>0</v>
      </c>
    </row>
    <row r="35" spans="1:133">
      <c r="A35" s="221">
        <v>11</v>
      </c>
      <c r="B35" s="172" t="s">
        <v>313</v>
      </c>
      <c r="C35" s="173" t="s">
        <v>298</v>
      </c>
      <c r="D35" s="173" t="s">
        <v>311</v>
      </c>
      <c r="E35" s="174">
        <v>1</v>
      </c>
      <c r="F35" s="174"/>
      <c r="G35" s="174"/>
      <c r="H35" s="175">
        <v>9522010010</v>
      </c>
      <c r="I35" s="176" t="s">
        <v>73</v>
      </c>
      <c r="J35" s="222"/>
      <c r="K35" s="227"/>
      <c r="L35" s="178">
        <v>0</v>
      </c>
      <c r="M35" s="130">
        <f t="shared" si="51"/>
        <v>0</v>
      </c>
      <c r="N35" s="179">
        <v>3</v>
      </c>
      <c r="O35" s="130"/>
      <c r="P35" s="178">
        <v>5</v>
      </c>
      <c r="Q35" s="130">
        <f t="shared" si="52"/>
        <v>5</v>
      </c>
      <c r="R35" s="179">
        <v>10</v>
      </c>
      <c r="S35" s="130"/>
      <c r="T35" s="178">
        <v>10</v>
      </c>
      <c r="U35" s="130">
        <f t="shared" si="53"/>
        <v>15</v>
      </c>
      <c r="V35" s="179">
        <v>11</v>
      </c>
      <c r="W35" s="130"/>
      <c r="X35" s="178">
        <v>10</v>
      </c>
      <c r="Y35" s="130">
        <f t="shared" si="54"/>
        <v>10</v>
      </c>
      <c r="Z35" s="179">
        <v>22</v>
      </c>
      <c r="AA35" s="130"/>
      <c r="AB35" s="178">
        <v>10</v>
      </c>
      <c r="AC35" s="130">
        <f t="shared" si="55"/>
        <v>10</v>
      </c>
      <c r="AD35" s="179"/>
      <c r="AE35" s="130"/>
      <c r="AF35" s="178">
        <v>10</v>
      </c>
      <c r="AG35" s="130">
        <f t="shared" si="56"/>
        <v>10</v>
      </c>
      <c r="AH35" s="179"/>
      <c r="AI35" s="130"/>
      <c r="AJ35" s="178">
        <v>10</v>
      </c>
      <c r="AK35" s="130">
        <f t="shared" si="57"/>
        <v>10</v>
      </c>
      <c r="AL35" s="179"/>
      <c r="AM35" s="130"/>
      <c r="AN35" s="178">
        <v>10</v>
      </c>
      <c r="AO35" s="130">
        <f t="shared" si="75"/>
        <v>0</v>
      </c>
      <c r="AP35" s="179"/>
      <c r="AQ35" s="130"/>
      <c r="AR35" s="178">
        <v>10</v>
      </c>
      <c r="AS35" s="130">
        <f t="shared" si="59"/>
        <v>5</v>
      </c>
      <c r="AT35" s="179"/>
      <c r="AU35" s="130"/>
      <c r="AV35" s="178">
        <v>10</v>
      </c>
      <c r="AW35" s="130">
        <f t="shared" si="60"/>
        <v>10</v>
      </c>
      <c r="AX35" s="179"/>
      <c r="AY35" s="130"/>
      <c r="AZ35" s="178">
        <v>10</v>
      </c>
      <c r="BA35" s="130">
        <f t="shared" si="61"/>
        <v>10</v>
      </c>
      <c r="BB35" s="228"/>
      <c r="BC35" s="130"/>
      <c r="BD35" s="178">
        <v>10</v>
      </c>
      <c r="BE35" s="130">
        <f t="shared" si="62"/>
        <v>4</v>
      </c>
      <c r="BF35" s="109"/>
      <c r="BG35" s="130"/>
      <c r="BH35" s="180">
        <f t="shared" si="12"/>
        <v>105</v>
      </c>
      <c r="BI35" s="181">
        <f>Автовик_разбивка[[#This Row],[Цена, 
юань, без НДС 1]]*BH35</f>
        <v>0</v>
      </c>
      <c r="BJ35" s="130">
        <f t="shared" si="13"/>
        <v>89</v>
      </c>
      <c r="BK35" s="187">
        <f>Автовик_разбивка[[#This Row],[Цена, 
юань, без НДС 1]]*BJ35</f>
        <v>0</v>
      </c>
      <c r="BL35" s="109">
        <f t="shared" si="14"/>
        <v>46</v>
      </c>
      <c r="BM35" s="224">
        <f>Автовик_разбивка[[#This Row],[Цена, 
юань, без НДС 1]]*BL35</f>
        <v>0</v>
      </c>
      <c r="BN35" s="178"/>
      <c r="BO35" s="184"/>
      <c r="BP35" s="130">
        <f t="shared" si="63"/>
        <v>5</v>
      </c>
      <c r="BQ35" s="179"/>
      <c r="BR35" s="130"/>
      <c r="BS35" s="178"/>
      <c r="BT35" s="184"/>
      <c r="BU35" s="130">
        <f t="shared" si="64"/>
        <v>5</v>
      </c>
      <c r="BV35" s="179"/>
      <c r="BW35" s="130"/>
      <c r="BX35" s="178"/>
      <c r="BY35" s="184"/>
      <c r="BZ35" s="130">
        <f t="shared" si="65"/>
        <v>10</v>
      </c>
      <c r="CA35" s="179"/>
      <c r="CB35" s="130"/>
      <c r="CC35" s="178"/>
      <c r="CD35" s="184"/>
      <c r="CE35" s="130">
        <f t="shared" si="66"/>
        <v>10</v>
      </c>
      <c r="CF35" s="179"/>
      <c r="CG35" s="130"/>
      <c r="CH35" s="178"/>
      <c r="CI35" s="184"/>
      <c r="CJ35" s="130">
        <f t="shared" si="67"/>
        <v>10</v>
      </c>
      <c r="CK35" s="179"/>
      <c r="CL35" s="130"/>
      <c r="CM35" s="178"/>
      <c r="CN35" s="184"/>
      <c r="CO35" s="130">
        <f t="shared" si="68"/>
        <v>10</v>
      </c>
      <c r="CP35" s="179"/>
      <c r="CQ35" s="130"/>
      <c r="CR35" s="178"/>
      <c r="CS35" s="184"/>
      <c r="CT35" s="130">
        <f t="shared" si="69"/>
        <v>10</v>
      </c>
      <c r="CU35" s="179"/>
      <c r="CV35" s="130"/>
      <c r="CW35" s="178"/>
      <c r="CX35" s="184"/>
      <c r="CY35" s="130">
        <f t="shared" si="70"/>
        <v>10</v>
      </c>
      <c r="CZ35" s="179"/>
      <c r="DA35" s="130"/>
      <c r="DB35" s="178"/>
      <c r="DC35" s="184"/>
      <c r="DD35" s="130">
        <f t="shared" si="71"/>
        <v>10</v>
      </c>
      <c r="DE35" s="179"/>
      <c r="DF35" s="130"/>
      <c r="DG35" s="178"/>
      <c r="DH35" s="184"/>
      <c r="DI35" s="130">
        <f t="shared" si="72"/>
        <v>10</v>
      </c>
      <c r="DJ35" s="179"/>
      <c r="DK35" s="130"/>
      <c r="DL35" s="178"/>
      <c r="DM35" s="184"/>
      <c r="DN35" s="130">
        <f t="shared" si="73"/>
        <v>10</v>
      </c>
      <c r="DO35" s="228"/>
      <c r="DP35" s="130"/>
      <c r="DQ35" s="178"/>
      <c r="DR35" s="184"/>
      <c r="DS35" s="130">
        <f t="shared" si="74"/>
        <v>10</v>
      </c>
      <c r="DT35" s="109"/>
      <c r="DU35" s="130"/>
      <c r="DV35" s="180">
        <f t="shared" si="15"/>
        <v>0</v>
      </c>
      <c r="DW35" s="181">
        <f>Автовик_разбивка[[#This Row],[Цена, 
юань, без НДС 1]]*DV35</f>
        <v>0</v>
      </c>
      <c r="DX35" s="186">
        <f t="shared" si="16"/>
        <v>0</v>
      </c>
      <c r="DY35" s="186">
        <f>Автовик_разбивка[[#This Row],[Цена, 
юань, без НДС 1]]*DX35</f>
        <v>0</v>
      </c>
      <c r="DZ35" s="130">
        <f t="shared" si="17"/>
        <v>110</v>
      </c>
      <c r="EA35" s="187">
        <f>Автовик_разбивка[[#This Row],[Цена, 
юань, без НДС 1]]*DZ35</f>
        <v>0</v>
      </c>
      <c r="EB35" s="109">
        <f t="shared" si="18"/>
        <v>0</v>
      </c>
      <c r="EC35" s="224">
        <f>Автовик_разбивка[[#This Row],[Цена, 
юань, без НДС 1]]*EB35</f>
        <v>0</v>
      </c>
    </row>
    <row r="36" spans="1:133">
      <c r="A36" s="221">
        <v>11</v>
      </c>
      <c r="B36" s="172" t="s">
        <v>313</v>
      </c>
      <c r="C36" s="173" t="s">
        <v>298</v>
      </c>
      <c r="D36" s="173" t="s">
        <v>311</v>
      </c>
      <c r="E36" s="174">
        <v>1</v>
      </c>
      <c r="F36" s="174"/>
      <c r="G36" s="174"/>
      <c r="H36" s="175">
        <v>9522010020</v>
      </c>
      <c r="I36" s="176" t="s">
        <v>74</v>
      </c>
      <c r="J36" s="222"/>
      <c r="K36" s="227"/>
      <c r="L36" s="178">
        <v>0</v>
      </c>
      <c r="M36" s="130">
        <f t="shared" si="51"/>
        <v>0</v>
      </c>
      <c r="N36" s="179">
        <v>3</v>
      </c>
      <c r="O36" s="130"/>
      <c r="P36" s="178">
        <v>5</v>
      </c>
      <c r="Q36" s="130">
        <f t="shared" si="52"/>
        <v>5</v>
      </c>
      <c r="R36" s="179">
        <v>10</v>
      </c>
      <c r="S36" s="130"/>
      <c r="T36" s="178">
        <v>10</v>
      </c>
      <c r="U36" s="130">
        <f t="shared" si="53"/>
        <v>15</v>
      </c>
      <c r="V36" s="179">
        <v>11</v>
      </c>
      <c r="W36" s="130"/>
      <c r="X36" s="178">
        <v>10</v>
      </c>
      <c r="Y36" s="130">
        <f t="shared" si="54"/>
        <v>10</v>
      </c>
      <c r="Z36" s="179">
        <v>22</v>
      </c>
      <c r="AA36" s="130"/>
      <c r="AB36" s="178">
        <v>10</v>
      </c>
      <c r="AC36" s="130">
        <f t="shared" si="55"/>
        <v>10</v>
      </c>
      <c r="AD36" s="179"/>
      <c r="AE36" s="130"/>
      <c r="AF36" s="178">
        <v>10</v>
      </c>
      <c r="AG36" s="130">
        <f t="shared" si="56"/>
        <v>10</v>
      </c>
      <c r="AH36" s="179"/>
      <c r="AI36" s="130"/>
      <c r="AJ36" s="178">
        <v>10</v>
      </c>
      <c r="AK36" s="130">
        <f t="shared" si="57"/>
        <v>10</v>
      </c>
      <c r="AL36" s="179"/>
      <c r="AM36" s="130"/>
      <c r="AN36" s="178">
        <v>10</v>
      </c>
      <c r="AO36" s="130">
        <f t="shared" si="75"/>
        <v>0</v>
      </c>
      <c r="AP36" s="179"/>
      <c r="AQ36" s="130"/>
      <c r="AR36" s="178">
        <v>10</v>
      </c>
      <c r="AS36" s="130">
        <f t="shared" si="59"/>
        <v>5</v>
      </c>
      <c r="AT36" s="179"/>
      <c r="AU36" s="130"/>
      <c r="AV36" s="178">
        <v>10</v>
      </c>
      <c r="AW36" s="130">
        <f t="shared" si="60"/>
        <v>10</v>
      </c>
      <c r="AX36" s="179"/>
      <c r="AY36" s="130"/>
      <c r="AZ36" s="178">
        <v>10</v>
      </c>
      <c r="BA36" s="130">
        <f t="shared" si="61"/>
        <v>10</v>
      </c>
      <c r="BB36" s="228"/>
      <c r="BC36" s="130"/>
      <c r="BD36" s="178">
        <v>10</v>
      </c>
      <c r="BE36" s="130">
        <f t="shared" si="62"/>
        <v>4</v>
      </c>
      <c r="BF36" s="109"/>
      <c r="BG36" s="130"/>
      <c r="BH36" s="180">
        <f t="shared" si="12"/>
        <v>105</v>
      </c>
      <c r="BI36" s="181">
        <f>Автовик_разбивка[[#This Row],[Цена, 
юань, без НДС 1]]*BH36</f>
        <v>0</v>
      </c>
      <c r="BJ36" s="130">
        <f t="shared" si="13"/>
        <v>89</v>
      </c>
      <c r="BK36" s="187">
        <f>Автовик_разбивка[[#This Row],[Цена, 
юань, без НДС 1]]*BJ36</f>
        <v>0</v>
      </c>
      <c r="BL36" s="109">
        <f t="shared" si="14"/>
        <v>46</v>
      </c>
      <c r="BM36" s="224">
        <f>Автовик_разбивка[[#This Row],[Цена, 
юань, без НДС 1]]*BL36</f>
        <v>0</v>
      </c>
      <c r="BN36" s="178"/>
      <c r="BO36" s="184"/>
      <c r="BP36" s="130">
        <f t="shared" si="63"/>
        <v>5</v>
      </c>
      <c r="BQ36" s="179"/>
      <c r="BR36" s="130"/>
      <c r="BS36" s="178"/>
      <c r="BT36" s="184"/>
      <c r="BU36" s="130">
        <f t="shared" si="64"/>
        <v>5</v>
      </c>
      <c r="BV36" s="179"/>
      <c r="BW36" s="130"/>
      <c r="BX36" s="178"/>
      <c r="BY36" s="184"/>
      <c r="BZ36" s="130">
        <f t="shared" si="65"/>
        <v>10</v>
      </c>
      <c r="CA36" s="179"/>
      <c r="CB36" s="130"/>
      <c r="CC36" s="178"/>
      <c r="CD36" s="184"/>
      <c r="CE36" s="130">
        <f t="shared" si="66"/>
        <v>10</v>
      </c>
      <c r="CF36" s="179"/>
      <c r="CG36" s="130"/>
      <c r="CH36" s="178"/>
      <c r="CI36" s="184"/>
      <c r="CJ36" s="130">
        <f t="shared" si="67"/>
        <v>10</v>
      </c>
      <c r="CK36" s="179"/>
      <c r="CL36" s="130"/>
      <c r="CM36" s="178"/>
      <c r="CN36" s="184"/>
      <c r="CO36" s="130">
        <f t="shared" si="68"/>
        <v>10</v>
      </c>
      <c r="CP36" s="179"/>
      <c r="CQ36" s="130"/>
      <c r="CR36" s="178"/>
      <c r="CS36" s="184"/>
      <c r="CT36" s="130">
        <f t="shared" si="69"/>
        <v>10</v>
      </c>
      <c r="CU36" s="179"/>
      <c r="CV36" s="130"/>
      <c r="CW36" s="178"/>
      <c r="CX36" s="184"/>
      <c r="CY36" s="130">
        <f t="shared" si="70"/>
        <v>10</v>
      </c>
      <c r="CZ36" s="179"/>
      <c r="DA36" s="130"/>
      <c r="DB36" s="178"/>
      <c r="DC36" s="184"/>
      <c r="DD36" s="130">
        <f t="shared" si="71"/>
        <v>10</v>
      </c>
      <c r="DE36" s="179"/>
      <c r="DF36" s="130"/>
      <c r="DG36" s="178"/>
      <c r="DH36" s="184"/>
      <c r="DI36" s="130">
        <f t="shared" si="72"/>
        <v>10</v>
      </c>
      <c r="DJ36" s="179"/>
      <c r="DK36" s="130"/>
      <c r="DL36" s="178"/>
      <c r="DM36" s="184"/>
      <c r="DN36" s="130">
        <f t="shared" si="73"/>
        <v>10</v>
      </c>
      <c r="DO36" s="228"/>
      <c r="DP36" s="130"/>
      <c r="DQ36" s="178"/>
      <c r="DR36" s="184"/>
      <c r="DS36" s="130">
        <f t="shared" si="74"/>
        <v>10</v>
      </c>
      <c r="DT36" s="109"/>
      <c r="DU36" s="130"/>
      <c r="DV36" s="180">
        <f t="shared" si="15"/>
        <v>0</v>
      </c>
      <c r="DW36" s="181">
        <f>Автовик_разбивка[[#This Row],[Цена, 
юань, без НДС 1]]*DV36</f>
        <v>0</v>
      </c>
      <c r="DX36" s="186">
        <f t="shared" si="16"/>
        <v>0</v>
      </c>
      <c r="DY36" s="186">
        <f>Автовик_разбивка[[#This Row],[Цена, 
юань, без НДС 1]]*DX36</f>
        <v>0</v>
      </c>
      <c r="DZ36" s="130">
        <f t="shared" si="17"/>
        <v>110</v>
      </c>
      <c r="EA36" s="187">
        <f>Автовик_разбивка[[#This Row],[Цена, 
юань, без НДС 1]]*DZ36</f>
        <v>0</v>
      </c>
      <c r="EB36" s="109">
        <f t="shared" si="18"/>
        <v>0</v>
      </c>
      <c r="EC36" s="224">
        <f>Автовик_разбивка[[#This Row],[Цена, 
юань, без НДС 1]]*EB36</f>
        <v>0</v>
      </c>
    </row>
    <row r="37" spans="1:133">
      <c r="A37" s="221">
        <v>11</v>
      </c>
      <c r="B37" s="172" t="s">
        <v>313</v>
      </c>
      <c r="C37" s="173" t="s">
        <v>298</v>
      </c>
      <c r="D37" s="173" t="s">
        <v>311</v>
      </c>
      <c r="E37" s="174">
        <v>1</v>
      </c>
      <c r="F37" s="174"/>
      <c r="G37" s="174"/>
      <c r="H37" s="175">
        <v>9710029000</v>
      </c>
      <c r="I37" s="176" t="s">
        <v>75</v>
      </c>
      <c r="J37" s="222"/>
      <c r="K37" s="227"/>
      <c r="L37" s="178">
        <v>0</v>
      </c>
      <c r="M37" s="130">
        <f t="shared" si="51"/>
        <v>0</v>
      </c>
      <c r="N37" s="179">
        <v>3</v>
      </c>
      <c r="O37" s="130"/>
      <c r="P37" s="178">
        <v>5</v>
      </c>
      <c r="Q37" s="130">
        <f t="shared" si="52"/>
        <v>5</v>
      </c>
      <c r="R37" s="179">
        <v>10</v>
      </c>
      <c r="S37" s="130"/>
      <c r="T37" s="178">
        <v>10</v>
      </c>
      <c r="U37" s="130">
        <f t="shared" si="53"/>
        <v>15</v>
      </c>
      <c r="V37" s="179">
        <v>11</v>
      </c>
      <c r="W37" s="130"/>
      <c r="X37" s="178">
        <v>10</v>
      </c>
      <c r="Y37" s="130">
        <f t="shared" si="54"/>
        <v>10</v>
      </c>
      <c r="Z37" s="179">
        <v>22</v>
      </c>
      <c r="AA37" s="130"/>
      <c r="AB37" s="178">
        <v>10</v>
      </c>
      <c r="AC37" s="130">
        <f t="shared" si="55"/>
        <v>10</v>
      </c>
      <c r="AD37" s="109"/>
      <c r="AE37" s="252"/>
      <c r="AF37" s="178">
        <v>10</v>
      </c>
      <c r="AG37" s="130">
        <f t="shared" si="56"/>
        <v>10</v>
      </c>
      <c r="AH37" s="109"/>
      <c r="AI37" s="252"/>
      <c r="AJ37" s="178">
        <v>10</v>
      </c>
      <c r="AK37" s="130">
        <f t="shared" si="57"/>
        <v>10</v>
      </c>
      <c r="AL37" s="109"/>
      <c r="AM37" s="252"/>
      <c r="AN37" s="178">
        <v>10</v>
      </c>
      <c r="AO37" s="130">
        <f t="shared" si="75"/>
        <v>0</v>
      </c>
      <c r="AP37" s="109"/>
      <c r="AQ37" s="252"/>
      <c r="AR37" s="178">
        <v>10</v>
      </c>
      <c r="AS37" s="130">
        <f t="shared" si="59"/>
        <v>5</v>
      </c>
      <c r="AT37" s="109"/>
      <c r="AU37" s="252"/>
      <c r="AV37" s="178">
        <v>10</v>
      </c>
      <c r="AW37" s="130">
        <f t="shared" si="60"/>
        <v>10</v>
      </c>
      <c r="AX37" s="109"/>
      <c r="AY37" s="252"/>
      <c r="AZ37" s="178">
        <v>10</v>
      </c>
      <c r="BA37" s="130">
        <f t="shared" si="61"/>
        <v>10</v>
      </c>
      <c r="BB37" s="194"/>
      <c r="BC37" s="252"/>
      <c r="BD37" s="178">
        <v>10</v>
      </c>
      <c r="BE37" s="130">
        <f t="shared" si="62"/>
        <v>4</v>
      </c>
      <c r="BF37" s="109"/>
      <c r="BG37" s="252"/>
      <c r="BH37" s="180">
        <f t="shared" si="12"/>
        <v>105</v>
      </c>
      <c r="BI37" s="181">
        <f>Автовик_разбивка[[#This Row],[Цена, 
юань, без НДС 1]]*BH37</f>
        <v>0</v>
      </c>
      <c r="BJ37" s="130">
        <f t="shared" si="13"/>
        <v>89</v>
      </c>
      <c r="BK37" s="187">
        <f>Автовик_разбивка[[#This Row],[Цена, 
юань, без НДС 1]]*BJ37</f>
        <v>0</v>
      </c>
      <c r="BL37" s="109">
        <f t="shared" si="14"/>
        <v>46</v>
      </c>
      <c r="BM37" s="224">
        <f>Автовик_разбивка[[#This Row],[Цена, 
юань, без НДС 1]]*BL37</f>
        <v>0</v>
      </c>
      <c r="BN37" s="178"/>
      <c r="BO37" s="184"/>
      <c r="BP37" s="130">
        <f t="shared" si="63"/>
        <v>5</v>
      </c>
      <c r="BQ37" s="179"/>
      <c r="BR37" s="130"/>
      <c r="BS37" s="178"/>
      <c r="BT37" s="184"/>
      <c r="BU37" s="130">
        <f t="shared" si="64"/>
        <v>5</v>
      </c>
      <c r="BV37" s="179"/>
      <c r="BW37" s="130"/>
      <c r="BX37" s="178"/>
      <c r="BY37" s="184"/>
      <c r="BZ37" s="130">
        <f t="shared" si="65"/>
        <v>10</v>
      </c>
      <c r="CA37" s="179"/>
      <c r="CB37" s="130"/>
      <c r="CC37" s="178"/>
      <c r="CD37" s="184"/>
      <c r="CE37" s="130">
        <f t="shared" si="66"/>
        <v>10</v>
      </c>
      <c r="CF37" s="179"/>
      <c r="CG37" s="130"/>
      <c r="CH37" s="178"/>
      <c r="CI37" s="184"/>
      <c r="CJ37" s="130">
        <f t="shared" si="67"/>
        <v>10</v>
      </c>
      <c r="CK37" s="109"/>
      <c r="CL37" s="252"/>
      <c r="CM37" s="178"/>
      <c r="CN37" s="184"/>
      <c r="CO37" s="130">
        <f t="shared" si="68"/>
        <v>10</v>
      </c>
      <c r="CP37" s="109"/>
      <c r="CQ37" s="252"/>
      <c r="CR37" s="178"/>
      <c r="CS37" s="184"/>
      <c r="CT37" s="130">
        <f t="shared" si="69"/>
        <v>10</v>
      </c>
      <c r="CU37" s="109"/>
      <c r="CV37" s="252"/>
      <c r="CW37" s="178"/>
      <c r="CX37" s="184"/>
      <c r="CY37" s="130">
        <f t="shared" si="70"/>
        <v>10</v>
      </c>
      <c r="CZ37" s="109"/>
      <c r="DA37" s="252"/>
      <c r="DB37" s="178"/>
      <c r="DC37" s="184"/>
      <c r="DD37" s="130">
        <f t="shared" si="71"/>
        <v>10</v>
      </c>
      <c r="DE37" s="109"/>
      <c r="DF37" s="252"/>
      <c r="DG37" s="178"/>
      <c r="DH37" s="184"/>
      <c r="DI37" s="130">
        <f t="shared" si="72"/>
        <v>10</v>
      </c>
      <c r="DJ37" s="109"/>
      <c r="DK37" s="252"/>
      <c r="DL37" s="178"/>
      <c r="DM37" s="184"/>
      <c r="DN37" s="130">
        <f t="shared" si="73"/>
        <v>10</v>
      </c>
      <c r="DO37" s="194"/>
      <c r="DP37" s="252"/>
      <c r="DQ37" s="178"/>
      <c r="DR37" s="184"/>
      <c r="DS37" s="130">
        <f t="shared" si="74"/>
        <v>10</v>
      </c>
      <c r="DT37" s="109"/>
      <c r="DU37" s="252"/>
      <c r="DV37" s="180">
        <f t="shared" si="15"/>
        <v>0</v>
      </c>
      <c r="DW37" s="181">
        <f>Автовик_разбивка[[#This Row],[Цена, 
юань, без НДС 1]]*DV37</f>
        <v>0</v>
      </c>
      <c r="DX37" s="186">
        <f t="shared" si="16"/>
        <v>0</v>
      </c>
      <c r="DY37" s="186">
        <f>Автовик_разбивка[[#This Row],[Цена, 
юань, без НДС 1]]*DX37</f>
        <v>0</v>
      </c>
      <c r="DZ37" s="130">
        <f t="shared" si="17"/>
        <v>110</v>
      </c>
      <c r="EA37" s="187">
        <f>Автовик_разбивка[[#This Row],[Цена, 
юань, без НДС 1]]*DZ37</f>
        <v>0</v>
      </c>
      <c r="EB37" s="109">
        <f t="shared" si="18"/>
        <v>0</v>
      </c>
      <c r="EC37" s="224">
        <f>Автовик_разбивка[[#This Row],[Цена, 
юань, без НДС 1]]*EB37</f>
        <v>0</v>
      </c>
    </row>
    <row r="38" spans="1:133">
      <c r="A38" s="221">
        <v>11</v>
      </c>
      <c r="B38" s="172" t="s">
        <v>313</v>
      </c>
      <c r="C38" s="132"/>
      <c r="D38" s="132"/>
      <c r="E38" s="229"/>
      <c r="F38" s="229"/>
      <c r="G38" s="229"/>
      <c r="H38" s="230"/>
      <c r="I38" s="231" t="s">
        <v>43</v>
      </c>
      <c r="J38" s="232"/>
      <c r="K38" s="232"/>
      <c r="L38" s="233"/>
      <c r="M38" s="234"/>
      <c r="N38" s="235"/>
      <c r="O38" s="234"/>
      <c r="P38" s="233"/>
      <c r="Q38" s="234"/>
      <c r="R38" s="235"/>
      <c r="S38" s="234"/>
      <c r="T38" s="233"/>
      <c r="U38" s="234"/>
      <c r="V38" s="235"/>
      <c r="W38" s="234"/>
      <c r="X38" s="233"/>
      <c r="Y38" s="234"/>
      <c r="Z38" s="235"/>
      <c r="AA38" s="234"/>
      <c r="AB38" s="233"/>
      <c r="AC38" s="234"/>
      <c r="AD38" s="235"/>
      <c r="AE38" s="234"/>
      <c r="AF38" s="233"/>
      <c r="AG38" s="234"/>
      <c r="AH38" s="235"/>
      <c r="AI38" s="234"/>
      <c r="AJ38" s="233"/>
      <c r="AK38" s="234"/>
      <c r="AL38" s="235"/>
      <c r="AM38" s="234"/>
      <c r="AN38" s="233"/>
      <c r="AO38" s="234"/>
      <c r="AP38" s="235"/>
      <c r="AQ38" s="234"/>
      <c r="AR38" s="233"/>
      <c r="AS38" s="234"/>
      <c r="AT38" s="235"/>
      <c r="AU38" s="234"/>
      <c r="AV38" s="233"/>
      <c r="AW38" s="234"/>
      <c r="AX38" s="235"/>
      <c r="AY38" s="234"/>
      <c r="AZ38" s="233"/>
      <c r="BA38" s="234"/>
      <c r="BB38" s="235"/>
      <c r="BC38" s="234"/>
      <c r="BD38" s="233"/>
      <c r="BE38" s="234"/>
      <c r="BF38" s="235"/>
      <c r="BG38" s="234"/>
      <c r="BH38" s="233">
        <f t="shared" si="12"/>
        <v>0</v>
      </c>
      <c r="BI38" s="238">
        <f>Автовик_разбивка[[#This Row],[Цена, 
юань, без НДС 1]]*BH38</f>
        <v>0</v>
      </c>
      <c r="BJ38" s="234">
        <f t="shared" si="13"/>
        <v>0</v>
      </c>
      <c r="BK38" s="253">
        <f>Автовик_разбивка[[#This Row],[Цена, 
юань, без НДС 1]]*BJ38</f>
        <v>0</v>
      </c>
      <c r="BL38" s="235">
        <f t="shared" si="14"/>
        <v>0</v>
      </c>
      <c r="BM38" s="254">
        <f>Автовик_разбивка[[#This Row],[Цена, 
юань, без НДС 1]]*BL38</f>
        <v>0</v>
      </c>
      <c r="BN38" s="233"/>
      <c r="BO38" s="241"/>
      <c r="BP38" s="234"/>
      <c r="BQ38" s="235"/>
      <c r="BR38" s="234"/>
      <c r="BS38" s="233"/>
      <c r="BT38" s="241"/>
      <c r="BU38" s="234"/>
      <c r="BV38" s="235"/>
      <c r="BW38" s="234"/>
      <c r="BX38" s="233"/>
      <c r="BY38" s="241"/>
      <c r="BZ38" s="234"/>
      <c r="CA38" s="235"/>
      <c r="CB38" s="234"/>
      <c r="CC38" s="233"/>
      <c r="CD38" s="241"/>
      <c r="CE38" s="234"/>
      <c r="CF38" s="235"/>
      <c r="CG38" s="234"/>
      <c r="CH38" s="233"/>
      <c r="CI38" s="241"/>
      <c r="CJ38" s="234"/>
      <c r="CK38" s="235"/>
      <c r="CL38" s="234"/>
      <c r="CM38" s="233"/>
      <c r="CN38" s="241"/>
      <c r="CO38" s="234"/>
      <c r="CP38" s="235"/>
      <c r="CQ38" s="234"/>
      <c r="CR38" s="233"/>
      <c r="CS38" s="241"/>
      <c r="CT38" s="234"/>
      <c r="CU38" s="235"/>
      <c r="CV38" s="234"/>
      <c r="CW38" s="233"/>
      <c r="CX38" s="241"/>
      <c r="CY38" s="234"/>
      <c r="CZ38" s="235"/>
      <c r="DA38" s="234"/>
      <c r="DB38" s="233"/>
      <c r="DC38" s="241"/>
      <c r="DD38" s="234"/>
      <c r="DE38" s="235"/>
      <c r="DF38" s="234"/>
      <c r="DG38" s="233"/>
      <c r="DH38" s="241"/>
      <c r="DI38" s="234"/>
      <c r="DJ38" s="235"/>
      <c r="DK38" s="234"/>
      <c r="DL38" s="233"/>
      <c r="DM38" s="241"/>
      <c r="DN38" s="234"/>
      <c r="DO38" s="235"/>
      <c r="DP38" s="234"/>
      <c r="DQ38" s="233"/>
      <c r="DR38" s="241"/>
      <c r="DS38" s="234"/>
      <c r="DT38" s="235"/>
      <c r="DU38" s="234"/>
      <c r="DV38" s="233">
        <f t="shared" si="15"/>
        <v>0</v>
      </c>
      <c r="DW38" s="238">
        <f>Автовик_разбивка[[#This Row],[Цена, 
юань, без НДС 1]]*DV38</f>
        <v>0</v>
      </c>
      <c r="DX38" s="242">
        <f t="shared" si="16"/>
        <v>0</v>
      </c>
      <c r="DY38" s="242">
        <f>Автовик_разбивка[[#This Row],[Цена, 
юань, без НДС 1]]*DX38</f>
        <v>0</v>
      </c>
      <c r="DZ38" s="234">
        <f t="shared" si="17"/>
        <v>0</v>
      </c>
      <c r="EA38" s="253">
        <f>Автовик_разбивка[[#This Row],[Цена, 
юань, без НДС 1]]*DZ38</f>
        <v>0</v>
      </c>
      <c r="EB38" s="235">
        <f t="shared" si="18"/>
        <v>0</v>
      </c>
      <c r="EC38" s="254">
        <f>Автовик_разбивка[[#This Row],[Цена, 
юань, без НДС 1]]*EB38</f>
        <v>0</v>
      </c>
    </row>
    <row r="39" spans="1:133">
      <c r="A39" s="221">
        <v>11</v>
      </c>
      <c r="B39" s="243" t="s">
        <v>313</v>
      </c>
      <c r="C39" s="244"/>
      <c r="D39" s="244"/>
      <c r="E39" s="245"/>
      <c r="F39" s="245"/>
      <c r="G39" s="245"/>
      <c r="H39" s="246"/>
      <c r="I39" s="247"/>
      <c r="J39" s="248"/>
      <c r="K39" s="248"/>
      <c r="L39" s="249"/>
      <c r="M39" s="249"/>
      <c r="N39" s="249"/>
      <c r="O39" s="249"/>
      <c r="P39" s="249"/>
      <c r="Q39" s="249"/>
      <c r="R39" s="249"/>
      <c r="S39" s="249"/>
      <c r="T39" s="249"/>
      <c r="U39" s="249"/>
      <c r="V39" s="249"/>
      <c r="W39" s="249"/>
      <c r="X39" s="249"/>
      <c r="Y39" s="249"/>
      <c r="Z39" s="249"/>
      <c r="AA39" s="249"/>
      <c r="AB39" s="249"/>
      <c r="AC39" s="249"/>
      <c r="AD39" s="249"/>
      <c r="AE39" s="249"/>
      <c r="AF39" s="249"/>
      <c r="AG39" s="249"/>
      <c r="AH39" s="249"/>
      <c r="AI39" s="249"/>
      <c r="AJ39" s="249"/>
      <c r="AK39" s="249"/>
      <c r="AL39" s="249"/>
      <c r="AM39" s="249"/>
      <c r="AN39" s="249"/>
      <c r="AO39" s="249"/>
      <c r="AP39" s="249"/>
      <c r="AQ39" s="249"/>
      <c r="AR39" s="249"/>
      <c r="AS39" s="249"/>
      <c r="AT39" s="249"/>
      <c r="AU39" s="249"/>
      <c r="AV39" s="249"/>
      <c r="AW39" s="249"/>
      <c r="AX39" s="250"/>
      <c r="AY39" s="249"/>
      <c r="AZ39" s="250"/>
      <c r="BA39" s="250"/>
      <c r="BB39" s="250"/>
      <c r="BC39" s="249"/>
      <c r="BD39" s="250"/>
      <c r="BE39" s="250"/>
      <c r="BF39" s="250"/>
      <c r="BG39" s="249"/>
      <c r="BH39" s="250">
        <f t="shared" si="12"/>
        <v>0</v>
      </c>
      <c r="BI39" s="251">
        <f>Автовик_разбивка[[#This Row],[Цена, 
юань, без НДС 1]]*BH39</f>
        <v>0</v>
      </c>
      <c r="BJ39" s="250">
        <f t="shared" si="13"/>
        <v>0</v>
      </c>
      <c r="BK39" s="251">
        <f>Автовик_разбивка[[#This Row],[Цена, 
юань, без НДС 1]]*BJ39</f>
        <v>0</v>
      </c>
      <c r="BL39" s="250">
        <f t="shared" si="14"/>
        <v>0</v>
      </c>
      <c r="BM39" s="251">
        <f>Автовик_разбивка[[#This Row],[Цена, 
юань, без НДС 1]]*BL39</f>
        <v>0</v>
      </c>
      <c r="BN39" s="249"/>
      <c r="BO39" s="249"/>
      <c r="BP39" s="249"/>
      <c r="BQ39" s="249"/>
      <c r="BR39" s="249"/>
      <c r="BS39" s="249"/>
      <c r="BT39" s="249"/>
      <c r="BU39" s="249"/>
      <c r="BV39" s="249"/>
      <c r="BW39" s="249"/>
      <c r="BX39" s="249"/>
      <c r="BY39" s="249"/>
      <c r="BZ39" s="249"/>
      <c r="CA39" s="249"/>
      <c r="CB39" s="249"/>
      <c r="CC39" s="249"/>
      <c r="CD39" s="249"/>
      <c r="CE39" s="249"/>
      <c r="CF39" s="249"/>
      <c r="CG39" s="249"/>
      <c r="CH39" s="249"/>
      <c r="CI39" s="249"/>
      <c r="CJ39" s="249"/>
      <c r="CK39" s="249"/>
      <c r="CL39" s="249"/>
      <c r="CM39" s="249"/>
      <c r="CN39" s="249"/>
      <c r="CO39" s="249"/>
      <c r="CP39" s="249"/>
      <c r="CQ39" s="249"/>
      <c r="CR39" s="249"/>
      <c r="CS39" s="249"/>
      <c r="CT39" s="249"/>
      <c r="CU39" s="249"/>
      <c r="CV39" s="249"/>
      <c r="CW39" s="249"/>
      <c r="CX39" s="249"/>
      <c r="CY39" s="249"/>
      <c r="CZ39" s="249"/>
      <c r="DA39" s="249"/>
      <c r="DB39" s="249"/>
      <c r="DC39" s="249"/>
      <c r="DD39" s="249"/>
      <c r="DE39" s="249"/>
      <c r="DF39" s="249"/>
      <c r="DG39" s="249"/>
      <c r="DH39" s="249"/>
      <c r="DI39" s="249"/>
      <c r="DJ39" s="250"/>
      <c r="DK39" s="249"/>
      <c r="DL39" s="250"/>
      <c r="DM39" s="250"/>
      <c r="DN39" s="250"/>
      <c r="DO39" s="250"/>
      <c r="DP39" s="249"/>
      <c r="DQ39" s="250"/>
      <c r="DR39" s="250"/>
      <c r="DS39" s="250"/>
      <c r="DT39" s="250"/>
      <c r="DU39" s="249"/>
      <c r="DV39" s="250">
        <f t="shared" si="15"/>
        <v>0</v>
      </c>
      <c r="DW39" s="251">
        <f>Автовик_разбивка[[#This Row],[Цена, 
юань, без НДС 1]]*DV39</f>
        <v>0</v>
      </c>
      <c r="DX39" s="251">
        <f t="shared" si="16"/>
        <v>0</v>
      </c>
      <c r="DY39" s="251">
        <f>Автовик_разбивка[[#This Row],[Цена, 
юань, без НДС 1]]*DX39</f>
        <v>0</v>
      </c>
      <c r="DZ39" s="250">
        <f t="shared" si="17"/>
        <v>0</v>
      </c>
      <c r="EA39" s="251">
        <f>Автовик_разбивка[[#This Row],[Цена, 
юань, без НДС 1]]*DZ39</f>
        <v>0</v>
      </c>
      <c r="EB39" s="250">
        <f t="shared" si="18"/>
        <v>0</v>
      </c>
      <c r="EC39" s="251">
        <f>Автовик_разбивка[[#This Row],[Цена, 
юань, без НДС 1]]*EB39</f>
        <v>0</v>
      </c>
    </row>
    <row r="40" spans="1:133">
      <c r="A40" s="221">
        <v>11</v>
      </c>
      <c r="B40" s="172" t="s">
        <v>314</v>
      </c>
      <c r="C40" s="173" t="s">
        <v>298</v>
      </c>
      <c r="D40" s="173" t="s">
        <v>315</v>
      </c>
      <c r="E40" s="174">
        <v>4</v>
      </c>
      <c r="F40" s="174"/>
      <c r="G40" s="174"/>
      <c r="H40" s="175">
        <v>4494430600</v>
      </c>
      <c r="I40" s="176" t="s">
        <v>136</v>
      </c>
      <c r="J40" s="222"/>
      <c r="K40" s="223"/>
      <c r="L40" s="178">
        <v>240</v>
      </c>
      <c r="M40" s="130">
        <f t="shared" ref="M40:M53" si="76">$E40*60</f>
        <v>240</v>
      </c>
      <c r="N40" s="179">
        <v>122</v>
      </c>
      <c r="O40" s="130"/>
      <c r="P40" s="178">
        <v>240</v>
      </c>
      <c r="Q40" s="130">
        <f t="shared" ref="Q40:Q53" si="77">$E40*60</f>
        <v>240</v>
      </c>
      <c r="R40" s="179">
        <v>201</v>
      </c>
      <c r="S40" s="130"/>
      <c r="T40" s="178">
        <v>240</v>
      </c>
      <c r="U40" s="130">
        <f t="shared" ref="U40:U53" si="78">$E40*60</f>
        <v>240</v>
      </c>
      <c r="V40" s="179">
        <v>240</v>
      </c>
      <c r="W40" s="130"/>
      <c r="X40" s="178">
        <v>240</v>
      </c>
      <c r="Y40" s="130">
        <f t="shared" ref="Y40:Y53" si="79">$E40*60</f>
        <v>240</v>
      </c>
      <c r="Z40" s="179">
        <v>200</v>
      </c>
      <c r="AA40" s="130"/>
      <c r="AB40" s="178">
        <v>240</v>
      </c>
      <c r="AC40" s="130">
        <f t="shared" ref="AC40:AC53" si="80">$E40*60</f>
        <v>240</v>
      </c>
      <c r="AD40" s="179"/>
      <c r="AE40" s="130"/>
      <c r="AF40" s="178">
        <v>240</v>
      </c>
      <c r="AG40" s="130">
        <f t="shared" ref="AG40:AG53" si="81">$E40*60</f>
        <v>240</v>
      </c>
      <c r="AH40" s="179"/>
      <c r="AI40" s="130"/>
      <c r="AJ40" s="178">
        <v>240</v>
      </c>
      <c r="AK40" s="130">
        <f t="shared" ref="AK40:AK53" si="82">$E40*60</f>
        <v>240</v>
      </c>
      <c r="AL40" s="179"/>
      <c r="AM40" s="130"/>
      <c r="AN40" s="178">
        <v>240</v>
      </c>
      <c r="AO40" s="130">
        <f t="shared" ref="AO40:AO53" si="83">$E40*50</f>
        <v>200</v>
      </c>
      <c r="AP40" s="179"/>
      <c r="AQ40" s="130"/>
      <c r="AR40" s="178">
        <v>240</v>
      </c>
      <c r="AS40" s="130">
        <f t="shared" ref="AS40:AS53" si="84">$E40*50</f>
        <v>200</v>
      </c>
      <c r="AT40" s="179"/>
      <c r="AU40" s="130"/>
      <c r="AV40" s="178">
        <v>240</v>
      </c>
      <c r="AW40" s="130">
        <f t="shared" ref="AW40:AW53" si="85">$E40*50</f>
        <v>200</v>
      </c>
      <c r="AX40" s="179"/>
      <c r="AY40" s="130"/>
      <c r="AZ40" s="178">
        <v>240</v>
      </c>
      <c r="BA40" s="130">
        <f t="shared" ref="BA40:BA53" si="86">$E40*60</f>
        <v>240</v>
      </c>
      <c r="BB40" s="194"/>
      <c r="BC40" s="130"/>
      <c r="BD40" s="178">
        <v>240</v>
      </c>
      <c r="BE40" s="130">
        <f t="shared" ref="BE40:BE53" si="87">$E40*50</f>
        <v>200</v>
      </c>
      <c r="BF40" s="109"/>
      <c r="BG40" s="130"/>
      <c r="BH40" s="180">
        <f t="shared" si="12"/>
        <v>2880</v>
      </c>
      <c r="BI40" s="181">
        <f>Автовик_разбивка[[#This Row],[Цена, 
юань, без НДС 1]]*BH40</f>
        <v>0</v>
      </c>
      <c r="BJ40" s="130">
        <f t="shared" si="13"/>
        <v>2720</v>
      </c>
      <c r="BK40" s="187">
        <f>Автовик_разбивка[[#This Row],[Цена, 
юань, без НДС 1]]*BJ40</f>
        <v>0</v>
      </c>
      <c r="BL40" s="109">
        <f t="shared" si="14"/>
        <v>763</v>
      </c>
      <c r="BM40" s="224">
        <f>Автовик_разбивка[[#This Row],[Цена, 
юань, без НДС 1]]*BL40</f>
        <v>0</v>
      </c>
      <c r="BN40" s="178"/>
      <c r="BO40" s="184"/>
      <c r="BP40" s="130">
        <f t="shared" ref="BP40:BP53" si="88">$E40*40</f>
        <v>160</v>
      </c>
      <c r="BQ40" s="179"/>
      <c r="BR40" s="130"/>
      <c r="BS40" s="178"/>
      <c r="BT40" s="184"/>
      <c r="BU40" s="130">
        <f t="shared" ref="BU40:BU53" si="89">$E40*40</f>
        <v>160</v>
      </c>
      <c r="BV40" s="179"/>
      <c r="BW40" s="130"/>
      <c r="BX40" s="178"/>
      <c r="BY40" s="184"/>
      <c r="BZ40" s="130">
        <f t="shared" ref="BZ40:BZ53" si="90">$E40*50</f>
        <v>200</v>
      </c>
      <c r="CA40" s="179"/>
      <c r="CB40" s="130"/>
      <c r="CC40" s="178"/>
      <c r="CD40" s="184"/>
      <c r="CE40" s="130">
        <f t="shared" ref="CE40:CE41" si="91">$E40*50</f>
        <v>200</v>
      </c>
      <c r="CF40" s="179"/>
      <c r="CG40" s="130"/>
      <c r="CH40" s="178"/>
      <c r="CI40" s="184"/>
      <c r="CJ40" s="130">
        <f t="shared" ref="CJ40:CJ53" si="92">$E40*60</f>
        <v>240</v>
      </c>
      <c r="CK40" s="179"/>
      <c r="CL40" s="130"/>
      <c r="CM40" s="178"/>
      <c r="CN40" s="184"/>
      <c r="CO40" s="130">
        <f t="shared" ref="CO40:CO41" si="93">$E40*50</f>
        <v>200</v>
      </c>
      <c r="CP40" s="179"/>
      <c r="CQ40" s="130"/>
      <c r="CR40" s="178"/>
      <c r="CS40" s="184"/>
      <c r="CT40" s="130">
        <f t="shared" ref="CT40:CT53" si="94">$E40*60</f>
        <v>240</v>
      </c>
      <c r="CU40" s="179"/>
      <c r="CV40" s="130"/>
      <c r="CW40" s="178"/>
      <c r="CX40" s="184"/>
      <c r="CY40" s="130">
        <f t="shared" ref="CY40:CY41" si="95">$E40*50</f>
        <v>200</v>
      </c>
      <c r="CZ40" s="179"/>
      <c r="DA40" s="130"/>
      <c r="DB40" s="178"/>
      <c r="DC40" s="184"/>
      <c r="DD40" s="130">
        <f t="shared" ref="DD40:DD53" si="96">$E40*60</f>
        <v>240</v>
      </c>
      <c r="DE40" s="179"/>
      <c r="DF40" s="130"/>
      <c r="DG40" s="178"/>
      <c r="DH40" s="184"/>
      <c r="DI40" s="130">
        <f t="shared" ref="DI40:DI41" si="97">$E40*50</f>
        <v>200</v>
      </c>
      <c r="DJ40" s="179"/>
      <c r="DK40" s="130"/>
      <c r="DL40" s="178"/>
      <c r="DM40" s="184"/>
      <c r="DN40" s="130">
        <f t="shared" ref="DN40:DN53" si="98">$E40*60</f>
        <v>240</v>
      </c>
      <c r="DO40" s="194"/>
      <c r="DP40" s="130"/>
      <c r="DQ40" s="178"/>
      <c r="DR40" s="184"/>
      <c r="DS40" s="130">
        <f t="shared" ref="DS40:DS41" si="99">$E40*50</f>
        <v>200</v>
      </c>
      <c r="DT40" s="109"/>
      <c r="DU40" s="130"/>
      <c r="DV40" s="180">
        <f t="shared" si="15"/>
        <v>0</v>
      </c>
      <c r="DW40" s="181">
        <f>Автовик_разбивка[[#This Row],[Цена, 
юань, без НДС 1]]*DV40</f>
        <v>0</v>
      </c>
      <c r="DX40" s="186">
        <f t="shared" si="16"/>
        <v>0</v>
      </c>
      <c r="DY40" s="186">
        <f>Автовик_разбивка[[#This Row],[Цена, 
юань, без НДС 1]]*DX40</f>
        <v>0</v>
      </c>
      <c r="DZ40" s="130">
        <f t="shared" si="17"/>
        <v>2480</v>
      </c>
      <c r="EA40" s="187">
        <f>Автовик_разбивка[[#This Row],[Цена, 
юань, без НДС 1]]*DZ40</f>
        <v>0</v>
      </c>
      <c r="EB40" s="109">
        <f t="shared" si="18"/>
        <v>0</v>
      </c>
      <c r="EC40" s="224">
        <f>Автовик_разбивка[[#This Row],[Цена, 
юань, без НДС 1]]*EB40</f>
        <v>0</v>
      </c>
    </row>
    <row r="41" spans="1:133">
      <c r="A41" s="221">
        <v>11</v>
      </c>
      <c r="B41" s="172" t="s">
        <v>314</v>
      </c>
      <c r="C41" s="173" t="s">
        <v>298</v>
      </c>
      <c r="D41" s="173" t="s">
        <v>315</v>
      </c>
      <c r="E41" s="174">
        <v>2</v>
      </c>
      <c r="F41" s="174"/>
      <c r="G41" s="174"/>
      <c r="H41" s="175">
        <v>4630840310</v>
      </c>
      <c r="I41" s="176" t="s">
        <v>135</v>
      </c>
      <c r="J41" s="222"/>
      <c r="K41" s="223"/>
      <c r="L41" s="178">
        <v>120</v>
      </c>
      <c r="M41" s="130">
        <f t="shared" si="76"/>
        <v>120</v>
      </c>
      <c r="N41" s="179">
        <v>122</v>
      </c>
      <c r="O41" s="130"/>
      <c r="P41" s="178">
        <v>120</v>
      </c>
      <c r="Q41" s="130">
        <f t="shared" si="77"/>
        <v>120</v>
      </c>
      <c r="R41" s="179">
        <v>100</v>
      </c>
      <c r="S41" s="130"/>
      <c r="T41" s="178">
        <v>120</v>
      </c>
      <c r="U41" s="130">
        <f t="shared" si="78"/>
        <v>120</v>
      </c>
      <c r="V41" s="179">
        <v>120</v>
      </c>
      <c r="W41" s="130"/>
      <c r="X41" s="178">
        <v>120</v>
      </c>
      <c r="Y41" s="130">
        <f t="shared" si="79"/>
        <v>120</v>
      </c>
      <c r="Z41" s="179">
        <v>100</v>
      </c>
      <c r="AA41" s="130"/>
      <c r="AB41" s="178">
        <v>120</v>
      </c>
      <c r="AC41" s="130">
        <f t="shared" si="80"/>
        <v>120</v>
      </c>
      <c r="AD41" s="179"/>
      <c r="AE41" s="130"/>
      <c r="AF41" s="178">
        <v>120</v>
      </c>
      <c r="AG41" s="130">
        <f t="shared" si="81"/>
        <v>120</v>
      </c>
      <c r="AH41" s="179"/>
      <c r="AI41" s="130"/>
      <c r="AJ41" s="178">
        <v>120</v>
      </c>
      <c r="AK41" s="130">
        <f t="shared" si="82"/>
        <v>120</v>
      </c>
      <c r="AL41" s="179"/>
      <c r="AM41" s="130"/>
      <c r="AN41" s="178">
        <v>120</v>
      </c>
      <c r="AO41" s="130">
        <f t="shared" si="83"/>
        <v>100</v>
      </c>
      <c r="AP41" s="179"/>
      <c r="AQ41" s="130"/>
      <c r="AR41" s="178">
        <v>120</v>
      </c>
      <c r="AS41" s="130">
        <f t="shared" si="84"/>
        <v>100</v>
      </c>
      <c r="AT41" s="179"/>
      <c r="AU41" s="130"/>
      <c r="AV41" s="178">
        <v>120</v>
      </c>
      <c r="AW41" s="130">
        <f t="shared" si="85"/>
        <v>100</v>
      </c>
      <c r="AX41" s="179"/>
      <c r="AY41" s="130"/>
      <c r="AZ41" s="178">
        <v>120</v>
      </c>
      <c r="BA41" s="130">
        <f t="shared" si="86"/>
        <v>120</v>
      </c>
      <c r="BB41" s="194"/>
      <c r="BC41" s="130"/>
      <c r="BD41" s="178">
        <v>120</v>
      </c>
      <c r="BE41" s="130">
        <f t="shared" si="87"/>
        <v>100</v>
      </c>
      <c r="BF41" s="109"/>
      <c r="BG41" s="130"/>
      <c r="BH41" s="180">
        <f t="shared" si="12"/>
        <v>1440</v>
      </c>
      <c r="BI41" s="181">
        <f>Автовик_разбивка[[#This Row],[Цена, 
юань, без НДС 1]]*BH41</f>
        <v>0</v>
      </c>
      <c r="BJ41" s="130">
        <f t="shared" si="13"/>
        <v>1360</v>
      </c>
      <c r="BK41" s="187">
        <f>Автовик_разбивка[[#This Row],[Цена, 
юань, без НДС 1]]*BJ41</f>
        <v>0</v>
      </c>
      <c r="BL41" s="109">
        <f t="shared" si="14"/>
        <v>442</v>
      </c>
      <c r="BM41" s="224">
        <f>Автовик_разбивка[[#This Row],[Цена, 
юань, без НДС 1]]*BL41</f>
        <v>0</v>
      </c>
      <c r="BN41" s="178"/>
      <c r="BO41" s="184"/>
      <c r="BP41" s="130">
        <f t="shared" si="88"/>
        <v>80</v>
      </c>
      <c r="BQ41" s="179"/>
      <c r="BR41" s="130"/>
      <c r="BS41" s="178"/>
      <c r="BT41" s="184"/>
      <c r="BU41" s="130">
        <f t="shared" si="89"/>
        <v>80</v>
      </c>
      <c r="BV41" s="179"/>
      <c r="BW41" s="130"/>
      <c r="BX41" s="178"/>
      <c r="BY41" s="184"/>
      <c r="BZ41" s="130">
        <f t="shared" si="90"/>
        <v>100</v>
      </c>
      <c r="CA41" s="179"/>
      <c r="CB41" s="130"/>
      <c r="CC41" s="178"/>
      <c r="CD41" s="184"/>
      <c r="CE41" s="130">
        <f t="shared" si="91"/>
        <v>100</v>
      </c>
      <c r="CF41" s="179"/>
      <c r="CG41" s="130"/>
      <c r="CH41" s="178"/>
      <c r="CI41" s="184"/>
      <c r="CJ41" s="130">
        <f t="shared" si="92"/>
        <v>120</v>
      </c>
      <c r="CK41" s="179"/>
      <c r="CL41" s="130"/>
      <c r="CM41" s="178"/>
      <c r="CN41" s="184"/>
      <c r="CO41" s="130">
        <f t="shared" si="93"/>
        <v>100</v>
      </c>
      <c r="CP41" s="179"/>
      <c r="CQ41" s="130"/>
      <c r="CR41" s="178"/>
      <c r="CS41" s="184"/>
      <c r="CT41" s="130">
        <f t="shared" si="94"/>
        <v>120</v>
      </c>
      <c r="CU41" s="179"/>
      <c r="CV41" s="130"/>
      <c r="CW41" s="178"/>
      <c r="CX41" s="184"/>
      <c r="CY41" s="130">
        <f t="shared" si="95"/>
        <v>100</v>
      </c>
      <c r="CZ41" s="179"/>
      <c r="DA41" s="130"/>
      <c r="DB41" s="178"/>
      <c r="DC41" s="184"/>
      <c r="DD41" s="130">
        <f t="shared" si="96"/>
        <v>120</v>
      </c>
      <c r="DE41" s="179"/>
      <c r="DF41" s="130"/>
      <c r="DG41" s="178"/>
      <c r="DH41" s="184"/>
      <c r="DI41" s="130">
        <f t="shared" si="97"/>
        <v>100</v>
      </c>
      <c r="DJ41" s="179"/>
      <c r="DK41" s="130"/>
      <c r="DL41" s="178"/>
      <c r="DM41" s="184"/>
      <c r="DN41" s="130">
        <f t="shared" si="98"/>
        <v>120</v>
      </c>
      <c r="DO41" s="194"/>
      <c r="DP41" s="130"/>
      <c r="DQ41" s="178"/>
      <c r="DR41" s="184"/>
      <c r="DS41" s="130">
        <f t="shared" si="99"/>
        <v>100</v>
      </c>
      <c r="DT41" s="109"/>
      <c r="DU41" s="130"/>
      <c r="DV41" s="180">
        <f t="shared" si="15"/>
        <v>0</v>
      </c>
      <c r="DW41" s="181">
        <f>Автовик_разбивка[[#This Row],[Цена, 
юань, без НДС 1]]*DV41</f>
        <v>0</v>
      </c>
      <c r="DX41" s="186">
        <f t="shared" si="16"/>
        <v>0</v>
      </c>
      <c r="DY41" s="186">
        <f>Автовик_разбивка[[#This Row],[Цена, 
юань, без НДС 1]]*DX41</f>
        <v>0</v>
      </c>
      <c r="DZ41" s="130">
        <f t="shared" si="17"/>
        <v>1240</v>
      </c>
      <c r="EA41" s="187">
        <f>Автовик_разбивка[[#This Row],[Цена, 
юань, без НДС 1]]*DZ41</f>
        <v>0</v>
      </c>
      <c r="EB41" s="109">
        <f t="shared" si="18"/>
        <v>0</v>
      </c>
      <c r="EC41" s="224">
        <f>Автовик_разбивка[[#This Row],[Цена, 
юань, без НДС 1]]*EB41</f>
        <v>0</v>
      </c>
    </row>
    <row r="42" spans="1:133">
      <c r="A42" s="221">
        <v>11</v>
      </c>
      <c r="B42" s="172" t="s">
        <v>314</v>
      </c>
      <c r="C42" s="173" t="s">
        <v>298</v>
      </c>
      <c r="D42" s="173" t="s">
        <v>316</v>
      </c>
      <c r="E42" s="174">
        <v>1</v>
      </c>
      <c r="F42" s="174"/>
      <c r="G42" s="174"/>
      <c r="H42" s="175">
        <v>4334010030</v>
      </c>
      <c r="I42" s="176" t="s">
        <v>81</v>
      </c>
      <c r="J42" s="222"/>
      <c r="K42" s="227"/>
      <c r="L42" s="178">
        <v>60</v>
      </c>
      <c r="M42" s="130">
        <f t="shared" si="76"/>
        <v>60</v>
      </c>
      <c r="N42" s="179">
        <v>60</v>
      </c>
      <c r="O42" s="130"/>
      <c r="P42" s="178">
        <v>60</v>
      </c>
      <c r="Q42" s="130">
        <f t="shared" si="77"/>
        <v>60</v>
      </c>
      <c r="R42" s="179">
        <v>50</v>
      </c>
      <c r="S42" s="130"/>
      <c r="T42" s="178">
        <v>60</v>
      </c>
      <c r="U42" s="130">
        <f t="shared" si="78"/>
        <v>60</v>
      </c>
      <c r="V42" s="179">
        <v>60</v>
      </c>
      <c r="W42" s="130"/>
      <c r="X42" s="178">
        <v>60</v>
      </c>
      <c r="Y42" s="130">
        <f t="shared" si="79"/>
        <v>60</v>
      </c>
      <c r="Z42" s="179">
        <v>50</v>
      </c>
      <c r="AA42" s="130"/>
      <c r="AB42" s="178">
        <v>60</v>
      </c>
      <c r="AC42" s="130">
        <f t="shared" si="80"/>
        <v>60</v>
      </c>
      <c r="AD42" s="109"/>
      <c r="AE42" s="252"/>
      <c r="AF42" s="178">
        <v>60</v>
      </c>
      <c r="AG42" s="130">
        <f t="shared" si="81"/>
        <v>60</v>
      </c>
      <c r="AH42" s="109"/>
      <c r="AI42" s="252"/>
      <c r="AJ42" s="178">
        <v>60</v>
      </c>
      <c r="AK42" s="130">
        <f t="shared" si="82"/>
        <v>60</v>
      </c>
      <c r="AL42" s="109"/>
      <c r="AM42" s="252"/>
      <c r="AN42" s="178">
        <v>60</v>
      </c>
      <c r="AO42" s="130">
        <f t="shared" si="83"/>
        <v>50</v>
      </c>
      <c r="AP42" s="109"/>
      <c r="AQ42" s="252"/>
      <c r="AR42" s="178">
        <v>60</v>
      </c>
      <c r="AS42" s="130">
        <f t="shared" si="84"/>
        <v>50</v>
      </c>
      <c r="AT42" s="109"/>
      <c r="AU42" s="252"/>
      <c r="AV42" s="178">
        <v>60</v>
      </c>
      <c r="AW42" s="130">
        <f t="shared" si="85"/>
        <v>50</v>
      </c>
      <c r="AX42" s="109"/>
      <c r="AY42" s="252"/>
      <c r="AZ42" s="178">
        <v>60</v>
      </c>
      <c r="BA42" s="130">
        <f t="shared" si="86"/>
        <v>60</v>
      </c>
      <c r="BB42" s="194"/>
      <c r="BC42" s="252"/>
      <c r="BD42" s="178">
        <v>60</v>
      </c>
      <c r="BE42" s="130">
        <f t="shared" si="87"/>
        <v>50</v>
      </c>
      <c r="BF42" s="109"/>
      <c r="BG42" s="252"/>
      <c r="BH42" s="180">
        <f t="shared" si="12"/>
        <v>720</v>
      </c>
      <c r="BI42" s="181">
        <f>Автовик_разбивка[[#This Row],[Цена, 
юань, без НДС 1]]*BH42</f>
        <v>0</v>
      </c>
      <c r="BJ42" s="130">
        <f t="shared" si="13"/>
        <v>680</v>
      </c>
      <c r="BK42" s="187">
        <f>Автовик_разбивка[[#This Row],[Цена, 
юань, без НДС 1]]*BJ42</f>
        <v>0</v>
      </c>
      <c r="BL42" s="109">
        <f t="shared" si="14"/>
        <v>220</v>
      </c>
      <c r="BM42" s="224">
        <f>Автовик_разбивка[[#This Row],[Цена, 
юань, без НДС 1]]*BL42</f>
        <v>0</v>
      </c>
      <c r="BN42" s="178"/>
      <c r="BO42" s="184"/>
      <c r="BP42" s="130">
        <f t="shared" si="88"/>
        <v>40</v>
      </c>
      <c r="BQ42" s="179"/>
      <c r="BR42" s="130"/>
      <c r="BS42" s="178"/>
      <c r="BT42" s="184"/>
      <c r="BU42" s="130">
        <f t="shared" si="89"/>
        <v>40</v>
      </c>
      <c r="BV42" s="179"/>
      <c r="BW42" s="130"/>
      <c r="BX42" s="178"/>
      <c r="BY42" s="184"/>
      <c r="BZ42" s="130">
        <f t="shared" si="90"/>
        <v>50</v>
      </c>
      <c r="CA42" s="179"/>
      <c r="CB42" s="130"/>
      <c r="CC42" s="178"/>
      <c r="CD42" s="184"/>
      <c r="CE42" s="130">
        <f t="shared" ref="CE42:CE53" si="100">$E42*60</f>
        <v>60</v>
      </c>
      <c r="CF42" s="179"/>
      <c r="CG42" s="130"/>
      <c r="CH42" s="178"/>
      <c r="CI42" s="184"/>
      <c r="CJ42" s="130">
        <f t="shared" si="92"/>
        <v>60</v>
      </c>
      <c r="CK42" s="109"/>
      <c r="CL42" s="252"/>
      <c r="CM42" s="178"/>
      <c r="CN42" s="184"/>
      <c r="CO42" s="130">
        <f t="shared" ref="CO42:CO53" si="101">$E42*60</f>
        <v>60</v>
      </c>
      <c r="CP42" s="109"/>
      <c r="CQ42" s="252"/>
      <c r="CR42" s="178"/>
      <c r="CS42" s="184"/>
      <c r="CT42" s="130">
        <f t="shared" si="94"/>
        <v>60</v>
      </c>
      <c r="CU42" s="109"/>
      <c r="CV42" s="252"/>
      <c r="CW42" s="178"/>
      <c r="CX42" s="184"/>
      <c r="CY42" s="130">
        <f t="shared" ref="CY42:CY53" si="102">$E42*60</f>
        <v>60</v>
      </c>
      <c r="CZ42" s="109"/>
      <c r="DA42" s="252"/>
      <c r="DB42" s="178"/>
      <c r="DC42" s="184"/>
      <c r="DD42" s="130">
        <f t="shared" si="96"/>
        <v>60</v>
      </c>
      <c r="DE42" s="109"/>
      <c r="DF42" s="252"/>
      <c r="DG42" s="178"/>
      <c r="DH42" s="184"/>
      <c r="DI42" s="130">
        <f t="shared" ref="DI42:DI53" si="103">$E42*60</f>
        <v>60</v>
      </c>
      <c r="DJ42" s="109"/>
      <c r="DK42" s="252"/>
      <c r="DL42" s="178"/>
      <c r="DM42" s="184"/>
      <c r="DN42" s="130">
        <f t="shared" si="98"/>
        <v>60</v>
      </c>
      <c r="DO42" s="194"/>
      <c r="DP42" s="252"/>
      <c r="DQ42" s="178"/>
      <c r="DR42" s="184"/>
      <c r="DS42" s="130">
        <f t="shared" ref="DS42:DS53" si="104">$E42*60</f>
        <v>60</v>
      </c>
      <c r="DT42" s="109"/>
      <c r="DU42" s="252"/>
      <c r="DV42" s="180">
        <f t="shared" si="15"/>
        <v>0</v>
      </c>
      <c r="DW42" s="181">
        <f>Автовик_разбивка[[#This Row],[Цена, 
юань, без НДС 1]]*DV42</f>
        <v>0</v>
      </c>
      <c r="DX42" s="186">
        <f t="shared" si="16"/>
        <v>0</v>
      </c>
      <c r="DY42" s="186">
        <f>Автовик_разбивка[[#This Row],[Цена, 
юань, без НДС 1]]*DX42</f>
        <v>0</v>
      </c>
      <c r="DZ42" s="130">
        <f t="shared" si="17"/>
        <v>670</v>
      </c>
      <c r="EA42" s="187">
        <f>Автовик_разбивка[[#This Row],[Цена, 
юань, без НДС 1]]*DZ42</f>
        <v>0</v>
      </c>
      <c r="EB42" s="109">
        <f t="shared" si="18"/>
        <v>0</v>
      </c>
      <c r="EC42" s="224">
        <f>Автовик_разбивка[[#This Row],[Цена, 
юань, без НДС 1]]*EB42</f>
        <v>0</v>
      </c>
    </row>
    <row r="43" spans="1:133">
      <c r="A43" s="221">
        <v>11</v>
      </c>
      <c r="B43" s="172" t="s">
        <v>314</v>
      </c>
      <c r="C43" s="173" t="s">
        <v>298</v>
      </c>
      <c r="D43" s="173" t="s">
        <v>316</v>
      </c>
      <c r="E43" s="174">
        <v>1</v>
      </c>
      <c r="F43" s="174"/>
      <c r="G43" s="174"/>
      <c r="H43" s="175">
        <v>4491731200</v>
      </c>
      <c r="I43" s="176" t="s">
        <v>83</v>
      </c>
      <c r="J43" s="222"/>
      <c r="K43" s="223"/>
      <c r="L43" s="178">
        <v>60</v>
      </c>
      <c r="M43" s="130">
        <f t="shared" si="76"/>
        <v>60</v>
      </c>
      <c r="N43" s="179">
        <v>60</v>
      </c>
      <c r="O43" s="130"/>
      <c r="P43" s="178">
        <v>60</v>
      </c>
      <c r="Q43" s="130">
        <f t="shared" si="77"/>
        <v>60</v>
      </c>
      <c r="R43" s="179">
        <v>50</v>
      </c>
      <c r="S43" s="130"/>
      <c r="T43" s="178">
        <v>60</v>
      </c>
      <c r="U43" s="130">
        <f t="shared" si="78"/>
        <v>60</v>
      </c>
      <c r="V43" s="179">
        <v>60</v>
      </c>
      <c r="W43" s="130"/>
      <c r="X43" s="178">
        <v>60</v>
      </c>
      <c r="Y43" s="130">
        <f t="shared" si="79"/>
        <v>60</v>
      </c>
      <c r="Z43" s="179">
        <v>50</v>
      </c>
      <c r="AA43" s="130"/>
      <c r="AB43" s="178">
        <v>60</v>
      </c>
      <c r="AC43" s="130">
        <f t="shared" si="80"/>
        <v>60</v>
      </c>
      <c r="AD43" s="109"/>
      <c r="AE43" s="252"/>
      <c r="AF43" s="178">
        <v>60</v>
      </c>
      <c r="AG43" s="130">
        <f t="shared" si="81"/>
        <v>60</v>
      </c>
      <c r="AH43" s="109"/>
      <c r="AI43" s="252"/>
      <c r="AJ43" s="178">
        <v>60</v>
      </c>
      <c r="AK43" s="130">
        <f t="shared" si="82"/>
        <v>60</v>
      </c>
      <c r="AL43" s="109"/>
      <c r="AM43" s="252"/>
      <c r="AN43" s="178">
        <v>60</v>
      </c>
      <c r="AO43" s="130">
        <f t="shared" si="83"/>
        <v>50</v>
      </c>
      <c r="AP43" s="109"/>
      <c r="AQ43" s="252"/>
      <c r="AR43" s="178">
        <v>60</v>
      </c>
      <c r="AS43" s="130">
        <f t="shared" si="84"/>
        <v>50</v>
      </c>
      <c r="AT43" s="109"/>
      <c r="AU43" s="252"/>
      <c r="AV43" s="178">
        <v>60</v>
      </c>
      <c r="AW43" s="130">
        <f t="shared" si="85"/>
        <v>50</v>
      </c>
      <c r="AX43" s="109"/>
      <c r="AY43" s="252"/>
      <c r="AZ43" s="178">
        <v>60</v>
      </c>
      <c r="BA43" s="130">
        <f t="shared" si="86"/>
        <v>60</v>
      </c>
      <c r="BB43" s="193"/>
      <c r="BC43" s="252"/>
      <c r="BD43" s="178">
        <v>60</v>
      </c>
      <c r="BE43" s="130">
        <f t="shared" si="87"/>
        <v>50</v>
      </c>
      <c r="BF43" s="109"/>
      <c r="BG43" s="252"/>
      <c r="BH43" s="180">
        <f t="shared" si="12"/>
        <v>720</v>
      </c>
      <c r="BI43" s="181">
        <f>Автовик_разбивка[[#This Row],[Цена, 
юань, без НДС 1]]*BH43</f>
        <v>0</v>
      </c>
      <c r="BJ43" s="130">
        <f t="shared" si="13"/>
        <v>680</v>
      </c>
      <c r="BK43" s="187">
        <f>Автовик_разбивка[[#This Row],[Цена, 
юань, без НДС 1]]*BJ43</f>
        <v>0</v>
      </c>
      <c r="BL43" s="109">
        <f t="shared" si="14"/>
        <v>220</v>
      </c>
      <c r="BM43" s="224">
        <f>Автовик_разбивка[[#This Row],[Цена, 
юань, без НДС 1]]*BL43</f>
        <v>0</v>
      </c>
      <c r="BN43" s="178"/>
      <c r="BO43" s="184"/>
      <c r="BP43" s="130">
        <f t="shared" si="88"/>
        <v>40</v>
      </c>
      <c r="BQ43" s="179"/>
      <c r="BR43" s="130"/>
      <c r="BS43" s="178"/>
      <c r="BT43" s="184"/>
      <c r="BU43" s="130">
        <f t="shared" si="89"/>
        <v>40</v>
      </c>
      <c r="BV43" s="179"/>
      <c r="BW43" s="130"/>
      <c r="BX43" s="178"/>
      <c r="BY43" s="184"/>
      <c r="BZ43" s="130">
        <f t="shared" si="90"/>
        <v>50</v>
      </c>
      <c r="CA43" s="179"/>
      <c r="CB43" s="130"/>
      <c r="CC43" s="178"/>
      <c r="CD43" s="184"/>
      <c r="CE43" s="130">
        <f t="shared" si="100"/>
        <v>60</v>
      </c>
      <c r="CF43" s="179"/>
      <c r="CG43" s="130"/>
      <c r="CH43" s="178"/>
      <c r="CI43" s="184"/>
      <c r="CJ43" s="130">
        <f t="shared" si="92"/>
        <v>60</v>
      </c>
      <c r="CK43" s="109"/>
      <c r="CL43" s="252"/>
      <c r="CM43" s="178"/>
      <c r="CN43" s="184"/>
      <c r="CO43" s="130">
        <f t="shared" si="101"/>
        <v>60</v>
      </c>
      <c r="CP43" s="109"/>
      <c r="CQ43" s="252"/>
      <c r="CR43" s="178"/>
      <c r="CS43" s="184"/>
      <c r="CT43" s="130">
        <f t="shared" si="94"/>
        <v>60</v>
      </c>
      <c r="CU43" s="109"/>
      <c r="CV43" s="252"/>
      <c r="CW43" s="178"/>
      <c r="CX43" s="184"/>
      <c r="CY43" s="130">
        <f t="shared" si="102"/>
        <v>60</v>
      </c>
      <c r="CZ43" s="109"/>
      <c r="DA43" s="252"/>
      <c r="DB43" s="178"/>
      <c r="DC43" s="184"/>
      <c r="DD43" s="130">
        <f t="shared" si="96"/>
        <v>60</v>
      </c>
      <c r="DE43" s="109"/>
      <c r="DF43" s="252"/>
      <c r="DG43" s="178"/>
      <c r="DH43" s="184"/>
      <c r="DI43" s="130">
        <f t="shared" si="103"/>
        <v>60</v>
      </c>
      <c r="DJ43" s="109"/>
      <c r="DK43" s="252"/>
      <c r="DL43" s="178"/>
      <c r="DM43" s="184"/>
      <c r="DN43" s="130">
        <f t="shared" si="98"/>
        <v>60</v>
      </c>
      <c r="DO43" s="193"/>
      <c r="DP43" s="252"/>
      <c r="DQ43" s="178"/>
      <c r="DR43" s="184"/>
      <c r="DS43" s="130">
        <f t="shared" si="104"/>
        <v>60</v>
      </c>
      <c r="DT43" s="109"/>
      <c r="DU43" s="252"/>
      <c r="DV43" s="180">
        <f t="shared" si="15"/>
        <v>0</v>
      </c>
      <c r="DW43" s="181">
        <f>Автовик_разбивка[[#This Row],[Цена, 
юань, без НДС 1]]*DV43</f>
        <v>0</v>
      </c>
      <c r="DX43" s="186">
        <f t="shared" si="16"/>
        <v>0</v>
      </c>
      <c r="DY43" s="186">
        <f>Автовик_разбивка[[#This Row],[Цена, 
юань, без НДС 1]]*DX43</f>
        <v>0</v>
      </c>
      <c r="DZ43" s="130">
        <f t="shared" si="17"/>
        <v>670</v>
      </c>
      <c r="EA43" s="187">
        <f>Автовик_разбивка[[#This Row],[Цена, 
юань, без НДС 1]]*DZ43</f>
        <v>0</v>
      </c>
      <c r="EB43" s="109">
        <f t="shared" si="18"/>
        <v>0</v>
      </c>
      <c r="EC43" s="224">
        <f>Автовик_разбивка[[#This Row],[Цена, 
юань, без НДС 1]]*EB43</f>
        <v>0</v>
      </c>
    </row>
    <row r="44" spans="1:133">
      <c r="A44" s="221">
        <v>11</v>
      </c>
      <c r="B44" s="172" t="s">
        <v>314</v>
      </c>
      <c r="C44" s="173" t="s">
        <v>298</v>
      </c>
      <c r="D44" s="173" t="s">
        <v>316</v>
      </c>
      <c r="E44" s="174"/>
      <c r="F44" s="174"/>
      <c r="G44" s="174"/>
      <c r="H44" s="175">
        <v>4497230400</v>
      </c>
      <c r="I44" s="176" t="s">
        <v>148</v>
      </c>
      <c r="J44" s="222"/>
      <c r="K44" s="223"/>
      <c r="L44" s="178"/>
      <c r="M44" s="130">
        <v>0</v>
      </c>
      <c r="N44" s="179">
        <v>120</v>
      </c>
      <c r="O44" s="130"/>
      <c r="P44" s="178"/>
      <c r="Q44" s="130">
        <f t="shared" si="77"/>
        <v>0</v>
      </c>
      <c r="R44" s="179">
        <v>0</v>
      </c>
      <c r="S44" s="130"/>
      <c r="T44" s="178"/>
      <c r="U44" s="130">
        <f t="shared" si="78"/>
        <v>0</v>
      </c>
      <c r="V44" s="179">
        <v>0</v>
      </c>
      <c r="W44" s="130"/>
      <c r="X44" s="178"/>
      <c r="Y44" s="130">
        <f t="shared" si="79"/>
        <v>0</v>
      </c>
      <c r="Z44" s="179">
        <v>0</v>
      </c>
      <c r="AA44" s="130"/>
      <c r="AB44" s="178"/>
      <c r="AC44" s="130">
        <f t="shared" si="80"/>
        <v>0</v>
      </c>
      <c r="AD44" s="109"/>
      <c r="AE44" s="252"/>
      <c r="AF44" s="178"/>
      <c r="AG44" s="130">
        <f t="shared" si="81"/>
        <v>0</v>
      </c>
      <c r="AH44" s="109"/>
      <c r="AI44" s="252"/>
      <c r="AJ44" s="178"/>
      <c r="AK44" s="130">
        <f t="shared" si="82"/>
        <v>0</v>
      </c>
      <c r="AL44" s="109"/>
      <c r="AM44" s="252"/>
      <c r="AN44" s="178"/>
      <c r="AO44" s="130">
        <f t="shared" si="83"/>
        <v>0</v>
      </c>
      <c r="AP44" s="109"/>
      <c r="AQ44" s="252"/>
      <c r="AR44" s="178"/>
      <c r="AS44" s="130">
        <f t="shared" si="84"/>
        <v>0</v>
      </c>
      <c r="AT44" s="109"/>
      <c r="AU44" s="252"/>
      <c r="AV44" s="178"/>
      <c r="AW44" s="130">
        <v>200</v>
      </c>
      <c r="AX44" s="109"/>
      <c r="AY44" s="252"/>
      <c r="AZ44" s="178"/>
      <c r="BA44" s="130">
        <f t="shared" si="86"/>
        <v>0</v>
      </c>
      <c r="BB44" s="193"/>
      <c r="BC44" s="252"/>
      <c r="BD44" s="178"/>
      <c r="BE44" s="130">
        <f t="shared" si="87"/>
        <v>0</v>
      </c>
      <c r="BF44" s="109"/>
      <c r="BG44" s="252"/>
      <c r="BH44" s="180">
        <f t="shared" si="12"/>
        <v>0</v>
      </c>
      <c r="BI44" s="181">
        <f>Автовик_разбивка[[#This Row],[Цена, 
юань, без НДС 1]]*BH44</f>
        <v>0</v>
      </c>
      <c r="BJ44" s="130">
        <f t="shared" si="13"/>
        <v>200</v>
      </c>
      <c r="BK44" s="187">
        <f>Автовик_разбивка[[#This Row],[Цена, 
юань, без НДС 1]]*BJ44</f>
        <v>0</v>
      </c>
      <c r="BL44" s="109">
        <f t="shared" si="14"/>
        <v>120</v>
      </c>
      <c r="BM44" s="224">
        <f>Автовик_разбивка[[#This Row],[Цена, 
юань, без НДС 1]]*BL44</f>
        <v>0</v>
      </c>
      <c r="BN44" s="178"/>
      <c r="BO44" s="184"/>
      <c r="BP44" s="130">
        <f t="shared" si="88"/>
        <v>0</v>
      </c>
      <c r="BQ44" s="179"/>
      <c r="BR44" s="130"/>
      <c r="BS44" s="178"/>
      <c r="BT44" s="184"/>
      <c r="BU44" s="130">
        <f t="shared" si="89"/>
        <v>0</v>
      </c>
      <c r="BV44" s="179"/>
      <c r="BW44" s="130"/>
      <c r="BX44" s="178"/>
      <c r="BY44" s="184"/>
      <c r="BZ44" s="130">
        <f t="shared" si="90"/>
        <v>0</v>
      </c>
      <c r="CA44" s="179"/>
      <c r="CB44" s="130"/>
      <c r="CC44" s="178"/>
      <c r="CD44" s="184"/>
      <c r="CE44" s="130">
        <f t="shared" si="100"/>
        <v>0</v>
      </c>
      <c r="CF44" s="179"/>
      <c r="CG44" s="130"/>
      <c r="CH44" s="178"/>
      <c r="CI44" s="184"/>
      <c r="CJ44" s="130">
        <f t="shared" si="92"/>
        <v>0</v>
      </c>
      <c r="CK44" s="109"/>
      <c r="CL44" s="252"/>
      <c r="CM44" s="178"/>
      <c r="CN44" s="184"/>
      <c r="CO44" s="130">
        <f t="shared" si="101"/>
        <v>0</v>
      </c>
      <c r="CP44" s="109"/>
      <c r="CQ44" s="252"/>
      <c r="CR44" s="178"/>
      <c r="CS44" s="184"/>
      <c r="CT44" s="130">
        <f t="shared" si="94"/>
        <v>0</v>
      </c>
      <c r="CU44" s="109"/>
      <c r="CV44" s="252"/>
      <c r="CW44" s="178"/>
      <c r="CX44" s="184"/>
      <c r="CY44" s="130">
        <f t="shared" si="102"/>
        <v>0</v>
      </c>
      <c r="CZ44" s="109"/>
      <c r="DA44" s="252"/>
      <c r="DB44" s="178"/>
      <c r="DC44" s="184"/>
      <c r="DD44" s="130">
        <f t="shared" si="96"/>
        <v>0</v>
      </c>
      <c r="DE44" s="109"/>
      <c r="DF44" s="252"/>
      <c r="DG44" s="178"/>
      <c r="DH44" s="184"/>
      <c r="DI44" s="130">
        <f t="shared" si="103"/>
        <v>0</v>
      </c>
      <c r="DJ44" s="109"/>
      <c r="DK44" s="252"/>
      <c r="DL44" s="178"/>
      <c r="DM44" s="184"/>
      <c r="DN44" s="130">
        <f t="shared" si="98"/>
        <v>0</v>
      </c>
      <c r="DO44" s="193"/>
      <c r="DP44" s="252"/>
      <c r="DQ44" s="178"/>
      <c r="DR44" s="184"/>
      <c r="DS44" s="130">
        <f t="shared" si="104"/>
        <v>0</v>
      </c>
      <c r="DT44" s="109"/>
      <c r="DU44" s="252"/>
      <c r="DV44" s="180">
        <f t="shared" si="15"/>
        <v>0</v>
      </c>
      <c r="DW44" s="181">
        <f>Автовик_разбивка[[#This Row],[Цена, 
юань, без НДС 1]]*DV44</f>
        <v>0</v>
      </c>
      <c r="DX44" s="186">
        <f t="shared" si="16"/>
        <v>0</v>
      </c>
      <c r="DY44" s="186">
        <f>Автовик_разбивка[[#This Row],[Цена, 
юань, без НДС 1]]*DX44</f>
        <v>0</v>
      </c>
      <c r="DZ44" s="130">
        <f t="shared" si="17"/>
        <v>0</v>
      </c>
      <c r="EA44" s="187">
        <f>Автовик_разбивка[[#This Row],[Цена, 
юань, без НДС 1]]*DZ44</f>
        <v>0</v>
      </c>
      <c r="EB44" s="109">
        <f t="shared" si="18"/>
        <v>0</v>
      </c>
      <c r="EC44" s="224">
        <f>Автовик_разбивка[[#This Row],[Цена, 
юань, без НДС 1]]*EB44</f>
        <v>0</v>
      </c>
    </row>
    <row r="45" spans="1:133">
      <c r="A45" s="221">
        <v>11</v>
      </c>
      <c r="B45" s="172" t="s">
        <v>314</v>
      </c>
      <c r="C45" s="173" t="s">
        <v>298</v>
      </c>
      <c r="D45" s="173" t="s">
        <v>316</v>
      </c>
      <c r="E45" s="174">
        <v>4</v>
      </c>
      <c r="F45" s="174"/>
      <c r="G45" s="174"/>
      <c r="H45" s="175">
        <v>4497230500</v>
      </c>
      <c r="I45" s="176" t="s">
        <v>78</v>
      </c>
      <c r="J45" s="222"/>
      <c r="K45" s="223"/>
      <c r="L45" s="178">
        <v>240</v>
      </c>
      <c r="M45" s="130">
        <f t="shared" si="76"/>
        <v>240</v>
      </c>
      <c r="N45" s="179">
        <v>0</v>
      </c>
      <c r="O45" s="130"/>
      <c r="P45" s="178">
        <v>240</v>
      </c>
      <c r="Q45" s="130">
        <f t="shared" si="77"/>
        <v>240</v>
      </c>
      <c r="R45" s="179">
        <v>100</v>
      </c>
      <c r="S45" s="130"/>
      <c r="T45" s="178">
        <v>240</v>
      </c>
      <c r="U45" s="130">
        <f t="shared" si="78"/>
        <v>240</v>
      </c>
      <c r="V45" s="179">
        <v>120</v>
      </c>
      <c r="W45" s="130"/>
      <c r="X45" s="178">
        <v>240</v>
      </c>
      <c r="Y45" s="130">
        <f t="shared" si="79"/>
        <v>240</v>
      </c>
      <c r="Z45" s="179">
        <f>100+200</f>
        <v>300</v>
      </c>
      <c r="AA45" s="130"/>
      <c r="AB45" s="178">
        <v>240</v>
      </c>
      <c r="AC45" s="130">
        <f t="shared" si="80"/>
        <v>240</v>
      </c>
      <c r="AD45" s="109"/>
      <c r="AE45" s="252"/>
      <c r="AF45" s="178">
        <v>240</v>
      </c>
      <c r="AG45" s="130">
        <f t="shared" si="81"/>
        <v>240</v>
      </c>
      <c r="AH45" s="109"/>
      <c r="AI45" s="252"/>
      <c r="AJ45" s="178">
        <v>240</v>
      </c>
      <c r="AK45" s="130">
        <f t="shared" si="82"/>
        <v>240</v>
      </c>
      <c r="AL45" s="109"/>
      <c r="AM45" s="252"/>
      <c r="AN45" s="178">
        <v>240</v>
      </c>
      <c r="AO45" s="130">
        <f t="shared" si="83"/>
        <v>200</v>
      </c>
      <c r="AP45" s="109"/>
      <c r="AQ45" s="252"/>
      <c r="AR45" s="178">
        <v>240</v>
      </c>
      <c r="AS45" s="130">
        <f t="shared" si="84"/>
        <v>200</v>
      </c>
      <c r="AT45" s="109"/>
      <c r="AU45" s="252"/>
      <c r="AV45" s="178">
        <v>240</v>
      </c>
      <c r="AW45" s="130">
        <v>0</v>
      </c>
      <c r="AX45" s="109"/>
      <c r="AY45" s="252"/>
      <c r="AZ45" s="178">
        <v>240</v>
      </c>
      <c r="BA45" s="130">
        <f t="shared" si="86"/>
        <v>240</v>
      </c>
      <c r="BB45" s="193"/>
      <c r="BC45" s="252"/>
      <c r="BD45" s="178">
        <v>240</v>
      </c>
      <c r="BE45" s="130">
        <f t="shared" si="87"/>
        <v>200</v>
      </c>
      <c r="BF45" s="109"/>
      <c r="BG45" s="252"/>
      <c r="BH45" s="180">
        <f t="shared" si="12"/>
        <v>2880</v>
      </c>
      <c r="BI45" s="181">
        <f>Автовик_разбивка[[#This Row],[Цена, 
юань, без НДС 1]]*BH45</f>
        <v>0</v>
      </c>
      <c r="BJ45" s="130">
        <f t="shared" si="13"/>
        <v>2520</v>
      </c>
      <c r="BK45" s="187">
        <f>Автовик_разбивка[[#This Row],[Цена, 
юань, без НДС 1]]*BJ45</f>
        <v>0</v>
      </c>
      <c r="BL45" s="109">
        <f t="shared" si="14"/>
        <v>520</v>
      </c>
      <c r="BM45" s="224">
        <f>Автовик_разбивка[[#This Row],[Цена, 
юань, без НДС 1]]*BL45</f>
        <v>0</v>
      </c>
      <c r="BN45" s="178"/>
      <c r="BO45" s="184"/>
      <c r="BP45" s="130">
        <f t="shared" si="88"/>
        <v>160</v>
      </c>
      <c r="BQ45" s="179"/>
      <c r="BR45" s="130"/>
      <c r="BS45" s="178"/>
      <c r="BT45" s="184"/>
      <c r="BU45" s="130">
        <f t="shared" si="89"/>
        <v>160</v>
      </c>
      <c r="BV45" s="179"/>
      <c r="BW45" s="130"/>
      <c r="BX45" s="178"/>
      <c r="BY45" s="184"/>
      <c r="BZ45" s="130">
        <f t="shared" si="90"/>
        <v>200</v>
      </c>
      <c r="CA45" s="179"/>
      <c r="CB45" s="130"/>
      <c r="CC45" s="178"/>
      <c r="CD45" s="184"/>
      <c r="CE45" s="130">
        <f t="shared" si="100"/>
        <v>240</v>
      </c>
      <c r="CF45" s="179"/>
      <c r="CG45" s="130"/>
      <c r="CH45" s="178"/>
      <c r="CI45" s="184"/>
      <c r="CJ45" s="130">
        <f t="shared" si="92"/>
        <v>240</v>
      </c>
      <c r="CK45" s="109"/>
      <c r="CL45" s="252"/>
      <c r="CM45" s="178"/>
      <c r="CN45" s="184"/>
      <c r="CO45" s="130">
        <f t="shared" si="101"/>
        <v>240</v>
      </c>
      <c r="CP45" s="109"/>
      <c r="CQ45" s="252"/>
      <c r="CR45" s="178"/>
      <c r="CS45" s="184"/>
      <c r="CT45" s="130">
        <f t="shared" si="94"/>
        <v>240</v>
      </c>
      <c r="CU45" s="109"/>
      <c r="CV45" s="252"/>
      <c r="CW45" s="178"/>
      <c r="CX45" s="184"/>
      <c r="CY45" s="130">
        <f t="shared" si="102"/>
        <v>240</v>
      </c>
      <c r="CZ45" s="109"/>
      <c r="DA45" s="252"/>
      <c r="DB45" s="178"/>
      <c r="DC45" s="184"/>
      <c r="DD45" s="130">
        <f t="shared" si="96"/>
        <v>240</v>
      </c>
      <c r="DE45" s="109"/>
      <c r="DF45" s="252"/>
      <c r="DG45" s="178"/>
      <c r="DH45" s="184"/>
      <c r="DI45" s="130">
        <f t="shared" si="103"/>
        <v>240</v>
      </c>
      <c r="DJ45" s="109"/>
      <c r="DK45" s="252"/>
      <c r="DL45" s="178"/>
      <c r="DM45" s="184"/>
      <c r="DN45" s="130">
        <f t="shared" si="98"/>
        <v>240</v>
      </c>
      <c r="DO45" s="193"/>
      <c r="DP45" s="252"/>
      <c r="DQ45" s="178"/>
      <c r="DR45" s="184"/>
      <c r="DS45" s="130">
        <f t="shared" si="104"/>
        <v>240</v>
      </c>
      <c r="DT45" s="109"/>
      <c r="DU45" s="252"/>
      <c r="DV45" s="180">
        <f t="shared" si="15"/>
        <v>0</v>
      </c>
      <c r="DW45" s="181">
        <f>Автовик_разбивка[[#This Row],[Цена, 
юань, без НДС 1]]*DV45</f>
        <v>0</v>
      </c>
      <c r="DX45" s="186">
        <f t="shared" si="16"/>
        <v>0</v>
      </c>
      <c r="DY45" s="186">
        <f>Автовик_разбивка[[#This Row],[Цена, 
юань, без НДС 1]]*DX45</f>
        <v>0</v>
      </c>
      <c r="DZ45" s="130">
        <f t="shared" si="17"/>
        <v>2680</v>
      </c>
      <c r="EA45" s="187">
        <f>Автовик_разбивка[[#This Row],[Цена, 
юань, без НДС 1]]*DZ45</f>
        <v>0</v>
      </c>
      <c r="EB45" s="109">
        <f t="shared" si="18"/>
        <v>0</v>
      </c>
      <c r="EC45" s="224">
        <f>Автовик_разбивка[[#This Row],[Цена, 
юань, без НДС 1]]*EB45</f>
        <v>0</v>
      </c>
    </row>
    <row r="46" spans="1:133">
      <c r="A46" s="221">
        <v>11</v>
      </c>
      <c r="B46" s="172" t="s">
        <v>314</v>
      </c>
      <c r="C46" s="173" t="s">
        <v>298</v>
      </c>
      <c r="D46" s="173" t="s">
        <v>316</v>
      </c>
      <c r="E46" s="174">
        <v>1</v>
      </c>
      <c r="F46" s="174"/>
      <c r="G46" s="174"/>
      <c r="H46" s="175">
        <v>4630320200</v>
      </c>
      <c r="I46" s="176" t="s">
        <v>80</v>
      </c>
      <c r="J46" s="222"/>
      <c r="K46" s="227"/>
      <c r="L46" s="178">
        <v>60</v>
      </c>
      <c r="M46" s="130">
        <f t="shared" si="76"/>
        <v>60</v>
      </c>
      <c r="N46" s="179">
        <v>60</v>
      </c>
      <c r="O46" s="130"/>
      <c r="P46" s="178">
        <v>60</v>
      </c>
      <c r="Q46" s="130">
        <f t="shared" si="77"/>
        <v>60</v>
      </c>
      <c r="R46" s="179">
        <v>50</v>
      </c>
      <c r="S46" s="130"/>
      <c r="T46" s="178">
        <v>60</v>
      </c>
      <c r="U46" s="130">
        <f t="shared" si="78"/>
        <v>60</v>
      </c>
      <c r="V46" s="179">
        <v>60</v>
      </c>
      <c r="W46" s="130"/>
      <c r="X46" s="178">
        <v>60</v>
      </c>
      <c r="Y46" s="130">
        <f t="shared" si="79"/>
        <v>60</v>
      </c>
      <c r="Z46" s="179">
        <v>50</v>
      </c>
      <c r="AA46" s="130"/>
      <c r="AB46" s="178">
        <v>60</v>
      </c>
      <c r="AC46" s="130">
        <f t="shared" si="80"/>
        <v>60</v>
      </c>
      <c r="AD46" s="109"/>
      <c r="AE46" s="252"/>
      <c r="AF46" s="178">
        <v>60</v>
      </c>
      <c r="AG46" s="130">
        <f t="shared" si="81"/>
        <v>60</v>
      </c>
      <c r="AH46" s="109"/>
      <c r="AI46" s="252"/>
      <c r="AJ46" s="178">
        <v>60</v>
      </c>
      <c r="AK46" s="130">
        <f t="shared" si="82"/>
        <v>60</v>
      </c>
      <c r="AL46" s="109"/>
      <c r="AM46" s="252"/>
      <c r="AN46" s="178">
        <v>60</v>
      </c>
      <c r="AO46" s="130">
        <f t="shared" si="83"/>
        <v>50</v>
      </c>
      <c r="AP46" s="109"/>
      <c r="AQ46" s="252"/>
      <c r="AR46" s="178">
        <v>60</v>
      </c>
      <c r="AS46" s="130">
        <f t="shared" si="84"/>
        <v>50</v>
      </c>
      <c r="AT46" s="109"/>
      <c r="AU46" s="252"/>
      <c r="AV46" s="178">
        <v>60</v>
      </c>
      <c r="AW46" s="130"/>
      <c r="AX46" s="109"/>
      <c r="AY46" s="252"/>
      <c r="AZ46" s="178">
        <v>60</v>
      </c>
      <c r="BA46" s="130">
        <v>10</v>
      </c>
      <c r="BB46" s="194"/>
      <c r="BC46" s="252"/>
      <c r="BD46" s="178">
        <v>60</v>
      </c>
      <c r="BE46" s="130">
        <f t="shared" si="87"/>
        <v>50</v>
      </c>
      <c r="BF46" s="109"/>
      <c r="BG46" s="252"/>
      <c r="BH46" s="180">
        <f t="shared" si="12"/>
        <v>720</v>
      </c>
      <c r="BI46" s="181">
        <f>Автовик_разбивка[[#This Row],[Цена, 
юань, без НДС 1]]*BH46</f>
        <v>0</v>
      </c>
      <c r="BJ46" s="130">
        <f t="shared" si="13"/>
        <v>580</v>
      </c>
      <c r="BK46" s="187">
        <f>Автовик_разбивка[[#This Row],[Цена, 
юань, без НДС 1]]*BJ46</f>
        <v>0</v>
      </c>
      <c r="BL46" s="109">
        <f t="shared" si="14"/>
        <v>220</v>
      </c>
      <c r="BM46" s="224">
        <f>Автовик_разбивка[[#This Row],[Цена, 
юань, без НДС 1]]*BL46</f>
        <v>0</v>
      </c>
      <c r="BN46" s="178"/>
      <c r="BO46" s="184"/>
      <c r="BP46" s="130">
        <f t="shared" si="88"/>
        <v>40</v>
      </c>
      <c r="BQ46" s="179"/>
      <c r="BR46" s="130"/>
      <c r="BS46" s="178"/>
      <c r="BT46" s="184"/>
      <c r="BU46" s="130">
        <f t="shared" si="89"/>
        <v>40</v>
      </c>
      <c r="BV46" s="179"/>
      <c r="BW46" s="130"/>
      <c r="BX46" s="178"/>
      <c r="BY46" s="184"/>
      <c r="BZ46" s="130">
        <f t="shared" si="90"/>
        <v>50</v>
      </c>
      <c r="CA46" s="179"/>
      <c r="CB46" s="130"/>
      <c r="CC46" s="178"/>
      <c r="CD46" s="184"/>
      <c r="CE46" s="130">
        <f t="shared" si="100"/>
        <v>60</v>
      </c>
      <c r="CF46" s="179"/>
      <c r="CG46" s="130"/>
      <c r="CH46" s="178"/>
      <c r="CI46" s="184"/>
      <c r="CJ46" s="130">
        <f t="shared" si="92"/>
        <v>60</v>
      </c>
      <c r="CK46" s="109"/>
      <c r="CL46" s="252"/>
      <c r="CM46" s="178"/>
      <c r="CN46" s="184"/>
      <c r="CO46" s="130">
        <f t="shared" si="101"/>
        <v>60</v>
      </c>
      <c r="CP46" s="109"/>
      <c r="CQ46" s="252"/>
      <c r="CR46" s="178"/>
      <c r="CS46" s="184"/>
      <c r="CT46" s="130">
        <f t="shared" si="94"/>
        <v>60</v>
      </c>
      <c r="CU46" s="109"/>
      <c r="CV46" s="252"/>
      <c r="CW46" s="178"/>
      <c r="CX46" s="184"/>
      <c r="CY46" s="130">
        <f t="shared" si="102"/>
        <v>60</v>
      </c>
      <c r="CZ46" s="109"/>
      <c r="DA46" s="252"/>
      <c r="DB46" s="178"/>
      <c r="DC46" s="184"/>
      <c r="DD46" s="130">
        <f t="shared" si="96"/>
        <v>60</v>
      </c>
      <c r="DE46" s="109"/>
      <c r="DF46" s="252"/>
      <c r="DG46" s="178"/>
      <c r="DH46" s="184"/>
      <c r="DI46" s="130">
        <f t="shared" si="103"/>
        <v>60</v>
      </c>
      <c r="DJ46" s="109"/>
      <c r="DK46" s="252"/>
      <c r="DL46" s="178"/>
      <c r="DM46" s="184"/>
      <c r="DN46" s="130">
        <f t="shared" si="98"/>
        <v>60</v>
      </c>
      <c r="DO46" s="194"/>
      <c r="DP46" s="252"/>
      <c r="DQ46" s="178"/>
      <c r="DR46" s="184"/>
      <c r="DS46" s="130">
        <f t="shared" si="104"/>
        <v>60</v>
      </c>
      <c r="DT46" s="109"/>
      <c r="DU46" s="252"/>
      <c r="DV46" s="180">
        <f t="shared" si="15"/>
        <v>0</v>
      </c>
      <c r="DW46" s="181">
        <f>Автовик_разбивка[[#This Row],[Цена, 
юань, без НДС 1]]*DV46</f>
        <v>0</v>
      </c>
      <c r="DX46" s="186">
        <f t="shared" si="16"/>
        <v>0</v>
      </c>
      <c r="DY46" s="186">
        <f>Автовик_разбивка[[#This Row],[Цена, 
юань, без НДС 1]]*DX46</f>
        <v>0</v>
      </c>
      <c r="DZ46" s="130">
        <f t="shared" si="17"/>
        <v>670</v>
      </c>
      <c r="EA46" s="187">
        <f>Автовик_разбивка[[#This Row],[Цена, 
юань, без НДС 1]]*DZ46</f>
        <v>0</v>
      </c>
      <c r="EB46" s="109">
        <f t="shared" si="18"/>
        <v>0</v>
      </c>
      <c r="EC46" s="224">
        <f>Автовик_разбивка[[#This Row],[Цена, 
юань, без НДС 1]]*EB46</f>
        <v>0</v>
      </c>
    </row>
    <row r="47" spans="1:133">
      <c r="A47" s="221">
        <v>11</v>
      </c>
      <c r="B47" s="172" t="s">
        <v>314</v>
      </c>
      <c r="C47" s="173" t="s">
        <v>298</v>
      </c>
      <c r="D47" s="173" t="s">
        <v>316</v>
      </c>
      <c r="E47" s="174"/>
      <c r="F47" s="174"/>
      <c r="G47" s="174"/>
      <c r="H47" s="175" t="s">
        <v>149</v>
      </c>
      <c r="I47" s="176" t="s">
        <v>80</v>
      </c>
      <c r="J47" s="222"/>
      <c r="K47" s="227"/>
      <c r="L47" s="178"/>
      <c r="M47" s="130"/>
      <c r="N47" s="179"/>
      <c r="O47" s="130"/>
      <c r="P47" s="178"/>
      <c r="Q47" s="130"/>
      <c r="R47" s="179"/>
      <c r="S47" s="130"/>
      <c r="T47" s="178"/>
      <c r="U47" s="130"/>
      <c r="V47" s="179"/>
      <c r="W47" s="130"/>
      <c r="X47" s="178"/>
      <c r="Y47" s="130"/>
      <c r="Z47" s="179"/>
      <c r="AA47" s="130"/>
      <c r="AB47" s="178"/>
      <c r="AC47" s="130"/>
      <c r="AD47" s="109"/>
      <c r="AE47" s="252"/>
      <c r="AF47" s="178"/>
      <c r="AG47" s="130"/>
      <c r="AH47" s="109"/>
      <c r="AI47" s="252"/>
      <c r="AJ47" s="178"/>
      <c r="AK47" s="130"/>
      <c r="AL47" s="109"/>
      <c r="AM47" s="252"/>
      <c r="AN47" s="178"/>
      <c r="AO47" s="130"/>
      <c r="AP47" s="109"/>
      <c r="AQ47" s="252"/>
      <c r="AR47" s="178"/>
      <c r="AS47" s="130"/>
      <c r="AT47" s="109"/>
      <c r="AU47" s="252"/>
      <c r="AV47" s="178"/>
      <c r="AW47" s="130">
        <v>50</v>
      </c>
      <c r="AX47" s="109"/>
      <c r="AY47" s="252"/>
      <c r="AZ47" s="178"/>
      <c r="BA47" s="130">
        <v>50</v>
      </c>
      <c r="BB47" s="194"/>
      <c r="BC47" s="252"/>
      <c r="BD47" s="178"/>
      <c r="BE47" s="130">
        <f t="shared" si="87"/>
        <v>0</v>
      </c>
      <c r="BF47" s="109"/>
      <c r="BG47" s="252"/>
      <c r="BH47" s="180">
        <f t="shared" si="12"/>
        <v>0</v>
      </c>
      <c r="BI47" s="181">
        <f>Автовик_разбивка[[#This Row],[Цена, 
юань, без НДС 1]]*BH47</f>
        <v>0</v>
      </c>
      <c r="BJ47" s="130">
        <f t="shared" si="13"/>
        <v>100</v>
      </c>
      <c r="BK47" s="187">
        <f>Автовик_разбивка[[#This Row],[Цена, 
юань, без НДС 1]]*BJ47</f>
        <v>0</v>
      </c>
      <c r="BL47" s="109">
        <f t="shared" si="14"/>
        <v>0</v>
      </c>
      <c r="BM47" s="224">
        <f>Автовик_разбивка[[#This Row],[Цена, 
юань, без НДС 1]]*BL47</f>
        <v>0</v>
      </c>
      <c r="BN47" s="178"/>
      <c r="BO47" s="184"/>
      <c r="BP47" s="130">
        <f t="shared" si="88"/>
        <v>0</v>
      </c>
      <c r="BQ47" s="179"/>
      <c r="BR47" s="130"/>
      <c r="BS47" s="178"/>
      <c r="BT47" s="184"/>
      <c r="BU47" s="130">
        <f t="shared" si="89"/>
        <v>0</v>
      </c>
      <c r="BV47" s="179"/>
      <c r="BW47" s="130"/>
      <c r="BX47" s="178"/>
      <c r="BY47" s="184"/>
      <c r="BZ47" s="130">
        <f t="shared" si="90"/>
        <v>0</v>
      </c>
      <c r="CA47" s="179"/>
      <c r="CB47" s="130"/>
      <c r="CC47" s="178"/>
      <c r="CD47" s="184"/>
      <c r="CE47" s="130"/>
      <c r="CF47" s="179"/>
      <c r="CG47" s="130"/>
      <c r="CH47" s="178"/>
      <c r="CI47" s="184"/>
      <c r="CJ47" s="130"/>
      <c r="CK47" s="109"/>
      <c r="CL47" s="252"/>
      <c r="CM47" s="178"/>
      <c r="CN47" s="184"/>
      <c r="CO47" s="130"/>
      <c r="CP47" s="109"/>
      <c r="CQ47" s="252"/>
      <c r="CR47" s="178"/>
      <c r="CS47" s="184"/>
      <c r="CT47" s="130"/>
      <c r="CU47" s="109"/>
      <c r="CV47" s="252"/>
      <c r="CW47" s="178"/>
      <c r="CX47" s="184"/>
      <c r="CY47" s="130"/>
      <c r="CZ47" s="109"/>
      <c r="DA47" s="252"/>
      <c r="DB47" s="178"/>
      <c r="DC47" s="184"/>
      <c r="DD47" s="130"/>
      <c r="DE47" s="109"/>
      <c r="DF47" s="252"/>
      <c r="DG47" s="178"/>
      <c r="DH47" s="184"/>
      <c r="DI47" s="130"/>
      <c r="DJ47" s="109"/>
      <c r="DK47" s="252"/>
      <c r="DL47" s="178"/>
      <c r="DM47" s="184"/>
      <c r="DN47" s="130"/>
      <c r="DO47" s="194"/>
      <c r="DP47" s="252"/>
      <c r="DQ47" s="178"/>
      <c r="DR47" s="184"/>
      <c r="DS47" s="130"/>
      <c r="DT47" s="109"/>
      <c r="DU47" s="252"/>
      <c r="DV47" s="180">
        <f t="shared" si="15"/>
        <v>0</v>
      </c>
      <c r="DW47" s="181">
        <f>Автовик_разбивка[[#This Row],[Цена, 
юань, без НДС 1]]*DV47</f>
        <v>0</v>
      </c>
      <c r="DX47" s="186">
        <f t="shared" si="16"/>
        <v>0</v>
      </c>
      <c r="DY47" s="186">
        <f>Автовик_разбивка[[#This Row],[Цена, 
юань, без НДС 1]]*DX47</f>
        <v>0</v>
      </c>
      <c r="DZ47" s="130">
        <f t="shared" si="17"/>
        <v>0</v>
      </c>
      <c r="EA47" s="187">
        <f>Автовик_разбивка[[#This Row],[Цена, 
юань, без НДС 1]]*DZ47</f>
        <v>0</v>
      </c>
      <c r="EB47" s="109">
        <f t="shared" si="18"/>
        <v>0</v>
      </c>
      <c r="EC47" s="224">
        <f>Автовик_разбивка[[#This Row],[Цена, 
юань, без НДС 1]]*EB47</f>
        <v>0</v>
      </c>
    </row>
    <row r="48" spans="1:133">
      <c r="A48" s="221">
        <v>11</v>
      </c>
      <c r="B48" s="172" t="s">
        <v>314</v>
      </c>
      <c r="C48" s="173" t="s">
        <v>298</v>
      </c>
      <c r="D48" s="173" t="s">
        <v>316</v>
      </c>
      <c r="E48" s="174">
        <v>1</v>
      </c>
      <c r="F48" s="174"/>
      <c r="G48" s="174"/>
      <c r="H48" s="175">
        <v>4640061000</v>
      </c>
      <c r="I48" s="176" t="s">
        <v>79</v>
      </c>
      <c r="J48" s="222"/>
      <c r="K48" s="223"/>
      <c r="L48" s="178">
        <v>60</v>
      </c>
      <c r="M48" s="130">
        <f t="shared" si="76"/>
        <v>60</v>
      </c>
      <c r="N48" s="179">
        <v>60</v>
      </c>
      <c r="O48" s="130"/>
      <c r="P48" s="178">
        <v>60</v>
      </c>
      <c r="Q48" s="130">
        <f t="shared" si="77"/>
        <v>60</v>
      </c>
      <c r="R48" s="179">
        <v>50</v>
      </c>
      <c r="S48" s="130"/>
      <c r="T48" s="178">
        <v>60</v>
      </c>
      <c r="U48" s="130">
        <f t="shared" si="78"/>
        <v>60</v>
      </c>
      <c r="V48" s="179">
        <v>60</v>
      </c>
      <c r="W48" s="130"/>
      <c r="X48" s="178">
        <v>60</v>
      </c>
      <c r="Y48" s="130">
        <f t="shared" si="79"/>
        <v>60</v>
      </c>
      <c r="Z48" s="179">
        <v>50</v>
      </c>
      <c r="AA48" s="130"/>
      <c r="AB48" s="178">
        <v>60</v>
      </c>
      <c r="AC48" s="130">
        <f t="shared" si="80"/>
        <v>60</v>
      </c>
      <c r="AD48" s="109"/>
      <c r="AE48" s="252"/>
      <c r="AF48" s="178">
        <v>60</v>
      </c>
      <c r="AG48" s="130">
        <f t="shared" si="81"/>
        <v>60</v>
      </c>
      <c r="AH48" s="109"/>
      <c r="AI48" s="252"/>
      <c r="AJ48" s="178">
        <v>60</v>
      </c>
      <c r="AK48" s="130">
        <f t="shared" si="82"/>
        <v>60</v>
      </c>
      <c r="AL48" s="109"/>
      <c r="AM48" s="252"/>
      <c r="AN48" s="178">
        <v>60</v>
      </c>
      <c r="AO48" s="130">
        <f t="shared" si="83"/>
        <v>50</v>
      </c>
      <c r="AP48" s="109"/>
      <c r="AQ48" s="252"/>
      <c r="AR48" s="178">
        <v>60</v>
      </c>
      <c r="AS48" s="130">
        <f t="shared" si="84"/>
        <v>50</v>
      </c>
      <c r="AT48" s="109"/>
      <c r="AU48" s="252"/>
      <c r="AV48" s="178">
        <v>60</v>
      </c>
      <c r="AW48" s="130">
        <f t="shared" si="85"/>
        <v>50</v>
      </c>
      <c r="AX48" s="109"/>
      <c r="AY48" s="252"/>
      <c r="AZ48" s="178">
        <v>60</v>
      </c>
      <c r="BA48" s="130">
        <f t="shared" si="86"/>
        <v>60</v>
      </c>
      <c r="BB48" s="179"/>
      <c r="BC48" s="252"/>
      <c r="BD48" s="178">
        <v>60</v>
      </c>
      <c r="BE48" s="130">
        <f t="shared" si="87"/>
        <v>50</v>
      </c>
      <c r="BF48" s="109"/>
      <c r="BG48" s="252"/>
      <c r="BH48" s="180">
        <f t="shared" si="12"/>
        <v>720</v>
      </c>
      <c r="BI48" s="181">
        <f>Автовик_разбивка[[#This Row],[Цена, 
юань, без НДС 1]]*BH48</f>
        <v>0</v>
      </c>
      <c r="BJ48" s="130">
        <f t="shared" si="13"/>
        <v>680</v>
      </c>
      <c r="BK48" s="187">
        <f>Автовик_разбивка[[#This Row],[Цена, 
юань, без НДС 1]]*BJ48</f>
        <v>0</v>
      </c>
      <c r="BL48" s="109">
        <f t="shared" si="14"/>
        <v>220</v>
      </c>
      <c r="BM48" s="224">
        <f>Автовик_разбивка[[#This Row],[Цена, 
юань, без НДС 1]]*BL48</f>
        <v>0</v>
      </c>
      <c r="BN48" s="178"/>
      <c r="BO48" s="184"/>
      <c r="BP48" s="130">
        <f t="shared" si="88"/>
        <v>40</v>
      </c>
      <c r="BQ48" s="179"/>
      <c r="BR48" s="130"/>
      <c r="BS48" s="178"/>
      <c r="BT48" s="184"/>
      <c r="BU48" s="130">
        <f t="shared" si="89"/>
        <v>40</v>
      </c>
      <c r="BV48" s="179"/>
      <c r="BW48" s="130"/>
      <c r="BX48" s="178"/>
      <c r="BY48" s="184"/>
      <c r="BZ48" s="130">
        <f t="shared" si="90"/>
        <v>50</v>
      </c>
      <c r="CA48" s="179"/>
      <c r="CB48" s="130"/>
      <c r="CC48" s="178"/>
      <c r="CD48" s="184"/>
      <c r="CE48" s="130">
        <f t="shared" si="100"/>
        <v>60</v>
      </c>
      <c r="CF48" s="179"/>
      <c r="CG48" s="130"/>
      <c r="CH48" s="178"/>
      <c r="CI48" s="184"/>
      <c r="CJ48" s="130">
        <f t="shared" si="92"/>
        <v>60</v>
      </c>
      <c r="CK48" s="109"/>
      <c r="CL48" s="252"/>
      <c r="CM48" s="178"/>
      <c r="CN48" s="184"/>
      <c r="CO48" s="130">
        <f t="shared" si="101"/>
        <v>60</v>
      </c>
      <c r="CP48" s="109"/>
      <c r="CQ48" s="252"/>
      <c r="CR48" s="178"/>
      <c r="CS48" s="184"/>
      <c r="CT48" s="130">
        <f t="shared" si="94"/>
        <v>60</v>
      </c>
      <c r="CU48" s="109"/>
      <c r="CV48" s="252"/>
      <c r="CW48" s="178"/>
      <c r="CX48" s="184"/>
      <c r="CY48" s="130">
        <f t="shared" si="102"/>
        <v>60</v>
      </c>
      <c r="CZ48" s="109"/>
      <c r="DA48" s="252"/>
      <c r="DB48" s="178"/>
      <c r="DC48" s="184"/>
      <c r="DD48" s="130">
        <f t="shared" si="96"/>
        <v>60</v>
      </c>
      <c r="DE48" s="109"/>
      <c r="DF48" s="252"/>
      <c r="DG48" s="178"/>
      <c r="DH48" s="184"/>
      <c r="DI48" s="130">
        <f t="shared" si="103"/>
        <v>60</v>
      </c>
      <c r="DJ48" s="109"/>
      <c r="DK48" s="252"/>
      <c r="DL48" s="178"/>
      <c r="DM48" s="184"/>
      <c r="DN48" s="130">
        <f t="shared" si="98"/>
        <v>60</v>
      </c>
      <c r="DO48" s="179"/>
      <c r="DP48" s="252"/>
      <c r="DQ48" s="178"/>
      <c r="DR48" s="184"/>
      <c r="DS48" s="130">
        <f t="shared" si="104"/>
        <v>60</v>
      </c>
      <c r="DT48" s="109"/>
      <c r="DU48" s="252"/>
      <c r="DV48" s="180">
        <f t="shared" si="15"/>
        <v>0</v>
      </c>
      <c r="DW48" s="181">
        <f>Автовик_разбивка[[#This Row],[Цена, 
юань, без НДС 1]]*DV48</f>
        <v>0</v>
      </c>
      <c r="DX48" s="186">
        <f t="shared" si="16"/>
        <v>0</v>
      </c>
      <c r="DY48" s="186">
        <f>Автовик_разбивка[[#This Row],[Цена, 
юань, без НДС 1]]*DX48</f>
        <v>0</v>
      </c>
      <c r="DZ48" s="130">
        <f t="shared" si="17"/>
        <v>670</v>
      </c>
      <c r="EA48" s="187">
        <f>Автовик_разбивка[[#This Row],[Цена, 
юань, без НДС 1]]*DZ48</f>
        <v>0</v>
      </c>
      <c r="EB48" s="109">
        <f t="shared" si="18"/>
        <v>0</v>
      </c>
      <c r="EC48" s="224">
        <f>Автовик_разбивка[[#This Row],[Цена, 
юань, без НДС 1]]*EB48</f>
        <v>0</v>
      </c>
    </row>
    <row r="49" spans="1:133">
      <c r="A49" s="221">
        <v>11</v>
      </c>
      <c r="B49" s="172" t="s">
        <v>314</v>
      </c>
      <c r="C49" s="173" t="s">
        <v>298</v>
      </c>
      <c r="D49" s="173" t="s">
        <v>316</v>
      </c>
      <c r="E49" s="174">
        <v>1</v>
      </c>
      <c r="F49" s="174"/>
      <c r="G49" s="174"/>
      <c r="H49" s="175">
        <v>4801020640</v>
      </c>
      <c r="I49" s="176" t="s">
        <v>76</v>
      </c>
      <c r="J49" s="222"/>
      <c r="K49" s="227"/>
      <c r="L49" s="178">
        <v>60</v>
      </c>
      <c r="M49" s="130">
        <f t="shared" si="76"/>
        <v>60</v>
      </c>
      <c r="N49" s="179">
        <v>30</v>
      </c>
      <c r="O49" s="130"/>
      <c r="P49" s="178">
        <v>60</v>
      </c>
      <c r="Q49" s="130">
        <f t="shared" si="77"/>
        <v>60</v>
      </c>
      <c r="R49" s="179">
        <v>50</v>
      </c>
      <c r="S49" s="130"/>
      <c r="T49" s="178">
        <v>60</v>
      </c>
      <c r="U49" s="130">
        <f t="shared" si="78"/>
        <v>60</v>
      </c>
      <c r="V49" s="179">
        <v>0</v>
      </c>
      <c r="W49" s="130"/>
      <c r="X49" s="178">
        <v>60</v>
      </c>
      <c r="Y49" s="130">
        <f t="shared" si="79"/>
        <v>60</v>
      </c>
      <c r="Z49" s="179">
        <v>50</v>
      </c>
      <c r="AA49" s="130"/>
      <c r="AB49" s="178">
        <v>60</v>
      </c>
      <c r="AC49" s="130">
        <f t="shared" si="80"/>
        <v>60</v>
      </c>
      <c r="AD49" s="109"/>
      <c r="AE49" s="252"/>
      <c r="AF49" s="178">
        <v>60</v>
      </c>
      <c r="AG49" s="130">
        <f t="shared" si="81"/>
        <v>60</v>
      </c>
      <c r="AH49" s="109"/>
      <c r="AI49" s="252"/>
      <c r="AJ49" s="178">
        <v>60</v>
      </c>
      <c r="AK49" s="130">
        <f t="shared" si="82"/>
        <v>60</v>
      </c>
      <c r="AL49" s="109"/>
      <c r="AM49" s="252"/>
      <c r="AN49" s="178">
        <v>60</v>
      </c>
      <c r="AO49" s="130">
        <f t="shared" si="83"/>
        <v>50</v>
      </c>
      <c r="AP49" s="109"/>
      <c r="AQ49" s="252"/>
      <c r="AR49" s="178">
        <v>60</v>
      </c>
      <c r="AS49" s="130">
        <f t="shared" si="84"/>
        <v>50</v>
      </c>
      <c r="AT49" s="109"/>
      <c r="AU49" s="252"/>
      <c r="AV49" s="178">
        <v>60</v>
      </c>
      <c r="AW49" s="130">
        <f t="shared" si="85"/>
        <v>50</v>
      </c>
      <c r="AX49" s="109"/>
      <c r="AY49" s="252"/>
      <c r="AZ49" s="178">
        <v>60</v>
      </c>
      <c r="BA49" s="130">
        <f t="shared" si="86"/>
        <v>60</v>
      </c>
      <c r="BB49" s="193"/>
      <c r="BC49" s="252"/>
      <c r="BD49" s="178">
        <v>60</v>
      </c>
      <c r="BE49" s="130">
        <f t="shared" si="87"/>
        <v>50</v>
      </c>
      <c r="BF49" s="109"/>
      <c r="BG49" s="252"/>
      <c r="BH49" s="180">
        <f t="shared" si="12"/>
        <v>720</v>
      </c>
      <c r="BI49" s="181">
        <f>Автовик_разбивка[[#This Row],[Цена, 
юань, без НДС 1]]*BH49</f>
        <v>0</v>
      </c>
      <c r="BJ49" s="130">
        <f t="shared" si="13"/>
        <v>680</v>
      </c>
      <c r="BK49" s="187">
        <f>Автовик_разбивка[[#This Row],[Цена, 
юань, без НДС 1]]*BJ49</f>
        <v>0</v>
      </c>
      <c r="BL49" s="109">
        <f t="shared" si="14"/>
        <v>130</v>
      </c>
      <c r="BM49" s="224">
        <f>Автовик_разбивка[[#This Row],[Цена, 
юань, без НДС 1]]*BL49</f>
        <v>0</v>
      </c>
      <c r="BN49" s="178"/>
      <c r="BO49" s="184"/>
      <c r="BP49" s="130">
        <f t="shared" si="88"/>
        <v>40</v>
      </c>
      <c r="BQ49" s="179"/>
      <c r="BR49" s="130"/>
      <c r="BS49" s="178"/>
      <c r="BT49" s="184"/>
      <c r="BU49" s="130">
        <f t="shared" si="89"/>
        <v>40</v>
      </c>
      <c r="BV49" s="179"/>
      <c r="BW49" s="130"/>
      <c r="BX49" s="178"/>
      <c r="BY49" s="184"/>
      <c r="BZ49" s="130">
        <f t="shared" si="90"/>
        <v>50</v>
      </c>
      <c r="CA49" s="179"/>
      <c r="CB49" s="130"/>
      <c r="CC49" s="178"/>
      <c r="CD49" s="184"/>
      <c r="CE49" s="130">
        <f t="shared" si="100"/>
        <v>60</v>
      </c>
      <c r="CF49" s="179"/>
      <c r="CG49" s="130"/>
      <c r="CH49" s="178"/>
      <c r="CI49" s="184"/>
      <c r="CJ49" s="130">
        <f t="shared" si="92"/>
        <v>60</v>
      </c>
      <c r="CK49" s="109"/>
      <c r="CL49" s="252"/>
      <c r="CM49" s="178"/>
      <c r="CN49" s="184"/>
      <c r="CO49" s="130">
        <f t="shared" si="101"/>
        <v>60</v>
      </c>
      <c r="CP49" s="109"/>
      <c r="CQ49" s="252"/>
      <c r="CR49" s="178"/>
      <c r="CS49" s="184"/>
      <c r="CT49" s="130">
        <f t="shared" si="94"/>
        <v>60</v>
      </c>
      <c r="CU49" s="109"/>
      <c r="CV49" s="252"/>
      <c r="CW49" s="178"/>
      <c r="CX49" s="184"/>
      <c r="CY49" s="130">
        <f t="shared" si="102"/>
        <v>60</v>
      </c>
      <c r="CZ49" s="109"/>
      <c r="DA49" s="252"/>
      <c r="DB49" s="178"/>
      <c r="DC49" s="184"/>
      <c r="DD49" s="130">
        <f t="shared" si="96"/>
        <v>60</v>
      </c>
      <c r="DE49" s="109"/>
      <c r="DF49" s="252"/>
      <c r="DG49" s="178"/>
      <c r="DH49" s="184"/>
      <c r="DI49" s="130">
        <f t="shared" si="103"/>
        <v>60</v>
      </c>
      <c r="DJ49" s="109"/>
      <c r="DK49" s="252"/>
      <c r="DL49" s="178"/>
      <c r="DM49" s="184"/>
      <c r="DN49" s="130">
        <f t="shared" si="98"/>
        <v>60</v>
      </c>
      <c r="DO49" s="193"/>
      <c r="DP49" s="252"/>
      <c r="DQ49" s="178"/>
      <c r="DR49" s="184"/>
      <c r="DS49" s="130">
        <f t="shared" si="104"/>
        <v>60</v>
      </c>
      <c r="DT49" s="109"/>
      <c r="DU49" s="252"/>
      <c r="DV49" s="180">
        <f t="shared" si="15"/>
        <v>0</v>
      </c>
      <c r="DW49" s="181">
        <f>Автовик_разбивка[[#This Row],[Цена, 
юань, без НДС 1]]*DV49</f>
        <v>0</v>
      </c>
      <c r="DX49" s="186">
        <f t="shared" si="16"/>
        <v>0</v>
      </c>
      <c r="DY49" s="186">
        <f>Автовик_разбивка[[#This Row],[Цена, 
юань, без НДС 1]]*DX49</f>
        <v>0</v>
      </c>
      <c r="DZ49" s="130">
        <f t="shared" si="17"/>
        <v>670</v>
      </c>
      <c r="EA49" s="187">
        <f>Автовик_разбивка[[#This Row],[Цена, 
юань, без НДС 1]]*DZ49</f>
        <v>0</v>
      </c>
      <c r="EB49" s="109">
        <f t="shared" si="18"/>
        <v>0</v>
      </c>
      <c r="EC49" s="224">
        <f>Автовик_разбивка[[#This Row],[Цена, 
юань, без НДС 1]]*EB49</f>
        <v>0</v>
      </c>
    </row>
    <row r="50" spans="1:133">
      <c r="A50" s="221">
        <v>11</v>
      </c>
      <c r="B50" s="172" t="s">
        <v>314</v>
      </c>
      <c r="C50" s="173" t="s">
        <v>298</v>
      </c>
      <c r="D50" s="173" t="s">
        <v>316</v>
      </c>
      <c r="E50" s="174"/>
      <c r="F50" s="174"/>
      <c r="G50" s="174"/>
      <c r="H50" s="225">
        <v>4801020640</v>
      </c>
      <c r="I50" s="226" t="s">
        <v>312</v>
      </c>
      <c r="J50" s="222"/>
      <c r="K50" s="223"/>
      <c r="L50" s="178"/>
      <c r="M50" s="130">
        <v>0</v>
      </c>
      <c r="N50" s="179">
        <v>30</v>
      </c>
      <c r="O50" s="130"/>
      <c r="P50" s="178"/>
      <c r="Q50" s="130">
        <v>0</v>
      </c>
      <c r="R50" s="179">
        <v>0</v>
      </c>
      <c r="S50" s="130"/>
      <c r="T50" s="178"/>
      <c r="U50" s="130">
        <v>0</v>
      </c>
      <c r="V50" s="179">
        <v>60</v>
      </c>
      <c r="W50" s="130"/>
      <c r="X50" s="178"/>
      <c r="Y50" s="130">
        <v>0</v>
      </c>
      <c r="Z50" s="179">
        <v>0</v>
      </c>
      <c r="AA50" s="130"/>
      <c r="AB50" s="178"/>
      <c r="AC50" s="130"/>
      <c r="AD50" s="109"/>
      <c r="AE50" s="252"/>
      <c r="AF50" s="178"/>
      <c r="AG50" s="130"/>
      <c r="AH50" s="109"/>
      <c r="AI50" s="252"/>
      <c r="AJ50" s="178"/>
      <c r="AK50" s="130"/>
      <c r="AL50" s="109"/>
      <c r="AM50" s="252"/>
      <c r="AN50" s="178"/>
      <c r="AO50" s="130"/>
      <c r="AP50" s="109"/>
      <c r="AQ50" s="252"/>
      <c r="AR50" s="178"/>
      <c r="AS50" s="130"/>
      <c r="AT50" s="109"/>
      <c r="AU50" s="252"/>
      <c r="AV50" s="178"/>
      <c r="AW50" s="130"/>
      <c r="AX50" s="109"/>
      <c r="AY50" s="252"/>
      <c r="AZ50" s="178"/>
      <c r="BA50" s="130"/>
      <c r="BB50" s="179"/>
      <c r="BC50" s="252"/>
      <c r="BD50" s="178"/>
      <c r="BE50" s="130">
        <f t="shared" si="87"/>
        <v>0</v>
      </c>
      <c r="BF50" s="109"/>
      <c r="BG50" s="252"/>
      <c r="BH50" s="180">
        <f t="shared" si="12"/>
        <v>0</v>
      </c>
      <c r="BI50" s="181">
        <f>Автовик_разбивка[[#This Row],[Цена, 
юань, без НДС 1]]*BH50</f>
        <v>0</v>
      </c>
      <c r="BJ50" s="130">
        <f t="shared" si="13"/>
        <v>0</v>
      </c>
      <c r="BK50" s="187">
        <f>Автовик_разбивка[[#This Row],[Цена, 
юань, без НДС 1]]*BJ50</f>
        <v>0</v>
      </c>
      <c r="BL50" s="109">
        <f t="shared" si="14"/>
        <v>90</v>
      </c>
      <c r="BM50" s="224">
        <f>Автовик_разбивка[[#This Row],[Цена, 
юань, без НДС 1]]*BL50</f>
        <v>0</v>
      </c>
      <c r="BN50" s="178"/>
      <c r="BO50" s="184"/>
      <c r="BP50" s="130">
        <f t="shared" si="88"/>
        <v>0</v>
      </c>
      <c r="BQ50" s="179"/>
      <c r="BR50" s="130"/>
      <c r="BS50" s="178"/>
      <c r="BT50" s="184"/>
      <c r="BU50" s="130">
        <f t="shared" si="89"/>
        <v>0</v>
      </c>
      <c r="BV50" s="179"/>
      <c r="BW50" s="130"/>
      <c r="BX50" s="178"/>
      <c r="BY50" s="184"/>
      <c r="BZ50" s="130">
        <f t="shared" si="90"/>
        <v>0</v>
      </c>
      <c r="CA50" s="179"/>
      <c r="CB50" s="130"/>
      <c r="CC50" s="178"/>
      <c r="CD50" s="184"/>
      <c r="CE50" s="130">
        <v>0</v>
      </c>
      <c r="CF50" s="179"/>
      <c r="CG50" s="130"/>
      <c r="CH50" s="178"/>
      <c r="CI50" s="184"/>
      <c r="CJ50" s="130">
        <v>0</v>
      </c>
      <c r="CK50" s="109"/>
      <c r="CL50" s="252"/>
      <c r="CM50" s="178"/>
      <c r="CN50" s="184"/>
      <c r="CO50" s="130">
        <v>0</v>
      </c>
      <c r="CP50" s="109"/>
      <c r="CQ50" s="252"/>
      <c r="CR50" s="178"/>
      <c r="CS50" s="184"/>
      <c r="CT50" s="130">
        <v>0</v>
      </c>
      <c r="CU50" s="109"/>
      <c r="CV50" s="252"/>
      <c r="CW50" s="178"/>
      <c r="CX50" s="184"/>
      <c r="CY50" s="130">
        <v>0</v>
      </c>
      <c r="CZ50" s="109"/>
      <c r="DA50" s="252"/>
      <c r="DB50" s="178"/>
      <c r="DC50" s="184"/>
      <c r="DD50" s="130">
        <v>0</v>
      </c>
      <c r="DE50" s="109"/>
      <c r="DF50" s="252"/>
      <c r="DG50" s="178"/>
      <c r="DH50" s="184"/>
      <c r="DI50" s="130">
        <v>0</v>
      </c>
      <c r="DJ50" s="109"/>
      <c r="DK50" s="252"/>
      <c r="DL50" s="178"/>
      <c r="DM50" s="184"/>
      <c r="DN50" s="130">
        <v>0</v>
      </c>
      <c r="DO50" s="179"/>
      <c r="DP50" s="252"/>
      <c r="DQ50" s="178"/>
      <c r="DR50" s="184"/>
      <c r="DS50" s="130">
        <v>0</v>
      </c>
      <c r="DT50" s="109"/>
      <c r="DU50" s="252"/>
      <c r="DV50" s="180">
        <f t="shared" si="15"/>
        <v>0</v>
      </c>
      <c r="DW50" s="181">
        <f>Автовик_разбивка[[#This Row],[Цена, 
юань, без НДС 1]]*DV50</f>
        <v>0</v>
      </c>
      <c r="DX50" s="186">
        <f t="shared" si="16"/>
        <v>0</v>
      </c>
      <c r="DY50" s="186">
        <f>Автовик_разбивка[[#This Row],[Цена, 
юань, без НДС 1]]*DX50</f>
        <v>0</v>
      </c>
      <c r="DZ50" s="130">
        <f t="shared" si="17"/>
        <v>0</v>
      </c>
      <c r="EA50" s="187">
        <f>Автовик_разбивка[[#This Row],[Цена, 
юань, без НДС 1]]*DZ50</f>
        <v>0</v>
      </c>
      <c r="EB50" s="109">
        <f t="shared" si="18"/>
        <v>0</v>
      </c>
      <c r="EC50" s="224">
        <f>Автовик_разбивка[[#This Row],[Цена, 
юань, без НДС 1]]*EB50</f>
        <v>0</v>
      </c>
    </row>
    <row r="51" spans="1:133">
      <c r="A51" s="221">
        <v>11</v>
      </c>
      <c r="B51" s="172" t="s">
        <v>314</v>
      </c>
      <c r="C51" s="173" t="s">
        <v>298</v>
      </c>
      <c r="D51" s="173" t="s">
        <v>316</v>
      </c>
      <c r="E51" s="174">
        <v>1</v>
      </c>
      <c r="F51" s="174"/>
      <c r="G51" s="174"/>
      <c r="H51" s="175">
        <v>9522010010</v>
      </c>
      <c r="I51" s="176" t="s">
        <v>73</v>
      </c>
      <c r="J51" s="222"/>
      <c r="K51" s="227"/>
      <c r="L51" s="178">
        <v>60</v>
      </c>
      <c r="M51" s="130">
        <f t="shared" si="76"/>
        <v>60</v>
      </c>
      <c r="N51" s="179">
        <v>60</v>
      </c>
      <c r="O51" s="130"/>
      <c r="P51" s="178">
        <v>60</v>
      </c>
      <c r="Q51" s="130">
        <f t="shared" si="77"/>
        <v>60</v>
      </c>
      <c r="R51" s="179">
        <v>50</v>
      </c>
      <c r="S51" s="130"/>
      <c r="T51" s="178">
        <v>60</v>
      </c>
      <c r="U51" s="130">
        <f t="shared" si="78"/>
        <v>60</v>
      </c>
      <c r="V51" s="179">
        <v>60</v>
      </c>
      <c r="W51" s="130"/>
      <c r="X51" s="178">
        <v>60</v>
      </c>
      <c r="Y51" s="130">
        <f t="shared" si="79"/>
        <v>60</v>
      </c>
      <c r="Z51" s="179">
        <v>50</v>
      </c>
      <c r="AA51" s="130"/>
      <c r="AB51" s="178">
        <v>60</v>
      </c>
      <c r="AC51" s="130">
        <f t="shared" si="80"/>
        <v>60</v>
      </c>
      <c r="AD51" s="179"/>
      <c r="AE51" s="130"/>
      <c r="AF51" s="178">
        <v>60</v>
      </c>
      <c r="AG51" s="130">
        <f t="shared" si="81"/>
        <v>60</v>
      </c>
      <c r="AH51" s="179"/>
      <c r="AI51" s="130"/>
      <c r="AJ51" s="178">
        <v>60</v>
      </c>
      <c r="AK51" s="130">
        <f t="shared" si="82"/>
        <v>60</v>
      </c>
      <c r="AL51" s="179"/>
      <c r="AM51" s="130"/>
      <c r="AN51" s="178">
        <v>60</v>
      </c>
      <c r="AO51" s="130">
        <f t="shared" si="83"/>
        <v>50</v>
      </c>
      <c r="AP51" s="179"/>
      <c r="AQ51" s="130"/>
      <c r="AR51" s="178">
        <v>60</v>
      </c>
      <c r="AS51" s="130">
        <f t="shared" si="84"/>
        <v>50</v>
      </c>
      <c r="AT51" s="179"/>
      <c r="AU51" s="130"/>
      <c r="AV51" s="178">
        <v>60</v>
      </c>
      <c r="AW51" s="130">
        <f t="shared" si="85"/>
        <v>50</v>
      </c>
      <c r="AX51" s="179"/>
      <c r="AY51" s="130"/>
      <c r="AZ51" s="178">
        <v>60</v>
      </c>
      <c r="BA51" s="130">
        <f t="shared" si="86"/>
        <v>60</v>
      </c>
      <c r="BB51" s="228"/>
      <c r="BC51" s="130"/>
      <c r="BD51" s="178">
        <v>60</v>
      </c>
      <c r="BE51" s="130">
        <f t="shared" si="87"/>
        <v>50</v>
      </c>
      <c r="BF51" s="109"/>
      <c r="BG51" s="130"/>
      <c r="BH51" s="180">
        <f t="shared" si="12"/>
        <v>720</v>
      </c>
      <c r="BI51" s="181">
        <f>Автовик_разбивка[[#This Row],[Цена, 
юань, без НДС 1]]*BH51</f>
        <v>0</v>
      </c>
      <c r="BJ51" s="130">
        <f t="shared" si="13"/>
        <v>680</v>
      </c>
      <c r="BK51" s="187">
        <f>Автовик_разбивка[[#This Row],[Цена, 
юань, без НДС 1]]*BJ51</f>
        <v>0</v>
      </c>
      <c r="BL51" s="109">
        <f t="shared" si="14"/>
        <v>220</v>
      </c>
      <c r="BM51" s="224">
        <f>Автовик_разбивка[[#This Row],[Цена, 
юань, без НДС 1]]*BL51</f>
        <v>0</v>
      </c>
      <c r="BN51" s="178"/>
      <c r="BO51" s="184"/>
      <c r="BP51" s="130">
        <f t="shared" si="88"/>
        <v>40</v>
      </c>
      <c r="BQ51" s="179"/>
      <c r="BR51" s="130"/>
      <c r="BS51" s="178"/>
      <c r="BT51" s="184"/>
      <c r="BU51" s="130">
        <f t="shared" si="89"/>
        <v>40</v>
      </c>
      <c r="BV51" s="179"/>
      <c r="BW51" s="130"/>
      <c r="BX51" s="178"/>
      <c r="BY51" s="184"/>
      <c r="BZ51" s="130">
        <f t="shared" si="90"/>
        <v>50</v>
      </c>
      <c r="CA51" s="179"/>
      <c r="CB51" s="130"/>
      <c r="CC51" s="178"/>
      <c r="CD51" s="184"/>
      <c r="CE51" s="130">
        <f t="shared" si="100"/>
        <v>60</v>
      </c>
      <c r="CF51" s="179"/>
      <c r="CG51" s="130"/>
      <c r="CH51" s="178"/>
      <c r="CI51" s="184"/>
      <c r="CJ51" s="130">
        <f t="shared" si="92"/>
        <v>60</v>
      </c>
      <c r="CK51" s="179"/>
      <c r="CL51" s="130"/>
      <c r="CM51" s="178"/>
      <c r="CN51" s="184"/>
      <c r="CO51" s="130">
        <f t="shared" si="101"/>
        <v>60</v>
      </c>
      <c r="CP51" s="179"/>
      <c r="CQ51" s="130"/>
      <c r="CR51" s="178"/>
      <c r="CS51" s="184"/>
      <c r="CT51" s="130">
        <f t="shared" si="94"/>
        <v>60</v>
      </c>
      <c r="CU51" s="179"/>
      <c r="CV51" s="130"/>
      <c r="CW51" s="178"/>
      <c r="CX51" s="184"/>
      <c r="CY51" s="130">
        <f t="shared" si="102"/>
        <v>60</v>
      </c>
      <c r="CZ51" s="179"/>
      <c r="DA51" s="130"/>
      <c r="DB51" s="178"/>
      <c r="DC51" s="184"/>
      <c r="DD51" s="130">
        <f t="shared" si="96"/>
        <v>60</v>
      </c>
      <c r="DE51" s="179"/>
      <c r="DF51" s="130"/>
      <c r="DG51" s="178"/>
      <c r="DH51" s="184"/>
      <c r="DI51" s="130">
        <f t="shared" si="103"/>
        <v>60</v>
      </c>
      <c r="DJ51" s="179"/>
      <c r="DK51" s="130"/>
      <c r="DL51" s="178"/>
      <c r="DM51" s="184"/>
      <c r="DN51" s="130">
        <f t="shared" si="98"/>
        <v>60</v>
      </c>
      <c r="DO51" s="228"/>
      <c r="DP51" s="130"/>
      <c r="DQ51" s="178"/>
      <c r="DR51" s="184"/>
      <c r="DS51" s="130">
        <f t="shared" si="104"/>
        <v>60</v>
      </c>
      <c r="DT51" s="109"/>
      <c r="DU51" s="130"/>
      <c r="DV51" s="180">
        <f t="shared" si="15"/>
        <v>0</v>
      </c>
      <c r="DW51" s="181">
        <f>Автовик_разбивка[[#This Row],[Цена, 
юань, без НДС 1]]*DV51</f>
        <v>0</v>
      </c>
      <c r="DX51" s="186">
        <f t="shared" si="16"/>
        <v>0</v>
      </c>
      <c r="DY51" s="186">
        <f>Автовик_разбивка[[#This Row],[Цена, 
юань, без НДС 1]]*DX51</f>
        <v>0</v>
      </c>
      <c r="DZ51" s="130">
        <f t="shared" si="17"/>
        <v>670</v>
      </c>
      <c r="EA51" s="187">
        <f>Автовик_разбивка[[#This Row],[Цена, 
юань, без НДС 1]]*DZ51</f>
        <v>0</v>
      </c>
      <c r="EB51" s="109">
        <f t="shared" si="18"/>
        <v>0</v>
      </c>
      <c r="EC51" s="224">
        <f>Автовик_разбивка[[#This Row],[Цена, 
юань, без НДС 1]]*EB51</f>
        <v>0</v>
      </c>
    </row>
    <row r="52" spans="1:133">
      <c r="A52" s="221">
        <v>11</v>
      </c>
      <c r="B52" s="172" t="s">
        <v>314</v>
      </c>
      <c r="C52" s="173" t="s">
        <v>298</v>
      </c>
      <c r="D52" s="173" t="s">
        <v>316</v>
      </c>
      <c r="E52" s="174">
        <v>1</v>
      </c>
      <c r="F52" s="174"/>
      <c r="G52" s="174"/>
      <c r="H52" s="175">
        <v>9522010020</v>
      </c>
      <c r="I52" s="176" t="s">
        <v>74</v>
      </c>
      <c r="J52" s="222"/>
      <c r="K52" s="227"/>
      <c r="L52" s="178">
        <v>60</v>
      </c>
      <c r="M52" s="130">
        <f t="shared" si="76"/>
        <v>60</v>
      </c>
      <c r="N52" s="179">
        <v>60</v>
      </c>
      <c r="O52" s="130"/>
      <c r="P52" s="178">
        <v>60</v>
      </c>
      <c r="Q52" s="130">
        <f t="shared" si="77"/>
        <v>60</v>
      </c>
      <c r="R52" s="179">
        <v>50</v>
      </c>
      <c r="S52" s="130"/>
      <c r="T52" s="178">
        <v>60</v>
      </c>
      <c r="U52" s="130">
        <f t="shared" si="78"/>
        <v>60</v>
      </c>
      <c r="V52" s="179">
        <v>60</v>
      </c>
      <c r="W52" s="130"/>
      <c r="X52" s="178">
        <v>60</v>
      </c>
      <c r="Y52" s="130">
        <f t="shared" si="79"/>
        <v>60</v>
      </c>
      <c r="Z52" s="179">
        <v>50</v>
      </c>
      <c r="AA52" s="130"/>
      <c r="AB52" s="178">
        <v>60</v>
      </c>
      <c r="AC52" s="130">
        <f t="shared" si="80"/>
        <v>60</v>
      </c>
      <c r="AD52" s="179"/>
      <c r="AE52" s="130"/>
      <c r="AF52" s="178">
        <v>60</v>
      </c>
      <c r="AG52" s="130">
        <f t="shared" si="81"/>
        <v>60</v>
      </c>
      <c r="AH52" s="179"/>
      <c r="AI52" s="130"/>
      <c r="AJ52" s="178">
        <v>60</v>
      </c>
      <c r="AK52" s="130">
        <f t="shared" si="82"/>
        <v>60</v>
      </c>
      <c r="AL52" s="179"/>
      <c r="AM52" s="130"/>
      <c r="AN52" s="178">
        <v>60</v>
      </c>
      <c r="AO52" s="130">
        <f t="shared" si="83"/>
        <v>50</v>
      </c>
      <c r="AP52" s="179"/>
      <c r="AQ52" s="130"/>
      <c r="AR52" s="178">
        <v>60</v>
      </c>
      <c r="AS52" s="130">
        <f t="shared" si="84"/>
        <v>50</v>
      </c>
      <c r="AT52" s="179"/>
      <c r="AU52" s="130"/>
      <c r="AV52" s="178">
        <v>60</v>
      </c>
      <c r="AW52" s="130">
        <f t="shared" si="85"/>
        <v>50</v>
      </c>
      <c r="AX52" s="179"/>
      <c r="AY52" s="130"/>
      <c r="AZ52" s="178">
        <v>60</v>
      </c>
      <c r="BA52" s="130">
        <f t="shared" si="86"/>
        <v>60</v>
      </c>
      <c r="BB52" s="228"/>
      <c r="BC52" s="130"/>
      <c r="BD52" s="178">
        <v>60</v>
      </c>
      <c r="BE52" s="130">
        <f t="shared" si="87"/>
        <v>50</v>
      </c>
      <c r="BF52" s="109"/>
      <c r="BG52" s="130"/>
      <c r="BH52" s="180">
        <f t="shared" si="12"/>
        <v>720</v>
      </c>
      <c r="BI52" s="181">
        <f>Автовик_разбивка[[#This Row],[Цена, 
юань, без НДС 1]]*BH52</f>
        <v>0</v>
      </c>
      <c r="BJ52" s="130">
        <f t="shared" si="13"/>
        <v>680</v>
      </c>
      <c r="BK52" s="187">
        <f>Автовик_разбивка[[#This Row],[Цена, 
юань, без НДС 1]]*BJ52</f>
        <v>0</v>
      </c>
      <c r="BL52" s="109">
        <f t="shared" si="14"/>
        <v>220</v>
      </c>
      <c r="BM52" s="224">
        <f>Автовик_разбивка[[#This Row],[Цена, 
юань, без НДС 1]]*BL52</f>
        <v>0</v>
      </c>
      <c r="BN52" s="178"/>
      <c r="BO52" s="184"/>
      <c r="BP52" s="130">
        <f t="shared" si="88"/>
        <v>40</v>
      </c>
      <c r="BQ52" s="179"/>
      <c r="BR52" s="130"/>
      <c r="BS52" s="178"/>
      <c r="BT52" s="184"/>
      <c r="BU52" s="130">
        <f t="shared" si="89"/>
        <v>40</v>
      </c>
      <c r="BV52" s="179"/>
      <c r="BW52" s="130"/>
      <c r="BX52" s="178"/>
      <c r="BY52" s="184"/>
      <c r="BZ52" s="130">
        <f t="shared" si="90"/>
        <v>50</v>
      </c>
      <c r="CA52" s="179"/>
      <c r="CB52" s="130"/>
      <c r="CC52" s="178"/>
      <c r="CD52" s="184"/>
      <c r="CE52" s="130">
        <f t="shared" si="100"/>
        <v>60</v>
      </c>
      <c r="CF52" s="179"/>
      <c r="CG52" s="130"/>
      <c r="CH52" s="178"/>
      <c r="CI52" s="184"/>
      <c r="CJ52" s="130">
        <f t="shared" si="92"/>
        <v>60</v>
      </c>
      <c r="CK52" s="179"/>
      <c r="CL52" s="130"/>
      <c r="CM52" s="178"/>
      <c r="CN52" s="184"/>
      <c r="CO52" s="130">
        <f t="shared" si="101"/>
        <v>60</v>
      </c>
      <c r="CP52" s="179"/>
      <c r="CQ52" s="130"/>
      <c r="CR52" s="178"/>
      <c r="CS52" s="184"/>
      <c r="CT52" s="130">
        <f t="shared" si="94"/>
        <v>60</v>
      </c>
      <c r="CU52" s="179"/>
      <c r="CV52" s="130"/>
      <c r="CW52" s="178"/>
      <c r="CX52" s="184"/>
      <c r="CY52" s="130">
        <f t="shared" si="102"/>
        <v>60</v>
      </c>
      <c r="CZ52" s="179"/>
      <c r="DA52" s="130"/>
      <c r="DB52" s="178"/>
      <c r="DC52" s="184"/>
      <c r="DD52" s="130">
        <f t="shared" si="96"/>
        <v>60</v>
      </c>
      <c r="DE52" s="179"/>
      <c r="DF52" s="130"/>
      <c r="DG52" s="178"/>
      <c r="DH52" s="184"/>
      <c r="DI52" s="130">
        <f t="shared" si="103"/>
        <v>60</v>
      </c>
      <c r="DJ52" s="179"/>
      <c r="DK52" s="130"/>
      <c r="DL52" s="178"/>
      <c r="DM52" s="184"/>
      <c r="DN52" s="130">
        <f t="shared" si="98"/>
        <v>60</v>
      </c>
      <c r="DO52" s="228"/>
      <c r="DP52" s="130"/>
      <c r="DQ52" s="178"/>
      <c r="DR52" s="184"/>
      <c r="DS52" s="130">
        <f t="shared" si="104"/>
        <v>60</v>
      </c>
      <c r="DT52" s="109"/>
      <c r="DU52" s="130"/>
      <c r="DV52" s="180">
        <f t="shared" si="15"/>
        <v>0</v>
      </c>
      <c r="DW52" s="181">
        <f>Автовик_разбивка[[#This Row],[Цена, 
юань, без НДС 1]]*DV52</f>
        <v>0</v>
      </c>
      <c r="DX52" s="186">
        <f t="shared" si="16"/>
        <v>0</v>
      </c>
      <c r="DY52" s="186">
        <f>Автовик_разбивка[[#This Row],[Цена, 
юань, без НДС 1]]*DX52</f>
        <v>0</v>
      </c>
      <c r="DZ52" s="130">
        <f t="shared" si="17"/>
        <v>670</v>
      </c>
      <c r="EA52" s="187">
        <f>Автовик_разбивка[[#This Row],[Цена, 
юань, без НДС 1]]*DZ52</f>
        <v>0</v>
      </c>
      <c r="EB52" s="109">
        <f t="shared" si="18"/>
        <v>0</v>
      </c>
      <c r="EC52" s="224">
        <f>Автовик_разбивка[[#This Row],[Цена, 
юань, без НДС 1]]*EB52</f>
        <v>0</v>
      </c>
    </row>
    <row r="53" spans="1:133">
      <c r="A53" s="221">
        <v>11</v>
      </c>
      <c r="B53" s="172" t="s">
        <v>314</v>
      </c>
      <c r="C53" s="173" t="s">
        <v>298</v>
      </c>
      <c r="D53" s="173" t="s">
        <v>316</v>
      </c>
      <c r="E53" s="174">
        <v>1</v>
      </c>
      <c r="F53" s="174"/>
      <c r="G53" s="174"/>
      <c r="H53" s="175">
        <v>9710029000</v>
      </c>
      <c r="I53" s="176" t="s">
        <v>75</v>
      </c>
      <c r="J53" s="222"/>
      <c r="K53" s="227"/>
      <c r="L53" s="178">
        <v>60</v>
      </c>
      <c r="M53" s="130">
        <f t="shared" si="76"/>
        <v>60</v>
      </c>
      <c r="N53" s="179">
        <v>60</v>
      </c>
      <c r="O53" s="130"/>
      <c r="P53" s="178">
        <v>60</v>
      </c>
      <c r="Q53" s="130">
        <f t="shared" si="77"/>
        <v>60</v>
      </c>
      <c r="R53" s="179">
        <v>50</v>
      </c>
      <c r="S53" s="130"/>
      <c r="T53" s="178">
        <v>60</v>
      </c>
      <c r="U53" s="130">
        <f t="shared" si="78"/>
        <v>60</v>
      </c>
      <c r="V53" s="179">
        <v>60</v>
      </c>
      <c r="W53" s="130"/>
      <c r="X53" s="178">
        <v>60</v>
      </c>
      <c r="Y53" s="130">
        <f t="shared" si="79"/>
        <v>60</v>
      </c>
      <c r="Z53" s="179">
        <v>50</v>
      </c>
      <c r="AA53" s="130"/>
      <c r="AB53" s="178">
        <v>60</v>
      </c>
      <c r="AC53" s="130">
        <f t="shared" si="80"/>
        <v>60</v>
      </c>
      <c r="AD53" s="109"/>
      <c r="AE53" s="252"/>
      <c r="AF53" s="178">
        <v>60</v>
      </c>
      <c r="AG53" s="130">
        <f t="shared" si="81"/>
        <v>60</v>
      </c>
      <c r="AH53" s="109"/>
      <c r="AI53" s="252"/>
      <c r="AJ53" s="178">
        <v>60</v>
      </c>
      <c r="AK53" s="130">
        <f t="shared" si="82"/>
        <v>60</v>
      </c>
      <c r="AL53" s="109"/>
      <c r="AM53" s="252"/>
      <c r="AN53" s="178">
        <v>60</v>
      </c>
      <c r="AO53" s="130">
        <f t="shared" si="83"/>
        <v>50</v>
      </c>
      <c r="AP53" s="109"/>
      <c r="AQ53" s="252"/>
      <c r="AR53" s="178">
        <v>60</v>
      </c>
      <c r="AS53" s="130">
        <f t="shared" si="84"/>
        <v>50</v>
      </c>
      <c r="AT53" s="109"/>
      <c r="AU53" s="252"/>
      <c r="AV53" s="178">
        <v>60</v>
      </c>
      <c r="AW53" s="130">
        <f t="shared" si="85"/>
        <v>50</v>
      </c>
      <c r="AX53" s="109"/>
      <c r="AY53" s="252"/>
      <c r="AZ53" s="178">
        <v>60</v>
      </c>
      <c r="BA53" s="130">
        <f t="shared" si="86"/>
        <v>60</v>
      </c>
      <c r="BB53" s="194"/>
      <c r="BC53" s="252"/>
      <c r="BD53" s="178">
        <v>60</v>
      </c>
      <c r="BE53" s="130">
        <f t="shared" si="87"/>
        <v>50</v>
      </c>
      <c r="BF53" s="109"/>
      <c r="BG53" s="252"/>
      <c r="BH53" s="180">
        <f t="shared" si="12"/>
        <v>720</v>
      </c>
      <c r="BI53" s="181">
        <f>Автовик_разбивка[[#This Row],[Цена, 
юань, без НДС 1]]*BH53</f>
        <v>0</v>
      </c>
      <c r="BJ53" s="130">
        <f t="shared" si="13"/>
        <v>680</v>
      </c>
      <c r="BK53" s="187">
        <f>Автовик_разбивка[[#This Row],[Цена, 
юань, без НДС 1]]*BJ53</f>
        <v>0</v>
      </c>
      <c r="BL53" s="109">
        <f t="shared" si="14"/>
        <v>220</v>
      </c>
      <c r="BM53" s="224">
        <f>Автовик_разбивка[[#This Row],[Цена, 
юань, без НДС 1]]*BL53</f>
        <v>0</v>
      </c>
      <c r="BN53" s="178"/>
      <c r="BO53" s="184"/>
      <c r="BP53" s="130">
        <f t="shared" si="88"/>
        <v>40</v>
      </c>
      <c r="BQ53" s="179"/>
      <c r="BR53" s="130"/>
      <c r="BS53" s="178"/>
      <c r="BT53" s="184"/>
      <c r="BU53" s="130">
        <f t="shared" si="89"/>
        <v>40</v>
      </c>
      <c r="BV53" s="179"/>
      <c r="BW53" s="130"/>
      <c r="BX53" s="178"/>
      <c r="BY53" s="184"/>
      <c r="BZ53" s="130">
        <f t="shared" si="90"/>
        <v>50</v>
      </c>
      <c r="CA53" s="179"/>
      <c r="CB53" s="130"/>
      <c r="CC53" s="178"/>
      <c r="CD53" s="184"/>
      <c r="CE53" s="130">
        <f t="shared" si="100"/>
        <v>60</v>
      </c>
      <c r="CF53" s="179"/>
      <c r="CG53" s="130"/>
      <c r="CH53" s="178"/>
      <c r="CI53" s="184"/>
      <c r="CJ53" s="130">
        <f t="shared" si="92"/>
        <v>60</v>
      </c>
      <c r="CK53" s="109"/>
      <c r="CL53" s="252"/>
      <c r="CM53" s="178"/>
      <c r="CN53" s="184"/>
      <c r="CO53" s="130">
        <f t="shared" si="101"/>
        <v>60</v>
      </c>
      <c r="CP53" s="109"/>
      <c r="CQ53" s="252"/>
      <c r="CR53" s="178"/>
      <c r="CS53" s="184"/>
      <c r="CT53" s="130">
        <f t="shared" si="94"/>
        <v>60</v>
      </c>
      <c r="CU53" s="109"/>
      <c r="CV53" s="252"/>
      <c r="CW53" s="178"/>
      <c r="CX53" s="184"/>
      <c r="CY53" s="130">
        <f t="shared" si="102"/>
        <v>60</v>
      </c>
      <c r="CZ53" s="109"/>
      <c r="DA53" s="252"/>
      <c r="DB53" s="178"/>
      <c r="DC53" s="184"/>
      <c r="DD53" s="130">
        <f t="shared" si="96"/>
        <v>60</v>
      </c>
      <c r="DE53" s="109"/>
      <c r="DF53" s="252"/>
      <c r="DG53" s="178"/>
      <c r="DH53" s="184"/>
      <c r="DI53" s="130">
        <f t="shared" si="103"/>
        <v>60</v>
      </c>
      <c r="DJ53" s="109"/>
      <c r="DK53" s="252"/>
      <c r="DL53" s="178"/>
      <c r="DM53" s="184"/>
      <c r="DN53" s="130">
        <f t="shared" si="98"/>
        <v>60</v>
      </c>
      <c r="DO53" s="194"/>
      <c r="DP53" s="252"/>
      <c r="DQ53" s="178"/>
      <c r="DR53" s="184"/>
      <c r="DS53" s="130">
        <f t="shared" si="104"/>
        <v>60</v>
      </c>
      <c r="DT53" s="109"/>
      <c r="DU53" s="252"/>
      <c r="DV53" s="180">
        <f t="shared" si="15"/>
        <v>0</v>
      </c>
      <c r="DW53" s="181">
        <f>Автовик_разбивка[[#This Row],[Цена, 
юань, без НДС 1]]*DV53</f>
        <v>0</v>
      </c>
      <c r="DX53" s="186">
        <f t="shared" si="16"/>
        <v>0</v>
      </c>
      <c r="DY53" s="186">
        <f>Автовик_разбивка[[#This Row],[Цена, 
юань, без НДС 1]]*DX53</f>
        <v>0</v>
      </c>
      <c r="DZ53" s="130">
        <f t="shared" si="17"/>
        <v>670</v>
      </c>
      <c r="EA53" s="187">
        <f>Автовик_разбивка[[#This Row],[Цена, 
юань, без НДС 1]]*DZ53</f>
        <v>0</v>
      </c>
      <c r="EB53" s="109">
        <f t="shared" si="18"/>
        <v>0</v>
      </c>
      <c r="EC53" s="224">
        <f>Автовик_разбивка[[#This Row],[Цена, 
юань, без НДС 1]]*EB53</f>
        <v>0</v>
      </c>
    </row>
    <row r="54" spans="1:133">
      <c r="A54" s="221">
        <v>11</v>
      </c>
      <c r="B54" s="172" t="s">
        <v>314</v>
      </c>
      <c r="C54" s="173"/>
      <c r="D54" s="173"/>
      <c r="E54" s="174"/>
      <c r="F54" s="174"/>
      <c r="G54" s="174">
        <v>2</v>
      </c>
      <c r="H54" s="175">
        <v>4495351500</v>
      </c>
      <c r="I54" s="176" t="s">
        <v>158</v>
      </c>
      <c r="J54" s="222"/>
      <c r="K54" s="223"/>
      <c r="L54" s="178"/>
      <c r="M54" s="130"/>
      <c r="N54" s="179"/>
      <c r="O54" s="130"/>
      <c r="P54" s="178"/>
      <c r="Q54" s="130"/>
      <c r="R54" s="179"/>
      <c r="S54" s="130"/>
      <c r="T54" s="178"/>
      <c r="U54" s="130"/>
      <c r="V54" s="179"/>
      <c r="W54" s="130"/>
      <c r="X54" s="178"/>
      <c r="Y54" s="130"/>
      <c r="Z54" s="179"/>
      <c r="AA54" s="130"/>
      <c r="AB54" s="178"/>
      <c r="AC54" s="130"/>
      <c r="AD54" s="179"/>
      <c r="AE54" s="130"/>
      <c r="AF54" s="178"/>
      <c r="AG54" s="130"/>
      <c r="AH54" s="179"/>
      <c r="AI54" s="130"/>
      <c r="AJ54" s="178"/>
      <c r="AK54" s="130"/>
      <c r="AL54" s="179"/>
      <c r="AM54" s="130"/>
      <c r="AN54" s="178"/>
      <c r="AO54" s="130"/>
      <c r="AP54" s="179"/>
      <c r="AQ54" s="130"/>
      <c r="AR54" s="178"/>
      <c r="AS54" s="130"/>
      <c r="AT54" s="179"/>
      <c r="AU54" s="130"/>
      <c r="AV54" s="178"/>
      <c r="AW54" s="130"/>
      <c r="AX54" s="179"/>
      <c r="AY54" s="130"/>
      <c r="AZ54" s="178"/>
      <c r="BA54" s="130"/>
      <c r="BB54" s="194"/>
      <c r="BC54" s="130"/>
      <c r="BD54" s="178"/>
      <c r="BE54" s="130"/>
      <c r="BF54" s="109"/>
      <c r="BG54" s="130"/>
      <c r="BH54" s="180">
        <f t="shared" si="12"/>
        <v>0</v>
      </c>
      <c r="BI54" s="181">
        <f>Автовик_разбивка[[#This Row],[Цена, 
юань, без НДС 1]]*BH54</f>
        <v>0</v>
      </c>
      <c r="BJ54" s="130">
        <f t="shared" si="13"/>
        <v>0</v>
      </c>
      <c r="BK54" s="187">
        <f>Автовик_разбивка[[#This Row],[Цена, 
юань, без НДС 1]]*BJ54</f>
        <v>0</v>
      </c>
      <c r="BL54" s="109">
        <f t="shared" si="14"/>
        <v>0</v>
      </c>
      <c r="BM54" s="224">
        <f>Автовик_разбивка[[#This Row],[Цена, 
юань, без НДС 1]]*BL54</f>
        <v>0</v>
      </c>
      <c r="BN54" s="178"/>
      <c r="BO54" s="184"/>
      <c r="BP54" s="130"/>
      <c r="BQ54" s="179"/>
      <c r="BR54" s="130"/>
      <c r="BS54" s="178"/>
      <c r="BT54" s="184"/>
      <c r="BU54" s="130"/>
      <c r="BV54" s="179"/>
      <c r="BW54" s="130"/>
      <c r="BX54" s="178"/>
      <c r="BY54" s="184"/>
      <c r="BZ54" s="130"/>
      <c r="CA54" s="179"/>
      <c r="CB54" s="130"/>
      <c r="CC54" s="178"/>
      <c r="CD54" s="184"/>
      <c r="CE54" s="130"/>
      <c r="CF54" s="179"/>
      <c r="CG54" s="130"/>
      <c r="CH54" s="178"/>
      <c r="CI54" s="184"/>
      <c r="CJ54" s="130"/>
      <c r="CK54" s="179"/>
      <c r="CL54" s="130"/>
      <c r="CM54" s="178"/>
      <c r="CN54" s="184"/>
      <c r="CO54" s="130"/>
      <c r="CP54" s="179"/>
      <c r="CQ54" s="130"/>
      <c r="CR54" s="178"/>
      <c r="CS54" s="184"/>
      <c r="CT54" s="130"/>
      <c r="CU54" s="179"/>
      <c r="CV54" s="130"/>
      <c r="CW54" s="178"/>
      <c r="CX54" s="184"/>
      <c r="CY54" s="130"/>
      <c r="CZ54" s="179"/>
      <c r="DA54" s="130"/>
      <c r="DB54" s="178"/>
      <c r="DC54" s="184"/>
      <c r="DD54" s="130"/>
      <c r="DE54" s="179"/>
      <c r="DF54" s="130"/>
      <c r="DG54" s="178"/>
      <c r="DH54" s="184"/>
      <c r="DI54" s="130"/>
      <c r="DJ54" s="179"/>
      <c r="DK54" s="130"/>
      <c r="DL54" s="178"/>
      <c r="DM54" s="184"/>
      <c r="DN54" s="130"/>
      <c r="DO54" s="194"/>
      <c r="DP54" s="130"/>
      <c r="DQ54" s="178"/>
      <c r="DR54" s="184"/>
      <c r="DS54" s="130"/>
      <c r="DT54" s="109"/>
      <c r="DU54" s="130"/>
      <c r="DV54" s="180">
        <f t="shared" si="15"/>
        <v>0</v>
      </c>
      <c r="DW54" s="181">
        <f>Автовик_разбивка[[#This Row],[Цена, 
юань, без НДС 1]]*DV54</f>
        <v>0</v>
      </c>
      <c r="DX54" s="186">
        <f t="shared" si="16"/>
        <v>0</v>
      </c>
      <c r="DY54" s="186">
        <f>Автовик_разбивка[[#This Row],[Цена, 
юань, без НДС 1]]*DX54</f>
        <v>0</v>
      </c>
      <c r="DZ54" s="130">
        <f t="shared" si="17"/>
        <v>0</v>
      </c>
      <c r="EA54" s="187">
        <f>Автовик_разбивка[[#This Row],[Цена, 
юань, без НДС 1]]*DZ54</f>
        <v>0</v>
      </c>
      <c r="EB54" s="109">
        <f t="shared" si="18"/>
        <v>0</v>
      </c>
      <c r="EC54" s="224">
        <f>Автовик_разбивка[[#This Row],[Цена, 
юань, без НДС 1]]*EB54</f>
        <v>0</v>
      </c>
    </row>
    <row r="55" spans="1:133">
      <c r="A55" s="221">
        <v>11</v>
      </c>
      <c r="B55" s="172" t="s">
        <v>314</v>
      </c>
      <c r="C55" s="132"/>
      <c r="D55" s="132"/>
      <c r="E55" s="229"/>
      <c r="F55" s="229"/>
      <c r="G55" s="229"/>
      <c r="H55" s="230"/>
      <c r="I55" s="231" t="s">
        <v>43</v>
      </c>
      <c r="J55" s="232"/>
      <c r="K55" s="232"/>
      <c r="L55" s="233"/>
      <c r="M55" s="234"/>
      <c r="N55" s="235"/>
      <c r="O55" s="234"/>
      <c r="P55" s="233"/>
      <c r="Q55" s="234"/>
      <c r="R55" s="235"/>
      <c r="S55" s="234"/>
      <c r="T55" s="233"/>
      <c r="U55" s="234"/>
      <c r="V55" s="235"/>
      <c r="W55" s="234"/>
      <c r="X55" s="233"/>
      <c r="Y55" s="234"/>
      <c r="Z55" s="235"/>
      <c r="AA55" s="234"/>
      <c r="AB55" s="233"/>
      <c r="AC55" s="234"/>
      <c r="AD55" s="235"/>
      <c r="AE55" s="234"/>
      <c r="AF55" s="233"/>
      <c r="AG55" s="234"/>
      <c r="AH55" s="235"/>
      <c r="AI55" s="234"/>
      <c r="AJ55" s="233"/>
      <c r="AK55" s="234"/>
      <c r="AL55" s="235"/>
      <c r="AM55" s="234"/>
      <c r="AN55" s="233"/>
      <c r="AO55" s="234"/>
      <c r="AP55" s="235"/>
      <c r="AQ55" s="234"/>
      <c r="AR55" s="233"/>
      <c r="AS55" s="234"/>
      <c r="AT55" s="235"/>
      <c r="AU55" s="234"/>
      <c r="AV55" s="233"/>
      <c r="AW55" s="234"/>
      <c r="AX55" s="235"/>
      <c r="AY55" s="234"/>
      <c r="AZ55" s="233"/>
      <c r="BA55" s="234"/>
      <c r="BB55" s="235"/>
      <c r="BC55" s="234"/>
      <c r="BD55" s="233"/>
      <c r="BE55" s="234"/>
      <c r="BF55" s="235"/>
      <c r="BG55" s="234"/>
      <c r="BH55" s="233">
        <f t="shared" si="12"/>
        <v>0</v>
      </c>
      <c r="BI55" s="238">
        <f>Автовик_разбивка[[#This Row],[Цена, 
юань, без НДС 1]]*BH55</f>
        <v>0</v>
      </c>
      <c r="BJ55" s="234">
        <f t="shared" si="13"/>
        <v>0</v>
      </c>
      <c r="BK55" s="253">
        <f>Автовик_разбивка[[#This Row],[Цена, 
юань, без НДС 1]]*BJ55</f>
        <v>0</v>
      </c>
      <c r="BL55" s="235">
        <f t="shared" si="14"/>
        <v>0</v>
      </c>
      <c r="BM55" s="254">
        <f>Автовик_разбивка[[#This Row],[Цена, 
юань, без НДС 1]]*BL55</f>
        <v>0</v>
      </c>
      <c r="BN55" s="233"/>
      <c r="BO55" s="241"/>
      <c r="BP55" s="234"/>
      <c r="BQ55" s="235"/>
      <c r="BR55" s="234"/>
      <c r="BS55" s="233"/>
      <c r="BT55" s="241"/>
      <c r="BU55" s="234"/>
      <c r="BV55" s="235"/>
      <c r="BW55" s="234"/>
      <c r="BX55" s="233"/>
      <c r="BY55" s="241"/>
      <c r="BZ55" s="234"/>
      <c r="CA55" s="235"/>
      <c r="CB55" s="234"/>
      <c r="CC55" s="233"/>
      <c r="CD55" s="241"/>
      <c r="CE55" s="234"/>
      <c r="CF55" s="235"/>
      <c r="CG55" s="234"/>
      <c r="CH55" s="233"/>
      <c r="CI55" s="241"/>
      <c r="CJ55" s="234"/>
      <c r="CK55" s="235"/>
      <c r="CL55" s="234"/>
      <c r="CM55" s="233"/>
      <c r="CN55" s="241"/>
      <c r="CO55" s="234"/>
      <c r="CP55" s="235"/>
      <c r="CQ55" s="234"/>
      <c r="CR55" s="233"/>
      <c r="CS55" s="241"/>
      <c r="CT55" s="234"/>
      <c r="CU55" s="235"/>
      <c r="CV55" s="234"/>
      <c r="CW55" s="233"/>
      <c r="CX55" s="241"/>
      <c r="CY55" s="234"/>
      <c r="CZ55" s="235"/>
      <c r="DA55" s="234"/>
      <c r="DB55" s="233"/>
      <c r="DC55" s="241"/>
      <c r="DD55" s="234"/>
      <c r="DE55" s="235"/>
      <c r="DF55" s="234"/>
      <c r="DG55" s="233"/>
      <c r="DH55" s="241"/>
      <c r="DI55" s="234"/>
      <c r="DJ55" s="235"/>
      <c r="DK55" s="234"/>
      <c r="DL55" s="233"/>
      <c r="DM55" s="241"/>
      <c r="DN55" s="234"/>
      <c r="DO55" s="235"/>
      <c r="DP55" s="234"/>
      <c r="DQ55" s="233"/>
      <c r="DR55" s="241"/>
      <c r="DS55" s="234"/>
      <c r="DT55" s="235"/>
      <c r="DU55" s="234"/>
      <c r="DV55" s="233">
        <f t="shared" si="15"/>
        <v>0</v>
      </c>
      <c r="DW55" s="238">
        <f>Автовик_разбивка[[#This Row],[Цена, 
юань, без НДС 1]]*DV55</f>
        <v>0</v>
      </c>
      <c r="DX55" s="242">
        <f t="shared" si="16"/>
        <v>0</v>
      </c>
      <c r="DY55" s="242">
        <f>Автовик_разбивка[[#This Row],[Цена, 
юань, без НДС 1]]*DX55</f>
        <v>0</v>
      </c>
      <c r="DZ55" s="234">
        <f t="shared" si="17"/>
        <v>0</v>
      </c>
      <c r="EA55" s="253">
        <f>Автовик_разбивка[[#This Row],[Цена, 
юань, без НДС 1]]*DZ55</f>
        <v>0</v>
      </c>
      <c r="EB55" s="235">
        <f t="shared" si="18"/>
        <v>0</v>
      </c>
      <c r="EC55" s="254">
        <f>Автовик_разбивка[[#This Row],[Цена, 
юань, без НДС 1]]*EB55</f>
        <v>0</v>
      </c>
    </row>
    <row r="56" spans="1:133">
      <c r="A56" s="221">
        <v>11</v>
      </c>
      <c r="B56" s="243" t="s">
        <v>314</v>
      </c>
      <c r="C56" s="244"/>
      <c r="D56" s="244"/>
      <c r="E56" s="245"/>
      <c r="F56" s="245"/>
      <c r="G56" s="245"/>
      <c r="H56" s="246"/>
      <c r="I56" s="247"/>
      <c r="J56" s="248"/>
      <c r="K56" s="248"/>
      <c r="L56" s="249"/>
      <c r="M56" s="249"/>
      <c r="N56" s="249"/>
      <c r="O56" s="249"/>
      <c r="P56" s="249"/>
      <c r="Q56" s="249"/>
      <c r="R56" s="249"/>
      <c r="S56" s="249"/>
      <c r="T56" s="249"/>
      <c r="U56" s="249"/>
      <c r="V56" s="249"/>
      <c r="W56" s="249"/>
      <c r="X56" s="249"/>
      <c r="Y56" s="249"/>
      <c r="Z56" s="249"/>
      <c r="AA56" s="249"/>
      <c r="AB56" s="249"/>
      <c r="AC56" s="249"/>
      <c r="AD56" s="249"/>
      <c r="AE56" s="249"/>
      <c r="AF56" s="249"/>
      <c r="AG56" s="249"/>
      <c r="AH56" s="249"/>
      <c r="AI56" s="249"/>
      <c r="AJ56" s="249"/>
      <c r="AK56" s="249"/>
      <c r="AL56" s="249"/>
      <c r="AM56" s="249"/>
      <c r="AN56" s="249"/>
      <c r="AO56" s="249"/>
      <c r="AP56" s="249"/>
      <c r="AQ56" s="249"/>
      <c r="AR56" s="249"/>
      <c r="AS56" s="249"/>
      <c r="AT56" s="249"/>
      <c r="AU56" s="249"/>
      <c r="AV56" s="249"/>
      <c r="AW56" s="249"/>
      <c r="AX56" s="250"/>
      <c r="AY56" s="249"/>
      <c r="AZ56" s="250"/>
      <c r="BA56" s="250"/>
      <c r="BB56" s="250"/>
      <c r="BC56" s="249"/>
      <c r="BD56" s="250"/>
      <c r="BE56" s="250"/>
      <c r="BF56" s="250"/>
      <c r="BG56" s="249"/>
      <c r="BH56" s="250">
        <f t="shared" si="12"/>
        <v>0</v>
      </c>
      <c r="BI56" s="251">
        <f>Автовик_разбивка[[#This Row],[Цена, 
юань, без НДС 1]]*BH56</f>
        <v>0</v>
      </c>
      <c r="BJ56" s="250">
        <f t="shared" si="13"/>
        <v>0</v>
      </c>
      <c r="BK56" s="251">
        <f>Автовик_разбивка[[#This Row],[Цена, 
юань, без НДС 1]]*BJ56</f>
        <v>0</v>
      </c>
      <c r="BL56" s="250">
        <f t="shared" si="14"/>
        <v>0</v>
      </c>
      <c r="BM56" s="251">
        <f>Автовик_разбивка[[#This Row],[Цена, 
юань, без НДС 1]]*BL56</f>
        <v>0</v>
      </c>
      <c r="BN56" s="249"/>
      <c r="BO56" s="249"/>
      <c r="BP56" s="249"/>
      <c r="BQ56" s="249"/>
      <c r="BR56" s="249"/>
      <c r="BS56" s="249"/>
      <c r="BT56" s="249"/>
      <c r="BU56" s="249"/>
      <c r="BV56" s="249"/>
      <c r="BW56" s="249"/>
      <c r="BX56" s="249"/>
      <c r="BY56" s="249"/>
      <c r="BZ56" s="249"/>
      <c r="CA56" s="249"/>
      <c r="CB56" s="249"/>
      <c r="CC56" s="249"/>
      <c r="CD56" s="249"/>
      <c r="CE56" s="249"/>
      <c r="CF56" s="249"/>
      <c r="CG56" s="249"/>
      <c r="CH56" s="249"/>
      <c r="CI56" s="249"/>
      <c r="CJ56" s="249"/>
      <c r="CK56" s="249"/>
      <c r="CL56" s="249"/>
      <c r="CM56" s="249"/>
      <c r="CN56" s="249"/>
      <c r="CO56" s="249"/>
      <c r="CP56" s="249"/>
      <c r="CQ56" s="249"/>
      <c r="CR56" s="249"/>
      <c r="CS56" s="249"/>
      <c r="CT56" s="249"/>
      <c r="CU56" s="249"/>
      <c r="CV56" s="249"/>
      <c r="CW56" s="249"/>
      <c r="CX56" s="249"/>
      <c r="CY56" s="249"/>
      <c r="CZ56" s="249"/>
      <c r="DA56" s="249"/>
      <c r="DB56" s="249"/>
      <c r="DC56" s="249"/>
      <c r="DD56" s="249"/>
      <c r="DE56" s="249"/>
      <c r="DF56" s="249"/>
      <c r="DG56" s="249"/>
      <c r="DH56" s="249"/>
      <c r="DI56" s="249"/>
      <c r="DJ56" s="250"/>
      <c r="DK56" s="249"/>
      <c r="DL56" s="250"/>
      <c r="DM56" s="250"/>
      <c r="DN56" s="250"/>
      <c r="DO56" s="250"/>
      <c r="DP56" s="249"/>
      <c r="DQ56" s="250"/>
      <c r="DR56" s="250"/>
      <c r="DS56" s="250"/>
      <c r="DT56" s="250"/>
      <c r="DU56" s="249"/>
      <c r="DV56" s="250">
        <f t="shared" si="15"/>
        <v>0</v>
      </c>
      <c r="DW56" s="251">
        <f>Автовик_разбивка[[#This Row],[Цена, 
юань, без НДС 1]]*DV56</f>
        <v>0</v>
      </c>
      <c r="DX56" s="251">
        <f t="shared" si="16"/>
        <v>0</v>
      </c>
      <c r="DY56" s="251">
        <f>Автовик_разбивка[[#This Row],[Цена, 
юань, без НДС 1]]*DX56</f>
        <v>0</v>
      </c>
      <c r="DZ56" s="250">
        <f t="shared" si="17"/>
        <v>0</v>
      </c>
      <c r="EA56" s="251">
        <f>Автовик_разбивка[[#This Row],[Цена, 
юань, без НДС 1]]*DZ56</f>
        <v>0</v>
      </c>
      <c r="EB56" s="250">
        <f t="shared" si="18"/>
        <v>0</v>
      </c>
      <c r="EC56" s="251">
        <f>Автовик_разбивка[[#This Row],[Цена, 
юань, без НДС 1]]*EB56</f>
        <v>0</v>
      </c>
    </row>
    <row r="57" spans="1:133">
      <c r="A57" s="221">
        <v>11</v>
      </c>
      <c r="B57" s="172" t="s">
        <v>317</v>
      </c>
      <c r="C57" s="173" t="s">
        <v>298</v>
      </c>
      <c r="D57" s="173" t="s">
        <v>300</v>
      </c>
      <c r="E57" s="174">
        <v>1</v>
      </c>
      <c r="F57" s="174"/>
      <c r="G57" s="174"/>
      <c r="H57" s="175">
        <v>4494430600</v>
      </c>
      <c r="I57" s="176" t="s">
        <v>136</v>
      </c>
      <c r="J57" s="222"/>
      <c r="K57" s="223"/>
      <c r="L57" s="178">
        <v>2</v>
      </c>
      <c r="M57" s="130">
        <f t="shared" ref="M57:M67" si="105">$E57*2</f>
        <v>2</v>
      </c>
      <c r="N57" s="179">
        <v>0</v>
      </c>
      <c r="O57" s="130"/>
      <c r="P57" s="178">
        <v>5</v>
      </c>
      <c r="Q57" s="130">
        <f t="shared" ref="Q57:Q67" si="106">$E57*0</f>
        <v>0</v>
      </c>
      <c r="R57" s="179">
        <v>0</v>
      </c>
      <c r="S57" s="130"/>
      <c r="T57" s="178">
        <v>10</v>
      </c>
      <c r="U57" s="130">
        <f t="shared" ref="U57:U58" si="107">$E57*20</f>
        <v>20</v>
      </c>
      <c r="V57" s="179">
        <v>18</v>
      </c>
      <c r="W57" s="130"/>
      <c r="X57" s="178">
        <v>10</v>
      </c>
      <c r="Y57" s="130">
        <f t="shared" ref="Y57:Y67" si="108">$E57*10</f>
        <v>10</v>
      </c>
      <c r="Z57" s="179">
        <v>2</v>
      </c>
      <c r="AA57" s="130"/>
      <c r="AB57" s="178">
        <v>10</v>
      </c>
      <c r="AC57" s="130">
        <f t="shared" ref="AC57:AC67" si="109">$E57*10</f>
        <v>10</v>
      </c>
      <c r="AD57" s="179"/>
      <c r="AE57" s="130"/>
      <c r="AF57" s="178">
        <v>10</v>
      </c>
      <c r="AG57" s="130">
        <f t="shared" ref="AG57:AG67" si="110">$E57*10</f>
        <v>10</v>
      </c>
      <c r="AH57" s="179"/>
      <c r="AI57" s="130"/>
      <c r="AJ57" s="178">
        <v>10</v>
      </c>
      <c r="AK57" s="130">
        <f t="shared" ref="AK57:AK67" si="111">$E57*10</f>
        <v>10</v>
      </c>
      <c r="AL57" s="179"/>
      <c r="AM57" s="130"/>
      <c r="AN57" s="178">
        <v>10</v>
      </c>
      <c r="AO57" s="130">
        <f t="shared" ref="AO57:AO58" si="112">$E57*10</f>
        <v>10</v>
      </c>
      <c r="AP57" s="179"/>
      <c r="AQ57" s="130"/>
      <c r="AR57" s="178">
        <v>10</v>
      </c>
      <c r="AS57" s="130">
        <f t="shared" ref="AS57:AS81" si="113">$E57*5</f>
        <v>5</v>
      </c>
      <c r="AT57" s="179"/>
      <c r="AU57" s="130"/>
      <c r="AV57" s="178">
        <v>10</v>
      </c>
      <c r="AW57" s="130">
        <f t="shared" ref="AW57:AW81" si="114">$E57*5</f>
        <v>5</v>
      </c>
      <c r="AX57" s="179"/>
      <c r="AY57" s="130"/>
      <c r="AZ57" s="178">
        <v>10</v>
      </c>
      <c r="BA57" s="130"/>
      <c r="BB57" s="194"/>
      <c r="BC57" s="130"/>
      <c r="BD57" s="178">
        <v>10</v>
      </c>
      <c r="BE57" s="130"/>
      <c r="BF57" s="109"/>
      <c r="BG57" s="130"/>
      <c r="BH57" s="180">
        <f t="shared" si="12"/>
        <v>107</v>
      </c>
      <c r="BI57" s="181">
        <f>Автовик_разбивка[[#This Row],[Цена, 
юань, без НДС 1]]*BH57</f>
        <v>0</v>
      </c>
      <c r="BJ57" s="130">
        <f t="shared" si="13"/>
        <v>82</v>
      </c>
      <c r="BK57" s="187">
        <f>Автовик_разбивка[[#This Row],[Цена, 
юань, без НДС 1]]*BJ57</f>
        <v>0</v>
      </c>
      <c r="BL57" s="109">
        <f t="shared" si="14"/>
        <v>20</v>
      </c>
      <c r="BM57" s="224">
        <f>Автовик_разбивка[[#This Row],[Цена, 
юань, без НДС 1]]*BL57</f>
        <v>0</v>
      </c>
      <c r="BN57" s="178"/>
      <c r="BO57" s="184"/>
      <c r="BP57" s="130">
        <f t="shared" ref="BP57:BP109" si="115">$E57*0</f>
        <v>0</v>
      </c>
      <c r="BQ57" s="179"/>
      <c r="BR57" s="130"/>
      <c r="BS57" s="178"/>
      <c r="BT57" s="184"/>
      <c r="BU57" s="130">
        <f t="shared" ref="BU57:BU67" si="116">$E57*0</f>
        <v>0</v>
      </c>
      <c r="BV57" s="179"/>
      <c r="BW57" s="130"/>
      <c r="BX57" s="178"/>
      <c r="BY57" s="184"/>
      <c r="BZ57" s="130">
        <f t="shared" ref="BZ57:BZ94" si="117">$E57*0</f>
        <v>0</v>
      </c>
      <c r="CA57" s="179"/>
      <c r="CB57" s="130"/>
      <c r="CC57" s="178"/>
      <c r="CD57" s="184"/>
      <c r="CE57" s="130">
        <f t="shared" ref="CE57:CE67" si="118">$E57*0</f>
        <v>0</v>
      </c>
      <c r="CF57" s="179"/>
      <c r="CG57" s="130"/>
      <c r="CH57" s="178"/>
      <c r="CI57" s="184"/>
      <c r="CJ57" s="130">
        <f t="shared" ref="CJ57:CJ94" si="119">$E57*0</f>
        <v>0</v>
      </c>
      <c r="CK57" s="179"/>
      <c r="CL57" s="130"/>
      <c r="CM57" s="178"/>
      <c r="CN57" s="184"/>
      <c r="CO57" s="130">
        <f t="shared" ref="CO57:CO67" si="120">$E57*0</f>
        <v>0</v>
      </c>
      <c r="CP57" s="179"/>
      <c r="CQ57" s="130"/>
      <c r="CR57" s="178"/>
      <c r="CS57" s="184"/>
      <c r="CT57" s="130">
        <f t="shared" ref="CT57:CT94" si="121">$E57*0</f>
        <v>0</v>
      </c>
      <c r="CU57" s="179"/>
      <c r="CV57" s="130"/>
      <c r="CW57" s="178"/>
      <c r="CX57" s="184"/>
      <c r="CY57" s="130">
        <f t="shared" ref="CY57:CY67" si="122">$E57*0</f>
        <v>0</v>
      </c>
      <c r="CZ57" s="179"/>
      <c r="DA57" s="130"/>
      <c r="DB57" s="178"/>
      <c r="DC57" s="184"/>
      <c r="DD57" s="130">
        <f t="shared" ref="DD57:DD94" si="123">$E57*0</f>
        <v>0</v>
      </c>
      <c r="DE57" s="179"/>
      <c r="DF57" s="130"/>
      <c r="DG57" s="178"/>
      <c r="DH57" s="184"/>
      <c r="DI57" s="130">
        <f t="shared" ref="DI57:DI67" si="124">$E57*0</f>
        <v>0</v>
      </c>
      <c r="DJ57" s="179"/>
      <c r="DK57" s="130"/>
      <c r="DL57" s="178"/>
      <c r="DM57" s="184"/>
      <c r="DN57" s="130">
        <f t="shared" ref="DN57:DN94" si="125">$E57*0</f>
        <v>0</v>
      </c>
      <c r="DO57" s="194"/>
      <c r="DP57" s="130"/>
      <c r="DQ57" s="178"/>
      <c r="DR57" s="184"/>
      <c r="DS57" s="130">
        <f t="shared" ref="DS57:DS67" si="126">$E57*0</f>
        <v>0</v>
      </c>
      <c r="DT57" s="109"/>
      <c r="DU57" s="130"/>
      <c r="DV57" s="180">
        <f t="shared" si="15"/>
        <v>0</v>
      </c>
      <c r="DW57" s="181">
        <f>Автовик_разбивка[[#This Row],[Цена, 
юань, без НДС 1]]*DV57</f>
        <v>0</v>
      </c>
      <c r="DX57" s="186">
        <f t="shared" si="16"/>
        <v>0</v>
      </c>
      <c r="DY57" s="186">
        <f>Автовик_разбивка[[#This Row],[Цена, 
юань, без НДС 1]]*DX57</f>
        <v>0</v>
      </c>
      <c r="DZ57" s="130">
        <f t="shared" si="17"/>
        <v>0</v>
      </c>
      <c r="EA57" s="187">
        <f>Автовик_разбивка[[#This Row],[Цена, 
юань, без НДС 1]]*DZ57</f>
        <v>0</v>
      </c>
      <c r="EB57" s="109">
        <f t="shared" si="18"/>
        <v>0</v>
      </c>
      <c r="EC57" s="224">
        <f>Автовик_разбивка[[#This Row],[Цена, 
юань, без НДС 1]]*EB57</f>
        <v>0</v>
      </c>
    </row>
    <row r="58" spans="1:133">
      <c r="A58" s="221">
        <v>11</v>
      </c>
      <c r="B58" s="172" t="s">
        <v>317</v>
      </c>
      <c r="C58" s="173" t="s">
        <v>298</v>
      </c>
      <c r="D58" s="173" t="s">
        <v>300</v>
      </c>
      <c r="E58" s="174">
        <v>1</v>
      </c>
      <c r="F58" s="174"/>
      <c r="G58" s="174"/>
      <c r="H58" s="175">
        <v>4630840310</v>
      </c>
      <c r="I58" s="176" t="s">
        <v>135</v>
      </c>
      <c r="J58" s="222"/>
      <c r="K58" s="223"/>
      <c r="L58" s="178">
        <v>2</v>
      </c>
      <c r="M58" s="130">
        <f t="shared" si="105"/>
        <v>2</v>
      </c>
      <c r="N58" s="179">
        <v>0</v>
      </c>
      <c r="O58" s="130"/>
      <c r="P58" s="178">
        <v>5</v>
      </c>
      <c r="Q58" s="130">
        <f t="shared" si="106"/>
        <v>0</v>
      </c>
      <c r="R58" s="179">
        <v>0</v>
      </c>
      <c r="S58" s="130"/>
      <c r="T58" s="178">
        <v>10</v>
      </c>
      <c r="U58" s="130">
        <f t="shared" si="107"/>
        <v>20</v>
      </c>
      <c r="V58" s="179">
        <v>18</v>
      </c>
      <c r="W58" s="130"/>
      <c r="X58" s="178">
        <v>10</v>
      </c>
      <c r="Y58" s="130">
        <f t="shared" si="108"/>
        <v>10</v>
      </c>
      <c r="Z58" s="179">
        <v>2</v>
      </c>
      <c r="AA58" s="130"/>
      <c r="AB58" s="178">
        <v>10</v>
      </c>
      <c r="AC58" s="130">
        <f t="shared" si="109"/>
        <v>10</v>
      </c>
      <c r="AD58" s="179"/>
      <c r="AE58" s="130"/>
      <c r="AF58" s="178">
        <v>10</v>
      </c>
      <c r="AG58" s="130">
        <f t="shared" si="110"/>
        <v>10</v>
      </c>
      <c r="AH58" s="179"/>
      <c r="AI58" s="130"/>
      <c r="AJ58" s="178">
        <v>10</v>
      </c>
      <c r="AK58" s="130">
        <f t="shared" si="111"/>
        <v>10</v>
      </c>
      <c r="AL58" s="179"/>
      <c r="AM58" s="130"/>
      <c r="AN58" s="178">
        <v>10</v>
      </c>
      <c r="AO58" s="130">
        <f t="shared" si="112"/>
        <v>10</v>
      </c>
      <c r="AP58" s="179"/>
      <c r="AQ58" s="130"/>
      <c r="AR58" s="178">
        <v>10</v>
      </c>
      <c r="AS58" s="130">
        <f t="shared" si="113"/>
        <v>5</v>
      </c>
      <c r="AT58" s="179"/>
      <c r="AU58" s="130"/>
      <c r="AV58" s="178">
        <v>10</v>
      </c>
      <c r="AW58" s="130">
        <f t="shared" si="114"/>
        <v>5</v>
      </c>
      <c r="AX58" s="179"/>
      <c r="AY58" s="130"/>
      <c r="AZ58" s="178">
        <v>10</v>
      </c>
      <c r="BA58" s="130"/>
      <c r="BB58" s="194"/>
      <c r="BC58" s="130"/>
      <c r="BD58" s="178">
        <v>10</v>
      </c>
      <c r="BE58" s="130"/>
      <c r="BF58" s="109"/>
      <c r="BG58" s="130"/>
      <c r="BH58" s="180">
        <f t="shared" si="12"/>
        <v>107</v>
      </c>
      <c r="BI58" s="181">
        <f>Автовик_разбивка[[#This Row],[Цена, 
юань, без НДС 1]]*BH58</f>
        <v>0</v>
      </c>
      <c r="BJ58" s="130">
        <f t="shared" si="13"/>
        <v>82</v>
      </c>
      <c r="BK58" s="187">
        <f>Автовик_разбивка[[#This Row],[Цена, 
юань, без НДС 1]]*BJ58</f>
        <v>0</v>
      </c>
      <c r="BL58" s="109">
        <f t="shared" si="14"/>
        <v>20</v>
      </c>
      <c r="BM58" s="224">
        <f>Автовик_разбивка[[#This Row],[Цена, 
юань, без НДС 1]]*BL58</f>
        <v>0</v>
      </c>
      <c r="BN58" s="178"/>
      <c r="BO58" s="184"/>
      <c r="BP58" s="130">
        <f t="shared" si="115"/>
        <v>0</v>
      </c>
      <c r="BQ58" s="179"/>
      <c r="BR58" s="130"/>
      <c r="BS58" s="178"/>
      <c r="BT58" s="184"/>
      <c r="BU58" s="130">
        <f t="shared" si="116"/>
        <v>0</v>
      </c>
      <c r="BV58" s="179"/>
      <c r="BW58" s="130"/>
      <c r="BX58" s="178"/>
      <c r="BY58" s="184"/>
      <c r="BZ58" s="130">
        <f t="shared" si="117"/>
        <v>0</v>
      </c>
      <c r="CA58" s="179"/>
      <c r="CB58" s="130"/>
      <c r="CC58" s="178"/>
      <c r="CD58" s="184"/>
      <c r="CE58" s="130">
        <f t="shared" si="118"/>
        <v>0</v>
      </c>
      <c r="CF58" s="179"/>
      <c r="CG58" s="130"/>
      <c r="CH58" s="178"/>
      <c r="CI58" s="184"/>
      <c r="CJ58" s="130">
        <f t="shared" si="119"/>
        <v>0</v>
      </c>
      <c r="CK58" s="179"/>
      <c r="CL58" s="130"/>
      <c r="CM58" s="178"/>
      <c r="CN58" s="184"/>
      <c r="CO58" s="130">
        <f t="shared" si="120"/>
        <v>0</v>
      </c>
      <c r="CP58" s="179"/>
      <c r="CQ58" s="130"/>
      <c r="CR58" s="178"/>
      <c r="CS58" s="184"/>
      <c r="CT58" s="130">
        <f t="shared" si="121"/>
        <v>0</v>
      </c>
      <c r="CU58" s="179"/>
      <c r="CV58" s="130"/>
      <c r="CW58" s="178"/>
      <c r="CX58" s="184"/>
      <c r="CY58" s="130">
        <f t="shared" si="122"/>
        <v>0</v>
      </c>
      <c r="CZ58" s="179"/>
      <c r="DA58" s="130"/>
      <c r="DB58" s="178"/>
      <c r="DC58" s="184"/>
      <c r="DD58" s="130">
        <f t="shared" si="123"/>
        <v>0</v>
      </c>
      <c r="DE58" s="179"/>
      <c r="DF58" s="130"/>
      <c r="DG58" s="178"/>
      <c r="DH58" s="184"/>
      <c r="DI58" s="130">
        <f t="shared" si="124"/>
        <v>0</v>
      </c>
      <c r="DJ58" s="179"/>
      <c r="DK58" s="130"/>
      <c r="DL58" s="178"/>
      <c r="DM58" s="184"/>
      <c r="DN58" s="130">
        <f t="shared" si="125"/>
        <v>0</v>
      </c>
      <c r="DO58" s="194"/>
      <c r="DP58" s="130"/>
      <c r="DQ58" s="178"/>
      <c r="DR58" s="184"/>
      <c r="DS58" s="130">
        <f t="shared" si="126"/>
        <v>0</v>
      </c>
      <c r="DT58" s="109"/>
      <c r="DU58" s="130"/>
      <c r="DV58" s="180">
        <f t="shared" si="15"/>
        <v>0</v>
      </c>
      <c r="DW58" s="181">
        <f>Автовик_разбивка[[#This Row],[Цена, 
юань, без НДС 1]]*DV58</f>
        <v>0</v>
      </c>
      <c r="DX58" s="186">
        <f t="shared" si="16"/>
        <v>0</v>
      </c>
      <c r="DY58" s="186">
        <f>Автовик_разбивка[[#This Row],[Цена, 
юань, без НДС 1]]*DX58</f>
        <v>0</v>
      </c>
      <c r="DZ58" s="130">
        <f t="shared" si="17"/>
        <v>0</v>
      </c>
      <c r="EA58" s="187">
        <f>Автовик_разбивка[[#This Row],[Цена, 
юань, без НДС 1]]*DZ58</f>
        <v>0</v>
      </c>
      <c r="EB58" s="109">
        <f t="shared" si="18"/>
        <v>0</v>
      </c>
      <c r="EC58" s="224">
        <f>Автовик_разбивка[[#This Row],[Цена, 
юань, без НДС 1]]*EB58</f>
        <v>0</v>
      </c>
    </row>
    <row r="59" spans="1:133">
      <c r="A59" s="221">
        <v>11</v>
      </c>
      <c r="B59" s="172" t="s">
        <v>317</v>
      </c>
      <c r="C59" s="173" t="s">
        <v>298</v>
      </c>
      <c r="D59" s="173" t="s">
        <v>311</v>
      </c>
      <c r="E59" s="174">
        <v>1</v>
      </c>
      <c r="F59" s="174"/>
      <c r="G59" s="174"/>
      <c r="H59" s="175">
        <v>4334010030</v>
      </c>
      <c r="I59" s="176" t="s">
        <v>81</v>
      </c>
      <c r="J59" s="222"/>
      <c r="K59" s="223"/>
      <c r="L59" s="178">
        <v>2</v>
      </c>
      <c r="M59" s="130">
        <f t="shared" si="105"/>
        <v>2</v>
      </c>
      <c r="N59" s="179">
        <v>0</v>
      </c>
      <c r="O59" s="130"/>
      <c r="P59" s="178">
        <v>5</v>
      </c>
      <c r="Q59" s="130">
        <f t="shared" si="106"/>
        <v>0</v>
      </c>
      <c r="R59" s="179">
        <v>0</v>
      </c>
      <c r="S59" s="130"/>
      <c r="T59" s="178">
        <v>10</v>
      </c>
      <c r="U59" s="130">
        <f t="shared" ref="U59:U60" si="127">$E59*10</f>
        <v>10</v>
      </c>
      <c r="V59" s="179">
        <v>9</v>
      </c>
      <c r="W59" s="130"/>
      <c r="X59" s="178">
        <v>10</v>
      </c>
      <c r="Y59" s="130">
        <f t="shared" si="108"/>
        <v>10</v>
      </c>
      <c r="Z59" s="179">
        <v>1</v>
      </c>
      <c r="AA59" s="130"/>
      <c r="AB59" s="178">
        <v>10</v>
      </c>
      <c r="AC59" s="130">
        <f t="shared" si="109"/>
        <v>10</v>
      </c>
      <c r="AD59" s="109"/>
      <c r="AE59" s="130"/>
      <c r="AF59" s="178">
        <v>10</v>
      </c>
      <c r="AG59" s="130">
        <f t="shared" si="110"/>
        <v>10</v>
      </c>
      <c r="AH59" s="109"/>
      <c r="AI59" s="130"/>
      <c r="AJ59" s="178">
        <v>10</v>
      </c>
      <c r="AK59" s="130">
        <f t="shared" si="111"/>
        <v>10</v>
      </c>
      <c r="AL59" s="109"/>
      <c r="AM59" s="130"/>
      <c r="AN59" s="178">
        <v>10</v>
      </c>
      <c r="AO59" s="130">
        <f t="shared" ref="AO59:AO71" si="128">$E59*6</f>
        <v>6</v>
      </c>
      <c r="AP59" s="109"/>
      <c r="AQ59" s="130"/>
      <c r="AR59" s="178">
        <v>10</v>
      </c>
      <c r="AS59" s="130">
        <f t="shared" si="113"/>
        <v>5</v>
      </c>
      <c r="AT59" s="109"/>
      <c r="AU59" s="130"/>
      <c r="AV59" s="178">
        <v>10</v>
      </c>
      <c r="AW59" s="130">
        <f t="shared" si="114"/>
        <v>5</v>
      </c>
      <c r="AX59" s="109"/>
      <c r="AY59" s="130"/>
      <c r="AZ59" s="178">
        <v>10</v>
      </c>
      <c r="BA59" s="130"/>
      <c r="BB59" s="194"/>
      <c r="BC59" s="130"/>
      <c r="BD59" s="178">
        <v>10</v>
      </c>
      <c r="BE59" s="130"/>
      <c r="BF59" s="109"/>
      <c r="BG59" s="130"/>
      <c r="BH59" s="180">
        <f t="shared" si="12"/>
        <v>107</v>
      </c>
      <c r="BI59" s="181">
        <f>Автовик_разбивка[[#This Row],[Цена, 
юань, без НДС 1]]*BH59</f>
        <v>0</v>
      </c>
      <c r="BJ59" s="130">
        <f t="shared" si="13"/>
        <v>68</v>
      </c>
      <c r="BK59" s="187">
        <f>Автовик_разбивка[[#This Row],[Цена, 
юань, без НДС 1]]*BJ59</f>
        <v>0</v>
      </c>
      <c r="BL59" s="109">
        <f t="shared" si="14"/>
        <v>10</v>
      </c>
      <c r="BM59" s="224">
        <f>Автовик_разбивка[[#This Row],[Цена, 
юань, без НДС 1]]*BL59</f>
        <v>0</v>
      </c>
      <c r="BN59" s="178"/>
      <c r="BO59" s="184"/>
      <c r="BP59" s="130">
        <f t="shared" si="115"/>
        <v>0</v>
      </c>
      <c r="BQ59" s="179"/>
      <c r="BR59" s="130"/>
      <c r="BS59" s="178"/>
      <c r="BT59" s="184"/>
      <c r="BU59" s="130">
        <f t="shared" si="116"/>
        <v>0</v>
      </c>
      <c r="BV59" s="179"/>
      <c r="BW59" s="130"/>
      <c r="BX59" s="178"/>
      <c r="BY59" s="184"/>
      <c r="BZ59" s="130">
        <f t="shared" si="117"/>
        <v>0</v>
      </c>
      <c r="CA59" s="179"/>
      <c r="CB59" s="130"/>
      <c r="CC59" s="178"/>
      <c r="CD59" s="184"/>
      <c r="CE59" s="130">
        <f t="shared" si="118"/>
        <v>0</v>
      </c>
      <c r="CF59" s="179"/>
      <c r="CG59" s="130"/>
      <c r="CH59" s="178"/>
      <c r="CI59" s="184"/>
      <c r="CJ59" s="130">
        <f t="shared" si="119"/>
        <v>0</v>
      </c>
      <c r="CK59" s="109"/>
      <c r="CL59" s="130"/>
      <c r="CM59" s="178"/>
      <c r="CN59" s="184"/>
      <c r="CO59" s="130">
        <f t="shared" si="120"/>
        <v>0</v>
      </c>
      <c r="CP59" s="109"/>
      <c r="CQ59" s="130"/>
      <c r="CR59" s="178"/>
      <c r="CS59" s="184"/>
      <c r="CT59" s="130">
        <f t="shared" si="121"/>
        <v>0</v>
      </c>
      <c r="CU59" s="109"/>
      <c r="CV59" s="130"/>
      <c r="CW59" s="178"/>
      <c r="CX59" s="184"/>
      <c r="CY59" s="130">
        <f t="shared" si="122"/>
        <v>0</v>
      </c>
      <c r="CZ59" s="109"/>
      <c r="DA59" s="130"/>
      <c r="DB59" s="178"/>
      <c r="DC59" s="184"/>
      <c r="DD59" s="130">
        <f t="shared" si="123"/>
        <v>0</v>
      </c>
      <c r="DE59" s="109"/>
      <c r="DF59" s="130"/>
      <c r="DG59" s="178"/>
      <c r="DH59" s="184"/>
      <c r="DI59" s="130">
        <f t="shared" si="124"/>
        <v>0</v>
      </c>
      <c r="DJ59" s="109"/>
      <c r="DK59" s="130"/>
      <c r="DL59" s="178"/>
      <c r="DM59" s="184"/>
      <c r="DN59" s="130">
        <f t="shared" si="125"/>
        <v>0</v>
      </c>
      <c r="DO59" s="194"/>
      <c r="DP59" s="130"/>
      <c r="DQ59" s="178"/>
      <c r="DR59" s="184"/>
      <c r="DS59" s="130">
        <f t="shared" si="126"/>
        <v>0</v>
      </c>
      <c r="DT59" s="109"/>
      <c r="DU59" s="130"/>
      <c r="DV59" s="180">
        <f t="shared" si="15"/>
        <v>0</v>
      </c>
      <c r="DW59" s="181">
        <f>Автовик_разбивка[[#This Row],[Цена, 
юань, без НДС 1]]*DV59</f>
        <v>0</v>
      </c>
      <c r="DX59" s="186">
        <f t="shared" si="16"/>
        <v>0</v>
      </c>
      <c r="DY59" s="186">
        <f>Автовик_разбивка[[#This Row],[Цена, 
юань, без НДС 1]]*DX59</f>
        <v>0</v>
      </c>
      <c r="DZ59" s="130">
        <f t="shared" si="17"/>
        <v>0</v>
      </c>
      <c r="EA59" s="187">
        <f>Автовик_разбивка[[#This Row],[Цена, 
юань, без НДС 1]]*DZ59</f>
        <v>0</v>
      </c>
      <c r="EB59" s="109">
        <f t="shared" si="18"/>
        <v>0</v>
      </c>
      <c r="EC59" s="224">
        <f>Автовик_разбивка[[#This Row],[Цена, 
юань, без НДС 1]]*EB59</f>
        <v>0</v>
      </c>
    </row>
    <row r="60" spans="1:133">
      <c r="A60" s="221">
        <v>11</v>
      </c>
      <c r="B60" s="172" t="s">
        <v>317</v>
      </c>
      <c r="C60" s="173" t="s">
        <v>298</v>
      </c>
      <c r="D60" s="173" t="s">
        <v>311</v>
      </c>
      <c r="E60" s="174">
        <v>1</v>
      </c>
      <c r="F60" s="174"/>
      <c r="G60" s="174"/>
      <c r="H60" s="175">
        <v>4491731500</v>
      </c>
      <c r="I60" s="176" t="s">
        <v>77</v>
      </c>
      <c r="J60" s="222"/>
      <c r="K60" s="223"/>
      <c r="L60" s="178">
        <v>2</v>
      </c>
      <c r="M60" s="130">
        <f t="shared" si="105"/>
        <v>2</v>
      </c>
      <c r="N60" s="179">
        <v>0</v>
      </c>
      <c r="O60" s="130"/>
      <c r="P60" s="178">
        <v>5</v>
      </c>
      <c r="Q60" s="130">
        <f t="shared" si="106"/>
        <v>0</v>
      </c>
      <c r="R60" s="179">
        <v>0</v>
      </c>
      <c r="S60" s="130"/>
      <c r="T60" s="178">
        <v>10</v>
      </c>
      <c r="U60" s="130">
        <f t="shared" si="127"/>
        <v>10</v>
      </c>
      <c r="V60" s="179">
        <v>9</v>
      </c>
      <c r="W60" s="130"/>
      <c r="X60" s="178">
        <v>10</v>
      </c>
      <c r="Y60" s="130">
        <f t="shared" si="108"/>
        <v>10</v>
      </c>
      <c r="Z60" s="179">
        <v>1</v>
      </c>
      <c r="AA60" s="130"/>
      <c r="AB60" s="178">
        <v>10</v>
      </c>
      <c r="AC60" s="130">
        <f t="shared" si="109"/>
        <v>10</v>
      </c>
      <c r="AD60" s="109"/>
      <c r="AE60" s="130"/>
      <c r="AF60" s="178">
        <v>10</v>
      </c>
      <c r="AG60" s="130">
        <f t="shared" si="110"/>
        <v>10</v>
      </c>
      <c r="AH60" s="109"/>
      <c r="AI60" s="130"/>
      <c r="AJ60" s="178">
        <v>10</v>
      </c>
      <c r="AK60" s="130">
        <f t="shared" si="111"/>
        <v>10</v>
      </c>
      <c r="AL60" s="109"/>
      <c r="AM60" s="130"/>
      <c r="AN60" s="178">
        <v>10</v>
      </c>
      <c r="AO60" s="130">
        <f t="shared" si="128"/>
        <v>6</v>
      </c>
      <c r="AP60" s="109"/>
      <c r="AQ60" s="130"/>
      <c r="AR60" s="178">
        <v>10</v>
      </c>
      <c r="AS60" s="130">
        <f t="shared" si="113"/>
        <v>5</v>
      </c>
      <c r="AT60" s="109"/>
      <c r="AU60" s="130"/>
      <c r="AV60" s="178">
        <v>10</v>
      </c>
      <c r="AW60" s="130">
        <f t="shared" si="114"/>
        <v>5</v>
      </c>
      <c r="AX60" s="109"/>
      <c r="AY60" s="130"/>
      <c r="AZ60" s="178">
        <v>10</v>
      </c>
      <c r="BA60" s="130"/>
      <c r="BB60" s="193"/>
      <c r="BC60" s="130"/>
      <c r="BD60" s="178">
        <v>10</v>
      </c>
      <c r="BE60" s="130"/>
      <c r="BF60" s="109"/>
      <c r="BG60" s="130"/>
      <c r="BH60" s="180">
        <f t="shared" si="12"/>
        <v>107</v>
      </c>
      <c r="BI60" s="181">
        <f>Автовик_разбивка[[#This Row],[Цена, 
юань, без НДС 1]]*BH60</f>
        <v>0</v>
      </c>
      <c r="BJ60" s="130">
        <f t="shared" si="13"/>
        <v>68</v>
      </c>
      <c r="BK60" s="187">
        <f>Автовик_разбивка[[#This Row],[Цена, 
юань, без НДС 1]]*BJ60</f>
        <v>0</v>
      </c>
      <c r="BL60" s="109">
        <f t="shared" si="14"/>
        <v>10</v>
      </c>
      <c r="BM60" s="224">
        <f>Автовик_разбивка[[#This Row],[Цена, 
юань, без НДС 1]]*BL60</f>
        <v>0</v>
      </c>
      <c r="BN60" s="178"/>
      <c r="BO60" s="184"/>
      <c r="BP60" s="130">
        <f t="shared" si="115"/>
        <v>0</v>
      </c>
      <c r="BQ60" s="179"/>
      <c r="BR60" s="130"/>
      <c r="BS60" s="178"/>
      <c r="BT60" s="184"/>
      <c r="BU60" s="130">
        <f t="shared" si="116"/>
        <v>0</v>
      </c>
      <c r="BV60" s="179"/>
      <c r="BW60" s="130"/>
      <c r="BX60" s="178"/>
      <c r="BY60" s="184"/>
      <c r="BZ60" s="130">
        <f t="shared" si="117"/>
        <v>0</v>
      </c>
      <c r="CA60" s="179"/>
      <c r="CB60" s="130"/>
      <c r="CC60" s="178"/>
      <c r="CD60" s="184"/>
      <c r="CE60" s="130">
        <f t="shared" si="118"/>
        <v>0</v>
      </c>
      <c r="CF60" s="179"/>
      <c r="CG60" s="130"/>
      <c r="CH60" s="178"/>
      <c r="CI60" s="184"/>
      <c r="CJ60" s="130">
        <f t="shared" si="119"/>
        <v>0</v>
      </c>
      <c r="CK60" s="109"/>
      <c r="CL60" s="130"/>
      <c r="CM60" s="178"/>
      <c r="CN60" s="184"/>
      <c r="CO60" s="130">
        <f t="shared" si="120"/>
        <v>0</v>
      </c>
      <c r="CP60" s="109"/>
      <c r="CQ60" s="130"/>
      <c r="CR60" s="178"/>
      <c r="CS60" s="184"/>
      <c r="CT60" s="130">
        <f t="shared" si="121"/>
        <v>0</v>
      </c>
      <c r="CU60" s="109"/>
      <c r="CV60" s="130"/>
      <c r="CW60" s="178"/>
      <c r="CX60" s="184"/>
      <c r="CY60" s="130">
        <f t="shared" si="122"/>
        <v>0</v>
      </c>
      <c r="CZ60" s="109"/>
      <c r="DA60" s="130"/>
      <c r="DB60" s="178"/>
      <c r="DC60" s="184"/>
      <c r="DD60" s="130">
        <f t="shared" si="123"/>
        <v>0</v>
      </c>
      <c r="DE60" s="109"/>
      <c r="DF60" s="130"/>
      <c r="DG60" s="178"/>
      <c r="DH60" s="184"/>
      <c r="DI60" s="130">
        <f t="shared" si="124"/>
        <v>0</v>
      </c>
      <c r="DJ60" s="109"/>
      <c r="DK60" s="130"/>
      <c r="DL60" s="178"/>
      <c r="DM60" s="184"/>
      <c r="DN60" s="130">
        <f t="shared" si="125"/>
        <v>0</v>
      </c>
      <c r="DO60" s="193"/>
      <c r="DP60" s="130"/>
      <c r="DQ60" s="178"/>
      <c r="DR60" s="184"/>
      <c r="DS60" s="130">
        <f t="shared" si="126"/>
        <v>0</v>
      </c>
      <c r="DT60" s="109"/>
      <c r="DU60" s="130"/>
      <c r="DV60" s="180">
        <f t="shared" si="15"/>
        <v>0</v>
      </c>
      <c r="DW60" s="181">
        <f>Автовик_разбивка[[#This Row],[Цена, 
юань, без НДС 1]]*DV60</f>
        <v>0</v>
      </c>
      <c r="DX60" s="186">
        <f t="shared" si="16"/>
        <v>0</v>
      </c>
      <c r="DY60" s="186">
        <f>Автовик_разбивка[[#This Row],[Цена, 
юань, без НДС 1]]*DX60</f>
        <v>0</v>
      </c>
      <c r="DZ60" s="130">
        <f t="shared" si="17"/>
        <v>0</v>
      </c>
      <c r="EA60" s="187">
        <f>Автовик_разбивка[[#This Row],[Цена, 
юань, без НДС 1]]*DZ60</f>
        <v>0</v>
      </c>
      <c r="EB60" s="109">
        <f t="shared" si="18"/>
        <v>0</v>
      </c>
      <c r="EC60" s="224">
        <f>Автовик_разбивка[[#This Row],[Цена, 
юань, без НДС 1]]*EB60</f>
        <v>0</v>
      </c>
    </row>
    <row r="61" spans="1:133">
      <c r="A61" s="221">
        <v>11</v>
      </c>
      <c r="B61" s="172" t="s">
        <v>317</v>
      </c>
      <c r="C61" s="173" t="s">
        <v>298</v>
      </c>
      <c r="D61" s="173" t="s">
        <v>311</v>
      </c>
      <c r="E61" s="174">
        <v>2</v>
      </c>
      <c r="F61" s="174"/>
      <c r="G61" s="174"/>
      <c r="H61" s="175">
        <v>4497230500</v>
      </c>
      <c r="I61" s="176" t="s">
        <v>78</v>
      </c>
      <c r="J61" s="222"/>
      <c r="K61" s="223"/>
      <c r="L61" s="178">
        <v>4</v>
      </c>
      <c r="M61" s="130">
        <f t="shared" si="105"/>
        <v>4</v>
      </c>
      <c r="N61" s="179">
        <v>0</v>
      </c>
      <c r="O61" s="130"/>
      <c r="P61" s="178">
        <v>10</v>
      </c>
      <c r="Q61" s="130">
        <f t="shared" si="106"/>
        <v>0</v>
      </c>
      <c r="R61" s="179">
        <v>0</v>
      </c>
      <c r="S61" s="130"/>
      <c r="T61" s="178">
        <v>20</v>
      </c>
      <c r="U61" s="130">
        <f>($E61+2)*10</f>
        <v>40</v>
      </c>
      <c r="V61" s="179">
        <v>18</v>
      </c>
      <c r="W61" s="130"/>
      <c r="X61" s="178">
        <v>20</v>
      </c>
      <c r="Y61" s="130">
        <f t="shared" si="108"/>
        <v>20</v>
      </c>
      <c r="Z61" s="179">
        <v>2</v>
      </c>
      <c r="AA61" s="130"/>
      <c r="AB61" s="178">
        <v>20</v>
      </c>
      <c r="AC61" s="130">
        <f t="shared" si="109"/>
        <v>20</v>
      </c>
      <c r="AD61" s="109"/>
      <c r="AE61" s="130"/>
      <c r="AF61" s="178">
        <v>20</v>
      </c>
      <c r="AG61" s="130">
        <f t="shared" si="110"/>
        <v>20</v>
      </c>
      <c r="AH61" s="109"/>
      <c r="AI61" s="130"/>
      <c r="AJ61" s="178">
        <v>20</v>
      </c>
      <c r="AK61" s="130">
        <f t="shared" si="111"/>
        <v>20</v>
      </c>
      <c r="AL61" s="109"/>
      <c r="AM61" s="130"/>
      <c r="AN61" s="178">
        <v>20</v>
      </c>
      <c r="AO61" s="130">
        <f t="shared" si="128"/>
        <v>12</v>
      </c>
      <c r="AP61" s="109"/>
      <c r="AQ61" s="130"/>
      <c r="AR61" s="178">
        <v>20</v>
      </c>
      <c r="AS61" s="130">
        <f t="shared" si="113"/>
        <v>10</v>
      </c>
      <c r="AT61" s="109"/>
      <c r="AU61" s="130"/>
      <c r="AV61" s="178">
        <v>20</v>
      </c>
      <c r="AW61" s="130">
        <f t="shared" si="114"/>
        <v>10</v>
      </c>
      <c r="AX61" s="109"/>
      <c r="AY61" s="130"/>
      <c r="AZ61" s="178">
        <v>20</v>
      </c>
      <c r="BA61" s="130"/>
      <c r="BB61" s="193"/>
      <c r="BC61" s="130"/>
      <c r="BD61" s="178">
        <v>20</v>
      </c>
      <c r="BE61" s="130"/>
      <c r="BF61" s="109"/>
      <c r="BG61" s="130"/>
      <c r="BH61" s="180">
        <f t="shared" si="12"/>
        <v>214</v>
      </c>
      <c r="BI61" s="181">
        <f>Автовик_разбивка[[#This Row],[Цена, 
юань, без НДС 1]]*BH61</f>
        <v>0</v>
      </c>
      <c r="BJ61" s="130">
        <f t="shared" si="13"/>
        <v>156</v>
      </c>
      <c r="BK61" s="187">
        <f>Автовик_разбивка[[#This Row],[Цена, 
юань, без НДС 1]]*BJ61</f>
        <v>0</v>
      </c>
      <c r="BL61" s="109">
        <f t="shared" si="14"/>
        <v>20</v>
      </c>
      <c r="BM61" s="224">
        <f>Автовик_разбивка[[#This Row],[Цена, 
юань, без НДС 1]]*BL61</f>
        <v>0</v>
      </c>
      <c r="BN61" s="178"/>
      <c r="BO61" s="184"/>
      <c r="BP61" s="130">
        <f t="shared" si="115"/>
        <v>0</v>
      </c>
      <c r="BQ61" s="179"/>
      <c r="BR61" s="130"/>
      <c r="BS61" s="178"/>
      <c r="BT61" s="184"/>
      <c r="BU61" s="130">
        <f t="shared" si="116"/>
        <v>0</v>
      </c>
      <c r="BV61" s="179"/>
      <c r="BW61" s="130"/>
      <c r="BX61" s="178"/>
      <c r="BY61" s="184"/>
      <c r="BZ61" s="130">
        <f t="shared" si="117"/>
        <v>0</v>
      </c>
      <c r="CA61" s="179"/>
      <c r="CB61" s="130"/>
      <c r="CC61" s="178"/>
      <c r="CD61" s="184"/>
      <c r="CE61" s="130">
        <f t="shared" si="118"/>
        <v>0</v>
      </c>
      <c r="CF61" s="179"/>
      <c r="CG61" s="130"/>
      <c r="CH61" s="178"/>
      <c r="CI61" s="184"/>
      <c r="CJ61" s="130">
        <f t="shared" si="119"/>
        <v>0</v>
      </c>
      <c r="CK61" s="109"/>
      <c r="CL61" s="130"/>
      <c r="CM61" s="178"/>
      <c r="CN61" s="184"/>
      <c r="CO61" s="130">
        <f t="shared" si="120"/>
        <v>0</v>
      </c>
      <c r="CP61" s="109"/>
      <c r="CQ61" s="130"/>
      <c r="CR61" s="178"/>
      <c r="CS61" s="184"/>
      <c r="CT61" s="130">
        <f t="shared" si="121"/>
        <v>0</v>
      </c>
      <c r="CU61" s="109"/>
      <c r="CV61" s="130"/>
      <c r="CW61" s="178"/>
      <c r="CX61" s="184"/>
      <c r="CY61" s="130">
        <f t="shared" si="122"/>
        <v>0</v>
      </c>
      <c r="CZ61" s="109"/>
      <c r="DA61" s="130"/>
      <c r="DB61" s="178"/>
      <c r="DC61" s="184"/>
      <c r="DD61" s="130">
        <f t="shared" si="123"/>
        <v>0</v>
      </c>
      <c r="DE61" s="109"/>
      <c r="DF61" s="130"/>
      <c r="DG61" s="178"/>
      <c r="DH61" s="184"/>
      <c r="DI61" s="130">
        <f t="shared" si="124"/>
        <v>0</v>
      </c>
      <c r="DJ61" s="109"/>
      <c r="DK61" s="130"/>
      <c r="DL61" s="178"/>
      <c r="DM61" s="184"/>
      <c r="DN61" s="130">
        <f t="shared" si="125"/>
        <v>0</v>
      </c>
      <c r="DO61" s="193"/>
      <c r="DP61" s="130"/>
      <c r="DQ61" s="178"/>
      <c r="DR61" s="184"/>
      <c r="DS61" s="130">
        <f t="shared" si="126"/>
        <v>0</v>
      </c>
      <c r="DT61" s="109"/>
      <c r="DU61" s="130"/>
      <c r="DV61" s="180">
        <f t="shared" si="15"/>
        <v>0</v>
      </c>
      <c r="DW61" s="181">
        <f>Автовик_разбивка[[#This Row],[Цена, 
юань, без НДС 1]]*DV61</f>
        <v>0</v>
      </c>
      <c r="DX61" s="186">
        <f t="shared" si="16"/>
        <v>0</v>
      </c>
      <c r="DY61" s="186">
        <f>Автовик_разбивка[[#This Row],[Цена, 
юань, без НДС 1]]*DX61</f>
        <v>0</v>
      </c>
      <c r="DZ61" s="130">
        <f t="shared" si="17"/>
        <v>0</v>
      </c>
      <c r="EA61" s="187">
        <f>Автовик_разбивка[[#This Row],[Цена, 
юань, без НДС 1]]*DZ61</f>
        <v>0</v>
      </c>
      <c r="EB61" s="109">
        <f t="shared" si="18"/>
        <v>0</v>
      </c>
      <c r="EC61" s="224">
        <f>Автовик_разбивка[[#This Row],[Цена, 
юань, без НДС 1]]*EB61</f>
        <v>0</v>
      </c>
    </row>
    <row r="62" spans="1:133">
      <c r="A62" s="221">
        <v>11</v>
      </c>
      <c r="B62" s="172" t="s">
        <v>317</v>
      </c>
      <c r="C62" s="173" t="s">
        <v>298</v>
      </c>
      <c r="D62" s="173" t="s">
        <v>311</v>
      </c>
      <c r="E62" s="174">
        <v>1</v>
      </c>
      <c r="F62" s="174"/>
      <c r="G62" s="174"/>
      <c r="H62" s="175">
        <v>4630320200</v>
      </c>
      <c r="I62" s="176" t="s">
        <v>80</v>
      </c>
      <c r="J62" s="222"/>
      <c r="K62" s="223"/>
      <c r="L62" s="178">
        <v>2</v>
      </c>
      <c r="M62" s="130">
        <f t="shared" si="105"/>
        <v>2</v>
      </c>
      <c r="N62" s="179">
        <v>0</v>
      </c>
      <c r="O62" s="130"/>
      <c r="P62" s="178">
        <v>5</v>
      </c>
      <c r="Q62" s="130">
        <f t="shared" si="106"/>
        <v>0</v>
      </c>
      <c r="R62" s="179">
        <v>0</v>
      </c>
      <c r="S62" s="130"/>
      <c r="T62" s="178">
        <v>10</v>
      </c>
      <c r="U62" s="130">
        <f t="shared" ref="U62:U67" si="129">$E62*10</f>
        <v>10</v>
      </c>
      <c r="V62" s="179">
        <v>9</v>
      </c>
      <c r="W62" s="130"/>
      <c r="X62" s="178">
        <v>10</v>
      </c>
      <c r="Y62" s="130">
        <f t="shared" si="108"/>
        <v>10</v>
      </c>
      <c r="Z62" s="179">
        <v>1</v>
      </c>
      <c r="AA62" s="130"/>
      <c r="AB62" s="178">
        <v>10</v>
      </c>
      <c r="AC62" s="130">
        <f t="shared" si="109"/>
        <v>10</v>
      </c>
      <c r="AD62" s="109"/>
      <c r="AE62" s="130"/>
      <c r="AF62" s="178">
        <v>10</v>
      </c>
      <c r="AG62" s="130">
        <f t="shared" si="110"/>
        <v>10</v>
      </c>
      <c r="AH62" s="109"/>
      <c r="AI62" s="130"/>
      <c r="AJ62" s="178">
        <v>10</v>
      </c>
      <c r="AK62" s="130">
        <f t="shared" si="111"/>
        <v>10</v>
      </c>
      <c r="AL62" s="109"/>
      <c r="AM62" s="130"/>
      <c r="AN62" s="178">
        <v>10</v>
      </c>
      <c r="AO62" s="130">
        <f t="shared" si="128"/>
        <v>6</v>
      </c>
      <c r="AP62" s="109"/>
      <c r="AQ62" s="130"/>
      <c r="AR62" s="178">
        <v>10</v>
      </c>
      <c r="AS62" s="130">
        <f t="shared" si="113"/>
        <v>5</v>
      </c>
      <c r="AT62" s="109"/>
      <c r="AU62" s="130"/>
      <c r="AV62" s="178">
        <v>10</v>
      </c>
      <c r="AW62" s="130">
        <f t="shared" si="114"/>
        <v>5</v>
      </c>
      <c r="AX62" s="109"/>
      <c r="AY62" s="130"/>
      <c r="AZ62" s="178">
        <v>10</v>
      </c>
      <c r="BA62" s="130"/>
      <c r="BB62" s="194"/>
      <c r="BC62" s="130"/>
      <c r="BD62" s="178">
        <v>10</v>
      </c>
      <c r="BE62" s="130"/>
      <c r="BF62" s="109"/>
      <c r="BG62" s="130"/>
      <c r="BH62" s="180">
        <f t="shared" si="12"/>
        <v>107</v>
      </c>
      <c r="BI62" s="181">
        <f>Автовик_разбивка[[#This Row],[Цена, 
юань, без НДС 1]]*BH62</f>
        <v>0</v>
      </c>
      <c r="BJ62" s="130">
        <f t="shared" si="13"/>
        <v>68</v>
      </c>
      <c r="BK62" s="187">
        <f>Автовик_разбивка[[#This Row],[Цена, 
юань, без НДС 1]]*BJ62</f>
        <v>0</v>
      </c>
      <c r="BL62" s="109">
        <f t="shared" si="14"/>
        <v>10</v>
      </c>
      <c r="BM62" s="224">
        <f>Автовик_разбивка[[#This Row],[Цена, 
юань, без НДС 1]]*BL62</f>
        <v>0</v>
      </c>
      <c r="BN62" s="178"/>
      <c r="BO62" s="184"/>
      <c r="BP62" s="130">
        <f t="shared" si="115"/>
        <v>0</v>
      </c>
      <c r="BQ62" s="179"/>
      <c r="BR62" s="130"/>
      <c r="BS62" s="178"/>
      <c r="BT62" s="184"/>
      <c r="BU62" s="130">
        <f t="shared" si="116"/>
        <v>0</v>
      </c>
      <c r="BV62" s="179"/>
      <c r="BW62" s="130"/>
      <c r="BX62" s="178"/>
      <c r="BY62" s="184"/>
      <c r="BZ62" s="130">
        <f t="shared" si="117"/>
        <v>0</v>
      </c>
      <c r="CA62" s="179"/>
      <c r="CB62" s="130"/>
      <c r="CC62" s="178"/>
      <c r="CD62" s="184"/>
      <c r="CE62" s="130">
        <f t="shared" si="118"/>
        <v>0</v>
      </c>
      <c r="CF62" s="179"/>
      <c r="CG62" s="130"/>
      <c r="CH62" s="178"/>
      <c r="CI62" s="184"/>
      <c r="CJ62" s="130">
        <f t="shared" si="119"/>
        <v>0</v>
      </c>
      <c r="CK62" s="109"/>
      <c r="CL62" s="130"/>
      <c r="CM62" s="178"/>
      <c r="CN62" s="184"/>
      <c r="CO62" s="130">
        <f t="shared" si="120"/>
        <v>0</v>
      </c>
      <c r="CP62" s="109"/>
      <c r="CQ62" s="130"/>
      <c r="CR62" s="178"/>
      <c r="CS62" s="184"/>
      <c r="CT62" s="130">
        <f t="shared" si="121"/>
        <v>0</v>
      </c>
      <c r="CU62" s="109"/>
      <c r="CV62" s="130"/>
      <c r="CW62" s="178"/>
      <c r="CX62" s="184"/>
      <c r="CY62" s="130">
        <f t="shared" si="122"/>
        <v>0</v>
      </c>
      <c r="CZ62" s="109"/>
      <c r="DA62" s="130"/>
      <c r="DB62" s="178"/>
      <c r="DC62" s="184"/>
      <c r="DD62" s="130">
        <f t="shared" si="123"/>
        <v>0</v>
      </c>
      <c r="DE62" s="109"/>
      <c r="DF62" s="130"/>
      <c r="DG62" s="178"/>
      <c r="DH62" s="184"/>
      <c r="DI62" s="130">
        <f t="shared" si="124"/>
        <v>0</v>
      </c>
      <c r="DJ62" s="109"/>
      <c r="DK62" s="130"/>
      <c r="DL62" s="178"/>
      <c r="DM62" s="184"/>
      <c r="DN62" s="130">
        <f t="shared" si="125"/>
        <v>0</v>
      </c>
      <c r="DO62" s="194"/>
      <c r="DP62" s="130"/>
      <c r="DQ62" s="178"/>
      <c r="DR62" s="184"/>
      <c r="DS62" s="130">
        <f t="shared" si="126"/>
        <v>0</v>
      </c>
      <c r="DT62" s="109"/>
      <c r="DU62" s="130"/>
      <c r="DV62" s="180">
        <f t="shared" si="15"/>
        <v>0</v>
      </c>
      <c r="DW62" s="181">
        <f>Автовик_разбивка[[#This Row],[Цена, 
юань, без НДС 1]]*DV62</f>
        <v>0</v>
      </c>
      <c r="DX62" s="186">
        <f t="shared" si="16"/>
        <v>0</v>
      </c>
      <c r="DY62" s="186">
        <f>Автовик_разбивка[[#This Row],[Цена, 
юань, без НДС 1]]*DX62</f>
        <v>0</v>
      </c>
      <c r="DZ62" s="130">
        <f t="shared" si="17"/>
        <v>0</v>
      </c>
      <c r="EA62" s="187">
        <f>Автовик_разбивка[[#This Row],[Цена, 
юань, без НДС 1]]*DZ62</f>
        <v>0</v>
      </c>
      <c r="EB62" s="109">
        <f t="shared" si="18"/>
        <v>0</v>
      </c>
      <c r="EC62" s="224">
        <f>Автовик_разбивка[[#This Row],[Цена, 
юань, без НДС 1]]*EB62</f>
        <v>0</v>
      </c>
    </row>
    <row r="63" spans="1:133">
      <c r="A63" s="221">
        <v>11</v>
      </c>
      <c r="B63" s="172" t="s">
        <v>317</v>
      </c>
      <c r="C63" s="173" t="s">
        <v>298</v>
      </c>
      <c r="D63" s="173" t="s">
        <v>311</v>
      </c>
      <c r="E63" s="174">
        <v>1</v>
      </c>
      <c r="F63" s="174"/>
      <c r="G63" s="174"/>
      <c r="H63" s="175">
        <v>4640061000</v>
      </c>
      <c r="I63" s="176" t="s">
        <v>79</v>
      </c>
      <c r="J63" s="222"/>
      <c r="K63" s="223"/>
      <c r="L63" s="178">
        <v>2</v>
      </c>
      <c r="M63" s="130">
        <f t="shared" si="105"/>
        <v>2</v>
      </c>
      <c r="N63" s="179">
        <v>0</v>
      </c>
      <c r="O63" s="130"/>
      <c r="P63" s="178">
        <v>5</v>
      </c>
      <c r="Q63" s="130">
        <f t="shared" si="106"/>
        <v>0</v>
      </c>
      <c r="R63" s="179">
        <v>0</v>
      </c>
      <c r="S63" s="130"/>
      <c r="T63" s="178">
        <v>10</v>
      </c>
      <c r="U63" s="130">
        <f t="shared" si="129"/>
        <v>10</v>
      </c>
      <c r="V63" s="179">
        <v>9</v>
      </c>
      <c r="W63" s="130"/>
      <c r="X63" s="178">
        <v>10</v>
      </c>
      <c r="Y63" s="130">
        <f t="shared" si="108"/>
        <v>10</v>
      </c>
      <c r="Z63" s="179">
        <v>1</v>
      </c>
      <c r="AA63" s="130"/>
      <c r="AB63" s="178">
        <v>10</v>
      </c>
      <c r="AC63" s="130">
        <f t="shared" si="109"/>
        <v>10</v>
      </c>
      <c r="AD63" s="109"/>
      <c r="AE63" s="130"/>
      <c r="AF63" s="178">
        <v>10</v>
      </c>
      <c r="AG63" s="130">
        <f t="shared" si="110"/>
        <v>10</v>
      </c>
      <c r="AH63" s="109"/>
      <c r="AI63" s="130"/>
      <c r="AJ63" s="178">
        <v>10</v>
      </c>
      <c r="AK63" s="130">
        <f t="shared" si="111"/>
        <v>10</v>
      </c>
      <c r="AL63" s="109"/>
      <c r="AM63" s="130"/>
      <c r="AN63" s="178">
        <v>10</v>
      </c>
      <c r="AO63" s="130">
        <f t="shared" si="128"/>
        <v>6</v>
      </c>
      <c r="AP63" s="109"/>
      <c r="AQ63" s="130"/>
      <c r="AR63" s="178">
        <v>10</v>
      </c>
      <c r="AS63" s="130">
        <f t="shared" si="113"/>
        <v>5</v>
      </c>
      <c r="AT63" s="109"/>
      <c r="AU63" s="130"/>
      <c r="AV63" s="178">
        <v>10</v>
      </c>
      <c r="AW63" s="130">
        <f t="shared" si="114"/>
        <v>5</v>
      </c>
      <c r="AX63" s="109"/>
      <c r="AY63" s="130"/>
      <c r="AZ63" s="178">
        <v>10</v>
      </c>
      <c r="BA63" s="130"/>
      <c r="BB63" s="179"/>
      <c r="BC63" s="130"/>
      <c r="BD63" s="178">
        <v>10</v>
      </c>
      <c r="BE63" s="130"/>
      <c r="BF63" s="109"/>
      <c r="BG63" s="130"/>
      <c r="BH63" s="180">
        <f t="shared" si="12"/>
        <v>107</v>
      </c>
      <c r="BI63" s="181">
        <f>Автовик_разбивка[[#This Row],[Цена, 
юань, без НДС 1]]*BH63</f>
        <v>0</v>
      </c>
      <c r="BJ63" s="130">
        <f t="shared" si="13"/>
        <v>68</v>
      </c>
      <c r="BK63" s="187">
        <f>Автовик_разбивка[[#This Row],[Цена, 
юань, без НДС 1]]*BJ63</f>
        <v>0</v>
      </c>
      <c r="BL63" s="109">
        <f t="shared" si="14"/>
        <v>10</v>
      </c>
      <c r="BM63" s="224">
        <f>Автовик_разбивка[[#This Row],[Цена, 
юань, без НДС 1]]*BL63</f>
        <v>0</v>
      </c>
      <c r="BN63" s="178"/>
      <c r="BO63" s="184"/>
      <c r="BP63" s="130">
        <f t="shared" si="115"/>
        <v>0</v>
      </c>
      <c r="BQ63" s="179"/>
      <c r="BR63" s="130"/>
      <c r="BS63" s="178"/>
      <c r="BT63" s="184"/>
      <c r="BU63" s="130">
        <f t="shared" si="116"/>
        <v>0</v>
      </c>
      <c r="BV63" s="179"/>
      <c r="BW63" s="130"/>
      <c r="BX63" s="178"/>
      <c r="BY63" s="184"/>
      <c r="BZ63" s="130">
        <f t="shared" si="117"/>
        <v>0</v>
      </c>
      <c r="CA63" s="179"/>
      <c r="CB63" s="130"/>
      <c r="CC63" s="178"/>
      <c r="CD63" s="184"/>
      <c r="CE63" s="130">
        <f t="shared" si="118"/>
        <v>0</v>
      </c>
      <c r="CF63" s="179"/>
      <c r="CG63" s="130"/>
      <c r="CH63" s="178"/>
      <c r="CI63" s="184"/>
      <c r="CJ63" s="130">
        <f t="shared" si="119"/>
        <v>0</v>
      </c>
      <c r="CK63" s="109"/>
      <c r="CL63" s="130"/>
      <c r="CM63" s="178"/>
      <c r="CN63" s="184"/>
      <c r="CO63" s="130">
        <f t="shared" si="120"/>
        <v>0</v>
      </c>
      <c r="CP63" s="109"/>
      <c r="CQ63" s="130"/>
      <c r="CR63" s="178"/>
      <c r="CS63" s="184"/>
      <c r="CT63" s="130">
        <f t="shared" si="121"/>
        <v>0</v>
      </c>
      <c r="CU63" s="109"/>
      <c r="CV63" s="130"/>
      <c r="CW63" s="178"/>
      <c r="CX63" s="184"/>
      <c r="CY63" s="130">
        <f t="shared" si="122"/>
        <v>0</v>
      </c>
      <c r="CZ63" s="109"/>
      <c r="DA63" s="130"/>
      <c r="DB63" s="178"/>
      <c r="DC63" s="184"/>
      <c r="DD63" s="130">
        <f t="shared" si="123"/>
        <v>0</v>
      </c>
      <c r="DE63" s="109"/>
      <c r="DF63" s="130"/>
      <c r="DG63" s="178"/>
      <c r="DH63" s="184"/>
      <c r="DI63" s="130">
        <f t="shared" si="124"/>
        <v>0</v>
      </c>
      <c r="DJ63" s="109"/>
      <c r="DK63" s="130"/>
      <c r="DL63" s="178"/>
      <c r="DM63" s="184"/>
      <c r="DN63" s="130">
        <f t="shared" si="125"/>
        <v>0</v>
      </c>
      <c r="DO63" s="179"/>
      <c r="DP63" s="130"/>
      <c r="DQ63" s="178"/>
      <c r="DR63" s="184"/>
      <c r="DS63" s="130">
        <f t="shared" si="126"/>
        <v>0</v>
      </c>
      <c r="DT63" s="109"/>
      <c r="DU63" s="130"/>
      <c r="DV63" s="180">
        <f t="shared" si="15"/>
        <v>0</v>
      </c>
      <c r="DW63" s="181">
        <f>Автовик_разбивка[[#This Row],[Цена, 
юань, без НДС 1]]*DV63</f>
        <v>0</v>
      </c>
      <c r="DX63" s="186">
        <f t="shared" si="16"/>
        <v>0</v>
      </c>
      <c r="DY63" s="186">
        <f>Автовик_разбивка[[#This Row],[Цена, 
юань, без НДС 1]]*DX63</f>
        <v>0</v>
      </c>
      <c r="DZ63" s="130">
        <f t="shared" si="17"/>
        <v>0</v>
      </c>
      <c r="EA63" s="187">
        <f>Автовик_разбивка[[#This Row],[Цена, 
юань, без НДС 1]]*DZ63</f>
        <v>0</v>
      </c>
      <c r="EB63" s="109">
        <f t="shared" si="18"/>
        <v>0</v>
      </c>
      <c r="EC63" s="224">
        <f>Автовик_разбивка[[#This Row],[Цена, 
юань, без НДС 1]]*EB63</f>
        <v>0</v>
      </c>
    </row>
    <row r="64" spans="1:133">
      <c r="A64" s="221">
        <v>11</v>
      </c>
      <c r="B64" s="172" t="s">
        <v>317</v>
      </c>
      <c r="C64" s="173" t="s">
        <v>298</v>
      </c>
      <c r="D64" s="173" t="s">
        <v>311</v>
      </c>
      <c r="E64" s="174">
        <v>1</v>
      </c>
      <c r="F64" s="174"/>
      <c r="G64" s="174"/>
      <c r="H64" s="175">
        <v>4801020640</v>
      </c>
      <c r="I64" s="176" t="s">
        <v>76</v>
      </c>
      <c r="J64" s="222"/>
      <c r="K64" s="223"/>
      <c r="L64" s="178">
        <v>2</v>
      </c>
      <c r="M64" s="130">
        <f t="shared" si="105"/>
        <v>2</v>
      </c>
      <c r="N64" s="179">
        <v>0</v>
      </c>
      <c r="O64" s="130"/>
      <c r="P64" s="178">
        <v>5</v>
      </c>
      <c r="Q64" s="130">
        <f t="shared" si="106"/>
        <v>0</v>
      </c>
      <c r="R64" s="179">
        <v>0</v>
      </c>
      <c r="S64" s="130"/>
      <c r="T64" s="178">
        <v>10</v>
      </c>
      <c r="U64" s="130">
        <f t="shared" si="129"/>
        <v>10</v>
      </c>
      <c r="V64" s="179">
        <v>9</v>
      </c>
      <c r="W64" s="130"/>
      <c r="X64" s="178">
        <v>10</v>
      </c>
      <c r="Y64" s="130">
        <f t="shared" si="108"/>
        <v>10</v>
      </c>
      <c r="Z64" s="179">
        <v>1</v>
      </c>
      <c r="AA64" s="130"/>
      <c r="AB64" s="178">
        <v>10</v>
      </c>
      <c r="AC64" s="130">
        <f t="shared" si="109"/>
        <v>10</v>
      </c>
      <c r="AD64" s="109"/>
      <c r="AE64" s="130"/>
      <c r="AF64" s="178">
        <v>10</v>
      </c>
      <c r="AG64" s="130">
        <f t="shared" si="110"/>
        <v>10</v>
      </c>
      <c r="AH64" s="109"/>
      <c r="AI64" s="130"/>
      <c r="AJ64" s="178">
        <v>10</v>
      </c>
      <c r="AK64" s="130">
        <f t="shared" si="111"/>
        <v>10</v>
      </c>
      <c r="AL64" s="109"/>
      <c r="AM64" s="130"/>
      <c r="AN64" s="178">
        <v>10</v>
      </c>
      <c r="AO64" s="130">
        <f t="shared" si="128"/>
        <v>6</v>
      </c>
      <c r="AP64" s="109"/>
      <c r="AQ64" s="130"/>
      <c r="AR64" s="178">
        <v>10</v>
      </c>
      <c r="AS64" s="130">
        <f t="shared" si="113"/>
        <v>5</v>
      </c>
      <c r="AT64" s="109"/>
      <c r="AU64" s="130"/>
      <c r="AV64" s="178">
        <v>10</v>
      </c>
      <c r="AW64" s="130">
        <f t="shared" si="114"/>
        <v>5</v>
      </c>
      <c r="AX64" s="109"/>
      <c r="AY64" s="130"/>
      <c r="AZ64" s="178">
        <v>10</v>
      </c>
      <c r="BA64" s="130"/>
      <c r="BB64" s="193"/>
      <c r="BC64" s="130"/>
      <c r="BD64" s="178">
        <v>10</v>
      </c>
      <c r="BE64" s="130"/>
      <c r="BF64" s="109"/>
      <c r="BG64" s="130"/>
      <c r="BH64" s="180">
        <f t="shared" si="12"/>
        <v>107</v>
      </c>
      <c r="BI64" s="181">
        <f>Автовик_разбивка[[#This Row],[Цена, 
юань, без НДС 1]]*BH64</f>
        <v>0</v>
      </c>
      <c r="BJ64" s="130">
        <f t="shared" si="13"/>
        <v>68</v>
      </c>
      <c r="BK64" s="187">
        <f>Автовик_разбивка[[#This Row],[Цена, 
юань, без НДС 1]]*BJ64</f>
        <v>0</v>
      </c>
      <c r="BL64" s="109">
        <f t="shared" si="14"/>
        <v>10</v>
      </c>
      <c r="BM64" s="224">
        <f>Автовик_разбивка[[#This Row],[Цена, 
юань, без НДС 1]]*BL64</f>
        <v>0</v>
      </c>
      <c r="BN64" s="178"/>
      <c r="BO64" s="184"/>
      <c r="BP64" s="130">
        <f t="shared" si="115"/>
        <v>0</v>
      </c>
      <c r="BQ64" s="179"/>
      <c r="BR64" s="130"/>
      <c r="BS64" s="178"/>
      <c r="BT64" s="184"/>
      <c r="BU64" s="130">
        <f t="shared" si="116"/>
        <v>0</v>
      </c>
      <c r="BV64" s="179"/>
      <c r="BW64" s="130"/>
      <c r="BX64" s="178"/>
      <c r="BY64" s="184"/>
      <c r="BZ64" s="130">
        <f t="shared" si="117"/>
        <v>0</v>
      </c>
      <c r="CA64" s="179"/>
      <c r="CB64" s="130"/>
      <c r="CC64" s="178"/>
      <c r="CD64" s="184"/>
      <c r="CE64" s="130">
        <f t="shared" si="118"/>
        <v>0</v>
      </c>
      <c r="CF64" s="179"/>
      <c r="CG64" s="130"/>
      <c r="CH64" s="178"/>
      <c r="CI64" s="184"/>
      <c r="CJ64" s="130">
        <f t="shared" si="119"/>
        <v>0</v>
      </c>
      <c r="CK64" s="109"/>
      <c r="CL64" s="130"/>
      <c r="CM64" s="178"/>
      <c r="CN64" s="184"/>
      <c r="CO64" s="130">
        <f t="shared" si="120"/>
        <v>0</v>
      </c>
      <c r="CP64" s="109"/>
      <c r="CQ64" s="130"/>
      <c r="CR64" s="178"/>
      <c r="CS64" s="184"/>
      <c r="CT64" s="130">
        <f t="shared" si="121"/>
        <v>0</v>
      </c>
      <c r="CU64" s="109"/>
      <c r="CV64" s="130"/>
      <c r="CW64" s="178"/>
      <c r="CX64" s="184"/>
      <c r="CY64" s="130">
        <f t="shared" si="122"/>
        <v>0</v>
      </c>
      <c r="CZ64" s="109"/>
      <c r="DA64" s="130"/>
      <c r="DB64" s="178"/>
      <c r="DC64" s="184"/>
      <c r="DD64" s="130">
        <f t="shared" si="123"/>
        <v>0</v>
      </c>
      <c r="DE64" s="109"/>
      <c r="DF64" s="130"/>
      <c r="DG64" s="178"/>
      <c r="DH64" s="184"/>
      <c r="DI64" s="130">
        <f t="shared" si="124"/>
        <v>0</v>
      </c>
      <c r="DJ64" s="109"/>
      <c r="DK64" s="130"/>
      <c r="DL64" s="178"/>
      <c r="DM64" s="184"/>
      <c r="DN64" s="130">
        <f t="shared" si="125"/>
        <v>0</v>
      </c>
      <c r="DO64" s="193"/>
      <c r="DP64" s="130"/>
      <c r="DQ64" s="178"/>
      <c r="DR64" s="184"/>
      <c r="DS64" s="130">
        <f t="shared" si="126"/>
        <v>0</v>
      </c>
      <c r="DT64" s="109"/>
      <c r="DU64" s="130"/>
      <c r="DV64" s="180">
        <f t="shared" si="15"/>
        <v>0</v>
      </c>
      <c r="DW64" s="181">
        <f>Автовик_разбивка[[#This Row],[Цена, 
юань, без НДС 1]]*DV64</f>
        <v>0</v>
      </c>
      <c r="DX64" s="186">
        <f t="shared" si="16"/>
        <v>0</v>
      </c>
      <c r="DY64" s="186">
        <f>Автовик_разбивка[[#This Row],[Цена, 
юань, без НДС 1]]*DX64</f>
        <v>0</v>
      </c>
      <c r="DZ64" s="130">
        <f t="shared" si="17"/>
        <v>0</v>
      </c>
      <c r="EA64" s="187">
        <f>Автовик_разбивка[[#This Row],[Цена, 
юань, без НДС 1]]*DZ64</f>
        <v>0</v>
      </c>
      <c r="EB64" s="109">
        <f t="shared" si="18"/>
        <v>0</v>
      </c>
      <c r="EC64" s="224">
        <f>Автовик_разбивка[[#This Row],[Цена, 
юань, без НДС 1]]*EB64</f>
        <v>0</v>
      </c>
    </row>
    <row r="65" spans="1:133">
      <c r="A65" s="221">
        <v>11</v>
      </c>
      <c r="B65" s="172" t="s">
        <v>317</v>
      </c>
      <c r="C65" s="173" t="s">
        <v>298</v>
      </c>
      <c r="D65" s="173" t="s">
        <v>311</v>
      </c>
      <c r="E65" s="174">
        <v>1</v>
      </c>
      <c r="F65" s="174"/>
      <c r="G65" s="174"/>
      <c r="H65" s="175">
        <v>9522010010</v>
      </c>
      <c r="I65" s="176" t="s">
        <v>73</v>
      </c>
      <c r="J65" s="222"/>
      <c r="K65" s="227"/>
      <c r="L65" s="178">
        <v>2</v>
      </c>
      <c r="M65" s="130">
        <f t="shared" si="105"/>
        <v>2</v>
      </c>
      <c r="N65" s="179">
        <v>0</v>
      </c>
      <c r="O65" s="130"/>
      <c r="P65" s="178">
        <v>5</v>
      </c>
      <c r="Q65" s="130">
        <f t="shared" si="106"/>
        <v>0</v>
      </c>
      <c r="R65" s="179">
        <v>0</v>
      </c>
      <c r="S65" s="130"/>
      <c r="T65" s="178">
        <v>10</v>
      </c>
      <c r="U65" s="130">
        <f t="shared" si="129"/>
        <v>10</v>
      </c>
      <c r="V65" s="179">
        <v>9</v>
      </c>
      <c r="W65" s="130"/>
      <c r="X65" s="178">
        <v>10</v>
      </c>
      <c r="Y65" s="130">
        <f t="shared" si="108"/>
        <v>10</v>
      </c>
      <c r="Z65" s="179">
        <v>1</v>
      </c>
      <c r="AA65" s="130"/>
      <c r="AB65" s="178">
        <v>10</v>
      </c>
      <c r="AC65" s="130">
        <f t="shared" si="109"/>
        <v>10</v>
      </c>
      <c r="AD65" s="179"/>
      <c r="AE65" s="130"/>
      <c r="AF65" s="178">
        <v>10</v>
      </c>
      <c r="AG65" s="130">
        <f t="shared" si="110"/>
        <v>10</v>
      </c>
      <c r="AH65" s="179"/>
      <c r="AI65" s="130"/>
      <c r="AJ65" s="178">
        <v>10</v>
      </c>
      <c r="AK65" s="130">
        <f t="shared" si="111"/>
        <v>10</v>
      </c>
      <c r="AL65" s="179"/>
      <c r="AM65" s="130"/>
      <c r="AN65" s="178">
        <v>10</v>
      </c>
      <c r="AO65" s="130">
        <f t="shared" si="128"/>
        <v>6</v>
      </c>
      <c r="AP65" s="179"/>
      <c r="AQ65" s="130"/>
      <c r="AR65" s="178">
        <v>10</v>
      </c>
      <c r="AS65" s="130">
        <f t="shared" si="113"/>
        <v>5</v>
      </c>
      <c r="AT65" s="179"/>
      <c r="AU65" s="130"/>
      <c r="AV65" s="178">
        <v>10</v>
      </c>
      <c r="AW65" s="130">
        <f t="shared" si="114"/>
        <v>5</v>
      </c>
      <c r="AX65" s="179"/>
      <c r="AY65" s="130"/>
      <c r="AZ65" s="178">
        <v>10</v>
      </c>
      <c r="BA65" s="130"/>
      <c r="BB65" s="228"/>
      <c r="BC65" s="130"/>
      <c r="BD65" s="178">
        <v>10</v>
      </c>
      <c r="BE65" s="130"/>
      <c r="BF65" s="109"/>
      <c r="BG65" s="130"/>
      <c r="BH65" s="180">
        <f t="shared" si="12"/>
        <v>107</v>
      </c>
      <c r="BI65" s="181">
        <f>Автовик_разбивка[[#This Row],[Цена, 
юань, без НДС 1]]*BH65</f>
        <v>0</v>
      </c>
      <c r="BJ65" s="130">
        <f t="shared" si="13"/>
        <v>68</v>
      </c>
      <c r="BK65" s="187">
        <f>Автовик_разбивка[[#This Row],[Цена, 
юань, без НДС 1]]*BJ65</f>
        <v>0</v>
      </c>
      <c r="BL65" s="109">
        <f t="shared" si="14"/>
        <v>10</v>
      </c>
      <c r="BM65" s="224">
        <f>Автовик_разбивка[[#This Row],[Цена, 
юань, без НДС 1]]*BL65</f>
        <v>0</v>
      </c>
      <c r="BN65" s="178"/>
      <c r="BO65" s="184"/>
      <c r="BP65" s="130">
        <f t="shared" si="115"/>
        <v>0</v>
      </c>
      <c r="BQ65" s="179"/>
      <c r="BR65" s="130"/>
      <c r="BS65" s="178"/>
      <c r="BT65" s="184"/>
      <c r="BU65" s="130">
        <f t="shared" si="116"/>
        <v>0</v>
      </c>
      <c r="BV65" s="179"/>
      <c r="BW65" s="130"/>
      <c r="BX65" s="178"/>
      <c r="BY65" s="184"/>
      <c r="BZ65" s="130">
        <f t="shared" si="117"/>
        <v>0</v>
      </c>
      <c r="CA65" s="179"/>
      <c r="CB65" s="130"/>
      <c r="CC65" s="178"/>
      <c r="CD65" s="184"/>
      <c r="CE65" s="130">
        <f t="shared" si="118"/>
        <v>0</v>
      </c>
      <c r="CF65" s="179"/>
      <c r="CG65" s="130"/>
      <c r="CH65" s="178"/>
      <c r="CI65" s="184"/>
      <c r="CJ65" s="130">
        <f t="shared" si="119"/>
        <v>0</v>
      </c>
      <c r="CK65" s="179"/>
      <c r="CL65" s="130"/>
      <c r="CM65" s="178"/>
      <c r="CN65" s="184"/>
      <c r="CO65" s="130">
        <f t="shared" si="120"/>
        <v>0</v>
      </c>
      <c r="CP65" s="179"/>
      <c r="CQ65" s="130"/>
      <c r="CR65" s="178"/>
      <c r="CS65" s="184"/>
      <c r="CT65" s="130">
        <f t="shared" si="121"/>
        <v>0</v>
      </c>
      <c r="CU65" s="179"/>
      <c r="CV65" s="130"/>
      <c r="CW65" s="178"/>
      <c r="CX65" s="184"/>
      <c r="CY65" s="130">
        <f t="shared" si="122"/>
        <v>0</v>
      </c>
      <c r="CZ65" s="179"/>
      <c r="DA65" s="130"/>
      <c r="DB65" s="178"/>
      <c r="DC65" s="184"/>
      <c r="DD65" s="130">
        <f t="shared" si="123"/>
        <v>0</v>
      </c>
      <c r="DE65" s="179"/>
      <c r="DF65" s="130"/>
      <c r="DG65" s="178"/>
      <c r="DH65" s="184"/>
      <c r="DI65" s="130">
        <f t="shared" si="124"/>
        <v>0</v>
      </c>
      <c r="DJ65" s="179"/>
      <c r="DK65" s="130"/>
      <c r="DL65" s="178"/>
      <c r="DM65" s="184"/>
      <c r="DN65" s="130">
        <f t="shared" si="125"/>
        <v>0</v>
      </c>
      <c r="DO65" s="228"/>
      <c r="DP65" s="130"/>
      <c r="DQ65" s="178"/>
      <c r="DR65" s="184"/>
      <c r="DS65" s="130">
        <f t="shared" si="126"/>
        <v>0</v>
      </c>
      <c r="DT65" s="109"/>
      <c r="DU65" s="130"/>
      <c r="DV65" s="180">
        <f t="shared" si="15"/>
        <v>0</v>
      </c>
      <c r="DW65" s="181">
        <f>Автовик_разбивка[[#This Row],[Цена, 
юань, без НДС 1]]*DV65</f>
        <v>0</v>
      </c>
      <c r="DX65" s="186">
        <f t="shared" si="16"/>
        <v>0</v>
      </c>
      <c r="DY65" s="186">
        <f>Автовик_разбивка[[#This Row],[Цена, 
юань, без НДС 1]]*DX65</f>
        <v>0</v>
      </c>
      <c r="DZ65" s="130">
        <f t="shared" si="17"/>
        <v>0</v>
      </c>
      <c r="EA65" s="187">
        <f>Автовик_разбивка[[#This Row],[Цена, 
юань, без НДС 1]]*DZ65</f>
        <v>0</v>
      </c>
      <c r="EB65" s="109">
        <f t="shared" si="18"/>
        <v>0</v>
      </c>
      <c r="EC65" s="224">
        <f>Автовик_разбивка[[#This Row],[Цена, 
юань, без НДС 1]]*EB65</f>
        <v>0</v>
      </c>
    </row>
    <row r="66" spans="1:133">
      <c r="A66" s="221">
        <v>11</v>
      </c>
      <c r="B66" s="172" t="s">
        <v>317</v>
      </c>
      <c r="C66" s="173" t="s">
        <v>298</v>
      </c>
      <c r="D66" s="173" t="s">
        <v>311</v>
      </c>
      <c r="E66" s="174">
        <v>1</v>
      </c>
      <c r="F66" s="174"/>
      <c r="G66" s="174"/>
      <c r="H66" s="175">
        <v>9522010020</v>
      </c>
      <c r="I66" s="176" t="s">
        <v>74</v>
      </c>
      <c r="J66" s="222"/>
      <c r="K66" s="227"/>
      <c r="L66" s="178">
        <v>2</v>
      </c>
      <c r="M66" s="130">
        <f t="shared" si="105"/>
        <v>2</v>
      </c>
      <c r="N66" s="179">
        <v>0</v>
      </c>
      <c r="O66" s="130"/>
      <c r="P66" s="178">
        <v>5</v>
      </c>
      <c r="Q66" s="130">
        <f t="shared" si="106"/>
        <v>0</v>
      </c>
      <c r="R66" s="179">
        <v>0</v>
      </c>
      <c r="S66" s="130"/>
      <c r="T66" s="178">
        <v>10</v>
      </c>
      <c r="U66" s="130">
        <f t="shared" si="129"/>
        <v>10</v>
      </c>
      <c r="V66" s="179">
        <v>9</v>
      </c>
      <c r="W66" s="130"/>
      <c r="X66" s="178">
        <v>10</v>
      </c>
      <c r="Y66" s="130">
        <f t="shared" si="108"/>
        <v>10</v>
      </c>
      <c r="Z66" s="179">
        <v>1</v>
      </c>
      <c r="AA66" s="130"/>
      <c r="AB66" s="178">
        <v>10</v>
      </c>
      <c r="AC66" s="130">
        <f t="shared" si="109"/>
        <v>10</v>
      </c>
      <c r="AD66" s="179"/>
      <c r="AE66" s="130"/>
      <c r="AF66" s="178">
        <v>10</v>
      </c>
      <c r="AG66" s="130">
        <f t="shared" si="110"/>
        <v>10</v>
      </c>
      <c r="AH66" s="179"/>
      <c r="AI66" s="130"/>
      <c r="AJ66" s="178">
        <v>10</v>
      </c>
      <c r="AK66" s="130">
        <f t="shared" si="111"/>
        <v>10</v>
      </c>
      <c r="AL66" s="179"/>
      <c r="AM66" s="130"/>
      <c r="AN66" s="178">
        <v>10</v>
      </c>
      <c r="AO66" s="130">
        <f t="shared" si="128"/>
        <v>6</v>
      </c>
      <c r="AP66" s="179"/>
      <c r="AQ66" s="130"/>
      <c r="AR66" s="178">
        <v>10</v>
      </c>
      <c r="AS66" s="130">
        <f t="shared" si="113"/>
        <v>5</v>
      </c>
      <c r="AT66" s="179"/>
      <c r="AU66" s="130"/>
      <c r="AV66" s="178">
        <v>10</v>
      </c>
      <c r="AW66" s="130">
        <f t="shared" si="114"/>
        <v>5</v>
      </c>
      <c r="AX66" s="179"/>
      <c r="AY66" s="130"/>
      <c r="AZ66" s="178">
        <v>10</v>
      </c>
      <c r="BA66" s="130"/>
      <c r="BB66" s="228"/>
      <c r="BC66" s="130"/>
      <c r="BD66" s="178">
        <v>10</v>
      </c>
      <c r="BE66" s="130"/>
      <c r="BF66" s="109"/>
      <c r="BG66" s="130"/>
      <c r="BH66" s="180">
        <f t="shared" si="12"/>
        <v>107</v>
      </c>
      <c r="BI66" s="181">
        <f>Автовик_разбивка[[#This Row],[Цена, 
юань, без НДС 1]]*BH66</f>
        <v>0</v>
      </c>
      <c r="BJ66" s="130">
        <f t="shared" si="13"/>
        <v>68</v>
      </c>
      <c r="BK66" s="187">
        <f>Автовик_разбивка[[#This Row],[Цена, 
юань, без НДС 1]]*BJ66</f>
        <v>0</v>
      </c>
      <c r="BL66" s="109">
        <f t="shared" si="14"/>
        <v>10</v>
      </c>
      <c r="BM66" s="224">
        <f>Автовик_разбивка[[#This Row],[Цена, 
юань, без НДС 1]]*BL66</f>
        <v>0</v>
      </c>
      <c r="BN66" s="178"/>
      <c r="BO66" s="184"/>
      <c r="BP66" s="130">
        <f t="shared" si="115"/>
        <v>0</v>
      </c>
      <c r="BQ66" s="179"/>
      <c r="BR66" s="130"/>
      <c r="BS66" s="178"/>
      <c r="BT66" s="184"/>
      <c r="BU66" s="130">
        <f t="shared" si="116"/>
        <v>0</v>
      </c>
      <c r="BV66" s="179"/>
      <c r="BW66" s="130"/>
      <c r="BX66" s="178"/>
      <c r="BY66" s="184"/>
      <c r="BZ66" s="130">
        <f t="shared" si="117"/>
        <v>0</v>
      </c>
      <c r="CA66" s="179"/>
      <c r="CB66" s="130"/>
      <c r="CC66" s="178"/>
      <c r="CD66" s="184"/>
      <c r="CE66" s="130">
        <f t="shared" si="118"/>
        <v>0</v>
      </c>
      <c r="CF66" s="179"/>
      <c r="CG66" s="130"/>
      <c r="CH66" s="178"/>
      <c r="CI66" s="184"/>
      <c r="CJ66" s="130">
        <f t="shared" si="119"/>
        <v>0</v>
      </c>
      <c r="CK66" s="179"/>
      <c r="CL66" s="130"/>
      <c r="CM66" s="178"/>
      <c r="CN66" s="184"/>
      <c r="CO66" s="130">
        <f t="shared" si="120"/>
        <v>0</v>
      </c>
      <c r="CP66" s="179"/>
      <c r="CQ66" s="130"/>
      <c r="CR66" s="178"/>
      <c r="CS66" s="184"/>
      <c r="CT66" s="130">
        <f t="shared" si="121"/>
        <v>0</v>
      </c>
      <c r="CU66" s="179"/>
      <c r="CV66" s="130"/>
      <c r="CW66" s="178"/>
      <c r="CX66" s="184"/>
      <c r="CY66" s="130">
        <f t="shared" si="122"/>
        <v>0</v>
      </c>
      <c r="CZ66" s="179"/>
      <c r="DA66" s="130"/>
      <c r="DB66" s="178"/>
      <c r="DC66" s="184"/>
      <c r="DD66" s="130">
        <f t="shared" si="123"/>
        <v>0</v>
      </c>
      <c r="DE66" s="179"/>
      <c r="DF66" s="130"/>
      <c r="DG66" s="178"/>
      <c r="DH66" s="184"/>
      <c r="DI66" s="130">
        <f t="shared" si="124"/>
        <v>0</v>
      </c>
      <c r="DJ66" s="179"/>
      <c r="DK66" s="130"/>
      <c r="DL66" s="178"/>
      <c r="DM66" s="184"/>
      <c r="DN66" s="130">
        <f t="shared" si="125"/>
        <v>0</v>
      </c>
      <c r="DO66" s="228"/>
      <c r="DP66" s="130"/>
      <c r="DQ66" s="178"/>
      <c r="DR66" s="184"/>
      <c r="DS66" s="130">
        <f t="shared" si="126"/>
        <v>0</v>
      </c>
      <c r="DT66" s="109"/>
      <c r="DU66" s="130"/>
      <c r="DV66" s="180">
        <f t="shared" si="15"/>
        <v>0</v>
      </c>
      <c r="DW66" s="181">
        <f>Автовик_разбивка[[#This Row],[Цена, 
юань, без НДС 1]]*DV66</f>
        <v>0</v>
      </c>
      <c r="DX66" s="186">
        <f t="shared" si="16"/>
        <v>0</v>
      </c>
      <c r="DY66" s="186">
        <f>Автовик_разбивка[[#This Row],[Цена, 
юань, без НДС 1]]*DX66</f>
        <v>0</v>
      </c>
      <c r="DZ66" s="130">
        <f t="shared" si="17"/>
        <v>0</v>
      </c>
      <c r="EA66" s="187">
        <f>Автовик_разбивка[[#This Row],[Цена, 
юань, без НДС 1]]*DZ66</f>
        <v>0</v>
      </c>
      <c r="EB66" s="109">
        <f t="shared" si="18"/>
        <v>0</v>
      </c>
      <c r="EC66" s="224">
        <f>Автовик_разбивка[[#This Row],[Цена, 
юань, без НДС 1]]*EB66</f>
        <v>0</v>
      </c>
    </row>
    <row r="67" spans="1:133">
      <c r="A67" s="221">
        <v>11</v>
      </c>
      <c r="B67" s="172" t="s">
        <v>317</v>
      </c>
      <c r="C67" s="173" t="s">
        <v>298</v>
      </c>
      <c r="D67" s="173" t="s">
        <v>311</v>
      </c>
      <c r="E67" s="174">
        <v>1</v>
      </c>
      <c r="F67" s="174"/>
      <c r="G67" s="174"/>
      <c r="H67" s="175">
        <v>9710029000</v>
      </c>
      <c r="I67" s="176" t="s">
        <v>75</v>
      </c>
      <c r="J67" s="222"/>
      <c r="K67" s="223"/>
      <c r="L67" s="178">
        <v>2</v>
      </c>
      <c r="M67" s="130">
        <f t="shared" si="105"/>
        <v>2</v>
      </c>
      <c r="N67" s="179">
        <v>0</v>
      </c>
      <c r="O67" s="130"/>
      <c r="P67" s="178">
        <v>5</v>
      </c>
      <c r="Q67" s="130">
        <f t="shared" si="106"/>
        <v>0</v>
      </c>
      <c r="R67" s="179">
        <v>0</v>
      </c>
      <c r="S67" s="130"/>
      <c r="T67" s="178">
        <v>10</v>
      </c>
      <c r="U67" s="130">
        <f t="shared" si="129"/>
        <v>10</v>
      </c>
      <c r="V67" s="179">
        <v>9</v>
      </c>
      <c r="W67" s="130"/>
      <c r="X67" s="178">
        <v>10</v>
      </c>
      <c r="Y67" s="130">
        <f t="shared" si="108"/>
        <v>10</v>
      </c>
      <c r="Z67" s="179">
        <v>1</v>
      </c>
      <c r="AA67" s="130"/>
      <c r="AB67" s="178">
        <v>10</v>
      </c>
      <c r="AC67" s="130">
        <f t="shared" si="109"/>
        <v>10</v>
      </c>
      <c r="AD67" s="109"/>
      <c r="AE67" s="130"/>
      <c r="AF67" s="178">
        <v>10</v>
      </c>
      <c r="AG67" s="130">
        <f t="shared" si="110"/>
        <v>10</v>
      </c>
      <c r="AH67" s="109"/>
      <c r="AI67" s="130"/>
      <c r="AJ67" s="178">
        <v>10</v>
      </c>
      <c r="AK67" s="130">
        <f t="shared" si="111"/>
        <v>10</v>
      </c>
      <c r="AL67" s="109"/>
      <c r="AM67" s="130"/>
      <c r="AN67" s="178">
        <v>10</v>
      </c>
      <c r="AO67" s="130">
        <f t="shared" si="128"/>
        <v>6</v>
      </c>
      <c r="AP67" s="109"/>
      <c r="AQ67" s="130"/>
      <c r="AR67" s="178">
        <v>10</v>
      </c>
      <c r="AS67" s="130">
        <f t="shared" si="113"/>
        <v>5</v>
      </c>
      <c r="AT67" s="109"/>
      <c r="AU67" s="130"/>
      <c r="AV67" s="178">
        <v>10</v>
      </c>
      <c r="AW67" s="130">
        <f t="shared" si="114"/>
        <v>5</v>
      </c>
      <c r="AX67" s="109"/>
      <c r="AY67" s="130"/>
      <c r="AZ67" s="178">
        <v>10</v>
      </c>
      <c r="BA67" s="130"/>
      <c r="BB67" s="194"/>
      <c r="BC67" s="130"/>
      <c r="BD67" s="178">
        <v>10</v>
      </c>
      <c r="BE67" s="130"/>
      <c r="BF67" s="109"/>
      <c r="BG67" s="130"/>
      <c r="BH67" s="180">
        <f t="shared" si="12"/>
        <v>107</v>
      </c>
      <c r="BI67" s="181">
        <f>Автовик_разбивка[[#This Row],[Цена, 
юань, без НДС 1]]*BH67</f>
        <v>0</v>
      </c>
      <c r="BJ67" s="130">
        <f t="shared" si="13"/>
        <v>68</v>
      </c>
      <c r="BK67" s="187">
        <f>Автовик_разбивка[[#This Row],[Цена, 
юань, без НДС 1]]*BJ67</f>
        <v>0</v>
      </c>
      <c r="BL67" s="109">
        <f t="shared" si="14"/>
        <v>10</v>
      </c>
      <c r="BM67" s="224">
        <f>Автовик_разбивка[[#This Row],[Цена, 
юань, без НДС 1]]*BL67</f>
        <v>0</v>
      </c>
      <c r="BN67" s="178"/>
      <c r="BO67" s="184"/>
      <c r="BP67" s="130">
        <f t="shared" si="115"/>
        <v>0</v>
      </c>
      <c r="BQ67" s="179"/>
      <c r="BR67" s="130"/>
      <c r="BS67" s="178"/>
      <c r="BT67" s="184"/>
      <c r="BU67" s="130">
        <f t="shared" si="116"/>
        <v>0</v>
      </c>
      <c r="BV67" s="179"/>
      <c r="BW67" s="130"/>
      <c r="BX67" s="178"/>
      <c r="BY67" s="184"/>
      <c r="BZ67" s="130">
        <f t="shared" si="117"/>
        <v>0</v>
      </c>
      <c r="CA67" s="179"/>
      <c r="CB67" s="130"/>
      <c r="CC67" s="178"/>
      <c r="CD67" s="184"/>
      <c r="CE67" s="130">
        <f t="shared" si="118"/>
        <v>0</v>
      </c>
      <c r="CF67" s="179"/>
      <c r="CG67" s="130"/>
      <c r="CH67" s="178"/>
      <c r="CI67" s="184"/>
      <c r="CJ67" s="130">
        <f t="shared" si="119"/>
        <v>0</v>
      </c>
      <c r="CK67" s="109"/>
      <c r="CL67" s="130"/>
      <c r="CM67" s="178"/>
      <c r="CN67" s="184"/>
      <c r="CO67" s="130">
        <f t="shared" si="120"/>
        <v>0</v>
      </c>
      <c r="CP67" s="109"/>
      <c r="CQ67" s="130"/>
      <c r="CR67" s="178"/>
      <c r="CS67" s="184"/>
      <c r="CT67" s="130">
        <f t="shared" si="121"/>
        <v>0</v>
      </c>
      <c r="CU67" s="109"/>
      <c r="CV67" s="130"/>
      <c r="CW67" s="178"/>
      <c r="CX67" s="184"/>
      <c r="CY67" s="130">
        <f t="shared" si="122"/>
        <v>0</v>
      </c>
      <c r="CZ67" s="109"/>
      <c r="DA67" s="130"/>
      <c r="DB67" s="178"/>
      <c r="DC67" s="184"/>
      <c r="DD67" s="130">
        <f t="shared" si="123"/>
        <v>0</v>
      </c>
      <c r="DE67" s="109"/>
      <c r="DF67" s="130"/>
      <c r="DG67" s="178"/>
      <c r="DH67" s="184"/>
      <c r="DI67" s="130">
        <f t="shared" si="124"/>
        <v>0</v>
      </c>
      <c r="DJ67" s="109"/>
      <c r="DK67" s="130"/>
      <c r="DL67" s="178"/>
      <c r="DM67" s="184"/>
      <c r="DN67" s="130">
        <f t="shared" si="125"/>
        <v>0</v>
      </c>
      <c r="DO67" s="194"/>
      <c r="DP67" s="130"/>
      <c r="DQ67" s="178"/>
      <c r="DR67" s="184"/>
      <c r="DS67" s="130">
        <f t="shared" si="126"/>
        <v>0</v>
      </c>
      <c r="DT67" s="109"/>
      <c r="DU67" s="130"/>
      <c r="DV67" s="180">
        <f t="shared" si="15"/>
        <v>0</v>
      </c>
      <c r="DW67" s="181">
        <f>Автовик_разбивка[[#This Row],[Цена, 
юань, без НДС 1]]*DV67</f>
        <v>0</v>
      </c>
      <c r="DX67" s="186">
        <f t="shared" si="16"/>
        <v>0</v>
      </c>
      <c r="DY67" s="186">
        <f>Автовик_разбивка[[#This Row],[Цена, 
юань, без НДС 1]]*DX67</f>
        <v>0</v>
      </c>
      <c r="DZ67" s="130">
        <f t="shared" si="17"/>
        <v>0</v>
      </c>
      <c r="EA67" s="187">
        <f>Автовик_разбивка[[#This Row],[Цена, 
юань, без НДС 1]]*DZ67</f>
        <v>0</v>
      </c>
      <c r="EB67" s="109">
        <f t="shared" si="18"/>
        <v>0</v>
      </c>
      <c r="EC67" s="224">
        <f>Автовик_разбивка[[#This Row],[Цена, 
юань, без НДС 1]]*EB67</f>
        <v>0</v>
      </c>
    </row>
    <row r="68" spans="1:133">
      <c r="A68" s="221">
        <v>11</v>
      </c>
      <c r="B68" s="172" t="s">
        <v>317</v>
      </c>
      <c r="C68" s="132"/>
      <c r="D68" s="132"/>
      <c r="E68" s="229"/>
      <c r="F68" s="229"/>
      <c r="G68" s="229"/>
      <c r="H68" s="230"/>
      <c r="I68" s="231" t="s">
        <v>43</v>
      </c>
      <c r="J68" s="232"/>
      <c r="K68" s="232"/>
      <c r="L68" s="233"/>
      <c r="M68" s="234"/>
      <c r="N68" s="235"/>
      <c r="O68" s="234"/>
      <c r="P68" s="233"/>
      <c r="Q68" s="234"/>
      <c r="R68" s="235"/>
      <c r="S68" s="234"/>
      <c r="T68" s="233"/>
      <c r="U68" s="234"/>
      <c r="V68" s="235"/>
      <c r="W68" s="234"/>
      <c r="X68" s="233"/>
      <c r="Y68" s="234"/>
      <c r="Z68" s="179"/>
      <c r="AA68" s="234"/>
      <c r="AB68" s="233"/>
      <c r="AC68" s="234"/>
      <c r="AD68" s="235"/>
      <c r="AE68" s="234"/>
      <c r="AF68" s="233"/>
      <c r="AG68" s="234"/>
      <c r="AH68" s="179"/>
      <c r="AI68" s="234"/>
      <c r="AJ68" s="233"/>
      <c r="AK68" s="234"/>
      <c r="AL68" s="179"/>
      <c r="AM68" s="234"/>
      <c r="AN68" s="233"/>
      <c r="AO68" s="234"/>
      <c r="AP68" s="179"/>
      <c r="AQ68" s="234"/>
      <c r="AR68" s="233"/>
      <c r="AS68" s="234"/>
      <c r="AT68" s="179"/>
      <c r="AU68" s="234"/>
      <c r="AV68" s="233"/>
      <c r="AW68" s="234"/>
      <c r="AX68" s="235"/>
      <c r="AY68" s="234"/>
      <c r="AZ68" s="233"/>
      <c r="BA68" s="236"/>
      <c r="BB68" s="114"/>
      <c r="BC68" s="234"/>
      <c r="BD68" s="233"/>
      <c r="BE68" s="237"/>
      <c r="BF68" s="115"/>
      <c r="BG68" s="234"/>
      <c r="BH68" s="233">
        <f t="shared" si="12"/>
        <v>0</v>
      </c>
      <c r="BI68" s="238">
        <f>Автовик_разбивка[[#This Row],[Цена, 
юань, без НДС 1]]*BH68</f>
        <v>0</v>
      </c>
      <c r="BJ68" s="237">
        <f t="shared" si="13"/>
        <v>0</v>
      </c>
      <c r="BK68" s="239">
        <f>Автовик_разбивка[[#This Row],[Цена, 
юань, без НДС 1]]*BJ68</f>
        <v>0</v>
      </c>
      <c r="BL68" s="115">
        <f t="shared" si="14"/>
        <v>0</v>
      </c>
      <c r="BM68" s="240">
        <f>Автовик_разбивка[[#This Row],[Цена, 
юань, без НДС 1]]*BL68</f>
        <v>0</v>
      </c>
      <c r="BN68" s="233"/>
      <c r="BO68" s="241"/>
      <c r="BP68" s="234"/>
      <c r="BQ68" s="235"/>
      <c r="BR68" s="234"/>
      <c r="BS68" s="233"/>
      <c r="BT68" s="241"/>
      <c r="BU68" s="234"/>
      <c r="BV68" s="235"/>
      <c r="BW68" s="234"/>
      <c r="BX68" s="233"/>
      <c r="BY68" s="241"/>
      <c r="BZ68" s="234"/>
      <c r="CA68" s="235"/>
      <c r="CB68" s="234"/>
      <c r="CC68" s="233"/>
      <c r="CD68" s="241"/>
      <c r="CE68" s="234"/>
      <c r="CF68" s="179"/>
      <c r="CG68" s="234"/>
      <c r="CH68" s="233"/>
      <c r="CI68" s="241"/>
      <c r="CJ68" s="234"/>
      <c r="CK68" s="235"/>
      <c r="CL68" s="234"/>
      <c r="CM68" s="233"/>
      <c r="CN68" s="241"/>
      <c r="CO68" s="234"/>
      <c r="CP68" s="179"/>
      <c r="CQ68" s="234"/>
      <c r="CR68" s="233"/>
      <c r="CS68" s="241"/>
      <c r="CT68" s="234"/>
      <c r="CU68" s="179"/>
      <c r="CV68" s="234"/>
      <c r="CW68" s="233"/>
      <c r="CX68" s="241"/>
      <c r="CY68" s="234"/>
      <c r="CZ68" s="179"/>
      <c r="DA68" s="234"/>
      <c r="DB68" s="233"/>
      <c r="DC68" s="241"/>
      <c r="DD68" s="234"/>
      <c r="DE68" s="179"/>
      <c r="DF68" s="234"/>
      <c r="DG68" s="233"/>
      <c r="DH68" s="241"/>
      <c r="DI68" s="234"/>
      <c r="DJ68" s="235"/>
      <c r="DK68" s="234"/>
      <c r="DL68" s="233"/>
      <c r="DM68" s="241"/>
      <c r="DN68" s="236"/>
      <c r="DO68" s="114"/>
      <c r="DP68" s="234"/>
      <c r="DQ68" s="233"/>
      <c r="DR68" s="241"/>
      <c r="DS68" s="237"/>
      <c r="DT68" s="115"/>
      <c r="DU68" s="234"/>
      <c r="DV68" s="233">
        <f t="shared" si="15"/>
        <v>0</v>
      </c>
      <c r="DW68" s="238">
        <f>Автовик_разбивка[[#This Row],[Цена, 
юань, без НДС 1]]*DV68</f>
        <v>0</v>
      </c>
      <c r="DX68" s="242">
        <f t="shared" si="16"/>
        <v>0</v>
      </c>
      <c r="DY68" s="242">
        <f>Автовик_разбивка[[#This Row],[Цена, 
юань, без НДС 1]]*DX68</f>
        <v>0</v>
      </c>
      <c r="DZ68" s="237">
        <f t="shared" si="17"/>
        <v>0</v>
      </c>
      <c r="EA68" s="239">
        <f>Автовик_разбивка[[#This Row],[Цена, 
юань, без НДС 1]]*DZ68</f>
        <v>0</v>
      </c>
      <c r="EB68" s="115">
        <f t="shared" si="18"/>
        <v>0</v>
      </c>
      <c r="EC68" s="240">
        <f>Автовик_разбивка[[#This Row],[Цена, 
юань, без НДС 1]]*EB68</f>
        <v>0</v>
      </c>
    </row>
    <row r="69" spans="1:133">
      <c r="A69" s="221">
        <v>11</v>
      </c>
      <c r="B69" s="243" t="s">
        <v>317</v>
      </c>
      <c r="C69" s="244"/>
      <c r="D69" s="244"/>
      <c r="E69" s="245"/>
      <c r="F69" s="245"/>
      <c r="G69" s="245"/>
      <c r="H69" s="246"/>
      <c r="I69" s="247"/>
      <c r="J69" s="248"/>
      <c r="K69" s="248"/>
      <c r="L69" s="249"/>
      <c r="M69" s="249"/>
      <c r="N69" s="249"/>
      <c r="O69" s="249"/>
      <c r="P69" s="249"/>
      <c r="Q69" s="249"/>
      <c r="R69" s="249"/>
      <c r="S69" s="249"/>
      <c r="T69" s="249"/>
      <c r="U69" s="249"/>
      <c r="V69" s="249"/>
      <c r="W69" s="249"/>
      <c r="X69" s="249"/>
      <c r="Y69" s="249"/>
      <c r="Z69" s="249"/>
      <c r="AA69" s="249"/>
      <c r="AB69" s="249"/>
      <c r="AC69" s="249"/>
      <c r="AD69" s="249"/>
      <c r="AE69" s="249"/>
      <c r="AF69" s="249"/>
      <c r="AG69" s="249"/>
      <c r="AH69" s="249"/>
      <c r="AI69" s="249"/>
      <c r="AJ69" s="249"/>
      <c r="AK69" s="249"/>
      <c r="AL69" s="249"/>
      <c r="AM69" s="249"/>
      <c r="AN69" s="249"/>
      <c r="AO69" s="249"/>
      <c r="AP69" s="249"/>
      <c r="AQ69" s="249"/>
      <c r="AR69" s="249"/>
      <c r="AS69" s="249"/>
      <c r="AT69" s="249"/>
      <c r="AU69" s="249"/>
      <c r="AV69" s="249"/>
      <c r="AW69" s="249"/>
      <c r="AX69" s="250"/>
      <c r="AY69" s="249"/>
      <c r="AZ69" s="250"/>
      <c r="BA69" s="250"/>
      <c r="BB69" s="250"/>
      <c r="BC69" s="249"/>
      <c r="BD69" s="250"/>
      <c r="BE69" s="250"/>
      <c r="BF69" s="250"/>
      <c r="BG69" s="249"/>
      <c r="BH69" s="250">
        <f t="shared" ref="BH69:BH132" si="130">SUMPRODUCT(--(MOD(COLUMN($L69:$BG69),4)=MOD(COLUMN($L69),4)),$L69:$BG69)</f>
        <v>0</v>
      </c>
      <c r="BI69" s="251">
        <f>Автовик_разбивка[[#This Row],[Цена, 
юань, без НДС 1]]*BH69</f>
        <v>0</v>
      </c>
      <c r="BJ69" s="250">
        <f t="shared" ref="BJ69:BJ132" si="131">SUMPRODUCT(--(MOD(COLUMN($L69:$BG69),4)=MOD(COLUMN($L69)+1,4)),$L69:$BG69)</f>
        <v>0</v>
      </c>
      <c r="BK69" s="251">
        <f>Автовик_разбивка[[#This Row],[Цена, 
юань, без НДС 1]]*BJ69</f>
        <v>0</v>
      </c>
      <c r="BL69" s="250">
        <f t="shared" ref="BL69:BL132" si="132">SUMPRODUCT(--(MOD(COLUMN($L69:$BG69),4)=MOD(COLUMN($L69)+2,4)),$L69:$BG69)</f>
        <v>0</v>
      </c>
      <c r="BM69" s="251">
        <f>Автовик_разбивка[[#This Row],[Цена, 
юань, без НДС 1]]*BL69</f>
        <v>0</v>
      </c>
      <c r="BN69" s="249"/>
      <c r="BO69" s="249"/>
      <c r="BP69" s="249"/>
      <c r="BQ69" s="249"/>
      <c r="BR69" s="249"/>
      <c r="BS69" s="249"/>
      <c r="BT69" s="249"/>
      <c r="BU69" s="249"/>
      <c r="BV69" s="249"/>
      <c r="BW69" s="249"/>
      <c r="BX69" s="249"/>
      <c r="BY69" s="249"/>
      <c r="BZ69" s="249"/>
      <c r="CA69" s="249"/>
      <c r="CB69" s="249"/>
      <c r="CC69" s="249"/>
      <c r="CD69" s="249"/>
      <c r="CE69" s="249"/>
      <c r="CF69" s="249"/>
      <c r="CG69" s="249"/>
      <c r="CH69" s="249"/>
      <c r="CI69" s="249"/>
      <c r="CJ69" s="249"/>
      <c r="CK69" s="249"/>
      <c r="CL69" s="249"/>
      <c r="CM69" s="249"/>
      <c r="CN69" s="249"/>
      <c r="CO69" s="249"/>
      <c r="CP69" s="249"/>
      <c r="CQ69" s="249"/>
      <c r="CR69" s="249"/>
      <c r="CS69" s="249"/>
      <c r="CT69" s="249"/>
      <c r="CU69" s="249"/>
      <c r="CV69" s="249"/>
      <c r="CW69" s="249"/>
      <c r="CX69" s="249"/>
      <c r="CY69" s="249"/>
      <c r="CZ69" s="249"/>
      <c r="DA69" s="249"/>
      <c r="DB69" s="249"/>
      <c r="DC69" s="249"/>
      <c r="DD69" s="249"/>
      <c r="DE69" s="249"/>
      <c r="DF69" s="249"/>
      <c r="DG69" s="249"/>
      <c r="DH69" s="249"/>
      <c r="DI69" s="249"/>
      <c r="DJ69" s="250"/>
      <c r="DK69" s="249"/>
      <c r="DL69" s="250"/>
      <c r="DM69" s="250"/>
      <c r="DN69" s="250"/>
      <c r="DO69" s="250"/>
      <c r="DP69" s="249"/>
      <c r="DQ69" s="250"/>
      <c r="DR69" s="250"/>
      <c r="DS69" s="250"/>
      <c r="DT69" s="250"/>
      <c r="DU69" s="249"/>
      <c r="DV69" s="250">
        <f t="shared" ref="DV69:DV132" si="133">SUMPRODUCT(--(MOD(COLUMN($BN69:$DU69),5)=MOD(COLUMN($BN69),5)),$BN69:$DU69)</f>
        <v>0</v>
      </c>
      <c r="DW69" s="251">
        <f>Автовик_разбивка[[#This Row],[Цена, 
юань, без НДС 1]]*DV69</f>
        <v>0</v>
      </c>
      <c r="DX69" s="251">
        <f t="shared" ref="DX69:DX132" si="134">SUMPRODUCT(--(MOD(COLUMN($BN69:$DU69),5)=MOD(COLUMN($BN69)+1,5)),$BN69:$DU69)</f>
        <v>0</v>
      </c>
      <c r="DY69" s="251">
        <f>Автовик_разбивка[[#This Row],[Цена, 
юань, без НДС 1]]*DX69</f>
        <v>0</v>
      </c>
      <c r="DZ69" s="250">
        <f t="shared" ref="DZ69:DZ132" si="135">SUMPRODUCT(--(MOD(COLUMN($BN69:$DU69),5)=MOD(COLUMN($BN69)+2,5)),$BN69:$DU69)</f>
        <v>0</v>
      </c>
      <c r="EA69" s="251">
        <f>Автовик_разбивка[[#This Row],[Цена, 
юань, без НДС 1]]*DZ69</f>
        <v>0</v>
      </c>
      <c r="EB69" s="250">
        <f t="shared" ref="EB69:EB132" si="136">SUMPRODUCT(--(MOD(COLUMN($BN69:$DU69),5)=MOD(COLUMN($BN69)+3,5)),$BN69:$DU69)</f>
        <v>0</v>
      </c>
      <c r="EC69" s="251">
        <f>Автовик_разбивка[[#This Row],[Цена, 
юань, без НДС 1]]*EB69</f>
        <v>0</v>
      </c>
    </row>
    <row r="70" spans="1:133" s="255" customFormat="1">
      <c r="A70" s="256">
        <v>22</v>
      </c>
      <c r="B70" s="172" t="s">
        <v>318</v>
      </c>
      <c r="C70" s="173" t="s">
        <v>298</v>
      </c>
      <c r="D70" s="173" t="s">
        <v>300</v>
      </c>
      <c r="E70" s="174">
        <v>1</v>
      </c>
      <c r="F70" s="174"/>
      <c r="G70" s="174"/>
      <c r="H70" s="175">
        <v>4494430600</v>
      </c>
      <c r="I70" s="176" t="s">
        <v>136</v>
      </c>
      <c r="J70" s="222"/>
      <c r="K70" s="223"/>
      <c r="L70" s="178">
        <v>5</v>
      </c>
      <c r="M70" s="130">
        <f t="shared" ref="M70:M81" si="137">$E70*5</f>
        <v>5</v>
      </c>
      <c r="N70" s="179">
        <v>0</v>
      </c>
      <c r="O70" s="130"/>
      <c r="P70" s="178">
        <v>5</v>
      </c>
      <c r="Q70" s="130">
        <f t="shared" ref="Q70:Q81" si="138">$E70*5</f>
        <v>5</v>
      </c>
      <c r="R70" s="179">
        <v>10</v>
      </c>
      <c r="S70" s="130"/>
      <c r="T70" s="178">
        <v>5</v>
      </c>
      <c r="U70" s="130">
        <f t="shared" ref="U70:U81" si="139">$E70*5</f>
        <v>5</v>
      </c>
      <c r="V70" s="179">
        <v>0</v>
      </c>
      <c r="W70" s="130"/>
      <c r="X70" s="178">
        <v>5</v>
      </c>
      <c r="Y70" s="130">
        <f t="shared" ref="Y70:Y81" si="140">$E70*5</f>
        <v>5</v>
      </c>
      <c r="Z70" s="179">
        <v>10</v>
      </c>
      <c r="AA70" s="130"/>
      <c r="AB70" s="178">
        <v>5</v>
      </c>
      <c r="AC70" s="130">
        <f t="shared" ref="AC70:AC81" si="141">$E70*5</f>
        <v>5</v>
      </c>
      <c r="AD70" s="179"/>
      <c r="AE70" s="130"/>
      <c r="AF70" s="178">
        <v>5</v>
      </c>
      <c r="AG70" s="130">
        <f t="shared" ref="AG70:AG81" si="142">$E70*5</f>
        <v>5</v>
      </c>
      <c r="AH70" s="179"/>
      <c r="AI70" s="130"/>
      <c r="AJ70" s="178">
        <v>5</v>
      </c>
      <c r="AK70" s="130">
        <f t="shared" ref="AK70:AK81" si="143">$E70*5</f>
        <v>5</v>
      </c>
      <c r="AL70" s="179"/>
      <c r="AM70" s="130"/>
      <c r="AN70" s="178">
        <v>5</v>
      </c>
      <c r="AO70" s="130">
        <f t="shared" si="128"/>
        <v>6</v>
      </c>
      <c r="AP70" s="179"/>
      <c r="AQ70" s="130"/>
      <c r="AR70" s="178">
        <v>5</v>
      </c>
      <c r="AS70" s="130">
        <f t="shared" si="113"/>
        <v>5</v>
      </c>
      <c r="AT70" s="179"/>
      <c r="AU70" s="130"/>
      <c r="AV70" s="178">
        <v>5</v>
      </c>
      <c r="AW70" s="130">
        <f t="shared" si="114"/>
        <v>5</v>
      </c>
      <c r="AX70" s="179"/>
      <c r="AY70" s="130"/>
      <c r="AZ70" s="178">
        <v>5</v>
      </c>
      <c r="BA70" s="130">
        <f t="shared" ref="BA70:BA81" si="144">$E70*5</f>
        <v>5</v>
      </c>
      <c r="BB70" s="194"/>
      <c r="BC70" s="130"/>
      <c r="BD70" s="178">
        <v>5</v>
      </c>
      <c r="BE70" s="130">
        <f t="shared" ref="BE70:BE81" si="145">$E70*5</f>
        <v>5</v>
      </c>
      <c r="BF70" s="109"/>
      <c r="BG70" s="130"/>
      <c r="BH70" s="180">
        <f t="shared" si="130"/>
        <v>60</v>
      </c>
      <c r="BI70" s="181">
        <f>Автовик_разбивка[[#This Row],[Цена, 
юань, без НДС 1]]*BH70</f>
        <v>0</v>
      </c>
      <c r="BJ70" s="130">
        <f t="shared" si="131"/>
        <v>61</v>
      </c>
      <c r="BK70" s="187">
        <f>Автовик_разбивка[[#This Row],[Цена, 
юань, без НДС 1]]*BJ70</f>
        <v>0</v>
      </c>
      <c r="BL70" s="109">
        <f t="shared" si="132"/>
        <v>20</v>
      </c>
      <c r="BM70" s="224">
        <f>Автовик_разбивка[[#This Row],[Цена, 
юань, без НДС 1]]*BL70</f>
        <v>0</v>
      </c>
      <c r="BN70" s="178"/>
      <c r="BO70" s="184"/>
      <c r="BP70" s="130">
        <f t="shared" si="115"/>
        <v>0</v>
      </c>
      <c r="BQ70" s="179"/>
      <c r="BR70" s="130"/>
      <c r="BS70" s="178"/>
      <c r="BT70" s="184"/>
      <c r="BU70" s="130">
        <f t="shared" ref="BU70:BU81" si="146">$E70*10</f>
        <v>10</v>
      </c>
      <c r="BV70" s="179"/>
      <c r="BW70" s="130"/>
      <c r="BX70" s="178"/>
      <c r="BY70" s="184"/>
      <c r="BZ70" s="130">
        <f t="shared" si="117"/>
        <v>0</v>
      </c>
      <c r="CA70" s="179"/>
      <c r="CB70" s="130"/>
      <c r="CC70" s="178"/>
      <c r="CD70" s="184"/>
      <c r="CE70" s="130">
        <f t="shared" ref="CE70:CE81" si="147">$E70*10</f>
        <v>10</v>
      </c>
      <c r="CF70" s="179"/>
      <c r="CG70" s="130"/>
      <c r="CH70" s="178"/>
      <c r="CI70" s="184"/>
      <c r="CJ70" s="130">
        <f t="shared" si="119"/>
        <v>0</v>
      </c>
      <c r="CK70" s="179"/>
      <c r="CL70" s="130"/>
      <c r="CM70" s="178"/>
      <c r="CN70" s="184"/>
      <c r="CO70" s="130">
        <f t="shared" ref="CO70:CO81" si="148">$E70*10</f>
        <v>10</v>
      </c>
      <c r="CP70" s="179"/>
      <c r="CQ70" s="130"/>
      <c r="CR70" s="178"/>
      <c r="CS70" s="184"/>
      <c r="CT70" s="130">
        <f t="shared" si="121"/>
        <v>0</v>
      </c>
      <c r="CU70" s="179"/>
      <c r="CV70" s="130"/>
      <c r="CW70" s="178"/>
      <c r="CX70" s="184"/>
      <c r="CY70" s="130">
        <f t="shared" ref="CY70:CY81" si="149">$E70*10</f>
        <v>10</v>
      </c>
      <c r="CZ70" s="179"/>
      <c r="DA70" s="130"/>
      <c r="DB70" s="178"/>
      <c r="DC70" s="184"/>
      <c r="DD70" s="130">
        <f t="shared" si="123"/>
        <v>0</v>
      </c>
      <c r="DE70" s="179"/>
      <c r="DF70" s="130"/>
      <c r="DG70" s="178"/>
      <c r="DH70" s="184"/>
      <c r="DI70" s="130">
        <f t="shared" ref="DI70:DI81" si="150">$E70*10</f>
        <v>10</v>
      </c>
      <c r="DJ70" s="179"/>
      <c r="DK70" s="130"/>
      <c r="DL70" s="178"/>
      <c r="DM70" s="184"/>
      <c r="DN70" s="130">
        <f t="shared" si="125"/>
        <v>0</v>
      </c>
      <c r="DO70" s="194"/>
      <c r="DP70" s="130"/>
      <c r="DQ70" s="178"/>
      <c r="DR70" s="184"/>
      <c r="DS70" s="130">
        <f t="shared" ref="DS70:DS81" si="151">$E70*10</f>
        <v>10</v>
      </c>
      <c r="DT70" s="109"/>
      <c r="DU70" s="130"/>
      <c r="DV70" s="180">
        <f t="shared" si="133"/>
        <v>0</v>
      </c>
      <c r="DW70" s="181">
        <f>Автовик_разбивка[[#This Row],[Цена, 
юань, без НДС 1]]*DV70</f>
        <v>0</v>
      </c>
      <c r="DX70" s="186">
        <f t="shared" si="134"/>
        <v>0</v>
      </c>
      <c r="DY70" s="186">
        <f>Автовик_разбивка[[#This Row],[Цена, 
юань, без НДС 1]]*DX70</f>
        <v>0</v>
      </c>
      <c r="DZ70" s="130">
        <f t="shared" si="135"/>
        <v>60</v>
      </c>
      <c r="EA70" s="187">
        <f>Автовик_разбивка[[#This Row],[Цена, 
юань, без НДС 1]]*DZ70</f>
        <v>0</v>
      </c>
      <c r="EB70" s="109">
        <f t="shared" si="136"/>
        <v>0</v>
      </c>
      <c r="EC70" s="224">
        <f>Автовик_разбивка[[#This Row],[Цена, 
юань, без НДС 1]]*EB70</f>
        <v>0</v>
      </c>
    </row>
    <row r="71" spans="1:133" s="255" customFormat="1">
      <c r="A71" s="256">
        <v>22</v>
      </c>
      <c r="B71" s="172" t="s">
        <v>318</v>
      </c>
      <c r="C71" s="173" t="s">
        <v>298</v>
      </c>
      <c r="D71" s="173" t="s">
        <v>300</v>
      </c>
      <c r="E71" s="174">
        <v>1</v>
      </c>
      <c r="F71" s="174"/>
      <c r="G71" s="174"/>
      <c r="H71" s="175">
        <v>4630840310</v>
      </c>
      <c r="I71" s="176" t="s">
        <v>135</v>
      </c>
      <c r="J71" s="222"/>
      <c r="K71" s="223"/>
      <c r="L71" s="178">
        <v>5</v>
      </c>
      <c r="M71" s="130">
        <f t="shared" si="137"/>
        <v>5</v>
      </c>
      <c r="N71" s="179">
        <v>0</v>
      </c>
      <c r="O71" s="130"/>
      <c r="P71" s="178">
        <v>5</v>
      </c>
      <c r="Q71" s="130">
        <f t="shared" si="138"/>
        <v>5</v>
      </c>
      <c r="R71" s="179">
        <v>10</v>
      </c>
      <c r="S71" s="130"/>
      <c r="T71" s="178">
        <v>5</v>
      </c>
      <c r="U71" s="130">
        <f t="shared" si="139"/>
        <v>5</v>
      </c>
      <c r="V71" s="179">
        <v>0</v>
      </c>
      <c r="W71" s="130"/>
      <c r="X71" s="178">
        <v>5</v>
      </c>
      <c r="Y71" s="130">
        <f t="shared" si="140"/>
        <v>5</v>
      </c>
      <c r="Z71" s="179">
        <v>10</v>
      </c>
      <c r="AA71" s="130"/>
      <c r="AB71" s="178">
        <v>5</v>
      </c>
      <c r="AC71" s="130">
        <f t="shared" si="141"/>
        <v>5</v>
      </c>
      <c r="AD71" s="179"/>
      <c r="AE71" s="130"/>
      <c r="AF71" s="178">
        <v>5</v>
      </c>
      <c r="AG71" s="130">
        <f t="shared" si="142"/>
        <v>5</v>
      </c>
      <c r="AH71" s="179"/>
      <c r="AI71" s="130"/>
      <c r="AJ71" s="178">
        <v>5</v>
      </c>
      <c r="AK71" s="130">
        <f t="shared" si="143"/>
        <v>5</v>
      </c>
      <c r="AL71" s="179"/>
      <c r="AM71" s="130"/>
      <c r="AN71" s="178">
        <v>5</v>
      </c>
      <c r="AO71" s="130">
        <f t="shared" si="128"/>
        <v>6</v>
      </c>
      <c r="AP71" s="179"/>
      <c r="AQ71" s="130"/>
      <c r="AR71" s="178">
        <v>5</v>
      </c>
      <c r="AS71" s="130">
        <f t="shared" si="113"/>
        <v>5</v>
      </c>
      <c r="AT71" s="179"/>
      <c r="AU71" s="130"/>
      <c r="AV71" s="178">
        <v>5</v>
      </c>
      <c r="AW71" s="130">
        <f t="shared" si="114"/>
        <v>5</v>
      </c>
      <c r="AX71" s="179"/>
      <c r="AY71" s="130"/>
      <c r="AZ71" s="178">
        <v>5</v>
      </c>
      <c r="BA71" s="130">
        <f t="shared" si="144"/>
        <v>5</v>
      </c>
      <c r="BB71" s="194"/>
      <c r="BC71" s="130"/>
      <c r="BD71" s="178">
        <v>5</v>
      </c>
      <c r="BE71" s="130">
        <f t="shared" si="145"/>
        <v>5</v>
      </c>
      <c r="BF71" s="109"/>
      <c r="BG71" s="130"/>
      <c r="BH71" s="180">
        <f t="shared" si="130"/>
        <v>60</v>
      </c>
      <c r="BI71" s="181">
        <f>Автовик_разбивка[[#This Row],[Цена, 
юань, без НДС 1]]*BH71</f>
        <v>0</v>
      </c>
      <c r="BJ71" s="130">
        <f t="shared" si="131"/>
        <v>61</v>
      </c>
      <c r="BK71" s="187">
        <f>Автовик_разбивка[[#This Row],[Цена, 
юань, без НДС 1]]*BJ71</f>
        <v>0</v>
      </c>
      <c r="BL71" s="109">
        <f t="shared" si="132"/>
        <v>20</v>
      </c>
      <c r="BM71" s="224">
        <f>Автовик_разбивка[[#This Row],[Цена, 
юань, без НДС 1]]*BL71</f>
        <v>0</v>
      </c>
      <c r="BN71" s="178"/>
      <c r="BO71" s="184"/>
      <c r="BP71" s="130">
        <f t="shared" si="115"/>
        <v>0</v>
      </c>
      <c r="BQ71" s="179"/>
      <c r="BR71" s="130"/>
      <c r="BS71" s="178"/>
      <c r="BT71" s="184"/>
      <c r="BU71" s="130">
        <f t="shared" si="146"/>
        <v>10</v>
      </c>
      <c r="BV71" s="179"/>
      <c r="BW71" s="130"/>
      <c r="BX71" s="178"/>
      <c r="BY71" s="184"/>
      <c r="BZ71" s="130">
        <f t="shared" si="117"/>
        <v>0</v>
      </c>
      <c r="CA71" s="179"/>
      <c r="CB71" s="130"/>
      <c r="CC71" s="178"/>
      <c r="CD71" s="184"/>
      <c r="CE71" s="130">
        <f t="shared" si="147"/>
        <v>10</v>
      </c>
      <c r="CF71" s="179"/>
      <c r="CG71" s="130"/>
      <c r="CH71" s="178"/>
      <c r="CI71" s="184"/>
      <c r="CJ71" s="130">
        <f t="shared" si="119"/>
        <v>0</v>
      </c>
      <c r="CK71" s="179"/>
      <c r="CL71" s="130"/>
      <c r="CM71" s="178"/>
      <c r="CN71" s="184"/>
      <c r="CO71" s="130">
        <f t="shared" si="148"/>
        <v>10</v>
      </c>
      <c r="CP71" s="179"/>
      <c r="CQ71" s="130"/>
      <c r="CR71" s="178"/>
      <c r="CS71" s="184"/>
      <c r="CT71" s="130">
        <f t="shared" si="121"/>
        <v>0</v>
      </c>
      <c r="CU71" s="179"/>
      <c r="CV71" s="130"/>
      <c r="CW71" s="178"/>
      <c r="CX71" s="184"/>
      <c r="CY71" s="130">
        <f t="shared" si="149"/>
        <v>10</v>
      </c>
      <c r="CZ71" s="179"/>
      <c r="DA71" s="130"/>
      <c r="DB71" s="178"/>
      <c r="DC71" s="184"/>
      <c r="DD71" s="130">
        <f t="shared" si="123"/>
        <v>0</v>
      </c>
      <c r="DE71" s="179"/>
      <c r="DF71" s="130"/>
      <c r="DG71" s="178"/>
      <c r="DH71" s="184"/>
      <c r="DI71" s="130">
        <f t="shared" si="150"/>
        <v>10</v>
      </c>
      <c r="DJ71" s="179"/>
      <c r="DK71" s="130"/>
      <c r="DL71" s="178"/>
      <c r="DM71" s="184"/>
      <c r="DN71" s="130">
        <f t="shared" si="125"/>
        <v>0</v>
      </c>
      <c r="DO71" s="194"/>
      <c r="DP71" s="130"/>
      <c r="DQ71" s="178"/>
      <c r="DR71" s="184"/>
      <c r="DS71" s="130">
        <f t="shared" si="151"/>
        <v>10</v>
      </c>
      <c r="DT71" s="109"/>
      <c r="DU71" s="130"/>
      <c r="DV71" s="180">
        <f t="shared" si="133"/>
        <v>0</v>
      </c>
      <c r="DW71" s="181">
        <f>Автовик_разбивка[[#This Row],[Цена, 
юань, без НДС 1]]*DV71</f>
        <v>0</v>
      </c>
      <c r="DX71" s="186">
        <f t="shared" si="134"/>
        <v>0</v>
      </c>
      <c r="DY71" s="186">
        <f>Автовик_разбивка[[#This Row],[Цена, 
юань, без НДС 1]]*DX71</f>
        <v>0</v>
      </c>
      <c r="DZ71" s="130">
        <f t="shared" si="135"/>
        <v>60</v>
      </c>
      <c r="EA71" s="187">
        <f>Автовик_разбивка[[#This Row],[Цена, 
юань, без НДС 1]]*DZ71</f>
        <v>0</v>
      </c>
      <c r="EB71" s="109">
        <f t="shared" si="136"/>
        <v>0</v>
      </c>
      <c r="EC71" s="224">
        <f>Автовик_разбивка[[#This Row],[Цена, 
юань, без НДС 1]]*EB71</f>
        <v>0</v>
      </c>
    </row>
    <row r="72" spans="1:133" s="255" customFormat="1">
      <c r="A72" s="256">
        <v>22</v>
      </c>
      <c r="B72" s="172" t="s">
        <v>318</v>
      </c>
      <c r="C72" s="173" t="s">
        <v>298</v>
      </c>
      <c r="D72" s="173" t="s">
        <v>319</v>
      </c>
      <c r="E72" s="174">
        <v>1</v>
      </c>
      <c r="F72" s="174"/>
      <c r="G72" s="174"/>
      <c r="H72" s="175">
        <v>4334010030</v>
      </c>
      <c r="I72" s="176" t="s">
        <v>81</v>
      </c>
      <c r="J72" s="222"/>
      <c r="K72" s="227"/>
      <c r="L72" s="178">
        <v>5</v>
      </c>
      <c r="M72" s="130">
        <f t="shared" si="137"/>
        <v>5</v>
      </c>
      <c r="N72" s="179">
        <v>0</v>
      </c>
      <c r="O72" s="130"/>
      <c r="P72" s="178">
        <v>5</v>
      </c>
      <c r="Q72" s="130">
        <f t="shared" si="138"/>
        <v>5</v>
      </c>
      <c r="R72" s="179">
        <v>5</v>
      </c>
      <c r="S72" s="130"/>
      <c r="T72" s="178">
        <v>5</v>
      </c>
      <c r="U72" s="130">
        <f t="shared" si="139"/>
        <v>5</v>
      </c>
      <c r="V72" s="179">
        <v>0</v>
      </c>
      <c r="W72" s="130"/>
      <c r="X72" s="178">
        <v>5</v>
      </c>
      <c r="Y72" s="130">
        <f t="shared" si="140"/>
        <v>5</v>
      </c>
      <c r="Z72" s="179">
        <v>5</v>
      </c>
      <c r="AA72" s="130"/>
      <c r="AB72" s="178">
        <v>5</v>
      </c>
      <c r="AC72" s="130">
        <f t="shared" si="141"/>
        <v>5</v>
      </c>
      <c r="AD72" s="109"/>
      <c r="AE72" s="252"/>
      <c r="AF72" s="178">
        <v>5</v>
      </c>
      <c r="AG72" s="130">
        <f t="shared" si="142"/>
        <v>5</v>
      </c>
      <c r="AH72" s="109"/>
      <c r="AI72" s="252"/>
      <c r="AJ72" s="178">
        <v>5</v>
      </c>
      <c r="AK72" s="130">
        <f t="shared" si="143"/>
        <v>5</v>
      </c>
      <c r="AL72" s="109"/>
      <c r="AM72" s="252"/>
      <c r="AN72" s="178">
        <v>5</v>
      </c>
      <c r="AO72" s="130">
        <f t="shared" ref="AO72:AO81" si="152">$E72*3</f>
        <v>3</v>
      </c>
      <c r="AP72" s="109"/>
      <c r="AQ72" s="252"/>
      <c r="AR72" s="178">
        <v>5</v>
      </c>
      <c r="AS72" s="130">
        <f t="shared" si="113"/>
        <v>5</v>
      </c>
      <c r="AT72" s="109"/>
      <c r="AU72" s="252"/>
      <c r="AV72" s="178">
        <v>5</v>
      </c>
      <c r="AW72" s="130">
        <f t="shared" si="114"/>
        <v>5</v>
      </c>
      <c r="AX72" s="109"/>
      <c r="AY72" s="252"/>
      <c r="AZ72" s="178">
        <v>5</v>
      </c>
      <c r="BA72" s="130">
        <f t="shared" si="144"/>
        <v>5</v>
      </c>
      <c r="BB72" s="194"/>
      <c r="BC72" s="252"/>
      <c r="BD72" s="178">
        <v>5</v>
      </c>
      <c r="BE72" s="130">
        <f t="shared" si="145"/>
        <v>5</v>
      </c>
      <c r="BF72" s="109"/>
      <c r="BG72" s="252"/>
      <c r="BH72" s="180">
        <f t="shared" si="130"/>
        <v>60</v>
      </c>
      <c r="BI72" s="181">
        <f>Автовик_разбивка[[#This Row],[Цена, 
юань, без НДС 1]]*BH72</f>
        <v>0</v>
      </c>
      <c r="BJ72" s="130">
        <f t="shared" si="131"/>
        <v>58</v>
      </c>
      <c r="BK72" s="187">
        <f>Автовик_разбивка[[#This Row],[Цена, 
юань, без НДС 1]]*BJ72</f>
        <v>0</v>
      </c>
      <c r="BL72" s="109">
        <f t="shared" si="132"/>
        <v>10</v>
      </c>
      <c r="BM72" s="224">
        <f>Автовик_разбивка[[#This Row],[Цена, 
юань, без НДС 1]]*BL72</f>
        <v>0</v>
      </c>
      <c r="BN72" s="178"/>
      <c r="BO72" s="184"/>
      <c r="BP72" s="130">
        <f t="shared" si="115"/>
        <v>0</v>
      </c>
      <c r="BQ72" s="179"/>
      <c r="BR72" s="130"/>
      <c r="BS72" s="178"/>
      <c r="BT72" s="184"/>
      <c r="BU72" s="130">
        <f t="shared" si="146"/>
        <v>10</v>
      </c>
      <c r="BV72" s="179"/>
      <c r="BW72" s="130"/>
      <c r="BX72" s="178"/>
      <c r="BY72" s="184"/>
      <c r="BZ72" s="130">
        <f t="shared" si="117"/>
        <v>0</v>
      </c>
      <c r="CA72" s="179"/>
      <c r="CB72" s="130"/>
      <c r="CC72" s="178"/>
      <c r="CD72" s="184"/>
      <c r="CE72" s="130">
        <f t="shared" si="147"/>
        <v>10</v>
      </c>
      <c r="CF72" s="179"/>
      <c r="CG72" s="130"/>
      <c r="CH72" s="178"/>
      <c r="CI72" s="184"/>
      <c r="CJ72" s="130">
        <f t="shared" si="119"/>
        <v>0</v>
      </c>
      <c r="CK72" s="109"/>
      <c r="CL72" s="252"/>
      <c r="CM72" s="178"/>
      <c r="CN72" s="184"/>
      <c r="CO72" s="130">
        <f t="shared" si="148"/>
        <v>10</v>
      </c>
      <c r="CP72" s="109"/>
      <c r="CQ72" s="252"/>
      <c r="CR72" s="178"/>
      <c r="CS72" s="184"/>
      <c r="CT72" s="130">
        <f t="shared" si="121"/>
        <v>0</v>
      </c>
      <c r="CU72" s="109"/>
      <c r="CV72" s="252"/>
      <c r="CW72" s="178"/>
      <c r="CX72" s="184"/>
      <c r="CY72" s="130">
        <f t="shared" si="149"/>
        <v>10</v>
      </c>
      <c r="CZ72" s="109"/>
      <c r="DA72" s="252"/>
      <c r="DB72" s="178"/>
      <c r="DC72" s="184"/>
      <c r="DD72" s="130">
        <f t="shared" si="123"/>
        <v>0</v>
      </c>
      <c r="DE72" s="109"/>
      <c r="DF72" s="252"/>
      <c r="DG72" s="178"/>
      <c r="DH72" s="184"/>
      <c r="DI72" s="130">
        <f t="shared" si="150"/>
        <v>10</v>
      </c>
      <c r="DJ72" s="109"/>
      <c r="DK72" s="252"/>
      <c r="DL72" s="178"/>
      <c r="DM72" s="184"/>
      <c r="DN72" s="130">
        <f t="shared" si="125"/>
        <v>0</v>
      </c>
      <c r="DO72" s="194"/>
      <c r="DP72" s="252"/>
      <c r="DQ72" s="178"/>
      <c r="DR72" s="184"/>
      <c r="DS72" s="130">
        <f t="shared" si="151"/>
        <v>10</v>
      </c>
      <c r="DT72" s="109"/>
      <c r="DU72" s="252"/>
      <c r="DV72" s="180">
        <f t="shared" si="133"/>
        <v>0</v>
      </c>
      <c r="DW72" s="181">
        <f>Автовик_разбивка[[#This Row],[Цена, 
юань, без НДС 1]]*DV72</f>
        <v>0</v>
      </c>
      <c r="DX72" s="186">
        <f t="shared" si="134"/>
        <v>0</v>
      </c>
      <c r="DY72" s="186">
        <f>Автовик_разбивка[[#This Row],[Цена, 
юань, без НДС 1]]*DX72</f>
        <v>0</v>
      </c>
      <c r="DZ72" s="130">
        <f t="shared" si="135"/>
        <v>60</v>
      </c>
      <c r="EA72" s="187">
        <f>Автовик_разбивка[[#This Row],[Цена, 
юань, без НДС 1]]*DZ72</f>
        <v>0</v>
      </c>
      <c r="EB72" s="109">
        <f t="shared" si="136"/>
        <v>0</v>
      </c>
      <c r="EC72" s="224">
        <f>Автовик_разбивка[[#This Row],[Цена, 
юань, без НДС 1]]*EB72</f>
        <v>0</v>
      </c>
    </row>
    <row r="73" spans="1:133" s="255" customFormat="1">
      <c r="A73" s="256">
        <v>22</v>
      </c>
      <c r="B73" s="172" t="s">
        <v>318</v>
      </c>
      <c r="C73" s="173" t="s">
        <v>298</v>
      </c>
      <c r="D73" s="173" t="s">
        <v>319</v>
      </c>
      <c r="E73" s="174">
        <v>1</v>
      </c>
      <c r="F73" s="174"/>
      <c r="G73" s="174"/>
      <c r="H73" s="175">
        <v>4491731500</v>
      </c>
      <c r="I73" s="176" t="s">
        <v>77</v>
      </c>
      <c r="J73" s="222"/>
      <c r="K73" s="223"/>
      <c r="L73" s="178">
        <v>5</v>
      </c>
      <c r="M73" s="130">
        <f t="shared" si="137"/>
        <v>5</v>
      </c>
      <c r="N73" s="179">
        <v>0</v>
      </c>
      <c r="O73" s="130"/>
      <c r="P73" s="178">
        <v>5</v>
      </c>
      <c r="Q73" s="130">
        <f t="shared" si="138"/>
        <v>5</v>
      </c>
      <c r="R73" s="179">
        <v>5</v>
      </c>
      <c r="S73" s="130"/>
      <c r="T73" s="178">
        <v>5</v>
      </c>
      <c r="U73" s="130">
        <f t="shared" si="139"/>
        <v>5</v>
      </c>
      <c r="V73" s="179">
        <v>0</v>
      </c>
      <c r="W73" s="130"/>
      <c r="X73" s="178">
        <v>5</v>
      </c>
      <c r="Y73" s="130">
        <f t="shared" si="140"/>
        <v>5</v>
      </c>
      <c r="Z73" s="179">
        <v>5</v>
      </c>
      <c r="AA73" s="130"/>
      <c r="AB73" s="178">
        <v>5</v>
      </c>
      <c r="AC73" s="130">
        <f t="shared" si="141"/>
        <v>5</v>
      </c>
      <c r="AD73" s="109"/>
      <c r="AE73" s="252"/>
      <c r="AF73" s="178">
        <v>5</v>
      </c>
      <c r="AG73" s="130">
        <f t="shared" si="142"/>
        <v>5</v>
      </c>
      <c r="AH73" s="109"/>
      <c r="AI73" s="252"/>
      <c r="AJ73" s="178">
        <v>5</v>
      </c>
      <c r="AK73" s="130">
        <f t="shared" si="143"/>
        <v>5</v>
      </c>
      <c r="AL73" s="109"/>
      <c r="AM73" s="252"/>
      <c r="AN73" s="178">
        <v>5</v>
      </c>
      <c r="AO73" s="130">
        <f t="shared" si="152"/>
        <v>3</v>
      </c>
      <c r="AP73" s="109"/>
      <c r="AQ73" s="252"/>
      <c r="AR73" s="178">
        <v>5</v>
      </c>
      <c r="AS73" s="130">
        <f t="shared" si="113"/>
        <v>5</v>
      </c>
      <c r="AT73" s="109"/>
      <c r="AU73" s="252"/>
      <c r="AV73" s="178">
        <v>5</v>
      </c>
      <c r="AW73" s="130">
        <f t="shared" si="114"/>
        <v>5</v>
      </c>
      <c r="AX73" s="109"/>
      <c r="AY73" s="252"/>
      <c r="AZ73" s="178">
        <v>5</v>
      </c>
      <c r="BA73" s="130">
        <f t="shared" si="144"/>
        <v>5</v>
      </c>
      <c r="BB73" s="193"/>
      <c r="BC73" s="252"/>
      <c r="BD73" s="178">
        <v>5</v>
      </c>
      <c r="BE73" s="130">
        <f t="shared" si="145"/>
        <v>5</v>
      </c>
      <c r="BF73" s="109"/>
      <c r="BG73" s="252"/>
      <c r="BH73" s="180">
        <f t="shared" si="130"/>
        <v>60</v>
      </c>
      <c r="BI73" s="181">
        <f>Автовик_разбивка[[#This Row],[Цена, 
юань, без НДС 1]]*BH73</f>
        <v>0</v>
      </c>
      <c r="BJ73" s="130">
        <f t="shared" si="131"/>
        <v>58</v>
      </c>
      <c r="BK73" s="187">
        <f>Автовик_разбивка[[#This Row],[Цена, 
юань, без НДС 1]]*BJ73</f>
        <v>0</v>
      </c>
      <c r="BL73" s="109">
        <f t="shared" si="132"/>
        <v>10</v>
      </c>
      <c r="BM73" s="224">
        <f>Автовик_разбивка[[#This Row],[Цена, 
юань, без НДС 1]]*BL73</f>
        <v>0</v>
      </c>
      <c r="BN73" s="178"/>
      <c r="BO73" s="184"/>
      <c r="BP73" s="130">
        <f t="shared" si="115"/>
        <v>0</v>
      </c>
      <c r="BQ73" s="179"/>
      <c r="BR73" s="130"/>
      <c r="BS73" s="178"/>
      <c r="BT73" s="184"/>
      <c r="BU73" s="130">
        <f t="shared" si="146"/>
        <v>10</v>
      </c>
      <c r="BV73" s="179"/>
      <c r="BW73" s="130"/>
      <c r="BX73" s="178"/>
      <c r="BY73" s="184"/>
      <c r="BZ73" s="130">
        <f t="shared" si="117"/>
        <v>0</v>
      </c>
      <c r="CA73" s="179"/>
      <c r="CB73" s="130"/>
      <c r="CC73" s="178"/>
      <c r="CD73" s="184"/>
      <c r="CE73" s="130">
        <f t="shared" si="147"/>
        <v>10</v>
      </c>
      <c r="CF73" s="179"/>
      <c r="CG73" s="130"/>
      <c r="CH73" s="178"/>
      <c r="CI73" s="184"/>
      <c r="CJ73" s="130">
        <f t="shared" si="119"/>
        <v>0</v>
      </c>
      <c r="CK73" s="109"/>
      <c r="CL73" s="252"/>
      <c r="CM73" s="178"/>
      <c r="CN73" s="184"/>
      <c r="CO73" s="130">
        <f t="shared" si="148"/>
        <v>10</v>
      </c>
      <c r="CP73" s="109"/>
      <c r="CQ73" s="252"/>
      <c r="CR73" s="178"/>
      <c r="CS73" s="184"/>
      <c r="CT73" s="130">
        <f t="shared" si="121"/>
        <v>0</v>
      </c>
      <c r="CU73" s="109"/>
      <c r="CV73" s="252"/>
      <c r="CW73" s="178"/>
      <c r="CX73" s="184"/>
      <c r="CY73" s="130">
        <f t="shared" si="149"/>
        <v>10</v>
      </c>
      <c r="CZ73" s="109"/>
      <c r="DA73" s="252"/>
      <c r="DB73" s="178"/>
      <c r="DC73" s="184"/>
      <c r="DD73" s="130">
        <f t="shared" si="123"/>
        <v>0</v>
      </c>
      <c r="DE73" s="109"/>
      <c r="DF73" s="252"/>
      <c r="DG73" s="178"/>
      <c r="DH73" s="184"/>
      <c r="DI73" s="130">
        <f t="shared" si="150"/>
        <v>10</v>
      </c>
      <c r="DJ73" s="109"/>
      <c r="DK73" s="252"/>
      <c r="DL73" s="178"/>
      <c r="DM73" s="184"/>
      <c r="DN73" s="130">
        <f t="shared" si="125"/>
        <v>0</v>
      </c>
      <c r="DO73" s="193"/>
      <c r="DP73" s="252"/>
      <c r="DQ73" s="178"/>
      <c r="DR73" s="184"/>
      <c r="DS73" s="130">
        <f t="shared" si="151"/>
        <v>10</v>
      </c>
      <c r="DT73" s="109"/>
      <c r="DU73" s="252"/>
      <c r="DV73" s="180">
        <f t="shared" si="133"/>
        <v>0</v>
      </c>
      <c r="DW73" s="181">
        <f>Автовик_разбивка[[#This Row],[Цена, 
юань, без НДС 1]]*DV73</f>
        <v>0</v>
      </c>
      <c r="DX73" s="186">
        <f t="shared" si="134"/>
        <v>0</v>
      </c>
      <c r="DY73" s="186">
        <f>Автовик_разбивка[[#This Row],[Цена, 
юань, без НДС 1]]*DX73</f>
        <v>0</v>
      </c>
      <c r="DZ73" s="130">
        <f t="shared" si="135"/>
        <v>60</v>
      </c>
      <c r="EA73" s="187">
        <f>Автовик_разбивка[[#This Row],[Цена, 
юань, без НДС 1]]*DZ73</f>
        <v>0</v>
      </c>
      <c r="EB73" s="109">
        <f t="shared" si="136"/>
        <v>0</v>
      </c>
      <c r="EC73" s="224">
        <f>Автовик_разбивка[[#This Row],[Цена, 
юань, без НДС 1]]*EB73</f>
        <v>0</v>
      </c>
    </row>
    <row r="74" spans="1:133" s="255" customFormat="1">
      <c r="A74" s="256">
        <v>22</v>
      </c>
      <c r="B74" s="172" t="s">
        <v>318</v>
      </c>
      <c r="C74" s="173" t="s">
        <v>298</v>
      </c>
      <c r="D74" s="173" t="s">
        <v>319</v>
      </c>
      <c r="E74" s="174"/>
      <c r="F74" s="174"/>
      <c r="G74" s="174"/>
      <c r="H74" s="175">
        <v>4497230400</v>
      </c>
      <c r="I74" s="176" t="s">
        <v>148</v>
      </c>
      <c r="J74" s="222"/>
      <c r="K74" s="223"/>
      <c r="L74" s="178"/>
      <c r="M74" s="130"/>
      <c r="N74" s="179"/>
      <c r="O74" s="130"/>
      <c r="P74" s="178"/>
      <c r="Q74" s="130">
        <v>0</v>
      </c>
      <c r="R74" s="179">
        <v>10</v>
      </c>
      <c r="S74" s="130"/>
      <c r="T74" s="178"/>
      <c r="U74" s="130"/>
      <c r="V74" s="179"/>
      <c r="W74" s="130"/>
      <c r="X74" s="178"/>
      <c r="Y74" s="130"/>
      <c r="Z74" s="179"/>
      <c r="AA74" s="130"/>
      <c r="AB74" s="178"/>
      <c r="AC74" s="130"/>
      <c r="AD74" s="109"/>
      <c r="AE74" s="252"/>
      <c r="AF74" s="178"/>
      <c r="AG74" s="130"/>
      <c r="AH74" s="109"/>
      <c r="AI74" s="252"/>
      <c r="AJ74" s="178"/>
      <c r="AK74" s="130"/>
      <c r="AL74" s="109"/>
      <c r="AM74" s="252"/>
      <c r="AN74" s="178"/>
      <c r="AO74" s="130"/>
      <c r="AP74" s="109"/>
      <c r="AQ74" s="252"/>
      <c r="AR74" s="178"/>
      <c r="AS74" s="130"/>
      <c r="AT74" s="109"/>
      <c r="AU74" s="252"/>
      <c r="AV74" s="178"/>
      <c r="AW74" s="130"/>
      <c r="AX74" s="109"/>
      <c r="AY74" s="252"/>
      <c r="AZ74" s="178"/>
      <c r="BA74" s="130"/>
      <c r="BB74" s="193"/>
      <c r="BC74" s="252"/>
      <c r="BD74" s="178"/>
      <c r="BE74" s="130"/>
      <c r="BF74" s="109"/>
      <c r="BG74" s="252"/>
      <c r="BH74" s="180">
        <f t="shared" si="130"/>
        <v>0</v>
      </c>
      <c r="BI74" s="181">
        <f>Автовик_разбивка[[#This Row],[Цена, 
юань, без НДС 1]]*BH74</f>
        <v>0</v>
      </c>
      <c r="BJ74" s="130">
        <f t="shared" si="131"/>
        <v>0</v>
      </c>
      <c r="BK74" s="187">
        <f>Автовик_разбивка[[#This Row],[Цена, 
юань, без НДС 1]]*BJ74</f>
        <v>0</v>
      </c>
      <c r="BL74" s="109">
        <f t="shared" si="132"/>
        <v>10</v>
      </c>
      <c r="BM74" s="224">
        <f>Автовик_разбивка[[#This Row],[Цена, 
юань, без НДС 1]]*BL74</f>
        <v>0</v>
      </c>
      <c r="BN74" s="178"/>
      <c r="BO74" s="184"/>
      <c r="BP74" s="130">
        <f t="shared" si="115"/>
        <v>0</v>
      </c>
      <c r="BQ74" s="179"/>
      <c r="BR74" s="130"/>
      <c r="BS74" s="178"/>
      <c r="BT74" s="184"/>
      <c r="BU74" s="130">
        <f t="shared" si="146"/>
        <v>0</v>
      </c>
      <c r="BV74" s="179"/>
      <c r="BW74" s="130"/>
      <c r="BX74" s="178"/>
      <c r="BY74" s="184"/>
      <c r="BZ74" s="130">
        <f t="shared" si="117"/>
        <v>0</v>
      </c>
      <c r="CA74" s="179"/>
      <c r="CB74" s="130"/>
      <c r="CC74" s="178"/>
      <c r="CD74" s="184"/>
      <c r="CE74" s="130">
        <f t="shared" si="147"/>
        <v>0</v>
      </c>
      <c r="CF74" s="179"/>
      <c r="CG74" s="130"/>
      <c r="CH74" s="178"/>
      <c r="CI74" s="184"/>
      <c r="CJ74" s="130">
        <f t="shared" si="119"/>
        <v>0</v>
      </c>
      <c r="CK74" s="109"/>
      <c r="CL74" s="252"/>
      <c r="CM74" s="178"/>
      <c r="CN74" s="184"/>
      <c r="CO74" s="130">
        <f t="shared" si="148"/>
        <v>0</v>
      </c>
      <c r="CP74" s="109"/>
      <c r="CQ74" s="252"/>
      <c r="CR74" s="178"/>
      <c r="CS74" s="184"/>
      <c r="CT74" s="130">
        <f t="shared" si="121"/>
        <v>0</v>
      </c>
      <c r="CU74" s="109"/>
      <c r="CV74" s="252"/>
      <c r="CW74" s="178"/>
      <c r="CX74" s="184"/>
      <c r="CY74" s="130">
        <f t="shared" si="149"/>
        <v>0</v>
      </c>
      <c r="CZ74" s="109"/>
      <c r="DA74" s="252"/>
      <c r="DB74" s="178"/>
      <c r="DC74" s="184"/>
      <c r="DD74" s="130">
        <f t="shared" si="123"/>
        <v>0</v>
      </c>
      <c r="DE74" s="109"/>
      <c r="DF74" s="252"/>
      <c r="DG74" s="178"/>
      <c r="DH74" s="184"/>
      <c r="DI74" s="130">
        <f t="shared" si="150"/>
        <v>0</v>
      </c>
      <c r="DJ74" s="109"/>
      <c r="DK74" s="252"/>
      <c r="DL74" s="178"/>
      <c r="DM74" s="184"/>
      <c r="DN74" s="130">
        <f t="shared" si="125"/>
        <v>0</v>
      </c>
      <c r="DO74" s="193"/>
      <c r="DP74" s="252"/>
      <c r="DQ74" s="178"/>
      <c r="DR74" s="184"/>
      <c r="DS74" s="130">
        <f t="shared" si="151"/>
        <v>0</v>
      </c>
      <c r="DT74" s="109"/>
      <c r="DU74" s="252"/>
      <c r="DV74" s="180">
        <f t="shared" si="133"/>
        <v>0</v>
      </c>
      <c r="DW74" s="181">
        <f>Автовик_разбивка[[#This Row],[Цена, 
юань, без НДС 1]]*DV74</f>
        <v>0</v>
      </c>
      <c r="DX74" s="186">
        <f t="shared" si="134"/>
        <v>0</v>
      </c>
      <c r="DY74" s="186">
        <f>Автовик_разбивка[[#This Row],[Цена, 
юань, без НДС 1]]*DX74</f>
        <v>0</v>
      </c>
      <c r="DZ74" s="130">
        <f t="shared" si="135"/>
        <v>0</v>
      </c>
      <c r="EA74" s="187">
        <f>Автовик_разбивка[[#This Row],[Цена, 
юань, без НДС 1]]*DZ74</f>
        <v>0</v>
      </c>
      <c r="EB74" s="109">
        <f t="shared" si="136"/>
        <v>0</v>
      </c>
      <c r="EC74" s="224">
        <f>Автовик_разбивка[[#This Row],[Цена, 
юань, без НДС 1]]*EB74</f>
        <v>0</v>
      </c>
    </row>
    <row r="75" spans="1:133" s="255" customFormat="1">
      <c r="A75" s="256">
        <v>22</v>
      </c>
      <c r="B75" s="172" t="s">
        <v>318</v>
      </c>
      <c r="C75" s="173" t="s">
        <v>298</v>
      </c>
      <c r="D75" s="173" t="s">
        <v>319</v>
      </c>
      <c r="E75" s="174">
        <v>2</v>
      </c>
      <c r="F75" s="174"/>
      <c r="G75" s="174"/>
      <c r="H75" s="175">
        <v>4497230500</v>
      </c>
      <c r="I75" s="176" t="s">
        <v>78</v>
      </c>
      <c r="J75" s="222"/>
      <c r="K75" s="223"/>
      <c r="L75" s="178">
        <v>10</v>
      </c>
      <c r="M75" s="130">
        <f t="shared" si="137"/>
        <v>10</v>
      </c>
      <c r="N75" s="179">
        <v>0</v>
      </c>
      <c r="O75" s="130"/>
      <c r="P75" s="178">
        <v>10</v>
      </c>
      <c r="Q75" s="130">
        <f t="shared" si="138"/>
        <v>10</v>
      </c>
      <c r="R75" s="179">
        <v>0</v>
      </c>
      <c r="S75" s="130"/>
      <c r="T75" s="178">
        <v>10</v>
      </c>
      <c r="U75" s="130">
        <f t="shared" si="139"/>
        <v>10</v>
      </c>
      <c r="V75" s="179">
        <v>0</v>
      </c>
      <c r="W75" s="130"/>
      <c r="X75" s="178">
        <v>10</v>
      </c>
      <c r="Y75" s="130">
        <f t="shared" si="140"/>
        <v>10</v>
      </c>
      <c r="Z75" s="179">
        <v>10</v>
      </c>
      <c r="AA75" s="130"/>
      <c r="AB75" s="178">
        <v>10</v>
      </c>
      <c r="AC75" s="130">
        <f t="shared" si="141"/>
        <v>10</v>
      </c>
      <c r="AD75" s="109"/>
      <c r="AE75" s="252"/>
      <c r="AF75" s="178">
        <v>10</v>
      </c>
      <c r="AG75" s="130">
        <f t="shared" si="142"/>
        <v>10</v>
      </c>
      <c r="AH75" s="109"/>
      <c r="AI75" s="252"/>
      <c r="AJ75" s="178">
        <v>10</v>
      </c>
      <c r="AK75" s="130">
        <f t="shared" si="143"/>
        <v>10</v>
      </c>
      <c r="AL75" s="109"/>
      <c r="AM75" s="252"/>
      <c r="AN75" s="178">
        <v>10</v>
      </c>
      <c r="AO75" s="130">
        <f t="shared" si="152"/>
        <v>6</v>
      </c>
      <c r="AP75" s="109"/>
      <c r="AQ75" s="252"/>
      <c r="AR75" s="178">
        <v>10</v>
      </c>
      <c r="AS75" s="130">
        <f t="shared" si="113"/>
        <v>10</v>
      </c>
      <c r="AT75" s="109"/>
      <c r="AU75" s="252"/>
      <c r="AV75" s="178">
        <v>10</v>
      </c>
      <c r="AW75" s="130">
        <f t="shared" si="114"/>
        <v>10</v>
      </c>
      <c r="AX75" s="109"/>
      <c r="AY75" s="252"/>
      <c r="AZ75" s="178">
        <v>10</v>
      </c>
      <c r="BA75" s="130">
        <f t="shared" si="144"/>
        <v>10</v>
      </c>
      <c r="BB75" s="193"/>
      <c r="BC75" s="252"/>
      <c r="BD75" s="178">
        <v>10</v>
      </c>
      <c r="BE75" s="130">
        <f t="shared" si="145"/>
        <v>10</v>
      </c>
      <c r="BF75" s="109"/>
      <c r="BG75" s="252"/>
      <c r="BH75" s="180">
        <f t="shared" si="130"/>
        <v>120</v>
      </c>
      <c r="BI75" s="181">
        <f>Автовик_разбивка[[#This Row],[Цена, 
юань, без НДС 1]]*BH75</f>
        <v>0</v>
      </c>
      <c r="BJ75" s="130">
        <f t="shared" si="131"/>
        <v>116</v>
      </c>
      <c r="BK75" s="187">
        <f>Автовик_разбивка[[#This Row],[Цена, 
юань, без НДС 1]]*BJ75</f>
        <v>0</v>
      </c>
      <c r="BL75" s="109">
        <f t="shared" si="132"/>
        <v>10</v>
      </c>
      <c r="BM75" s="224">
        <f>Автовик_разбивка[[#This Row],[Цена, 
юань, без НДС 1]]*BL75</f>
        <v>0</v>
      </c>
      <c r="BN75" s="178"/>
      <c r="BO75" s="184"/>
      <c r="BP75" s="130">
        <f t="shared" si="115"/>
        <v>0</v>
      </c>
      <c r="BQ75" s="179"/>
      <c r="BR75" s="130"/>
      <c r="BS75" s="178"/>
      <c r="BT75" s="184"/>
      <c r="BU75" s="130">
        <f t="shared" si="146"/>
        <v>20</v>
      </c>
      <c r="BV75" s="179"/>
      <c r="BW75" s="130"/>
      <c r="BX75" s="178"/>
      <c r="BY75" s="184"/>
      <c r="BZ75" s="130">
        <f t="shared" si="117"/>
        <v>0</v>
      </c>
      <c r="CA75" s="179"/>
      <c r="CB75" s="130"/>
      <c r="CC75" s="178"/>
      <c r="CD75" s="184"/>
      <c r="CE75" s="130">
        <f t="shared" si="147"/>
        <v>20</v>
      </c>
      <c r="CF75" s="179"/>
      <c r="CG75" s="130"/>
      <c r="CH75" s="178"/>
      <c r="CI75" s="184"/>
      <c r="CJ75" s="130">
        <f t="shared" si="119"/>
        <v>0</v>
      </c>
      <c r="CK75" s="109"/>
      <c r="CL75" s="252"/>
      <c r="CM75" s="178"/>
      <c r="CN75" s="184"/>
      <c r="CO75" s="130">
        <f t="shared" si="148"/>
        <v>20</v>
      </c>
      <c r="CP75" s="109"/>
      <c r="CQ75" s="252"/>
      <c r="CR75" s="178"/>
      <c r="CS75" s="184"/>
      <c r="CT75" s="130">
        <f t="shared" si="121"/>
        <v>0</v>
      </c>
      <c r="CU75" s="109"/>
      <c r="CV75" s="252"/>
      <c r="CW75" s="178"/>
      <c r="CX75" s="184"/>
      <c r="CY75" s="130">
        <f t="shared" si="149"/>
        <v>20</v>
      </c>
      <c r="CZ75" s="109"/>
      <c r="DA75" s="252"/>
      <c r="DB75" s="178"/>
      <c r="DC75" s="184"/>
      <c r="DD75" s="130">
        <f t="shared" si="123"/>
        <v>0</v>
      </c>
      <c r="DE75" s="109"/>
      <c r="DF75" s="252"/>
      <c r="DG75" s="178"/>
      <c r="DH75" s="184"/>
      <c r="DI75" s="130">
        <f t="shared" si="150"/>
        <v>20</v>
      </c>
      <c r="DJ75" s="109"/>
      <c r="DK75" s="252"/>
      <c r="DL75" s="178"/>
      <c r="DM75" s="184"/>
      <c r="DN75" s="130">
        <f t="shared" si="125"/>
        <v>0</v>
      </c>
      <c r="DO75" s="193"/>
      <c r="DP75" s="252"/>
      <c r="DQ75" s="178"/>
      <c r="DR75" s="184"/>
      <c r="DS75" s="130">
        <f t="shared" si="151"/>
        <v>20</v>
      </c>
      <c r="DT75" s="109"/>
      <c r="DU75" s="252"/>
      <c r="DV75" s="180">
        <f t="shared" si="133"/>
        <v>0</v>
      </c>
      <c r="DW75" s="181">
        <f>Автовик_разбивка[[#This Row],[Цена, 
юань, без НДС 1]]*DV75</f>
        <v>0</v>
      </c>
      <c r="DX75" s="186">
        <f t="shared" si="134"/>
        <v>0</v>
      </c>
      <c r="DY75" s="186">
        <f>Автовик_разбивка[[#This Row],[Цена, 
юань, без НДС 1]]*DX75</f>
        <v>0</v>
      </c>
      <c r="DZ75" s="130">
        <f t="shared" si="135"/>
        <v>120</v>
      </c>
      <c r="EA75" s="187">
        <f>Автовик_разбивка[[#This Row],[Цена, 
юань, без НДС 1]]*DZ75</f>
        <v>0</v>
      </c>
      <c r="EB75" s="109">
        <f t="shared" si="136"/>
        <v>0</v>
      </c>
      <c r="EC75" s="224">
        <f>Автовик_разбивка[[#This Row],[Цена, 
юань, без НДС 1]]*EB75</f>
        <v>0</v>
      </c>
    </row>
    <row r="76" spans="1:133" s="255" customFormat="1">
      <c r="A76" s="256">
        <v>22</v>
      </c>
      <c r="B76" s="172" t="s">
        <v>318</v>
      </c>
      <c r="C76" s="173" t="s">
        <v>298</v>
      </c>
      <c r="D76" s="173" t="s">
        <v>319</v>
      </c>
      <c r="E76" s="174">
        <v>1</v>
      </c>
      <c r="F76" s="174"/>
      <c r="G76" s="174"/>
      <c r="H76" s="175">
        <v>4630320200</v>
      </c>
      <c r="I76" s="176" t="s">
        <v>80</v>
      </c>
      <c r="J76" s="222"/>
      <c r="K76" s="227"/>
      <c r="L76" s="178">
        <v>5</v>
      </c>
      <c r="M76" s="130">
        <f t="shared" si="137"/>
        <v>5</v>
      </c>
      <c r="N76" s="179">
        <v>0</v>
      </c>
      <c r="O76" s="130"/>
      <c r="P76" s="178">
        <v>5</v>
      </c>
      <c r="Q76" s="130">
        <f t="shared" si="138"/>
        <v>5</v>
      </c>
      <c r="R76" s="179">
        <v>5</v>
      </c>
      <c r="S76" s="130"/>
      <c r="T76" s="178">
        <v>5</v>
      </c>
      <c r="U76" s="130">
        <f t="shared" si="139"/>
        <v>5</v>
      </c>
      <c r="V76" s="179">
        <v>0</v>
      </c>
      <c r="W76" s="130"/>
      <c r="X76" s="178">
        <v>5</v>
      </c>
      <c r="Y76" s="130">
        <f t="shared" si="140"/>
        <v>5</v>
      </c>
      <c r="Z76" s="179">
        <v>5</v>
      </c>
      <c r="AA76" s="130"/>
      <c r="AB76" s="178">
        <v>5</v>
      </c>
      <c r="AC76" s="130">
        <f t="shared" si="141"/>
        <v>5</v>
      </c>
      <c r="AD76" s="109"/>
      <c r="AE76" s="252"/>
      <c r="AF76" s="178">
        <v>5</v>
      </c>
      <c r="AG76" s="130">
        <f t="shared" si="142"/>
        <v>5</v>
      </c>
      <c r="AH76" s="109"/>
      <c r="AI76" s="252"/>
      <c r="AJ76" s="178">
        <v>5</v>
      </c>
      <c r="AK76" s="130">
        <f t="shared" si="143"/>
        <v>5</v>
      </c>
      <c r="AL76" s="109"/>
      <c r="AM76" s="252"/>
      <c r="AN76" s="178">
        <v>5</v>
      </c>
      <c r="AO76" s="130">
        <f t="shared" si="152"/>
        <v>3</v>
      </c>
      <c r="AP76" s="109"/>
      <c r="AQ76" s="252"/>
      <c r="AR76" s="178">
        <v>5</v>
      </c>
      <c r="AS76" s="130">
        <f t="shared" si="113"/>
        <v>5</v>
      </c>
      <c r="AT76" s="109"/>
      <c r="AU76" s="252"/>
      <c r="AV76" s="178">
        <v>5</v>
      </c>
      <c r="AW76" s="130">
        <f t="shared" si="114"/>
        <v>5</v>
      </c>
      <c r="AX76" s="109"/>
      <c r="AY76" s="252"/>
      <c r="AZ76" s="178">
        <v>5</v>
      </c>
      <c r="BA76" s="130">
        <f t="shared" si="144"/>
        <v>5</v>
      </c>
      <c r="BB76" s="194"/>
      <c r="BC76" s="252"/>
      <c r="BD76" s="178">
        <v>5</v>
      </c>
      <c r="BE76" s="130">
        <f t="shared" si="145"/>
        <v>5</v>
      </c>
      <c r="BF76" s="109"/>
      <c r="BG76" s="252"/>
      <c r="BH76" s="180">
        <f t="shared" si="130"/>
        <v>60</v>
      </c>
      <c r="BI76" s="181">
        <f>Автовик_разбивка[[#This Row],[Цена, 
юань, без НДС 1]]*BH76</f>
        <v>0</v>
      </c>
      <c r="BJ76" s="130">
        <f t="shared" si="131"/>
        <v>58</v>
      </c>
      <c r="BK76" s="187">
        <f>Автовик_разбивка[[#This Row],[Цена, 
юань, без НДС 1]]*BJ76</f>
        <v>0</v>
      </c>
      <c r="BL76" s="109">
        <f t="shared" si="132"/>
        <v>10</v>
      </c>
      <c r="BM76" s="224">
        <f>Автовик_разбивка[[#This Row],[Цена, 
юань, без НДС 1]]*BL76</f>
        <v>0</v>
      </c>
      <c r="BN76" s="178"/>
      <c r="BO76" s="184"/>
      <c r="BP76" s="130">
        <f t="shared" si="115"/>
        <v>0</v>
      </c>
      <c r="BQ76" s="179"/>
      <c r="BR76" s="130"/>
      <c r="BS76" s="178"/>
      <c r="BT76" s="184"/>
      <c r="BU76" s="130">
        <f t="shared" si="146"/>
        <v>10</v>
      </c>
      <c r="BV76" s="179"/>
      <c r="BW76" s="130"/>
      <c r="BX76" s="178"/>
      <c r="BY76" s="184"/>
      <c r="BZ76" s="130">
        <f t="shared" si="117"/>
        <v>0</v>
      </c>
      <c r="CA76" s="179"/>
      <c r="CB76" s="130"/>
      <c r="CC76" s="178"/>
      <c r="CD76" s="184"/>
      <c r="CE76" s="130">
        <f t="shared" si="147"/>
        <v>10</v>
      </c>
      <c r="CF76" s="179"/>
      <c r="CG76" s="130"/>
      <c r="CH76" s="178"/>
      <c r="CI76" s="184"/>
      <c r="CJ76" s="130">
        <f t="shared" si="119"/>
        <v>0</v>
      </c>
      <c r="CK76" s="109"/>
      <c r="CL76" s="252"/>
      <c r="CM76" s="178"/>
      <c r="CN76" s="184"/>
      <c r="CO76" s="130">
        <f t="shared" si="148"/>
        <v>10</v>
      </c>
      <c r="CP76" s="109"/>
      <c r="CQ76" s="252"/>
      <c r="CR76" s="178"/>
      <c r="CS76" s="184"/>
      <c r="CT76" s="130">
        <f t="shared" si="121"/>
        <v>0</v>
      </c>
      <c r="CU76" s="109"/>
      <c r="CV76" s="252"/>
      <c r="CW76" s="178"/>
      <c r="CX76" s="184"/>
      <c r="CY76" s="130">
        <f t="shared" si="149"/>
        <v>10</v>
      </c>
      <c r="CZ76" s="109"/>
      <c r="DA76" s="252"/>
      <c r="DB76" s="178"/>
      <c r="DC76" s="184"/>
      <c r="DD76" s="130">
        <f t="shared" si="123"/>
        <v>0</v>
      </c>
      <c r="DE76" s="109"/>
      <c r="DF76" s="252"/>
      <c r="DG76" s="178"/>
      <c r="DH76" s="184"/>
      <c r="DI76" s="130">
        <f t="shared" si="150"/>
        <v>10</v>
      </c>
      <c r="DJ76" s="109"/>
      <c r="DK76" s="252"/>
      <c r="DL76" s="178"/>
      <c r="DM76" s="184"/>
      <c r="DN76" s="130">
        <f t="shared" si="125"/>
        <v>0</v>
      </c>
      <c r="DO76" s="194"/>
      <c r="DP76" s="252"/>
      <c r="DQ76" s="178"/>
      <c r="DR76" s="184"/>
      <c r="DS76" s="130">
        <f t="shared" si="151"/>
        <v>10</v>
      </c>
      <c r="DT76" s="109"/>
      <c r="DU76" s="252"/>
      <c r="DV76" s="180">
        <f t="shared" si="133"/>
        <v>0</v>
      </c>
      <c r="DW76" s="181">
        <f>Автовик_разбивка[[#This Row],[Цена, 
юань, без НДС 1]]*DV76</f>
        <v>0</v>
      </c>
      <c r="DX76" s="186">
        <f t="shared" si="134"/>
        <v>0</v>
      </c>
      <c r="DY76" s="186">
        <f>Автовик_разбивка[[#This Row],[Цена, 
юань, без НДС 1]]*DX76</f>
        <v>0</v>
      </c>
      <c r="DZ76" s="130">
        <f t="shared" si="135"/>
        <v>60</v>
      </c>
      <c r="EA76" s="187">
        <f>Автовик_разбивка[[#This Row],[Цена, 
юань, без НДС 1]]*DZ76</f>
        <v>0</v>
      </c>
      <c r="EB76" s="109">
        <f t="shared" si="136"/>
        <v>0</v>
      </c>
      <c r="EC76" s="224">
        <f>Автовик_разбивка[[#This Row],[Цена, 
юань, без НДС 1]]*EB76</f>
        <v>0</v>
      </c>
    </row>
    <row r="77" spans="1:133" s="255" customFormat="1">
      <c r="A77" s="256">
        <v>22</v>
      </c>
      <c r="B77" s="172" t="s">
        <v>318</v>
      </c>
      <c r="C77" s="173" t="s">
        <v>298</v>
      </c>
      <c r="D77" s="173" t="s">
        <v>319</v>
      </c>
      <c r="E77" s="174">
        <v>1</v>
      </c>
      <c r="F77" s="174"/>
      <c r="G77" s="174"/>
      <c r="H77" s="175">
        <v>4640061000</v>
      </c>
      <c r="I77" s="176" t="s">
        <v>79</v>
      </c>
      <c r="J77" s="222"/>
      <c r="K77" s="223"/>
      <c r="L77" s="178">
        <v>5</v>
      </c>
      <c r="M77" s="130">
        <f t="shared" si="137"/>
        <v>5</v>
      </c>
      <c r="N77" s="179">
        <v>0</v>
      </c>
      <c r="O77" s="130"/>
      <c r="P77" s="178">
        <v>5</v>
      </c>
      <c r="Q77" s="130">
        <f t="shared" si="138"/>
        <v>5</v>
      </c>
      <c r="R77" s="179">
        <v>5</v>
      </c>
      <c r="S77" s="130"/>
      <c r="T77" s="178">
        <v>5</v>
      </c>
      <c r="U77" s="130">
        <f t="shared" si="139"/>
        <v>5</v>
      </c>
      <c r="V77" s="179">
        <v>0</v>
      </c>
      <c r="W77" s="130"/>
      <c r="X77" s="178">
        <v>5</v>
      </c>
      <c r="Y77" s="130">
        <f t="shared" si="140"/>
        <v>5</v>
      </c>
      <c r="Z77" s="179">
        <v>5</v>
      </c>
      <c r="AA77" s="130"/>
      <c r="AB77" s="178">
        <v>5</v>
      </c>
      <c r="AC77" s="130">
        <f t="shared" si="141"/>
        <v>5</v>
      </c>
      <c r="AD77" s="109"/>
      <c r="AE77" s="252"/>
      <c r="AF77" s="178">
        <v>5</v>
      </c>
      <c r="AG77" s="130">
        <f t="shared" si="142"/>
        <v>5</v>
      </c>
      <c r="AH77" s="109"/>
      <c r="AI77" s="252"/>
      <c r="AJ77" s="178">
        <v>5</v>
      </c>
      <c r="AK77" s="130">
        <f t="shared" si="143"/>
        <v>5</v>
      </c>
      <c r="AL77" s="109"/>
      <c r="AM77" s="252"/>
      <c r="AN77" s="178">
        <v>5</v>
      </c>
      <c r="AO77" s="130">
        <f t="shared" si="152"/>
        <v>3</v>
      </c>
      <c r="AP77" s="109"/>
      <c r="AQ77" s="252"/>
      <c r="AR77" s="178">
        <v>5</v>
      </c>
      <c r="AS77" s="130">
        <f t="shared" si="113"/>
        <v>5</v>
      </c>
      <c r="AT77" s="109"/>
      <c r="AU77" s="252"/>
      <c r="AV77" s="178">
        <v>5</v>
      </c>
      <c r="AW77" s="130">
        <f t="shared" si="114"/>
        <v>5</v>
      </c>
      <c r="AX77" s="109"/>
      <c r="AY77" s="252"/>
      <c r="AZ77" s="178">
        <v>5</v>
      </c>
      <c r="BA77" s="130">
        <f t="shared" si="144"/>
        <v>5</v>
      </c>
      <c r="BB77" s="179"/>
      <c r="BC77" s="252"/>
      <c r="BD77" s="178">
        <v>5</v>
      </c>
      <c r="BE77" s="130">
        <f t="shared" si="145"/>
        <v>5</v>
      </c>
      <c r="BF77" s="109"/>
      <c r="BG77" s="252"/>
      <c r="BH77" s="180">
        <f t="shared" si="130"/>
        <v>60</v>
      </c>
      <c r="BI77" s="181">
        <f>Автовик_разбивка[[#This Row],[Цена, 
юань, без НДС 1]]*BH77</f>
        <v>0</v>
      </c>
      <c r="BJ77" s="130">
        <f t="shared" si="131"/>
        <v>58</v>
      </c>
      <c r="BK77" s="187">
        <f>Автовик_разбивка[[#This Row],[Цена, 
юань, без НДС 1]]*BJ77</f>
        <v>0</v>
      </c>
      <c r="BL77" s="109">
        <f t="shared" si="132"/>
        <v>10</v>
      </c>
      <c r="BM77" s="224">
        <f>Автовик_разбивка[[#This Row],[Цена, 
юань, без НДС 1]]*BL77</f>
        <v>0</v>
      </c>
      <c r="BN77" s="178"/>
      <c r="BO77" s="184"/>
      <c r="BP77" s="130">
        <f t="shared" si="115"/>
        <v>0</v>
      </c>
      <c r="BQ77" s="179"/>
      <c r="BR77" s="130"/>
      <c r="BS77" s="178"/>
      <c r="BT77" s="184"/>
      <c r="BU77" s="130">
        <f t="shared" si="146"/>
        <v>10</v>
      </c>
      <c r="BV77" s="179"/>
      <c r="BW77" s="130"/>
      <c r="BX77" s="178"/>
      <c r="BY77" s="184"/>
      <c r="BZ77" s="130">
        <f t="shared" si="117"/>
        <v>0</v>
      </c>
      <c r="CA77" s="179"/>
      <c r="CB77" s="130"/>
      <c r="CC77" s="178"/>
      <c r="CD77" s="184"/>
      <c r="CE77" s="130">
        <f t="shared" si="147"/>
        <v>10</v>
      </c>
      <c r="CF77" s="179"/>
      <c r="CG77" s="130"/>
      <c r="CH77" s="178"/>
      <c r="CI77" s="184"/>
      <c r="CJ77" s="130">
        <f t="shared" si="119"/>
        <v>0</v>
      </c>
      <c r="CK77" s="109"/>
      <c r="CL77" s="252"/>
      <c r="CM77" s="178"/>
      <c r="CN77" s="184"/>
      <c r="CO77" s="130">
        <f t="shared" si="148"/>
        <v>10</v>
      </c>
      <c r="CP77" s="109"/>
      <c r="CQ77" s="252"/>
      <c r="CR77" s="178"/>
      <c r="CS77" s="184"/>
      <c r="CT77" s="130">
        <f t="shared" si="121"/>
        <v>0</v>
      </c>
      <c r="CU77" s="109"/>
      <c r="CV77" s="252"/>
      <c r="CW77" s="178"/>
      <c r="CX77" s="184"/>
      <c r="CY77" s="130">
        <f t="shared" si="149"/>
        <v>10</v>
      </c>
      <c r="CZ77" s="109"/>
      <c r="DA77" s="252"/>
      <c r="DB77" s="178"/>
      <c r="DC77" s="184"/>
      <c r="DD77" s="130">
        <f t="shared" si="123"/>
        <v>0</v>
      </c>
      <c r="DE77" s="109"/>
      <c r="DF77" s="252"/>
      <c r="DG77" s="178"/>
      <c r="DH77" s="184"/>
      <c r="DI77" s="130">
        <f t="shared" si="150"/>
        <v>10</v>
      </c>
      <c r="DJ77" s="109"/>
      <c r="DK77" s="252"/>
      <c r="DL77" s="178"/>
      <c r="DM77" s="184"/>
      <c r="DN77" s="130">
        <f t="shared" si="125"/>
        <v>0</v>
      </c>
      <c r="DO77" s="179"/>
      <c r="DP77" s="252"/>
      <c r="DQ77" s="178"/>
      <c r="DR77" s="184"/>
      <c r="DS77" s="130">
        <f t="shared" si="151"/>
        <v>10</v>
      </c>
      <c r="DT77" s="109"/>
      <c r="DU77" s="252"/>
      <c r="DV77" s="180">
        <f t="shared" si="133"/>
        <v>0</v>
      </c>
      <c r="DW77" s="181">
        <f>Автовик_разбивка[[#This Row],[Цена, 
юань, без НДС 1]]*DV77</f>
        <v>0</v>
      </c>
      <c r="DX77" s="186">
        <f t="shared" si="134"/>
        <v>0</v>
      </c>
      <c r="DY77" s="186">
        <f>Автовик_разбивка[[#This Row],[Цена, 
юань, без НДС 1]]*DX77</f>
        <v>0</v>
      </c>
      <c r="DZ77" s="130">
        <f t="shared" si="135"/>
        <v>60</v>
      </c>
      <c r="EA77" s="187">
        <f>Автовик_разбивка[[#This Row],[Цена, 
юань, без НДС 1]]*DZ77</f>
        <v>0</v>
      </c>
      <c r="EB77" s="109">
        <f t="shared" si="136"/>
        <v>0</v>
      </c>
      <c r="EC77" s="224">
        <f>Автовик_разбивка[[#This Row],[Цена, 
юань, без НДС 1]]*EB77</f>
        <v>0</v>
      </c>
    </row>
    <row r="78" spans="1:133" s="255" customFormat="1">
      <c r="A78" s="256">
        <v>22</v>
      </c>
      <c r="B78" s="172" t="s">
        <v>318</v>
      </c>
      <c r="C78" s="173" t="s">
        <v>298</v>
      </c>
      <c r="D78" s="173" t="s">
        <v>319</v>
      </c>
      <c r="E78" s="174">
        <v>1</v>
      </c>
      <c r="F78" s="174"/>
      <c r="G78" s="174"/>
      <c r="H78" s="175">
        <v>4801020640</v>
      </c>
      <c r="I78" s="176" t="s">
        <v>76</v>
      </c>
      <c r="J78" s="222"/>
      <c r="K78" s="227"/>
      <c r="L78" s="178">
        <v>5</v>
      </c>
      <c r="M78" s="130">
        <f t="shared" si="137"/>
        <v>5</v>
      </c>
      <c r="N78" s="179">
        <v>0</v>
      </c>
      <c r="O78" s="130"/>
      <c r="P78" s="178">
        <v>5</v>
      </c>
      <c r="Q78" s="130">
        <f t="shared" si="138"/>
        <v>5</v>
      </c>
      <c r="R78" s="179">
        <v>5</v>
      </c>
      <c r="S78" s="130"/>
      <c r="T78" s="178">
        <v>5</v>
      </c>
      <c r="U78" s="130">
        <f t="shared" si="139"/>
        <v>5</v>
      </c>
      <c r="V78" s="179">
        <v>0</v>
      </c>
      <c r="W78" s="130"/>
      <c r="X78" s="178">
        <v>5</v>
      </c>
      <c r="Y78" s="130">
        <f t="shared" si="140"/>
        <v>5</v>
      </c>
      <c r="Z78" s="179">
        <v>5</v>
      </c>
      <c r="AA78" s="130"/>
      <c r="AB78" s="178">
        <v>5</v>
      </c>
      <c r="AC78" s="130">
        <f t="shared" si="141"/>
        <v>5</v>
      </c>
      <c r="AD78" s="109"/>
      <c r="AE78" s="252"/>
      <c r="AF78" s="178">
        <v>5</v>
      </c>
      <c r="AG78" s="130">
        <f t="shared" si="142"/>
        <v>5</v>
      </c>
      <c r="AH78" s="109"/>
      <c r="AI78" s="252"/>
      <c r="AJ78" s="178">
        <v>5</v>
      </c>
      <c r="AK78" s="130">
        <f t="shared" si="143"/>
        <v>5</v>
      </c>
      <c r="AL78" s="109"/>
      <c r="AM78" s="252"/>
      <c r="AN78" s="178">
        <v>5</v>
      </c>
      <c r="AO78" s="130">
        <f t="shared" si="152"/>
        <v>3</v>
      </c>
      <c r="AP78" s="109"/>
      <c r="AQ78" s="252"/>
      <c r="AR78" s="178">
        <v>5</v>
      </c>
      <c r="AS78" s="130">
        <f t="shared" si="113"/>
        <v>5</v>
      </c>
      <c r="AT78" s="109"/>
      <c r="AU78" s="252"/>
      <c r="AV78" s="178">
        <v>5</v>
      </c>
      <c r="AW78" s="130">
        <f t="shared" si="114"/>
        <v>5</v>
      </c>
      <c r="AX78" s="109"/>
      <c r="AY78" s="252"/>
      <c r="AZ78" s="178">
        <v>5</v>
      </c>
      <c r="BA78" s="130">
        <f t="shared" si="144"/>
        <v>5</v>
      </c>
      <c r="BB78" s="193"/>
      <c r="BC78" s="252"/>
      <c r="BD78" s="178">
        <v>5</v>
      </c>
      <c r="BE78" s="130">
        <f t="shared" si="145"/>
        <v>5</v>
      </c>
      <c r="BF78" s="109"/>
      <c r="BG78" s="252"/>
      <c r="BH78" s="180">
        <f t="shared" si="130"/>
        <v>60</v>
      </c>
      <c r="BI78" s="181">
        <f>Автовик_разбивка[[#This Row],[Цена, 
юань, без НДС 1]]*BH78</f>
        <v>0</v>
      </c>
      <c r="BJ78" s="130">
        <f t="shared" si="131"/>
        <v>58</v>
      </c>
      <c r="BK78" s="187">
        <f>Автовик_разбивка[[#This Row],[Цена, 
юань, без НДС 1]]*BJ78</f>
        <v>0</v>
      </c>
      <c r="BL78" s="109">
        <f t="shared" si="132"/>
        <v>10</v>
      </c>
      <c r="BM78" s="224">
        <f>Автовик_разбивка[[#This Row],[Цена, 
юань, без НДС 1]]*BL78</f>
        <v>0</v>
      </c>
      <c r="BN78" s="178"/>
      <c r="BO78" s="184"/>
      <c r="BP78" s="130">
        <f t="shared" si="115"/>
        <v>0</v>
      </c>
      <c r="BQ78" s="179"/>
      <c r="BR78" s="130"/>
      <c r="BS78" s="178"/>
      <c r="BT78" s="184"/>
      <c r="BU78" s="130">
        <f t="shared" si="146"/>
        <v>10</v>
      </c>
      <c r="BV78" s="179"/>
      <c r="BW78" s="130"/>
      <c r="BX78" s="178"/>
      <c r="BY78" s="184"/>
      <c r="BZ78" s="130">
        <f t="shared" si="117"/>
        <v>0</v>
      </c>
      <c r="CA78" s="179"/>
      <c r="CB78" s="130"/>
      <c r="CC78" s="178"/>
      <c r="CD78" s="184"/>
      <c r="CE78" s="130">
        <f t="shared" si="147"/>
        <v>10</v>
      </c>
      <c r="CF78" s="179"/>
      <c r="CG78" s="130"/>
      <c r="CH78" s="178"/>
      <c r="CI78" s="184"/>
      <c r="CJ78" s="130">
        <f t="shared" si="119"/>
        <v>0</v>
      </c>
      <c r="CK78" s="109"/>
      <c r="CL78" s="252"/>
      <c r="CM78" s="178"/>
      <c r="CN78" s="184"/>
      <c r="CO78" s="130">
        <f t="shared" si="148"/>
        <v>10</v>
      </c>
      <c r="CP78" s="109"/>
      <c r="CQ78" s="252"/>
      <c r="CR78" s="178"/>
      <c r="CS78" s="184"/>
      <c r="CT78" s="130">
        <f t="shared" si="121"/>
        <v>0</v>
      </c>
      <c r="CU78" s="109"/>
      <c r="CV78" s="252"/>
      <c r="CW78" s="178"/>
      <c r="CX78" s="184"/>
      <c r="CY78" s="130">
        <f t="shared" si="149"/>
        <v>10</v>
      </c>
      <c r="CZ78" s="109"/>
      <c r="DA78" s="252"/>
      <c r="DB78" s="178"/>
      <c r="DC78" s="184"/>
      <c r="DD78" s="130">
        <f t="shared" si="123"/>
        <v>0</v>
      </c>
      <c r="DE78" s="109"/>
      <c r="DF78" s="252"/>
      <c r="DG78" s="178"/>
      <c r="DH78" s="184"/>
      <c r="DI78" s="130">
        <f t="shared" si="150"/>
        <v>10</v>
      </c>
      <c r="DJ78" s="109"/>
      <c r="DK78" s="252"/>
      <c r="DL78" s="178"/>
      <c r="DM78" s="184"/>
      <c r="DN78" s="130">
        <f t="shared" si="125"/>
        <v>0</v>
      </c>
      <c r="DO78" s="193"/>
      <c r="DP78" s="252"/>
      <c r="DQ78" s="178"/>
      <c r="DR78" s="184"/>
      <c r="DS78" s="130">
        <f t="shared" si="151"/>
        <v>10</v>
      </c>
      <c r="DT78" s="109"/>
      <c r="DU78" s="252"/>
      <c r="DV78" s="180">
        <f t="shared" si="133"/>
        <v>0</v>
      </c>
      <c r="DW78" s="181">
        <f>Автовик_разбивка[[#This Row],[Цена, 
юань, без НДС 1]]*DV78</f>
        <v>0</v>
      </c>
      <c r="DX78" s="186">
        <f t="shared" si="134"/>
        <v>0</v>
      </c>
      <c r="DY78" s="186">
        <f>Автовик_разбивка[[#This Row],[Цена, 
юань, без НДС 1]]*DX78</f>
        <v>0</v>
      </c>
      <c r="DZ78" s="130">
        <f t="shared" si="135"/>
        <v>60</v>
      </c>
      <c r="EA78" s="187">
        <f>Автовик_разбивка[[#This Row],[Цена, 
юань, без НДС 1]]*DZ78</f>
        <v>0</v>
      </c>
      <c r="EB78" s="109">
        <f t="shared" si="136"/>
        <v>0</v>
      </c>
      <c r="EC78" s="224">
        <f>Автовик_разбивка[[#This Row],[Цена, 
юань, без НДС 1]]*EB78</f>
        <v>0</v>
      </c>
    </row>
    <row r="79" spans="1:133">
      <c r="A79" s="256">
        <v>22</v>
      </c>
      <c r="B79" s="172" t="s">
        <v>318</v>
      </c>
      <c r="C79" s="173" t="s">
        <v>298</v>
      </c>
      <c r="D79" s="173" t="s">
        <v>319</v>
      </c>
      <c r="E79" s="174">
        <v>1</v>
      </c>
      <c r="F79" s="174"/>
      <c r="G79" s="174"/>
      <c r="H79" s="175">
        <v>9522010010</v>
      </c>
      <c r="I79" s="176" t="s">
        <v>73</v>
      </c>
      <c r="J79" s="222"/>
      <c r="K79" s="227"/>
      <c r="L79" s="178">
        <v>5</v>
      </c>
      <c r="M79" s="130">
        <f t="shared" si="137"/>
        <v>5</v>
      </c>
      <c r="N79" s="179">
        <v>0</v>
      </c>
      <c r="O79" s="130"/>
      <c r="P79" s="178">
        <v>5</v>
      </c>
      <c r="Q79" s="130">
        <f t="shared" si="138"/>
        <v>5</v>
      </c>
      <c r="R79" s="179">
        <v>5</v>
      </c>
      <c r="S79" s="130"/>
      <c r="T79" s="178">
        <v>5</v>
      </c>
      <c r="U79" s="130">
        <f t="shared" si="139"/>
        <v>5</v>
      </c>
      <c r="V79" s="179">
        <v>0</v>
      </c>
      <c r="W79" s="130"/>
      <c r="X79" s="178">
        <v>5</v>
      </c>
      <c r="Y79" s="130">
        <f t="shared" si="140"/>
        <v>5</v>
      </c>
      <c r="Z79" s="179">
        <v>5</v>
      </c>
      <c r="AA79" s="130"/>
      <c r="AB79" s="178">
        <v>5</v>
      </c>
      <c r="AC79" s="130">
        <f t="shared" si="141"/>
        <v>5</v>
      </c>
      <c r="AD79" s="179"/>
      <c r="AE79" s="130"/>
      <c r="AF79" s="178">
        <v>5</v>
      </c>
      <c r="AG79" s="130">
        <f t="shared" si="142"/>
        <v>5</v>
      </c>
      <c r="AH79" s="179"/>
      <c r="AI79" s="130"/>
      <c r="AJ79" s="178">
        <v>5</v>
      </c>
      <c r="AK79" s="130">
        <f t="shared" si="143"/>
        <v>5</v>
      </c>
      <c r="AL79" s="179"/>
      <c r="AM79" s="130"/>
      <c r="AN79" s="178">
        <v>5</v>
      </c>
      <c r="AO79" s="130">
        <f t="shared" si="152"/>
        <v>3</v>
      </c>
      <c r="AP79" s="179"/>
      <c r="AQ79" s="130"/>
      <c r="AR79" s="178">
        <v>5</v>
      </c>
      <c r="AS79" s="130">
        <f t="shared" si="113"/>
        <v>5</v>
      </c>
      <c r="AT79" s="179"/>
      <c r="AU79" s="130"/>
      <c r="AV79" s="178">
        <v>5</v>
      </c>
      <c r="AW79" s="130">
        <f t="shared" si="114"/>
        <v>5</v>
      </c>
      <c r="AX79" s="179"/>
      <c r="AY79" s="130"/>
      <c r="AZ79" s="178">
        <v>5</v>
      </c>
      <c r="BA79" s="130">
        <f t="shared" si="144"/>
        <v>5</v>
      </c>
      <c r="BB79" s="228"/>
      <c r="BC79" s="130"/>
      <c r="BD79" s="178">
        <v>5</v>
      </c>
      <c r="BE79" s="130">
        <f t="shared" si="145"/>
        <v>5</v>
      </c>
      <c r="BF79" s="109"/>
      <c r="BG79" s="130"/>
      <c r="BH79" s="180">
        <f t="shared" si="130"/>
        <v>60</v>
      </c>
      <c r="BI79" s="181">
        <f>Автовик_разбивка[[#This Row],[Цена, 
юань, без НДС 1]]*BH79</f>
        <v>0</v>
      </c>
      <c r="BJ79" s="130">
        <f t="shared" si="131"/>
        <v>58</v>
      </c>
      <c r="BK79" s="187">
        <f>Автовик_разбивка[[#This Row],[Цена, 
юань, без НДС 1]]*BJ79</f>
        <v>0</v>
      </c>
      <c r="BL79" s="109">
        <f t="shared" si="132"/>
        <v>10</v>
      </c>
      <c r="BM79" s="224">
        <f>Автовик_разбивка[[#This Row],[Цена, 
юань, без НДС 1]]*BL79</f>
        <v>0</v>
      </c>
      <c r="BN79" s="178"/>
      <c r="BO79" s="184"/>
      <c r="BP79" s="130">
        <f t="shared" si="115"/>
        <v>0</v>
      </c>
      <c r="BQ79" s="179"/>
      <c r="BR79" s="130"/>
      <c r="BS79" s="178"/>
      <c r="BT79" s="184"/>
      <c r="BU79" s="130">
        <f t="shared" si="146"/>
        <v>10</v>
      </c>
      <c r="BV79" s="179"/>
      <c r="BW79" s="130"/>
      <c r="BX79" s="178"/>
      <c r="BY79" s="184"/>
      <c r="BZ79" s="130">
        <f t="shared" si="117"/>
        <v>0</v>
      </c>
      <c r="CA79" s="179"/>
      <c r="CB79" s="130"/>
      <c r="CC79" s="178"/>
      <c r="CD79" s="184"/>
      <c r="CE79" s="130">
        <f t="shared" si="147"/>
        <v>10</v>
      </c>
      <c r="CF79" s="179"/>
      <c r="CG79" s="130"/>
      <c r="CH79" s="178"/>
      <c r="CI79" s="184"/>
      <c r="CJ79" s="130">
        <f t="shared" si="119"/>
        <v>0</v>
      </c>
      <c r="CK79" s="179"/>
      <c r="CL79" s="130"/>
      <c r="CM79" s="178"/>
      <c r="CN79" s="184"/>
      <c r="CO79" s="130">
        <f t="shared" si="148"/>
        <v>10</v>
      </c>
      <c r="CP79" s="179"/>
      <c r="CQ79" s="130"/>
      <c r="CR79" s="178"/>
      <c r="CS79" s="184"/>
      <c r="CT79" s="130">
        <f t="shared" si="121"/>
        <v>0</v>
      </c>
      <c r="CU79" s="179"/>
      <c r="CV79" s="130"/>
      <c r="CW79" s="178"/>
      <c r="CX79" s="184"/>
      <c r="CY79" s="130">
        <f t="shared" si="149"/>
        <v>10</v>
      </c>
      <c r="CZ79" s="179"/>
      <c r="DA79" s="130"/>
      <c r="DB79" s="178"/>
      <c r="DC79" s="184"/>
      <c r="DD79" s="130">
        <f t="shared" si="123"/>
        <v>0</v>
      </c>
      <c r="DE79" s="179"/>
      <c r="DF79" s="130"/>
      <c r="DG79" s="178"/>
      <c r="DH79" s="184"/>
      <c r="DI79" s="130">
        <f t="shared" si="150"/>
        <v>10</v>
      </c>
      <c r="DJ79" s="179"/>
      <c r="DK79" s="130"/>
      <c r="DL79" s="178"/>
      <c r="DM79" s="184"/>
      <c r="DN79" s="130">
        <f t="shared" si="125"/>
        <v>0</v>
      </c>
      <c r="DO79" s="228"/>
      <c r="DP79" s="130"/>
      <c r="DQ79" s="178"/>
      <c r="DR79" s="184"/>
      <c r="DS79" s="130">
        <f t="shared" si="151"/>
        <v>10</v>
      </c>
      <c r="DT79" s="109"/>
      <c r="DU79" s="130"/>
      <c r="DV79" s="180">
        <f t="shared" si="133"/>
        <v>0</v>
      </c>
      <c r="DW79" s="181">
        <f>Автовик_разбивка[[#This Row],[Цена, 
юань, без НДС 1]]*DV79</f>
        <v>0</v>
      </c>
      <c r="DX79" s="186">
        <f t="shared" si="134"/>
        <v>0</v>
      </c>
      <c r="DY79" s="186">
        <f>Автовик_разбивка[[#This Row],[Цена, 
юань, без НДС 1]]*DX79</f>
        <v>0</v>
      </c>
      <c r="DZ79" s="130">
        <f t="shared" si="135"/>
        <v>60</v>
      </c>
      <c r="EA79" s="187">
        <f>Автовик_разбивка[[#This Row],[Цена, 
юань, без НДС 1]]*DZ79</f>
        <v>0</v>
      </c>
      <c r="EB79" s="109">
        <f t="shared" si="136"/>
        <v>0</v>
      </c>
      <c r="EC79" s="224">
        <f>Автовик_разбивка[[#This Row],[Цена, 
юань, без НДС 1]]*EB79</f>
        <v>0</v>
      </c>
    </row>
    <row r="80" spans="1:133">
      <c r="A80" s="256">
        <v>22</v>
      </c>
      <c r="B80" s="172" t="s">
        <v>318</v>
      </c>
      <c r="C80" s="173" t="s">
        <v>298</v>
      </c>
      <c r="D80" s="173" t="s">
        <v>319</v>
      </c>
      <c r="E80" s="174">
        <v>1</v>
      </c>
      <c r="F80" s="174"/>
      <c r="G80" s="174"/>
      <c r="H80" s="175">
        <v>9522010020</v>
      </c>
      <c r="I80" s="176" t="s">
        <v>74</v>
      </c>
      <c r="J80" s="222"/>
      <c r="K80" s="227"/>
      <c r="L80" s="178">
        <v>5</v>
      </c>
      <c r="M80" s="130">
        <f t="shared" si="137"/>
        <v>5</v>
      </c>
      <c r="N80" s="179">
        <v>0</v>
      </c>
      <c r="O80" s="130"/>
      <c r="P80" s="178">
        <v>5</v>
      </c>
      <c r="Q80" s="130">
        <f t="shared" si="138"/>
        <v>5</v>
      </c>
      <c r="R80" s="179">
        <v>5</v>
      </c>
      <c r="S80" s="130"/>
      <c r="T80" s="178">
        <v>5</v>
      </c>
      <c r="U80" s="130">
        <f t="shared" si="139"/>
        <v>5</v>
      </c>
      <c r="V80" s="179">
        <v>0</v>
      </c>
      <c r="W80" s="130"/>
      <c r="X80" s="178">
        <v>5</v>
      </c>
      <c r="Y80" s="130">
        <f t="shared" si="140"/>
        <v>5</v>
      </c>
      <c r="Z80" s="179">
        <v>5</v>
      </c>
      <c r="AA80" s="130"/>
      <c r="AB80" s="178">
        <v>5</v>
      </c>
      <c r="AC80" s="130">
        <f t="shared" si="141"/>
        <v>5</v>
      </c>
      <c r="AD80" s="179"/>
      <c r="AE80" s="130"/>
      <c r="AF80" s="178">
        <v>5</v>
      </c>
      <c r="AG80" s="130">
        <f t="shared" si="142"/>
        <v>5</v>
      </c>
      <c r="AH80" s="179"/>
      <c r="AI80" s="130"/>
      <c r="AJ80" s="178">
        <v>5</v>
      </c>
      <c r="AK80" s="130">
        <f t="shared" si="143"/>
        <v>5</v>
      </c>
      <c r="AL80" s="179"/>
      <c r="AM80" s="130"/>
      <c r="AN80" s="178">
        <v>5</v>
      </c>
      <c r="AO80" s="130">
        <f t="shared" si="152"/>
        <v>3</v>
      </c>
      <c r="AP80" s="179"/>
      <c r="AQ80" s="130"/>
      <c r="AR80" s="178">
        <v>5</v>
      </c>
      <c r="AS80" s="130">
        <f t="shared" si="113"/>
        <v>5</v>
      </c>
      <c r="AT80" s="179"/>
      <c r="AU80" s="130"/>
      <c r="AV80" s="178">
        <v>5</v>
      </c>
      <c r="AW80" s="130">
        <f t="shared" si="114"/>
        <v>5</v>
      </c>
      <c r="AX80" s="179"/>
      <c r="AY80" s="130"/>
      <c r="AZ80" s="178">
        <v>5</v>
      </c>
      <c r="BA80" s="130">
        <f t="shared" si="144"/>
        <v>5</v>
      </c>
      <c r="BB80" s="228"/>
      <c r="BC80" s="130"/>
      <c r="BD80" s="178">
        <v>5</v>
      </c>
      <c r="BE80" s="130">
        <f t="shared" si="145"/>
        <v>5</v>
      </c>
      <c r="BF80" s="109"/>
      <c r="BG80" s="130"/>
      <c r="BH80" s="180">
        <f t="shared" si="130"/>
        <v>60</v>
      </c>
      <c r="BI80" s="181">
        <f>Автовик_разбивка[[#This Row],[Цена, 
юань, без НДС 1]]*BH80</f>
        <v>0</v>
      </c>
      <c r="BJ80" s="130">
        <f t="shared" si="131"/>
        <v>58</v>
      </c>
      <c r="BK80" s="187">
        <f>Автовик_разбивка[[#This Row],[Цена, 
юань, без НДС 1]]*BJ80</f>
        <v>0</v>
      </c>
      <c r="BL80" s="109">
        <f t="shared" si="132"/>
        <v>10</v>
      </c>
      <c r="BM80" s="224">
        <f>Автовик_разбивка[[#This Row],[Цена, 
юань, без НДС 1]]*BL80</f>
        <v>0</v>
      </c>
      <c r="BN80" s="178"/>
      <c r="BO80" s="184"/>
      <c r="BP80" s="130">
        <f t="shared" si="115"/>
        <v>0</v>
      </c>
      <c r="BQ80" s="179"/>
      <c r="BR80" s="130"/>
      <c r="BS80" s="178"/>
      <c r="BT80" s="184"/>
      <c r="BU80" s="130">
        <f t="shared" si="146"/>
        <v>10</v>
      </c>
      <c r="BV80" s="179"/>
      <c r="BW80" s="130"/>
      <c r="BX80" s="178"/>
      <c r="BY80" s="184"/>
      <c r="BZ80" s="130">
        <f t="shared" si="117"/>
        <v>0</v>
      </c>
      <c r="CA80" s="179"/>
      <c r="CB80" s="130"/>
      <c r="CC80" s="178"/>
      <c r="CD80" s="184"/>
      <c r="CE80" s="130">
        <f t="shared" si="147"/>
        <v>10</v>
      </c>
      <c r="CF80" s="179"/>
      <c r="CG80" s="130"/>
      <c r="CH80" s="178"/>
      <c r="CI80" s="184"/>
      <c r="CJ80" s="130">
        <f t="shared" si="119"/>
        <v>0</v>
      </c>
      <c r="CK80" s="179"/>
      <c r="CL80" s="130"/>
      <c r="CM80" s="178"/>
      <c r="CN80" s="184"/>
      <c r="CO80" s="130">
        <f t="shared" si="148"/>
        <v>10</v>
      </c>
      <c r="CP80" s="179"/>
      <c r="CQ80" s="130"/>
      <c r="CR80" s="178"/>
      <c r="CS80" s="184"/>
      <c r="CT80" s="130">
        <f t="shared" si="121"/>
        <v>0</v>
      </c>
      <c r="CU80" s="179"/>
      <c r="CV80" s="130"/>
      <c r="CW80" s="178"/>
      <c r="CX80" s="184"/>
      <c r="CY80" s="130">
        <f t="shared" si="149"/>
        <v>10</v>
      </c>
      <c r="CZ80" s="179"/>
      <c r="DA80" s="130"/>
      <c r="DB80" s="178"/>
      <c r="DC80" s="184"/>
      <c r="DD80" s="130">
        <f t="shared" si="123"/>
        <v>0</v>
      </c>
      <c r="DE80" s="179"/>
      <c r="DF80" s="130"/>
      <c r="DG80" s="178"/>
      <c r="DH80" s="184"/>
      <c r="DI80" s="130">
        <f t="shared" si="150"/>
        <v>10</v>
      </c>
      <c r="DJ80" s="179"/>
      <c r="DK80" s="130"/>
      <c r="DL80" s="178"/>
      <c r="DM80" s="184"/>
      <c r="DN80" s="130">
        <f t="shared" si="125"/>
        <v>0</v>
      </c>
      <c r="DO80" s="228"/>
      <c r="DP80" s="130"/>
      <c r="DQ80" s="178"/>
      <c r="DR80" s="184"/>
      <c r="DS80" s="130">
        <f t="shared" si="151"/>
        <v>10</v>
      </c>
      <c r="DT80" s="109"/>
      <c r="DU80" s="130"/>
      <c r="DV80" s="180">
        <f t="shared" si="133"/>
        <v>0</v>
      </c>
      <c r="DW80" s="181">
        <f>Автовик_разбивка[[#This Row],[Цена, 
юань, без НДС 1]]*DV80</f>
        <v>0</v>
      </c>
      <c r="DX80" s="186">
        <f t="shared" si="134"/>
        <v>0</v>
      </c>
      <c r="DY80" s="186">
        <f>Автовик_разбивка[[#This Row],[Цена, 
юань, без НДС 1]]*DX80</f>
        <v>0</v>
      </c>
      <c r="DZ80" s="130">
        <f t="shared" si="135"/>
        <v>60</v>
      </c>
      <c r="EA80" s="187">
        <f>Автовик_разбивка[[#This Row],[Цена, 
юань, без НДС 1]]*DZ80</f>
        <v>0</v>
      </c>
      <c r="EB80" s="109">
        <f t="shared" si="136"/>
        <v>0</v>
      </c>
      <c r="EC80" s="224">
        <f>Автовик_разбивка[[#This Row],[Цена, 
юань, без НДС 1]]*EB80</f>
        <v>0</v>
      </c>
    </row>
    <row r="81" spans="1:133">
      <c r="A81" s="256">
        <v>22</v>
      </c>
      <c r="B81" s="172" t="s">
        <v>318</v>
      </c>
      <c r="C81" s="173" t="s">
        <v>298</v>
      </c>
      <c r="D81" s="173" t="s">
        <v>319</v>
      </c>
      <c r="E81" s="174">
        <v>1</v>
      </c>
      <c r="F81" s="174"/>
      <c r="G81" s="174"/>
      <c r="H81" s="175">
        <v>9710029000</v>
      </c>
      <c r="I81" s="176" t="s">
        <v>75</v>
      </c>
      <c r="J81" s="222"/>
      <c r="K81" s="227"/>
      <c r="L81" s="178">
        <v>5</v>
      </c>
      <c r="M81" s="130">
        <f t="shared" si="137"/>
        <v>5</v>
      </c>
      <c r="N81" s="179">
        <v>0</v>
      </c>
      <c r="O81" s="130"/>
      <c r="P81" s="178">
        <v>5</v>
      </c>
      <c r="Q81" s="130">
        <f t="shared" si="138"/>
        <v>5</v>
      </c>
      <c r="R81" s="179">
        <v>5</v>
      </c>
      <c r="S81" s="130"/>
      <c r="T81" s="178">
        <v>5</v>
      </c>
      <c r="U81" s="130">
        <f t="shared" si="139"/>
        <v>5</v>
      </c>
      <c r="V81" s="179">
        <v>0</v>
      </c>
      <c r="W81" s="130"/>
      <c r="X81" s="178">
        <v>5</v>
      </c>
      <c r="Y81" s="130">
        <f t="shared" si="140"/>
        <v>5</v>
      </c>
      <c r="Z81" s="179">
        <v>5</v>
      </c>
      <c r="AA81" s="130"/>
      <c r="AB81" s="178">
        <v>5</v>
      </c>
      <c r="AC81" s="130">
        <f t="shared" si="141"/>
        <v>5</v>
      </c>
      <c r="AD81" s="109"/>
      <c r="AE81" s="252"/>
      <c r="AF81" s="178">
        <v>5</v>
      </c>
      <c r="AG81" s="130">
        <f t="shared" si="142"/>
        <v>5</v>
      </c>
      <c r="AH81" s="109"/>
      <c r="AI81" s="252"/>
      <c r="AJ81" s="178">
        <v>5</v>
      </c>
      <c r="AK81" s="130">
        <f t="shared" si="143"/>
        <v>5</v>
      </c>
      <c r="AL81" s="109"/>
      <c r="AM81" s="252"/>
      <c r="AN81" s="178">
        <v>5</v>
      </c>
      <c r="AO81" s="130">
        <f t="shared" si="152"/>
        <v>3</v>
      </c>
      <c r="AP81" s="109"/>
      <c r="AQ81" s="252"/>
      <c r="AR81" s="178">
        <v>5</v>
      </c>
      <c r="AS81" s="130">
        <f t="shared" si="113"/>
        <v>5</v>
      </c>
      <c r="AT81" s="109"/>
      <c r="AU81" s="252"/>
      <c r="AV81" s="178">
        <v>5</v>
      </c>
      <c r="AW81" s="130">
        <f t="shared" si="114"/>
        <v>5</v>
      </c>
      <c r="AX81" s="109"/>
      <c r="AY81" s="252"/>
      <c r="AZ81" s="178">
        <v>5</v>
      </c>
      <c r="BA81" s="130">
        <f t="shared" si="144"/>
        <v>5</v>
      </c>
      <c r="BB81" s="194"/>
      <c r="BC81" s="252"/>
      <c r="BD81" s="178">
        <v>5</v>
      </c>
      <c r="BE81" s="130">
        <f t="shared" si="145"/>
        <v>5</v>
      </c>
      <c r="BF81" s="109"/>
      <c r="BG81" s="252"/>
      <c r="BH81" s="180">
        <f t="shared" si="130"/>
        <v>60</v>
      </c>
      <c r="BI81" s="181">
        <f>Автовик_разбивка[[#This Row],[Цена, 
юань, без НДС 1]]*BH81</f>
        <v>0</v>
      </c>
      <c r="BJ81" s="130">
        <f t="shared" si="131"/>
        <v>58</v>
      </c>
      <c r="BK81" s="187">
        <f>Автовик_разбивка[[#This Row],[Цена, 
юань, без НДС 1]]*BJ81</f>
        <v>0</v>
      </c>
      <c r="BL81" s="109">
        <f t="shared" si="132"/>
        <v>10</v>
      </c>
      <c r="BM81" s="224">
        <f>Автовик_разбивка[[#This Row],[Цена, 
юань, без НДС 1]]*BL81</f>
        <v>0</v>
      </c>
      <c r="BN81" s="178"/>
      <c r="BO81" s="184"/>
      <c r="BP81" s="130">
        <f t="shared" si="115"/>
        <v>0</v>
      </c>
      <c r="BQ81" s="179"/>
      <c r="BR81" s="130"/>
      <c r="BS81" s="178"/>
      <c r="BT81" s="184"/>
      <c r="BU81" s="130">
        <f t="shared" si="146"/>
        <v>10</v>
      </c>
      <c r="BV81" s="179"/>
      <c r="BW81" s="130"/>
      <c r="BX81" s="178"/>
      <c r="BY81" s="184"/>
      <c r="BZ81" s="130">
        <f t="shared" si="117"/>
        <v>0</v>
      </c>
      <c r="CA81" s="179"/>
      <c r="CB81" s="130"/>
      <c r="CC81" s="178"/>
      <c r="CD81" s="184"/>
      <c r="CE81" s="130">
        <f t="shared" si="147"/>
        <v>10</v>
      </c>
      <c r="CF81" s="179"/>
      <c r="CG81" s="130"/>
      <c r="CH81" s="178"/>
      <c r="CI81" s="184"/>
      <c r="CJ81" s="130">
        <f t="shared" si="119"/>
        <v>0</v>
      </c>
      <c r="CK81" s="109"/>
      <c r="CL81" s="252"/>
      <c r="CM81" s="178"/>
      <c r="CN81" s="184"/>
      <c r="CO81" s="130">
        <f t="shared" si="148"/>
        <v>10</v>
      </c>
      <c r="CP81" s="109"/>
      <c r="CQ81" s="252"/>
      <c r="CR81" s="178"/>
      <c r="CS81" s="184"/>
      <c r="CT81" s="130">
        <f t="shared" si="121"/>
        <v>0</v>
      </c>
      <c r="CU81" s="109"/>
      <c r="CV81" s="252"/>
      <c r="CW81" s="178"/>
      <c r="CX81" s="184"/>
      <c r="CY81" s="130">
        <f t="shared" si="149"/>
        <v>10</v>
      </c>
      <c r="CZ81" s="109"/>
      <c r="DA81" s="252"/>
      <c r="DB81" s="178"/>
      <c r="DC81" s="184"/>
      <c r="DD81" s="130">
        <f t="shared" si="123"/>
        <v>0</v>
      </c>
      <c r="DE81" s="109"/>
      <c r="DF81" s="252"/>
      <c r="DG81" s="178"/>
      <c r="DH81" s="184"/>
      <c r="DI81" s="130">
        <f t="shared" si="150"/>
        <v>10</v>
      </c>
      <c r="DJ81" s="109"/>
      <c r="DK81" s="252"/>
      <c r="DL81" s="178"/>
      <c r="DM81" s="184"/>
      <c r="DN81" s="130">
        <f t="shared" si="125"/>
        <v>0</v>
      </c>
      <c r="DO81" s="194"/>
      <c r="DP81" s="252"/>
      <c r="DQ81" s="178"/>
      <c r="DR81" s="184"/>
      <c r="DS81" s="130">
        <f t="shared" si="151"/>
        <v>10</v>
      </c>
      <c r="DT81" s="109"/>
      <c r="DU81" s="252"/>
      <c r="DV81" s="180">
        <f t="shared" si="133"/>
        <v>0</v>
      </c>
      <c r="DW81" s="181">
        <f>Автовик_разбивка[[#This Row],[Цена, 
юань, без НДС 1]]*DV81</f>
        <v>0</v>
      </c>
      <c r="DX81" s="186">
        <f t="shared" si="134"/>
        <v>0</v>
      </c>
      <c r="DY81" s="186">
        <f>Автовик_разбивка[[#This Row],[Цена, 
юань, без НДС 1]]*DX81</f>
        <v>0</v>
      </c>
      <c r="DZ81" s="130">
        <f t="shared" si="135"/>
        <v>60</v>
      </c>
      <c r="EA81" s="187">
        <f>Автовик_разбивка[[#This Row],[Цена, 
юань, без НДС 1]]*DZ81</f>
        <v>0</v>
      </c>
      <c r="EB81" s="109">
        <f t="shared" si="136"/>
        <v>0</v>
      </c>
      <c r="EC81" s="224">
        <f>Автовик_разбивка[[#This Row],[Цена, 
юань, без НДС 1]]*EB81</f>
        <v>0</v>
      </c>
    </row>
    <row r="82" spans="1:133">
      <c r="A82" s="256">
        <v>22</v>
      </c>
      <c r="B82" s="172" t="s">
        <v>318</v>
      </c>
      <c r="C82" s="132"/>
      <c r="D82" s="132"/>
      <c r="E82" s="229"/>
      <c r="F82" s="229"/>
      <c r="G82" s="229"/>
      <c r="H82" s="230"/>
      <c r="I82" s="231" t="s">
        <v>43</v>
      </c>
      <c r="J82" s="232"/>
      <c r="K82" s="232"/>
      <c r="L82" s="233"/>
      <c r="M82" s="234"/>
      <c r="N82" s="235"/>
      <c r="O82" s="234"/>
      <c r="P82" s="233"/>
      <c r="Q82" s="234"/>
      <c r="R82" s="235"/>
      <c r="S82" s="234"/>
      <c r="T82" s="233"/>
      <c r="U82" s="234"/>
      <c r="V82" s="235"/>
      <c r="W82" s="234"/>
      <c r="X82" s="233"/>
      <c r="Y82" s="234"/>
      <c r="Z82" s="235"/>
      <c r="AA82" s="234"/>
      <c r="AB82" s="233"/>
      <c r="AC82" s="234"/>
      <c r="AD82" s="235"/>
      <c r="AE82" s="234"/>
      <c r="AF82" s="233"/>
      <c r="AG82" s="234"/>
      <c r="AH82" s="235"/>
      <c r="AI82" s="234"/>
      <c r="AJ82" s="233"/>
      <c r="AK82" s="234"/>
      <c r="AL82" s="235"/>
      <c r="AM82" s="234"/>
      <c r="AN82" s="233"/>
      <c r="AO82" s="234"/>
      <c r="AP82" s="235"/>
      <c r="AQ82" s="234"/>
      <c r="AR82" s="233"/>
      <c r="AS82" s="234"/>
      <c r="AT82" s="235"/>
      <c r="AU82" s="234"/>
      <c r="AV82" s="233"/>
      <c r="AW82" s="234"/>
      <c r="AX82" s="235"/>
      <c r="AY82" s="234"/>
      <c r="AZ82" s="233"/>
      <c r="BA82" s="234"/>
      <c r="BB82" s="235"/>
      <c r="BC82" s="234"/>
      <c r="BD82" s="233"/>
      <c r="BE82" s="234"/>
      <c r="BF82" s="235"/>
      <c r="BG82" s="234"/>
      <c r="BH82" s="233">
        <f t="shared" si="130"/>
        <v>0</v>
      </c>
      <c r="BI82" s="238">
        <f>Автовик_разбивка[[#This Row],[Цена, 
юань, без НДС 1]]*BH82</f>
        <v>0</v>
      </c>
      <c r="BJ82" s="234">
        <f t="shared" si="131"/>
        <v>0</v>
      </c>
      <c r="BK82" s="253">
        <f>Автовик_разбивка[[#This Row],[Цена, 
юань, без НДС 1]]*BJ82</f>
        <v>0</v>
      </c>
      <c r="BL82" s="235">
        <f t="shared" si="132"/>
        <v>0</v>
      </c>
      <c r="BM82" s="254">
        <f>Автовик_разбивка[[#This Row],[Цена, 
юань, без НДС 1]]*BL82</f>
        <v>0</v>
      </c>
      <c r="BN82" s="233"/>
      <c r="BO82" s="241"/>
      <c r="BP82" s="234"/>
      <c r="BQ82" s="235"/>
      <c r="BR82" s="234"/>
      <c r="BS82" s="233"/>
      <c r="BT82" s="241"/>
      <c r="BU82" s="234"/>
      <c r="BV82" s="235"/>
      <c r="BW82" s="234"/>
      <c r="BX82" s="233"/>
      <c r="BY82" s="241"/>
      <c r="BZ82" s="234"/>
      <c r="CA82" s="235"/>
      <c r="CB82" s="234"/>
      <c r="CC82" s="233"/>
      <c r="CD82" s="241"/>
      <c r="CE82" s="234"/>
      <c r="CF82" s="235"/>
      <c r="CG82" s="234"/>
      <c r="CH82" s="233"/>
      <c r="CI82" s="241"/>
      <c r="CJ82" s="234"/>
      <c r="CK82" s="235"/>
      <c r="CL82" s="234"/>
      <c r="CM82" s="233"/>
      <c r="CN82" s="241"/>
      <c r="CO82" s="234"/>
      <c r="CP82" s="235"/>
      <c r="CQ82" s="234"/>
      <c r="CR82" s="233"/>
      <c r="CS82" s="241"/>
      <c r="CT82" s="234"/>
      <c r="CU82" s="235"/>
      <c r="CV82" s="234"/>
      <c r="CW82" s="233"/>
      <c r="CX82" s="241"/>
      <c r="CY82" s="234"/>
      <c r="CZ82" s="235"/>
      <c r="DA82" s="234"/>
      <c r="DB82" s="233"/>
      <c r="DC82" s="241"/>
      <c r="DD82" s="234"/>
      <c r="DE82" s="235"/>
      <c r="DF82" s="234"/>
      <c r="DG82" s="233"/>
      <c r="DH82" s="241"/>
      <c r="DI82" s="234"/>
      <c r="DJ82" s="235"/>
      <c r="DK82" s="234"/>
      <c r="DL82" s="233"/>
      <c r="DM82" s="241"/>
      <c r="DN82" s="234"/>
      <c r="DO82" s="235"/>
      <c r="DP82" s="234"/>
      <c r="DQ82" s="233"/>
      <c r="DR82" s="241"/>
      <c r="DS82" s="234"/>
      <c r="DT82" s="235"/>
      <c r="DU82" s="234"/>
      <c r="DV82" s="233">
        <f t="shared" si="133"/>
        <v>0</v>
      </c>
      <c r="DW82" s="238">
        <f>Автовик_разбивка[[#This Row],[Цена, 
юань, без НДС 1]]*DV82</f>
        <v>0</v>
      </c>
      <c r="DX82" s="242">
        <f t="shared" si="134"/>
        <v>0</v>
      </c>
      <c r="DY82" s="242">
        <f>Автовик_разбивка[[#This Row],[Цена, 
юань, без НДС 1]]*DX82</f>
        <v>0</v>
      </c>
      <c r="DZ82" s="234">
        <f t="shared" si="135"/>
        <v>0</v>
      </c>
      <c r="EA82" s="253">
        <f>Автовик_разбивка[[#This Row],[Цена, 
юань, без НДС 1]]*DZ82</f>
        <v>0</v>
      </c>
      <c r="EB82" s="235">
        <f t="shared" si="136"/>
        <v>0</v>
      </c>
      <c r="EC82" s="254">
        <f>Автовик_разбивка[[#This Row],[Цена, 
юань, без НДС 1]]*EB82</f>
        <v>0</v>
      </c>
    </row>
    <row r="83" spans="1:133">
      <c r="A83" s="256">
        <v>22</v>
      </c>
      <c r="B83" s="243" t="s">
        <v>318</v>
      </c>
      <c r="C83" s="244"/>
      <c r="D83" s="244"/>
      <c r="E83" s="245"/>
      <c r="F83" s="245"/>
      <c r="G83" s="245"/>
      <c r="H83" s="246"/>
      <c r="I83" s="247"/>
      <c r="J83" s="248"/>
      <c r="K83" s="248"/>
      <c r="L83" s="249"/>
      <c r="M83" s="249"/>
      <c r="N83" s="249"/>
      <c r="O83" s="249"/>
      <c r="P83" s="249"/>
      <c r="Q83" s="249"/>
      <c r="R83" s="249"/>
      <c r="S83" s="249"/>
      <c r="T83" s="249"/>
      <c r="U83" s="249"/>
      <c r="V83" s="249"/>
      <c r="W83" s="249"/>
      <c r="X83" s="249"/>
      <c r="Y83" s="249"/>
      <c r="Z83" s="249"/>
      <c r="AA83" s="249"/>
      <c r="AB83" s="249"/>
      <c r="AC83" s="249"/>
      <c r="AD83" s="249"/>
      <c r="AE83" s="249"/>
      <c r="AF83" s="249"/>
      <c r="AG83" s="249"/>
      <c r="AH83" s="249"/>
      <c r="AI83" s="249"/>
      <c r="AJ83" s="249"/>
      <c r="AK83" s="249"/>
      <c r="AL83" s="249"/>
      <c r="AM83" s="249"/>
      <c r="AN83" s="249"/>
      <c r="AO83" s="249"/>
      <c r="AP83" s="249"/>
      <c r="AQ83" s="249"/>
      <c r="AR83" s="249"/>
      <c r="AS83" s="249"/>
      <c r="AT83" s="249"/>
      <c r="AU83" s="249"/>
      <c r="AV83" s="249"/>
      <c r="AW83" s="249"/>
      <c r="AX83" s="250"/>
      <c r="AY83" s="249"/>
      <c r="AZ83" s="250"/>
      <c r="BA83" s="250"/>
      <c r="BB83" s="250"/>
      <c r="BC83" s="249"/>
      <c r="BD83" s="250"/>
      <c r="BE83" s="250"/>
      <c r="BF83" s="250"/>
      <c r="BG83" s="249"/>
      <c r="BH83" s="250">
        <f t="shared" si="130"/>
        <v>0</v>
      </c>
      <c r="BI83" s="251">
        <f>Автовик_разбивка[[#This Row],[Цена, 
юань, без НДС 1]]*BH83</f>
        <v>0</v>
      </c>
      <c r="BJ83" s="250">
        <f t="shared" si="131"/>
        <v>0</v>
      </c>
      <c r="BK83" s="251">
        <f>Автовик_разбивка[[#This Row],[Цена, 
юань, без НДС 1]]*BJ83</f>
        <v>0</v>
      </c>
      <c r="BL83" s="250">
        <f t="shared" si="132"/>
        <v>0</v>
      </c>
      <c r="BM83" s="251">
        <f>Автовик_разбивка[[#This Row],[Цена, 
юань, без НДС 1]]*BL83</f>
        <v>0</v>
      </c>
      <c r="BN83" s="249"/>
      <c r="BO83" s="249"/>
      <c r="BP83" s="249"/>
      <c r="BQ83" s="249"/>
      <c r="BR83" s="249"/>
      <c r="BS83" s="249"/>
      <c r="BT83" s="249"/>
      <c r="BU83" s="249"/>
      <c r="BV83" s="249"/>
      <c r="BW83" s="249"/>
      <c r="BX83" s="249"/>
      <c r="BY83" s="249"/>
      <c r="BZ83" s="249"/>
      <c r="CA83" s="249"/>
      <c r="CB83" s="249"/>
      <c r="CC83" s="249"/>
      <c r="CD83" s="249"/>
      <c r="CE83" s="249"/>
      <c r="CF83" s="249"/>
      <c r="CG83" s="249"/>
      <c r="CH83" s="249"/>
      <c r="CI83" s="249"/>
      <c r="CJ83" s="249"/>
      <c r="CK83" s="249"/>
      <c r="CL83" s="249"/>
      <c r="CM83" s="249"/>
      <c r="CN83" s="249"/>
      <c r="CO83" s="249"/>
      <c r="CP83" s="249"/>
      <c r="CQ83" s="249"/>
      <c r="CR83" s="249"/>
      <c r="CS83" s="249"/>
      <c r="CT83" s="249"/>
      <c r="CU83" s="249"/>
      <c r="CV83" s="249"/>
      <c r="CW83" s="249"/>
      <c r="CX83" s="249"/>
      <c r="CY83" s="249"/>
      <c r="CZ83" s="249"/>
      <c r="DA83" s="249"/>
      <c r="DB83" s="249"/>
      <c r="DC83" s="249"/>
      <c r="DD83" s="249"/>
      <c r="DE83" s="249"/>
      <c r="DF83" s="249"/>
      <c r="DG83" s="249"/>
      <c r="DH83" s="249"/>
      <c r="DI83" s="249"/>
      <c r="DJ83" s="250"/>
      <c r="DK83" s="249"/>
      <c r="DL83" s="250"/>
      <c r="DM83" s="250"/>
      <c r="DN83" s="250"/>
      <c r="DO83" s="250"/>
      <c r="DP83" s="249"/>
      <c r="DQ83" s="250"/>
      <c r="DR83" s="250"/>
      <c r="DS83" s="250"/>
      <c r="DT83" s="250"/>
      <c r="DU83" s="249"/>
      <c r="DV83" s="250">
        <f t="shared" si="133"/>
        <v>0</v>
      </c>
      <c r="DW83" s="251">
        <f>Автовик_разбивка[[#This Row],[Цена, 
юань, без НДС 1]]*DV83</f>
        <v>0</v>
      </c>
      <c r="DX83" s="251">
        <f t="shared" si="134"/>
        <v>0</v>
      </c>
      <c r="DY83" s="251">
        <f>Автовик_разбивка[[#This Row],[Цена, 
юань, без НДС 1]]*DX83</f>
        <v>0</v>
      </c>
      <c r="DZ83" s="250">
        <f t="shared" si="135"/>
        <v>0</v>
      </c>
      <c r="EA83" s="251">
        <f>Автовик_разбивка[[#This Row],[Цена, 
юань, без НДС 1]]*DZ83</f>
        <v>0</v>
      </c>
      <c r="EB83" s="250">
        <f t="shared" si="136"/>
        <v>0</v>
      </c>
      <c r="EC83" s="251">
        <f>Автовик_разбивка[[#This Row],[Цена, 
юань, без НДС 1]]*EB83</f>
        <v>0</v>
      </c>
    </row>
    <row r="84" spans="1:133">
      <c r="A84" s="256">
        <v>22</v>
      </c>
      <c r="B84" s="172" t="s">
        <v>90</v>
      </c>
      <c r="C84" s="173" t="s">
        <v>298</v>
      </c>
      <c r="D84" s="173" t="s">
        <v>300</v>
      </c>
      <c r="E84" s="174">
        <v>1</v>
      </c>
      <c r="F84" s="174"/>
      <c r="G84" s="174"/>
      <c r="H84" s="175">
        <v>4494430600</v>
      </c>
      <c r="I84" s="176" t="s">
        <v>136</v>
      </c>
      <c r="J84" s="222"/>
      <c r="K84" s="223"/>
      <c r="L84" s="178">
        <v>0</v>
      </c>
      <c r="M84" s="130">
        <f t="shared" ref="M84:M94" si="153">$E84*0</f>
        <v>0</v>
      </c>
      <c r="N84" s="179">
        <v>0</v>
      </c>
      <c r="O84" s="130"/>
      <c r="P84" s="178">
        <v>0</v>
      </c>
      <c r="Q84" s="130">
        <f t="shared" ref="Q84:R94" si="154">$E84*0</f>
        <v>0</v>
      </c>
      <c r="R84" s="179">
        <f t="shared" si="154"/>
        <v>0</v>
      </c>
      <c r="S84" s="130"/>
      <c r="T84" s="178">
        <v>0</v>
      </c>
      <c r="U84" s="130">
        <f t="shared" ref="U84:V94" si="155">$E84*0</f>
        <v>0</v>
      </c>
      <c r="V84" s="179">
        <f t="shared" si="155"/>
        <v>0</v>
      </c>
      <c r="W84" s="130"/>
      <c r="X84" s="178">
        <v>0</v>
      </c>
      <c r="Y84" s="130">
        <f t="shared" ref="Y84:Z94" si="156">$E84*0</f>
        <v>0</v>
      </c>
      <c r="Z84" s="179">
        <f t="shared" si="156"/>
        <v>0</v>
      </c>
      <c r="AA84" s="130"/>
      <c r="AB84" s="178">
        <v>0</v>
      </c>
      <c r="AC84" s="130">
        <f t="shared" ref="AC84:AC94" si="157">$E84*0</f>
        <v>0</v>
      </c>
      <c r="AD84" s="179"/>
      <c r="AE84" s="130"/>
      <c r="AF84" s="178">
        <v>0</v>
      </c>
      <c r="AG84" s="130">
        <f t="shared" ref="AG84:AG94" si="158">$E84*0</f>
        <v>0</v>
      </c>
      <c r="AH84" s="179"/>
      <c r="AI84" s="130"/>
      <c r="AJ84" s="178">
        <v>0</v>
      </c>
      <c r="AK84" s="130">
        <f t="shared" ref="AK84:AK94" si="159">$E84*0</f>
        <v>0</v>
      </c>
      <c r="AL84" s="179"/>
      <c r="AM84" s="130"/>
      <c r="AN84" s="178">
        <v>0</v>
      </c>
      <c r="AO84" s="130">
        <f t="shared" ref="AO84:AO85" si="160">$E84*0</f>
        <v>0</v>
      </c>
      <c r="AP84" s="179"/>
      <c r="AQ84" s="130"/>
      <c r="AR84" s="178">
        <v>0</v>
      </c>
      <c r="AS84" s="130">
        <f t="shared" ref="AS84:AS94" si="161">$E84*0</f>
        <v>0</v>
      </c>
      <c r="AT84" s="179"/>
      <c r="AU84" s="130"/>
      <c r="AV84" s="178">
        <v>0</v>
      </c>
      <c r="AW84" s="130">
        <f t="shared" ref="AW84:AW109" si="162">$E84*0</f>
        <v>0</v>
      </c>
      <c r="AX84" s="179"/>
      <c r="AY84" s="130"/>
      <c r="AZ84" s="178">
        <v>0</v>
      </c>
      <c r="BA84" s="130"/>
      <c r="BB84" s="194"/>
      <c r="BC84" s="130"/>
      <c r="BD84" s="178">
        <v>0</v>
      </c>
      <c r="BE84" s="130"/>
      <c r="BF84" s="109"/>
      <c r="BG84" s="130"/>
      <c r="BH84" s="180">
        <f t="shared" si="130"/>
        <v>0</v>
      </c>
      <c r="BI84" s="181">
        <f>Автовик_разбивка[[#This Row],[Цена, 
юань, без НДС 1]]*BH84</f>
        <v>0</v>
      </c>
      <c r="BJ84" s="130">
        <f t="shared" si="131"/>
        <v>0</v>
      </c>
      <c r="BK84" s="187">
        <f>Автовик_разбивка[[#This Row],[Цена, 
юань, без НДС 1]]*BJ84</f>
        <v>0</v>
      </c>
      <c r="BL84" s="109">
        <f t="shared" si="132"/>
        <v>0</v>
      </c>
      <c r="BM84" s="224">
        <f>Автовик_разбивка[[#This Row],[Цена, 
юань, без НДС 1]]*BL84</f>
        <v>0</v>
      </c>
      <c r="BN84" s="178"/>
      <c r="BO84" s="184"/>
      <c r="BP84" s="130">
        <f t="shared" si="115"/>
        <v>0</v>
      </c>
      <c r="BQ84" s="179"/>
      <c r="BR84" s="130"/>
      <c r="BS84" s="178"/>
      <c r="BT84" s="184"/>
      <c r="BU84" s="130">
        <f t="shared" ref="BU84:BU94" si="163">$E84*0</f>
        <v>0</v>
      </c>
      <c r="BV84" s="179"/>
      <c r="BW84" s="130"/>
      <c r="BX84" s="178"/>
      <c r="BY84" s="184"/>
      <c r="BZ84" s="130">
        <f t="shared" si="117"/>
        <v>0</v>
      </c>
      <c r="CA84" s="179"/>
      <c r="CB84" s="130"/>
      <c r="CC84" s="178"/>
      <c r="CD84" s="184"/>
      <c r="CE84" s="130">
        <f t="shared" ref="CE84:CE94" si="164">$E84*0</f>
        <v>0</v>
      </c>
      <c r="CF84" s="179"/>
      <c r="CG84" s="130"/>
      <c r="CH84" s="178"/>
      <c r="CI84" s="184"/>
      <c r="CJ84" s="130">
        <f t="shared" si="119"/>
        <v>0</v>
      </c>
      <c r="CK84" s="179"/>
      <c r="CL84" s="130"/>
      <c r="CM84" s="178"/>
      <c r="CN84" s="184"/>
      <c r="CO84" s="130">
        <f t="shared" ref="CO84:CO94" si="165">$E84*0</f>
        <v>0</v>
      </c>
      <c r="CP84" s="179"/>
      <c r="CQ84" s="130"/>
      <c r="CR84" s="178"/>
      <c r="CS84" s="184"/>
      <c r="CT84" s="130">
        <f t="shared" si="121"/>
        <v>0</v>
      </c>
      <c r="CU84" s="179"/>
      <c r="CV84" s="130"/>
      <c r="CW84" s="178"/>
      <c r="CX84" s="184"/>
      <c r="CY84" s="130">
        <f t="shared" ref="CY84:CY94" si="166">$E84*0</f>
        <v>0</v>
      </c>
      <c r="CZ84" s="179"/>
      <c r="DA84" s="130"/>
      <c r="DB84" s="178"/>
      <c r="DC84" s="184"/>
      <c r="DD84" s="130">
        <f t="shared" si="123"/>
        <v>0</v>
      </c>
      <c r="DE84" s="179"/>
      <c r="DF84" s="130"/>
      <c r="DG84" s="178"/>
      <c r="DH84" s="184"/>
      <c r="DI84" s="130">
        <f t="shared" ref="DI84:DI94" si="167">$E84*0</f>
        <v>0</v>
      </c>
      <c r="DJ84" s="179"/>
      <c r="DK84" s="130"/>
      <c r="DL84" s="178"/>
      <c r="DM84" s="184"/>
      <c r="DN84" s="130">
        <f t="shared" si="125"/>
        <v>0</v>
      </c>
      <c r="DO84" s="194"/>
      <c r="DP84" s="130"/>
      <c r="DQ84" s="178"/>
      <c r="DR84" s="184"/>
      <c r="DS84" s="130">
        <f t="shared" ref="DS84:DS94" si="168">$E84*0</f>
        <v>0</v>
      </c>
      <c r="DT84" s="109"/>
      <c r="DU84" s="130"/>
      <c r="DV84" s="180">
        <f t="shared" si="133"/>
        <v>0</v>
      </c>
      <c r="DW84" s="181">
        <f>Автовик_разбивка[[#This Row],[Цена, 
юань, без НДС 1]]*DV84</f>
        <v>0</v>
      </c>
      <c r="DX84" s="186">
        <f t="shared" si="134"/>
        <v>0</v>
      </c>
      <c r="DY84" s="186">
        <f>Автовик_разбивка[[#This Row],[Цена, 
юань, без НДС 1]]*DX84</f>
        <v>0</v>
      </c>
      <c r="DZ84" s="130">
        <f t="shared" si="135"/>
        <v>0</v>
      </c>
      <c r="EA84" s="187">
        <f>Автовик_разбивка[[#This Row],[Цена, 
юань, без НДС 1]]*DZ84</f>
        <v>0</v>
      </c>
      <c r="EB84" s="109">
        <f t="shared" si="136"/>
        <v>0</v>
      </c>
      <c r="EC84" s="224">
        <f>Автовик_разбивка[[#This Row],[Цена, 
юань, без НДС 1]]*EB84</f>
        <v>0</v>
      </c>
    </row>
    <row r="85" spans="1:133">
      <c r="A85" s="256">
        <v>22</v>
      </c>
      <c r="B85" s="172" t="s">
        <v>90</v>
      </c>
      <c r="C85" s="173" t="s">
        <v>298</v>
      </c>
      <c r="D85" s="173" t="s">
        <v>300</v>
      </c>
      <c r="E85" s="174">
        <v>1</v>
      </c>
      <c r="F85" s="174"/>
      <c r="G85" s="174"/>
      <c r="H85" s="175">
        <v>4630840310</v>
      </c>
      <c r="I85" s="176" t="s">
        <v>135</v>
      </c>
      <c r="J85" s="222"/>
      <c r="K85" s="223"/>
      <c r="L85" s="178">
        <v>0</v>
      </c>
      <c r="M85" s="130">
        <f t="shared" si="153"/>
        <v>0</v>
      </c>
      <c r="N85" s="179">
        <v>0</v>
      </c>
      <c r="O85" s="130"/>
      <c r="P85" s="178">
        <v>0</v>
      </c>
      <c r="Q85" s="130">
        <f t="shared" si="154"/>
        <v>0</v>
      </c>
      <c r="R85" s="179">
        <f t="shared" si="154"/>
        <v>0</v>
      </c>
      <c r="S85" s="130"/>
      <c r="T85" s="178">
        <v>0</v>
      </c>
      <c r="U85" s="130">
        <f t="shared" si="155"/>
        <v>0</v>
      </c>
      <c r="V85" s="179">
        <f t="shared" si="155"/>
        <v>0</v>
      </c>
      <c r="W85" s="130"/>
      <c r="X85" s="178">
        <v>0</v>
      </c>
      <c r="Y85" s="130">
        <f t="shared" si="156"/>
        <v>0</v>
      </c>
      <c r="Z85" s="179">
        <f t="shared" si="156"/>
        <v>0</v>
      </c>
      <c r="AA85" s="130"/>
      <c r="AB85" s="178">
        <v>0</v>
      </c>
      <c r="AC85" s="130">
        <f t="shared" si="157"/>
        <v>0</v>
      </c>
      <c r="AD85" s="179"/>
      <c r="AE85" s="130"/>
      <c r="AF85" s="178">
        <v>0</v>
      </c>
      <c r="AG85" s="130">
        <f t="shared" si="158"/>
        <v>0</v>
      </c>
      <c r="AH85" s="179"/>
      <c r="AI85" s="130"/>
      <c r="AJ85" s="178">
        <v>0</v>
      </c>
      <c r="AK85" s="130">
        <f t="shared" si="159"/>
        <v>0</v>
      </c>
      <c r="AL85" s="179"/>
      <c r="AM85" s="130"/>
      <c r="AN85" s="178">
        <v>0</v>
      </c>
      <c r="AO85" s="130">
        <f t="shared" si="160"/>
        <v>0</v>
      </c>
      <c r="AP85" s="179"/>
      <c r="AQ85" s="130"/>
      <c r="AR85" s="178">
        <v>0</v>
      </c>
      <c r="AS85" s="130">
        <f t="shared" si="161"/>
        <v>0</v>
      </c>
      <c r="AT85" s="179"/>
      <c r="AU85" s="130"/>
      <c r="AV85" s="178">
        <v>0</v>
      </c>
      <c r="AW85" s="130">
        <f t="shared" si="162"/>
        <v>0</v>
      </c>
      <c r="AX85" s="179"/>
      <c r="AY85" s="130"/>
      <c r="AZ85" s="178">
        <v>0</v>
      </c>
      <c r="BA85" s="130"/>
      <c r="BB85" s="194"/>
      <c r="BC85" s="130"/>
      <c r="BD85" s="178">
        <v>0</v>
      </c>
      <c r="BE85" s="130"/>
      <c r="BF85" s="109"/>
      <c r="BG85" s="130"/>
      <c r="BH85" s="180">
        <f t="shared" si="130"/>
        <v>0</v>
      </c>
      <c r="BI85" s="181">
        <f>Автовик_разбивка[[#This Row],[Цена, 
юань, без НДС 1]]*BH85</f>
        <v>0</v>
      </c>
      <c r="BJ85" s="130">
        <f t="shared" si="131"/>
        <v>0</v>
      </c>
      <c r="BK85" s="187">
        <f>Автовик_разбивка[[#This Row],[Цена, 
юань, без НДС 1]]*BJ85</f>
        <v>0</v>
      </c>
      <c r="BL85" s="109">
        <f t="shared" si="132"/>
        <v>0</v>
      </c>
      <c r="BM85" s="224">
        <f>Автовик_разбивка[[#This Row],[Цена, 
юань, без НДС 1]]*BL85</f>
        <v>0</v>
      </c>
      <c r="BN85" s="178"/>
      <c r="BO85" s="184"/>
      <c r="BP85" s="130">
        <f t="shared" si="115"/>
        <v>0</v>
      </c>
      <c r="BQ85" s="179"/>
      <c r="BR85" s="130"/>
      <c r="BS85" s="178"/>
      <c r="BT85" s="184"/>
      <c r="BU85" s="130">
        <f t="shared" si="163"/>
        <v>0</v>
      </c>
      <c r="BV85" s="179"/>
      <c r="BW85" s="130"/>
      <c r="BX85" s="178"/>
      <c r="BY85" s="184"/>
      <c r="BZ85" s="130">
        <f t="shared" si="117"/>
        <v>0</v>
      </c>
      <c r="CA85" s="179"/>
      <c r="CB85" s="130"/>
      <c r="CC85" s="178"/>
      <c r="CD85" s="184"/>
      <c r="CE85" s="130">
        <f t="shared" si="164"/>
        <v>0</v>
      </c>
      <c r="CF85" s="179"/>
      <c r="CG85" s="130"/>
      <c r="CH85" s="178"/>
      <c r="CI85" s="184"/>
      <c r="CJ85" s="130">
        <f t="shared" si="119"/>
        <v>0</v>
      </c>
      <c r="CK85" s="179"/>
      <c r="CL85" s="130"/>
      <c r="CM85" s="178"/>
      <c r="CN85" s="184"/>
      <c r="CO85" s="130">
        <f t="shared" si="165"/>
        <v>0</v>
      </c>
      <c r="CP85" s="179"/>
      <c r="CQ85" s="130"/>
      <c r="CR85" s="178"/>
      <c r="CS85" s="184"/>
      <c r="CT85" s="130">
        <f t="shared" si="121"/>
        <v>0</v>
      </c>
      <c r="CU85" s="179"/>
      <c r="CV85" s="130"/>
      <c r="CW85" s="178"/>
      <c r="CX85" s="184"/>
      <c r="CY85" s="130">
        <f t="shared" si="166"/>
        <v>0</v>
      </c>
      <c r="CZ85" s="179"/>
      <c r="DA85" s="130"/>
      <c r="DB85" s="178"/>
      <c r="DC85" s="184"/>
      <c r="DD85" s="130">
        <f t="shared" si="123"/>
        <v>0</v>
      </c>
      <c r="DE85" s="179"/>
      <c r="DF85" s="130"/>
      <c r="DG85" s="178"/>
      <c r="DH85" s="184"/>
      <c r="DI85" s="130">
        <f t="shared" si="167"/>
        <v>0</v>
      </c>
      <c r="DJ85" s="179"/>
      <c r="DK85" s="130"/>
      <c r="DL85" s="178"/>
      <c r="DM85" s="184"/>
      <c r="DN85" s="130">
        <f t="shared" si="125"/>
        <v>0</v>
      </c>
      <c r="DO85" s="194"/>
      <c r="DP85" s="130"/>
      <c r="DQ85" s="178"/>
      <c r="DR85" s="184"/>
      <c r="DS85" s="130">
        <f t="shared" si="168"/>
        <v>0</v>
      </c>
      <c r="DT85" s="109"/>
      <c r="DU85" s="130"/>
      <c r="DV85" s="180">
        <f t="shared" si="133"/>
        <v>0</v>
      </c>
      <c r="DW85" s="181">
        <f>Автовик_разбивка[[#This Row],[Цена, 
юань, без НДС 1]]*DV85</f>
        <v>0</v>
      </c>
      <c r="DX85" s="186">
        <f t="shared" si="134"/>
        <v>0</v>
      </c>
      <c r="DY85" s="186">
        <f>Автовик_разбивка[[#This Row],[Цена, 
юань, без НДС 1]]*DX85</f>
        <v>0</v>
      </c>
      <c r="DZ85" s="130">
        <f t="shared" si="135"/>
        <v>0</v>
      </c>
      <c r="EA85" s="187">
        <f>Автовик_разбивка[[#This Row],[Цена, 
юань, без НДС 1]]*DZ85</f>
        <v>0</v>
      </c>
      <c r="EB85" s="109">
        <f t="shared" si="136"/>
        <v>0</v>
      </c>
      <c r="EC85" s="224">
        <f>Автовик_разбивка[[#This Row],[Цена, 
юань, без НДС 1]]*EB85</f>
        <v>0</v>
      </c>
    </row>
    <row r="86" spans="1:133">
      <c r="A86" s="256">
        <v>22</v>
      </c>
      <c r="B86" s="172" t="s">
        <v>90</v>
      </c>
      <c r="C86" s="173" t="s">
        <v>298</v>
      </c>
      <c r="D86" s="173" t="s">
        <v>319</v>
      </c>
      <c r="E86" s="174">
        <v>1</v>
      </c>
      <c r="F86" s="174"/>
      <c r="G86" s="174"/>
      <c r="H86" s="175">
        <v>4334010030</v>
      </c>
      <c r="I86" s="176" t="s">
        <v>81</v>
      </c>
      <c r="J86" s="222"/>
      <c r="K86" s="227"/>
      <c r="L86" s="178">
        <v>0</v>
      </c>
      <c r="M86" s="130">
        <f t="shared" si="153"/>
        <v>0</v>
      </c>
      <c r="N86" s="179">
        <v>0</v>
      </c>
      <c r="O86" s="130"/>
      <c r="P86" s="178">
        <v>0</v>
      </c>
      <c r="Q86" s="130">
        <f t="shared" si="154"/>
        <v>0</v>
      </c>
      <c r="R86" s="179">
        <f t="shared" si="154"/>
        <v>0</v>
      </c>
      <c r="S86" s="130"/>
      <c r="T86" s="178">
        <v>0</v>
      </c>
      <c r="U86" s="130">
        <f t="shared" si="155"/>
        <v>0</v>
      </c>
      <c r="V86" s="179">
        <f t="shared" si="155"/>
        <v>0</v>
      </c>
      <c r="W86" s="130"/>
      <c r="X86" s="178">
        <v>0</v>
      </c>
      <c r="Y86" s="130">
        <f t="shared" si="156"/>
        <v>0</v>
      </c>
      <c r="Z86" s="179">
        <f t="shared" si="156"/>
        <v>0</v>
      </c>
      <c r="AA86" s="130"/>
      <c r="AB86" s="178">
        <v>0</v>
      </c>
      <c r="AC86" s="130">
        <f t="shared" si="157"/>
        <v>0</v>
      </c>
      <c r="AD86" s="109"/>
      <c r="AE86" s="252"/>
      <c r="AF86" s="178">
        <v>0</v>
      </c>
      <c r="AG86" s="130">
        <f t="shared" si="158"/>
        <v>0</v>
      </c>
      <c r="AH86" s="109"/>
      <c r="AI86" s="252"/>
      <c r="AJ86" s="178">
        <v>0</v>
      </c>
      <c r="AK86" s="130">
        <f t="shared" si="159"/>
        <v>0</v>
      </c>
      <c r="AL86" s="109"/>
      <c r="AM86" s="252"/>
      <c r="AN86" s="178">
        <v>0</v>
      </c>
      <c r="AO86" s="130">
        <f t="shared" ref="AO86:AO94" si="169">$E86*10</f>
        <v>10</v>
      </c>
      <c r="AP86" s="109"/>
      <c r="AQ86" s="252"/>
      <c r="AR86" s="178">
        <v>0</v>
      </c>
      <c r="AS86" s="130">
        <f t="shared" si="161"/>
        <v>0</v>
      </c>
      <c r="AT86" s="109"/>
      <c r="AU86" s="252"/>
      <c r="AV86" s="178">
        <v>0</v>
      </c>
      <c r="AW86" s="130">
        <f t="shared" si="162"/>
        <v>0</v>
      </c>
      <c r="AX86" s="109"/>
      <c r="AY86" s="252"/>
      <c r="AZ86" s="178">
        <v>0</v>
      </c>
      <c r="BA86" s="130"/>
      <c r="BB86" s="194"/>
      <c r="BC86" s="252"/>
      <c r="BD86" s="178">
        <v>0</v>
      </c>
      <c r="BE86" s="130"/>
      <c r="BF86" s="109"/>
      <c r="BG86" s="252"/>
      <c r="BH86" s="180">
        <f t="shared" si="130"/>
        <v>0</v>
      </c>
      <c r="BI86" s="181">
        <f>Автовик_разбивка[[#This Row],[Цена, 
юань, без НДС 1]]*BH86</f>
        <v>0</v>
      </c>
      <c r="BJ86" s="130">
        <f t="shared" si="131"/>
        <v>10</v>
      </c>
      <c r="BK86" s="187">
        <f>Автовик_разбивка[[#This Row],[Цена, 
юань, без НДС 1]]*BJ86</f>
        <v>0</v>
      </c>
      <c r="BL86" s="109">
        <f t="shared" si="132"/>
        <v>0</v>
      </c>
      <c r="BM86" s="224">
        <f>Автовик_разбивка[[#This Row],[Цена, 
юань, без НДС 1]]*BL86</f>
        <v>0</v>
      </c>
      <c r="BN86" s="178"/>
      <c r="BO86" s="184"/>
      <c r="BP86" s="130">
        <f t="shared" si="115"/>
        <v>0</v>
      </c>
      <c r="BQ86" s="179"/>
      <c r="BR86" s="130"/>
      <c r="BS86" s="178"/>
      <c r="BT86" s="184"/>
      <c r="BU86" s="130">
        <f t="shared" si="163"/>
        <v>0</v>
      </c>
      <c r="BV86" s="179"/>
      <c r="BW86" s="130"/>
      <c r="BX86" s="178"/>
      <c r="BY86" s="184"/>
      <c r="BZ86" s="130">
        <f t="shared" si="117"/>
        <v>0</v>
      </c>
      <c r="CA86" s="179"/>
      <c r="CB86" s="130"/>
      <c r="CC86" s="178"/>
      <c r="CD86" s="184"/>
      <c r="CE86" s="130">
        <f t="shared" si="164"/>
        <v>0</v>
      </c>
      <c r="CF86" s="179"/>
      <c r="CG86" s="130"/>
      <c r="CH86" s="178"/>
      <c r="CI86" s="184"/>
      <c r="CJ86" s="130">
        <f t="shared" si="119"/>
        <v>0</v>
      </c>
      <c r="CK86" s="109"/>
      <c r="CL86" s="252"/>
      <c r="CM86" s="178"/>
      <c r="CN86" s="184"/>
      <c r="CO86" s="130">
        <f t="shared" si="165"/>
        <v>0</v>
      </c>
      <c r="CP86" s="109"/>
      <c r="CQ86" s="252"/>
      <c r="CR86" s="178"/>
      <c r="CS86" s="184"/>
      <c r="CT86" s="130">
        <f t="shared" si="121"/>
        <v>0</v>
      </c>
      <c r="CU86" s="109"/>
      <c r="CV86" s="252"/>
      <c r="CW86" s="178"/>
      <c r="CX86" s="184"/>
      <c r="CY86" s="130">
        <f t="shared" si="166"/>
        <v>0</v>
      </c>
      <c r="CZ86" s="109"/>
      <c r="DA86" s="252"/>
      <c r="DB86" s="178"/>
      <c r="DC86" s="184"/>
      <c r="DD86" s="130">
        <f t="shared" si="123"/>
        <v>0</v>
      </c>
      <c r="DE86" s="109"/>
      <c r="DF86" s="252"/>
      <c r="DG86" s="178"/>
      <c r="DH86" s="184"/>
      <c r="DI86" s="130">
        <f t="shared" si="167"/>
        <v>0</v>
      </c>
      <c r="DJ86" s="109"/>
      <c r="DK86" s="252"/>
      <c r="DL86" s="178"/>
      <c r="DM86" s="184"/>
      <c r="DN86" s="130">
        <f t="shared" si="125"/>
        <v>0</v>
      </c>
      <c r="DO86" s="194"/>
      <c r="DP86" s="252"/>
      <c r="DQ86" s="178"/>
      <c r="DR86" s="184"/>
      <c r="DS86" s="130">
        <f t="shared" si="168"/>
        <v>0</v>
      </c>
      <c r="DT86" s="109"/>
      <c r="DU86" s="252"/>
      <c r="DV86" s="180">
        <f t="shared" si="133"/>
        <v>0</v>
      </c>
      <c r="DW86" s="181">
        <f>Автовик_разбивка[[#This Row],[Цена, 
юань, без НДС 1]]*DV86</f>
        <v>0</v>
      </c>
      <c r="DX86" s="186">
        <f t="shared" si="134"/>
        <v>0</v>
      </c>
      <c r="DY86" s="186">
        <f>Автовик_разбивка[[#This Row],[Цена, 
юань, без НДС 1]]*DX86</f>
        <v>0</v>
      </c>
      <c r="DZ86" s="130">
        <f t="shared" si="135"/>
        <v>0</v>
      </c>
      <c r="EA86" s="187">
        <f>Автовик_разбивка[[#This Row],[Цена, 
юань, без НДС 1]]*DZ86</f>
        <v>0</v>
      </c>
      <c r="EB86" s="109">
        <f t="shared" si="136"/>
        <v>0</v>
      </c>
      <c r="EC86" s="224">
        <f>Автовик_разбивка[[#This Row],[Цена, 
юань, без НДС 1]]*EB86</f>
        <v>0</v>
      </c>
    </row>
    <row r="87" spans="1:133">
      <c r="A87" s="256">
        <v>22</v>
      </c>
      <c r="B87" s="172" t="s">
        <v>90</v>
      </c>
      <c r="C87" s="173" t="s">
        <v>298</v>
      </c>
      <c r="D87" s="173" t="s">
        <v>319</v>
      </c>
      <c r="E87" s="174">
        <v>1</v>
      </c>
      <c r="F87" s="174"/>
      <c r="G87" s="174"/>
      <c r="H87" s="175">
        <v>4491731500</v>
      </c>
      <c r="I87" s="176" t="s">
        <v>77</v>
      </c>
      <c r="J87" s="222"/>
      <c r="K87" s="223"/>
      <c r="L87" s="178">
        <v>0</v>
      </c>
      <c r="M87" s="130">
        <f t="shared" si="153"/>
        <v>0</v>
      </c>
      <c r="N87" s="179">
        <v>0</v>
      </c>
      <c r="O87" s="130"/>
      <c r="P87" s="178">
        <v>0</v>
      </c>
      <c r="Q87" s="130">
        <f t="shared" si="154"/>
        <v>0</v>
      </c>
      <c r="R87" s="179">
        <f t="shared" si="154"/>
        <v>0</v>
      </c>
      <c r="S87" s="130"/>
      <c r="T87" s="178">
        <v>0</v>
      </c>
      <c r="U87" s="130">
        <f t="shared" si="155"/>
        <v>0</v>
      </c>
      <c r="V87" s="179">
        <f t="shared" si="155"/>
        <v>0</v>
      </c>
      <c r="W87" s="130"/>
      <c r="X87" s="178">
        <v>0</v>
      </c>
      <c r="Y87" s="130">
        <f t="shared" si="156"/>
        <v>0</v>
      </c>
      <c r="Z87" s="179">
        <f t="shared" si="156"/>
        <v>0</v>
      </c>
      <c r="AA87" s="130"/>
      <c r="AB87" s="178">
        <v>0</v>
      </c>
      <c r="AC87" s="130">
        <f t="shared" si="157"/>
        <v>0</v>
      </c>
      <c r="AD87" s="109"/>
      <c r="AE87" s="252"/>
      <c r="AF87" s="178">
        <v>0</v>
      </c>
      <c r="AG87" s="130">
        <f t="shared" si="158"/>
        <v>0</v>
      </c>
      <c r="AH87" s="109"/>
      <c r="AI87" s="252"/>
      <c r="AJ87" s="178">
        <v>0</v>
      </c>
      <c r="AK87" s="130">
        <f t="shared" si="159"/>
        <v>0</v>
      </c>
      <c r="AL87" s="109"/>
      <c r="AM87" s="252"/>
      <c r="AN87" s="178">
        <v>0</v>
      </c>
      <c r="AO87" s="130">
        <f t="shared" si="169"/>
        <v>10</v>
      </c>
      <c r="AP87" s="109"/>
      <c r="AQ87" s="252"/>
      <c r="AR87" s="178">
        <v>0</v>
      </c>
      <c r="AS87" s="130">
        <f t="shared" si="161"/>
        <v>0</v>
      </c>
      <c r="AT87" s="109"/>
      <c r="AU87" s="252"/>
      <c r="AV87" s="178">
        <v>0</v>
      </c>
      <c r="AW87" s="130">
        <f t="shared" si="162"/>
        <v>0</v>
      </c>
      <c r="AX87" s="109"/>
      <c r="AY87" s="252"/>
      <c r="AZ87" s="178">
        <v>0</v>
      </c>
      <c r="BA87" s="130"/>
      <c r="BB87" s="193"/>
      <c r="BC87" s="252"/>
      <c r="BD87" s="178">
        <v>0</v>
      </c>
      <c r="BE87" s="130"/>
      <c r="BF87" s="109"/>
      <c r="BG87" s="252"/>
      <c r="BH87" s="180">
        <f t="shared" si="130"/>
        <v>0</v>
      </c>
      <c r="BI87" s="181">
        <f>Автовик_разбивка[[#This Row],[Цена, 
юань, без НДС 1]]*BH87</f>
        <v>0</v>
      </c>
      <c r="BJ87" s="130">
        <f t="shared" si="131"/>
        <v>10</v>
      </c>
      <c r="BK87" s="187">
        <f>Автовик_разбивка[[#This Row],[Цена, 
юань, без НДС 1]]*BJ87</f>
        <v>0</v>
      </c>
      <c r="BL87" s="109">
        <f t="shared" si="132"/>
        <v>0</v>
      </c>
      <c r="BM87" s="224">
        <f>Автовик_разбивка[[#This Row],[Цена, 
юань, без НДС 1]]*BL87</f>
        <v>0</v>
      </c>
      <c r="BN87" s="178"/>
      <c r="BO87" s="184"/>
      <c r="BP87" s="130">
        <f t="shared" si="115"/>
        <v>0</v>
      </c>
      <c r="BQ87" s="179"/>
      <c r="BR87" s="130"/>
      <c r="BS87" s="178"/>
      <c r="BT87" s="184"/>
      <c r="BU87" s="130">
        <f t="shared" si="163"/>
        <v>0</v>
      </c>
      <c r="BV87" s="179"/>
      <c r="BW87" s="130"/>
      <c r="BX87" s="178"/>
      <c r="BY87" s="184"/>
      <c r="BZ87" s="130">
        <f t="shared" si="117"/>
        <v>0</v>
      </c>
      <c r="CA87" s="179"/>
      <c r="CB87" s="130"/>
      <c r="CC87" s="178"/>
      <c r="CD87" s="184"/>
      <c r="CE87" s="130">
        <f t="shared" si="164"/>
        <v>0</v>
      </c>
      <c r="CF87" s="179"/>
      <c r="CG87" s="130"/>
      <c r="CH87" s="178"/>
      <c r="CI87" s="184"/>
      <c r="CJ87" s="130">
        <f t="shared" si="119"/>
        <v>0</v>
      </c>
      <c r="CK87" s="109"/>
      <c r="CL87" s="252"/>
      <c r="CM87" s="178"/>
      <c r="CN87" s="184"/>
      <c r="CO87" s="130">
        <f t="shared" si="165"/>
        <v>0</v>
      </c>
      <c r="CP87" s="109"/>
      <c r="CQ87" s="252"/>
      <c r="CR87" s="178"/>
      <c r="CS87" s="184"/>
      <c r="CT87" s="130">
        <f t="shared" si="121"/>
        <v>0</v>
      </c>
      <c r="CU87" s="109"/>
      <c r="CV87" s="252"/>
      <c r="CW87" s="178"/>
      <c r="CX87" s="184"/>
      <c r="CY87" s="130">
        <f t="shared" si="166"/>
        <v>0</v>
      </c>
      <c r="CZ87" s="109"/>
      <c r="DA87" s="252"/>
      <c r="DB87" s="178"/>
      <c r="DC87" s="184"/>
      <c r="DD87" s="130">
        <f t="shared" si="123"/>
        <v>0</v>
      </c>
      <c r="DE87" s="109"/>
      <c r="DF87" s="252"/>
      <c r="DG87" s="178"/>
      <c r="DH87" s="184"/>
      <c r="DI87" s="130">
        <f t="shared" si="167"/>
        <v>0</v>
      </c>
      <c r="DJ87" s="109"/>
      <c r="DK87" s="252"/>
      <c r="DL87" s="178"/>
      <c r="DM87" s="184"/>
      <c r="DN87" s="130">
        <f t="shared" si="125"/>
        <v>0</v>
      </c>
      <c r="DO87" s="193"/>
      <c r="DP87" s="252"/>
      <c r="DQ87" s="178"/>
      <c r="DR87" s="184"/>
      <c r="DS87" s="130">
        <f t="shared" si="168"/>
        <v>0</v>
      </c>
      <c r="DT87" s="109"/>
      <c r="DU87" s="252"/>
      <c r="DV87" s="180">
        <f t="shared" si="133"/>
        <v>0</v>
      </c>
      <c r="DW87" s="181">
        <f>Автовик_разбивка[[#This Row],[Цена, 
юань, без НДС 1]]*DV87</f>
        <v>0</v>
      </c>
      <c r="DX87" s="186">
        <f t="shared" si="134"/>
        <v>0</v>
      </c>
      <c r="DY87" s="186">
        <f>Автовик_разбивка[[#This Row],[Цена, 
юань, без НДС 1]]*DX87</f>
        <v>0</v>
      </c>
      <c r="DZ87" s="130">
        <f t="shared" si="135"/>
        <v>0</v>
      </c>
      <c r="EA87" s="187">
        <f>Автовик_разбивка[[#This Row],[Цена, 
юань, без НДС 1]]*DZ87</f>
        <v>0</v>
      </c>
      <c r="EB87" s="109">
        <f t="shared" si="136"/>
        <v>0</v>
      </c>
      <c r="EC87" s="224">
        <f>Автовик_разбивка[[#This Row],[Цена, 
юань, без НДС 1]]*EB87</f>
        <v>0</v>
      </c>
    </row>
    <row r="88" spans="1:133">
      <c r="A88" s="256">
        <v>22</v>
      </c>
      <c r="B88" s="172" t="s">
        <v>90</v>
      </c>
      <c r="C88" s="173" t="s">
        <v>298</v>
      </c>
      <c r="D88" s="173" t="s">
        <v>319</v>
      </c>
      <c r="E88" s="174">
        <v>2</v>
      </c>
      <c r="F88" s="174"/>
      <c r="G88" s="174"/>
      <c r="H88" s="175">
        <v>4497230500</v>
      </c>
      <c r="I88" s="176" t="s">
        <v>78</v>
      </c>
      <c r="J88" s="222"/>
      <c r="K88" s="223"/>
      <c r="L88" s="178">
        <v>0</v>
      </c>
      <c r="M88" s="130">
        <f t="shared" si="153"/>
        <v>0</v>
      </c>
      <c r="N88" s="179">
        <v>0</v>
      </c>
      <c r="O88" s="130"/>
      <c r="P88" s="178">
        <v>0</v>
      </c>
      <c r="Q88" s="130">
        <f t="shared" si="154"/>
        <v>0</v>
      </c>
      <c r="R88" s="179">
        <f t="shared" si="154"/>
        <v>0</v>
      </c>
      <c r="S88" s="130"/>
      <c r="T88" s="178">
        <v>0</v>
      </c>
      <c r="U88" s="130">
        <f t="shared" si="155"/>
        <v>0</v>
      </c>
      <c r="V88" s="179">
        <f t="shared" si="155"/>
        <v>0</v>
      </c>
      <c r="W88" s="130"/>
      <c r="X88" s="178">
        <v>0</v>
      </c>
      <c r="Y88" s="130">
        <f t="shared" si="156"/>
        <v>0</v>
      </c>
      <c r="Z88" s="179">
        <f t="shared" si="156"/>
        <v>0</v>
      </c>
      <c r="AA88" s="130"/>
      <c r="AB88" s="178">
        <v>0</v>
      </c>
      <c r="AC88" s="130">
        <f t="shared" si="157"/>
        <v>0</v>
      </c>
      <c r="AD88" s="109"/>
      <c r="AE88" s="252"/>
      <c r="AF88" s="178">
        <v>0</v>
      </c>
      <c r="AG88" s="130">
        <f t="shared" si="158"/>
        <v>0</v>
      </c>
      <c r="AH88" s="109"/>
      <c r="AI88" s="252"/>
      <c r="AJ88" s="178">
        <v>0</v>
      </c>
      <c r="AK88" s="130">
        <f t="shared" si="159"/>
        <v>0</v>
      </c>
      <c r="AL88" s="109"/>
      <c r="AM88" s="252"/>
      <c r="AN88" s="178">
        <v>0</v>
      </c>
      <c r="AO88" s="130">
        <f t="shared" si="169"/>
        <v>20</v>
      </c>
      <c r="AP88" s="109"/>
      <c r="AQ88" s="252"/>
      <c r="AR88" s="178">
        <v>0</v>
      </c>
      <c r="AS88" s="130">
        <f t="shared" si="161"/>
        <v>0</v>
      </c>
      <c r="AT88" s="109"/>
      <c r="AU88" s="252"/>
      <c r="AV88" s="178">
        <v>0</v>
      </c>
      <c r="AW88" s="130">
        <f t="shared" si="162"/>
        <v>0</v>
      </c>
      <c r="AX88" s="109"/>
      <c r="AY88" s="252"/>
      <c r="AZ88" s="178">
        <v>0</v>
      </c>
      <c r="BA88" s="130"/>
      <c r="BB88" s="193"/>
      <c r="BC88" s="252"/>
      <c r="BD88" s="178">
        <v>0</v>
      </c>
      <c r="BE88" s="130"/>
      <c r="BF88" s="109"/>
      <c r="BG88" s="252"/>
      <c r="BH88" s="180">
        <f t="shared" si="130"/>
        <v>0</v>
      </c>
      <c r="BI88" s="181">
        <f>Автовик_разбивка[[#This Row],[Цена, 
юань, без НДС 1]]*BH88</f>
        <v>0</v>
      </c>
      <c r="BJ88" s="130">
        <f t="shared" si="131"/>
        <v>20</v>
      </c>
      <c r="BK88" s="187">
        <f>Автовик_разбивка[[#This Row],[Цена, 
юань, без НДС 1]]*BJ88</f>
        <v>0</v>
      </c>
      <c r="BL88" s="109">
        <f t="shared" si="132"/>
        <v>0</v>
      </c>
      <c r="BM88" s="224">
        <f>Автовик_разбивка[[#This Row],[Цена, 
юань, без НДС 1]]*BL88</f>
        <v>0</v>
      </c>
      <c r="BN88" s="178"/>
      <c r="BO88" s="184"/>
      <c r="BP88" s="130">
        <f t="shared" si="115"/>
        <v>0</v>
      </c>
      <c r="BQ88" s="179"/>
      <c r="BR88" s="130"/>
      <c r="BS88" s="178"/>
      <c r="BT88" s="184"/>
      <c r="BU88" s="130">
        <f t="shared" si="163"/>
        <v>0</v>
      </c>
      <c r="BV88" s="179"/>
      <c r="BW88" s="130"/>
      <c r="BX88" s="178"/>
      <c r="BY88" s="184"/>
      <c r="BZ88" s="130">
        <f t="shared" si="117"/>
        <v>0</v>
      </c>
      <c r="CA88" s="179"/>
      <c r="CB88" s="130"/>
      <c r="CC88" s="178"/>
      <c r="CD88" s="184"/>
      <c r="CE88" s="130">
        <f t="shared" si="164"/>
        <v>0</v>
      </c>
      <c r="CF88" s="179"/>
      <c r="CG88" s="130"/>
      <c r="CH88" s="178"/>
      <c r="CI88" s="184"/>
      <c r="CJ88" s="130">
        <f t="shared" si="119"/>
        <v>0</v>
      </c>
      <c r="CK88" s="109"/>
      <c r="CL88" s="252"/>
      <c r="CM88" s="178"/>
      <c r="CN88" s="184"/>
      <c r="CO88" s="130">
        <f t="shared" si="165"/>
        <v>0</v>
      </c>
      <c r="CP88" s="109"/>
      <c r="CQ88" s="252"/>
      <c r="CR88" s="178"/>
      <c r="CS88" s="184"/>
      <c r="CT88" s="130">
        <f t="shared" si="121"/>
        <v>0</v>
      </c>
      <c r="CU88" s="109"/>
      <c r="CV88" s="252"/>
      <c r="CW88" s="178"/>
      <c r="CX88" s="184"/>
      <c r="CY88" s="130">
        <f t="shared" si="166"/>
        <v>0</v>
      </c>
      <c r="CZ88" s="109"/>
      <c r="DA88" s="252"/>
      <c r="DB88" s="178"/>
      <c r="DC88" s="184"/>
      <c r="DD88" s="130">
        <f t="shared" si="123"/>
        <v>0</v>
      </c>
      <c r="DE88" s="109"/>
      <c r="DF88" s="252"/>
      <c r="DG88" s="178"/>
      <c r="DH88" s="184"/>
      <c r="DI88" s="130">
        <f t="shared" si="167"/>
        <v>0</v>
      </c>
      <c r="DJ88" s="109"/>
      <c r="DK88" s="252"/>
      <c r="DL88" s="178"/>
      <c r="DM88" s="184"/>
      <c r="DN88" s="130">
        <f t="shared" si="125"/>
        <v>0</v>
      </c>
      <c r="DO88" s="193"/>
      <c r="DP88" s="252"/>
      <c r="DQ88" s="178"/>
      <c r="DR88" s="184"/>
      <c r="DS88" s="130">
        <f t="shared" si="168"/>
        <v>0</v>
      </c>
      <c r="DT88" s="109"/>
      <c r="DU88" s="252"/>
      <c r="DV88" s="180">
        <f t="shared" si="133"/>
        <v>0</v>
      </c>
      <c r="DW88" s="181">
        <f>Автовик_разбивка[[#This Row],[Цена, 
юань, без НДС 1]]*DV88</f>
        <v>0</v>
      </c>
      <c r="DX88" s="186">
        <f t="shared" si="134"/>
        <v>0</v>
      </c>
      <c r="DY88" s="186">
        <f>Автовик_разбивка[[#This Row],[Цена, 
юань, без НДС 1]]*DX88</f>
        <v>0</v>
      </c>
      <c r="DZ88" s="130">
        <f t="shared" si="135"/>
        <v>0</v>
      </c>
      <c r="EA88" s="187">
        <f>Автовик_разбивка[[#This Row],[Цена, 
юань, без НДС 1]]*DZ88</f>
        <v>0</v>
      </c>
      <c r="EB88" s="109">
        <f t="shared" si="136"/>
        <v>0</v>
      </c>
      <c r="EC88" s="224">
        <f>Автовик_разбивка[[#This Row],[Цена, 
юань, без НДС 1]]*EB88</f>
        <v>0</v>
      </c>
    </row>
    <row r="89" spans="1:133">
      <c r="A89" s="256">
        <v>22</v>
      </c>
      <c r="B89" s="172" t="s">
        <v>90</v>
      </c>
      <c r="C89" s="173" t="s">
        <v>298</v>
      </c>
      <c r="D89" s="173" t="s">
        <v>319</v>
      </c>
      <c r="E89" s="174">
        <v>1</v>
      </c>
      <c r="F89" s="174"/>
      <c r="G89" s="174"/>
      <c r="H89" s="175">
        <v>4630320200</v>
      </c>
      <c r="I89" s="176" t="s">
        <v>80</v>
      </c>
      <c r="J89" s="222"/>
      <c r="K89" s="227"/>
      <c r="L89" s="178">
        <v>0</v>
      </c>
      <c r="M89" s="130">
        <f t="shared" si="153"/>
        <v>0</v>
      </c>
      <c r="N89" s="179">
        <v>0</v>
      </c>
      <c r="O89" s="130"/>
      <c r="P89" s="178">
        <v>0</v>
      </c>
      <c r="Q89" s="130">
        <f t="shared" si="154"/>
        <v>0</v>
      </c>
      <c r="R89" s="179">
        <f t="shared" si="154"/>
        <v>0</v>
      </c>
      <c r="S89" s="130"/>
      <c r="T89" s="178">
        <v>0</v>
      </c>
      <c r="U89" s="130">
        <f t="shared" si="155"/>
        <v>0</v>
      </c>
      <c r="V89" s="179">
        <f t="shared" si="155"/>
        <v>0</v>
      </c>
      <c r="W89" s="130"/>
      <c r="X89" s="178">
        <v>0</v>
      </c>
      <c r="Y89" s="130">
        <f t="shared" si="156"/>
        <v>0</v>
      </c>
      <c r="Z89" s="179">
        <f t="shared" si="156"/>
        <v>0</v>
      </c>
      <c r="AA89" s="130"/>
      <c r="AB89" s="178">
        <v>0</v>
      </c>
      <c r="AC89" s="130">
        <f t="shared" si="157"/>
        <v>0</v>
      </c>
      <c r="AD89" s="109"/>
      <c r="AE89" s="252"/>
      <c r="AF89" s="178">
        <v>0</v>
      </c>
      <c r="AG89" s="130">
        <f t="shared" si="158"/>
        <v>0</v>
      </c>
      <c r="AH89" s="109"/>
      <c r="AI89" s="252"/>
      <c r="AJ89" s="178">
        <v>0</v>
      </c>
      <c r="AK89" s="130">
        <f t="shared" si="159"/>
        <v>0</v>
      </c>
      <c r="AL89" s="109"/>
      <c r="AM89" s="252"/>
      <c r="AN89" s="178">
        <v>0</v>
      </c>
      <c r="AO89" s="130">
        <f t="shared" si="169"/>
        <v>10</v>
      </c>
      <c r="AP89" s="109"/>
      <c r="AQ89" s="252"/>
      <c r="AR89" s="178">
        <v>0</v>
      </c>
      <c r="AS89" s="130">
        <f t="shared" si="161"/>
        <v>0</v>
      </c>
      <c r="AT89" s="109"/>
      <c r="AU89" s="252"/>
      <c r="AV89" s="178">
        <v>0</v>
      </c>
      <c r="AW89" s="130">
        <f t="shared" si="162"/>
        <v>0</v>
      </c>
      <c r="AX89" s="109"/>
      <c r="AY89" s="252"/>
      <c r="AZ89" s="178">
        <v>0</v>
      </c>
      <c r="BA89" s="130"/>
      <c r="BB89" s="194"/>
      <c r="BC89" s="252"/>
      <c r="BD89" s="178">
        <v>0</v>
      </c>
      <c r="BE89" s="130"/>
      <c r="BF89" s="109"/>
      <c r="BG89" s="252"/>
      <c r="BH89" s="180">
        <f t="shared" si="130"/>
        <v>0</v>
      </c>
      <c r="BI89" s="181">
        <f>Автовик_разбивка[[#This Row],[Цена, 
юань, без НДС 1]]*BH89</f>
        <v>0</v>
      </c>
      <c r="BJ89" s="130">
        <f t="shared" si="131"/>
        <v>10</v>
      </c>
      <c r="BK89" s="187">
        <f>Автовик_разбивка[[#This Row],[Цена, 
юань, без НДС 1]]*BJ89</f>
        <v>0</v>
      </c>
      <c r="BL89" s="109">
        <f t="shared" si="132"/>
        <v>0</v>
      </c>
      <c r="BM89" s="224">
        <f>Автовик_разбивка[[#This Row],[Цена, 
юань, без НДС 1]]*BL89</f>
        <v>0</v>
      </c>
      <c r="BN89" s="178"/>
      <c r="BO89" s="184"/>
      <c r="BP89" s="130">
        <f t="shared" si="115"/>
        <v>0</v>
      </c>
      <c r="BQ89" s="179"/>
      <c r="BR89" s="130"/>
      <c r="BS89" s="178"/>
      <c r="BT89" s="184"/>
      <c r="BU89" s="130">
        <f t="shared" si="163"/>
        <v>0</v>
      </c>
      <c r="BV89" s="179"/>
      <c r="BW89" s="130"/>
      <c r="BX89" s="178"/>
      <c r="BY89" s="184"/>
      <c r="BZ89" s="130">
        <f t="shared" si="117"/>
        <v>0</v>
      </c>
      <c r="CA89" s="179"/>
      <c r="CB89" s="130"/>
      <c r="CC89" s="178"/>
      <c r="CD89" s="184"/>
      <c r="CE89" s="130">
        <f t="shared" si="164"/>
        <v>0</v>
      </c>
      <c r="CF89" s="179"/>
      <c r="CG89" s="130"/>
      <c r="CH89" s="178"/>
      <c r="CI89" s="184"/>
      <c r="CJ89" s="130">
        <f t="shared" si="119"/>
        <v>0</v>
      </c>
      <c r="CK89" s="109"/>
      <c r="CL89" s="252"/>
      <c r="CM89" s="178"/>
      <c r="CN89" s="184"/>
      <c r="CO89" s="130">
        <f t="shared" si="165"/>
        <v>0</v>
      </c>
      <c r="CP89" s="109"/>
      <c r="CQ89" s="252"/>
      <c r="CR89" s="178"/>
      <c r="CS89" s="184"/>
      <c r="CT89" s="130">
        <f t="shared" si="121"/>
        <v>0</v>
      </c>
      <c r="CU89" s="109"/>
      <c r="CV89" s="252"/>
      <c r="CW89" s="178"/>
      <c r="CX89" s="184"/>
      <c r="CY89" s="130">
        <f t="shared" si="166"/>
        <v>0</v>
      </c>
      <c r="CZ89" s="109"/>
      <c r="DA89" s="252"/>
      <c r="DB89" s="178"/>
      <c r="DC89" s="184"/>
      <c r="DD89" s="130">
        <f t="shared" si="123"/>
        <v>0</v>
      </c>
      <c r="DE89" s="109"/>
      <c r="DF89" s="252"/>
      <c r="DG89" s="178"/>
      <c r="DH89" s="184"/>
      <c r="DI89" s="130">
        <f t="shared" si="167"/>
        <v>0</v>
      </c>
      <c r="DJ89" s="109"/>
      <c r="DK89" s="252"/>
      <c r="DL89" s="178"/>
      <c r="DM89" s="184"/>
      <c r="DN89" s="130">
        <f t="shared" si="125"/>
        <v>0</v>
      </c>
      <c r="DO89" s="194"/>
      <c r="DP89" s="252"/>
      <c r="DQ89" s="178"/>
      <c r="DR89" s="184"/>
      <c r="DS89" s="130">
        <f t="shared" si="168"/>
        <v>0</v>
      </c>
      <c r="DT89" s="109"/>
      <c r="DU89" s="252"/>
      <c r="DV89" s="180">
        <f t="shared" si="133"/>
        <v>0</v>
      </c>
      <c r="DW89" s="181">
        <f>Автовик_разбивка[[#This Row],[Цена, 
юань, без НДС 1]]*DV89</f>
        <v>0</v>
      </c>
      <c r="DX89" s="186">
        <f t="shared" si="134"/>
        <v>0</v>
      </c>
      <c r="DY89" s="186">
        <f>Автовик_разбивка[[#This Row],[Цена, 
юань, без НДС 1]]*DX89</f>
        <v>0</v>
      </c>
      <c r="DZ89" s="130">
        <f t="shared" si="135"/>
        <v>0</v>
      </c>
      <c r="EA89" s="187">
        <f>Автовик_разбивка[[#This Row],[Цена, 
юань, без НДС 1]]*DZ89</f>
        <v>0</v>
      </c>
      <c r="EB89" s="109">
        <f t="shared" si="136"/>
        <v>0</v>
      </c>
      <c r="EC89" s="224">
        <f>Автовик_разбивка[[#This Row],[Цена, 
юань, без НДС 1]]*EB89</f>
        <v>0</v>
      </c>
    </row>
    <row r="90" spans="1:133">
      <c r="A90" s="256">
        <v>22</v>
      </c>
      <c r="B90" s="172" t="s">
        <v>90</v>
      </c>
      <c r="C90" s="173" t="s">
        <v>298</v>
      </c>
      <c r="D90" s="173" t="s">
        <v>319</v>
      </c>
      <c r="E90" s="174">
        <v>1</v>
      </c>
      <c r="F90" s="174"/>
      <c r="G90" s="174"/>
      <c r="H90" s="175">
        <v>4640061000</v>
      </c>
      <c r="I90" s="176" t="s">
        <v>79</v>
      </c>
      <c r="J90" s="222"/>
      <c r="K90" s="223"/>
      <c r="L90" s="178">
        <v>0</v>
      </c>
      <c r="M90" s="130">
        <f t="shared" si="153"/>
        <v>0</v>
      </c>
      <c r="N90" s="179">
        <v>0</v>
      </c>
      <c r="O90" s="130"/>
      <c r="P90" s="178">
        <v>0</v>
      </c>
      <c r="Q90" s="130">
        <f t="shared" si="154"/>
        <v>0</v>
      </c>
      <c r="R90" s="179">
        <f t="shared" si="154"/>
        <v>0</v>
      </c>
      <c r="S90" s="130"/>
      <c r="T90" s="178">
        <v>0</v>
      </c>
      <c r="U90" s="130">
        <f t="shared" si="155"/>
        <v>0</v>
      </c>
      <c r="V90" s="179">
        <f t="shared" si="155"/>
        <v>0</v>
      </c>
      <c r="W90" s="130"/>
      <c r="X90" s="178">
        <v>0</v>
      </c>
      <c r="Y90" s="130">
        <f t="shared" si="156"/>
        <v>0</v>
      </c>
      <c r="Z90" s="179">
        <f t="shared" si="156"/>
        <v>0</v>
      </c>
      <c r="AA90" s="130"/>
      <c r="AB90" s="178">
        <v>0</v>
      </c>
      <c r="AC90" s="130">
        <f t="shared" si="157"/>
        <v>0</v>
      </c>
      <c r="AD90" s="109"/>
      <c r="AE90" s="252"/>
      <c r="AF90" s="178">
        <v>0</v>
      </c>
      <c r="AG90" s="130">
        <f t="shared" si="158"/>
        <v>0</v>
      </c>
      <c r="AH90" s="109"/>
      <c r="AI90" s="252"/>
      <c r="AJ90" s="178">
        <v>0</v>
      </c>
      <c r="AK90" s="130">
        <f t="shared" si="159"/>
        <v>0</v>
      </c>
      <c r="AL90" s="109"/>
      <c r="AM90" s="252"/>
      <c r="AN90" s="178">
        <v>0</v>
      </c>
      <c r="AO90" s="130">
        <f t="shared" si="169"/>
        <v>10</v>
      </c>
      <c r="AP90" s="109"/>
      <c r="AQ90" s="252"/>
      <c r="AR90" s="178">
        <v>0</v>
      </c>
      <c r="AS90" s="130">
        <f t="shared" si="161"/>
        <v>0</v>
      </c>
      <c r="AT90" s="109"/>
      <c r="AU90" s="252"/>
      <c r="AV90" s="178">
        <v>0</v>
      </c>
      <c r="AW90" s="130">
        <f t="shared" si="162"/>
        <v>0</v>
      </c>
      <c r="AX90" s="109"/>
      <c r="AY90" s="252"/>
      <c r="AZ90" s="178">
        <v>0</v>
      </c>
      <c r="BA90" s="130"/>
      <c r="BB90" s="179"/>
      <c r="BC90" s="252"/>
      <c r="BD90" s="178">
        <v>0</v>
      </c>
      <c r="BE90" s="130"/>
      <c r="BF90" s="109"/>
      <c r="BG90" s="252"/>
      <c r="BH90" s="180">
        <f t="shared" si="130"/>
        <v>0</v>
      </c>
      <c r="BI90" s="181">
        <f>Автовик_разбивка[[#This Row],[Цена, 
юань, без НДС 1]]*BH90</f>
        <v>0</v>
      </c>
      <c r="BJ90" s="130">
        <f t="shared" si="131"/>
        <v>10</v>
      </c>
      <c r="BK90" s="187">
        <f>Автовик_разбивка[[#This Row],[Цена, 
юань, без НДС 1]]*BJ90</f>
        <v>0</v>
      </c>
      <c r="BL90" s="109">
        <f t="shared" si="132"/>
        <v>0</v>
      </c>
      <c r="BM90" s="224">
        <f>Автовик_разбивка[[#This Row],[Цена, 
юань, без НДС 1]]*BL90</f>
        <v>0</v>
      </c>
      <c r="BN90" s="178"/>
      <c r="BO90" s="184"/>
      <c r="BP90" s="130">
        <f t="shared" si="115"/>
        <v>0</v>
      </c>
      <c r="BQ90" s="179"/>
      <c r="BR90" s="130"/>
      <c r="BS90" s="178"/>
      <c r="BT90" s="184"/>
      <c r="BU90" s="130">
        <f t="shared" si="163"/>
        <v>0</v>
      </c>
      <c r="BV90" s="179"/>
      <c r="BW90" s="130"/>
      <c r="BX90" s="178"/>
      <c r="BY90" s="184"/>
      <c r="BZ90" s="130">
        <f t="shared" si="117"/>
        <v>0</v>
      </c>
      <c r="CA90" s="179"/>
      <c r="CB90" s="130"/>
      <c r="CC90" s="178"/>
      <c r="CD90" s="184"/>
      <c r="CE90" s="130">
        <f t="shared" si="164"/>
        <v>0</v>
      </c>
      <c r="CF90" s="179"/>
      <c r="CG90" s="130"/>
      <c r="CH90" s="178"/>
      <c r="CI90" s="184"/>
      <c r="CJ90" s="130">
        <f t="shared" si="119"/>
        <v>0</v>
      </c>
      <c r="CK90" s="109"/>
      <c r="CL90" s="252"/>
      <c r="CM90" s="178"/>
      <c r="CN90" s="184"/>
      <c r="CO90" s="130">
        <f t="shared" si="165"/>
        <v>0</v>
      </c>
      <c r="CP90" s="109"/>
      <c r="CQ90" s="252"/>
      <c r="CR90" s="178"/>
      <c r="CS90" s="184"/>
      <c r="CT90" s="130">
        <f t="shared" si="121"/>
        <v>0</v>
      </c>
      <c r="CU90" s="109"/>
      <c r="CV90" s="252"/>
      <c r="CW90" s="178"/>
      <c r="CX90" s="184"/>
      <c r="CY90" s="130">
        <f t="shared" si="166"/>
        <v>0</v>
      </c>
      <c r="CZ90" s="109"/>
      <c r="DA90" s="252"/>
      <c r="DB90" s="178"/>
      <c r="DC90" s="184"/>
      <c r="DD90" s="130">
        <f t="shared" si="123"/>
        <v>0</v>
      </c>
      <c r="DE90" s="109"/>
      <c r="DF90" s="252"/>
      <c r="DG90" s="178"/>
      <c r="DH90" s="184"/>
      <c r="DI90" s="130">
        <f t="shared" si="167"/>
        <v>0</v>
      </c>
      <c r="DJ90" s="109"/>
      <c r="DK90" s="252"/>
      <c r="DL90" s="178"/>
      <c r="DM90" s="184"/>
      <c r="DN90" s="130">
        <f t="shared" si="125"/>
        <v>0</v>
      </c>
      <c r="DO90" s="179"/>
      <c r="DP90" s="252"/>
      <c r="DQ90" s="178"/>
      <c r="DR90" s="184"/>
      <c r="DS90" s="130">
        <f t="shared" si="168"/>
        <v>0</v>
      </c>
      <c r="DT90" s="109"/>
      <c r="DU90" s="252"/>
      <c r="DV90" s="180">
        <f t="shared" si="133"/>
        <v>0</v>
      </c>
      <c r="DW90" s="181">
        <f>Автовик_разбивка[[#This Row],[Цена, 
юань, без НДС 1]]*DV90</f>
        <v>0</v>
      </c>
      <c r="DX90" s="186">
        <f t="shared" si="134"/>
        <v>0</v>
      </c>
      <c r="DY90" s="186">
        <f>Автовик_разбивка[[#This Row],[Цена, 
юань, без НДС 1]]*DX90</f>
        <v>0</v>
      </c>
      <c r="DZ90" s="130">
        <f t="shared" si="135"/>
        <v>0</v>
      </c>
      <c r="EA90" s="187">
        <f>Автовик_разбивка[[#This Row],[Цена, 
юань, без НДС 1]]*DZ90</f>
        <v>0</v>
      </c>
      <c r="EB90" s="109">
        <f t="shared" si="136"/>
        <v>0</v>
      </c>
      <c r="EC90" s="224">
        <f>Автовик_разбивка[[#This Row],[Цена, 
юань, без НДС 1]]*EB90</f>
        <v>0</v>
      </c>
    </row>
    <row r="91" spans="1:133">
      <c r="A91" s="256">
        <v>22</v>
      </c>
      <c r="B91" s="172" t="s">
        <v>90</v>
      </c>
      <c r="C91" s="173" t="s">
        <v>298</v>
      </c>
      <c r="D91" s="173" t="s">
        <v>319</v>
      </c>
      <c r="E91" s="174">
        <v>1</v>
      </c>
      <c r="F91" s="174"/>
      <c r="G91" s="174"/>
      <c r="H91" s="175">
        <v>4801020640</v>
      </c>
      <c r="I91" s="176" t="s">
        <v>76</v>
      </c>
      <c r="J91" s="222"/>
      <c r="K91" s="227"/>
      <c r="L91" s="178">
        <v>0</v>
      </c>
      <c r="M91" s="130">
        <f t="shared" si="153"/>
        <v>0</v>
      </c>
      <c r="N91" s="179">
        <v>0</v>
      </c>
      <c r="O91" s="130"/>
      <c r="P91" s="178">
        <v>0</v>
      </c>
      <c r="Q91" s="130">
        <f t="shared" si="154"/>
        <v>0</v>
      </c>
      <c r="R91" s="179">
        <f t="shared" si="154"/>
        <v>0</v>
      </c>
      <c r="S91" s="130"/>
      <c r="T91" s="178">
        <v>0</v>
      </c>
      <c r="U91" s="130">
        <f t="shared" si="155"/>
        <v>0</v>
      </c>
      <c r="V91" s="179">
        <f t="shared" si="155"/>
        <v>0</v>
      </c>
      <c r="W91" s="130"/>
      <c r="X91" s="178">
        <v>0</v>
      </c>
      <c r="Y91" s="130">
        <f t="shared" si="156"/>
        <v>0</v>
      </c>
      <c r="Z91" s="179">
        <f t="shared" si="156"/>
        <v>0</v>
      </c>
      <c r="AA91" s="130"/>
      <c r="AB91" s="178">
        <v>0</v>
      </c>
      <c r="AC91" s="130">
        <f t="shared" si="157"/>
        <v>0</v>
      </c>
      <c r="AD91" s="109"/>
      <c r="AE91" s="252"/>
      <c r="AF91" s="178">
        <v>0</v>
      </c>
      <c r="AG91" s="130">
        <f t="shared" si="158"/>
        <v>0</v>
      </c>
      <c r="AH91" s="109"/>
      <c r="AI91" s="252"/>
      <c r="AJ91" s="178">
        <v>0</v>
      </c>
      <c r="AK91" s="130">
        <f t="shared" si="159"/>
        <v>0</v>
      </c>
      <c r="AL91" s="109"/>
      <c r="AM91" s="252"/>
      <c r="AN91" s="178">
        <v>0</v>
      </c>
      <c r="AO91" s="130">
        <f t="shared" si="169"/>
        <v>10</v>
      </c>
      <c r="AP91" s="109"/>
      <c r="AQ91" s="252"/>
      <c r="AR91" s="178">
        <v>0</v>
      </c>
      <c r="AS91" s="130">
        <f t="shared" si="161"/>
        <v>0</v>
      </c>
      <c r="AT91" s="109"/>
      <c r="AU91" s="252"/>
      <c r="AV91" s="178">
        <v>0</v>
      </c>
      <c r="AW91" s="130">
        <f t="shared" si="162"/>
        <v>0</v>
      </c>
      <c r="AX91" s="109"/>
      <c r="AY91" s="252"/>
      <c r="AZ91" s="178">
        <v>0</v>
      </c>
      <c r="BA91" s="130"/>
      <c r="BB91" s="193"/>
      <c r="BC91" s="252"/>
      <c r="BD91" s="178">
        <v>0</v>
      </c>
      <c r="BE91" s="130"/>
      <c r="BF91" s="109"/>
      <c r="BG91" s="252"/>
      <c r="BH91" s="180">
        <f t="shared" si="130"/>
        <v>0</v>
      </c>
      <c r="BI91" s="181">
        <f>Автовик_разбивка[[#This Row],[Цена, 
юань, без НДС 1]]*BH91</f>
        <v>0</v>
      </c>
      <c r="BJ91" s="130">
        <f t="shared" si="131"/>
        <v>10</v>
      </c>
      <c r="BK91" s="187">
        <f>Автовик_разбивка[[#This Row],[Цена, 
юань, без НДС 1]]*BJ91</f>
        <v>0</v>
      </c>
      <c r="BL91" s="109">
        <f t="shared" si="132"/>
        <v>0</v>
      </c>
      <c r="BM91" s="224">
        <f>Автовик_разбивка[[#This Row],[Цена, 
юань, без НДС 1]]*BL91</f>
        <v>0</v>
      </c>
      <c r="BN91" s="178"/>
      <c r="BO91" s="184"/>
      <c r="BP91" s="130">
        <f t="shared" si="115"/>
        <v>0</v>
      </c>
      <c r="BQ91" s="179"/>
      <c r="BR91" s="130"/>
      <c r="BS91" s="178"/>
      <c r="BT91" s="184"/>
      <c r="BU91" s="130">
        <f t="shared" si="163"/>
        <v>0</v>
      </c>
      <c r="BV91" s="179"/>
      <c r="BW91" s="130"/>
      <c r="BX91" s="178"/>
      <c r="BY91" s="184"/>
      <c r="BZ91" s="130">
        <f t="shared" si="117"/>
        <v>0</v>
      </c>
      <c r="CA91" s="179"/>
      <c r="CB91" s="130"/>
      <c r="CC91" s="178"/>
      <c r="CD91" s="184"/>
      <c r="CE91" s="130">
        <f t="shared" si="164"/>
        <v>0</v>
      </c>
      <c r="CF91" s="179"/>
      <c r="CG91" s="130"/>
      <c r="CH91" s="178"/>
      <c r="CI91" s="184"/>
      <c r="CJ91" s="130">
        <f t="shared" si="119"/>
        <v>0</v>
      </c>
      <c r="CK91" s="109"/>
      <c r="CL91" s="252"/>
      <c r="CM91" s="178"/>
      <c r="CN91" s="184"/>
      <c r="CO91" s="130">
        <f t="shared" si="165"/>
        <v>0</v>
      </c>
      <c r="CP91" s="109"/>
      <c r="CQ91" s="252"/>
      <c r="CR91" s="178"/>
      <c r="CS91" s="184"/>
      <c r="CT91" s="130">
        <f t="shared" si="121"/>
        <v>0</v>
      </c>
      <c r="CU91" s="109"/>
      <c r="CV91" s="252"/>
      <c r="CW91" s="178"/>
      <c r="CX91" s="184"/>
      <c r="CY91" s="130">
        <f t="shared" si="166"/>
        <v>0</v>
      </c>
      <c r="CZ91" s="109"/>
      <c r="DA91" s="252"/>
      <c r="DB91" s="178"/>
      <c r="DC91" s="184"/>
      <c r="DD91" s="130">
        <f t="shared" si="123"/>
        <v>0</v>
      </c>
      <c r="DE91" s="109"/>
      <c r="DF91" s="252"/>
      <c r="DG91" s="178"/>
      <c r="DH91" s="184"/>
      <c r="DI91" s="130">
        <f t="shared" si="167"/>
        <v>0</v>
      </c>
      <c r="DJ91" s="109"/>
      <c r="DK91" s="252"/>
      <c r="DL91" s="178"/>
      <c r="DM91" s="184"/>
      <c r="DN91" s="130">
        <f t="shared" si="125"/>
        <v>0</v>
      </c>
      <c r="DO91" s="193"/>
      <c r="DP91" s="252"/>
      <c r="DQ91" s="178"/>
      <c r="DR91" s="184"/>
      <c r="DS91" s="130">
        <f t="shared" si="168"/>
        <v>0</v>
      </c>
      <c r="DT91" s="109"/>
      <c r="DU91" s="252"/>
      <c r="DV91" s="180">
        <f t="shared" si="133"/>
        <v>0</v>
      </c>
      <c r="DW91" s="181">
        <f>Автовик_разбивка[[#This Row],[Цена, 
юань, без НДС 1]]*DV91</f>
        <v>0</v>
      </c>
      <c r="DX91" s="186">
        <f t="shared" si="134"/>
        <v>0</v>
      </c>
      <c r="DY91" s="186">
        <f>Автовик_разбивка[[#This Row],[Цена, 
юань, без НДС 1]]*DX91</f>
        <v>0</v>
      </c>
      <c r="DZ91" s="130">
        <f t="shared" si="135"/>
        <v>0</v>
      </c>
      <c r="EA91" s="187">
        <f>Автовик_разбивка[[#This Row],[Цена, 
юань, без НДС 1]]*DZ91</f>
        <v>0</v>
      </c>
      <c r="EB91" s="109">
        <f t="shared" si="136"/>
        <v>0</v>
      </c>
      <c r="EC91" s="224">
        <f>Автовик_разбивка[[#This Row],[Цена, 
юань, без НДС 1]]*EB91</f>
        <v>0</v>
      </c>
    </row>
    <row r="92" spans="1:133">
      <c r="A92" s="256">
        <v>22</v>
      </c>
      <c r="B92" s="172" t="s">
        <v>90</v>
      </c>
      <c r="C92" s="173" t="s">
        <v>298</v>
      </c>
      <c r="D92" s="173" t="s">
        <v>319</v>
      </c>
      <c r="E92" s="174">
        <v>1</v>
      </c>
      <c r="F92" s="174"/>
      <c r="G92" s="174"/>
      <c r="H92" s="175">
        <v>9522010010</v>
      </c>
      <c r="I92" s="176" t="s">
        <v>73</v>
      </c>
      <c r="J92" s="222"/>
      <c r="K92" s="227"/>
      <c r="L92" s="178">
        <v>0</v>
      </c>
      <c r="M92" s="130">
        <f t="shared" si="153"/>
        <v>0</v>
      </c>
      <c r="N92" s="179">
        <v>0</v>
      </c>
      <c r="O92" s="130"/>
      <c r="P92" s="178">
        <v>0</v>
      </c>
      <c r="Q92" s="130">
        <f t="shared" si="154"/>
        <v>0</v>
      </c>
      <c r="R92" s="179">
        <f t="shared" si="154"/>
        <v>0</v>
      </c>
      <c r="S92" s="130"/>
      <c r="T92" s="178">
        <v>0</v>
      </c>
      <c r="U92" s="130">
        <f t="shared" si="155"/>
        <v>0</v>
      </c>
      <c r="V92" s="179">
        <f t="shared" si="155"/>
        <v>0</v>
      </c>
      <c r="W92" s="130"/>
      <c r="X92" s="178">
        <v>0</v>
      </c>
      <c r="Y92" s="130">
        <f t="shared" si="156"/>
        <v>0</v>
      </c>
      <c r="Z92" s="179">
        <f t="shared" si="156"/>
        <v>0</v>
      </c>
      <c r="AA92" s="130"/>
      <c r="AB92" s="178">
        <v>0</v>
      </c>
      <c r="AC92" s="130">
        <f t="shared" si="157"/>
        <v>0</v>
      </c>
      <c r="AD92" s="179"/>
      <c r="AE92" s="130"/>
      <c r="AF92" s="178">
        <v>0</v>
      </c>
      <c r="AG92" s="130">
        <f t="shared" si="158"/>
        <v>0</v>
      </c>
      <c r="AH92" s="179"/>
      <c r="AI92" s="130"/>
      <c r="AJ92" s="178">
        <v>0</v>
      </c>
      <c r="AK92" s="130">
        <f t="shared" si="159"/>
        <v>0</v>
      </c>
      <c r="AL92" s="179"/>
      <c r="AM92" s="130"/>
      <c r="AN92" s="178">
        <v>0</v>
      </c>
      <c r="AO92" s="130">
        <f t="shared" si="169"/>
        <v>10</v>
      </c>
      <c r="AP92" s="179"/>
      <c r="AQ92" s="130"/>
      <c r="AR92" s="178">
        <v>0</v>
      </c>
      <c r="AS92" s="130">
        <f t="shared" si="161"/>
        <v>0</v>
      </c>
      <c r="AT92" s="179"/>
      <c r="AU92" s="130"/>
      <c r="AV92" s="178">
        <v>0</v>
      </c>
      <c r="AW92" s="130">
        <f t="shared" si="162"/>
        <v>0</v>
      </c>
      <c r="AX92" s="179"/>
      <c r="AY92" s="130"/>
      <c r="AZ92" s="178">
        <v>0</v>
      </c>
      <c r="BA92" s="130"/>
      <c r="BB92" s="228"/>
      <c r="BC92" s="130"/>
      <c r="BD92" s="178">
        <v>0</v>
      </c>
      <c r="BE92" s="130"/>
      <c r="BF92" s="109"/>
      <c r="BG92" s="130"/>
      <c r="BH92" s="180">
        <f t="shared" si="130"/>
        <v>0</v>
      </c>
      <c r="BI92" s="181">
        <f>Автовик_разбивка[[#This Row],[Цена, 
юань, без НДС 1]]*BH92</f>
        <v>0</v>
      </c>
      <c r="BJ92" s="130">
        <f t="shared" si="131"/>
        <v>10</v>
      </c>
      <c r="BK92" s="187">
        <f>Автовик_разбивка[[#This Row],[Цена, 
юань, без НДС 1]]*BJ92</f>
        <v>0</v>
      </c>
      <c r="BL92" s="109">
        <f t="shared" si="132"/>
        <v>0</v>
      </c>
      <c r="BM92" s="224">
        <f>Автовик_разбивка[[#This Row],[Цена, 
юань, без НДС 1]]*BL92</f>
        <v>0</v>
      </c>
      <c r="BN92" s="178"/>
      <c r="BO92" s="184"/>
      <c r="BP92" s="130">
        <f t="shared" si="115"/>
        <v>0</v>
      </c>
      <c r="BQ92" s="179"/>
      <c r="BR92" s="130"/>
      <c r="BS92" s="178"/>
      <c r="BT92" s="184"/>
      <c r="BU92" s="130">
        <f t="shared" si="163"/>
        <v>0</v>
      </c>
      <c r="BV92" s="179"/>
      <c r="BW92" s="130"/>
      <c r="BX92" s="178"/>
      <c r="BY92" s="184"/>
      <c r="BZ92" s="130">
        <f t="shared" si="117"/>
        <v>0</v>
      </c>
      <c r="CA92" s="179"/>
      <c r="CB92" s="130"/>
      <c r="CC92" s="178"/>
      <c r="CD92" s="184"/>
      <c r="CE92" s="130">
        <f t="shared" si="164"/>
        <v>0</v>
      </c>
      <c r="CF92" s="179"/>
      <c r="CG92" s="130"/>
      <c r="CH92" s="178"/>
      <c r="CI92" s="184"/>
      <c r="CJ92" s="130">
        <f t="shared" si="119"/>
        <v>0</v>
      </c>
      <c r="CK92" s="179"/>
      <c r="CL92" s="130"/>
      <c r="CM92" s="178"/>
      <c r="CN92" s="184"/>
      <c r="CO92" s="130">
        <f t="shared" si="165"/>
        <v>0</v>
      </c>
      <c r="CP92" s="179"/>
      <c r="CQ92" s="130"/>
      <c r="CR92" s="178"/>
      <c r="CS92" s="184"/>
      <c r="CT92" s="130">
        <f t="shared" si="121"/>
        <v>0</v>
      </c>
      <c r="CU92" s="179"/>
      <c r="CV92" s="130"/>
      <c r="CW92" s="178"/>
      <c r="CX92" s="184"/>
      <c r="CY92" s="130">
        <f t="shared" si="166"/>
        <v>0</v>
      </c>
      <c r="CZ92" s="179"/>
      <c r="DA92" s="130"/>
      <c r="DB92" s="178"/>
      <c r="DC92" s="184"/>
      <c r="DD92" s="130">
        <f t="shared" si="123"/>
        <v>0</v>
      </c>
      <c r="DE92" s="179"/>
      <c r="DF92" s="130"/>
      <c r="DG92" s="178"/>
      <c r="DH92" s="184"/>
      <c r="DI92" s="130">
        <f t="shared" si="167"/>
        <v>0</v>
      </c>
      <c r="DJ92" s="179"/>
      <c r="DK92" s="130"/>
      <c r="DL92" s="178"/>
      <c r="DM92" s="184"/>
      <c r="DN92" s="130">
        <f t="shared" si="125"/>
        <v>0</v>
      </c>
      <c r="DO92" s="228"/>
      <c r="DP92" s="130"/>
      <c r="DQ92" s="178"/>
      <c r="DR92" s="184"/>
      <c r="DS92" s="130">
        <f t="shared" si="168"/>
        <v>0</v>
      </c>
      <c r="DT92" s="109"/>
      <c r="DU92" s="130"/>
      <c r="DV92" s="180">
        <f t="shared" si="133"/>
        <v>0</v>
      </c>
      <c r="DW92" s="181">
        <f>Автовик_разбивка[[#This Row],[Цена, 
юань, без НДС 1]]*DV92</f>
        <v>0</v>
      </c>
      <c r="DX92" s="186">
        <f t="shared" si="134"/>
        <v>0</v>
      </c>
      <c r="DY92" s="186">
        <f>Автовик_разбивка[[#This Row],[Цена, 
юань, без НДС 1]]*DX92</f>
        <v>0</v>
      </c>
      <c r="DZ92" s="130">
        <f t="shared" si="135"/>
        <v>0</v>
      </c>
      <c r="EA92" s="187">
        <f>Автовик_разбивка[[#This Row],[Цена, 
юань, без НДС 1]]*DZ92</f>
        <v>0</v>
      </c>
      <c r="EB92" s="109">
        <f t="shared" si="136"/>
        <v>0</v>
      </c>
      <c r="EC92" s="224">
        <f>Автовик_разбивка[[#This Row],[Цена, 
юань, без НДС 1]]*EB92</f>
        <v>0</v>
      </c>
    </row>
    <row r="93" spans="1:133">
      <c r="A93" s="256">
        <v>22</v>
      </c>
      <c r="B93" s="172" t="s">
        <v>90</v>
      </c>
      <c r="C93" s="173" t="s">
        <v>298</v>
      </c>
      <c r="D93" s="173" t="s">
        <v>319</v>
      </c>
      <c r="E93" s="174">
        <v>1</v>
      </c>
      <c r="F93" s="174"/>
      <c r="G93" s="174"/>
      <c r="H93" s="175">
        <v>9522010020</v>
      </c>
      <c r="I93" s="176" t="s">
        <v>74</v>
      </c>
      <c r="J93" s="222"/>
      <c r="K93" s="227"/>
      <c r="L93" s="178">
        <v>0</v>
      </c>
      <c r="M93" s="130">
        <f t="shared" si="153"/>
        <v>0</v>
      </c>
      <c r="N93" s="179">
        <v>0</v>
      </c>
      <c r="O93" s="130"/>
      <c r="P93" s="178">
        <v>0</v>
      </c>
      <c r="Q93" s="130">
        <f t="shared" si="154"/>
        <v>0</v>
      </c>
      <c r="R93" s="179">
        <f t="shared" si="154"/>
        <v>0</v>
      </c>
      <c r="S93" s="130"/>
      <c r="T93" s="178">
        <v>0</v>
      </c>
      <c r="U93" s="130">
        <f t="shared" si="155"/>
        <v>0</v>
      </c>
      <c r="V93" s="179">
        <f t="shared" si="155"/>
        <v>0</v>
      </c>
      <c r="W93" s="130"/>
      <c r="X93" s="178">
        <v>0</v>
      </c>
      <c r="Y93" s="130">
        <f t="shared" si="156"/>
        <v>0</v>
      </c>
      <c r="Z93" s="179">
        <f t="shared" si="156"/>
        <v>0</v>
      </c>
      <c r="AA93" s="130"/>
      <c r="AB93" s="178">
        <v>0</v>
      </c>
      <c r="AC93" s="130">
        <f t="shared" si="157"/>
        <v>0</v>
      </c>
      <c r="AD93" s="179"/>
      <c r="AE93" s="130"/>
      <c r="AF93" s="178">
        <v>0</v>
      </c>
      <c r="AG93" s="130">
        <f t="shared" si="158"/>
        <v>0</v>
      </c>
      <c r="AH93" s="179"/>
      <c r="AI93" s="130"/>
      <c r="AJ93" s="178">
        <v>0</v>
      </c>
      <c r="AK93" s="130">
        <f t="shared" si="159"/>
        <v>0</v>
      </c>
      <c r="AL93" s="179"/>
      <c r="AM93" s="130"/>
      <c r="AN93" s="178">
        <v>0</v>
      </c>
      <c r="AO93" s="130">
        <f t="shared" si="169"/>
        <v>10</v>
      </c>
      <c r="AP93" s="179"/>
      <c r="AQ93" s="130"/>
      <c r="AR93" s="178">
        <v>0</v>
      </c>
      <c r="AS93" s="130">
        <f t="shared" si="161"/>
        <v>0</v>
      </c>
      <c r="AT93" s="179"/>
      <c r="AU93" s="130"/>
      <c r="AV93" s="178">
        <v>0</v>
      </c>
      <c r="AW93" s="130">
        <f t="shared" si="162"/>
        <v>0</v>
      </c>
      <c r="AX93" s="179"/>
      <c r="AY93" s="130"/>
      <c r="AZ93" s="178">
        <v>0</v>
      </c>
      <c r="BA93" s="130"/>
      <c r="BB93" s="228"/>
      <c r="BC93" s="130"/>
      <c r="BD93" s="178">
        <v>0</v>
      </c>
      <c r="BE93" s="130"/>
      <c r="BF93" s="109"/>
      <c r="BG93" s="130"/>
      <c r="BH93" s="180">
        <f t="shared" si="130"/>
        <v>0</v>
      </c>
      <c r="BI93" s="181">
        <f>Автовик_разбивка[[#This Row],[Цена, 
юань, без НДС 1]]*BH93</f>
        <v>0</v>
      </c>
      <c r="BJ93" s="130">
        <f t="shared" si="131"/>
        <v>10</v>
      </c>
      <c r="BK93" s="187">
        <f>Автовик_разбивка[[#This Row],[Цена, 
юань, без НДС 1]]*BJ93</f>
        <v>0</v>
      </c>
      <c r="BL93" s="109">
        <f t="shared" si="132"/>
        <v>0</v>
      </c>
      <c r="BM93" s="224">
        <f>Автовик_разбивка[[#This Row],[Цена, 
юань, без НДС 1]]*BL93</f>
        <v>0</v>
      </c>
      <c r="BN93" s="178"/>
      <c r="BO93" s="184"/>
      <c r="BP93" s="130">
        <f t="shared" si="115"/>
        <v>0</v>
      </c>
      <c r="BQ93" s="179"/>
      <c r="BR93" s="130"/>
      <c r="BS93" s="178"/>
      <c r="BT93" s="184"/>
      <c r="BU93" s="130">
        <f t="shared" si="163"/>
        <v>0</v>
      </c>
      <c r="BV93" s="179"/>
      <c r="BW93" s="130"/>
      <c r="BX93" s="178"/>
      <c r="BY93" s="184"/>
      <c r="BZ93" s="130">
        <f t="shared" si="117"/>
        <v>0</v>
      </c>
      <c r="CA93" s="179"/>
      <c r="CB93" s="130"/>
      <c r="CC93" s="178"/>
      <c r="CD93" s="184"/>
      <c r="CE93" s="130">
        <f t="shared" si="164"/>
        <v>0</v>
      </c>
      <c r="CF93" s="179"/>
      <c r="CG93" s="130"/>
      <c r="CH93" s="178"/>
      <c r="CI93" s="184"/>
      <c r="CJ93" s="130">
        <f t="shared" si="119"/>
        <v>0</v>
      </c>
      <c r="CK93" s="179"/>
      <c r="CL93" s="130"/>
      <c r="CM93" s="178"/>
      <c r="CN93" s="184"/>
      <c r="CO93" s="130">
        <f t="shared" si="165"/>
        <v>0</v>
      </c>
      <c r="CP93" s="179"/>
      <c r="CQ93" s="130"/>
      <c r="CR93" s="178"/>
      <c r="CS93" s="184"/>
      <c r="CT93" s="130">
        <f t="shared" si="121"/>
        <v>0</v>
      </c>
      <c r="CU93" s="179"/>
      <c r="CV93" s="130"/>
      <c r="CW93" s="178"/>
      <c r="CX93" s="184"/>
      <c r="CY93" s="130">
        <f t="shared" si="166"/>
        <v>0</v>
      </c>
      <c r="CZ93" s="179"/>
      <c r="DA93" s="130"/>
      <c r="DB93" s="178"/>
      <c r="DC93" s="184"/>
      <c r="DD93" s="130">
        <f t="shared" si="123"/>
        <v>0</v>
      </c>
      <c r="DE93" s="179"/>
      <c r="DF93" s="130"/>
      <c r="DG93" s="178"/>
      <c r="DH93" s="184"/>
      <c r="DI93" s="130">
        <f t="shared" si="167"/>
        <v>0</v>
      </c>
      <c r="DJ93" s="179"/>
      <c r="DK93" s="130"/>
      <c r="DL93" s="178"/>
      <c r="DM93" s="184"/>
      <c r="DN93" s="130">
        <f t="shared" si="125"/>
        <v>0</v>
      </c>
      <c r="DO93" s="228"/>
      <c r="DP93" s="130"/>
      <c r="DQ93" s="178"/>
      <c r="DR93" s="184"/>
      <c r="DS93" s="130">
        <f t="shared" si="168"/>
        <v>0</v>
      </c>
      <c r="DT93" s="109"/>
      <c r="DU93" s="130"/>
      <c r="DV93" s="180">
        <f t="shared" si="133"/>
        <v>0</v>
      </c>
      <c r="DW93" s="181">
        <f>Автовик_разбивка[[#This Row],[Цена, 
юань, без НДС 1]]*DV93</f>
        <v>0</v>
      </c>
      <c r="DX93" s="186">
        <f t="shared" si="134"/>
        <v>0</v>
      </c>
      <c r="DY93" s="186">
        <f>Автовик_разбивка[[#This Row],[Цена, 
юань, без НДС 1]]*DX93</f>
        <v>0</v>
      </c>
      <c r="DZ93" s="130">
        <f t="shared" si="135"/>
        <v>0</v>
      </c>
      <c r="EA93" s="187">
        <f>Автовик_разбивка[[#This Row],[Цена, 
юань, без НДС 1]]*DZ93</f>
        <v>0</v>
      </c>
      <c r="EB93" s="109">
        <f t="shared" si="136"/>
        <v>0</v>
      </c>
      <c r="EC93" s="224">
        <f>Автовик_разбивка[[#This Row],[Цена, 
юань, без НДС 1]]*EB93</f>
        <v>0</v>
      </c>
    </row>
    <row r="94" spans="1:133">
      <c r="A94" s="256">
        <v>22</v>
      </c>
      <c r="B94" s="172" t="s">
        <v>90</v>
      </c>
      <c r="C94" s="173" t="s">
        <v>298</v>
      </c>
      <c r="D94" s="173" t="s">
        <v>319</v>
      </c>
      <c r="E94" s="174">
        <v>1</v>
      </c>
      <c r="F94" s="174"/>
      <c r="G94" s="174"/>
      <c r="H94" s="175">
        <v>9710029000</v>
      </c>
      <c r="I94" s="176" t="s">
        <v>75</v>
      </c>
      <c r="J94" s="222"/>
      <c r="K94" s="227"/>
      <c r="L94" s="178">
        <v>0</v>
      </c>
      <c r="M94" s="130">
        <f t="shared" si="153"/>
        <v>0</v>
      </c>
      <c r="N94" s="179">
        <v>0</v>
      </c>
      <c r="O94" s="130"/>
      <c r="P94" s="178">
        <v>0</v>
      </c>
      <c r="Q94" s="130">
        <f t="shared" si="154"/>
        <v>0</v>
      </c>
      <c r="R94" s="179">
        <f t="shared" si="154"/>
        <v>0</v>
      </c>
      <c r="S94" s="130"/>
      <c r="T94" s="178">
        <v>0</v>
      </c>
      <c r="U94" s="130">
        <f t="shared" si="155"/>
        <v>0</v>
      </c>
      <c r="V94" s="179">
        <f t="shared" si="155"/>
        <v>0</v>
      </c>
      <c r="W94" s="130"/>
      <c r="X94" s="178">
        <v>0</v>
      </c>
      <c r="Y94" s="130">
        <f t="shared" si="156"/>
        <v>0</v>
      </c>
      <c r="Z94" s="179">
        <f t="shared" si="156"/>
        <v>0</v>
      </c>
      <c r="AA94" s="130"/>
      <c r="AB94" s="178">
        <v>0</v>
      </c>
      <c r="AC94" s="130">
        <f t="shared" si="157"/>
        <v>0</v>
      </c>
      <c r="AD94" s="109"/>
      <c r="AE94" s="252"/>
      <c r="AF94" s="178">
        <v>0</v>
      </c>
      <c r="AG94" s="130">
        <f t="shared" si="158"/>
        <v>0</v>
      </c>
      <c r="AH94" s="109"/>
      <c r="AI94" s="252"/>
      <c r="AJ94" s="178">
        <v>0</v>
      </c>
      <c r="AK94" s="130">
        <f t="shared" si="159"/>
        <v>0</v>
      </c>
      <c r="AL94" s="109"/>
      <c r="AM94" s="252"/>
      <c r="AN94" s="178">
        <v>0</v>
      </c>
      <c r="AO94" s="130">
        <f t="shared" si="169"/>
        <v>10</v>
      </c>
      <c r="AP94" s="109"/>
      <c r="AQ94" s="252"/>
      <c r="AR94" s="178">
        <v>0</v>
      </c>
      <c r="AS94" s="130">
        <f t="shared" si="161"/>
        <v>0</v>
      </c>
      <c r="AT94" s="109"/>
      <c r="AU94" s="252"/>
      <c r="AV94" s="178">
        <v>0</v>
      </c>
      <c r="AW94" s="130">
        <f t="shared" si="162"/>
        <v>0</v>
      </c>
      <c r="AX94" s="109"/>
      <c r="AY94" s="252"/>
      <c r="AZ94" s="178">
        <v>0</v>
      </c>
      <c r="BA94" s="130"/>
      <c r="BB94" s="194"/>
      <c r="BC94" s="252"/>
      <c r="BD94" s="178">
        <v>0</v>
      </c>
      <c r="BE94" s="130"/>
      <c r="BF94" s="109"/>
      <c r="BG94" s="252"/>
      <c r="BH94" s="180">
        <f t="shared" si="130"/>
        <v>0</v>
      </c>
      <c r="BI94" s="181">
        <f>Автовик_разбивка[[#This Row],[Цена, 
юань, без НДС 1]]*BH94</f>
        <v>0</v>
      </c>
      <c r="BJ94" s="130">
        <f t="shared" si="131"/>
        <v>10</v>
      </c>
      <c r="BK94" s="187">
        <f>Автовик_разбивка[[#This Row],[Цена, 
юань, без НДС 1]]*BJ94</f>
        <v>0</v>
      </c>
      <c r="BL94" s="109">
        <f t="shared" si="132"/>
        <v>0</v>
      </c>
      <c r="BM94" s="224">
        <f>Автовик_разбивка[[#This Row],[Цена, 
юань, без НДС 1]]*BL94</f>
        <v>0</v>
      </c>
      <c r="BN94" s="178"/>
      <c r="BO94" s="184"/>
      <c r="BP94" s="130">
        <f t="shared" si="115"/>
        <v>0</v>
      </c>
      <c r="BQ94" s="179"/>
      <c r="BR94" s="130"/>
      <c r="BS94" s="178"/>
      <c r="BT94" s="184"/>
      <c r="BU94" s="130">
        <f t="shared" si="163"/>
        <v>0</v>
      </c>
      <c r="BV94" s="179"/>
      <c r="BW94" s="130"/>
      <c r="BX94" s="178"/>
      <c r="BY94" s="184"/>
      <c r="BZ94" s="130">
        <f t="shared" si="117"/>
        <v>0</v>
      </c>
      <c r="CA94" s="179"/>
      <c r="CB94" s="130"/>
      <c r="CC94" s="178"/>
      <c r="CD94" s="184"/>
      <c r="CE94" s="130">
        <f t="shared" si="164"/>
        <v>0</v>
      </c>
      <c r="CF94" s="179"/>
      <c r="CG94" s="130"/>
      <c r="CH94" s="178"/>
      <c r="CI94" s="184"/>
      <c r="CJ94" s="130">
        <f t="shared" si="119"/>
        <v>0</v>
      </c>
      <c r="CK94" s="109"/>
      <c r="CL94" s="252"/>
      <c r="CM94" s="178"/>
      <c r="CN94" s="184"/>
      <c r="CO94" s="130">
        <f t="shared" si="165"/>
        <v>0</v>
      </c>
      <c r="CP94" s="109"/>
      <c r="CQ94" s="252"/>
      <c r="CR94" s="178"/>
      <c r="CS94" s="184"/>
      <c r="CT94" s="130">
        <f t="shared" si="121"/>
        <v>0</v>
      </c>
      <c r="CU94" s="109"/>
      <c r="CV94" s="252"/>
      <c r="CW94" s="178"/>
      <c r="CX94" s="184"/>
      <c r="CY94" s="130">
        <f t="shared" si="166"/>
        <v>0</v>
      </c>
      <c r="CZ94" s="109"/>
      <c r="DA94" s="252"/>
      <c r="DB94" s="178"/>
      <c r="DC94" s="184"/>
      <c r="DD94" s="130">
        <f t="shared" si="123"/>
        <v>0</v>
      </c>
      <c r="DE94" s="109"/>
      <c r="DF94" s="252"/>
      <c r="DG94" s="178"/>
      <c r="DH94" s="184"/>
      <c r="DI94" s="130">
        <f t="shared" si="167"/>
        <v>0</v>
      </c>
      <c r="DJ94" s="109"/>
      <c r="DK94" s="252"/>
      <c r="DL94" s="178"/>
      <c r="DM94" s="184"/>
      <c r="DN94" s="130">
        <f t="shared" si="125"/>
        <v>0</v>
      </c>
      <c r="DO94" s="194"/>
      <c r="DP94" s="252"/>
      <c r="DQ94" s="178"/>
      <c r="DR94" s="184"/>
      <c r="DS94" s="130">
        <f t="shared" si="168"/>
        <v>0</v>
      </c>
      <c r="DT94" s="109"/>
      <c r="DU94" s="252"/>
      <c r="DV94" s="180">
        <f t="shared" si="133"/>
        <v>0</v>
      </c>
      <c r="DW94" s="181">
        <f>Автовик_разбивка[[#This Row],[Цена, 
юань, без НДС 1]]*DV94</f>
        <v>0</v>
      </c>
      <c r="DX94" s="186">
        <f t="shared" si="134"/>
        <v>0</v>
      </c>
      <c r="DY94" s="186">
        <f>Автовик_разбивка[[#This Row],[Цена, 
юань, без НДС 1]]*DX94</f>
        <v>0</v>
      </c>
      <c r="DZ94" s="130">
        <f t="shared" si="135"/>
        <v>0</v>
      </c>
      <c r="EA94" s="187">
        <f>Автовик_разбивка[[#This Row],[Цена, 
юань, без НДС 1]]*DZ94</f>
        <v>0</v>
      </c>
      <c r="EB94" s="109">
        <f t="shared" si="136"/>
        <v>0</v>
      </c>
      <c r="EC94" s="224">
        <f>Автовик_разбивка[[#This Row],[Цена, 
юань, без НДС 1]]*EB94</f>
        <v>0</v>
      </c>
    </row>
    <row r="95" spans="1:133">
      <c r="A95" s="256">
        <v>22</v>
      </c>
      <c r="B95" s="172" t="s">
        <v>90</v>
      </c>
      <c r="C95" s="173"/>
      <c r="D95" s="173"/>
      <c r="E95" s="174"/>
      <c r="F95" s="174"/>
      <c r="G95" s="174"/>
      <c r="H95" s="175">
        <v>4231079000</v>
      </c>
      <c r="I95" s="176" t="s">
        <v>53</v>
      </c>
      <c r="J95" s="222"/>
      <c r="K95" s="227"/>
      <c r="L95" s="178"/>
      <c r="M95" s="130"/>
      <c r="N95" s="179"/>
      <c r="O95" s="130"/>
      <c r="P95" s="178"/>
      <c r="Q95" s="130">
        <v>0</v>
      </c>
      <c r="R95" s="179">
        <v>140</v>
      </c>
      <c r="S95" s="130"/>
      <c r="T95" s="178"/>
      <c r="U95" s="130"/>
      <c r="V95" s="179"/>
      <c r="W95" s="130"/>
      <c r="X95" s="178"/>
      <c r="Y95" s="130"/>
      <c r="Z95" s="179"/>
      <c r="AA95" s="130"/>
      <c r="AB95" s="178"/>
      <c r="AC95" s="130"/>
      <c r="AD95" s="109"/>
      <c r="AE95" s="252"/>
      <c r="AF95" s="178"/>
      <c r="AG95" s="130"/>
      <c r="AH95" s="109"/>
      <c r="AI95" s="252"/>
      <c r="AJ95" s="178"/>
      <c r="AK95" s="130"/>
      <c r="AL95" s="109"/>
      <c r="AM95" s="252"/>
      <c r="AN95" s="178"/>
      <c r="AO95" s="130"/>
      <c r="AP95" s="109"/>
      <c r="AQ95" s="252"/>
      <c r="AR95" s="178"/>
      <c r="AS95" s="130"/>
      <c r="AT95" s="109"/>
      <c r="AU95" s="252"/>
      <c r="AV95" s="178"/>
      <c r="AW95" s="130"/>
      <c r="AX95" s="109"/>
      <c r="AY95" s="252"/>
      <c r="AZ95" s="178"/>
      <c r="BA95" s="130"/>
      <c r="BB95" s="194"/>
      <c r="BC95" s="252"/>
      <c r="BD95" s="178"/>
      <c r="BE95" s="130"/>
      <c r="BF95" s="109"/>
      <c r="BG95" s="252"/>
      <c r="BH95" s="180">
        <f t="shared" si="130"/>
        <v>0</v>
      </c>
      <c r="BI95" s="181">
        <f>Автовик_разбивка[[#This Row],[Цена, 
юань, без НДС 1]]*BH95</f>
        <v>0</v>
      </c>
      <c r="BJ95" s="130">
        <f t="shared" si="131"/>
        <v>0</v>
      </c>
      <c r="BK95" s="187">
        <f>Автовик_разбивка[[#This Row],[Цена, 
юань, без НДС 1]]*BJ95</f>
        <v>0</v>
      </c>
      <c r="BL95" s="109">
        <f t="shared" si="132"/>
        <v>140</v>
      </c>
      <c r="BM95" s="224">
        <f>Автовик_разбивка[[#This Row],[Цена, 
юань, без НДС 1]]*BL95</f>
        <v>0</v>
      </c>
      <c r="BN95" s="178"/>
      <c r="BO95" s="184"/>
      <c r="BP95" s="130"/>
      <c r="BQ95" s="179"/>
      <c r="BR95" s="130"/>
      <c r="BS95" s="178"/>
      <c r="BT95" s="184"/>
      <c r="BU95" s="130"/>
      <c r="BV95" s="179"/>
      <c r="BW95" s="130"/>
      <c r="BX95" s="178"/>
      <c r="BY95" s="184"/>
      <c r="BZ95" s="130"/>
      <c r="CA95" s="179"/>
      <c r="CB95" s="130"/>
      <c r="CC95" s="178"/>
      <c r="CD95" s="184"/>
      <c r="CE95" s="130"/>
      <c r="CF95" s="179"/>
      <c r="CG95" s="130"/>
      <c r="CH95" s="178"/>
      <c r="CI95" s="184"/>
      <c r="CJ95" s="130"/>
      <c r="CK95" s="109"/>
      <c r="CL95" s="252"/>
      <c r="CM95" s="178"/>
      <c r="CN95" s="184"/>
      <c r="CO95" s="130"/>
      <c r="CP95" s="109"/>
      <c r="CQ95" s="252"/>
      <c r="CR95" s="178"/>
      <c r="CS95" s="184"/>
      <c r="CT95" s="130"/>
      <c r="CU95" s="109"/>
      <c r="CV95" s="252"/>
      <c r="CW95" s="178"/>
      <c r="CX95" s="184"/>
      <c r="CY95" s="130"/>
      <c r="CZ95" s="109"/>
      <c r="DA95" s="252"/>
      <c r="DB95" s="178"/>
      <c r="DC95" s="184"/>
      <c r="DD95" s="130"/>
      <c r="DE95" s="109"/>
      <c r="DF95" s="252"/>
      <c r="DG95" s="178"/>
      <c r="DH95" s="184"/>
      <c r="DI95" s="130"/>
      <c r="DJ95" s="109"/>
      <c r="DK95" s="252"/>
      <c r="DL95" s="178"/>
      <c r="DM95" s="184"/>
      <c r="DN95" s="130"/>
      <c r="DO95" s="194"/>
      <c r="DP95" s="252"/>
      <c r="DQ95" s="178"/>
      <c r="DR95" s="184"/>
      <c r="DS95" s="130"/>
      <c r="DT95" s="109"/>
      <c r="DU95" s="252"/>
      <c r="DV95" s="180">
        <f t="shared" si="133"/>
        <v>0</v>
      </c>
      <c r="DW95" s="181">
        <f>Автовик_разбивка[[#This Row],[Цена, 
юань, без НДС 1]]*DV95</f>
        <v>0</v>
      </c>
      <c r="DX95" s="186">
        <f t="shared" si="134"/>
        <v>0</v>
      </c>
      <c r="DY95" s="186">
        <f>Автовик_разбивка[[#This Row],[Цена, 
юань, без НДС 1]]*DX95</f>
        <v>0</v>
      </c>
      <c r="DZ95" s="130">
        <f t="shared" si="135"/>
        <v>0</v>
      </c>
      <c r="EA95" s="187">
        <f>Автовик_разбивка[[#This Row],[Цена, 
юань, без НДС 1]]*DZ95</f>
        <v>0</v>
      </c>
      <c r="EB95" s="109">
        <f t="shared" si="136"/>
        <v>0</v>
      </c>
      <c r="EC95" s="224">
        <f>Автовик_разбивка[[#This Row],[Цена, 
юань, без НДС 1]]*EB95</f>
        <v>0</v>
      </c>
    </row>
    <row r="96" spans="1:133">
      <c r="A96" s="256">
        <v>22</v>
      </c>
      <c r="B96" s="172" t="s">
        <v>90</v>
      </c>
      <c r="C96" s="173"/>
      <c r="D96" s="173"/>
      <c r="E96" s="174"/>
      <c r="F96" s="174"/>
      <c r="G96" s="174"/>
      <c r="H96" s="175">
        <v>9253771100</v>
      </c>
      <c r="I96" s="176" t="s">
        <v>55</v>
      </c>
      <c r="J96" s="222"/>
      <c r="K96" s="227"/>
      <c r="L96" s="178"/>
      <c r="M96" s="130"/>
      <c r="N96" s="179"/>
      <c r="O96" s="130"/>
      <c r="P96" s="178"/>
      <c r="Q96" s="130">
        <v>0</v>
      </c>
      <c r="R96" s="179">
        <v>110</v>
      </c>
      <c r="S96" s="130"/>
      <c r="T96" s="178"/>
      <c r="U96" s="130"/>
      <c r="V96" s="179"/>
      <c r="W96" s="130"/>
      <c r="X96" s="178"/>
      <c r="Y96" s="130"/>
      <c r="Z96" s="179"/>
      <c r="AA96" s="130"/>
      <c r="AB96" s="178"/>
      <c r="AC96" s="130"/>
      <c r="AD96" s="109"/>
      <c r="AE96" s="252"/>
      <c r="AF96" s="178"/>
      <c r="AG96" s="130"/>
      <c r="AH96" s="109"/>
      <c r="AI96" s="252"/>
      <c r="AJ96" s="178"/>
      <c r="AK96" s="130"/>
      <c r="AL96" s="109"/>
      <c r="AM96" s="252"/>
      <c r="AN96" s="178"/>
      <c r="AO96" s="130"/>
      <c r="AP96" s="109"/>
      <c r="AQ96" s="252"/>
      <c r="AR96" s="178"/>
      <c r="AS96" s="130"/>
      <c r="AT96" s="109"/>
      <c r="AU96" s="252"/>
      <c r="AV96" s="178"/>
      <c r="AW96" s="130"/>
      <c r="AX96" s="109"/>
      <c r="AY96" s="252"/>
      <c r="AZ96" s="178"/>
      <c r="BA96" s="130"/>
      <c r="BB96" s="194"/>
      <c r="BC96" s="252"/>
      <c r="BD96" s="178"/>
      <c r="BE96" s="130"/>
      <c r="BF96" s="109"/>
      <c r="BG96" s="252"/>
      <c r="BH96" s="180">
        <f t="shared" si="130"/>
        <v>0</v>
      </c>
      <c r="BI96" s="181">
        <f>Автовик_разбивка[[#This Row],[Цена, 
юань, без НДС 1]]*BH96</f>
        <v>0</v>
      </c>
      <c r="BJ96" s="130">
        <f t="shared" si="131"/>
        <v>0</v>
      </c>
      <c r="BK96" s="187">
        <f>Автовик_разбивка[[#This Row],[Цена, 
юань, без НДС 1]]*BJ96</f>
        <v>0</v>
      </c>
      <c r="BL96" s="109">
        <f t="shared" si="132"/>
        <v>110</v>
      </c>
      <c r="BM96" s="224">
        <f>Автовик_разбивка[[#This Row],[Цена, 
юань, без НДС 1]]*BL96</f>
        <v>0</v>
      </c>
      <c r="BN96" s="178"/>
      <c r="BO96" s="184"/>
      <c r="BP96" s="130"/>
      <c r="BQ96" s="179"/>
      <c r="BR96" s="130"/>
      <c r="BS96" s="178"/>
      <c r="BT96" s="184"/>
      <c r="BU96" s="130"/>
      <c r="BV96" s="179"/>
      <c r="BW96" s="130"/>
      <c r="BX96" s="178"/>
      <c r="BY96" s="184"/>
      <c r="BZ96" s="130"/>
      <c r="CA96" s="179"/>
      <c r="CB96" s="130"/>
      <c r="CC96" s="178"/>
      <c r="CD96" s="184"/>
      <c r="CE96" s="130"/>
      <c r="CF96" s="179"/>
      <c r="CG96" s="130"/>
      <c r="CH96" s="178"/>
      <c r="CI96" s="184"/>
      <c r="CJ96" s="130"/>
      <c r="CK96" s="109"/>
      <c r="CL96" s="252"/>
      <c r="CM96" s="178"/>
      <c r="CN96" s="184"/>
      <c r="CO96" s="130"/>
      <c r="CP96" s="109"/>
      <c r="CQ96" s="252"/>
      <c r="CR96" s="178"/>
      <c r="CS96" s="184"/>
      <c r="CT96" s="130"/>
      <c r="CU96" s="109"/>
      <c r="CV96" s="252"/>
      <c r="CW96" s="178"/>
      <c r="CX96" s="184"/>
      <c r="CY96" s="130"/>
      <c r="CZ96" s="109"/>
      <c r="DA96" s="252"/>
      <c r="DB96" s="178"/>
      <c r="DC96" s="184"/>
      <c r="DD96" s="130"/>
      <c r="DE96" s="109"/>
      <c r="DF96" s="252"/>
      <c r="DG96" s="178"/>
      <c r="DH96" s="184"/>
      <c r="DI96" s="130"/>
      <c r="DJ96" s="109"/>
      <c r="DK96" s="252"/>
      <c r="DL96" s="178"/>
      <c r="DM96" s="184"/>
      <c r="DN96" s="130"/>
      <c r="DO96" s="194"/>
      <c r="DP96" s="252"/>
      <c r="DQ96" s="178"/>
      <c r="DR96" s="184"/>
      <c r="DS96" s="130"/>
      <c r="DT96" s="109"/>
      <c r="DU96" s="252"/>
      <c r="DV96" s="180">
        <f t="shared" si="133"/>
        <v>0</v>
      </c>
      <c r="DW96" s="181">
        <f>Автовик_разбивка[[#This Row],[Цена, 
юань, без НДС 1]]*DV96</f>
        <v>0</v>
      </c>
      <c r="DX96" s="186">
        <f t="shared" si="134"/>
        <v>0</v>
      </c>
      <c r="DY96" s="186">
        <f>Автовик_разбивка[[#This Row],[Цена, 
юань, без НДС 1]]*DX96</f>
        <v>0</v>
      </c>
      <c r="DZ96" s="130">
        <f t="shared" si="135"/>
        <v>0</v>
      </c>
      <c r="EA96" s="187">
        <f>Автовик_разбивка[[#This Row],[Цена, 
юань, без НДС 1]]*DZ96</f>
        <v>0</v>
      </c>
      <c r="EB96" s="109">
        <f t="shared" si="136"/>
        <v>0</v>
      </c>
      <c r="EC96" s="224">
        <f>Автовик_разбивка[[#This Row],[Цена, 
юань, без НДС 1]]*EB96</f>
        <v>0</v>
      </c>
    </row>
    <row r="97" spans="1:133">
      <c r="A97" s="256">
        <v>22</v>
      </c>
      <c r="B97" s="172" t="s">
        <v>90</v>
      </c>
      <c r="C97" s="132"/>
      <c r="D97" s="132"/>
      <c r="E97" s="229"/>
      <c r="F97" s="229"/>
      <c r="G97" s="229"/>
      <c r="H97" s="230"/>
      <c r="I97" s="231" t="s">
        <v>43</v>
      </c>
      <c r="J97" s="232"/>
      <c r="K97" s="232"/>
      <c r="L97" s="233"/>
      <c r="M97" s="234"/>
      <c r="N97" s="235"/>
      <c r="O97" s="234"/>
      <c r="P97" s="233"/>
      <c r="Q97" s="234"/>
      <c r="R97" s="235"/>
      <c r="S97" s="234"/>
      <c r="T97" s="233"/>
      <c r="U97" s="234"/>
      <c r="V97" s="235"/>
      <c r="W97" s="234"/>
      <c r="X97" s="233"/>
      <c r="Y97" s="234"/>
      <c r="Z97" s="235"/>
      <c r="AA97" s="234"/>
      <c r="AB97" s="233"/>
      <c r="AC97" s="234"/>
      <c r="AD97" s="235"/>
      <c r="AE97" s="234"/>
      <c r="AF97" s="233"/>
      <c r="AG97" s="234"/>
      <c r="AH97" s="235"/>
      <c r="AI97" s="234"/>
      <c r="AJ97" s="233"/>
      <c r="AK97" s="234"/>
      <c r="AL97" s="235"/>
      <c r="AM97" s="234"/>
      <c r="AN97" s="233"/>
      <c r="AO97" s="234"/>
      <c r="AP97" s="235"/>
      <c r="AQ97" s="234"/>
      <c r="AR97" s="233"/>
      <c r="AS97" s="234"/>
      <c r="AT97" s="235"/>
      <c r="AU97" s="234"/>
      <c r="AV97" s="233"/>
      <c r="AW97" s="234"/>
      <c r="AX97" s="235"/>
      <c r="AY97" s="234"/>
      <c r="AZ97" s="233"/>
      <c r="BA97" s="234"/>
      <c r="BB97" s="235"/>
      <c r="BC97" s="234"/>
      <c r="BD97" s="233"/>
      <c r="BE97" s="234"/>
      <c r="BF97" s="235"/>
      <c r="BG97" s="234"/>
      <c r="BH97" s="233">
        <f t="shared" si="130"/>
        <v>0</v>
      </c>
      <c r="BI97" s="238">
        <f>Автовик_разбивка[[#This Row],[Цена, 
юань, без НДС 1]]*BH97</f>
        <v>0</v>
      </c>
      <c r="BJ97" s="234">
        <f t="shared" si="131"/>
        <v>0</v>
      </c>
      <c r="BK97" s="253">
        <f>Автовик_разбивка[[#This Row],[Цена, 
юань, без НДС 1]]*BJ97</f>
        <v>0</v>
      </c>
      <c r="BL97" s="235">
        <f t="shared" si="132"/>
        <v>0</v>
      </c>
      <c r="BM97" s="254">
        <f>Автовик_разбивка[[#This Row],[Цена, 
юань, без НДС 1]]*BL97</f>
        <v>0</v>
      </c>
      <c r="BN97" s="233"/>
      <c r="BO97" s="241"/>
      <c r="BP97" s="234"/>
      <c r="BQ97" s="235"/>
      <c r="BR97" s="234"/>
      <c r="BS97" s="233"/>
      <c r="BT97" s="241"/>
      <c r="BU97" s="234"/>
      <c r="BV97" s="235"/>
      <c r="BW97" s="234"/>
      <c r="BX97" s="233"/>
      <c r="BY97" s="241"/>
      <c r="BZ97" s="234"/>
      <c r="CA97" s="235"/>
      <c r="CB97" s="234"/>
      <c r="CC97" s="233"/>
      <c r="CD97" s="241"/>
      <c r="CE97" s="234"/>
      <c r="CF97" s="235"/>
      <c r="CG97" s="234"/>
      <c r="CH97" s="233"/>
      <c r="CI97" s="241"/>
      <c r="CJ97" s="234"/>
      <c r="CK97" s="235"/>
      <c r="CL97" s="234"/>
      <c r="CM97" s="233"/>
      <c r="CN97" s="241"/>
      <c r="CO97" s="234"/>
      <c r="CP97" s="235"/>
      <c r="CQ97" s="234"/>
      <c r="CR97" s="233"/>
      <c r="CS97" s="241"/>
      <c r="CT97" s="234"/>
      <c r="CU97" s="235"/>
      <c r="CV97" s="234"/>
      <c r="CW97" s="233"/>
      <c r="CX97" s="241"/>
      <c r="CY97" s="234"/>
      <c r="CZ97" s="235"/>
      <c r="DA97" s="234"/>
      <c r="DB97" s="233"/>
      <c r="DC97" s="241"/>
      <c r="DD97" s="234"/>
      <c r="DE97" s="235"/>
      <c r="DF97" s="234"/>
      <c r="DG97" s="233"/>
      <c r="DH97" s="241"/>
      <c r="DI97" s="234"/>
      <c r="DJ97" s="235"/>
      <c r="DK97" s="234"/>
      <c r="DL97" s="233"/>
      <c r="DM97" s="241"/>
      <c r="DN97" s="234"/>
      <c r="DO97" s="235"/>
      <c r="DP97" s="234"/>
      <c r="DQ97" s="233"/>
      <c r="DR97" s="241"/>
      <c r="DS97" s="234"/>
      <c r="DT97" s="235"/>
      <c r="DU97" s="234"/>
      <c r="DV97" s="233">
        <f t="shared" si="133"/>
        <v>0</v>
      </c>
      <c r="DW97" s="238">
        <f>Автовик_разбивка[[#This Row],[Цена, 
юань, без НДС 1]]*DV97</f>
        <v>0</v>
      </c>
      <c r="DX97" s="242">
        <f t="shared" si="134"/>
        <v>0</v>
      </c>
      <c r="DY97" s="242">
        <f>Автовик_разбивка[[#This Row],[Цена, 
юань, без НДС 1]]*DX97</f>
        <v>0</v>
      </c>
      <c r="DZ97" s="234">
        <f t="shared" si="135"/>
        <v>0</v>
      </c>
      <c r="EA97" s="253">
        <f>Автовик_разбивка[[#This Row],[Цена, 
юань, без НДС 1]]*DZ97</f>
        <v>0</v>
      </c>
      <c r="EB97" s="235">
        <f t="shared" si="136"/>
        <v>0</v>
      </c>
      <c r="EC97" s="254">
        <f>Автовик_разбивка[[#This Row],[Цена, 
юань, без НДС 1]]*EB97</f>
        <v>0</v>
      </c>
    </row>
    <row r="98" spans="1:133">
      <c r="A98" s="256">
        <v>22</v>
      </c>
      <c r="B98" s="243" t="s">
        <v>90</v>
      </c>
      <c r="C98" s="244"/>
      <c r="D98" s="244"/>
      <c r="E98" s="245"/>
      <c r="F98" s="245"/>
      <c r="G98" s="245"/>
      <c r="H98" s="246"/>
      <c r="I98" s="247"/>
      <c r="J98" s="248"/>
      <c r="K98" s="248"/>
      <c r="L98" s="249"/>
      <c r="M98" s="249"/>
      <c r="N98" s="249"/>
      <c r="O98" s="249"/>
      <c r="P98" s="249"/>
      <c r="Q98" s="249"/>
      <c r="R98" s="249"/>
      <c r="S98" s="249"/>
      <c r="T98" s="249"/>
      <c r="U98" s="249"/>
      <c r="V98" s="249"/>
      <c r="W98" s="249"/>
      <c r="X98" s="249"/>
      <c r="Y98" s="249"/>
      <c r="Z98" s="249"/>
      <c r="AA98" s="249"/>
      <c r="AB98" s="249"/>
      <c r="AC98" s="249"/>
      <c r="AD98" s="249"/>
      <c r="AE98" s="249"/>
      <c r="AF98" s="249"/>
      <c r="AG98" s="249"/>
      <c r="AH98" s="249"/>
      <c r="AI98" s="249"/>
      <c r="AJ98" s="249"/>
      <c r="AK98" s="249"/>
      <c r="AL98" s="249"/>
      <c r="AM98" s="249"/>
      <c r="AN98" s="249"/>
      <c r="AO98" s="249"/>
      <c r="AP98" s="249"/>
      <c r="AQ98" s="249"/>
      <c r="AR98" s="249"/>
      <c r="AS98" s="249"/>
      <c r="AT98" s="249"/>
      <c r="AU98" s="249"/>
      <c r="AV98" s="249"/>
      <c r="AW98" s="249"/>
      <c r="AX98" s="250"/>
      <c r="AY98" s="249"/>
      <c r="AZ98" s="250"/>
      <c r="BA98" s="250"/>
      <c r="BB98" s="250"/>
      <c r="BC98" s="249"/>
      <c r="BD98" s="250"/>
      <c r="BE98" s="250"/>
      <c r="BF98" s="250"/>
      <c r="BG98" s="249"/>
      <c r="BH98" s="250">
        <f t="shared" si="130"/>
        <v>0</v>
      </c>
      <c r="BI98" s="251">
        <f>Автовик_разбивка[[#This Row],[Цена, 
юань, без НДС 1]]*BH98</f>
        <v>0</v>
      </c>
      <c r="BJ98" s="250">
        <f t="shared" si="131"/>
        <v>0</v>
      </c>
      <c r="BK98" s="251">
        <f>Автовик_разбивка[[#This Row],[Цена, 
юань, без НДС 1]]*BJ98</f>
        <v>0</v>
      </c>
      <c r="BL98" s="250">
        <f t="shared" si="132"/>
        <v>0</v>
      </c>
      <c r="BM98" s="251">
        <f>Автовик_разбивка[[#This Row],[Цена, 
юань, без НДС 1]]*BL98</f>
        <v>0</v>
      </c>
      <c r="BN98" s="249"/>
      <c r="BO98" s="249"/>
      <c r="BP98" s="249"/>
      <c r="BQ98" s="249"/>
      <c r="BR98" s="249"/>
      <c r="BS98" s="249"/>
      <c r="BT98" s="249"/>
      <c r="BU98" s="249"/>
      <c r="BV98" s="249"/>
      <c r="BW98" s="249"/>
      <c r="BX98" s="249"/>
      <c r="BY98" s="249"/>
      <c r="BZ98" s="249"/>
      <c r="CA98" s="249"/>
      <c r="CB98" s="249"/>
      <c r="CC98" s="249"/>
      <c r="CD98" s="249"/>
      <c r="CE98" s="249"/>
      <c r="CF98" s="249"/>
      <c r="CG98" s="249"/>
      <c r="CH98" s="249"/>
      <c r="CI98" s="249"/>
      <c r="CJ98" s="249"/>
      <c r="CK98" s="249"/>
      <c r="CL98" s="249"/>
      <c r="CM98" s="249"/>
      <c r="CN98" s="249"/>
      <c r="CO98" s="249"/>
      <c r="CP98" s="249"/>
      <c r="CQ98" s="249"/>
      <c r="CR98" s="249"/>
      <c r="CS98" s="249"/>
      <c r="CT98" s="249"/>
      <c r="CU98" s="249"/>
      <c r="CV98" s="249"/>
      <c r="CW98" s="249"/>
      <c r="CX98" s="249"/>
      <c r="CY98" s="249"/>
      <c r="CZ98" s="249"/>
      <c r="DA98" s="249"/>
      <c r="DB98" s="249"/>
      <c r="DC98" s="249"/>
      <c r="DD98" s="249"/>
      <c r="DE98" s="249"/>
      <c r="DF98" s="249"/>
      <c r="DG98" s="249"/>
      <c r="DH98" s="249"/>
      <c r="DI98" s="249"/>
      <c r="DJ98" s="250"/>
      <c r="DK98" s="249"/>
      <c r="DL98" s="250"/>
      <c r="DM98" s="250"/>
      <c r="DN98" s="250"/>
      <c r="DO98" s="250"/>
      <c r="DP98" s="249"/>
      <c r="DQ98" s="250"/>
      <c r="DR98" s="250"/>
      <c r="DS98" s="250"/>
      <c r="DT98" s="250"/>
      <c r="DU98" s="249"/>
      <c r="DV98" s="250">
        <f t="shared" si="133"/>
        <v>0</v>
      </c>
      <c r="DW98" s="251">
        <f>Автовик_разбивка[[#This Row],[Цена, 
юань, без НДС 1]]*DV98</f>
        <v>0</v>
      </c>
      <c r="DX98" s="251">
        <f t="shared" si="134"/>
        <v>0</v>
      </c>
      <c r="DY98" s="251">
        <f>Автовик_разбивка[[#This Row],[Цена, 
юань, без НДС 1]]*DX98</f>
        <v>0</v>
      </c>
      <c r="DZ98" s="250">
        <f t="shared" si="135"/>
        <v>0</v>
      </c>
      <c r="EA98" s="251">
        <f>Автовик_разбивка[[#This Row],[Цена, 
юань, без НДС 1]]*DZ98</f>
        <v>0</v>
      </c>
      <c r="EB98" s="250">
        <f t="shared" si="136"/>
        <v>0</v>
      </c>
      <c r="EC98" s="251">
        <f>Автовик_разбивка[[#This Row],[Цена, 
юань, без НДС 1]]*EB98</f>
        <v>0</v>
      </c>
    </row>
    <row r="99" spans="1:133">
      <c r="A99" s="256">
        <v>22</v>
      </c>
      <c r="B99" s="172" t="s">
        <v>320</v>
      </c>
      <c r="C99" s="173" t="s">
        <v>298</v>
      </c>
      <c r="D99" s="173" t="s">
        <v>300</v>
      </c>
      <c r="E99" s="174">
        <v>1</v>
      </c>
      <c r="F99" s="174"/>
      <c r="G99" s="174"/>
      <c r="H99" s="175">
        <v>4494430600</v>
      </c>
      <c r="I99" s="176" t="s">
        <v>136</v>
      </c>
      <c r="J99" s="222"/>
      <c r="K99" s="223"/>
      <c r="L99" s="178">
        <v>10</v>
      </c>
      <c r="M99" s="130">
        <f>$E99*10</f>
        <v>10</v>
      </c>
      <c r="N99" s="179">
        <v>0</v>
      </c>
      <c r="O99" s="130"/>
      <c r="P99" s="178">
        <v>10</v>
      </c>
      <c r="Q99" s="130">
        <f>$E99*10</f>
        <v>10</v>
      </c>
      <c r="R99" s="179">
        <v>8</v>
      </c>
      <c r="S99" s="130"/>
      <c r="T99" s="178">
        <v>10</v>
      </c>
      <c r="U99" s="130">
        <f t="shared" ref="U99:U109" si="170">$E99*30</f>
        <v>30</v>
      </c>
      <c r="V99" s="179">
        <v>1</v>
      </c>
      <c r="W99" s="130"/>
      <c r="X99" s="178">
        <v>10</v>
      </c>
      <c r="Y99" s="130">
        <f>$E99*10</f>
        <v>10</v>
      </c>
      <c r="Z99" s="179">
        <v>3</v>
      </c>
      <c r="AA99" s="130"/>
      <c r="AB99" s="178">
        <v>10</v>
      </c>
      <c r="AC99" s="130">
        <f>$E99*10</f>
        <v>10</v>
      </c>
      <c r="AD99" s="179"/>
      <c r="AE99" s="130"/>
      <c r="AF99" s="178">
        <v>10</v>
      </c>
      <c r="AG99" s="130">
        <f>$E99*10</f>
        <v>10</v>
      </c>
      <c r="AH99" s="179"/>
      <c r="AI99" s="130"/>
      <c r="AJ99" s="178">
        <v>10</v>
      </c>
      <c r="AK99" s="130">
        <f>$E99*10</f>
        <v>10</v>
      </c>
      <c r="AL99" s="179"/>
      <c r="AM99" s="130"/>
      <c r="AN99" s="178">
        <v>10</v>
      </c>
      <c r="AO99" s="130">
        <f t="shared" ref="AO99:AO109" si="171">$E99*0</f>
        <v>0</v>
      </c>
      <c r="AP99" s="179"/>
      <c r="AQ99" s="130"/>
      <c r="AR99" s="178">
        <v>10</v>
      </c>
      <c r="AS99" s="130">
        <f>$E99*15</f>
        <v>15</v>
      </c>
      <c r="AT99" s="179"/>
      <c r="AU99" s="130"/>
      <c r="AV99" s="178">
        <v>10</v>
      </c>
      <c r="AW99" s="130">
        <f t="shared" si="162"/>
        <v>0</v>
      </c>
      <c r="AX99" s="179"/>
      <c r="AY99" s="130"/>
      <c r="AZ99" s="178">
        <v>10</v>
      </c>
      <c r="BA99" s="130">
        <f>$E99*10</f>
        <v>10</v>
      </c>
      <c r="BB99" s="194"/>
      <c r="BC99" s="130"/>
      <c r="BD99" s="178">
        <v>10</v>
      </c>
      <c r="BE99" s="130">
        <f>$E99*20</f>
        <v>20</v>
      </c>
      <c r="BF99" s="109"/>
      <c r="BG99" s="130"/>
      <c r="BH99" s="180">
        <f t="shared" si="130"/>
        <v>120</v>
      </c>
      <c r="BI99" s="181">
        <f>Автовик_разбивка[[#This Row],[Цена, 
юань, без НДС 1]]*BH99</f>
        <v>0</v>
      </c>
      <c r="BJ99" s="130">
        <f t="shared" si="131"/>
        <v>135</v>
      </c>
      <c r="BK99" s="187">
        <f>Автовик_разбивка[[#This Row],[Цена, 
юань, без НДС 1]]*BJ99</f>
        <v>0</v>
      </c>
      <c r="BL99" s="109">
        <f t="shared" si="132"/>
        <v>12</v>
      </c>
      <c r="BM99" s="224">
        <f>Автовик_разбивка[[#This Row],[Цена, 
юань, без НДС 1]]*BL99</f>
        <v>0</v>
      </c>
      <c r="BN99" s="178"/>
      <c r="BO99" s="184"/>
      <c r="BP99" s="130">
        <f t="shared" si="115"/>
        <v>0</v>
      </c>
      <c r="BQ99" s="179"/>
      <c r="BR99" s="130"/>
      <c r="BS99" s="178"/>
      <c r="BT99" s="184"/>
      <c r="BU99" s="130">
        <f>$E99*10</f>
        <v>10</v>
      </c>
      <c r="BV99" s="179"/>
      <c r="BW99" s="130"/>
      <c r="BX99" s="178"/>
      <c r="BY99" s="184"/>
      <c r="BZ99" s="130">
        <f>$E99*10</f>
        <v>10</v>
      </c>
      <c r="CA99" s="179"/>
      <c r="CB99" s="130"/>
      <c r="CC99" s="178"/>
      <c r="CD99" s="184"/>
      <c r="CE99" s="130">
        <f>$E99*10</f>
        <v>10</v>
      </c>
      <c r="CF99" s="179"/>
      <c r="CG99" s="130"/>
      <c r="CH99" s="178"/>
      <c r="CI99" s="184"/>
      <c r="CJ99" s="130">
        <f>$E99*10</f>
        <v>10</v>
      </c>
      <c r="CK99" s="179"/>
      <c r="CL99" s="130"/>
      <c r="CM99" s="178"/>
      <c r="CN99" s="184"/>
      <c r="CO99" s="130">
        <f>$E99*10</f>
        <v>10</v>
      </c>
      <c r="CP99" s="179"/>
      <c r="CQ99" s="130"/>
      <c r="CR99" s="178"/>
      <c r="CS99" s="184"/>
      <c r="CT99" s="130">
        <f>$E99*10</f>
        <v>10</v>
      </c>
      <c r="CU99" s="179"/>
      <c r="CV99" s="130"/>
      <c r="CW99" s="178"/>
      <c r="CX99" s="184"/>
      <c r="CY99" s="130">
        <f>$E99*10</f>
        <v>10</v>
      </c>
      <c r="CZ99" s="179"/>
      <c r="DA99" s="130"/>
      <c r="DB99" s="178"/>
      <c r="DC99" s="184"/>
      <c r="DD99" s="130">
        <f>$E99*10</f>
        <v>10</v>
      </c>
      <c r="DE99" s="179"/>
      <c r="DF99" s="130"/>
      <c r="DG99" s="178"/>
      <c r="DH99" s="184"/>
      <c r="DI99" s="130">
        <f>$E99*10</f>
        <v>10</v>
      </c>
      <c r="DJ99" s="179"/>
      <c r="DK99" s="130"/>
      <c r="DL99" s="178"/>
      <c r="DM99" s="184"/>
      <c r="DN99" s="130">
        <f>$E99*10</f>
        <v>10</v>
      </c>
      <c r="DO99" s="194"/>
      <c r="DP99" s="130"/>
      <c r="DQ99" s="178"/>
      <c r="DR99" s="184"/>
      <c r="DS99" s="130">
        <f>$E99*10</f>
        <v>10</v>
      </c>
      <c r="DT99" s="109"/>
      <c r="DU99" s="130"/>
      <c r="DV99" s="180">
        <f t="shared" si="133"/>
        <v>0</v>
      </c>
      <c r="DW99" s="181">
        <f>Автовик_разбивка[[#This Row],[Цена, 
юань, без НДС 1]]*DV99</f>
        <v>0</v>
      </c>
      <c r="DX99" s="186">
        <f t="shared" si="134"/>
        <v>0</v>
      </c>
      <c r="DY99" s="186">
        <f>Автовик_разбивка[[#This Row],[Цена, 
юань, без НДС 1]]*DX99</f>
        <v>0</v>
      </c>
      <c r="DZ99" s="130">
        <f t="shared" si="135"/>
        <v>110</v>
      </c>
      <c r="EA99" s="187">
        <f>Автовик_разбивка[[#This Row],[Цена, 
юань, без НДС 1]]*DZ99</f>
        <v>0</v>
      </c>
      <c r="EB99" s="109">
        <f t="shared" si="136"/>
        <v>0</v>
      </c>
      <c r="EC99" s="224">
        <f>Автовик_разбивка[[#This Row],[Цена, 
юань, без НДС 1]]*EB99</f>
        <v>0</v>
      </c>
    </row>
    <row r="100" spans="1:133">
      <c r="A100" s="256">
        <v>22</v>
      </c>
      <c r="B100" s="172" t="s">
        <v>320</v>
      </c>
      <c r="C100" s="173" t="s">
        <v>298</v>
      </c>
      <c r="D100" s="173" t="s">
        <v>300</v>
      </c>
      <c r="E100" s="174">
        <v>1</v>
      </c>
      <c r="F100" s="174"/>
      <c r="G100" s="174"/>
      <c r="H100" s="175">
        <v>4630840310</v>
      </c>
      <c r="I100" s="176" t="s">
        <v>135</v>
      </c>
      <c r="J100" s="222"/>
      <c r="K100" s="223"/>
      <c r="L100" s="178">
        <v>10</v>
      </c>
      <c r="M100" s="130">
        <f>$E100*10</f>
        <v>10</v>
      </c>
      <c r="N100" s="179">
        <v>0</v>
      </c>
      <c r="O100" s="130"/>
      <c r="P100" s="178">
        <v>10</v>
      </c>
      <c r="Q100" s="130">
        <f>$E100*10</f>
        <v>10</v>
      </c>
      <c r="R100" s="179">
        <v>8</v>
      </c>
      <c r="S100" s="130"/>
      <c r="T100" s="178">
        <v>10</v>
      </c>
      <c r="U100" s="130">
        <f t="shared" si="170"/>
        <v>30</v>
      </c>
      <c r="V100" s="179">
        <v>1</v>
      </c>
      <c r="W100" s="130"/>
      <c r="X100" s="178">
        <v>10</v>
      </c>
      <c r="Y100" s="130">
        <f>$E100*10</f>
        <v>10</v>
      </c>
      <c r="Z100" s="179">
        <v>3</v>
      </c>
      <c r="AA100" s="130"/>
      <c r="AB100" s="178">
        <v>10</v>
      </c>
      <c r="AC100" s="130">
        <f>$E100*10</f>
        <v>10</v>
      </c>
      <c r="AD100" s="179"/>
      <c r="AE100" s="130"/>
      <c r="AF100" s="178">
        <v>10</v>
      </c>
      <c r="AG100" s="130">
        <f>$E100*10</f>
        <v>10</v>
      </c>
      <c r="AH100" s="179"/>
      <c r="AI100" s="130"/>
      <c r="AJ100" s="178">
        <v>10</v>
      </c>
      <c r="AK100" s="130">
        <f>$E100*10</f>
        <v>10</v>
      </c>
      <c r="AL100" s="179"/>
      <c r="AM100" s="130"/>
      <c r="AN100" s="178">
        <v>10</v>
      </c>
      <c r="AO100" s="130">
        <f t="shared" si="171"/>
        <v>0</v>
      </c>
      <c r="AP100" s="179"/>
      <c r="AQ100" s="130"/>
      <c r="AR100" s="178">
        <v>10</v>
      </c>
      <c r="AS100" s="130">
        <f>$E100*15</f>
        <v>15</v>
      </c>
      <c r="AT100" s="179"/>
      <c r="AU100" s="130"/>
      <c r="AV100" s="178">
        <v>10</v>
      </c>
      <c r="AW100" s="130">
        <f t="shared" si="162"/>
        <v>0</v>
      </c>
      <c r="AX100" s="179"/>
      <c r="AY100" s="130"/>
      <c r="AZ100" s="178">
        <v>10</v>
      </c>
      <c r="BA100" s="130">
        <f>$E100*10</f>
        <v>10</v>
      </c>
      <c r="BB100" s="194"/>
      <c r="BC100" s="130"/>
      <c r="BD100" s="178">
        <v>10</v>
      </c>
      <c r="BE100" s="130">
        <f t="shared" ref="BE100:BE109" si="172">$E100*20</f>
        <v>20</v>
      </c>
      <c r="BF100" s="109"/>
      <c r="BG100" s="130"/>
      <c r="BH100" s="180">
        <f t="shared" si="130"/>
        <v>120</v>
      </c>
      <c r="BI100" s="181">
        <f>Автовик_разбивка[[#This Row],[Цена, 
юань, без НДС 1]]*BH100</f>
        <v>0</v>
      </c>
      <c r="BJ100" s="130">
        <f t="shared" si="131"/>
        <v>135</v>
      </c>
      <c r="BK100" s="187">
        <f>Автовик_разбивка[[#This Row],[Цена, 
юань, без НДС 1]]*BJ100</f>
        <v>0</v>
      </c>
      <c r="BL100" s="109">
        <f t="shared" si="132"/>
        <v>12</v>
      </c>
      <c r="BM100" s="224">
        <f>Автовик_разбивка[[#This Row],[Цена, 
юань, без НДС 1]]*BL100</f>
        <v>0</v>
      </c>
      <c r="BN100" s="178"/>
      <c r="BO100" s="184"/>
      <c r="BP100" s="130">
        <f t="shared" si="115"/>
        <v>0</v>
      </c>
      <c r="BQ100" s="179"/>
      <c r="BR100" s="130"/>
      <c r="BS100" s="178"/>
      <c r="BT100" s="184"/>
      <c r="BU100" s="130">
        <f>$E100*10</f>
        <v>10</v>
      </c>
      <c r="BV100" s="179"/>
      <c r="BW100" s="130"/>
      <c r="BX100" s="178"/>
      <c r="BY100" s="184"/>
      <c r="BZ100" s="130">
        <f>$E100*10</f>
        <v>10</v>
      </c>
      <c r="CA100" s="179"/>
      <c r="CB100" s="130"/>
      <c r="CC100" s="178"/>
      <c r="CD100" s="184"/>
      <c r="CE100" s="130">
        <f>$E100*10</f>
        <v>10</v>
      </c>
      <c r="CF100" s="179"/>
      <c r="CG100" s="130"/>
      <c r="CH100" s="178"/>
      <c r="CI100" s="184"/>
      <c r="CJ100" s="130">
        <f>$E100*10</f>
        <v>10</v>
      </c>
      <c r="CK100" s="179"/>
      <c r="CL100" s="130"/>
      <c r="CM100" s="178"/>
      <c r="CN100" s="184"/>
      <c r="CO100" s="130">
        <f>$E100*10</f>
        <v>10</v>
      </c>
      <c r="CP100" s="179"/>
      <c r="CQ100" s="130"/>
      <c r="CR100" s="178"/>
      <c r="CS100" s="184"/>
      <c r="CT100" s="130">
        <f>$E100*10</f>
        <v>10</v>
      </c>
      <c r="CU100" s="179"/>
      <c r="CV100" s="130"/>
      <c r="CW100" s="178"/>
      <c r="CX100" s="184"/>
      <c r="CY100" s="130">
        <f>$E100*10</f>
        <v>10</v>
      </c>
      <c r="CZ100" s="179"/>
      <c r="DA100" s="130"/>
      <c r="DB100" s="178"/>
      <c r="DC100" s="184"/>
      <c r="DD100" s="130">
        <f>$E100*10</f>
        <v>10</v>
      </c>
      <c r="DE100" s="179"/>
      <c r="DF100" s="130"/>
      <c r="DG100" s="178"/>
      <c r="DH100" s="184"/>
      <c r="DI100" s="130">
        <f>$E100*10</f>
        <v>10</v>
      </c>
      <c r="DJ100" s="179"/>
      <c r="DK100" s="130"/>
      <c r="DL100" s="178"/>
      <c r="DM100" s="184"/>
      <c r="DN100" s="130">
        <f>$E100*10</f>
        <v>10</v>
      </c>
      <c r="DO100" s="194"/>
      <c r="DP100" s="130"/>
      <c r="DQ100" s="178"/>
      <c r="DR100" s="184"/>
      <c r="DS100" s="130">
        <f>$E100*10</f>
        <v>10</v>
      </c>
      <c r="DT100" s="109"/>
      <c r="DU100" s="130"/>
      <c r="DV100" s="180">
        <f t="shared" si="133"/>
        <v>0</v>
      </c>
      <c r="DW100" s="181">
        <f>Автовик_разбивка[[#This Row],[Цена, 
юань, без НДС 1]]*DV100</f>
        <v>0</v>
      </c>
      <c r="DX100" s="186">
        <f t="shared" si="134"/>
        <v>0</v>
      </c>
      <c r="DY100" s="186">
        <f>Автовик_разбивка[[#This Row],[Цена, 
юань, без НДС 1]]*DX100</f>
        <v>0</v>
      </c>
      <c r="DZ100" s="130">
        <f t="shared" si="135"/>
        <v>110</v>
      </c>
      <c r="EA100" s="187">
        <f>Автовик_разбивка[[#This Row],[Цена, 
юань, без НДС 1]]*DZ100</f>
        <v>0</v>
      </c>
      <c r="EB100" s="109">
        <f t="shared" si="136"/>
        <v>0</v>
      </c>
      <c r="EC100" s="224">
        <f>Автовик_разбивка[[#This Row],[Цена, 
юань, без НДС 1]]*EB100</f>
        <v>0</v>
      </c>
    </row>
    <row r="101" spans="1:133">
      <c r="A101" s="256">
        <v>22</v>
      </c>
      <c r="B101" s="172" t="s">
        <v>320</v>
      </c>
      <c r="C101" s="173" t="s">
        <v>298</v>
      </c>
      <c r="D101" s="173" t="s">
        <v>311</v>
      </c>
      <c r="E101" s="174">
        <v>1</v>
      </c>
      <c r="F101" s="174"/>
      <c r="G101" s="174"/>
      <c r="H101" s="175">
        <v>4334010030</v>
      </c>
      <c r="I101" s="176" t="s">
        <v>81</v>
      </c>
      <c r="J101" s="222"/>
      <c r="K101" s="227"/>
      <c r="L101" s="178">
        <v>20</v>
      </c>
      <c r="M101" s="130">
        <f t="shared" ref="M101:M109" si="173">$E101*20</f>
        <v>20</v>
      </c>
      <c r="N101" s="179">
        <v>0</v>
      </c>
      <c r="O101" s="130"/>
      <c r="P101" s="178">
        <v>20</v>
      </c>
      <c r="Q101" s="130">
        <f t="shared" ref="Q101:Q109" si="174">$E101*20</f>
        <v>20</v>
      </c>
      <c r="R101" s="179">
        <v>0</v>
      </c>
      <c r="S101" s="130"/>
      <c r="T101" s="178">
        <v>20</v>
      </c>
      <c r="U101" s="130">
        <f t="shared" si="170"/>
        <v>30</v>
      </c>
      <c r="V101" s="179">
        <v>0</v>
      </c>
      <c r="W101" s="130"/>
      <c r="X101" s="178">
        <v>20</v>
      </c>
      <c r="Y101" s="130">
        <f t="shared" ref="Y101:Y109" si="175">$E101*20</f>
        <v>20</v>
      </c>
      <c r="Z101" s="179">
        <v>0</v>
      </c>
      <c r="AA101" s="130"/>
      <c r="AB101" s="178">
        <v>20</v>
      </c>
      <c r="AC101" s="130">
        <f t="shared" ref="AC101:AC109" si="176">$E101*20</f>
        <v>20</v>
      </c>
      <c r="AD101" s="109"/>
      <c r="AE101" s="252"/>
      <c r="AF101" s="178">
        <v>20</v>
      </c>
      <c r="AG101" s="130">
        <f t="shared" ref="AG101:AG109" si="177">$E101*20</f>
        <v>20</v>
      </c>
      <c r="AH101" s="109"/>
      <c r="AI101" s="252"/>
      <c r="AJ101" s="178">
        <v>20</v>
      </c>
      <c r="AK101" s="130">
        <f t="shared" ref="AK101:AK109" si="178">$E101*20</f>
        <v>20</v>
      </c>
      <c r="AL101" s="109"/>
      <c r="AM101" s="252"/>
      <c r="AN101" s="178">
        <v>20</v>
      </c>
      <c r="AO101" s="130">
        <f t="shared" si="171"/>
        <v>0</v>
      </c>
      <c r="AP101" s="109"/>
      <c r="AQ101" s="252"/>
      <c r="AR101" s="178">
        <v>20</v>
      </c>
      <c r="AS101" s="130">
        <f t="shared" ref="AS101:AS109" si="179">$E101*30</f>
        <v>30</v>
      </c>
      <c r="AT101" s="109"/>
      <c r="AU101" s="252"/>
      <c r="AV101" s="178">
        <v>20</v>
      </c>
      <c r="AW101" s="130">
        <f t="shared" si="162"/>
        <v>0</v>
      </c>
      <c r="AX101" s="109"/>
      <c r="AY101" s="252"/>
      <c r="AZ101" s="178">
        <v>20</v>
      </c>
      <c r="BA101" s="130">
        <f t="shared" ref="BA101:BA109" si="180">$E101*20</f>
        <v>20</v>
      </c>
      <c r="BB101" s="194"/>
      <c r="BC101" s="252"/>
      <c r="BD101" s="178">
        <v>20</v>
      </c>
      <c r="BE101" s="130">
        <f t="shared" si="172"/>
        <v>20</v>
      </c>
      <c r="BF101" s="109"/>
      <c r="BG101" s="252"/>
      <c r="BH101" s="180">
        <f t="shared" si="130"/>
        <v>240</v>
      </c>
      <c r="BI101" s="181">
        <f>Автовик_разбивка[[#This Row],[Цена, 
юань, без НДС 1]]*BH101</f>
        <v>0</v>
      </c>
      <c r="BJ101" s="130">
        <f t="shared" si="131"/>
        <v>220</v>
      </c>
      <c r="BK101" s="187">
        <f>Автовик_разбивка[[#This Row],[Цена, 
юань, без НДС 1]]*BJ101</f>
        <v>0</v>
      </c>
      <c r="BL101" s="109">
        <f t="shared" si="132"/>
        <v>0</v>
      </c>
      <c r="BM101" s="224">
        <f>Автовик_разбивка[[#This Row],[Цена, 
юань, без НДС 1]]*BL101</f>
        <v>0</v>
      </c>
      <c r="BN101" s="178"/>
      <c r="BO101" s="184"/>
      <c r="BP101" s="130">
        <f t="shared" si="115"/>
        <v>0</v>
      </c>
      <c r="BQ101" s="179"/>
      <c r="BR101" s="130"/>
      <c r="BS101" s="178"/>
      <c r="BT101" s="184"/>
      <c r="BU101" s="130">
        <f t="shared" ref="BU101:BU109" si="181">$E101*20</f>
        <v>20</v>
      </c>
      <c r="BV101" s="179"/>
      <c r="BW101" s="130"/>
      <c r="BX101" s="178"/>
      <c r="BY101" s="184"/>
      <c r="BZ101" s="130">
        <f t="shared" ref="BZ101:BZ109" si="182">$E101*20</f>
        <v>20</v>
      </c>
      <c r="CA101" s="179"/>
      <c r="CB101" s="130"/>
      <c r="CC101" s="178"/>
      <c r="CD101" s="184"/>
      <c r="CE101" s="130">
        <f t="shared" ref="CE101:CE109" si="183">$E101*20</f>
        <v>20</v>
      </c>
      <c r="CF101" s="179"/>
      <c r="CG101" s="130"/>
      <c r="CH101" s="178"/>
      <c r="CI101" s="184"/>
      <c r="CJ101" s="130">
        <f t="shared" ref="CJ101:CJ109" si="184">$E101*20</f>
        <v>20</v>
      </c>
      <c r="CK101" s="109"/>
      <c r="CL101" s="252"/>
      <c r="CM101" s="178"/>
      <c r="CN101" s="184"/>
      <c r="CO101" s="130">
        <f t="shared" ref="CO101:CO109" si="185">$E101*20</f>
        <v>20</v>
      </c>
      <c r="CP101" s="109"/>
      <c r="CQ101" s="252"/>
      <c r="CR101" s="178"/>
      <c r="CS101" s="184"/>
      <c r="CT101" s="130">
        <f t="shared" ref="CT101:CT109" si="186">$E101*20</f>
        <v>20</v>
      </c>
      <c r="CU101" s="109"/>
      <c r="CV101" s="252"/>
      <c r="CW101" s="178"/>
      <c r="CX101" s="184"/>
      <c r="CY101" s="130">
        <f t="shared" ref="CY101:CY109" si="187">$E101*20</f>
        <v>20</v>
      </c>
      <c r="CZ101" s="109"/>
      <c r="DA101" s="252"/>
      <c r="DB101" s="178"/>
      <c r="DC101" s="184"/>
      <c r="DD101" s="130">
        <f t="shared" ref="DD101:DD109" si="188">$E101*20</f>
        <v>20</v>
      </c>
      <c r="DE101" s="109"/>
      <c r="DF101" s="252"/>
      <c r="DG101" s="178"/>
      <c r="DH101" s="184"/>
      <c r="DI101" s="130">
        <f t="shared" ref="DI101:DI109" si="189">$E101*20</f>
        <v>20</v>
      </c>
      <c r="DJ101" s="109"/>
      <c r="DK101" s="252"/>
      <c r="DL101" s="178"/>
      <c r="DM101" s="184"/>
      <c r="DN101" s="130">
        <f t="shared" ref="DN101:DN109" si="190">$E101*20</f>
        <v>20</v>
      </c>
      <c r="DO101" s="194"/>
      <c r="DP101" s="252"/>
      <c r="DQ101" s="178"/>
      <c r="DR101" s="184"/>
      <c r="DS101" s="130">
        <f t="shared" ref="DS101:DS109" si="191">$E101*20</f>
        <v>20</v>
      </c>
      <c r="DT101" s="109"/>
      <c r="DU101" s="252"/>
      <c r="DV101" s="180">
        <f t="shared" si="133"/>
        <v>0</v>
      </c>
      <c r="DW101" s="181">
        <f>Автовик_разбивка[[#This Row],[Цена, 
юань, без НДС 1]]*DV101</f>
        <v>0</v>
      </c>
      <c r="DX101" s="186">
        <f t="shared" si="134"/>
        <v>0</v>
      </c>
      <c r="DY101" s="186">
        <f>Автовик_разбивка[[#This Row],[Цена, 
юань, без НДС 1]]*DX101</f>
        <v>0</v>
      </c>
      <c r="DZ101" s="130">
        <f t="shared" si="135"/>
        <v>220</v>
      </c>
      <c r="EA101" s="187">
        <f>Автовик_разбивка[[#This Row],[Цена, 
юань, без НДС 1]]*DZ101</f>
        <v>0</v>
      </c>
      <c r="EB101" s="109">
        <f t="shared" si="136"/>
        <v>0</v>
      </c>
      <c r="EC101" s="224">
        <f>Автовик_разбивка[[#This Row],[Цена, 
юань, без НДС 1]]*EB101</f>
        <v>0</v>
      </c>
    </row>
    <row r="102" spans="1:133">
      <c r="A102" s="256">
        <v>22</v>
      </c>
      <c r="B102" s="172" t="s">
        <v>320</v>
      </c>
      <c r="C102" s="173" t="s">
        <v>298</v>
      </c>
      <c r="D102" s="173" t="s">
        <v>311</v>
      </c>
      <c r="E102" s="174">
        <v>1</v>
      </c>
      <c r="F102" s="174"/>
      <c r="G102" s="174"/>
      <c r="H102" s="175">
        <v>4491731500</v>
      </c>
      <c r="I102" s="176" t="s">
        <v>77</v>
      </c>
      <c r="J102" s="222"/>
      <c r="K102" s="223"/>
      <c r="L102" s="178">
        <v>20</v>
      </c>
      <c r="M102" s="130">
        <f t="shared" si="173"/>
        <v>20</v>
      </c>
      <c r="N102" s="179">
        <v>0</v>
      </c>
      <c r="O102" s="130"/>
      <c r="P102" s="178">
        <v>20</v>
      </c>
      <c r="Q102" s="130">
        <f t="shared" si="174"/>
        <v>20</v>
      </c>
      <c r="R102" s="179">
        <v>0</v>
      </c>
      <c r="S102" s="130"/>
      <c r="T102" s="178">
        <v>20</v>
      </c>
      <c r="U102" s="130">
        <f t="shared" si="170"/>
        <v>30</v>
      </c>
      <c r="V102" s="179">
        <v>0</v>
      </c>
      <c r="W102" s="130"/>
      <c r="X102" s="178">
        <v>20</v>
      </c>
      <c r="Y102" s="130">
        <f t="shared" si="175"/>
        <v>20</v>
      </c>
      <c r="Z102" s="179">
        <v>0</v>
      </c>
      <c r="AA102" s="130"/>
      <c r="AB102" s="178">
        <v>20</v>
      </c>
      <c r="AC102" s="130">
        <f t="shared" si="176"/>
        <v>20</v>
      </c>
      <c r="AD102" s="109"/>
      <c r="AE102" s="252"/>
      <c r="AF102" s="178">
        <v>20</v>
      </c>
      <c r="AG102" s="130">
        <f t="shared" si="177"/>
        <v>20</v>
      </c>
      <c r="AH102" s="109"/>
      <c r="AI102" s="252"/>
      <c r="AJ102" s="178">
        <v>20</v>
      </c>
      <c r="AK102" s="130">
        <f t="shared" si="178"/>
        <v>20</v>
      </c>
      <c r="AL102" s="109"/>
      <c r="AM102" s="252"/>
      <c r="AN102" s="178">
        <v>20</v>
      </c>
      <c r="AO102" s="130">
        <f t="shared" si="171"/>
        <v>0</v>
      </c>
      <c r="AP102" s="109"/>
      <c r="AQ102" s="252"/>
      <c r="AR102" s="178">
        <v>20</v>
      </c>
      <c r="AS102" s="130">
        <f t="shared" si="179"/>
        <v>30</v>
      </c>
      <c r="AT102" s="109"/>
      <c r="AU102" s="252"/>
      <c r="AV102" s="178">
        <v>20</v>
      </c>
      <c r="AW102" s="130">
        <f t="shared" si="162"/>
        <v>0</v>
      </c>
      <c r="AX102" s="109"/>
      <c r="AY102" s="252"/>
      <c r="AZ102" s="178">
        <v>20</v>
      </c>
      <c r="BA102" s="130">
        <f t="shared" si="180"/>
        <v>20</v>
      </c>
      <c r="BB102" s="193"/>
      <c r="BC102" s="252"/>
      <c r="BD102" s="178">
        <v>20</v>
      </c>
      <c r="BE102" s="130">
        <f t="shared" si="172"/>
        <v>20</v>
      </c>
      <c r="BF102" s="109"/>
      <c r="BG102" s="252"/>
      <c r="BH102" s="180">
        <f t="shared" si="130"/>
        <v>240</v>
      </c>
      <c r="BI102" s="181">
        <f>Автовик_разбивка[[#This Row],[Цена, 
юань, без НДС 1]]*BH102</f>
        <v>0</v>
      </c>
      <c r="BJ102" s="130">
        <f t="shared" si="131"/>
        <v>220</v>
      </c>
      <c r="BK102" s="187">
        <f>Автовик_разбивка[[#This Row],[Цена, 
юань, без НДС 1]]*BJ102</f>
        <v>0</v>
      </c>
      <c r="BL102" s="109">
        <f t="shared" si="132"/>
        <v>0</v>
      </c>
      <c r="BM102" s="224">
        <f>Автовик_разбивка[[#This Row],[Цена, 
юань, без НДС 1]]*BL102</f>
        <v>0</v>
      </c>
      <c r="BN102" s="178"/>
      <c r="BO102" s="184"/>
      <c r="BP102" s="130">
        <f t="shared" si="115"/>
        <v>0</v>
      </c>
      <c r="BQ102" s="179"/>
      <c r="BR102" s="130"/>
      <c r="BS102" s="178"/>
      <c r="BT102" s="184"/>
      <c r="BU102" s="130">
        <f t="shared" si="181"/>
        <v>20</v>
      </c>
      <c r="BV102" s="179"/>
      <c r="BW102" s="130"/>
      <c r="BX102" s="178"/>
      <c r="BY102" s="184"/>
      <c r="BZ102" s="130">
        <f t="shared" si="182"/>
        <v>20</v>
      </c>
      <c r="CA102" s="179"/>
      <c r="CB102" s="130"/>
      <c r="CC102" s="178"/>
      <c r="CD102" s="184"/>
      <c r="CE102" s="130">
        <f t="shared" si="183"/>
        <v>20</v>
      </c>
      <c r="CF102" s="179"/>
      <c r="CG102" s="130"/>
      <c r="CH102" s="178"/>
      <c r="CI102" s="184"/>
      <c r="CJ102" s="130">
        <f t="shared" si="184"/>
        <v>20</v>
      </c>
      <c r="CK102" s="109"/>
      <c r="CL102" s="252"/>
      <c r="CM102" s="178"/>
      <c r="CN102" s="184"/>
      <c r="CO102" s="130">
        <f t="shared" si="185"/>
        <v>20</v>
      </c>
      <c r="CP102" s="109"/>
      <c r="CQ102" s="252"/>
      <c r="CR102" s="178"/>
      <c r="CS102" s="184"/>
      <c r="CT102" s="130">
        <f t="shared" si="186"/>
        <v>20</v>
      </c>
      <c r="CU102" s="109"/>
      <c r="CV102" s="252"/>
      <c r="CW102" s="178"/>
      <c r="CX102" s="184"/>
      <c r="CY102" s="130">
        <f t="shared" si="187"/>
        <v>20</v>
      </c>
      <c r="CZ102" s="109"/>
      <c r="DA102" s="252"/>
      <c r="DB102" s="178"/>
      <c r="DC102" s="184"/>
      <c r="DD102" s="130">
        <f t="shared" si="188"/>
        <v>20</v>
      </c>
      <c r="DE102" s="109"/>
      <c r="DF102" s="252"/>
      <c r="DG102" s="178"/>
      <c r="DH102" s="184"/>
      <c r="DI102" s="130">
        <f t="shared" si="189"/>
        <v>20</v>
      </c>
      <c r="DJ102" s="109"/>
      <c r="DK102" s="252"/>
      <c r="DL102" s="178"/>
      <c r="DM102" s="184"/>
      <c r="DN102" s="130">
        <f t="shared" si="190"/>
        <v>20</v>
      </c>
      <c r="DO102" s="193"/>
      <c r="DP102" s="252"/>
      <c r="DQ102" s="178"/>
      <c r="DR102" s="184"/>
      <c r="DS102" s="130">
        <f t="shared" si="191"/>
        <v>20</v>
      </c>
      <c r="DT102" s="109"/>
      <c r="DU102" s="252"/>
      <c r="DV102" s="180">
        <f t="shared" si="133"/>
        <v>0</v>
      </c>
      <c r="DW102" s="181">
        <f>Автовик_разбивка[[#This Row],[Цена, 
юань, без НДС 1]]*DV102</f>
        <v>0</v>
      </c>
      <c r="DX102" s="186">
        <f t="shared" si="134"/>
        <v>0</v>
      </c>
      <c r="DY102" s="186">
        <f>Автовик_разбивка[[#This Row],[Цена, 
юань, без НДС 1]]*DX102</f>
        <v>0</v>
      </c>
      <c r="DZ102" s="130">
        <f t="shared" si="135"/>
        <v>220</v>
      </c>
      <c r="EA102" s="187">
        <f>Автовик_разбивка[[#This Row],[Цена, 
юань, без НДС 1]]*DZ102</f>
        <v>0</v>
      </c>
      <c r="EB102" s="109">
        <f t="shared" si="136"/>
        <v>0</v>
      </c>
      <c r="EC102" s="224">
        <f>Автовик_разбивка[[#This Row],[Цена, 
юань, без НДС 1]]*EB102</f>
        <v>0</v>
      </c>
    </row>
    <row r="103" spans="1:133">
      <c r="A103" s="256">
        <v>22</v>
      </c>
      <c r="B103" s="172" t="s">
        <v>320</v>
      </c>
      <c r="C103" s="173" t="s">
        <v>298</v>
      </c>
      <c r="D103" s="173" t="s">
        <v>311</v>
      </c>
      <c r="E103" s="174">
        <v>2</v>
      </c>
      <c r="F103" s="174"/>
      <c r="G103" s="174"/>
      <c r="H103" s="175">
        <v>4497230500</v>
      </c>
      <c r="I103" s="176" t="s">
        <v>78</v>
      </c>
      <c r="J103" s="222"/>
      <c r="K103" s="223"/>
      <c r="L103" s="178">
        <v>40</v>
      </c>
      <c r="M103" s="130">
        <f t="shared" si="173"/>
        <v>40</v>
      </c>
      <c r="N103" s="179">
        <v>0</v>
      </c>
      <c r="O103" s="130"/>
      <c r="P103" s="178">
        <v>40</v>
      </c>
      <c r="Q103" s="130">
        <f t="shared" si="174"/>
        <v>40</v>
      </c>
      <c r="R103" s="179">
        <v>0</v>
      </c>
      <c r="S103" s="130"/>
      <c r="T103" s="178">
        <v>40</v>
      </c>
      <c r="U103" s="130">
        <f t="shared" si="170"/>
        <v>60</v>
      </c>
      <c r="V103" s="179">
        <v>0</v>
      </c>
      <c r="W103" s="130"/>
      <c r="X103" s="178">
        <v>40</v>
      </c>
      <c r="Y103" s="130">
        <f t="shared" si="175"/>
        <v>40</v>
      </c>
      <c r="Z103" s="179">
        <v>0</v>
      </c>
      <c r="AA103" s="130"/>
      <c r="AB103" s="178">
        <v>40</v>
      </c>
      <c r="AC103" s="130">
        <f t="shared" si="176"/>
        <v>40</v>
      </c>
      <c r="AD103" s="109"/>
      <c r="AE103" s="252"/>
      <c r="AF103" s="178">
        <v>40</v>
      </c>
      <c r="AG103" s="130">
        <f t="shared" si="177"/>
        <v>40</v>
      </c>
      <c r="AH103" s="109"/>
      <c r="AI103" s="252"/>
      <c r="AJ103" s="178">
        <v>40</v>
      </c>
      <c r="AK103" s="130">
        <f t="shared" si="178"/>
        <v>40</v>
      </c>
      <c r="AL103" s="109"/>
      <c r="AM103" s="252"/>
      <c r="AN103" s="178">
        <v>40</v>
      </c>
      <c r="AO103" s="130">
        <f t="shared" si="171"/>
        <v>0</v>
      </c>
      <c r="AP103" s="109"/>
      <c r="AQ103" s="252"/>
      <c r="AR103" s="178">
        <v>40</v>
      </c>
      <c r="AS103" s="130">
        <f t="shared" si="179"/>
        <v>60</v>
      </c>
      <c r="AT103" s="109"/>
      <c r="AU103" s="252"/>
      <c r="AV103" s="178">
        <v>40</v>
      </c>
      <c r="AW103" s="130">
        <f t="shared" si="162"/>
        <v>0</v>
      </c>
      <c r="AX103" s="109"/>
      <c r="AY103" s="252"/>
      <c r="AZ103" s="178">
        <v>40</v>
      </c>
      <c r="BA103" s="130">
        <f t="shared" si="180"/>
        <v>40</v>
      </c>
      <c r="BB103" s="193"/>
      <c r="BC103" s="252"/>
      <c r="BD103" s="178">
        <v>40</v>
      </c>
      <c r="BE103" s="130">
        <f t="shared" si="172"/>
        <v>40</v>
      </c>
      <c r="BF103" s="109"/>
      <c r="BG103" s="252"/>
      <c r="BH103" s="180">
        <f t="shared" si="130"/>
        <v>480</v>
      </c>
      <c r="BI103" s="181">
        <f>Автовик_разбивка[[#This Row],[Цена, 
юань, без НДС 1]]*BH103</f>
        <v>0</v>
      </c>
      <c r="BJ103" s="130">
        <f t="shared" si="131"/>
        <v>440</v>
      </c>
      <c r="BK103" s="187">
        <f>Автовик_разбивка[[#This Row],[Цена, 
юань, без НДС 1]]*BJ103</f>
        <v>0</v>
      </c>
      <c r="BL103" s="109">
        <f t="shared" si="132"/>
        <v>0</v>
      </c>
      <c r="BM103" s="224">
        <f>Автовик_разбивка[[#This Row],[Цена, 
юань, без НДС 1]]*BL103</f>
        <v>0</v>
      </c>
      <c r="BN103" s="178"/>
      <c r="BO103" s="184"/>
      <c r="BP103" s="130">
        <f t="shared" si="115"/>
        <v>0</v>
      </c>
      <c r="BQ103" s="179"/>
      <c r="BR103" s="130"/>
      <c r="BS103" s="178"/>
      <c r="BT103" s="184"/>
      <c r="BU103" s="130">
        <f t="shared" si="181"/>
        <v>40</v>
      </c>
      <c r="BV103" s="179"/>
      <c r="BW103" s="130"/>
      <c r="BX103" s="178"/>
      <c r="BY103" s="184"/>
      <c r="BZ103" s="130">
        <f t="shared" si="182"/>
        <v>40</v>
      </c>
      <c r="CA103" s="179"/>
      <c r="CB103" s="130"/>
      <c r="CC103" s="178"/>
      <c r="CD103" s="184"/>
      <c r="CE103" s="130">
        <f t="shared" si="183"/>
        <v>40</v>
      </c>
      <c r="CF103" s="179"/>
      <c r="CG103" s="130"/>
      <c r="CH103" s="178"/>
      <c r="CI103" s="184"/>
      <c r="CJ103" s="130">
        <f t="shared" si="184"/>
        <v>40</v>
      </c>
      <c r="CK103" s="109"/>
      <c r="CL103" s="252"/>
      <c r="CM103" s="178"/>
      <c r="CN103" s="184"/>
      <c r="CO103" s="130">
        <f t="shared" si="185"/>
        <v>40</v>
      </c>
      <c r="CP103" s="109"/>
      <c r="CQ103" s="252"/>
      <c r="CR103" s="178"/>
      <c r="CS103" s="184"/>
      <c r="CT103" s="130">
        <f t="shared" si="186"/>
        <v>40</v>
      </c>
      <c r="CU103" s="109"/>
      <c r="CV103" s="252"/>
      <c r="CW103" s="178"/>
      <c r="CX103" s="184"/>
      <c r="CY103" s="130">
        <f t="shared" si="187"/>
        <v>40</v>
      </c>
      <c r="CZ103" s="109"/>
      <c r="DA103" s="252"/>
      <c r="DB103" s="178"/>
      <c r="DC103" s="184"/>
      <c r="DD103" s="130">
        <f t="shared" si="188"/>
        <v>40</v>
      </c>
      <c r="DE103" s="109"/>
      <c r="DF103" s="252"/>
      <c r="DG103" s="178"/>
      <c r="DH103" s="184"/>
      <c r="DI103" s="130">
        <f t="shared" si="189"/>
        <v>40</v>
      </c>
      <c r="DJ103" s="109"/>
      <c r="DK103" s="252"/>
      <c r="DL103" s="178"/>
      <c r="DM103" s="184"/>
      <c r="DN103" s="130">
        <f t="shared" si="190"/>
        <v>40</v>
      </c>
      <c r="DO103" s="193"/>
      <c r="DP103" s="252"/>
      <c r="DQ103" s="178"/>
      <c r="DR103" s="184"/>
      <c r="DS103" s="130">
        <f t="shared" si="191"/>
        <v>40</v>
      </c>
      <c r="DT103" s="109"/>
      <c r="DU103" s="252"/>
      <c r="DV103" s="180">
        <f t="shared" si="133"/>
        <v>0</v>
      </c>
      <c r="DW103" s="181">
        <f>Автовик_разбивка[[#This Row],[Цена, 
юань, без НДС 1]]*DV103</f>
        <v>0</v>
      </c>
      <c r="DX103" s="186">
        <f t="shared" si="134"/>
        <v>0</v>
      </c>
      <c r="DY103" s="186">
        <f>Автовик_разбивка[[#This Row],[Цена, 
юань, без НДС 1]]*DX103</f>
        <v>0</v>
      </c>
      <c r="DZ103" s="130">
        <f t="shared" si="135"/>
        <v>440</v>
      </c>
      <c r="EA103" s="187">
        <f>Автовик_разбивка[[#This Row],[Цена, 
юань, без НДС 1]]*DZ103</f>
        <v>0</v>
      </c>
      <c r="EB103" s="109">
        <f t="shared" si="136"/>
        <v>0</v>
      </c>
      <c r="EC103" s="224">
        <f>Автовик_разбивка[[#This Row],[Цена, 
юань, без НДС 1]]*EB103</f>
        <v>0</v>
      </c>
    </row>
    <row r="104" spans="1:133">
      <c r="A104" s="256">
        <v>22</v>
      </c>
      <c r="B104" s="172" t="s">
        <v>320</v>
      </c>
      <c r="C104" s="173" t="s">
        <v>298</v>
      </c>
      <c r="D104" s="173" t="s">
        <v>311</v>
      </c>
      <c r="E104" s="174">
        <v>1</v>
      </c>
      <c r="F104" s="174"/>
      <c r="G104" s="174"/>
      <c r="H104" s="175">
        <v>4630320200</v>
      </c>
      <c r="I104" s="176" t="s">
        <v>80</v>
      </c>
      <c r="J104" s="222"/>
      <c r="K104" s="227"/>
      <c r="L104" s="178">
        <v>20</v>
      </c>
      <c r="M104" s="130">
        <f t="shared" si="173"/>
        <v>20</v>
      </c>
      <c r="N104" s="179">
        <v>0</v>
      </c>
      <c r="O104" s="130"/>
      <c r="P104" s="178">
        <v>20</v>
      </c>
      <c r="Q104" s="130">
        <f t="shared" si="174"/>
        <v>20</v>
      </c>
      <c r="R104" s="179">
        <v>0</v>
      </c>
      <c r="S104" s="130"/>
      <c r="T104" s="178">
        <v>20</v>
      </c>
      <c r="U104" s="130">
        <f t="shared" si="170"/>
        <v>30</v>
      </c>
      <c r="V104" s="179">
        <v>0</v>
      </c>
      <c r="W104" s="130"/>
      <c r="X104" s="178">
        <v>20</v>
      </c>
      <c r="Y104" s="130">
        <f t="shared" si="175"/>
        <v>20</v>
      </c>
      <c r="Z104" s="179">
        <v>0</v>
      </c>
      <c r="AA104" s="130"/>
      <c r="AB104" s="178">
        <v>20</v>
      </c>
      <c r="AC104" s="130">
        <f t="shared" si="176"/>
        <v>20</v>
      </c>
      <c r="AD104" s="109"/>
      <c r="AE104" s="252"/>
      <c r="AF104" s="178">
        <v>20</v>
      </c>
      <c r="AG104" s="130">
        <f t="shared" si="177"/>
        <v>20</v>
      </c>
      <c r="AH104" s="109"/>
      <c r="AI104" s="252"/>
      <c r="AJ104" s="178">
        <v>20</v>
      </c>
      <c r="AK104" s="130">
        <f t="shared" si="178"/>
        <v>20</v>
      </c>
      <c r="AL104" s="109"/>
      <c r="AM104" s="252"/>
      <c r="AN104" s="178">
        <v>20</v>
      </c>
      <c r="AO104" s="130">
        <f t="shared" si="171"/>
        <v>0</v>
      </c>
      <c r="AP104" s="109"/>
      <c r="AQ104" s="252"/>
      <c r="AR104" s="178">
        <v>20</v>
      </c>
      <c r="AS104" s="130">
        <f t="shared" si="179"/>
        <v>30</v>
      </c>
      <c r="AT104" s="109"/>
      <c r="AU104" s="252"/>
      <c r="AV104" s="178">
        <v>20</v>
      </c>
      <c r="AW104" s="130">
        <f t="shared" si="162"/>
        <v>0</v>
      </c>
      <c r="AX104" s="109"/>
      <c r="AY104" s="252"/>
      <c r="AZ104" s="178">
        <v>20</v>
      </c>
      <c r="BA104" s="130">
        <f t="shared" si="180"/>
        <v>20</v>
      </c>
      <c r="BB104" s="194"/>
      <c r="BC104" s="252"/>
      <c r="BD104" s="178">
        <v>20</v>
      </c>
      <c r="BE104" s="130">
        <f t="shared" si="172"/>
        <v>20</v>
      </c>
      <c r="BF104" s="109"/>
      <c r="BG104" s="252"/>
      <c r="BH104" s="180">
        <f t="shared" si="130"/>
        <v>240</v>
      </c>
      <c r="BI104" s="181">
        <f>Автовик_разбивка[[#This Row],[Цена, 
юань, без НДС 1]]*BH104</f>
        <v>0</v>
      </c>
      <c r="BJ104" s="130">
        <f t="shared" si="131"/>
        <v>220</v>
      </c>
      <c r="BK104" s="187">
        <f>Автовик_разбивка[[#This Row],[Цена, 
юань, без НДС 1]]*BJ104</f>
        <v>0</v>
      </c>
      <c r="BL104" s="109">
        <f t="shared" si="132"/>
        <v>0</v>
      </c>
      <c r="BM104" s="224">
        <f>Автовик_разбивка[[#This Row],[Цена, 
юань, без НДС 1]]*BL104</f>
        <v>0</v>
      </c>
      <c r="BN104" s="178"/>
      <c r="BO104" s="184"/>
      <c r="BP104" s="130">
        <f t="shared" si="115"/>
        <v>0</v>
      </c>
      <c r="BQ104" s="179"/>
      <c r="BR104" s="130"/>
      <c r="BS104" s="178"/>
      <c r="BT104" s="184"/>
      <c r="BU104" s="130">
        <f t="shared" si="181"/>
        <v>20</v>
      </c>
      <c r="BV104" s="179"/>
      <c r="BW104" s="130"/>
      <c r="BX104" s="178"/>
      <c r="BY104" s="184"/>
      <c r="BZ104" s="130">
        <f t="shared" si="182"/>
        <v>20</v>
      </c>
      <c r="CA104" s="179"/>
      <c r="CB104" s="130"/>
      <c r="CC104" s="178"/>
      <c r="CD104" s="184"/>
      <c r="CE104" s="130">
        <f t="shared" si="183"/>
        <v>20</v>
      </c>
      <c r="CF104" s="179"/>
      <c r="CG104" s="130"/>
      <c r="CH104" s="178"/>
      <c r="CI104" s="184"/>
      <c r="CJ104" s="130">
        <f t="shared" si="184"/>
        <v>20</v>
      </c>
      <c r="CK104" s="109"/>
      <c r="CL104" s="252"/>
      <c r="CM104" s="178"/>
      <c r="CN104" s="184"/>
      <c r="CO104" s="130">
        <f t="shared" si="185"/>
        <v>20</v>
      </c>
      <c r="CP104" s="109"/>
      <c r="CQ104" s="252"/>
      <c r="CR104" s="178"/>
      <c r="CS104" s="184"/>
      <c r="CT104" s="130">
        <f t="shared" si="186"/>
        <v>20</v>
      </c>
      <c r="CU104" s="109"/>
      <c r="CV104" s="252"/>
      <c r="CW104" s="178"/>
      <c r="CX104" s="184"/>
      <c r="CY104" s="130">
        <f t="shared" si="187"/>
        <v>20</v>
      </c>
      <c r="CZ104" s="109"/>
      <c r="DA104" s="252"/>
      <c r="DB104" s="178"/>
      <c r="DC104" s="184"/>
      <c r="DD104" s="130">
        <f t="shared" si="188"/>
        <v>20</v>
      </c>
      <c r="DE104" s="109"/>
      <c r="DF104" s="252"/>
      <c r="DG104" s="178"/>
      <c r="DH104" s="184"/>
      <c r="DI104" s="130">
        <f t="shared" si="189"/>
        <v>20</v>
      </c>
      <c r="DJ104" s="109"/>
      <c r="DK104" s="252"/>
      <c r="DL104" s="178"/>
      <c r="DM104" s="184"/>
      <c r="DN104" s="130">
        <f t="shared" si="190"/>
        <v>20</v>
      </c>
      <c r="DO104" s="194"/>
      <c r="DP104" s="252"/>
      <c r="DQ104" s="178"/>
      <c r="DR104" s="184"/>
      <c r="DS104" s="130">
        <f t="shared" si="191"/>
        <v>20</v>
      </c>
      <c r="DT104" s="109"/>
      <c r="DU104" s="252"/>
      <c r="DV104" s="180">
        <f t="shared" si="133"/>
        <v>0</v>
      </c>
      <c r="DW104" s="181">
        <f>Автовик_разбивка[[#This Row],[Цена, 
юань, без НДС 1]]*DV104</f>
        <v>0</v>
      </c>
      <c r="DX104" s="186">
        <f t="shared" si="134"/>
        <v>0</v>
      </c>
      <c r="DY104" s="186">
        <f>Автовик_разбивка[[#This Row],[Цена, 
юань, без НДС 1]]*DX104</f>
        <v>0</v>
      </c>
      <c r="DZ104" s="130">
        <f t="shared" si="135"/>
        <v>220</v>
      </c>
      <c r="EA104" s="187">
        <f>Автовик_разбивка[[#This Row],[Цена, 
юань, без НДС 1]]*DZ104</f>
        <v>0</v>
      </c>
      <c r="EB104" s="109">
        <f t="shared" si="136"/>
        <v>0</v>
      </c>
      <c r="EC104" s="224">
        <f>Автовик_разбивка[[#This Row],[Цена, 
юань, без НДС 1]]*EB104</f>
        <v>0</v>
      </c>
    </row>
    <row r="105" spans="1:133">
      <c r="A105" s="256">
        <v>22</v>
      </c>
      <c r="B105" s="172" t="s">
        <v>320</v>
      </c>
      <c r="C105" s="173" t="s">
        <v>298</v>
      </c>
      <c r="D105" s="173" t="s">
        <v>311</v>
      </c>
      <c r="E105" s="174">
        <v>1</v>
      </c>
      <c r="F105" s="174"/>
      <c r="G105" s="174"/>
      <c r="H105" s="175">
        <v>4640061000</v>
      </c>
      <c r="I105" s="176" t="s">
        <v>79</v>
      </c>
      <c r="J105" s="222"/>
      <c r="K105" s="223"/>
      <c r="L105" s="178">
        <v>20</v>
      </c>
      <c r="M105" s="130">
        <f t="shared" si="173"/>
        <v>20</v>
      </c>
      <c r="N105" s="179">
        <v>0</v>
      </c>
      <c r="O105" s="130"/>
      <c r="P105" s="178">
        <v>20</v>
      </c>
      <c r="Q105" s="130">
        <f t="shared" si="174"/>
        <v>20</v>
      </c>
      <c r="R105" s="179">
        <v>0</v>
      </c>
      <c r="S105" s="130"/>
      <c r="T105" s="178">
        <v>20</v>
      </c>
      <c r="U105" s="130">
        <f t="shared" si="170"/>
        <v>30</v>
      </c>
      <c r="V105" s="179">
        <v>0</v>
      </c>
      <c r="W105" s="130"/>
      <c r="X105" s="178">
        <v>20</v>
      </c>
      <c r="Y105" s="130">
        <f t="shared" si="175"/>
        <v>20</v>
      </c>
      <c r="Z105" s="179">
        <v>0</v>
      </c>
      <c r="AA105" s="130"/>
      <c r="AB105" s="178">
        <v>20</v>
      </c>
      <c r="AC105" s="130">
        <f t="shared" si="176"/>
        <v>20</v>
      </c>
      <c r="AD105" s="109"/>
      <c r="AE105" s="252"/>
      <c r="AF105" s="178">
        <v>20</v>
      </c>
      <c r="AG105" s="130">
        <f t="shared" si="177"/>
        <v>20</v>
      </c>
      <c r="AH105" s="109"/>
      <c r="AI105" s="252"/>
      <c r="AJ105" s="178">
        <v>20</v>
      </c>
      <c r="AK105" s="130">
        <f t="shared" si="178"/>
        <v>20</v>
      </c>
      <c r="AL105" s="109"/>
      <c r="AM105" s="252"/>
      <c r="AN105" s="178">
        <v>20</v>
      </c>
      <c r="AO105" s="130">
        <f t="shared" si="171"/>
        <v>0</v>
      </c>
      <c r="AP105" s="109"/>
      <c r="AQ105" s="252"/>
      <c r="AR105" s="178">
        <v>20</v>
      </c>
      <c r="AS105" s="130">
        <f t="shared" si="179"/>
        <v>30</v>
      </c>
      <c r="AT105" s="109"/>
      <c r="AU105" s="252"/>
      <c r="AV105" s="178">
        <v>20</v>
      </c>
      <c r="AW105" s="130">
        <f t="shared" si="162"/>
        <v>0</v>
      </c>
      <c r="AX105" s="109"/>
      <c r="AY105" s="252"/>
      <c r="AZ105" s="178">
        <v>20</v>
      </c>
      <c r="BA105" s="130">
        <f t="shared" si="180"/>
        <v>20</v>
      </c>
      <c r="BB105" s="179"/>
      <c r="BC105" s="252"/>
      <c r="BD105" s="178">
        <v>20</v>
      </c>
      <c r="BE105" s="130">
        <f t="shared" si="172"/>
        <v>20</v>
      </c>
      <c r="BF105" s="109"/>
      <c r="BG105" s="252"/>
      <c r="BH105" s="180">
        <f t="shared" si="130"/>
        <v>240</v>
      </c>
      <c r="BI105" s="181">
        <f>Автовик_разбивка[[#This Row],[Цена, 
юань, без НДС 1]]*BH105</f>
        <v>0</v>
      </c>
      <c r="BJ105" s="130">
        <f t="shared" si="131"/>
        <v>220</v>
      </c>
      <c r="BK105" s="187">
        <f>Автовик_разбивка[[#This Row],[Цена, 
юань, без НДС 1]]*BJ105</f>
        <v>0</v>
      </c>
      <c r="BL105" s="109">
        <f t="shared" si="132"/>
        <v>0</v>
      </c>
      <c r="BM105" s="224">
        <f>Автовик_разбивка[[#This Row],[Цена, 
юань, без НДС 1]]*BL105</f>
        <v>0</v>
      </c>
      <c r="BN105" s="178"/>
      <c r="BO105" s="184"/>
      <c r="BP105" s="130">
        <f t="shared" si="115"/>
        <v>0</v>
      </c>
      <c r="BQ105" s="179"/>
      <c r="BR105" s="130"/>
      <c r="BS105" s="178"/>
      <c r="BT105" s="184"/>
      <c r="BU105" s="130">
        <f t="shared" si="181"/>
        <v>20</v>
      </c>
      <c r="BV105" s="179"/>
      <c r="BW105" s="130"/>
      <c r="BX105" s="178"/>
      <c r="BY105" s="184"/>
      <c r="BZ105" s="130">
        <f t="shared" si="182"/>
        <v>20</v>
      </c>
      <c r="CA105" s="179"/>
      <c r="CB105" s="130"/>
      <c r="CC105" s="178"/>
      <c r="CD105" s="184"/>
      <c r="CE105" s="130">
        <f t="shared" si="183"/>
        <v>20</v>
      </c>
      <c r="CF105" s="179"/>
      <c r="CG105" s="130"/>
      <c r="CH105" s="178"/>
      <c r="CI105" s="184"/>
      <c r="CJ105" s="130">
        <f t="shared" si="184"/>
        <v>20</v>
      </c>
      <c r="CK105" s="109"/>
      <c r="CL105" s="252"/>
      <c r="CM105" s="178"/>
      <c r="CN105" s="184"/>
      <c r="CO105" s="130">
        <f t="shared" si="185"/>
        <v>20</v>
      </c>
      <c r="CP105" s="109"/>
      <c r="CQ105" s="252"/>
      <c r="CR105" s="178"/>
      <c r="CS105" s="184"/>
      <c r="CT105" s="130">
        <f t="shared" si="186"/>
        <v>20</v>
      </c>
      <c r="CU105" s="109"/>
      <c r="CV105" s="252"/>
      <c r="CW105" s="178"/>
      <c r="CX105" s="184"/>
      <c r="CY105" s="130">
        <f t="shared" si="187"/>
        <v>20</v>
      </c>
      <c r="CZ105" s="109"/>
      <c r="DA105" s="252"/>
      <c r="DB105" s="178"/>
      <c r="DC105" s="184"/>
      <c r="DD105" s="130">
        <f t="shared" si="188"/>
        <v>20</v>
      </c>
      <c r="DE105" s="109"/>
      <c r="DF105" s="252"/>
      <c r="DG105" s="178"/>
      <c r="DH105" s="184"/>
      <c r="DI105" s="130">
        <f t="shared" si="189"/>
        <v>20</v>
      </c>
      <c r="DJ105" s="109"/>
      <c r="DK105" s="252"/>
      <c r="DL105" s="178"/>
      <c r="DM105" s="184"/>
      <c r="DN105" s="130">
        <f t="shared" si="190"/>
        <v>20</v>
      </c>
      <c r="DO105" s="179"/>
      <c r="DP105" s="252"/>
      <c r="DQ105" s="178"/>
      <c r="DR105" s="184"/>
      <c r="DS105" s="130">
        <f t="shared" si="191"/>
        <v>20</v>
      </c>
      <c r="DT105" s="109"/>
      <c r="DU105" s="252"/>
      <c r="DV105" s="180">
        <f t="shared" si="133"/>
        <v>0</v>
      </c>
      <c r="DW105" s="181">
        <f>Автовик_разбивка[[#This Row],[Цена, 
юань, без НДС 1]]*DV105</f>
        <v>0</v>
      </c>
      <c r="DX105" s="186">
        <f t="shared" si="134"/>
        <v>0</v>
      </c>
      <c r="DY105" s="186">
        <f>Автовик_разбивка[[#This Row],[Цена, 
юань, без НДС 1]]*DX105</f>
        <v>0</v>
      </c>
      <c r="DZ105" s="130">
        <f t="shared" si="135"/>
        <v>220</v>
      </c>
      <c r="EA105" s="187">
        <f>Автовик_разбивка[[#This Row],[Цена, 
юань, без НДС 1]]*DZ105</f>
        <v>0</v>
      </c>
      <c r="EB105" s="109">
        <f t="shared" si="136"/>
        <v>0</v>
      </c>
      <c r="EC105" s="224">
        <f>Автовик_разбивка[[#This Row],[Цена, 
юань, без НДС 1]]*EB105</f>
        <v>0</v>
      </c>
    </row>
    <row r="106" spans="1:133">
      <c r="A106" s="256">
        <v>22</v>
      </c>
      <c r="B106" s="172" t="s">
        <v>320</v>
      </c>
      <c r="C106" s="173" t="s">
        <v>298</v>
      </c>
      <c r="D106" s="173" t="s">
        <v>311</v>
      </c>
      <c r="E106" s="174">
        <v>1</v>
      </c>
      <c r="F106" s="174"/>
      <c r="G106" s="174"/>
      <c r="H106" s="175">
        <v>4801020640</v>
      </c>
      <c r="I106" s="176" t="s">
        <v>76</v>
      </c>
      <c r="J106" s="222"/>
      <c r="K106" s="227"/>
      <c r="L106" s="178">
        <v>20</v>
      </c>
      <c r="M106" s="130">
        <f t="shared" si="173"/>
        <v>20</v>
      </c>
      <c r="N106" s="179">
        <v>0</v>
      </c>
      <c r="O106" s="130"/>
      <c r="P106" s="178">
        <v>20</v>
      </c>
      <c r="Q106" s="130">
        <f t="shared" si="174"/>
        <v>20</v>
      </c>
      <c r="R106" s="179">
        <v>0</v>
      </c>
      <c r="S106" s="130"/>
      <c r="T106" s="178">
        <v>20</v>
      </c>
      <c r="U106" s="130">
        <f t="shared" si="170"/>
        <v>30</v>
      </c>
      <c r="V106" s="179">
        <v>0</v>
      </c>
      <c r="W106" s="130"/>
      <c r="X106" s="178">
        <v>20</v>
      </c>
      <c r="Y106" s="130">
        <f t="shared" si="175"/>
        <v>20</v>
      </c>
      <c r="Z106" s="179">
        <v>0</v>
      </c>
      <c r="AA106" s="130"/>
      <c r="AB106" s="178">
        <v>20</v>
      </c>
      <c r="AC106" s="130">
        <f t="shared" si="176"/>
        <v>20</v>
      </c>
      <c r="AD106" s="109"/>
      <c r="AE106" s="252"/>
      <c r="AF106" s="178">
        <v>20</v>
      </c>
      <c r="AG106" s="130">
        <f t="shared" si="177"/>
        <v>20</v>
      </c>
      <c r="AH106" s="109"/>
      <c r="AI106" s="252"/>
      <c r="AJ106" s="178">
        <v>20</v>
      </c>
      <c r="AK106" s="130">
        <f t="shared" si="178"/>
        <v>20</v>
      </c>
      <c r="AL106" s="109"/>
      <c r="AM106" s="252"/>
      <c r="AN106" s="178">
        <v>20</v>
      </c>
      <c r="AO106" s="130">
        <f t="shared" si="171"/>
        <v>0</v>
      </c>
      <c r="AP106" s="109"/>
      <c r="AQ106" s="252"/>
      <c r="AR106" s="178">
        <v>20</v>
      </c>
      <c r="AS106" s="130">
        <f t="shared" si="179"/>
        <v>30</v>
      </c>
      <c r="AT106" s="109"/>
      <c r="AU106" s="252"/>
      <c r="AV106" s="178">
        <v>20</v>
      </c>
      <c r="AW106" s="130">
        <f t="shared" si="162"/>
        <v>0</v>
      </c>
      <c r="AX106" s="109"/>
      <c r="AY106" s="252"/>
      <c r="AZ106" s="178">
        <v>20</v>
      </c>
      <c r="BA106" s="130">
        <f t="shared" si="180"/>
        <v>20</v>
      </c>
      <c r="BB106" s="193"/>
      <c r="BC106" s="252"/>
      <c r="BD106" s="178">
        <v>20</v>
      </c>
      <c r="BE106" s="130">
        <f t="shared" si="172"/>
        <v>20</v>
      </c>
      <c r="BF106" s="109"/>
      <c r="BG106" s="252"/>
      <c r="BH106" s="180">
        <f t="shared" si="130"/>
        <v>240</v>
      </c>
      <c r="BI106" s="181">
        <f>Автовик_разбивка[[#This Row],[Цена, 
юань, без НДС 1]]*BH106</f>
        <v>0</v>
      </c>
      <c r="BJ106" s="130">
        <f t="shared" si="131"/>
        <v>220</v>
      </c>
      <c r="BK106" s="187">
        <f>Автовик_разбивка[[#This Row],[Цена, 
юань, без НДС 1]]*BJ106</f>
        <v>0</v>
      </c>
      <c r="BL106" s="109">
        <f t="shared" si="132"/>
        <v>0</v>
      </c>
      <c r="BM106" s="224">
        <f>Автовик_разбивка[[#This Row],[Цена, 
юань, без НДС 1]]*BL106</f>
        <v>0</v>
      </c>
      <c r="BN106" s="178"/>
      <c r="BO106" s="184"/>
      <c r="BP106" s="130">
        <f t="shared" si="115"/>
        <v>0</v>
      </c>
      <c r="BQ106" s="179"/>
      <c r="BR106" s="130"/>
      <c r="BS106" s="178"/>
      <c r="BT106" s="184"/>
      <c r="BU106" s="130">
        <f t="shared" si="181"/>
        <v>20</v>
      </c>
      <c r="BV106" s="179"/>
      <c r="BW106" s="130"/>
      <c r="BX106" s="178"/>
      <c r="BY106" s="184"/>
      <c r="BZ106" s="130">
        <f t="shared" si="182"/>
        <v>20</v>
      </c>
      <c r="CA106" s="179"/>
      <c r="CB106" s="130"/>
      <c r="CC106" s="178"/>
      <c r="CD106" s="184"/>
      <c r="CE106" s="130">
        <f t="shared" si="183"/>
        <v>20</v>
      </c>
      <c r="CF106" s="179"/>
      <c r="CG106" s="130"/>
      <c r="CH106" s="178"/>
      <c r="CI106" s="184"/>
      <c r="CJ106" s="130">
        <f t="shared" si="184"/>
        <v>20</v>
      </c>
      <c r="CK106" s="109"/>
      <c r="CL106" s="252"/>
      <c r="CM106" s="178"/>
      <c r="CN106" s="184"/>
      <c r="CO106" s="130">
        <f t="shared" si="185"/>
        <v>20</v>
      </c>
      <c r="CP106" s="109"/>
      <c r="CQ106" s="252"/>
      <c r="CR106" s="178"/>
      <c r="CS106" s="184"/>
      <c r="CT106" s="130">
        <f t="shared" si="186"/>
        <v>20</v>
      </c>
      <c r="CU106" s="109"/>
      <c r="CV106" s="252"/>
      <c r="CW106" s="178"/>
      <c r="CX106" s="184"/>
      <c r="CY106" s="130">
        <f t="shared" si="187"/>
        <v>20</v>
      </c>
      <c r="CZ106" s="109"/>
      <c r="DA106" s="252"/>
      <c r="DB106" s="178"/>
      <c r="DC106" s="184"/>
      <c r="DD106" s="130">
        <f t="shared" si="188"/>
        <v>20</v>
      </c>
      <c r="DE106" s="109"/>
      <c r="DF106" s="252"/>
      <c r="DG106" s="178"/>
      <c r="DH106" s="184"/>
      <c r="DI106" s="130">
        <f t="shared" si="189"/>
        <v>20</v>
      </c>
      <c r="DJ106" s="109"/>
      <c r="DK106" s="252"/>
      <c r="DL106" s="178"/>
      <c r="DM106" s="184"/>
      <c r="DN106" s="130">
        <f t="shared" si="190"/>
        <v>20</v>
      </c>
      <c r="DO106" s="193"/>
      <c r="DP106" s="252"/>
      <c r="DQ106" s="178"/>
      <c r="DR106" s="184"/>
      <c r="DS106" s="130">
        <f t="shared" si="191"/>
        <v>20</v>
      </c>
      <c r="DT106" s="109"/>
      <c r="DU106" s="252"/>
      <c r="DV106" s="180">
        <f t="shared" si="133"/>
        <v>0</v>
      </c>
      <c r="DW106" s="181">
        <f>Автовик_разбивка[[#This Row],[Цена, 
юань, без НДС 1]]*DV106</f>
        <v>0</v>
      </c>
      <c r="DX106" s="186">
        <f t="shared" si="134"/>
        <v>0</v>
      </c>
      <c r="DY106" s="186">
        <f>Автовик_разбивка[[#This Row],[Цена, 
юань, без НДС 1]]*DX106</f>
        <v>0</v>
      </c>
      <c r="DZ106" s="130">
        <f t="shared" si="135"/>
        <v>220</v>
      </c>
      <c r="EA106" s="187">
        <f>Автовик_разбивка[[#This Row],[Цена, 
юань, без НДС 1]]*DZ106</f>
        <v>0</v>
      </c>
      <c r="EB106" s="109">
        <f t="shared" si="136"/>
        <v>0</v>
      </c>
      <c r="EC106" s="224">
        <f>Автовик_разбивка[[#This Row],[Цена, 
юань, без НДС 1]]*EB106</f>
        <v>0</v>
      </c>
    </row>
    <row r="107" spans="1:133">
      <c r="A107" s="256">
        <v>22</v>
      </c>
      <c r="B107" s="172" t="s">
        <v>320</v>
      </c>
      <c r="C107" s="173" t="s">
        <v>298</v>
      </c>
      <c r="D107" s="173" t="s">
        <v>311</v>
      </c>
      <c r="E107" s="174">
        <v>1</v>
      </c>
      <c r="F107" s="174"/>
      <c r="G107" s="174"/>
      <c r="H107" s="175">
        <v>9522010010</v>
      </c>
      <c r="I107" s="176" t="s">
        <v>73</v>
      </c>
      <c r="J107" s="222"/>
      <c r="K107" s="227"/>
      <c r="L107" s="178">
        <v>20</v>
      </c>
      <c r="M107" s="130">
        <f t="shared" si="173"/>
        <v>20</v>
      </c>
      <c r="N107" s="179">
        <v>0</v>
      </c>
      <c r="O107" s="130"/>
      <c r="P107" s="178">
        <v>20</v>
      </c>
      <c r="Q107" s="130">
        <f t="shared" si="174"/>
        <v>20</v>
      </c>
      <c r="R107" s="179">
        <v>0</v>
      </c>
      <c r="S107" s="130"/>
      <c r="T107" s="178">
        <v>20</v>
      </c>
      <c r="U107" s="130">
        <f t="shared" si="170"/>
        <v>30</v>
      </c>
      <c r="V107" s="179">
        <v>0</v>
      </c>
      <c r="W107" s="130"/>
      <c r="X107" s="178">
        <v>20</v>
      </c>
      <c r="Y107" s="130">
        <f t="shared" si="175"/>
        <v>20</v>
      </c>
      <c r="Z107" s="179">
        <v>0</v>
      </c>
      <c r="AA107" s="130"/>
      <c r="AB107" s="178">
        <v>20</v>
      </c>
      <c r="AC107" s="130">
        <f t="shared" si="176"/>
        <v>20</v>
      </c>
      <c r="AD107" s="179"/>
      <c r="AE107" s="130"/>
      <c r="AF107" s="178">
        <v>20</v>
      </c>
      <c r="AG107" s="130">
        <f t="shared" si="177"/>
        <v>20</v>
      </c>
      <c r="AH107" s="179"/>
      <c r="AI107" s="130"/>
      <c r="AJ107" s="178">
        <v>20</v>
      </c>
      <c r="AK107" s="130">
        <f t="shared" si="178"/>
        <v>20</v>
      </c>
      <c r="AL107" s="179"/>
      <c r="AM107" s="130"/>
      <c r="AN107" s="178">
        <v>20</v>
      </c>
      <c r="AO107" s="130">
        <f t="shared" si="171"/>
        <v>0</v>
      </c>
      <c r="AP107" s="179"/>
      <c r="AQ107" s="130"/>
      <c r="AR107" s="178">
        <v>20</v>
      </c>
      <c r="AS107" s="130">
        <f t="shared" si="179"/>
        <v>30</v>
      </c>
      <c r="AT107" s="179"/>
      <c r="AU107" s="130"/>
      <c r="AV107" s="178">
        <v>20</v>
      </c>
      <c r="AW107" s="130">
        <f t="shared" si="162"/>
        <v>0</v>
      </c>
      <c r="AX107" s="179"/>
      <c r="AY107" s="130"/>
      <c r="AZ107" s="178">
        <v>20</v>
      </c>
      <c r="BA107" s="130">
        <f t="shared" si="180"/>
        <v>20</v>
      </c>
      <c r="BB107" s="228"/>
      <c r="BC107" s="130"/>
      <c r="BD107" s="178">
        <v>20</v>
      </c>
      <c r="BE107" s="130">
        <f t="shared" si="172"/>
        <v>20</v>
      </c>
      <c r="BF107" s="109"/>
      <c r="BG107" s="130"/>
      <c r="BH107" s="180">
        <f t="shared" si="130"/>
        <v>240</v>
      </c>
      <c r="BI107" s="181">
        <f>Автовик_разбивка[[#This Row],[Цена, 
юань, без НДС 1]]*BH107</f>
        <v>0</v>
      </c>
      <c r="BJ107" s="130">
        <f t="shared" si="131"/>
        <v>220</v>
      </c>
      <c r="BK107" s="187">
        <f>Автовик_разбивка[[#This Row],[Цена, 
юань, без НДС 1]]*BJ107</f>
        <v>0</v>
      </c>
      <c r="BL107" s="109">
        <f t="shared" si="132"/>
        <v>0</v>
      </c>
      <c r="BM107" s="224">
        <f>Автовик_разбивка[[#This Row],[Цена, 
юань, без НДС 1]]*BL107</f>
        <v>0</v>
      </c>
      <c r="BN107" s="178"/>
      <c r="BO107" s="184"/>
      <c r="BP107" s="130">
        <f t="shared" si="115"/>
        <v>0</v>
      </c>
      <c r="BQ107" s="179"/>
      <c r="BR107" s="130"/>
      <c r="BS107" s="178"/>
      <c r="BT107" s="184"/>
      <c r="BU107" s="130">
        <f t="shared" si="181"/>
        <v>20</v>
      </c>
      <c r="BV107" s="179"/>
      <c r="BW107" s="130"/>
      <c r="BX107" s="178"/>
      <c r="BY107" s="184"/>
      <c r="BZ107" s="130">
        <f t="shared" si="182"/>
        <v>20</v>
      </c>
      <c r="CA107" s="179"/>
      <c r="CB107" s="130"/>
      <c r="CC107" s="178"/>
      <c r="CD107" s="184"/>
      <c r="CE107" s="130">
        <f t="shared" si="183"/>
        <v>20</v>
      </c>
      <c r="CF107" s="179"/>
      <c r="CG107" s="130"/>
      <c r="CH107" s="178"/>
      <c r="CI107" s="184"/>
      <c r="CJ107" s="130">
        <f t="shared" si="184"/>
        <v>20</v>
      </c>
      <c r="CK107" s="179"/>
      <c r="CL107" s="130"/>
      <c r="CM107" s="178"/>
      <c r="CN107" s="184"/>
      <c r="CO107" s="130">
        <f t="shared" si="185"/>
        <v>20</v>
      </c>
      <c r="CP107" s="179"/>
      <c r="CQ107" s="130"/>
      <c r="CR107" s="178"/>
      <c r="CS107" s="184"/>
      <c r="CT107" s="130">
        <f t="shared" si="186"/>
        <v>20</v>
      </c>
      <c r="CU107" s="179"/>
      <c r="CV107" s="130"/>
      <c r="CW107" s="178"/>
      <c r="CX107" s="184"/>
      <c r="CY107" s="130">
        <f t="shared" si="187"/>
        <v>20</v>
      </c>
      <c r="CZ107" s="179"/>
      <c r="DA107" s="130"/>
      <c r="DB107" s="178"/>
      <c r="DC107" s="184"/>
      <c r="DD107" s="130">
        <f t="shared" si="188"/>
        <v>20</v>
      </c>
      <c r="DE107" s="179"/>
      <c r="DF107" s="130"/>
      <c r="DG107" s="178"/>
      <c r="DH107" s="184"/>
      <c r="DI107" s="130">
        <f t="shared" si="189"/>
        <v>20</v>
      </c>
      <c r="DJ107" s="179"/>
      <c r="DK107" s="130"/>
      <c r="DL107" s="178"/>
      <c r="DM107" s="184"/>
      <c r="DN107" s="130">
        <f t="shared" si="190"/>
        <v>20</v>
      </c>
      <c r="DO107" s="228"/>
      <c r="DP107" s="130"/>
      <c r="DQ107" s="178"/>
      <c r="DR107" s="184"/>
      <c r="DS107" s="130">
        <f t="shared" si="191"/>
        <v>20</v>
      </c>
      <c r="DT107" s="109"/>
      <c r="DU107" s="130"/>
      <c r="DV107" s="180">
        <f t="shared" si="133"/>
        <v>0</v>
      </c>
      <c r="DW107" s="181">
        <f>Автовик_разбивка[[#This Row],[Цена, 
юань, без НДС 1]]*DV107</f>
        <v>0</v>
      </c>
      <c r="DX107" s="186">
        <f t="shared" si="134"/>
        <v>0</v>
      </c>
      <c r="DY107" s="186">
        <f>Автовик_разбивка[[#This Row],[Цена, 
юань, без НДС 1]]*DX107</f>
        <v>0</v>
      </c>
      <c r="DZ107" s="130">
        <f t="shared" si="135"/>
        <v>220</v>
      </c>
      <c r="EA107" s="187">
        <f>Автовик_разбивка[[#This Row],[Цена, 
юань, без НДС 1]]*DZ107</f>
        <v>0</v>
      </c>
      <c r="EB107" s="109">
        <f t="shared" si="136"/>
        <v>0</v>
      </c>
      <c r="EC107" s="224">
        <f>Автовик_разбивка[[#This Row],[Цена, 
юань, без НДС 1]]*EB107</f>
        <v>0</v>
      </c>
    </row>
    <row r="108" spans="1:133">
      <c r="A108" s="256">
        <v>22</v>
      </c>
      <c r="B108" s="172" t="s">
        <v>320</v>
      </c>
      <c r="C108" s="173" t="s">
        <v>298</v>
      </c>
      <c r="D108" s="173" t="s">
        <v>311</v>
      </c>
      <c r="E108" s="174">
        <v>1</v>
      </c>
      <c r="F108" s="174"/>
      <c r="G108" s="174"/>
      <c r="H108" s="175">
        <v>9522010020</v>
      </c>
      <c r="I108" s="176" t="s">
        <v>74</v>
      </c>
      <c r="J108" s="222"/>
      <c r="K108" s="227"/>
      <c r="L108" s="178">
        <v>20</v>
      </c>
      <c r="M108" s="130">
        <f t="shared" si="173"/>
        <v>20</v>
      </c>
      <c r="N108" s="179">
        <v>0</v>
      </c>
      <c r="O108" s="130"/>
      <c r="P108" s="178">
        <v>20</v>
      </c>
      <c r="Q108" s="130">
        <f t="shared" si="174"/>
        <v>20</v>
      </c>
      <c r="R108" s="179">
        <v>0</v>
      </c>
      <c r="S108" s="130"/>
      <c r="T108" s="178">
        <v>20</v>
      </c>
      <c r="U108" s="130">
        <f t="shared" si="170"/>
        <v>30</v>
      </c>
      <c r="V108" s="179">
        <v>0</v>
      </c>
      <c r="W108" s="130"/>
      <c r="X108" s="178">
        <v>20</v>
      </c>
      <c r="Y108" s="130">
        <f t="shared" si="175"/>
        <v>20</v>
      </c>
      <c r="Z108" s="179">
        <v>0</v>
      </c>
      <c r="AA108" s="130"/>
      <c r="AB108" s="178">
        <v>20</v>
      </c>
      <c r="AC108" s="130">
        <f t="shared" si="176"/>
        <v>20</v>
      </c>
      <c r="AD108" s="179"/>
      <c r="AE108" s="130"/>
      <c r="AF108" s="178">
        <v>20</v>
      </c>
      <c r="AG108" s="130">
        <f t="shared" si="177"/>
        <v>20</v>
      </c>
      <c r="AH108" s="179"/>
      <c r="AI108" s="130"/>
      <c r="AJ108" s="178">
        <v>20</v>
      </c>
      <c r="AK108" s="130">
        <f t="shared" si="178"/>
        <v>20</v>
      </c>
      <c r="AL108" s="179"/>
      <c r="AM108" s="130"/>
      <c r="AN108" s="178">
        <v>20</v>
      </c>
      <c r="AO108" s="130">
        <f t="shared" si="171"/>
        <v>0</v>
      </c>
      <c r="AP108" s="179"/>
      <c r="AQ108" s="130"/>
      <c r="AR108" s="178">
        <v>20</v>
      </c>
      <c r="AS108" s="130">
        <f t="shared" si="179"/>
        <v>30</v>
      </c>
      <c r="AT108" s="179"/>
      <c r="AU108" s="130"/>
      <c r="AV108" s="178">
        <v>20</v>
      </c>
      <c r="AW108" s="130">
        <f t="shared" si="162"/>
        <v>0</v>
      </c>
      <c r="AX108" s="179"/>
      <c r="AY108" s="130"/>
      <c r="AZ108" s="178">
        <v>20</v>
      </c>
      <c r="BA108" s="130">
        <f t="shared" si="180"/>
        <v>20</v>
      </c>
      <c r="BB108" s="228"/>
      <c r="BC108" s="130"/>
      <c r="BD108" s="178">
        <v>20</v>
      </c>
      <c r="BE108" s="130">
        <f t="shared" si="172"/>
        <v>20</v>
      </c>
      <c r="BF108" s="109"/>
      <c r="BG108" s="130"/>
      <c r="BH108" s="180">
        <f t="shared" si="130"/>
        <v>240</v>
      </c>
      <c r="BI108" s="181">
        <f>Автовик_разбивка[[#This Row],[Цена, 
юань, без НДС 1]]*BH108</f>
        <v>0</v>
      </c>
      <c r="BJ108" s="130">
        <f t="shared" si="131"/>
        <v>220</v>
      </c>
      <c r="BK108" s="187">
        <f>Автовик_разбивка[[#This Row],[Цена, 
юань, без НДС 1]]*BJ108</f>
        <v>0</v>
      </c>
      <c r="BL108" s="109">
        <f t="shared" si="132"/>
        <v>0</v>
      </c>
      <c r="BM108" s="224">
        <f>Автовик_разбивка[[#This Row],[Цена, 
юань, без НДС 1]]*BL108</f>
        <v>0</v>
      </c>
      <c r="BN108" s="178"/>
      <c r="BO108" s="184"/>
      <c r="BP108" s="130">
        <f t="shared" si="115"/>
        <v>0</v>
      </c>
      <c r="BQ108" s="179"/>
      <c r="BR108" s="130"/>
      <c r="BS108" s="178"/>
      <c r="BT108" s="184"/>
      <c r="BU108" s="130">
        <f t="shared" si="181"/>
        <v>20</v>
      </c>
      <c r="BV108" s="179"/>
      <c r="BW108" s="130"/>
      <c r="BX108" s="178"/>
      <c r="BY108" s="184"/>
      <c r="BZ108" s="130">
        <f t="shared" si="182"/>
        <v>20</v>
      </c>
      <c r="CA108" s="179"/>
      <c r="CB108" s="130"/>
      <c r="CC108" s="178"/>
      <c r="CD108" s="184"/>
      <c r="CE108" s="130">
        <f t="shared" si="183"/>
        <v>20</v>
      </c>
      <c r="CF108" s="179"/>
      <c r="CG108" s="130"/>
      <c r="CH108" s="178"/>
      <c r="CI108" s="184"/>
      <c r="CJ108" s="130">
        <f t="shared" si="184"/>
        <v>20</v>
      </c>
      <c r="CK108" s="179"/>
      <c r="CL108" s="130"/>
      <c r="CM108" s="178"/>
      <c r="CN108" s="184"/>
      <c r="CO108" s="130">
        <f t="shared" si="185"/>
        <v>20</v>
      </c>
      <c r="CP108" s="179"/>
      <c r="CQ108" s="130"/>
      <c r="CR108" s="178"/>
      <c r="CS108" s="184"/>
      <c r="CT108" s="130">
        <f t="shared" si="186"/>
        <v>20</v>
      </c>
      <c r="CU108" s="179"/>
      <c r="CV108" s="130"/>
      <c r="CW108" s="178"/>
      <c r="CX108" s="184"/>
      <c r="CY108" s="130">
        <f t="shared" si="187"/>
        <v>20</v>
      </c>
      <c r="CZ108" s="179"/>
      <c r="DA108" s="130"/>
      <c r="DB108" s="178"/>
      <c r="DC108" s="184"/>
      <c r="DD108" s="130">
        <f t="shared" si="188"/>
        <v>20</v>
      </c>
      <c r="DE108" s="179"/>
      <c r="DF108" s="130"/>
      <c r="DG108" s="178"/>
      <c r="DH108" s="184"/>
      <c r="DI108" s="130">
        <f t="shared" si="189"/>
        <v>20</v>
      </c>
      <c r="DJ108" s="179"/>
      <c r="DK108" s="130"/>
      <c r="DL108" s="178"/>
      <c r="DM108" s="184"/>
      <c r="DN108" s="130">
        <f t="shared" si="190"/>
        <v>20</v>
      </c>
      <c r="DO108" s="228"/>
      <c r="DP108" s="130"/>
      <c r="DQ108" s="178"/>
      <c r="DR108" s="184"/>
      <c r="DS108" s="130">
        <f t="shared" si="191"/>
        <v>20</v>
      </c>
      <c r="DT108" s="109"/>
      <c r="DU108" s="130"/>
      <c r="DV108" s="180">
        <f t="shared" si="133"/>
        <v>0</v>
      </c>
      <c r="DW108" s="181">
        <f>Автовик_разбивка[[#This Row],[Цена, 
юань, без НДС 1]]*DV108</f>
        <v>0</v>
      </c>
      <c r="DX108" s="186">
        <f t="shared" si="134"/>
        <v>0</v>
      </c>
      <c r="DY108" s="186">
        <f>Автовик_разбивка[[#This Row],[Цена, 
юань, без НДС 1]]*DX108</f>
        <v>0</v>
      </c>
      <c r="DZ108" s="130">
        <f t="shared" si="135"/>
        <v>220</v>
      </c>
      <c r="EA108" s="187">
        <f>Автовик_разбивка[[#This Row],[Цена, 
юань, без НДС 1]]*DZ108</f>
        <v>0</v>
      </c>
      <c r="EB108" s="109">
        <f t="shared" si="136"/>
        <v>0</v>
      </c>
      <c r="EC108" s="224">
        <f>Автовик_разбивка[[#This Row],[Цена, 
юань, без НДС 1]]*EB108</f>
        <v>0</v>
      </c>
    </row>
    <row r="109" spans="1:133">
      <c r="A109" s="256">
        <v>22</v>
      </c>
      <c r="B109" s="172" t="s">
        <v>320</v>
      </c>
      <c r="C109" s="173" t="s">
        <v>298</v>
      </c>
      <c r="D109" s="173" t="s">
        <v>311</v>
      </c>
      <c r="E109" s="174">
        <v>1</v>
      </c>
      <c r="F109" s="174"/>
      <c r="G109" s="174"/>
      <c r="H109" s="175">
        <v>9710029000</v>
      </c>
      <c r="I109" s="176" t="s">
        <v>75</v>
      </c>
      <c r="J109" s="222"/>
      <c r="K109" s="227"/>
      <c r="L109" s="178">
        <v>20</v>
      </c>
      <c r="M109" s="130">
        <f t="shared" si="173"/>
        <v>20</v>
      </c>
      <c r="N109" s="179">
        <v>0</v>
      </c>
      <c r="O109" s="130"/>
      <c r="P109" s="178">
        <v>20</v>
      </c>
      <c r="Q109" s="130">
        <f t="shared" si="174"/>
        <v>20</v>
      </c>
      <c r="R109" s="179">
        <v>0</v>
      </c>
      <c r="S109" s="130"/>
      <c r="T109" s="178">
        <v>20</v>
      </c>
      <c r="U109" s="130">
        <f t="shared" si="170"/>
        <v>30</v>
      </c>
      <c r="V109" s="179">
        <v>0</v>
      </c>
      <c r="W109" s="130"/>
      <c r="X109" s="178">
        <v>20</v>
      </c>
      <c r="Y109" s="130">
        <f t="shared" si="175"/>
        <v>20</v>
      </c>
      <c r="Z109" s="179">
        <v>0</v>
      </c>
      <c r="AA109" s="130"/>
      <c r="AB109" s="178">
        <v>20</v>
      </c>
      <c r="AC109" s="130">
        <f t="shared" si="176"/>
        <v>20</v>
      </c>
      <c r="AD109" s="109"/>
      <c r="AE109" s="252"/>
      <c r="AF109" s="178">
        <v>20</v>
      </c>
      <c r="AG109" s="130">
        <f t="shared" si="177"/>
        <v>20</v>
      </c>
      <c r="AH109" s="109"/>
      <c r="AI109" s="252"/>
      <c r="AJ109" s="178">
        <v>20</v>
      </c>
      <c r="AK109" s="130">
        <f t="shared" si="178"/>
        <v>20</v>
      </c>
      <c r="AL109" s="109"/>
      <c r="AM109" s="252"/>
      <c r="AN109" s="178">
        <v>20</v>
      </c>
      <c r="AO109" s="130">
        <f t="shared" si="171"/>
        <v>0</v>
      </c>
      <c r="AP109" s="109"/>
      <c r="AQ109" s="252"/>
      <c r="AR109" s="178">
        <v>20</v>
      </c>
      <c r="AS109" s="130">
        <f t="shared" si="179"/>
        <v>30</v>
      </c>
      <c r="AT109" s="109"/>
      <c r="AU109" s="252"/>
      <c r="AV109" s="178">
        <v>20</v>
      </c>
      <c r="AW109" s="130">
        <f t="shared" si="162"/>
        <v>0</v>
      </c>
      <c r="AX109" s="109"/>
      <c r="AY109" s="252"/>
      <c r="AZ109" s="178">
        <v>20</v>
      </c>
      <c r="BA109" s="130">
        <f t="shared" si="180"/>
        <v>20</v>
      </c>
      <c r="BB109" s="194"/>
      <c r="BC109" s="252"/>
      <c r="BD109" s="178">
        <v>20</v>
      </c>
      <c r="BE109" s="130">
        <f t="shared" si="172"/>
        <v>20</v>
      </c>
      <c r="BF109" s="109"/>
      <c r="BG109" s="252"/>
      <c r="BH109" s="180">
        <f t="shared" si="130"/>
        <v>240</v>
      </c>
      <c r="BI109" s="181">
        <f>Автовик_разбивка[[#This Row],[Цена, 
юань, без НДС 1]]*BH109</f>
        <v>0</v>
      </c>
      <c r="BJ109" s="130">
        <f t="shared" si="131"/>
        <v>220</v>
      </c>
      <c r="BK109" s="187">
        <f>Автовик_разбивка[[#This Row],[Цена, 
юань, без НДС 1]]*BJ109</f>
        <v>0</v>
      </c>
      <c r="BL109" s="109">
        <f t="shared" si="132"/>
        <v>0</v>
      </c>
      <c r="BM109" s="224">
        <f>Автовик_разбивка[[#This Row],[Цена, 
юань, без НДС 1]]*BL109</f>
        <v>0</v>
      </c>
      <c r="BN109" s="178"/>
      <c r="BO109" s="184"/>
      <c r="BP109" s="130">
        <f t="shared" si="115"/>
        <v>0</v>
      </c>
      <c r="BQ109" s="179"/>
      <c r="BR109" s="130"/>
      <c r="BS109" s="178"/>
      <c r="BT109" s="184"/>
      <c r="BU109" s="130">
        <f t="shared" si="181"/>
        <v>20</v>
      </c>
      <c r="BV109" s="179"/>
      <c r="BW109" s="130"/>
      <c r="BX109" s="178"/>
      <c r="BY109" s="184"/>
      <c r="BZ109" s="130">
        <f t="shared" si="182"/>
        <v>20</v>
      </c>
      <c r="CA109" s="179"/>
      <c r="CB109" s="130"/>
      <c r="CC109" s="178"/>
      <c r="CD109" s="184"/>
      <c r="CE109" s="130">
        <f t="shared" si="183"/>
        <v>20</v>
      </c>
      <c r="CF109" s="179"/>
      <c r="CG109" s="130"/>
      <c r="CH109" s="178"/>
      <c r="CI109" s="184"/>
      <c r="CJ109" s="130">
        <f t="shared" si="184"/>
        <v>20</v>
      </c>
      <c r="CK109" s="109"/>
      <c r="CL109" s="252"/>
      <c r="CM109" s="178"/>
      <c r="CN109" s="184"/>
      <c r="CO109" s="130">
        <f t="shared" si="185"/>
        <v>20</v>
      </c>
      <c r="CP109" s="109"/>
      <c r="CQ109" s="252"/>
      <c r="CR109" s="178"/>
      <c r="CS109" s="184"/>
      <c r="CT109" s="130">
        <f t="shared" si="186"/>
        <v>20</v>
      </c>
      <c r="CU109" s="109"/>
      <c r="CV109" s="252"/>
      <c r="CW109" s="178"/>
      <c r="CX109" s="184"/>
      <c r="CY109" s="130">
        <f t="shared" si="187"/>
        <v>20</v>
      </c>
      <c r="CZ109" s="109"/>
      <c r="DA109" s="252"/>
      <c r="DB109" s="178"/>
      <c r="DC109" s="184"/>
      <c r="DD109" s="130">
        <f t="shared" si="188"/>
        <v>20</v>
      </c>
      <c r="DE109" s="109"/>
      <c r="DF109" s="252"/>
      <c r="DG109" s="178"/>
      <c r="DH109" s="184"/>
      <c r="DI109" s="130">
        <f t="shared" si="189"/>
        <v>20</v>
      </c>
      <c r="DJ109" s="109"/>
      <c r="DK109" s="252"/>
      <c r="DL109" s="178"/>
      <c r="DM109" s="184"/>
      <c r="DN109" s="130">
        <f t="shared" si="190"/>
        <v>20</v>
      </c>
      <c r="DO109" s="194"/>
      <c r="DP109" s="252"/>
      <c r="DQ109" s="178"/>
      <c r="DR109" s="184"/>
      <c r="DS109" s="130">
        <f t="shared" si="191"/>
        <v>20</v>
      </c>
      <c r="DT109" s="109"/>
      <c r="DU109" s="252"/>
      <c r="DV109" s="180">
        <f t="shared" si="133"/>
        <v>0</v>
      </c>
      <c r="DW109" s="181">
        <f>Автовик_разбивка[[#This Row],[Цена, 
юань, без НДС 1]]*DV109</f>
        <v>0</v>
      </c>
      <c r="DX109" s="186">
        <f t="shared" si="134"/>
        <v>0</v>
      </c>
      <c r="DY109" s="186">
        <f>Автовик_разбивка[[#This Row],[Цена, 
юань, без НДС 1]]*DX109</f>
        <v>0</v>
      </c>
      <c r="DZ109" s="130">
        <f t="shared" si="135"/>
        <v>220</v>
      </c>
      <c r="EA109" s="187">
        <f>Автовик_разбивка[[#This Row],[Цена, 
юань, без НДС 1]]*DZ109</f>
        <v>0</v>
      </c>
      <c r="EB109" s="109">
        <f t="shared" si="136"/>
        <v>0</v>
      </c>
      <c r="EC109" s="224">
        <f>Автовик_разбивка[[#This Row],[Цена, 
юань, без НДС 1]]*EB109</f>
        <v>0</v>
      </c>
    </row>
    <row r="110" spans="1:133">
      <c r="A110" s="256">
        <v>22</v>
      </c>
      <c r="B110" s="172" t="s">
        <v>320</v>
      </c>
      <c r="C110" s="173" t="s">
        <v>305</v>
      </c>
      <c r="D110" s="173" t="s">
        <v>306</v>
      </c>
      <c r="E110" s="174">
        <v>1</v>
      </c>
      <c r="F110" s="174"/>
      <c r="G110" s="204">
        <v>2</v>
      </c>
      <c r="H110" s="205">
        <v>4334010030</v>
      </c>
      <c r="I110" s="206" t="s">
        <v>81</v>
      </c>
      <c r="J110" s="222"/>
      <c r="K110" s="223"/>
      <c r="L110" s="178"/>
      <c r="M110" s="130"/>
      <c r="N110" s="179"/>
      <c r="O110" s="130"/>
      <c r="P110" s="178"/>
      <c r="Q110" s="130">
        <f t="shared" ref="Q110:Q122" si="192">$E110*1</f>
        <v>1</v>
      </c>
      <c r="R110" s="179">
        <v>1</v>
      </c>
      <c r="S110" s="130"/>
      <c r="T110" s="178"/>
      <c r="U110" s="130"/>
      <c r="V110" s="179"/>
      <c r="W110" s="130"/>
      <c r="X110" s="178"/>
      <c r="Y110" s="130"/>
      <c r="Z110" s="179"/>
      <c r="AA110" s="130"/>
      <c r="AB110" s="178"/>
      <c r="AC110" s="130"/>
      <c r="AD110" s="179"/>
      <c r="AE110" s="130"/>
      <c r="AF110" s="178"/>
      <c r="AG110" s="130"/>
      <c r="AH110" s="179"/>
      <c r="AI110" s="130"/>
      <c r="AJ110" s="178"/>
      <c r="AK110" s="130"/>
      <c r="AL110" s="179"/>
      <c r="AM110" s="130"/>
      <c r="AN110" s="178"/>
      <c r="AO110" s="130"/>
      <c r="AP110" s="179"/>
      <c r="AQ110" s="130"/>
      <c r="AR110" s="178"/>
      <c r="AS110" s="130"/>
      <c r="AT110" s="179"/>
      <c r="AU110" s="130"/>
      <c r="AV110" s="178"/>
      <c r="AW110" s="130"/>
      <c r="AX110" s="179"/>
      <c r="AY110" s="130"/>
      <c r="AZ110" s="178"/>
      <c r="BA110" s="130"/>
      <c r="BB110" s="194"/>
      <c r="BC110" s="130"/>
      <c r="BD110" s="178"/>
      <c r="BE110" s="130"/>
      <c r="BF110" s="109"/>
      <c r="BG110" s="130"/>
      <c r="BH110" s="180">
        <f t="shared" si="130"/>
        <v>0</v>
      </c>
      <c r="BI110" s="181">
        <f>Автовик_разбивка[[#This Row],[Цена, 
юань, без НДС 1]]*BH110</f>
        <v>0</v>
      </c>
      <c r="BJ110" s="130">
        <f t="shared" si="131"/>
        <v>1</v>
      </c>
      <c r="BK110" s="187">
        <f>Автовик_разбивка[[#This Row],[Цена, 
юань, без НДС 1]]*BJ110</f>
        <v>0</v>
      </c>
      <c r="BL110" s="109">
        <f t="shared" si="132"/>
        <v>1</v>
      </c>
      <c r="BM110" s="224">
        <f>Автовик_разбивка[[#This Row],[Цена, 
юань, без НДС 1]]*BL110</f>
        <v>0</v>
      </c>
      <c r="BN110" s="178"/>
      <c r="BO110" s="184"/>
      <c r="BP110" s="130"/>
      <c r="BQ110" s="179"/>
      <c r="BR110" s="130"/>
      <c r="BS110" s="178"/>
      <c r="BT110" s="184"/>
      <c r="BU110" s="130"/>
      <c r="BV110" s="179"/>
      <c r="BW110" s="130"/>
      <c r="BX110" s="178"/>
      <c r="BY110" s="184"/>
      <c r="BZ110" s="130"/>
      <c r="CA110" s="179"/>
      <c r="CB110" s="130"/>
      <c r="CC110" s="178"/>
      <c r="CD110" s="184"/>
      <c r="CE110" s="130"/>
      <c r="CF110" s="179"/>
      <c r="CG110" s="130"/>
      <c r="CH110" s="178"/>
      <c r="CI110" s="184"/>
      <c r="CJ110" s="130"/>
      <c r="CK110" s="179"/>
      <c r="CL110" s="130"/>
      <c r="CM110" s="178"/>
      <c r="CN110" s="184"/>
      <c r="CO110" s="130"/>
      <c r="CP110" s="179"/>
      <c r="CQ110" s="130"/>
      <c r="CR110" s="178"/>
      <c r="CS110" s="184"/>
      <c r="CT110" s="130"/>
      <c r="CU110" s="179"/>
      <c r="CV110" s="130"/>
      <c r="CW110" s="178"/>
      <c r="CX110" s="184"/>
      <c r="CY110" s="130"/>
      <c r="CZ110" s="179"/>
      <c r="DA110" s="130"/>
      <c r="DB110" s="178"/>
      <c r="DC110" s="184"/>
      <c r="DD110" s="130"/>
      <c r="DE110" s="179"/>
      <c r="DF110" s="130"/>
      <c r="DG110" s="178"/>
      <c r="DH110" s="184"/>
      <c r="DI110" s="130"/>
      <c r="DJ110" s="179"/>
      <c r="DK110" s="130"/>
      <c r="DL110" s="178"/>
      <c r="DM110" s="184"/>
      <c r="DN110" s="130"/>
      <c r="DO110" s="194"/>
      <c r="DP110" s="130"/>
      <c r="DQ110" s="178"/>
      <c r="DR110" s="184"/>
      <c r="DS110" s="130"/>
      <c r="DT110" s="109"/>
      <c r="DU110" s="130"/>
      <c r="DV110" s="180">
        <f t="shared" si="133"/>
        <v>0</v>
      </c>
      <c r="DW110" s="181">
        <f>Автовик_разбивка[[#This Row],[Цена, 
юань, без НДС 1]]*DV110</f>
        <v>0</v>
      </c>
      <c r="DX110" s="186">
        <f t="shared" si="134"/>
        <v>0</v>
      </c>
      <c r="DY110" s="186">
        <f>Автовик_разбивка[[#This Row],[Цена, 
юань, без НДС 1]]*DX110</f>
        <v>0</v>
      </c>
      <c r="DZ110" s="130">
        <f t="shared" si="135"/>
        <v>0</v>
      </c>
      <c r="EA110" s="187">
        <f>Автовик_разбивка[[#This Row],[Цена, 
юань, без НДС 1]]*DZ110</f>
        <v>0</v>
      </c>
      <c r="EB110" s="109">
        <f t="shared" si="136"/>
        <v>0</v>
      </c>
      <c r="EC110" s="224">
        <f>Автовик_разбивка[[#This Row],[Цена, 
юань, без НДС 1]]*EB110</f>
        <v>0</v>
      </c>
    </row>
    <row r="111" spans="1:133">
      <c r="A111" s="256">
        <v>22</v>
      </c>
      <c r="B111" s="172" t="s">
        <v>320</v>
      </c>
      <c r="C111" s="173" t="s">
        <v>305</v>
      </c>
      <c r="D111" s="173" t="s">
        <v>306</v>
      </c>
      <c r="E111" s="174">
        <v>1</v>
      </c>
      <c r="F111" s="174"/>
      <c r="G111" s="204"/>
      <c r="H111" s="205">
        <v>4341001250</v>
      </c>
      <c r="I111" s="206" t="s">
        <v>92</v>
      </c>
      <c r="J111" s="222"/>
      <c r="K111" s="223"/>
      <c r="L111" s="178"/>
      <c r="M111" s="130"/>
      <c r="N111" s="179"/>
      <c r="O111" s="130"/>
      <c r="P111" s="178"/>
      <c r="Q111" s="130">
        <f t="shared" si="192"/>
        <v>1</v>
      </c>
      <c r="R111" s="179">
        <v>1</v>
      </c>
      <c r="S111" s="130"/>
      <c r="T111" s="178"/>
      <c r="U111" s="130"/>
      <c r="V111" s="179"/>
      <c r="W111" s="130"/>
      <c r="X111" s="178"/>
      <c r="Y111" s="130"/>
      <c r="Z111" s="179"/>
      <c r="AA111" s="130"/>
      <c r="AB111" s="178"/>
      <c r="AC111" s="130"/>
      <c r="AD111" s="179"/>
      <c r="AE111" s="130"/>
      <c r="AF111" s="178"/>
      <c r="AG111" s="130"/>
      <c r="AH111" s="179"/>
      <c r="AI111" s="130"/>
      <c r="AJ111" s="178"/>
      <c r="AK111" s="130"/>
      <c r="AL111" s="179"/>
      <c r="AM111" s="130"/>
      <c r="AN111" s="178"/>
      <c r="AO111" s="130"/>
      <c r="AP111" s="179"/>
      <c r="AQ111" s="130"/>
      <c r="AR111" s="178"/>
      <c r="AS111" s="130"/>
      <c r="AT111" s="179"/>
      <c r="AU111" s="130"/>
      <c r="AV111" s="178"/>
      <c r="AW111" s="130"/>
      <c r="AX111" s="179"/>
      <c r="AY111" s="130"/>
      <c r="AZ111" s="178"/>
      <c r="BA111" s="130"/>
      <c r="BB111" s="194"/>
      <c r="BC111" s="130"/>
      <c r="BD111" s="178"/>
      <c r="BE111" s="130"/>
      <c r="BF111" s="109"/>
      <c r="BG111" s="130"/>
      <c r="BH111" s="180">
        <f t="shared" si="130"/>
        <v>0</v>
      </c>
      <c r="BI111" s="181">
        <f>Автовик_разбивка[[#This Row],[Цена, 
юань, без НДС 1]]*BH111</f>
        <v>0</v>
      </c>
      <c r="BJ111" s="130">
        <f t="shared" si="131"/>
        <v>1</v>
      </c>
      <c r="BK111" s="187">
        <f>Автовик_разбивка[[#This Row],[Цена, 
юань, без НДС 1]]*BJ111</f>
        <v>0</v>
      </c>
      <c r="BL111" s="109">
        <f t="shared" si="132"/>
        <v>1</v>
      </c>
      <c r="BM111" s="224">
        <f>Автовик_разбивка[[#This Row],[Цена, 
юань, без НДС 1]]*BL111</f>
        <v>0</v>
      </c>
      <c r="BN111" s="178"/>
      <c r="BO111" s="184"/>
      <c r="BP111" s="130"/>
      <c r="BQ111" s="179"/>
      <c r="BR111" s="130"/>
      <c r="BS111" s="178"/>
      <c r="BT111" s="184"/>
      <c r="BU111" s="130"/>
      <c r="BV111" s="179"/>
      <c r="BW111" s="130"/>
      <c r="BX111" s="178"/>
      <c r="BY111" s="184"/>
      <c r="BZ111" s="130"/>
      <c r="CA111" s="179"/>
      <c r="CB111" s="130"/>
      <c r="CC111" s="178"/>
      <c r="CD111" s="184"/>
      <c r="CE111" s="130"/>
      <c r="CF111" s="179"/>
      <c r="CG111" s="130"/>
      <c r="CH111" s="178"/>
      <c r="CI111" s="184"/>
      <c r="CJ111" s="130"/>
      <c r="CK111" s="179"/>
      <c r="CL111" s="130"/>
      <c r="CM111" s="178"/>
      <c r="CN111" s="184"/>
      <c r="CO111" s="130"/>
      <c r="CP111" s="179"/>
      <c r="CQ111" s="130"/>
      <c r="CR111" s="178"/>
      <c r="CS111" s="184"/>
      <c r="CT111" s="130"/>
      <c r="CU111" s="179"/>
      <c r="CV111" s="130"/>
      <c r="CW111" s="178"/>
      <c r="CX111" s="184"/>
      <c r="CY111" s="130"/>
      <c r="CZ111" s="179"/>
      <c r="DA111" s="130"/>
      <c r="DB111" s="178"/>
      <c r="DC111" s="184"/>
      <c r="DD111" s="130"/>
      <c r="DE111" s="179"/>
      <c r="DF111" s="130"/>
      <c r="DG111" s="178"/>
      <c r="DH111" s="184"/>
      <c r="DI111" s="130"/>
      <c r="DJ111" s="179"/>
      <c r="DK111" s="130"/>
      <c r="DL111" s="178"/>
      <c r="DM111" s="184"/>
      <c r="DN111" s="130"/>
      <c r="DO111" s="194"/>
      <c r="DP111" s="130"/>
      <c r="DQ111" s="178"/>
      <c r="DR111" s="184"/>
      <c r="DS111" s="130"/>
      <c r="DT111" s="109"/>
      <c r="DU111" s="130"/>
      <c r="DV111" s="180">
        <f t="shared" si="133"/>
        <v>0</v>
      </c>
      <c r="DW111" s="181">
        <f>Автовик_разбивка[[#This Row],[Цена, 
юань, без НДС 1]]*DV111</f>
        <v>0</v>
      </c>
      <c r="DX111" s="186">
        <f t="shared" si="134"/>
        <v>0</v>
      </c>
      <c r="DY111" s="186">
        <f>Автовик_разбивка[[#This Row],[Цена, 
юань, без НДС 1]]*DX111</f>
        <v>0</v>
      </c>
      <c r="DZ111" s="130">
        <f t="shared" si="135"/>
        <v>0</v>
      </c>
      <c r="EA111" s="187">
        <f>Автовик_разбивка[[#This Row],[Цена, 
юань, без НДС 1]]*DZ111</f>
        <v>0</v>
      </c>
      <c r="EB111" s="109">
        <f t="shared" si="136"/>
        <v>0</v>
      </c>
      <c r="EC111" s="224">
        <f>Автовик_разбивка[[#This Row],[Цена, 
юань, без НДС 1]]*EB111</f>
        <v>0</v>
      </c>
    </row>
    <row r="112" spans="1:133">
      <c r="A112" s="256">
        <v>22</v>
      </c>
      <c r="B112" s="172" t="s">
        <v>320</v>
      </c>
      <c r="C112" s="173" t="s">
        <v>305</v>
      </c>
      <c r="D112" s="173" t="s">
        <v>306</v>
      </c>
      <c r="E112" s="174">
        <v>1</v>
      </c>
      <c r="F112" s="174"/>
      <c r="G112" s="204">
        <v>2</v>
      </c>
      <c r="H112" s="205">
        <v>4491731200</v>
      </c>
      <c r="I112" s="206" t="s">
        <v>157</v>
      </c>
      <c r="J112" s="222"/>
      <c r="K112" s="223"/>
      <c r="L112" s="178"/>
      <c r="M112" s="130"/>
      <c r="N112" s="179"/>
      <c r="O112" s="130"/>
      <c r="P112" s="178"/>
      <c r="Q112" s="130">
        <f t="shared" si="192"/>
        <v>1</v>
      </c>
      <c r="R112" s="179">
        <v>1</v>
      </c>
      <c r="S112" s="130"/>
      <c r="T112" s="178"/>
      <c r="U112" s="130"/>
      <c r="V112" s="179"/>
      <c r="W112" s="130"/>
      <c r="X112" s="178"/>
      <c r="Y112" s="130"/>
      <c r="Z112" s="179"/>
      <c r="AA112" s="130"/>
      <c r="AB112" s="178"/>
      <c r="AC112" s="130"/>
      <c r="AD112" s="179"/>
      <c r="AE112" s="130"/>
      <c r="AF112" s="178"/>
      <c r="AG112" s="130"/>
      <c r="AH112" s="179"/>
      <c r="AI112" s="130"/>
      <c r="AJ112" s="178"/>
      <c r="AK112" s="130"/>
      <c r="AL112" s="179"/>
      <c r="AM112" s="130"/>
      <c r="AN112" s="178"/>
      <c r="AO112" s="130"/>
      <c r="AP112" s="179"/>
      <c r="AQ112" s="130"/>
      <c r="AR112" s="178"/>
      <c r="AS112" s="130"/>
      <c r="AT112" s="179"/>
      <c r="AU112" s="130"/>
      <c r="AV112" s="178"/>
      <c r="AW112" s="130"/>
      <c r="AX112" s="179"/>
      <c r="AY112" s="130"/>
      <c r="AZ112" s="178"/>
      <c r="BA112" s="130"/>
      <c r="BB112" s="194"/>
      <c r="BC112" s="130"/>
      <c r="BD112" s="178"/>
      <c r="BE112" s="130"/>
      <c r="BF112" s="109"/>
      <c r="BG112" s="130"/>
      <c r="BH112" s="180">
        <f t="shared" si="130"/>
        <v>0</v>
      </c>
      <c r="BI112" s="181">
        <f>Автовик_разбивка[[#This Row],[Цена, 
юань, без НДС 1]]*BH112</f>
        <v>0</v>
      </c>
      <c r="BJ112" s="130">
        <f t="shared" si="131"/>
        <v>1</v>
      </c>
      <c r="BK112" s="187">
        <f>Автовик_разбивка[[#This Row],[Цена, 
юань, без НДС 1]]*BJ112</f>
        <v>0</v>
      </c>
      <c r="BL112" s="109">
        <f t="shared" si="132"/>
        <v>1</v>
      </c>
      <c r="BM112" s="224">
        <f>Автовик_разбивка[[#This Row],[Цена, 
юань, без НДС 1]]*BL112</f>
        <v>0</v>
      </c>
      <c r="BN112" s="178"/>
      <c r="BO112" s="184"/>
      <c r="BP112" s="130"/>
      <c r="BQ112" s="179"/>
      <c r="BR112" s="130"/>
      <c r="BS112" s="178"/>
      <c r="BT112" s="184"/>
      <c r="BU112" s="130"/>
      <c r="BV112" s="179"/>
      <c r="BW112" s="130"/>
      <c r="BX112" s="178"/>
      <c r="BY112" s="184"/>
      <c r="BZ112" s="130"/>
      <c r="CA112" s="179"/>
      <c r="CB112" s="130"/>
      <c r="CC112" s="178"/>
      <c r="CD112" s="184"/>
      <c r="CE112" s="130"/>
      <c r="CF112" s="179"/>
      <c r="CG112" s="130"/>
      <c r="CH112" s="178"/>
      <c r="CI112" s="184"/>
      <c r="CJ112" s="130"/>
      <c r="CK112" s="179"/>
      <c r="CL112" s="130"/>
      <c r="CM112" s="178"/>
      <c r="CN112" s="184"/>
      <c r="CO112" s="130"/>
      <c r="CP112" s="179"/>
      <c r="CQ112" s="130"/>
      <c r="CR112" s="178"/>
      <c r="CS112" s="184"/>
      <c r="CT112" s="130"/>
      <c r="CU112" s="179"/>
      <c r="CV112" s="130"/>
      <c r="CW112" s="178"/>
      <c r="CX112" s="184"/>
      <c r="CY112" s="130"/>
      <c r="CZ112" s="179"/>
      <c r="DA112" s="130"/>
      <c r="DB112" s="178"/>
      <c r="DC112" s="184"/>
      <c r="DD112" s="130"/>
      <c r="DE112" s="179"/>
      <c r="DF112" s="130"/>
      <c r="DG112" s="178"/>
      <c r="DH112" s="184"/>
      <c r="DI112" s="130"/>
      <c r="DJ112" s="179"/>
      <c r="DK112" s="130"/>
      <c r="DL112" s="178"/>
      <c r="DM112" s="184"/>
      <c r="DN112" s="130"/>
      <c r="DO112" s="194"/>
      <c r="DP112" s="130"/>
      <c r="DQ112" s="178"/>
      <c r="DR112" s="184"/>
      <c r="DS112" s="130"/>
      <c r="DT112" s="109"/>
      <c r="DU112" s="130"/>
      <c r="DV112" s="180">
        <f t="shared" si="133"/>
        <v>0</v>
      </c>
      <c r="DW112" s="181">
        <f>Автовик_разбивка[[#This Row],[Цена, 
юань, без НДС 1]]*DV112</f>
        <v>0</v>
      </c>
      <c r="DX112" s="186">
        <f t="shared" si="134"/>
        <v>0</v>
      </c>
      <c r="DY112" s="186">
        <f>Автовик_разбивка[[#This Row],[Цена, 
юань, без НДС 1]]*DX112</f>
        <v>0</v>
      </c>
      <c r="DZ112" s="130">
        <f t="shared" si="135"/>
        <v>0</v>
      </c>
      <c r="EA112" s="187">
        <f>Автовик_разбивка[[#This Row],[Цена, 
юань, без НДС 1]]*DZ112</f>
        <v>0</v>
      </c>
      <c r="EB112" s="109">
        <f t="shared" si="136"/>
        <v>0</v>
      </c>
      <c r="EC112" s="224">
        <f>Автовик_разбивка[[#This Row],[Цена, 
юань, без НДС 1]]*EB112</f>
        <v>0</v>
      </c>
    </row>
    <row r="113" spans="1:133">
      <c r="A113" s="256">
        <v>22</v>
      </c>
      <c r="B113" s="172" t="s">
        <v>320</v>
      </c>
      <c r="C113" s="173" t="s">
        <v>305</v>
      </c>
      <c r="D113" s="173" t="s">
        <v>306</v>
      </c>
      <c r="E113" s="174">
        <v>1</v>
      </c>
      <c r="F113" s="174"/>
      <c r="G113" s="204">
        <v>2</v>
      </c>
      <c r="H113" s="205">
        <v>4494290800</v>
      </c>
      <c r="I113" s="206" t="s">
        <v>113</v>
      </c>
      <c r="J113" s="222"/>
      <c r="K113" s="223"/>
      <c r="L113" s="178"/>
      <c r="M113" s="130"/>
      <c r="N113" s="179"/>
      <c r="O113" s="130"/>
      <c r="P113" s="178"/>
      <c r="Q113" s="130">
        <f t="shared" si="192"/>
        <v>1</v>
      </c>
      <c r="R113" s="179">
        <v>1</v>
      </c>
      <c r="S113" s="130"/>
      <c r="T113" s="178"/>
      <c r="U113" s="130"/>
      <c r="V113" s="179"/>
      <c r="W113" s="130"/>
      <c r="X113" s="178"/>
      <c r="Y113" s="130"/>
      <c r="Z113" s="179"/>
      <c r="AA113" s="130"/>
      <c r="AB113" s="178"/>
      <c r="AC113" s="130"/>
      <c r="AD113" s="179"/>
      <c r="AE113" s="130"/>
      <c r="AF113" s="178"/>
      <c r="AG113" s="130"/>
      <c r="AH113" s="179"/>
      <c r="AI113" s="130"/>
      <c r="AJ113" s="178"/>
      <c r="AK113" s="130"/>
      <c r="AL113" s="179"/>
      <c r="AM113" s="130"/>
      <c r="AN113" s="178"/>
      <c r="AO113" s="130"/>
      <c r="AP113" s="179"/>
      <c r="AQ113" s="130"/>
      <c r="AR113" s="178"/>
      <c r="AS113" s="130"/>
      <c r="AT113" s="179"/>
      <c r="AU113" s="130"/>
      <c r="AV113" s="178"/>
      <c r="AW113" s="130"/>
      <c r="AX113" s="179"/>
      <c r="AY113" s="130"/>
      <c r="AZ113" s="178"/>
      <c r="BA113" s="130"/>
      <c r="BB113" s="194"/>
      <c r="BC113" s="130"/>
      <c r="BD113" s="178"/>
      <c r="BE113" s="130"/>
      <c r="BF113" s="109"/>
      <c r="BG113" s="130"/>
      <c r="BH113" s="180">
        <f t="shared" si="130"/>
        <v>0</v>
      </c>
      <c r="BI113" s="181">
        <f>Автовик_разбивка[[#This Row],[Цена, 
юань, без НДС 1]]*BH113</f>
        <v>0</v>
      </c>
      <c r="BJ113" s="130">
        <f t="shared" si="131"/>
        <v>1</v>
      </c>
      <c r="BK113" s="187">
        <f>Автовик_разбивка[[#This Row],[Цена, 
юань, без НДС 1]]*BJ113</f>
        <v>0</v>
      </c>
      <c r="BL113" s="109">
        <f t="shared" si="132"/>
        <v>1</v>
      </c>
      <c r="BM113" s="224">
        <f>Автовик_разбивка[[#This Row],[Цена, 
юань, без НДС 1]]*BL113</f>
        <v>0</v>
      </c>
      <c r="BN113" s="178"/>
      <c r="BO113" s="184"/>
      <c r="BP113" s="130"/>
      <c r="BQ113" s="179"/>
      <c r="BR113" s="130"/>
      <c r="BS113" s="178"/>
      <c r="BT113" s="184"/>
      <c r="BU113" s="130"/>
      <c r="BV113" s="179"/>
      <c r="BW113" s="130"/>
      <c r="BX113" s="178"/>
      <c r="BY113" s="184"/>
      <c r="BZ113" s="130"/>
      <c r="CA113" s="179"/>
      <c r="CB113" s="130"/>
      <c r="CC113" s="178"/>
      <c r="CD113" s="184"/>
      <c r="CE113" s="130"/>
      <c r="CF113" s="179"/>
      <c r="CG113" s="130"/>
      <c r="CH113" s="178"/>
      <c r="CI113" s="184"/>
      <c r="CJ113" s="130"/>
      <c r="CK113" s="179"/>
      <c r="CL113" s="130"/>
      <c r="CM113" s="178"/>
      <c r="CN113" s="184"/>
      <c r="CO113" s="130"/>
      <c r="CP113" s="179"/>
      <c r="CQ113" s="130"/>
      <c r="CR113" s="178"/>
      <c r="CS113" s="184"/>
      <c r="CT113" s="130"/>
      <c r="CU113" s="179"/>
      <c r="CV113" s="130"/>
      <c r="CW113" s="178"/>
      <c r="CX113" s="184"/>
      <c r="CY113" s="130"/>
      <c r="CZ113" s="179"/>
      <c r="DA113" s="130"/>
      <c r="DB113" s="178"/>
      <c r="DC113" s="184"/>
      <c r="DD113" s="130"/>
      <c r="DE113" s="179"/>
      <c r="DF113" s="130"/>
      <c r="DG113" s="178"/>
      <c r="DH113" s="184"/>
      <c r="DI113" s="130"/>
      <c r="DJ113" s="179"/>
      <c r="DK113" s="130"/>
      <c r="DL113" s="178"/>
      <c r="DM113" s="184"/>
      <c r="DN113" s="130"/>
      <c r="DO113" s="194"/>
      <c r="DP113" s="130"/>
      <c r="DQ113" s="178"/>
      <c r="DR113" s="184"/>
      <c r="DS113" s="130"/>
      <c r="DT113" s="109"/>
      <c r="DU113" s="130"/>
      <c r="DV113" s="180">
        <f t="shared" si="133"/>
        <v>0</v>
      </c>
      <c r="DW113" s="181">
        <f>Автовик_разбивка[[#This Row],[Цена, 
юань, без НДС 1]]*DV113</f>
        <v>0</v>
      </c>
      <c r="DX113" s="186">
        <f t="shared" si="134"/>
        <v>0</v>
      </c>
      <c r="DY113" s="186">
        <f>Автовик_разбивка[[#This Row],[Цена, 
юань, без НДС 1]]*DX113</f>
        <v>0</v>
      </c>
      <c r="DZ113" s="130">
        <f t="shared" si="135"/>
        <v>0</v>
      </c>
      <c r="EA113" s="187">
        <f>Автовик_разбивка[[#This Row],[Цена, 
юань, без НДС 1]]*DZ113</f>
        <v>0</v>
      </c>
      <c r="EB113" s="109">
        <f t="shared" si="136"/>
        <v>0</v>
      </c>
      <c r="EC113" s="224">
        <f>Автовик_разбивка[[#This Row],[Цена, 
юань, без НДС 1]]*EB113</f>
        <v>0</v>
      </c>
    </row>
    <row r="114" spans="1:133">
      <c r="A114" s="256">
        <v>22</v>
      </c>
      <c r="B114" s="172" t="s">
        <v>320</v>
      </c>
      <c r="C114" s="173" t="s">
        <v>305</v>
      </c>
      <c r="D114" s="173" t="s">
        <v>306</v>
      </c>
      <c r="E114" s="174">
        <v>4</v>
      </c>
      <c r="F114" s="174"/>
      <c r="G114" s="204">
        <v>2</v>
      </c>
      <c r="H114" s="205">
        <v>4497230300</v>
      </c>
      <c r="I114" s="206" t="s">
        <v>111</v>
      </c>
      <c r="J114" s="222"/>
      <c r="K114" s="223"/>
      <c r="L114" s="178"/>
      <c r="M114" s="130"/>
      <c r="N114" s="179"/>
      <c r="O114" s="130"/>
      <c r="P114" s="178"/>
      <c r="Q114" s="130">
        <f t="shared" si="192"/>
        <v>4</v>
      </c>
      <c r="R114" s="179">
        <v>4</v>
      </c>
      <c r="S114" s="130"/>
      <c r="T114" s="178"/>
      <c r="U114" s="130"/>
      <c r="V114" s="179"/>
      <c r="W114" s="130"/>
      <c r="X114" s="178"/>
      <c r="Y114" s="130"/>
      <c r="Z114" s="179"/>
      <c r="AA114" s="130"/>
      <c r="AB114" s="178"/>
      <c r="AC114" s="130"/>
      <c r="AD114" s="179"/>
      <c r="AE114" s="130"/>
      <c r="AF114" s="178"/>
      <c r="AG114" s="130"/>
      <c r="AH114" s="179"/>
      <c r="AI114" s="130"/>
      <c r="AJ114" s="178"/>
      <c r="AK114" s="130"/>
      <c r="AL114" s="179"/>
      <c r="AM114" s="130"/>
      <c r="AN114" s="178"/>
      <c r="AO114" s="130"/>
      <c r="AP114" s="179"/>
      <c r="AQ114" s="130"/>
      <c r="AR114" s="178"/>
      <c r="AS114" s="130"/>
      <c r="AT114" s="179"/>
      <c r="AU114" s="130"/>
      <c r="AV114" s="178"/>
      <c r="AW114" s="130"/>
      <c r="AX114" s="179"/>
      <c r="AY114" s="130"/>
      <c r="AZ114" s="178"/>
      <c r="BA114" s="130"/>
      <c r="BB114" s="194"/>
      <c r="BC114" s="130"/>
      <c r="BD114" s="178"/>
      <c r="BE114" s="130"/>
      <c r="BF114" s="109"/>
      <c r="BG114" s="130"/>
      <c r="BH114" s="180">
        <f t="shared" si="130"/>
        <v>0</v>
      </c>
      <c r="BI114" s="181">
        <f>Автовик_разбивка[[#This Row],[Цена, 
юань, без НДС 1]]*BH114</f>
        <v>0</v>
      </c>
      <c r="BJ114" s="130">
        <f t="shared" si="131"/>
        <v>4</v>
      </c>
      <c r="BK114" s="187">
        <f>Автовик_разбивка[[#This Row],[Цена, 
юань, без НДС 1]]*BJ114</f>
        <v>0</v>
      </c>
      <c r="BL114" s="109">
        <f t="shared" si="132"/>
        <v>4</v>
      </c>
      <c r="BM114" s="224">
        <f>Автовик_разбивка[[#This Row],[Цена, 
юань, без НДС 1]]*BL114</f>
        <v>0</v>
      </c>
      <c r="BN114" s="178"/>
      <c r="BO114" s="184"/>
      <c r="BP114" s="130"/>
      <c r="BQ114" s="179"/>
      <c r="BR114" s="130"/>
      <c r="BS114" s="178"/>
      <c r="BT114" s="184"/>
      <c r="BU114" s="130"/>
      <c r="BV114" s="179"/>
      <c r="BW114" s="130"/>
      <c r="BX114" s="178"/>
      <c r="BY114" s="184"/>
      <c r="BZ114" s="130"/>
      <c r="CA114" s="179"/>
      <c r="CB114" s="130"/>
      <c r="CC114" s="178"/>
      <c r="CD114" s="184"/>
      <c r="CE114" s="130"/>
      <c r="CF114" s="179"/>
      <c r="CG114" s="130"/>
      <c r="CH114" s="178"/>
      <c r="CI114" s="184"/>
      <c r="CJ114" s="130"/>
      <c r="CK114" s="179"/>
      <c r="CL114" s="130"/>
      <c r="CM114" s="178"/>
      <c r="CN114" s="184"/>
      <c r="CO114" s="130"/>
      <c r="CP114" s="179"/>
      <c r="CQ114" s="130"/>
      <c r="CR114" s="178"/>
      <c r="CS114" s="184"/>
      <c r="CT114" s="130"/>
      <c r="CU114" s="179"/>
      <c r="CV114" s="130"/>
      <c r="CW114" s="178"/>
      <c r="CX114" s="184"/>
      <c r="CY114" s="130"/>
      <c r="CZ114" s="179"/>
      <c r="DA114" s="130"/>
      <c r="DB114" s="178"/>
      <c r="DC114" s="184"/>
      <c r="DD114" s="130"/>
      <c r="DE114" s="179"/>
      <c r="DF114" s="130"/>
      <c r="DG114" s="178"/>
      <c r="DH114" s="184"/>
      <c r="DI114" s="130"/>
      <c r="DJ114" s="179"/>
      <c r="DK114" s="130"/>
      <c r="DL114" s="178"/>
      <c r="DM114" s="184"/>
      <c r="DN114" s="130"/>
      <c r="DO114" s="194"/>
      <c r="DP114" s="130"/>
      <c r="DQ114" s="178"/>
      <c r="DR114" s="184"/>
      <c r="DS114" s="130"/>
      <c r="DT114" s="109"/>
      <c r="DU114" s="130"/>
      <c r="DV114" s="180">
        <f t="shared" si="133"/>
        <v>0</v>
      </c>
      <c r="DW114" s="181">
        <f>Автовик_разбивка[[#This Row],[Цена, 
юань, без НДС 1]]*DV114</f>
        <v>0</v>
      </c>
      <c r="DX114" s="186">
        <f t="shared" si="134"/>
        <v>0</v>
      </c>
      <c r="DY114" s="186">
        <f>Автовик_разбивка[[#This Row],[Цена, 
юань, без НДС 1]]*DX114</f>
        <v>0</v>
      </c>
      <c r="DZ114" s="130">
        <f t="shared" si="135"/>
        <v>0</v>
      </c>
      <c r="EA114" s="187">
        <f>Автовик_разбивка[[#This Row],[Цена, 
юань, без НДС 1]]*DZ114</f>
        <v>0</v>
      </c>
      <c r="EB114" s="109">
        <f t="shared" si="136"/>
        <v>0</v>
      </c>
      <c r="EC114" s="224">
        <f>Автовик_разбивка[[#This Row],[Цена, 
юань, без НДС 1]]*EB114</f>
        <v>0</v>
      </c>
    </row>
    <row r="115" spans="1:133">
      <c r="A115" s="256">
        <v>22</v>
      </c>
      <c r="B115" s="172" t="s">
        <v>320</v>
      </c>
      <c r="C115" s="173" t="s">
        <v>305</v>
      </c>
      <c r="D115" s="173" t="s">
        <v>306</v>
      </c>
      <c r="E115" s="174">
        <v>2</v>
      </c>
      <c r="F115" s="174"/>
      <c r="G115" s="204">
        <v>2</v>
      </c>
      <c r="H115" s="205">
        <v>4497490300</v>
      </c>
      <c r="I115" s="206" t="s">
        <v>100</v>
      </c>
      <c r="J115" s="222"/>
      <c r="K115" s="223"/>
      <c r="L115" s="178"/>
      <c r="M115" s="130"/>
      <c r="N115" s="179"/>
      <c r="O115" s="130"/>
      <c r="P115" s="178"/>
      <c r="Q115" s="130">
        <f t="shared" si="192"/>
        <v>2</v>
      </c>
      <c r="R115" s="179">
        <v>2</v>
      </c>
      <c r="S115" s="130"/>
      <c r="T115" s="178"/>
      <c r="U115" s="130"/>
      <c r="V115" s="179"/>
      <c r="W115" s="130"/>
      <c r="X115" s="178"/>
      <c r="Y115" s="130"/>
      <c r="Z115" s="179"/>
      <c r="AA115" s="130"/>
      <c r="AB115" s="178"/>
      <c r="AC115" s="130"/>
      <c r="AD115" s="179"/>
      <c r="AE115" s="130"/>
      <c r="AF115" s="178"/>
      <c r="AG115" s="130"/>
      <c r="AH115" s="179"/>
      <c r="AI115" s="130"/>
      <c r="AJ115" s="178"/>
      <c r="AK115" s="130"/>
      <c r="AL115" s="179"/>
      <c r="AM115" s="130"/>
      <c r="AN115" s="178"/>
      <c r="AO115" s="130"/>
      <c r="AP115" s="179"/>
      <c r="AQ115" s="130"/>
      <c r="AR115" s="178"/>
      <c r="AS115" s="130"/>
      <c r="AT115" s="179"/>
      <c r="AU115" s="130"/>
      <c r="AV115" s="178"/>
      <c r="AW115" s="130"/>
      <c r="AX115" s="179"/>
      <c r="AY115" s="130"/>
      <c r="AZ115" s="178"/>
      <c r="BA115" s="130"/>
      <c r="BB115" s="194"/>
      <c r="BC115" s="130"/>
      <c r="BD115" s="178"/>
      <c r="BE115" s="130"/>
      <c r="BF115" s="109"/>
      <c r="BG115" s="130"/>
      <c r="BH115" s="180">
        <f t="shared" si="130"/>
        <v>0</v>
      </c>
      <c r="BI115" s="181">
        <f>Автовик_разбивка[[#This Row],[Цена, 
юань, без НДС 1]]*BH115</f>
        <v>0</v>
      </c>
      <c r="BJ115" s="130">
        <f t="shared" si="131"/>
        <v>2</v>
      </c>
      <c r="BK115" s="187">
        <f>Автовик_разбивка[[#This Row],[Цена, 
юань, без НДС 1]]*BJ115</f>
        <v>0</v>
      </c>
      <c r="BL115" s="109">
        <f t="shared" si="132"/>
        <v>2</v>
      </c>
      <c r="BM115" s="224">
        <f>Автовик_разбивка[[#This Row],[Цена, 
юань, без НДС 1]]*BL115</f>
        <v>0</v>
      </c>
      <c r="BN115" s="178"/>
      <c r="BO115" s="184"/>
      <c r="BP115" s="130"/>
      <c r="BQ115" s="179"/>
      <c r="BR115" s="130"/>
      <c r="BS115" s="178"/>
      <c r="BT115" s="184"/>
      <c r="BU115" s="130"/>
      <c r="BV115" s="179"/>
      <c r="BW115" s="130"/>
      <c r="BX115" s="178"/>
      <c r="BY115" s="184"/>
      <c r="BZ115" s="130"/>
      <c r="CA115" s="179"/>
      <c r="CB115" s="130"/>
      <c r="CC115" s="178"/>
      <c r="CD115" s="184"/>
      <c r="CE115" s="130"/>
      <c r="CF115" s="179"/>
      <c r="CG115" s="130"/>
      <c r="CH115" s="178"/>
      <c r="CI115" s="184"/>
      <c r="CJ115" s="130"/>
      <c r="CK115" s="179"/>
      <c r="CL115" s="130"/>
      <c r="CM115" s="178"/>
      <c r="CN115" s="184"/>
      <c r="CO115" s="130"/>
      <c r="CP115" s="179"/>
      <c r="CQ115" s="130"/>
      <c r="CR115" s="178"/>
      <c r="CS115" s="184"/>
      <c r="CT115" s="130"/>
      <c r="CU115" s="179"/>
      <c r="CV115" s="130"/>
      <c r="CW115" s="178"/>
      <c r="CX115" s="184"/>
      <c r="CY115" s="130"/>
      <c r="CZ115" s="179"/>
      <c r="DA115" s="130"/>
      <c r="DB115" s="178"/>
      <c r="DC115" s="184"/>
      <c r="DD115" s="130"/>
      <c r="DE115" s="179"/>
      <c r="DF115" s="130"/>
      <c r="DG115" s="178"/>
      <c r="DH115" s="184"/>
      <c r="DI115" s="130"/>
      <c r="DJ115" s="179"/>
      <c r="DK115" s="130"/>
      <c r="DL115" s="178"/>
      <c r="DM115" s="184"/>
      <c r="DN115" s="130"/>
      <c r="DO115" s="194"/>
      <c r="DP115" s="130"/>
      <c r="DQ115" s="178"/>
      <c r="DR115" s="184"/>
      <c r="DS115" s="130"/>
      <c r="DT115" s="109"/>
      <c r="DU115" s="130"/>
      <c r="DV115" s="180">
        <f t="shared" si="133"/>
        <v>0</v>
      </c>
      <c r="DW115" s="181">
        <f>Автовик_разбивка[[#This Row],[Цена, 
юань, без НДС 1]]*DV115</f>
        <v>0</v>
      </c>
      <c r="DX115" s="186">
        <f t="shared" si="134"/>
        <v>0</v>
      </c>
      <c r="DY115" s="186">
        <f>Автовик_разбивка[[#This Row],[Цена, 
юань, без НДС 1]]*DX115</f>
        <v>0</v>
      </c>
      <c r="DZ115" s="130">
        <f t="shared" si="135"/>
        <v>0</v>
      </c>
      <c r="EA115" s="187">
        <f>Автовик_разбивка[[#This Row],[Цена, 
юань, без НДС 1]]*DZ115</f>
        <v>0</v>
      </c>
      <c r="EB115" s="109">
        <f t="shared" si="136"/>
        <v>0</v>
      </c>
      <c r="EC115" s="224">
        <f>Автовик_разбивка[[#This Row],[Цена, 
юань, без НДС 1]]*EB115</f>
        <v>0</v>
      </c>
    </row>
    <row r="116" spans="1:133">
      <c r="A116" s="256">
        <v>22</v>
      </c>
      <c r="B116" s="172" t="s">
        <v>320</v>
      </c>
      <c r="C116" s="173" t="s">
        <v>305</v>
      </c>
      <c r="D116" s="173" t="s">
        <v>306</v>
      </c>
      <c r="E116" s="174">
        <v>1</v>
      </c>
      <c r="F116" s="174"/>
      <c r="G116" s="204">
        <v>2</v>
      </c>
      <c r="H116" s="205">
        <v>4630320200</v>
      </c>
      <c r="I116" s="206" t="s">
        <v>80</v>
      </c>
      <c r="J116" s="222"/>
      <c r="K116" s="223"/>
      <c r="L116" s="178"/>
      <c r="M116" s="130"/>
      <c r="N116" s="179"/>
      <c r="O116" s="130"/>
      <c r="P116" s="178"/>
      <c r="Q116" s="130">
        <f t="shared" si="192"/>
        <v>1</v>
      </c>
      <c r="R116" s="179">
        <v>1</v>
      </c>
      <c r="S116" s="130"/>
      <c r="T116" s="178"/>
      <c r="U116" s="130"/>
      <c r="V116" s="179"/>
      <c r="W116" s="130"/>
      <c r="X116" s="178"/>
      <c r="Y116" s="130"/>
      <c r="Z116" s="179"/>
      <c r="AA116" s="130"/>
      <c r="AB116" s="178"/>
      <c r="AC116" s="130"/>
      <c r="AD116" s="179"/>
      <c r="AE116" s="130"/>
      <c r="AF116" s="178"/>
      <c r="AG116" s="130"/>
      <c r="AH116" s="179"/>
      <c r="AI116" s="130"/>
      <c r="AJ116" s="178"/>
      <c r="AK116" s="130"/>
      <c r="AL116" s="179"/>
      <c r="AM116" s="130"/>
      <c r="AN116" s="178"/>
      <c r="AO116" s="130"/>
      <c r="AP116" s="179"/>
      <c r="AQ116" s="130"/>
      <c r="AR116" s="178"/>
      <c r="AS116" s="130"/>
      <c r="AT116" s="179"/>
      <c r="AU116" s="130"/>
      <c r="AV116" s="178"/>
      <c r="AW116" s="130"/>
      <c r="AX116" s="179"/>
      <c r="AY116" s="130"/>
      <c r="AZ116" s="178"/>
      <c r="BA116" s="130"/>
      <c r="BB116" s="194"/>
      <c r="BC116" s="130"/>
      <c r="BD116" s="178"/>
      <c r="BE116" s="130"/>
      <c r="BF116" s="109"/>
      <c r="BG116" s="130"/>
      <c r="BH116" s="180">
        <f t="shared" si="130"/>
        <v>0</v>
      </c>
      <c r="BI116" s="181">
        <f>Автовик_разбивка[[#This Row],[Цена, 
юань, без НДС 1]]*BH116</f>
        <v>0</v>
      </c>
      <c r="BJ116" s="130">
        <f t="shared" si="131"/>
        <v>1</v>
      </c>
      <c r="BK116" s="187">
        <f>Автовик_разбивка[[#This Row],[Цена, 
юань, без НДС 1]]*BJ116</f>
        <v>0</v>
      </c>
      <c r="BL116" s="109">
        <f t="shared" si="132"/>
        <v>1</v>
      </c>
      <c r="BM116" s="224">
        <f>Автовик_разбивка[[#This Row],[Цена, 
юань, без НДС 1]]*BL116</f>
        <v>0</v>
      </c>
      <c r="BN116" s="178"/>
      <c r="BO116" s="184"/>
      <c r="BP116" s="130"/>
      <c r="BQ116" s="179"/>
      <c r="BR116" s="130"/>
      <c r="BS116" s="178"/>
      <c r="BT116" s="184"/>
      <c r="BU116" s="130"/>
      <c r="BV116" s="179"/>
      <c r="BW116" s="130"/>
      <c r="BX116" s="178"/>
      <c r="BY116" s="184"/>
      <c r="BZ116" s="130"/>
      <c r="CA116" s="179"/>
      <c r="CB116" s="130"/>
      <c r="CC116" s="178"/>
      <c r="CD116" s="184"/>
      <c r="CE116" s="130"/>
      <c r="CF116" s="179"/>
      <c r="CG116" s="130"/>
      <c r="CH116" s="178"/>
      <c r="CI116" s="184"/>
      <c r="CJ116" s="130"/>
      <c r="CK116" s="179"/>
      <c r="CL116" s="130"/>
      <c r="CM116" s="178"/>
      <c r="CN116" s="184"/>
      <c r="CO116" s="130"/>
      <c r="CP116" s="179"/>
      <c r="CQ116" s="130"/>
      <c r="CR116" s="178"/>
      <c r="CS116" s="184"/>
      <c r="CT116" s="130"/>
      <c r="CU116" s="179"/>
      <c r="CV116" s="130"/>
      <c r="CW116" s="178"/>
      <c r="CX116" s="184"/>
      <c r="CY116" s="130"/>
      <c r="CZ116" s="179"/>
      <c r="DA116" s="130"/>
      <c r="DB116" s="178"/>
      <c r="DC116" s="184"/>
      <c r="DD116" s="130"/>
      <c r="DE116" s="179"/>
      <c r="DF116" s="130"/>
      <c r="DG116" s="178"/>
      <c r="DH116" s="184"/>
      <c r="DI116" s="130"/>
      <c r="DJ116" s="179"/>
      <c r="DK116" s="130"/>
      <c r="DL116" s="178"/>
      <c r="DM116" s="184"/>
      <c r="DN116" s="130"/>
      <c r="DO116" s="194"/>
      <c r="DP116" s="130"/>
      <c r="DQ116" s="178"/>
      <c r="DR116" s="184"/>
      <c r="DS116" s="130"/>
      <c r="DT116" s="109"/>
      <c r="DU116" s="130"/>
      <c r="DV116" s="180">
        <f t="shared" si="133"/>
        <v>0</v>
      </c>
      <c r="DW116" s="181">
        <f>Автовик_разбивка[[#This Row],[Цена, 
юань, без НДС 1]]*DV116</f>
        <v>0</v>
      </c>
      <c r="DX116" s="186">
        <f t="shared" si="134"/>
        <v>0</v>
      </c>
      <c r="DY116" s="186">
        <f>Автовик_разбивка[[#This Row],[Цена, 
юань, без НДС 1]]*DX116</f>
        <v>0</v>
      </c>
      <c r="DZ116" s="130">
        <f t="shared" si="135"/>
        <v>0</v>
      </c>
      <c r="EA116" s="187">
        <f>Автовик_разбивка[[#This Row],[Цена, 
юань, без НДС 1]]*DZ116</f>
        <v>0</v>
      </c>
      <c r="EB116" s="109">
        <f t="shared" si="136"/>
        <v>0</v>
      </c>
      <c r="EC116" s="224">
        <f>Автовик_разбивка[[#This Row],[Цена, 
юань, без НДС 1]]*EB116</f>
        <v>0</v>
      </c>
    </row>
    <row r="117" spans="1:133">
      <c r="A117" s="256">
        <v>22</v>
      </c>
      <c r="B117" s="172" t="s">
        <v>320</v>
      </c>
      <c r="C117" s="173" t="s">
        <v>305</v>
      </c>
      <c r="D117" s="173" t="s">
        <v>306</v>
      </c>
      <c r="E117" s="174">
        <v>1</v>
      </c>
      <c r="F117" s="174"/>
      <c r="G117" s="204">
        <v>2</v>
      </c>
      <c r="H117" s="205">
        <v>4640061000</v>
      </c>
      <c r="I117" s="206" t="s">
        <v>93</v>
      </c>
      <c r="J117" s="222"/>
      <c r="K117" s="223"/>
      <c r="L117" s="178"/>
      <c r="M117" s="130"/>
      <c r="N117" s="179"/>
      <c r="O117" s="130"/>
      <c r="P117" s="178"/>
      <c r="Q117" s="130">
        <f t="shared" si="192"/>
        <v>1</v>
      </c>
      <c r="R117" s="179">
        <v>1</v>
      </c>
      <c r="S117" s="130"/>
      <c r="T117" s="178"/>
      <c r="U117" s="130"/>
      <c r="V117" s="179"/>
      <c r="W117" s="130"/>
      <c r="X117" s="178"/>
      <c r="Y117" s="130"/>
      <c r="Z117" s="179"/>
      <c r="AA117" s="130"/>
      <c r="AB117" s="178"/>
      <c r="AC117" s="130"/>
      <c r="AD117" s="179"/>
      <c r="AE117" s="130"/>
      <c r="AF117" s="178"/>
      <c r="AG117" s="130"/>
      <c r="AH117" s="179"/>
      <c r="AI117" s="130"/>
      <c r="AJ117" s="178"/>
      <c r="AK117" s="130"/>
      <c r="AL117" s="179"/>
      <c r="AM117" s="130"/>
      <c r="AN117" s="178"/>
      <c r="AO117" s="130"/>
      <c r="AP117" s="179"/>
      <c r="AQ117" s="130"/>
      <c r="AR117" s="178"/>
      <c r="AS117" s="130"/>
      <c r="AT117" s="179"/>
      <c r="AU117" s="130"/>
      <c r="AV117" s="178"/>
      <c r="AW117" s="130"/>
      <c r="AX117" s="179"/>
      <c r="AY117" s="130"/>
      <c r="AZ117" s="178"/>
      <c r="BA117" s="130"/>
      <c r="BB117" s="194"/>
      <c r="BC117" s="130"/>
      <c r="BD117" s="178"/>
      <c r="BE117" s="130"/>
      <c r="BF117" s="109"/>
      <c r="BG117" s="130"/>
      <c r="BH117" s="180">
        <f t="shared" si="130"/>
        <v>0</v>
      </c>
      <c r="BI117" s="181">
        <f>Автовик_разбивка[[#This Row],[Цена, 
юань, без НДС 1]]*BH117</f>
        <v>0</v>
      </c>
      <c r="BJ117" s="130">
        <f t="shared" si="131"/>
        <v>1</v>
      </c>
      <c r="BK117" s="187">
        <f>Автовик_разбивка[[#This Row],[Цена, 
юань, без НДС 1]]*BJ117</f>
        <v>0</v>
      </c>
      <c r="BL117" s="109">
        <f t="shared" si="132"/>
        <v>1</v>
      </c>
      <c r="BM117" s="224">
        <f>Автовик_разбивка[[#This Row],[Цена, 
юань, без НДС 1]]*BL117</f>
        <v>0</v>
      </c>
      <c r="BN117" s="178"/>
      <c r="BO117" s="184"/>
      <c r="BP117" s="130"/>
      <c r="BQ117" s="179"/>
      <c r="BR117" s="130"/>
      <c r="BS117" s="178"/>
      <c r="BT117" s="184"/>
      <c r="BU117" s="130"/>
      <c r="BV117" s="179"/>
      <c r="BW117" s="130"/>
      <c r="BX117" s="178"/>
      <c r="BY117" s="184"/>
      <c r="BZ117" s="130"/>
      <c r="CA117" s="179"/>
      <c r="CB117" s="130"/>
      <c r="CC117" s="178"/>
      <c r="CD117" s="184"/>
      <c r="CE117" s="130"/>
      <c r="CF117" s="179"/>
      <c r="CG117" s="130"/>
      <c r="CH117" s="178"/>
      <c r="CI117" s="184"/>
      <c r="CJ117" s="130"/>
      <c r="CK117" s="179"/>
      <c r="CL117" s="130"/>
      <c r="CM117" s="178"/>
      <c r="CN117" s="184"/>
      <c r="CO117" s="130"/>
      <c r="CP117" s="179"/>
      <c r="CQ117" s="130"/>
      <c r="CR117" s="178"/>
      <c r="CS117" s="184"/>
      <c r="CT117" s="130"/>
      <c r="CU117" s="179"/>
      <c r="CV117" s="130"/>
      <c r="CW117" s="178"/>
      <c r="CX117" s="184"/>
      <c r="CY117" s="130"/>
      <c r="CZ117" s="179"/>
      <c r="DA117" s="130"/>
      <c r="DB117" s="178"/>
      <c r="DC117" s="184"/>
      <c r="DD117" s="130"/>
      <c r="DE117" s="179"/>
      <c r="DF117" s="130"/>
      <c r="DG117" s="178"/>
      <c r="DH117" s="184"/>
      <c r="DI117" s="130"/>
      <c r="DJ117" s="179"/>
      <c r="DK117" s="130"/>
      <c r="DL117" s="178"/>
      <c r="DM117" s="184"/>
      <c r="DN117" s="130"/>
      <c r="DO117" s="194"/>
      <c r="DP117" s="130"/>
      <c r="DQ117" s="178"/>
      <c r="DR117" s="184"/>
      <c r="DS117" s="130"/>
      <c r="DT117" s="109"/>
      <c r="DU117" s="130"/>
      <c r="DV117" s="180">
        <f t="shared" si="133"/>
        <v>0</v>
      </c>
      <c r="DW117" s="181">
        <f>Автовик_разбивка[[#This Row],[Цена, 
юань, без НДС 1]]*DV117</f>
        <v>0</v>
      </c>
      <c r="DX117" s="186">
        <f t="shared" si="134"/>
        <v>0</v>
      </c>
      <c r="DY117" s="186">
        <f>Автовик_разбивка[[#This Row],[Цена, 
юань, без НДС 1]]*DX117</f>
        <v>0</v>
      </c>
      <c r="DZ117" s="130">
        <f t="shared" si="135"/>
        <v>0</v>
      </c>
      <c r="EA117" s="187">
        <f>Автовик_разбивка[[#This Row],[Цена, 
юань, без НДС 1]]*DZ117</f>
        <v>0</v>
      </c>
      <c r="EB117" s="109">
        <f t="shared" si="136"/>
        <v>0</v>
      </c>
      <c r="EC117" s="224">
        <f>Автовик_разбивка[[#This Row],[Цена, 
юань, без НДС 1]]*EB117</f>
        <v>0</v>
      </c>
    </row>
    <row r="118" spans="1:133">
      <c r="A118" s="256">
        <v>22</v>
      </c>
      <c r="B118" s="172" t="s">
        <v>320</v>
      </c>
      <c r="C118" s="173" t="s">
        <v>305</v>
      </c>
      <c r="D118" s="173" t="s">
        <v>306</v>
      </c>
      <c r="E118" s="174">
        <v>1</v>
      </c>
      <c r="F118" s="174"/>
      <c r="G118" s="204">
        <v>2</v>
      </c>
      <c r="H118" s="205">
        <v>4801020640</v>
      </c>
      <c r="I118" s="206" t="s">
        <v>107</v>
      </c>
      <c r="J118" s="222"/>
      <c r="K118" s="223"/>
      <c r="L118" s="178"/>
      <c r="M118" s="130"/>
      <c r="N118" s="179"/>
      <c r="O118" s="130"/>
      <c r="P118" s="178"/>
      <c r="Q118" s="130">
        <f t="shared" si="192"/>
        <v>1</v>
      </c>
      <c r="R118" s="179">
        <v>1</v>
      </c>
      <c r="S118" s="130"/>
      <c r="T118" s="178"/>
      <c r="U118" s="130"/>
      <c r="V118" s="179"/>
      <c r="W118" s="130"/>
      <c r="X118" s="178"/>
      <c r="Y118" s="130"/>
      <c r="Z118" s="179"/>
      <c r="AA118" s="130"/>
      <c r="AB118" s="178"/>
      <c r="AC118" s="130"/>
      <c r="AD118" s="179"/>
      <c r="AE118" s="130"/>
      <c r="AF118" s="178"/>
      <c r="AG118" s="130"/>
      <c r="AH118" s="179"/>
      <c r="AI118" s="130"/>
      <c r="AJ118" s="178"/>
      <c r="AK118" s="130"/>
      <c r="AL118" s="179"/>
      <c r="AM118" s="130"/>
      <c r="AN118" s="178"/>
      <c r="AO118" s="130"/>
      <c r="AP118" s="179"/>
      <c r="AQ118" s="130"/>
      <c r="AR118" s="178"/>
      <c r="AS118" s="130"/>
      <c r="AT118" s="179"/>
      <c r="AU118" s="130"/>
      <c r="AV118" s="178"/>
      <c r="AW118" s="130"/>
      <c r="AX118" s="179"/>
      <c r="AY118" s="130"/>
      <c r="AZ118" s="178"/>
      <c r="BA118" s="130"/>
      <c r="BB118" s="194"/>
      <c r="BC118" s="130"/>
      <c r="BD118" s="178"/>
      <c r="BE118" s="130"/>
      <c r="BF118" s="109"/>
      <c r="BG118" s="130"/>
      <c r="BH118" s="180">
        <f t="shared" si="130"/>
        <v>0</v>
      </c>
      <c r="BI118" s="181">
        <f>Автовик_разбивка[[#This Row],[Цена, 
юань, без НДС 1]]*BH118</f>
        <v>0</v>
      </c>
      <c r="BJ118" s="130">
        <f t="shared" si="131"/>
        <v>1</v>
      </c>
      <c r="BK118" s="187">
        <f>Автовик_разбивка[[#This Row],[Цена, 
юань, без НДС 1]]*BJ118</f>
        <v>0</v>
      </c>
      <c r="BL118" s="109">
        <f t="shared" si="132"/>
        <v>1</v>
      </c>
      <c r="BM118" s="224">
        <f>Автовик_разбивка[[#This Row],[Цена, 
юань, без НДС 1]]*BL118</f>
        <v>0</v>
      </c>
      <c r="BN118" s="178"/>
      <c r="BO118" s="184"/>
      <c r="BP118" s="130"/>
      <c r="BQ118" s="179"/>
      <c r="BR118" s="130"/>
      <c r="BS118" s="178"/>
      <c r="BT118" s="184"/>
      <c r="BU118" s="130"/>
      <c r="BV118" s="179"/>
      <c r="BW118" s="130"/>
      <c r="BX118" s="178"/>
      <c r="BY118" s="184"/>
      <c r="BZ118" s="130"/>
      <c r="CA118" s="179"/>
      <c r="CB118" s="130"/>
      <c r="CC118" s="178"/>
      <c r="CD118" s="184"/>
      <c r="CE118" s="130"/>
      <c r="CF118" s="179"/>
      <c r="CG118" s="130"/>
      <c r="CH118" s="178"/>
      <c r="CI118" s="184"/>
      <c r="CJ118" s="130"/>
      <c r="CK118" s="179"/>
      <c r="CL118" s="130"/>
      <c r="CM118" s="178"/>
      <c r="CN118" s="184"/>
      <c r="CO118" s="130"/>
      <c r="CP118" s="179"/>
      <c r="CQ118" s="130"/>
      <c r="CR118" s="178"/>
      <c r="CS118" s="184"/>
      <c r="CT118" s="130"/>
      <c r="CU118" s="179"/>
      <c r="CV118" s="130"/>
      <c r="CW118" s="178"/>
      <c r="CX118" s="184"/>
      <c r="CY118" s="130"/>
      <c r="CZ118" s="179"/>
      <c r="DA118" s="130"/>
      <c r="DB118" s="178"/>
      <c r="DC118" s="184"/>
      <c r="DD118" s="130"/>
      <c r="DE118" s="179"/>
      <c r="DF118" s="130"/>
      <c r="DG118" s="178"/>
      <c r="DH118" s="184"/>
      <c r="DI118" s="130"/>
      <c r="DJ118" s="179"/>
      <c r="DK118" s="130"/>
      <c r="DL118" s="178"/>
      <c r="DM118" s="184"/>
      <c r="DN118" s="130"/>
      <c r="DO118" s="194"/>
      <c r="DP118" s="130"/>
      <c r="DQ118" s="178"/>
      <c r="DR118" s="184"/>
      <c r="DS118" s="130"/>
      <c r="DT118" s="109"/>
      <c r="DU118" s="130"/>
      <c r="DV118" s="180">
        <f t="shared" si="133"/>
        <v>0</v>
      </c>
      <c r="DW118" s="181">
        <f>Автовик_разбивка[[#This Row],[Цена, 
юань, без НДС 1]]*DV118</f>
        <v>0</v>
      </c>
      <c r="DX118" s="186">
        <f t="shared" si="134"/>
        <v>0</v>
      </c>
      <c r="DY118" s="186">
        <f>Автовик_разбивка[[#This Row],[Цена, 
юань, без НДС 1]]*DX118</f>
        <v>0</v>
      </c>
      <c r="DZ118" s="130">
        <f t="shared" si="135"/>
        <v>0</v>
      </c>
      <c r="EA118" s="187">
        <f>Автовик_разбивка[[#This Row],[Цена, 
юань, без НДС 1]]*DZ118</f>
        <v>0</v>
      </c>
      <c r="EB118" s="109">
        <f t="shared" si="136"/>
        <v>0</v>
      </c>
      <c r="EC118" s="224">
        <f>Автовик_разбивка[[#This Row],[Цена, 
юань, без НДС 1]]*EB118</f>
        <v>0</v>
      </c>
    </row>
    <row r="119" spans="1:133">
      <c r="A119" s="256">
        <v>22</v>
      </c>
      <c r="B119" s="172" t="s">
        <v>320</v>
      </c>
      <c r="C119" s="173" t="s">
        <v>305</v>
      </c>
      <c r="D119" s="173" t="s">
        <v>306</v>
      </c>
      <c r="E119" s="174">
        <v>1</v>
      </c>
      <c r="F119" s="174"/>
      <c r="G119" s="204">
        <v>2</v>
      </c>
      <c r="H119" s="205">
        <v>4802070010</v>
      </c>
      <c r="I119" s="206" t="s">
        <v>112</v>
      </c>
      <c r="J119" s="222"/>
      <c r="K119" s="223"/>
      <c r="L119" s="178"/>
      <c r="M119" s="130"/>
      <c r="N119" s="179"/>
      <c r="O119" s="130"/>
      <c r="P119" s="178"/>
      <c r="Q119" s="130">
        <f t="shared" si="192"/>
        <v>1</v>
      </c>
      <c r="R119" s="179">
        <v>1</v>
      </c>
      <c r="S119" s="130"/>
      <c r="T119" s="178"/>
      <c r="U119" s="130"/>
      <c r="V119" s="179"/>
      <c r="W119" s="130"/>
      <c r="X119" s="178"/>
      <c r="Y119" s="130"/>
      <c r="Z119" s="179"/>
      <c r="AA119" s="130"/>
      <c r="AB119" s="178"/>
      <c r="AC119" s="130"/>
      <c r="AD119" s="179"/>
      <c r="AE119" s="130"/>
      <c r="AF119" s="178"/>
      <c r="AG119" s="130"/>
      <c r="AH119" s="179"/>
      <c r="AI119" s="130"/>
      <c r="AJ119" s="178"/>
      <c r="AK119" s="130"/>
      <c r="AL119" s="179"/>
      <c r="AM119" s="130"/>
      <c r="AN119" s="178"/>
      <c r="AO119" s="130"/>
      <c r="AP119" s="179"/>
      <c r="AQ119" s="130"/>
      <c r="AR119" s="178"/>
      <c r="AS119" s="130"/>
      <c r="AT119" s="179"/>
      <c r="AU119" s="130"/>
      <c r="AV119" s="178"/>
      <c r="AW119" s="130"/>
      <c r="AX119" s="179"/>
      <c r="AY119" s="130"/>
      <c r="AZ119" s="178"/>
      <c r="BA119" s="130"/>
      <c r="BB119" s="194"/>
      <c r="BC119" s="130"/>
      <c r="BD119" s="178"/>
      <c r="BE119" s="130"/>
      <c r="BF119" s="109"/>
      <c r="BG119" s="130"/>
      <c r="BH119" s="180">
        <f t="shared" si="130"/>
        <v>0</v>
      </c>
      <c r="BI119" s="181">
        <f>Автовик_разбивка[[#This Row],[Цена, 
юань, без НДС 1]]*BH119</f>
        <v>0</v>
      </c>
      <c r="BJ119" s="130">
        <f t="shared" si="131"/>
        <v>1</v>
      </c>
      <c r="BK119" s="187">
        <f>Автовик_разбивка[[#This Row],[Цена, 
юань, без НДС 1]]*BJ119</f>
        <v>0</v>
      </c>
      <c r="BL119" s="109">
        <f t="shared" si="132"/>
        <v>1</v>
      </c>
      <c r="BM119" s="224">
        <f>Автовик_разбивка[[#This Row],[Цена, 
юань, без НДС 1]]*BL119</f>
        <v>0</v>
      </c>
      <c r="BN119" s="178"/>
      <c r="BO119" s="184"/>
      <c r="BP119" s="130"/>
      <c r="BQ119" s="179"/>
      <c r="BR119" s="130"/>
      <c r="BS119" s="178"/>
      <c r="BT119" s="184"/>
      <c r="BU119" s="130"/>
      <c r="BV119" s="179"/>
      <c r="BW119" s="130"/>
      <c r="BX119" s="178"/>
      <c r="BY119" s="184"/>
      <c r="BZ119" s="130"/>
      <c r="CA119" s="179"/>
      <c r="CB119" s="130"/>
      <c r="CC119" s="178"/>
      <c r="CD119" s="184"/>
      <c r="CE119" s="130"/>
      <c r="CF119" s="179"/>
      <c r="CG119" s="130"/>
      <c r="CH119" s="178"/>
      <c r="CI119" s="184"/>
      <c r="CJ119" s="130"/>
      <c r="CK119" s="179"/>
      <c r="CL119" s="130"/>
      <c r="CM119" s="178"/>
      <c r="CN119" s="184"/>
      <c r="CO119" s="130"/>
      <c r="CP119" s="179"/>
      <c r="CQ119" s="130"/>
      <c r="CR119" s="178"/>
      <c r="CS119" s="184"/>
      <c r="CT119" s="130"/>
      <c r="CU119" s="179"/>
      <c r="CV119" s="130"/>
      <c r="CW119" s="178"/>
      <c r="CX119" s="184"/>
      <c r="CY119" s="130"/>
      <c r="CZ119" s="179"/>
      <c r="DA119" s="130"/>
      <c r="DB119" s="178"/>
      <c r="DC119" s="184"/>
      <c r="DD119" s="130"/>
      <c r="DE119" s="179"/>
      <c r="DF119" s="130"/>
      <c r="DG119" s="178"/>
      <c r="DH119" s="184"/>
      <c r="DI119" s="130"/>
      <c r="DJ119" s="179"/>
      <c r="DK119" s="130"/>
      <c r="DL119" s="178"/>
      <c r="DM119" s="184"/>
      <c r="DN119" s="130"/>
      <c r="DO119" s="194"/>
      <c r="DP119" s="130"/>
      <c r="DQ119" s="178"/>
      <c r="DR119" s="184"/>
      <c r="DS119" s="130"/>
      <c r="DT119" s="109"/>
      <c r="DU119" s="130"/>
      <c r="DV119" s="180">
        <f t="shared" si="133"/>
        <v>0</v>
      </c>
      <c r="DW119" s="181">
        <f>Автовик_разбивка[[#This Row],[Цена, 
юань, без НДС 1]]*DV119</f>
        <v>0</v>
      </c>
      <c r="DX119" s="186">
        <f t="shared" si="134"/>
        <v>0</v>
      </c>
      <c r="DY119" s="186">
        <f>Автовик_разбивка[[#This Row],[Цена, 
юань, без НДС 1]]*DX119</f>
        <v>0</v>
      </c>
      <c r="DZ119" s="130">
        <f t="shared" si="135"/>
        <v>0</v>
      </c>
      <c r="EA119" s="187">
        <f>Автовик_разбивка[[#This Row],[Цена, 
юань, без НДС 1]]*DZ119</f>
        <v>0</v>
      </c>
      <c r="EB119" s="109">
        <f t="shared" si="136"/>
        <v>0</v>
      </c>
      <c r="EC119" s="224">
        <f>Автовик_разбивка[[#This Row],[Цена, 
юань, без НДС 1]]*EB119</f>
        <v>0</v>
      </c>
    </row>
    <row r="120" spans="1:133">
      <c r="A120" s="256">
        <v>22</v>
      </c>
      <c r="B120" s="172" t="s">
        <v>320</v>
      </c>
      <c r="C120" s="173" t="s">
        <v>305</v>
      </c>
      <c r="D120" s="173" t="s">
        <v>306</v>
      </c>
      <c r="E120" s="174">
        <v>1</v>
      </c>
      <c r="F120" s="174"/>
      <c r="G120" s="204">
        <v>2</v>
      </c>
      <c r="H120" s="205">
        <v>9522010010</v>
      </c>
      <c r="I120" s="206" t="s">
        <v>106</v>
      </c>
      <c r="J120" s="222"/>
      <c r="K120" s="223"/>
      <c r="L120" s="178"/>
      <c r="M120" s="130"/>
      <c r="N120" s="179"/>
      <c r="O120" s="130"/>
      <c r="P120" s="178"/>
      <c r="Q120" s="130">
        <f t="shared" si="192"/>
        <v>1</v>
      </c>
      <c r="R120" s="179">
        <v>1</v>
      </c>
      <c r="S120" s="130"/>
      <c r="T120" s="178"/>
      <c r="U120" s="130"/>
      <c r="V120" s="179"/>
      <c r="W120" s="130"/>
      <c r="X120" s="178"/>
      <c r="Y120" s="130"/>
      <c r="Z120" s="179"/>
      <c r="AA120" s="130"/>
      <c r="AB120" s="178"/>
      <c r="AC120" s="130"/>
      <c r="AD120" s="179"/>
      <c r="AE120" s="130"/>
      <c r="AF120" s="178"/>
      <c r="AG120" s="130"/>
      <c r="AH120" s="179"/>
      <c r="AI120" s="130"/>
      <c r="AJ120" s="178"/>
      <c r="AK120" s="130"/>
      <c r="AL120" s="179"/>
      <c r="AM120" s="130"/>
      <c r="AN120" s="178"/>
      <c r="AO120" s="130"/>
      <c r="AP120" s="179"/>
      <c r="AQ120" s="130"/>
      <c r="AR120" s="178"/>
      <c r="AS120" s="130"/>
      <c r="AT120" s="179"/>
      <c r="AU120" s="130"/>
      <c r="AV120" s="178"/>
      <c r="AW120" s="130"/>
      <c r="AX120" s="179"/>
      <c r="AY120" s="130"/>
      <c r="AZ120" s="178"/>
      <c r="BA120" s="130"/>
      <c r="BB120" s="194"/>
      <c r="BC120" s="130"/>
      <c r="BD120" s="178"/>
      <c r="BE120" s="130"/>
      <c r="BF120" s="109"/>
      <c r="BG120" s="130"/>
      <c r="BH120" s="180">
        <f t="shared" si="130"/>
        <v>0</v>
      </c>
      <c r="BI120" s="181">
        <f>Автовик_разбивка[[#This Row],[Цена, 
юань, без НДС 1]]*BH120</f>
        <v>0</v>
      </c>
      <c r="BJ120" s="130">
        <f t="shared" si="131"/>
        <v>1</v>
      </c>
      <c r="BK120" s="187">
        <f>Автовик_разбивка[[#This Row],[Цена, 
юань, без НДС 1]]*BJ120</f>
        <v>0</v>
      </c>
      <c r="BL120" s="109">
        <f t="shared" si="132"/>
        <v>1</v>
      </c>
      <c r="BM120" s="224">
        <f>Автовик_разбивка[[#This Row],[Цена, 
юань, без НДС 1]]*BL120</f>
        <v>0</v>
      </c>
      <c r="BN120" s="178"/>
      <c r="BO120" s="184"/>
      <c r="BP120" s="130"/>
      <c r="BQ120" s="179"/>
      <c r="BR120" s="130"/>
      <c r="BS120" s="178"/>
      <c r="BT120" s="184"/>
      <c r="BU120" s="130"/>
      <c r="BV120" s="179"/>
      <c r="BW120" s="130"/>
      <c r="BX120" s="178"/>
      <c r="BY120" s="184"/>
      <c r="BZ120" s="130"/>
      <c r="CA120" s="179"/>
      <c r="CB120" s="130"/>
      <c r="CC120" s="178"/>
      <c r="CD120" s="184"/>
      <c r="CE120" s="130"/>
      <c r="CF120" s="179"/>
      <c r="CG120" s="130"/>
      <c r="CH120" s="178"/>
      <c r="CI120" s="184"/>
      <c r="CJ120" s="130"/>
      <c r="CK120" s="179"/>
      <c r="CL120" s="130"/>
      <c r="CM120" s="178"/>
      <c r="CN120" s="184"/>
      <c r="CO120" s="130"/>
      <c r="CP120" s="179"/>
      <c r="CQ120" s="130"/>
      <c r="CR120" s="178"/>
      <c r="CS120" s="184"/>
      <c r="CT120" s="130"/>
      <c r="CU120" s="179"/>
      <c r="CV120" s="130"/>
      <c r="CW120" s="178"/>
      <c r="CX120" s="184"/>
      <c r="CY120" s="130"/>
      <c r="CZ120" s="179"/>
      <c r="DA120" s="130"/>
      <c r="DB120" s="178"/>
      <c r="DC120" s="184"/>
      <c r="DD120" s="130"/>
      <c r="DE120" s="179"/>
      <c r="DF120" s="130"/>
      <c r="DG120" s="178"/>
      <c r="DH120" s="184"/>
      <c r="DI120" s="130"/>
      <c r="DJ120" s="179"/>
      <c r="DK120" s="130"/>
      <c r="DL120" s="178"/>
      <c r="DM120" s="184"/>
      <c r="DN120" s="130"/>
      <c r="DO120" s="194"/>
      <c r="DP120" s="130"/>
      <c r="DQ120" s="178"/>
      <c r="DR120" s="184"/>
      <c r="DS120" s="130"/>
      <c r="DT120" s="109"/>
      <c r="DU120" s="130"/>
      <c r="DV120" s="180">
        <f t="shared" si="133"/>
        <v>0</v>
      </c>
      <c r="DW120" s="181">
        <f>Автовик_разбивка[[#This Row],[Цена, 
юань, без НДС 1]]*DV120</f>
        <v>0</v>
      </c>
      <c r="DX120" s="186">
        <f t="shared" si="134"/>
        <v>0</v>
      </c>
      <c r="DY120" s="186">
        <f>Автовик_разбивка[[#This Row],[Цена, 
юань, без НДС 1]]*DX120</f>
        <v>0</v>
      </c>
      <c r="DZ120" s="130">
        <f t="shared" si="135"/>
        <v>0</v>
      </c>
      <c r="EA120" s="187">
        <f>Автовик_разбивка[[#This Row],[Цена, 
юань, без НДС 1]]*DZ120</f>
        <v>0</v>
      </c>
      <c r="EB120" s="109">
        <f t="shared" si="136"/>
        <v>0</v>
      </c>
      <c r="EC120" s="224">
        <f>Автовик_разбивка[[#This Row],[Цена, 
юань, без НДС 1]]*EB120</f>
        <v>0</v>
      </c>
    </row>
    <row r="121" spans="1:133">
      <c r="A121" s="256">
        <v>22</v>
      </c>
      <c r="B121" s="172" t="s">
        <v>320</v>
      </c>
      <c r="C121" s="173" t="s">
        <v>305</v>
      </c>
      <c r="D121" s="173" t="s">
        <v>306</v>
      </c>
      <c r="E121" s="174">
        <v>1</v>
      </c>
      <c r="F121" s="174"/>
      <c r="G121" s="204">
        <v>2</v>
      </c>
      <c r="H121" s="205">
        <v>9522010020</v>
      </c>
      <c r="I121" s="206" t="s">
        <v>106</v>
      </c>
      <c r="J121" s="222"/>
      <c r="K121" s="223"/>
      <c r="L121" s="178"/>
      <c r="M121" s="130"/>
      <c r="N121" s="179"/>
      <c r="O121" s="130"/>
      <c r="P121" s="178"/>
      <c r="Q121" s="130">
        <f t="shared" si="192"/>
        <v>1</v>
      </c>
      <c r="R121" s="179">
        <v>1</v>
      </c>
      <c r="S121" s="130"/>
      <c r="T121" s="178"/>
      <c r="U121" s="130"/>
      <c r="V121" s="179"/>
      <c r="W121" s="130"/>
      <c r="X121" s="178"/>
      <c r="Y121" s="130"/>
      <c r="Z121" s="179"/>
      <c r="AA121" s="130"/>
      <c r="AB121" s="178"/>
      <c r="AC121" s="130"/>
      <c r="AD121" s="179"/>
      <c r="AE121" s="130"/>
      <c r="AF121" s="178"/>
      <c r="AG121" s="130"/>
      <c r="AH121" s="179"/>
      <c r="AI121" s="130"/>
      <c r="AJ121" s="178"/>
      <c r="AK121" s="130"/>
      <c r="AL121" s="179"/>
      <c r="AM121" s="130"/>
      <c r="AN121" s="178"/>
      <c r="AO121" s="130"/>
      <c r="AP121" s="179"/>
      <c r="AQ121" s="130"/>
      <c r="AR121" s="178"/>
      <c r="AS121" s="130"/>
      <c r="AT121" s="179"/>
      <c r="AU121" s="130"/>
      <c r="AV121" s="178"/>
      <c r="AW121" s="130"/>
      <c r="AX121" s="179"/>
      <c r="AY121" s="130"/>
      <c r="AZ121" s="178"/>
      <c r="BA121" s="130"/>
      <c r="BB121" s="194"/>
      <c r="BC121" s="130"/>
      <c r="BD121" s="178"/>
      <c r="BE121" s="130"/>
      <c r="BF121" s="109"/>
      <c r="BG121" s="130"/>
      <c r="BH121" s="180">
        <f t="shared" si="130"/>
        <v>0</v>
      </c>
      <c r="BI121" s="181">
        <f>Автовик_разбивка[[#This Row],[Цена, 
юань, без НДС 1]]*BH121</f>
        <v>0</v>
      </c>
      <c r="BJ121" s="130">
        <f t="shared" si="131"/>
        <v>1</v>
      </c>
      <c r="BK121" s="187">
        <f>Автовик_разбивка[[#This Row],[Цена, 
юань, без НДС 1]]*BJ121</f>
        <v>0</v>
      </c>
      <c r="BL121" s="109">
        <f t="shared" si="132"/>
        <v>1</v>
      </c>
      <c r="BM121" s="224">
        <f>Автовик_разбивка[[#This Row],[Цена, 
юань, без НДС 1]]*BL121</f>
        <v>0</v>
      </c>
      <c r="BN121" s="178"/>
      <c r="BO121" s="184"/>
      <c r="BP121" s="130"/>
      <c r="BQ121" s="179"/>
      <c r="BR121" s="130"/>
      <c r="BS121" s="178"/>
      <c r="BT121" s="184"/>
      <c r="BU121" s="130"/>
      <c r="BV121" s="179"/>
      <c r="BW121" s="130"/>
      <c r="BX121" s="178"/>
      <c r="BY121" s="184"/>
      <c r="BZ121" s="130"/>
      <c r="CA121" s="179"/>
      <c r="CB121" s="130"/>
      <c r="CC121" s="178"/>
      <c r="CD121" s="184"/>
      <c r="CE121" s="130"/>
      <c r="CF121" s="179"/>
      <c r="CG121" s="130"/>
      <c r="CH121" s="178"/>
      <c r="CI121" s="184"/>
      <c r="CJ121" s="130"/>
      <c r="CK121" s="179"/>
      <c r="CL121" s="130"/>
      <c r="CM121" s="178"/>
      <c r="CN121" s="184"/>
      <c r="CO121" s="130"/>
      <c r="CP121" s="179"/>
      <c r="CQ121" s="130"/>
      <c r="CR121" s="178"/>
      <c r="CS121" s="184"/>
      <c r="CT121" s="130"/>
      <c r="CU121" s="179"/>
      <c r="CV121" s="130"/>
      <c r="CW121" s="178"/>
      <c r="CX121" s="184"/>
      <c r="CY121" s="130"/>
      <c r="CZ121" s="179"/>
      <c r="DA121" s="130"/>
      <c r="DB121" s="178"/>
      <c r="DC121" s="184"/>
      <c r="DD121" s="130"/>
      <c r="DE121" s="179"/>
      <c r="DF121" s="130"/>
      <c r="DG121" s="178"/>
      <c r="DH121" s="184"/>
      <c r="DI121" s="130"/>
      <c r="DJ121" s="179"/>
      <c r="DK121" s="130"/>
      <c r="DL121" s="178"/>
      <c r="DM121" s="184"/>
      <c r="DN121" s="130"/>
      <c r="DO121" s="194"/>
      <c r="DP121" s="130"/>
      <c r="DQ121" s="178"/>
      <c r="DR121" s="184"/>
      <c r="DS121" s="130"/>
      <c r="DT121" s="109"/>
      <c r="DU121" s="130"/>
      <c r="DV121" s="180">
        <f t="shared" si="133"/>
        <v>0</v>
      </c>
      <c r="DW121" s="181">
        <f>Автовик_разбивка[[#This Row],[Цена, 
юань, без НДС 1]]*DV121</f>
        <v>0</v>
      </c>
      <c r="DX121" s="186">
        <f t="shared" si="134"/>
        <v>0</v>
      </c>
      <c r="DY121" s="186">
        <f>Автовик_разбивка[[#This Row],[Цена, 
юань, без НДС 1]]*DX121</f>
        <v>0</v>
      </c>
      <c r="DZ121" s="130">
        <f t="shared" si="135"/>
        <v>0</v>
      </c>
      <c r="EA121" s="187">
        <f>Автовик_разбивка[[#This Row],[Цена, 
юань, без НДС 1]]*DZ121</f>
        <v>0</v>
      </c>
      <c r="EB121" s="109">
        <f t="shared" si="136"/>
        <v>0</v>
      </c>
      <c r="EC121" s="224">
        <f>Автовик_разбивка[[#This Row],[Цена, 
юань, без НДС 1]]*EB121</f>
        <v>0</v>
      </c>
    </row>
    <row r="122" spans="1:133">
      <c r="A122" s="256">
        <v>22</v>
      </c>
      <c r="B122" s="172" t="s">
        <v>320</v>
      </c>
      <c r="C122" s="173" t="s">
        <v>305</v>
      </c>
      <c r="D122" s="173" t="s">
        <v>306</v>
      </c>
      <c r="E122" s="174">
        <v>1</v>
      </c>
      <c r="F122" s="174"/>
      <c r="G122" s="204"/>
      <c r="H122" s="205">
        <v>9710029000</v>
      </c>
      <c r="I122" s="206" t="s">
        <v>75</v>
      </c>
      <c r="J122" s="222"/>
      <c r="K122" s="223"/>
      <c r="L122" s="178"/>
      <c r="M122" s="130"/>
      <c r="N122" s="179"/>
      <c r="O122" s="130"/>
      <c r="P122" s="178"/>
      <c r="Q122" s="130">
        <f t="shared" si="192"/>
        <v>1</v>
      </c>
      <c r="R122" s="179">
        <v>1</v>
      </c>
      <c r="S122" s="130"/>
      <c r="T122" s="178"/>
      <c r="U122" s="130"/>
      <c r="V122" s="179"/>
      <c r="W122" s="130"/>
      <c r="X122" s="178"/>
      <c r="Y122" s="130"/>
      <c r="Z122" s="179"/>
      <c r="AA122" s="130"/>
      <c r="AB122" s="178"/>
      <c r="AC122" s="130"/>
      <c r="AD122" s="179"/>
      <c r="AE122" s="130"/>
      <c r="AF122" s="178"/>
      <c r="AG122" s="130"/>
      <c r="AH122" s="179"/>
      <c r="AI122" s="130"/>
      <c r="AJ122" s="178"/>
      <c r="AK122" s="130"/>
      <c r="AL122" s="179"/>
      <c r="AM122" s="130"/>
      <c r="AN122" s="178"/>
      <c r="AO122" s="130"/>
      <c r="AP122" s="179"/>
      <c r="AQ122" s="130"/>
      <c r="AR122" s="178"/>
      <c r="AS122" s="130"/>
      <c r="AT122" s="179"/>
      <c r="AU122" s="130"/>
      <c r="AV122" s="178"/>
      <c r="AW122" s="130"/>
      <c r="AX122" s="179"/>
      <c r="AY122" s="130"/>
      <c r="AZ122" s="178"/>
      <c r="BA122" s="130"/>
      <c r="BB122" s="194"/>
      <c r="BC122" s="130"/>
      <c r="BD122" s="178"/>
      <c r="BE122" s="130"/>
      <c r="BF122" s="109"/>
      <c r="BG122" s="130"/>
      <c r="BH122" s="180">
        <f t="shared" si="130"/>
        <v>0</v>
      </c>
      <c r="BI122" s="181">
        <f>Автовик_разбивка[[#This Row],[Цена, 
юань, без НДС 1]]*BH122</f>
        <v>0</v>
      </c>
      <c r="BJ122" s="130">
        <f t="shared" si="131"/>
        <v>1</v>
      </c>
      <c r="BK122" s="187">
        <f>Автовик_разбивка[[#This Row],[Цена, 
юань, без НДС 1]]*BJ122</f>
        <v>0</v>
      </c>
      <c r="BL122" s="109">
        <f t="shared" si="132"/>
        <v>1</v>
      </c>
      <c r="BM122" s="224">
        <f>Автовик_разбивка[[#This Row],[Цена, 
юань, без НДС 1]]*BL122</f>
        <v>0</v>
      </c>
      <c r="BN122" s="178"/>
      <c r="BO122" s="184"/>
      <c r="BP122" s="130"/>
      <c r="BQ122" s="179"/>
      <c r="BR122" s="130"/>
      <c r="BS122" s="178"/>
      <c r="BT122" s="184"/>
      <c r="BU122" s="130"/>
      <c r="BV122" s="179"/>
      <c r="BW122" s="130"/>
      <c r="BX122" s="178"/>
      <c r="BY122" s="184"/>
      <c r="BZ122" s="130"/>
      <c r="CA122" s="179"/>
      <c r="CB122" s="130"/>
      <c r="CC122" s="178"/>
      <c r="CD122" s="184"/>
      <c r="CE122" s="130"/>
      <c r="CF122" s="179"/>
      <c r="CG122" s="130"/>
      <c r="CH122" s="178"/>
      <c r="CI122" s="184"/>
      <c r="CJ122" s="130"/>
      <c r="CK122" s="179"/>
      <c r="CL122" s="130"/>
      <c r="CM122" s="178"/>
      <c r="CN122" s="184"/>
      <c r="CO122" s="130"/>
      <c r="CP122" s="179"/>
      <c r="CQ122" s="130"/>
      <c r="CR122" s="178"/>
      <c r="CS122" s="184"/>
      <c r="CT122" s="130"/>
      <c r="CU122" s="179"/>
      <c r="CV122" s="130"/>
      <c r="CW122" s="178"/>
      <c r="CX122" s="184"/>
      <c r="CY122" s="130"/>
      <c r="CZ122" s="179"/>
      <c r="DA122" s="130"/>
      <c r="DB122" s="178"/>
      <c r="DC122" s="184"/>
      <c r="DD122" s="130"/>
      <c r="DE122" s="179"/>
      <c r="DF122" s="130"/>
      <c r="DG122" s="178"/>
      <c r="DH122" s="184"/>
      <c r="DI122" s="130"/>
      <c r="DJ122" s="179"/>
      <c r="DK122" s="130"/>
      <c r="DL122" s="178"/>
      <c r="DM122" s="184"/>
      <c r="DN122" s="130"/>
      <c r="DO122" s="194"/>
      <c r="DP122" s="130"/>
      <c r="DQ122" s="178"/>
      <c r="DR122" s="184"/>
      <c r="DS122" s="130"/>
      <c r="DT122" s="109"/>
      <c r="DU122" s="130"/>
      <c r="DV122" s="180">
        <f t="shared" si="133"/>
        <v>0</v>
      </c>
      <c r="DW122" s="181">
        <f>Автовик_разбивка[[#This Row],[Цена, 
юань, без НДС 1]]*DV122</f>
        <v>0</v>
      </c>
      <c r="DX122" s="186">
        <f t="shared" si="134"/>
        <v>0</v>
      </c>
      <c r="DY122" s="186">
        <f>Автовик_разбивка[[#This Row],[Цена, 
юань, без НДС 1]]*DX122</f>
        <v>0</v>
      </c>
      <c r="DZ122" s="130">
        <f t="shared" si="135"/>
        <v>0</v>
      </c>
      <c r="EA122" s="187">
        <f>Автовик_разбивка[[#This Row],[Цена, 
юань, без НДС 1]]*DZ122</f>
        <v>0</v>
      </c>
      <c r="EB122" s="109">
        <f t="shared" si="136"/>
        <v>0</v>
      </c>
      <c r="EC122" s="224">
        <f>Автовик_разбивка[[#This Row],[Цена, 
юань, без НДС 1]]*EB122</f>
        <v>0</v>
      </c>
    </row>
    <row r="123" spans="1:133">
      <c r="A123" s="256">
        <v>22</v>
      </c>
      <c r="B123" s="172" t="s">
        <v>320</v>
      </c>
      <c r="C123" s="132"/>
      <c r="D123" s="132"/>
      <c r="E123" s="229"/>
      <c r="F123" s="229"/>
      <c r="G123" s="229"/>
      <c r="H123" s="230"/>
      <c r="I123" s="231" t="s">
        <v>43</v>
      </c>
      <c r="J123" s="232"/>
      <c r="K123" s="232"/>
      <c r="L123" s="233"/>
      <c r="M123" s="234"/>
      <c r="N123" s="235"/>
      <c r="O123" s="234"/>
      <c r="P123" s="233"/>
      <c r="Q123" s="234"/>
      <c r="R123" s="235"/>
      <c r="S123" s="234"/>
      <c r="T123" s="233"/>
      <c r="U123" s="234"/>
      <c r="V123" s="235"/>
      <c r="W123" s="234"/>
      <c r="X123" s="233"/>
      <c r="Y123" s="234"/>
      <c r="Z123" s="235"/>
      <c r="AA123" s="234"/>
      <c r="AB123" s="233"/>
      <c r="AC123" s="234"/>
      <c r="AD123" s="235"/>
      <c r="AE123" s="234"/>
      <c r="AF123" s="233"/>
      <c r="AG123" s="234"/>
      <c r="AH123" s="235"/>
      <c r="AI123" s="234"/>
      <c r="AJ123" s="233"/>
      <c r="AK123" s="234"/>
      <c r="AL123" s="235"/>
      <c r="AM123" s="234"/>
      <c r="AN123" s="233"/>
      <c r="AO123" s="234"/>
      <c r="AP123" s="235"/>
      <c r="AQ123" s="234"/>
      <c r="AR123" s="233"/>
      <c r="AS123" s="234"/>
      <c r="AT123" s="235"/>
      <c r="AU123" s="234"/>
      <c r="AV123" s="233"/>
      <c r="AW123" s="234"/>
      <c r="AX123" s="235"/>
      <c r="AY123" s="234"/>
      <c r="AZ123" s="233"/>
      <c r="BA123" s="234"/>
      <c r="BB123" s="235"/>
      <c r="BC123" s="234"/>
      <c r="BD123" s="233"/>
      <c r="BE123" s="234"/>
      <c r="BF123" s="235"/>
      <c r="BG123" s="234"/>
      <c r="BH123" s="233">
        <f t="shared" si="130"/>
        <v>0</v>
      </c>
      <c r="BI123" s="238">
        <f>Автовик_разбивка[[#This Row],[Цена, 
юань, без НДС 1]]*BH123</f>
        <v>0</v>
      </c>
      <c r="BJ123" s="234">
        <f t="shared" si="131"/>
        <v>0</v>
      </c>
      <c r="BK123" s="253">
        <f>Автовик_разбивка[[#This Row],[Цена, 
юань, без НДС 1]]*BJ123</f>
        <v>0</v>
      </c>
      <c r="BL123" s="235">
        <f t="shared" si="132"/>
        <v>0</v>
      </c>
      <c r="BM123" s="254">
        <f>Автовик_разбивка[[#This Row],[Цена, 
юань, без НДС 1]]*BL123</f>
        <v>0</v>
      </c>
      <c r="BN123" s="233"/>
      <c r="BO123" s="241"/>
      <c r="BP123" s="234"/>
      <c r="BQ123" s="235"/>
      <c r="BR123" s="234"/>
      <c r="BS123" s="233"/>
      <c r="BT123" s="241"/>
      <c r="BU123" s="234"/>
      <c r="BV123" s="235"/>
      <c r="BW123" s="234"/>
      <c r="BX123" s="233"/>
      <c r="BY123" s="241"/>
      <c r="BZ123" s="234"/>
      <c r="CA123" s="235"/>
      <c r="CB123" s="234"/>
      <c r="CC123" s="233"/>
      <c r="CD123" s="241"/>
      <c r="CE123" s="234"/>
      <c r="CF123" s="235"/>
      <c r="CG123" s="234"/>
      <c r="CH123" s="233"/>
      <c r="CI123" s="241"/>
      <c r="CJ123" s="234"/>
      <c r="CK123" s="235"/>
      <c r="CL123" s="234"/>
      <c r="CM123" s="233"/>
      <c r="CN123" s="241"/>
      <c r="CO123" s="234"/>
      <c r="CP123" s="235"/>
      <c r="CQ123" s="234"/>
      <c r="CR123" s="233"/>
      <c r="CS123" s="241"/>
      <c r="CT123" s="234"/>
      <c r="CU123" s="235"/>
      <c r="CV123" s="234"/>
      <c r="CW123" s="233"/>
      <c r="CX123" s="241"/>
      <c r="CY123" s="234"/>
      <c r="CZ123" s="235"/>
      <c r="DA123" s="234"/>
      <c r="DB123" s="233"/>
      <c r="DC123" s="241"/>
      <c r="DD123" s="234"/>
      <c r="DE123" s="235"/>
      <c r="DF123" s="234"/>
      <c r="DG123" s="233"/>
      <c r="DH123" s="241"/>
      <c r="DI123" s="234"/>
      <c r="DJ123" s="235"/>
      <c r="DK123" s="234"/>
      <c r="DL123" s="233"/>
      <c r="DM123" s="241"/>
      <c r="DN123" s="234"/>
      <c r="DO123" s="235"/>
      <c r="DP123" s="234"/>
      <c r="DQ123" s="233"/>
      <c r="DR123" s="241"/>
      <c r="DS123" s="234"/>
      <c r="DT123" s="235"/>
      <c r="DU123" s="234"/>
      <c r="DV123" s="233">
        <f t="shared" si="133"/>
        <v>0</v>
      </c>
      <c r="DW123" s="238">
        <f>Автовик_разбивка[[#This Row],[Цена, 
юань, без НДС 1]]*DV123</f>
        <v>0</v>
      </c>
      <c r="DX123" s="242">
        <f t="shared" si="134"/>
        <v>0</v>
      </c>
      <c r="DY123" s="242">
        <f>Автовик_разбивка[[#This Row],[Цена, 
юань, без НДС 1]]*DX123</f>
        <v>0</v>
      </c>
      <c r="DZ123" s="234">
        <f t="shared" si="135"/>
        <v>0</v>
      </c>
      <c r="EA123" s="253">
        <f>Автовик_разбивка[[#This Row],[Цена, 
юань, без НДС 1]]*DZ123</f>
        <v>0</v>
      </c>
      <c r="EB123" s="235">
        <f t="shared" si="136"/>
        <v>0</v>
      </c>
      <c r="EC123" s="254">
        <f>Автовик_разбивка[[#This Row],[Цена, 
юань, без НДС 1]]*EB123</f>
        <v>0</v>
      </c>
    </row>
    <row r="124" spans="1:133">
      <c r="A124" s="256">
        <v>22</v>
      </c>
      <c r="B124" s="243" t="s">
        <v>320</v>
      </c>
      <c r="C124" s="244"/>
      <c r="D124" s="244"/>
      <c r="E124" s="245"/>
      <c r="F124" s="245"/>
      <c r="G124" s="245"/>
      <c r="H124" s="246"/>
      <c r="I124" s="247"/>
      <c r="J124" s="248"/>
      <c r="K124" s="248"/>
      <c r="L124" s="249"/>
      <c r="M124" s="249"/>
      <c r="N124" s="249"/>
      <c r="O124" s="249"/>
      <c r="P124" s="249"/>
      <c r="Q124" s="249"/>
      <c r="R124" s="249"/>
      <c r="S124" s="249"/>
      <c r="T124" s="249"/>
      <c r="U124" s="249"/>
      <c r="V124" s="249"/>
      <c r="W124" s="249"/>
      <c r="X124" s="249"/>
      <c r="Y124" s="249"/>
      <c r="Z124" s="249"/>
      <c r="AA124" s="249"/>
      <c r="AB124" s="249"/>
      <c r="AC124" s="249"/>
      <c r="AD124" s="249"/>
      <c r="AE124" s="249"/>
      <c r="AF124" s="249"/>
      <c r="AG124" s="249"/>
      <c r="AH124" s="249"/>
      <c r="AI124" s="249"/>
      <c r="AJ124" s="249"/>
      <c r="AK124" s="249"/>
      <c r="AL124" s="249"/>
      <c r="AM124" s="249"/>
      <c r="AN124" s="249"/>
      <c r="AO124" s="249"/>
      <c r="AP124" s="249"/>
      <c r="AQ124" s="249"/>
      <c r="AR124" s="249"/>
      <c r="AS124" s="249"/>
      <c r="AT124" s="249"/>
      <c r="AU124" s="249"/>
      <c r="AV124" s="249"/>
      <c r="AW124" s="249"/>
      <c r="AX124" s="250"/>
      <c r="AY124" s="249"/>
      <c r="AZ124" s="250"/>
      <c r="BA124" s="250"/>
      <c r="BB124" s="250"/>
      <c r="BC124" s="249"/>
      <c r="BD124" s="250"/>
      <c r="BE124" s="250"/>
      <c r="BF124" s="250"/>
      <c r="BG124" s="249"/>
      <c r="BH124" s="250">
        <f t="shared" si="130"/>
        <v>0</v>
      </c>
      <c r="BI124" s="251">
        <f>Автовик_разбивка[[#This Row],[Цена, 
юань, без НДС 1]]*BH124</f>
        <v>0</v>
      </c>
      <c r="BJ124" s="250">
        <f t="shared" si="131"/>
        <v>0</v>
      </c>
      <c r="BK124" s="251">
        <f>Автовик_разбивка[[#This Row],[Цена, 
юань, без НДС 1]]*BJ124</f>
        <v>0</v>
      </c>
      <c r="BL124" s="250">
        <f t="shared" si="132"/>
        <v>0</v>
      </c>
      <c r="BM124" s="251">
        <f>Автовик_разбивка[[#This Row],[Цена, 
юань, без НДС 1]]*BL124</f>
        <v>0</v>
      </c>
      <c r="BN124" s="249"/>
      <c r="BO124" s="249"/>
      <c r="BP124" s="249"/>
      <c r="BQ124" s="249"/>
      <c r="BR124" s="249"/>
      <c r="BS124" s="249"/>
      <c r="BT124" s="249"/>
      <c r="BU124" s="249"/>
      <c r="BV124" s="249"/>
      <c r="BW124" s="249"/>
      <c r="BX124" s="249"/>
      <c r="BY124" s="249"/>
      <c r="BZ124" s="249"/>
      <c r="CA124" s="249"/>
      <c r="CB124" s="249"/>
      <c r="CC124" s="249"/>
      <c r="CD124" s="249"/>
      <c r="CE124" s="249"/>
      <c r="CF124" s="249"/>
      <c r="CG124" s="249"/>
      <c r="CH124" s="249"/>
      <c r="CI124" s="249"/>
      <c r="CJ124" s="249"/>
      <c r="CK124" s="249"/>
      <c r="CL124" s="249"/>
      <c r="CM124" s="249"/>
      <c r="CN124" s="249"/>
      <c r="CO124" s="249"/>
      <c r="CP124" s="249"/>
      <c r="CQ124" s="249"/>
      <c r="CR124" s="249"/>
      <c r="CS124" s="249"/>
      <c r="CT124" s="249"/>
      <c r="CU124" s="249"/>
      <c r="CV124" s="249"/>
      <c r="CW124" s="249"/>
      <c r="CX124" s="249"/>
      <c r="CY124" s="249"/>
      <c r="CZ124" s="249"/>
      <c r="DA124" s="249"/>
      <c r="DB124" s="249"/>
      <c r="DC124" s="249"/>
      <c r="DD124" s="249"/>
      <c r="DE124" s="249"/>
      <c r="DF124" s="249"/>
      <c r="DG124" s="249"/>
      <c r="DH124" s="249"/>
      <c r="DI124" s="249"/>
      <c r="DJ124" s="250"/>
      <c r="DK124" s="249"/>
      <c r="DL124" s="250"/>
      <c r="DM124" s="250"/>
      <c r="DN124" s="250"/>
      <c r="DO124" s="250"/>
      <c r="DP124" s="249"/>
      <c r="DQ124" s="250"/>
      <c r="DR124" s="250"/>
      <c r="DS124" s="250"/>
      <c r="DT124" s="250"/>
      <c r="DU124" s="249"/>
      <c r="DV124" s="250">
        <f t="shared" si="133"/>
        <v>0</v>
      </c>
      <c r="DW124" s="251">
        <f>Автовик_разбивка[[#This Row],[Цена, 
юань, без НДС 1]]*DV124</f>
        <v>0</v>
      </c>
      <c r="DX124" s="251">
        <f t="shared" si="134"/>
        <v>0</v>
      </c>
      <c r="DY124" s="251">
        <f>Автовик_разбивка[[#This Row],[Цена, 
юань, без НДС 1]]*DX124</f>
        <v>0</v>
      </c>
      <c r="DZ124" s="250">
        <f t="shared" si="135"/>
        <v>0</v>
      </c>
      <c r="EA124" s="251">
        <f>Автовик_разбивка[[#This Row],[Цена, 
юань, без НДС 1]]*DZ124</f>
        <v>0</v>
      </c>
      <c r="EB124" s="250">
        <f t="shared" si="136"/>
        <v>0</v>
      </c>
      <c r="EC124" s="251">
        <f>Автовик_разбивка[[#This Row],[Цена, 
юань, без НДС 1]]*EB124</f>
        <v>0</v>
      </c>
    </row>
    <row r="125" spans="1:133">
      <c r="A125" s="256">
        <v>22</v>
      </c>
      <c r="B125" s="172" t="s">
        <v>321</v>
      </c>
      <c r="C125" s="173" t="s">
        <v>298</v>
      </c>
      <c r="D125" s="173" t="s">
        <v>311</v>
      </c>
      <c r="E125" s="174">
        <v>1</v>
      </c>
      <c r="F125" s="174"/>
      <c r="G125" s="174"/>
      <c r="H125" s="175">
        <v>4334010030</v>
      </c>
      <c r="I125" s="176" t="s">
        <v>81</v>
      </c>
      <c r="J125" s="223"/>
      <c r="K125" s="223"/>
      <c r="L125" s="178"/>
      <c r="M125" s="130"/>
      <c r="N125" s="179"/>
      <c r="O125" s="130"/>
      <c r="P125" s="178"/>
      <c r="Q125" s="130"/>
      <c r="R125" s="179"/>
      <c r="S125" s="130"/>
      <c r="T125" s="178"/>
      <c r="U125" s="130">
        <f t="shared" ref="U125:U158" si="193">$E125*0</f>
        <v>0</v>
      </c>
      <c r="V125" s="179">
        <v>0</v>
      </c>
      <c r="W125" s="130"/>
      <c r="X125" s="178"/>
      <c r="Y125" s="130">
        <f t="shared" ref="Y125:Y158" si="194">$E125*0</f>
        <v>0</v>
      </c>
      <c r="Z125" s="179">
        <v>3</v>
      </c>
      <c r="AA125" s="130"/>
      <c r="AB125" s="178"/>
      <c r="AC125" s="130">
        <f t="shared" ref="AC125:AC158" si="195">$E125*0</f>
        <v>0</v>
      </c>
      <c r="AD125" s="179"/>
      <c r="AE125" s="130"/>
      <c r="AF125" s="178"/>
      <c r="AG125" s="130">
        <f t="shared" ref="AG125:AG158" si="196">$E125*0</f>
        <v>0</v>
      </c>
      <c r="AH125" s="179"/>
      <c r="AI125" s="130"/>
      <c r="AJ125" s="178"/>
      <c r="AK125" s="130">
        <f t="shared" ref="AK125:AK133" si="197">$E125*0</f>
        <v>0</v>
      </c>
      <c r="AL125" s="179"/>
      <c r="AM125" s="130"/>
      <c r="AN125" s="178"/>
      <c r="AO125" s="130">
        <f t="shared" ref="AO125:AO133" si="198">$E125*10</f>
        <v>10</v>
      </c>
      <c r="AP125" s="179"/>
      <c r="AQ125" s="130"/>
      <c r="AR125" s="178"/>
      <c r="AS125" s="130">
        <f t="shared" ref="AS125:AS133" si="199">$E125*5</f>
        <v>5</v>
      </c>
      <c r="AT125" s="179"/>
      <c r="AU125" s="130"/>
      <c r="AV125" s="178"/>
      <c r="AW125" s="130">
        <f t="shared" ref="AW125:AW145" si="200">$E125*5</f>
        <v>5</v>
      </c>
      <c r="AX125" s="179"/>
      <c r="AY125" s="130"/>
      <c r="AZ125" s="178"/>
      <c r="BA125" s="130">
        <f t="shared" ref="BA125:BA133" si="201">$E125*5</f>
        <v>5</v>
      </c>
      <c r="BB125" s="179"/>
      <c r="BC125" s="130"/>
      <c r="BD125" s="178"/>
      <c r="BE125" s="130">
        <f t="shared" ref="BE125:BE133" si="202">$E125*5</f>
        <v>5</v>
      </c>
      <c r="BF125" s="179"/>
      <c r="BG125" s="130"/>
      <c r="BH125" s="178">
        <f t="shared" si="130"/>
        <v>0</v>
      </c>
      <c r="BI125" s="257">
        <f>Автовик_разбивка[[#This Row],[Цена, 
юань, без НДС 1]]*BH125</f>
        <v>0</v>
      </c>
      <c r="BJ125" s="130">
        <f t="shared" si="131"/>
        <v>30</v>
      </c>
      <c r="BK125" s="187">
        <f>Автовик_разбивка[[#This Row],[Цена, 
юань, без НДС 1]]*BJ125</f>
        <v>0</v>
      </c>
      <c r="BL125" s="179">
        <f t="shared" si="132"/>
        <v>3</v>
      </c>
      <c r="BM125" s="258">
        <f>Автовик_разбивка[[#This Row],[Цена, 
юань, без НДС 1]]*BL125</f>
        <v>0</v>
      </c>
      <c r="BN125" s="178"/>
      <c r="BO125" s="184"/>
      <c r="BP125" s="130">
        <f t="shared" ref="BP125:BP133" si="203">$E125*5</f>
        <v>5</v>
      </c>
      <c r="BQ125" s="179"/>
      <c r="BR125" s="130"/>
      <c r="BS125" s="178"/>
      <c r="BT125" s="184"/>
      <c r="BU125" s="130">
        <f t="shared" ref="BU125:BU133" si="204">$E125*5</f>
        <v>5</v>
      </c>
      <c r="BV125" s="179"/>
      <c r="BW125" s="130"/>
      <c r="BX125" s="178"/>
      <c r="BY125" s="184"/>
      <c r="BZ125" s="130">
        <f t="shared" ref="BZ125:BZ158" si="205">$E125*5</f>
        <v>5</v>
      </c>
      <c r="CA125" s="179"/>
      <c r="CB125" s="130"/>
      <c r="CC125" s="178"/>
      <c r="CD125" s="184"/>
      <c r="CE125" s="130">
        <f t="shared" ref="CE125:CE158" si="206">$E125*5</f>
        <v>5</v>
      </c>
      <c r="CF125" s="179"/>
      <c r="CG125" s="130"/>
      <c r="CH125" s="178"/>
      <c r="CI125" s="184"/>
      <c r="CJ125" s="130">
        <f t="shared" ref="CJ125:CJ158" si="207">$E125*5</f>
        <v>5</v>
      </c>
      <c r="CK125" s="179"/>
      <c r="CL125" s="130"/>
      <c r="CM125" s="178"/>
      <c r="CN125" s="184"/>
      <c r="CO125" s="130">
        <f t="shared" ref="CO125:CO158" si="208">$E125*5</f>
        <v>5</v>
      </c>
      <c r="CP125" s="179"/>
      <c r="CQ125" s="130"/>
      <c r="CR125" s="178"/>
      <c r="CS125" s="184"/>
      <c r="CT125" s="130">
        <f t="shared" ref="CT125:CT158" si="209">$E125*5</f>
        <v>5</v>
      </c>
      <c r="CU125" s="179"/>
      <c r="CV125" s="130"/>
      <c r="CW125" s="178"/>
      <c r="CX125" s="184"/>
      <c r="CY125" s="130">
        <f t="shared" ref="CY125:CY158" si="210">$E125*5</f>
        <v>5</v>
      </c>
      <c r="CZ125" s="179"/>
      <c r="DA125" s="130"/>
      <c r="DB125" s="178"/>
      <c r="DC125" s="184"/>
      <c r="DD125" s="130">
        <f t="shared" ref="DD125:DD158" si="211">$E125*5</f>
        <v>5</v>
      </c>
      <c r="DE125" s="179"/>
      <c r="DF125" s="130"/>
      <c r="DG125" s="178"/>
      <c r="DH125" s="184"/>
      <c r="DI125" s="130">
        <f t="shared" ref="DI125:DI158" si="212">$E125*5</f>
        <v>5</v>
      </c>
      <c r="DJ125" s="179"/>
      <c r="DK125" s="130"/>
      <c r="DL125" s="178"/>
      <c r="DM125" s="184"/>
      <c r="DN125" s="130">
        <f t="shared" ref="DN125:DN158" si="213">$E125*5</f>
        <v>5</v>
      </c>
      <c r="DO125" s="179"/>
      <c r="DP125" s="130"/>
      <c r="DQ125" s="178"/>
      <c r="DR125" s="184"/>
      <c r="DS125" s="130">
        <f t="shared" ref="DS125:DS158" si="214">$E125*5</f>
        <v>5</v>
      </c>
      <c r="DT125" s="179"/>
      <c r="DU125" s="130"/>
      <c r="DV125" s="178">
        <f t="shared" si="133"/>
        <v>0</v>
      </c>
      <c r="DW125" s="257">
        <f>Автовик_разбивка[[#This Row],[Цена, 
юань, без НДС 1]]*DV125</f>
        <v>0</v>
      </c>
      <c r="DX125" s="259">
        <f t="shared" si="134"/>
        <v>0</v>
      </c>
      <c r="DY125" s="259">
        <f>Автовик_разбивка[[#This Row],[Цена, 
юань, без НДС 1]]*DX125</f>
        <v>0</v>
      </c>
      <c r="DZ125" s="130">
        <f t="shared" si="135"/>
        <v>60</v>
      </c>
      <c r="EA125" s="187">
        <f>Автовик_разбивка[[#This Row],[Цена, 
юань, без НДС 1]]*DZ125</f>
        <v>0</v>
      </c>
      <c r="EB125" s="179">
        <f t="shared" si="136"/>
        <v>0</v>
      </c>
      <c r="EC125" s="258">
        <f>Автовик_разбивка[[#This Row],[Цена, 
юань, без НДС 1]]*EB125</f>
        <v>0</v>
      </c>
    </row>
    <row r="126" spans="1:133">
      <c r="A126" s="256">
        <v>22</v>
      </c>
      <c r="B126" s="172" t="s">
        <v>321</v>
      </c>
      <c r="C126" s="173" t="s">
        <v>298</v>
      </c>
      <c r="D126" s="173" t="s">
        <v>311</v>
      </c>
      <c r="E126" s="174">
        <v>1</v>
      </c>
      <c r="F126" s="174"/>
      <c r="G126" s="174"/>
      <c r="H126" s="175">
        <v>4491731500</v>
      </c>
      <c r="I126" s="176" t="s">
        <v>77</v>
      </c>
      <c r="J126" s="223"/>
      <c r="K126" s="223"/>
      <c r="L126" s="178"/>
      <c r="M126" s="130"/>
      <c r="N126" s="179"/>
      <c r="O126" s="130"/>
      <c r="P126" s="178"/>
      <c r="Q126" s="130"/>
      <c r="R126" s="179"/>
      <c r="S126" s="130"/>
      <c r="T126" s="178"/>
      <c r="U126" s="130">
        <f t="shared" si="193"/>
        <v>0</v>
      </c>
      <c r="V126" s="179">
        <v>0</v>
      </c>
      <c r="W126" s="130"/>
      <c r="X126" s="178"/>
      <c r="Y126" s="130">
        <f t="shared" si="194"/>
        <v>0</v>
      </c>
      <c r="Z126" s="179">
        <v>3</v>
      </c>
      <c r="AA126" s="130"/>
      <c r="AB126" s="178"/>
      <c r="AC126" s="130">
        <f t="shared" si="195"/>
        <v>0</v>
      </c>
      <c r="AD126" s="179"/>
      <c r="AE126" s="130"/>
      <c r="AF126" s="178"/>
      <c r="AG126" s="130">
        <f t="shared" si="196"/>
        <v>0</v>
      </c>
      <c r="AH126" s="179"/>
      <c r="AI126" s="130"/>
      <c r="AJ126" s="178"/>
      <c r="AK126" s="130">
        <f t="shared" si="197"/>
        <v>0</v>
      </c>
      <c r="AL126" s="179"/>
      <c r="AM126" s="130"/>
      <c r="AN126" s="178"/>
      <c r="AO126" s="130">
        <f t="shared" si="198"/>
        <v>10</v>
      </c>
      <c r="AP126" s="179"/>
      <c r="AQ126" s="130"/>
      <c r="AR126" s="178"/>
      <c r="AS126" s="130">
        <f t="shared" si="199"/>
        <v>5</v>
      </c>
      <c r="AT126" s="179"/>
      <c r="AU126" s="130"/>
      <c r="AV126" s="178"/>
      <c r="AW126" s="130">
        <f t="shared" si="200"/>
        <v>5</v>
      </c>
      <c r="AX126" s="179"/>
      <c r="AY126" s="130"/>
      <c r="AZ126" s="178"/>
      <c r="BA126" s="130">
        <f t="shared" si="201"/>
        <v>5</v>
      </c>
      <c r="BB126" s="179"/>
      <c r="BC126" s="130"/>
      <c r="BD126" s="178"/>
      <c r="BE126" s="130">
        <f t="shared" si="202"/>
        <v>5</v>
      </c>
      <c r="BF126" s="179"/>
      <c r="BG126" s="130"/>
      <c r="BH126" s="178">
        <f t="shared" si="130"/>
        <v>0</v>
      </c>
      <c r="BI126" s="257">
        <f>Автовик_разбивка[[#This Row],[Цена, 
юань, без НДС 1]]*BH126</f>
        <v>0</v>
      </c>
      <c r="BJ126" s="130">
        <f t="shared" si="131"/>
        <v>30</v>
      </c>
      <c r="BK126" s="187">
        <f>Автовик_разбивка[[#This Row],[Цена, 
юань, без НДС 1]]*BJ126</f>
        <v>0</v>
      </c>
      <c r="BL126" s="179">
        <f t="shared" si="132"/>
        <v>3</v>
      </c>
      <c r="BM126" s="258">
        <f>Автовик_разбивка[[#This Row],[Цена, 
юань, без НДС 1]]*BL126</f>
        <v>0</v>
      </c>
      <c r="BN126" s="178"/>
      <c r="BO126" s="184"/>
      <c r="BP126" s="130">
        <f t="shared" si="203"/>
        <v>5</v>
      </c>
      <c r="BQ126" s="179"/>
      <c r="BR126" s="130"/>
      <c r="BS126" s="178"/>
      <c r="BT126" s="184"/>
      <c r="BU126" s="130">
        <f t="shared" si="204"/>
        <v>5</v>
      </c>
      <c r="BV126" s="179"/>
      <c r="BW126" s="130"/>
      <c r="BX126" s="178"/>
      <c r="BY126" s="184"/>
      <c r="BZ126" s="130">
        <f t="shared" si="205"/>
        <v>5</v>
      </c>
      <c r="CA126" s="179"/>
      <c r="CB126" s="130"/>
      <c r="CC126" s="178"/>
      <c r="CD126" s="184"/>
      <c r="CE126" s="130">
        <f t="shared" si="206"/>
        <v>5</v>
      </c>
      <c r="CF126" s="179"/>
      <c r="CG126" s="130"/>
      <c r="CH126" s="178"/>
      <c r="CI126" s="184"/>
      <c r="CJ126" s="130">
        <f t="shared" si="207"/>
        <v>5</v>
      </c>
      <c r="CK126" s="179"/>
      <c r="CL126" s="130"/>
      <c r="CM126" s="178"/>
      <c r="CN126" s="184"/>
      <c r="CO126" s="130">
        <f t="shared" si="208"/>
        <v>5</v>
      </c>
      <c r="CP126" s="179"/>
      <c r="CQ126" s="130"/>
      <c r="CR126" s="178"/>
      <c r="CS126" s="184"/>
      <c r="CT126" s="130">
        <f t="shared" si="209"/>
        <v>5</v>
      </c>
      <c r="CU126" s="179"/>
      <c r="CV126" s="130"/>
      <c r="CW126" s="178"/>
      <c r="CX126" s="184"/>
      <c r="CY126" s="130">
        <f t="shared" si="210"/>
        <v>5</v>
      </c>
      <c r="CZ126" s="179"/>
      <c r="DA126" s="130"/>
      <c r="DB126" s="178"/>
      <c r="DC126" s="184"/>
      <c r="DD126" s="130">
        <f t="shared" si="211"/>
        <v>5</v>
      </c>
      <c r="DE126" s="179"/>
      <c r="DF126" s="130"/>
      <c r="DG126" s="178"/>
      <c r="DH126" s="184"/>
      <c r="DI126" s="130">
        <f t="shared" si="212"/>
        <v>5</v>
      </c>
      <c r="DJ126" s="179"/>
      <c r="DK126" s="130"/>
      <c r="DL126" s="178"/>
      <c r="DM126" s="184"/>
      <c r="DN126" s="130">
        <f t="shared" si="213"/>
        <v>5</v>
      </c>
      <c r="DO126" s="179"/>
      <c r="DP126" s="130"/>
      <c r="DQ126" s="178"/>
      <c r="DR126" s="184"/>
      <c r="DS126" s="130">
        <f t="shared" si="214"/>
        <v>5</v>
      </c>
      <c r="DT126" s="179"/>
      <c r="DU126" s="130"/>
      <c r="DV126" s="178">
        <f t="shared" si="133"/>
        <v>0</v>
      </c>
      <c r="DW126" s="257">
        <f>Автовик_разбивка[[#This Row],[Цена, 
юань, без НДС 1]]*DV126</f>
        <v>0</v>
      </c>
      <c r="DX126" s="259">
        <f t="shared" si="134"/>
        <v>0</v>
      </c>
      <c r="DY126" s="259">
        <f>Автовик_разбивка[[#This Row],[Цена, 
юань, без НДС 1]]*DX126</f>
        <v>0</v>
      </c>
      <c r="DZ126" s="130">
        <f t="shared" si="135"/>
        <v>60</v>
      </c>
      <c r="EA126" s="187">
        <f>Автовик_разбивка[[#This Row],[Цена, 
юань, без НДС 1]]*DZ126</f>
        <v>0</v>
      </c>
      <c r="EB126" s="179">
        <f t="shared" si="136"/>
        <v>0</v>
      </c>
      <c r="EC126" s="258">
        <f>Автовик_разбивка[[#This Row],[Цена, 
юань, без НДС 1]]*EB126</f>
        <v>0</v>
      </c>
    </row>
    <row r="127" spans="1:133">
      <c r="A127" s="256">
        <v>22</v>
      </c>
      <c r="B127" s="172" t="s">
        <v>321</v>
      </c>
      <c r="C127" s="173" t="s">
        <v>298</v>
      </c>
      <c r="D127" s="173" t="s">
        <v>311</v>
      </c>
      <c r="E127" s="174">
        <v>2</v>
      </c>
      <c r="F127" s="174"/>
      <c r="G127" s="174"/>
      <c r="H127" s="175">
        <v>4497230500</v>
      </c>
      <c r="I127" s="176" t="s">
        <v>78</v>
      </c>
      <c r="J127" s="223"/>
      <c r="K127" s="223"/>
      <c r="L127" s="178"/>
      <c r="M127" s="130"/>
      <c r="N127" s="179"/>
      <c r="O127" s="130"/>
      <c r="P127" s="178"/>
      <c r="Q127" s="130"/>
      <c r="R127" s="179"/>
      <c r="S127" s="130"/>
      <c r="T127" s="178"/>
      <c r="U127" s="130">
        <f t="shared" si="193"/>
        <v>0</v>
      </c>
      <c r="V127" s="179">
        <v>0</v>
      </c>
      <c r="W127" s="130"/>
      <c r="X127" s="178"/>
      <c r="Y127" s="130">
        <f t="shared" si="194"/>
        <v>0</v>
      </c>
      <c r="Z127" s="179">
        <v>6</v>
      </c>
      <c r="AA127" s="130"/>
      <c r="AB127" s="178"/>
      <c r="AC127" s="130">
        <f t="shared" si="195"/>
        <v>0</v>
      </c>
      <c r="AD127" s="179"/>
      <c r="AE127" s="130"/>
      <c r="AF127" s="178"/>
      <c r="AG127" s="130">
        <f t="shared" si="196"/>
        <v>0</v>
      </c>
      <c r="AH127" s="179"/>
      <c r="AI127" s="130"/>
      <c r="AJ127" s="178"/>
      <c r="AK127" s="130">
        <f t="shared" si="197"/>
        <v>0</v>
      </c>
      <c r="AL127" s="179"/>
      <c r="AM127" s="130"/>
      <c r="AN127" s="178"/>
      <c r="AO127" s="130">
        <f t="shared" si="198"/>
        <v>20</v>
      </c>
      <c r="AP127" s="179"/>
      <c r="AQ127" s="130"/>
      <c r="AR127" s="178"/>
      <c r="AS127" s="130">
        <f t="shared" si="199"/>
        <v>10</v>
      </c>
      <c r="AT127" s="179"/>
      <c r="AU127" s="130"/>
      <c r="AV127" s="178"/>
      <c r="AW127" s="130">
        <f t="shared" si="200"/>
        <v>10</v>
      </c>
      <c r="AX127" s="179"/>
      <c r="AY127" s="130"/>
      <c r="AZ127" s="178"/>
      <c r="BA127" s="130">
        <f t="shared" si="201"/>
        <v>10</v>
      </c>
      <c r="BB127" s="179"/>
      <c r="BC127" s="130"/>
      <c r="BD127" s="178"/>
      <c r="BE127" s="130">
        <f t="shared" si="202"/>
        <v>10</v>
      </c>
      <c r="BF127" s="179"/>
      <c r="BG127" s="130"/>
      <c r="BH127" s="178">
        <f t="shared" si="130"/>
        <v>0</v>
      </c>
      <c r="BI127" s="257">
        <f>Автовик_разбивка[[#This Row],[Цена, 
юань, без НДС 1]]*BH127</f>
        <v>0</v>
      </c>
      <c r="BJ127" s="130">
        <f t="shared" si="131"/>
        <v>60</v>
      </c>
      <c r="BK127" s="187">
        <f>Автовик_разбивка[[#This Row],[Цена, 
юань, без НДС 1]]*BJ127</f>
        <v>0</v>
      </c>
      <c r="BL127" s="179">
        <f t="shared" si="132"/>
        <v>6</v>
      </c>
      <c r="BM127" s="258">
        <f>Автовик_разбивка[[#This Row],[Цена, 
юань, без НДС 1]]*BL127</f>
        <v>0</v>
      </c>
      <c r="BN127" s="178"/>
      <c r="BO127" s="184"/>
      <c r="BP127" s="130">
        <f t="shared" si="203"/>
        <v>10</v>
      </c>
      <c r="BQ127" s="179"/>
      <c r="BR127" s="130"/>
      <c r="BS127" s="178"/>
      <c r="BT127" s="184"/>
      <c r="BU127" s="130">
        <f t="shared" si="204"/>
        <v>10</v>
      </c>
      <c r="BV127" s="179"/>
      <c r="BW127" s="130"/>
      <c r="BX127" s="178"/>
      <c r="BY127" s="184"/>
      <c r="BZ127" s="130">
        <f t="shared" si="205"/>
        <v>10</v>
      </c>
      <c r="CA127" s="179"/>
      <c r="CB127" s="130"/>
      <c r="CC127" s="178"/>
      <c r="CD127" s="184"/>
      <c r="CE127" s="130">
        <f t="shared" si="206"/>
        <v>10</v>
      </c>
      <c r="CF127" s="179"/>
      <c r="CG127" s="130"/>
      <c r="CH127" s="178"/>
      <c r="CI127" s="184"/>
      <c r="CJ127" s="130">
        <f t="shared" si="207"/>
        <v>10</v>
      </c>
      <c r="CK127" s="179"/>
      <c r="CL127" s="130"/>
      <c r="CM127" s="178"/>
      <c r="CN127" s="184"/>
      <c r="CO127" s="130">
        <f t="shared" si="208"/>
        <v>10</v>
      </c>
      <c r="CP127" s="179"/>
      <c r="CQ127" s="130"/>
      <c r="CR127" s="178"/>
      <c r="CS127" s="184"/>
      <c r="CT127" s="130">
        <f t="shared" si="209"/>
        <v>10</v>
      </c>
      <c r="CU127" s="179"/>
      <c r="CV127" s="130"/>
      <c r="CW127" s="178"/>
      <c r="CX127" s="184"/>
      <c r="CY127" s="130">
        <f t="shared" si="210"/>
        <v>10</v>
      </c>
      <c r="CZ127" s="179"/>
      <c r="DA127" s="130"/>
      <c r="DB127" s="178"/>
      <c r="DC127" s="184"/>
      <c r="DD127" s="130">
        <f t="shared" si="211"/>
        <v>10</v>
      </c>
      <c r="DE127" s="179"/>
      <c r="DF127" s="130"/>
      <c r="DG127" s="178"/>
      <c r="DH127" s="184"/>
      <c r="DI127" s="130">
        <f t="shared" si="212"/>
        <v>10</v>
      </c>
      <c r="DJ127" s="179"/>
      <c r="DK127" s="130"/>
      <c r="DL127" s="178"/>
      <c r="DM127" s="184"/>
      <c r="DN127" s="130">
        <f t="shared" si="213"/>
        <v>10</v>
      </c>
      <c r="DO127" s="179"/>
      <c r="DP127" s="130"/>
      <c r="DQ127" s="178"/>
      <c r="DR127" s="184"/>
      <c r="DS127" s="130">
        <f t="shared" si="214"/>
        <v>10</v>
      </c>
      <c r="DT127" s="179"/>
      <c r="DU127" s="130"/>
      <c r="DV127" s="178">
        <f t="shared" si="133"/>
        <v>0</v>
      </c>
      <c r="DW127" s="257">
        <f>Автовик_разбивка[[#This Row],[Цена, 
юань, без НДС 1]]*DV127</f>
        <v>0</v>
      </c>
      <c r="DX127" s="259">
        <f t="shared" si="134"/>
        <v>0</v>
      </c>
      <c r="DY127" s="259">
        <f>Автовик_разбивка[[#This Row],[Цена, 
юань, без НДС 1]]*DX127</f>
        <v>0</v>
      </c>
      <c r="DZ127" s="130">
        <f t="shared" si="135"/>
        <v>120</v>
      </c>
      <c r="EA127" s="187">
        <f>Автовик_разбивка[[#This Row],[Цена, 
юань, без НДС 1]]*DZ127</f>
        <v>0</v>
      </c>
      <c r="EB127" s="179">
        <f t="shared" si="136"/>
        <v>0</v>
      </c>
      <c r="EC127" s="258">
        <f>Автовик_разбивка[[#This Row],[Цена, 
юань, без НДС 1]]*EB127</f>
        <v>0</v>
      </c>
    </row>
    <row r="128" spans="1:133">
      <c r="A128" s="256">
        <v>22</v>
      </c>
      <c r="B128" s="172" t="s">
        <v>321</v>
      </c>
      <c r="C128" s="173" t="s">
        <v>298</v>
      </c>
      <c r="D128" s="173" t="s">
        <v>311</v>
      </c>
      <c r="E128" s="174">
        <v>1</v>
      </c>
      <c r="F128" s="174"/>
      <c r="G128" s="174"/>
      <c r="H128" s="175">
        <v>4630320200</v>
      </c>
      <c r="I128" s="176" t="s">
        <v>80</v>
      </c>
      <c r="J128" s="223"/>
      <c r="K128" s="223"/>
      <c r="L128" s="178"/>
      <c r="M128" s="130"/>
      <c r="N128" s="179"/>
      <c r="O128" s="130"/>
      <c r="P128" s="178"/>
      <c r="Q128" s="130"/>
      <c r="R128" s="179"/>
      <c r="S128" s="130"/>
      <c r="T128" s="178"/>
      <c r="U128" s="130">
        <f t="shared" si="193"/>
        <v>0</v>
      </c>
      <c r="V128" s="179">
        <v>0</v>
      </c>
      <c r="W128" s="130"/>
      <c r="X128" s="178"/>
      <c r="Y128" s="130">
        <f t="shared" si="194"/>
        <v>0</v>
      </c>
      <c r="Z128" s="179">
        <v>3</v>
      </c>
      <c r="AA128" s="130"/>
      <c r="AB128" s="178"/>
      <c r="AC128" s="130">
        <f t="shared" si="195"/>
        <v>0</v>
      </c>
      <c r="AD128" s="179"/>
      <c r="AE128" s="130"/>
      <c r="AF128" s="178"/>
      <c r="AG128" s="130">
        <f t="shared" si="196"/>
        <v>0</v>
      </c>
      <c r="AH128" s="179"/>
      <c r="AI128" s="130"/>
      <c r="AJ128" s="178"/>
      <c r="AK128" s="130">
        <f t="shared" si="197"/>
        <v>0</v>
      </c>
      <c r="AL128" s="179"/>
      <c r="AM128" s="130"/>
      <c r="AN128" s="178"/>
      <c r="AO128" s="130">
        <f t="shared" si="198"/>
        <v>10</v>
      </c>
      <c r="AP128" s="179"/>
      <c r="AQ128" s="130"/>
      <c r="AR128" s="178"/>
      <c r="AS128" s="130">
        <f t="shared" si="199"/>
        <v>5</v>
      </c>
      <c r="AT128" s="179"/>
      <c r="AU128" s="130"/>
      <c r="AV128" s="178"/>
      <c r="AW128" s="130">
        <f t="shared" si="200"/>
        <v>5</v>
      </c>
      <c r="AX128" s="179"/>
      <c r="AY128" s="130"/>
      <c r="AZ128" s="178"/>
      <c r="BA128" s="130">
        <f t="shared" si="201"/>
        <v>5</v>
      </c>
      <c r="BB128" s="179"/>
      <c r="BC128" s="130"/>
      <c r="BD128" s="178"/>
      <c r="BE128" s="130">
        <f t="shared" si="202"/>
        <v>5</v>
      </c>
      <c r="BF128" s="179"/>
      <c r="BG128" s="130"/>
      <c r="BH128" s="178">
        <f t="shared" si="130"/>
        <v>0</v>
      </c>
      <c r="BI128" s="257">
        <f>Автовик_разбивка[[#This Row],[Цена, 
юань, без НДС 1]]*BH128</f>
        <v>0</v>
      </c>
      <c r="BJ128" s="130">
        <f t="shared" si="131"/>
        <v>30</v>
      </c>
      <c r="BK128" s="187">
        <f>Автовик_разбивка[[#This Row],[Цена, 
юань, без НДС 1]]*BJ128</f>
        <v>0</v>
      </c>
      <c r="BL128" s="179">
        <f t="shared" si="132"/>
        <v>3</v>
      </c>
      <c r="BM128" s="258">
        <f>Автовик_разбивка[[#This Row],[Цена, 
юань, без НДС 1]]*BL128</f>
        <v>0</v>
      </c>
      <c r="BN128" s="178"/>
      <c r="BO128" s="184"/>
      <c r="BP128" s="130">
        <f t="shared" si="203"/>
        <v>5</v>
      </c>
      <c r="BQ128" s="179"/>
      <c r="BR128" s="130"/>
      <c r="BS128" s="178"/>
      <c r="BT128" s="184"/>
      <c r="BU128" s="130">
        <f t="shared" si="204"/>
        <v>5</v>
      </c>
      <c r="BV128" s="179"/>
      <c r="BW128" s="130"/>
      <c r="BX128" s="178"/>
      <c r="BY128" s="184"/>
      <c r="BZ128" s="130">
        <f t="shared" si="205"/>
        <v>5</v>
      </c>
      <c r="CA128" s="179"/>
      <c r="CB128" s="130"/>
      <c r="CC128" s="178"/>
      <c r="CD128" s="184"/>
      <c r="CE128" s="130">
        <f t="shared" si="206"/>
        <v>5</v>
      </c>
      <c r="CF128" s="179"/>
      <c r="CG128" s="130"/>
      <c r="CH128" s="178"/>
      <c r="CI128" s="184"/>
      <c r="CJ128" s="130">
        <f t="shared" si="207"/>
        <v>5</v>
      </c>
      <c r="CK128" s="179"/>
      <c r="CL128" s="130"/>
      <c r="CM128" s="178"/>
      <c r="CN128" s="184"/>
      <c r="CO128" s="130">
        <f t="shared" si="208"/>
        <v>5</v>
      </c>
      <c r="CP128" s="179"/>
      <c r="CQ128" s="130"/>
      <c r="CR128" s="178"/>
      <c r="CS128" s="184"/>
      <c r="CT128" s="130">
        <f t="shared" si="209"/>
        <v>5</v>
      </c>
      <c r="CU128" s="179"/>
      <c r="CV128" s="130"/>
      <c r="CW128" s="178"/>
      <c r="CX128" s="184"/>
      <c r="CY128" s="130">
        <f t="shared" si="210"/>
        <v>5</v>
      </c>
      <c r="CZ128" s="179"/>
      <c r="DA128" s="130"/>
      <c r="DB128" s="178"/>
      <c r="DC128" s="184"/>
      <c r="DD128" s="130">
        <f t="shared" si="211"/>
        <v>5</v>
      </c>
      <c r="DE128" s="179"/>
      <c r="DF128" s="130"/>
      <c r="DG128" s="178"/>
      <c r="DH128" s="184"/>
      <c r="DI128" s="130">
        <f t="shared" si="212"/>
        <v>5</v>
      </c>
      <c r="DJ128" s="179"/>
      <c r="DK128" s="130"/>
      <c r="DL128" s="178"/>
      <c r="DM128" s="184"/>
      <c r="DN128" s="130">
        <f t="shared" si="213"/>
        <v>5</v>
      </c>
      <c r="DO128" s="179"/>
      <c r="DP128" s="130"/>
      <c r="DQ128" s="178"/>
      <c r="DR128" s="184"/>
      <c r="DS128" s="130">
        <f t="shared" si="214"/>
        <v>5</v>
      </c>
      <c r="DT128" s="179"/>
      <c r="DU128" s="130"/>
      <c r="DV128" s="178">
        <f t="shared" si="133"/>
        <v>0</v>
      </c>
      <c r="DW128" s="257">
        <f>Автовик_разбивка[[#This Row],[Цена, 
юань, без НДС 1]]*DV128</f>
        <v>0</v>
      </c>
      <c r="DX128" s="259">
        <f t="shared" si="134"/>
        <v>0</v>
      </c>
      <c r="DY128" s="259">
        <f>Автовик_разбивка[[#This Row],[Цена, 
юань, без НДС 1]]*DX128</f>
        <v>0</v>
      </c>
      <c r="DZ128" s="130">
        <f t="shared" si="135"/>
        <v>60</v>
      </c>
      <c r="EA128" s="187">
        <f>Автовик_разбивка[[#This Row],[Цена, 
юань, без НДС 1]]*DZ128</f>
        <v>0</v>
      </c>
      <c r="EB128" s="179">
        <f t="shared" si="136"/>
        <v>0</v>
      </c>
      <c r="EC128" s="258">
        <f>Автовик_разбивка[[#This Row],[Цена, 
юань, без НДС 1]]*EB128</f>
        <v>0</v>
      </c>
    </row>
    <row r="129" spans="1:133">
      <c r="A129" s="256">
        <v>22</v>
      </c>
      <c r="B129" s="172" t="s">
        <v>321</v>
      </c>
      <c r="C129" s="173" t="s">
        <v>298</v>
      </c>
      <c r="D129" s="173" t="s">
        <v>311</v>
      </c>
      <c r="E129" s="174">
        <v>1</v>
      </c>
      <c r="F129" s="174"/>
      <c r="G129" s="174"/>
      <c r="H129" s="175">
        <v>4640061000</v>
      </c>
      <c r="I129" s="176" t="s">
        <v>79</v>
      </c>
      <c r="J129" s="223"/>
      <c r="K129" s="223"/>
      <c r="L129" s="178"/>
      <c r="M129" s="130"/>
      <c r="N129" s="179"/>
      <c r="O129" s="130"/>
      <c r="P129" s="178"/>
      <c r="Q129" s="130"/>
      <c r="R129" s="179"/>
      <c r="S129" s="130"/>
      <c r="T129" s="178"/>
      <c r="U129" s="130">
        <f t="shared" si="193"/>
        <v>0</v>
      </c>
      <c r="V129" s="179">
        <v>0</v>
      </c>
      <c r="W129" s="130"/>
      <c r="X129" s="178"/>
      <c r="Y129" s="130">
        <f t="shared" si="194"/>
        <v>0</v>
      </c>
      <c r="Z129" s="179">
        <v>3</v>
      </c>
      <c r="AA129" s="130"/>
      <c r="AB129" s="178"/>
      <c r="AC129" s="130">
        <f t="shared" si="195"/>
        <v>0</v>
      </c>
      <c r="AD129" s="179"/>
      <c r="AE129" s="130"/>
      <c r="AF129" s="178"/>
      <c r="AG129" s="130">
        <f t="shared" si="196"/>
        <v>0</v>
      </c>
      <c r="AH129" s="179"/>
      <c r="AI129" s="130"/>
      <c r="AJ129" s="178"/>
      <c r="AK129" s="130">
        <f t="shared" si="197"/>
        <v>0</v>
      </c>
      <c r="AL129" s="179"/>
      <c r="AM129" s="130"/>
      <c r="AN129" s="178"/>
      <c r="AO129" s="130">
        <f t="shared" si="198"/>
        <v>10</v>
      </c>
      <c r="AP129" s="179"/>
      <c r="AQ129" s="130"/>
      <c r="AR129" s="178"/>
      <c r="AS129" s="130">
        <f t="shared" si="199"/>
        <v>5</v>
      </c>
      <c r="AT129" s="179"/>
      <c r="AU129" s="130"/>
      <c r="AV129" s="178"/>
      <c r="AW129" s="130">
        <f t="shared" si="200"/>
        <v>5</v>
      </c>
      <c r="AX129" s="179"/>
      <c r="AY129" s="130"/>
      <c r="AZ129" s="178"/>
      <c r="BA129" s="130">
        <f t="shared" si="201"/>
        <v>5</v>
      </c>
      <c r="BB129" s="179"/>
      <c r="BC129" s="130"/>
      <c r="BD129" s="178"/>
      <c r="BE129" s="130">
        <f t="shared" si="202"/>
        <v>5</v>
      </c>
      <c r="BF129" s="179"/>
      <c r="BG129" s="130"/>
      <c r="BH129" s="178">
        <f t="shared" si="130"/>
        <v>0</v>
      </c>
      <c r="BI129" s="257">
        <f>Автовик_разбивка[[#This Row],[Цена, 
юань, без НДС 1]]*BH129</f>
        <v>0</v>
      </c>
      <c r="BJ129" s="130">
        <f t="shared" si="131"/>
        <v>30</v>
      </c>
      <c r="BK129" s="187">
        <f>Автовик_разбивка[[#This Row],[Цена, 
юань, без НДС 1]]*BJ129</f>
        <v>0</v>
      </c>
      <c r="BL129" s="179">
        <f t="shared" si="132"/>
        <v>3</v>
      </c>
      <c r="BM129" s="258">
        <f>Автовик_разбивка[[#This Row],[Цена, 
юань, без НДС 1]]*BL129</f>
        <v>0</v>
      </c>
      <c r="BN129" s="178"/>
      <c r="BO129" s="184"/>
      <c r="BP129" s="130">
        <f t="shared" si="203"/>
        <v>5</v>
      </c>
      <c r="BQ129" s="179"/>
      <c r="BR129" s="130"/>
      <c r="BS129" s="178"/>
      <c r="BT129" s="184"/>
      <c r="BU129" s="130">
        <f t="shared" si="204"/>
        <v>5</v>
      </c>
      <c r="BV129" s="179"/>
      <c r="BW129" s="130"/>
      <c r="BX129" s="178"/>
      <c r="BY129" s="184"/>
      <c r="BZ129" s="130">
        <f t="shared" si="205"/>
        <v>5</v>
      </c>
      <c r="CA129" s="179"/>
      <c r="CB129" s="130"/>
      <c r="CC129" s="178"/>
      <c r="CD129" s="184"/>
      <c r="CE129" s="130">
        <f t="shared" si="206"/>
        <v>5</v>
      </c>
      <c r="CF129" s="179"/>
      <c r="CG129" s="130"/>
      <c r="CH129" s="178"/>
      <c r="CI129" s="184"/>
      <c r="CJ129" s="130">
        <f t="shared" si="207"/>
        <v>5</v>
      </c>
      <c r="CK129" s="179"/>
      <c r="CL129" s="130"/>
      <c r="CM129" s="178"/>
      <c r="CN129" s="184"/>
      <c r="CO129" s="130">
        <f t="shared" si="208"/>
        <v>5</v>
      </c>
      <c r="CP129" s="179"/>
      <c r="CQ129" s="130"/>
      <c r="CR129" s="178"/>
      <c r="CS129" s="184"/>
      <c r="CT129" s="130">
        <f t="shared" si="209"/>
        <v>5</v>
      </c>
      <c r="CU129" s="179"/>
      <c r="CV129" s="130"/>
      <c r="CW129" s="178"/>
      <c r="CX129" s="184"/>
      <c r="CY129" s="130">
        <f t="shared" si="210"/>
        <v>5</v>
      </c>
      <c r="CZ129" s="179"/>
      <c r="DA129" s="130"/>
      <c r="DB129" s="178"/>
      <c r="DC129" s="184"/>
      <c r="DD129" s="130">
        <f t="shared" si="211"/>
        <v>5</v>
      </c>
      <c r="DE129" s="179"/>
      <c r="DF129" s="130"/>
      <c r="DG129" s="178"/>
      <c r="DH129" s="184"/>
      <c r="DI129" s="130">
        <f t="shared" si="212"/>
        <v>5</v>
      </c>
      <c r="DJ129" s="179"/>
      <c r="DK129" s="130"/>
      <c r="DL129" s="178"/>
      <c r="DM129" s="184"/>
      <c r="DN129" s="130">
        <f t="shared" si="213"/>
        <v>5</v>
      </c>
      <c r="DO129" s="179"/>
      <c r="DP129" s="130"/>
      <c r="DQ129" s="178"/>
      <c r="DR129" s="184"/>
      <c r="DS129" s="130">
        <f t="shared" si="214"/>
        <v>5</v>
      </c>
      <c r="DT129" s="179"/>
      <c r="DU129" s="130"/>
      <c r="DV129" s="178">
        <f t="shared" si="133"/>
        <v>0</v>
      </c>
      <c r="DW129" s="257">
        <f>Автовик_разбивка[[#This Row],[Цена, 
юань, без НДС 1]]*DV129</f>
        <v>0</v>
      </c>
      <c r="DX129" s="259">
        <f t="shared" si="134"/>
        <v>0</v>
      </c>
      <c r="DY129" s="259">
        <f>Автовик_разбивка[[#This Row],[Цена, 
юань, без НДС 1]]*DX129</f>
        <v>0</v>
      </c>
      <c r="DZ129" s="130">
        <f t="shared" si="135"/>
        <v>60</v>
      </c>
      <c r="EA129" s="187">
        <f>Автовик_разбивка[[#This Row],[Цена, 
юань, без НДС 1]]*DZ129</f>
        <v>0</v>
      </c>
      <c r="EB129" s="179">
        <f t="shared" si="136"/>
        <v>0</v>
      </c>
      <c r="EC129" s="258">
        <f>Автовик_разбивка[[#This Row],[Цена, 
юань, без НДС 1]]*EB129</f>
        <v>0</v>
      </c>
    </row>
    <row r="130" spans="1:133">
      <c r="A130" s="256">
        <v>22</v>
      </c>
      <c r="B130" s="172" t="s">
        <v>321</v>
      </c>
      <c r="C130" s="173" t="s">
        <v>298</v>
      </c>
      <c r="D130" s="173" t="s">
        <v>311</v>
      </c>
      <c r="E130" s="174">
        <v>1</v>
      </c>
      <c r="F130" s="174"/>
      <c r="G130" s="174"/>
      <c r="H130" s="175">
        <v>4801020640</v>
      </c>
      <c r="I130" s="176" t="s">
        <v>76</v>
      </c>
      <c r="J130" s="223"/>
      <c r="K130" s="223"/>
      <c r="L130" s="178"/>
      <c r="M130" s="130"/>
      <c r="N130" s="179"/>
      <c r="O130" s="130"/>
      <c r="P130" s="178"/>
      <c r="Q130" s="130"/>
      <c r="R130" s="179"/>
      <c r="S130" s="130"/>
      <c r="T130" s="178"/>
      <c r="U130" s="130">
        <f t="shared" si="193"/>
        <v>0</v>
      </c>
      <c r="V130" s="179">
        <v>0</v>
      </c>
      <c r="W130" s="130"/>
      <c r="X130" s="178"/>
      <c r="Y130" s="130">
        <f t="shared" si="194"/>
        <v>0</v>
      </c>
      <c r="Z130" s="179">
        <v>3</v>
      </c>
      <c r="AA130" s="130"/>
      <c r="AB130" s="178"/>
      <c r="AC130" s="130">
        <f t="shared" si="195"/>
        <v>0</v>
      </c>
      <c r="AD130" s="179"/>
      <c r="AE130" s="130"/>
      <c r="AF130" s="178"/>
      <c r="AG130" s="130">
        <f t="shared" si="196"/>
        <v>0</v>
      </c>
      <c r="AH130" s="179"/>
      <c r="AI130" s="130"/>
      <c r="AJ130" s="178"/>
      <c r="AK130" s="130">
        <f t="shared" si="197"/>
        <v>0</v>
      </c>
      <c r="AL130" s="179"/>
      <c r="AM130" s="130"/>
      <c r="AN130" s="178"/>
      <c r="AO130" s="130">
        <f t="shared" si="198"/>
        <v>10</v>
      </c>
      <c r="AP130" s="179"/>
      <c r="AQ130" s="130"/>
      <c r="AR130" s="178"/>
      <c r="AS130" s="130">
        <f t="shared" si="199"/>
        <v>5</v>
      </c>
      <c r="AT130" s="179"/>
      <c r="AU130" s="130"/>
      <c r="AV130" s="178"/>
      <c r="AW130" s="130">
        <f t="shared" si="200"/>
        <v>5</v>
      </c>
      <c r="AX130" s="179"/>
      <c r="AY130" s="130"/>
      <c r="AZ130" s="178"/>
      <c r="BA130" s="130">
        <f t="shared" si="201"/>
        <v>5</v>
      </c>
      <c r="BB130" s="179"/>
      <c r="BC130" s="130"/>
      <c r="BD130" s="178"/>
      <c r="BE130" s="130">
        <f t="shared" si="202"/>
        <v>5</v>
      </c>
      <c r="BF130" s="179"/>
      <c r="BG130" s="130"/>
      <c r="BH130" s="178">
        <f t="shared" si="130"/>
        <v>0</v>
      </c>
      <c r="BI130" s="257">
        <f>Автовик_разбивка[[#This Row],[Цена, 
юань, без НДС 1]]*BH130</f>
        <v>0</v>
      </c>
      <c r="BJ130" s="130">
        <f t="shared" si="131"/>
        <v>30</v>
      </c>
      <c r="BK130" s="187">
        <f>Автовик_разбивка[[#This Row],[Цена, 
юань, без НДС 1]]*BJ130</f>
        <v>0</v>
      </c>
      <c r="BL130" s="179">
        <f t="shared" si="132"/>
        <v>3</v>
      </c>
      <c r="BM130" s="258">
        <f>Автовик_разбивка[[#This Row],[Цена, 
юань, без НДС 1]]*BL130</f>
        <v>0</v>
      </c>
      <c r="BN130" s="178"/>
      <c r="BO130" s="184"/>
      <c r="BP130" s="130">
        <f t="shared" si="203"/>
        <v>5</v>
      </c>
      <c r="BQ130" s="179"/>
      <c r="BR130" s="130"/>
      <c r="BS130" s="178"/>
      <c r="BT130" s="184"/>
      <c r="BU130" s="130">
        <f t="shared" si="204"/>
        <v>5</v>
      </c>
      <c r="BV130" s="179"/>
      <c r="BW130" s="130"/>
      <c r="BX130" s="178"/>
      <c r="BY130" s="184"/>
      <c r="BZ130" s="130">
        <f t="shared" si="205"/>
        <v>5</v>
      </c>
      <c r="CA130" s="179"/>
      <c r="CB130" s="130"/>
      <c r="CC130" s="178"/>
      <c r="CD130" s="184"/>
      <c r="CE130" s="130">
        <f t="shared" si="206"/>
        <v>5</v>
      </c>
      <c r="CF130" s="179"/>
      <c r="CG130" s="130"/>
      <c r="CH130" s="178"/>
      <c r="CI130" s="184"/>
      <c r="CJ130" s="130">
        <f t="shared" si="207"/>
        <v>5</v>
      </c>
      <c r="CK130" s="179"/>
      <c r="CL130" s="130"/>
      <c r="CM130" s="178"/>
      <c r="CN130" s="184"/>
      <c r="CO130" s="130">
        <f t="shared" si="208"/>
        <v>5</v>
      </c>
      <c r="CP130" s="179"/>
      <c r="CQ130" s="130"/>
      <c r="CR130" s="178"/>
      <c r="CS130" s="184"/>
      <c r="CT130" s="130">
        <f t="shared" si="209"/>
        <v>5</v>
      </c>
      <c r="CU130" s="179"/>
      <c r="CV130" s="130"/>
      <c r="CW130" s="178"/>
      <c r="CX130" s="184"/>
      <c r="CY130" s="130">
        <f t="shared" si="210"/>
        <v>5</v>
      </c>
      <c r="CZ130" s="179"/>
      <c r="DA130" s="130"/>
      <c r="DB130" s="178"/>
      <c r="DC130" s="184"/>
      <c r="DD130" s="130">
        <f t="shared" si="211"/>
        <v>5</v>
      </c>
      <c r="DE130" s="179"/>
      <c r="DF130" s="130"/>
      <c r="DG130" s="178"/>
      <c r="DH130" s="184"/>
      <c r="DI130" s="130">
        <f t="shared" si="212"/>
        <v>5</v>
      </c>
      <c r="DJ130" s="179"/>
      <c r="DK130" s="130"/>
      <c r="DL130" s="178"/>
      <c r="DM130" s="184"/>
      <c r="DN130" s="130">
        <f t="shared" si="213"/>
        <v>5</v>
      </c>
      <c r="DO130" s="179"/>
      <c r="DP130" s="130"/>
      <c r="DQ130" s="178"/>
      <c r="DR130" s="184"/>
      <c r="DS130" s="130">
        <f t="shared" si="214"/>
        <v>5</v>
      </c>
      <c r="DT130" s="179"/>
      <c r="DU130" s="130"/>
      <c r="DV130" s="178">
        <f t="shared" si="133"/>
        <v>0</v>
      </c>
      <c r="DW130" s="257">
        <f>Автовик_разбивка[[#This Row],[Цена, 
юань, без НДС 1]]*DV130</f>
        <v>0</v>
      </c>
      <c r="DX130" s="259">
        <f t="shared" si="134"/>
        <v>0</v>
      </c>
      <c r="DY130" s="259">
        <f>Автовик_разбивка[[#This Row],[Цена, 
юань, без НДС 1]]*DX130</f>
        <v>0</v>
      </c>
      <c r="DZ130" s="130">
        <f t="shared" si="135"/>
        <v>60</v>
      </c>
      <c r="EA130" s="187">
        <f>Автовик_разбивка[[#This Row],[Цена, 
юань, без НДС 1]]*DZ130</f>
        <v>0</v>
      </c>
      <c r="EB130" s="179">
        <f t="shared" si="136"/>
        <v>0</v>
      </c>
      <c r="EC130" s="258">
        <f>Автовик_разбивка[[#This Row],[Цена, 
юань, без НДС 1]]*EB130</f>
        <v>0</v>
      </c>
    </row>
    <row r="131" spans="1:133">
      <c r="A131" s="256">
        <v>22</v>
      </c>
      <c r="B131" s="172" t="s">
        <v>321</v>
      </c>
      <c r="C131" s="173" t="s">
        <v>298</v>
      </c>
      <c r="D131" s="173" t="s">
        <v>311</v>
      </c>
      <c r="E131" s="174">
        <v>1</v>
      </c>
      <c r="F131" s="174"/>
      <c r="G131" s="174"/>
      <c r="H131" s="175">
        <v>9522010010</v>
      </c>
      <c r="I131" s="176" t="s">
        <v>73</v>
      </c>
      <c r="J131" s="223"/>
      <c r="K131" s="223"/>
      <c r="L131" s="178"/>
      <c r="M131" s="130"/>
      <c r="N131" s="179"/>
      <c r="O131" s="130"/>
      <c r="P131" s="178"/>
      <c r="Q131" s="130"/>
      <c r="R131" s="179"/>
      <c r="S131" s="130"/>
      <c r="T131" s="178"/>
      <c r="U131" s="130">
        <f t="shared" si="193"/>
        <v>0</v>
      </c>
      <c r="V131" s="179">
        <v>0</v>
      </c>
      <c r="W131" s="130"/>
      <c r="X131" s="178"/>
      <c r="Y131" s="130">
        <f t="shared" si="194"/>
        <v>0</v>
      </c>
      <c r="Z131" s="179">
        <v>3</v>
      </c>
      <c r="AA131" s="130"/>
      <c r="AB131" s="178"/>
      <c r="AC131" s="130">
        <f t="shared" si="195"/>
        <v>0</v>
      </c>
      <c r="AD131" s="179"/>
      <c r="AE131" s="130"/>
      <c r="AF131" s="178"/>
      <c r="AG131" s="130">
        <f t="shared" si="196"/>
        <v>0</v>
      </c>
      <c r="AH131" s="179"/>
      <c r="AI131" s="130"/>
      <c r="AJ131" s="178"/>
      <c r="AK131" s="130">
        <f t="shared" si="197"/>
        <v>0</v>
      </c>
      <c r="AL131" s="179"/>
      <c r="AM131" s="130"/>
      <c r="AN131" s="178"/>
      <c r="AO131" s="130">
        <f t="shared" si="198"/>
        <v>10</v>
      </c>
      <c r="AP131" s="179"/>
      <c r="AQ131" s="130"/>
      <c r="AR131" s="178"/>
      <c r="AS131" s="130">
        <f t="shared" si="199"/>
        <v>5</v>
      </c>
      <c r="AT131" s="179"/>
      <c r="AU131" s="130"/>
      <c r="AV131" s="178"/>
      <c r="AW131" s="130">
        <f t="shared" si="200"/>
        <v>5</v>
      </c>
      <c r="AX131" s="179"/>
      <c r="AY131" s="130"/>
      <c r="AZ131" s="178"/>
      <c r="BA131" s="130">
        <f t="shared" si="201"/>
        <v>5</v>
      </c>
      <c r="BB131" s="179"/>
      <c r="BC131" s="130"/>
      <c r="BD131" s="178"/>
      <c r="BE131" s="130">
        <f t="shared" si="202"/>
        <v>5</v>
      </c>
      <c r="BF131" s="179"/>
      <c r="BG131" s="130"/>
      <c r="BH131" s="178">
        <f t="shared" si="130"/>
        <v>0</v>
      </c>
      <c r="BI131" s="257">
        <f>Автовик_разбивка[[#This Row],[Цена, 
юань, без НДС 1]]*BH131</f>
        <v>0</v>
      </c>
      <c r="BJ131" s="130">
        <f t="shared" si="131"/>
        <v>30</v>
      </c>
      <c r="BK131" s="187">
        <f>Автовик_разбивка[[#This Row],[Цена, 
юань, без НДС 1]]*BJ131</f>
        <v>0</v>
      </c>
      <c r="BL131" s="179">
        <f t="shared" si="132"/>
        <v>3</v>
      </c>
      <c r="BM131" s="258">
        <f>Автовик_разбивка[[#This Row],[Цена, 
юань, без НДС 1]]*BL131</f>
        <v>0</v>
      </c>
      <c r="BN131" s="178"/>
      <c r="BO131" s="184"/>
      <c r="BP131" s="130">
        <f t="shared" si="203"/>
        <v>5</v>
      </c>
      <c r="BQ131" s="179"/>
      <c r="BR131" s="130"/>
      <c r="BS131" s="178"/>
      <c r="BT131" s="184"/>
      <c r="BU131" s="130">
        <f t="shared" si="204"/>
        <v>5</v>
      </c>
      <c r="BV131" s="179"/>
      <c r="BW131" s="130"/>
      <c r="BX131" s="178"/>
      <c r="BY131" s="184"/>
      <c r="BZ131" s="130">
        <f t="shared" si="205"/>
        <v>5</v>
      </c>
      <c r="CA131" s="179"/>
      <c r="CB131" s="130"/>
      <c r="CC131" s="178"/>
      <c r="CD131" s="184"/>
      <c r="CE131" s="130">
        <f t="shared" si="206"/>
        <v>5</v>
      </c>
      <c r="CF131" s="179"/>
      <c r="CG131" s="130"/>
      <c r="CH131" s="178"/>
      <c r="CI131" s="184"/>
      <c r="CJ131" s="130">
        <f t="shared" si="207"/>
        <v>5</v>
      </c>
      <c r="CK131" s="179"/>
      <c r="CL131" s="130"/>
      <c r="CM131" s="178"/>
      <c r="CN131" s="184"/>
      <c r="CO131" s="130">
        <f t="shared" si="208"/>
        <v>5</v>
      </c>
      <c r="CP131" s="179"/>
      <c r="CQ131" s="130"/>
      <c r="CR131" s="178"/>
      <c r="CS131" s="184"/>
      <c r="CT131" s="130">
        <f t="shared" si="209"/>
        <v>5</v>
      </c>
      <c r="CU131" s="179"/>
      <c r="CV131" s="130"/>
      <c r="CW131" s="178"/>
      <c r="CX131" s="184"/>
      <c r="CY131" s="130">
        <f t="shared" si="210"/>
        <v>5</v>
      </c>
      <c r="CZ131" s="179"/>
      <c r="DA131" s="130"/>
      <c r="DB131" s="178"/>
      <c r="DC131" s="184"/>
      <c r="DD131" s="130">
        <f t="shared" si="211"/>
        <v>5</v>
      </c>
      <c r="DE131" s="179"/>
      <c r="DF131" s="130"/>
      <c r="DG131" s="178"/>
      <c r="DH131" s="184"/>
      <c r="DI131" s="130">
        <f t="shared" si="212"/>
        <v>5</v>
      </c>
      <c r="DJ131" s="179"/>
      <c r="DK131" s="130"/>
      <c r="DL131" s="178"/>
      <c r="DM131" s="184"/>
      <c r="DN131" s="130">
        <f t="shared" si="213"/>
        <v>5</v>
      </c>
      <c r="DO131" s="179"/>
      <c r="DP131" s="130"/>
      <c r="DQ131" s="178"/>
      <c r="DR131" s="184"/>
      <c r="DS131" s="130">
        <f t="shared" si="214"/>
        <v>5</v>
      </c>
      <c r="DT131" s="179"/>
      <c r="DU131" s="130"/>
      <c r="DV131" s="178">
        <f t="shared" si="133"/>
        <v>0</v>
      </c>
      <c r="DW131" s="257">
        <f>Автовик_разбивка[[#This Row],[Цена, 
юань, без НДС 1]]*DV131</f>
        <v>0</v>
      </c>
      <c r="DX131" s="259">
        <f t="shared" si="134"/>
        <v>0</v>
      </c>
      <c r="DY131" s="259">
        <f>Автовик_разбивка[[#This Row],[Цена, 
юань, без НДС 1]]*DX131</f>
        <v>0</v>
      </c>
      <c r="DZ131" s="130">
        <f t="shared" si="135"/>
        <v>60</v>
      </c>
      <c r="EA131" s="187">
        <f>Автовик_разбивка[[#This Row],[Цена, 
юань, без НДС 1]]*DZ131</f>
        <v>0</v>
      </c>
      <c r="EB131" s="179">
        <f t="shared" si="136"/>
        <v>0</v>
      </c>
      <c r="EC131" s="258">
        <f>Автовик_разбивка[[#This Row],[Цена, 
юань, без НДС 1]]*EB131</f>
        <v>0</v>
      </c>
    </row>
    <row r="132" spans="1:133">
      <c r="A132" s="256">
        <v>22</v>
      </c>
      <c r="B132" s="172" t="s">
        <v>321</v>
      </c>
      <c r="C132" s="173" t="s">
        <v>298</v>
      </c>
      <c r="D132" s="173" t="s">
        <v>311</v>
      </c>
      <c r="E132" s="174">
        <v>1</v>
      </c>
      <c r="F132" s="174"/>
      <c r="G132" s="174"/>
      <c r="H132" s="175">
        <v>9522010020</v>
      </c>
      <c r="I132" s="176" t="s">
        <v>74</v>
      </c>
      <c r="J132" s="223"/>
      <c r="K132" s="223"/>
      <c r="L132" s="178"/>
      <c r="M132" s="130"/>
      <c r="N132" s="179"/>
      <c r="O132" s="130"/>
      <c r="P132" s="178"/>
      <c r="Q132" s="130"/>
      <c r="R132" s="179"/>
      <c r="S132" s="130"/>
      <c r="T132" s="178"/>
      <c r="U132" s="130">
        <f t="shared" si="193"/>
        <v>0</v>
      </c>
      <c r="V132" s="179">
        <v>0</v>
      </c>
      <c r="W132" s="130"/>
      <c r="X132" s="178"/>
      <c r="Y132" s="130">
        <f t="shared" si="194"/>
        <v>0</v>
      </c>
      <c r="Z132" s="179">
        <v>3</v>
      </c>
      <c r="AA132" s="130"/>
      <c r="AB132" s="178"/>
      <c r="AC132" s="130">
        <f t="shared" si="195"/>
        <v>0</v>
      </c>
      <c r="AD132" s="179"/>
      <c r="AE132" s="130"/>
      <c r="AF132" s="178"/>
      <c r="AG132" s="130">
        <f t="shared" si="196"/>
        <v>0</v>
      </c>
      <c r="AH132" s="179"/>
      <c r="AI132" s="130"/>
      <c r="AJ132" s="178"/>
      <c r="AK132" s="130">
        <f t="shared" si="197"/>
        <v>0</v>
      </c>
      <c r="AL132" s="179"/>
      <c r="AM132" s="130"/>
      <c r="AN132" s="178"/>
      <c r="AO132" s="130">
        <f t="shared" si="198"/>
        <v>10</v>
      </c>
      <c r="AP132" s="179"/>
      <c r="AQ132" s="130"/>
      <c r="AR132" s="178"/>
      <c r="AS132" s="130">
        <f t="shared" si="199"/>
        <v>5</v>
      </c>
      <c r="AT132" s="179"/>
      <c r="AU132" s="130"/>
      <c r="AV132" s="178"/>
      <c r="AW132" s="130">
        <f t="shared" si="200"/>
        <v>5</v>
      </c>
      <c r="AX132" s="179"/>
      <c r="AY132" s="130"/>
      <c r="AZ132" s="178"/>
      <c r="BA132" s="130">
        <f t="shared" si="201"/>
        <v>5</v>
      </c>
      <c r="BB132" s="179"/>
      <c r="BC132" s="130"/>
      <c r="BD132" s="178"/>
      <c r="BE132" s="130">
        <f t="shared" si="202"/>
        <v>5</v>
      </c>
      <c r="BF132" s="179"/>
      <c r="BG132" s="130"/>
      <c r="BH132" s="178">
        <f t="shared" si="130"/>
        <v>0</v>
      </c>
      <c r="BI132" s="257">
        <f>Автовик_разбивка[[#This Row],[Цена, 
юань, без НДС 1]]*BH132</f>
        <v>0</v>
      </c>
      <c r="BJ132" s="130">
        <f t="shared" si="131"/>
        <v>30</v>
      </c>
      <c r="BK132" s="187">
        <f>Автовик_разбивка[[#This Row],[Цена, 
юань, без НДС 1]]*BJ132</f>
        <v>0</v>
      </c>
      <c r="BL132" s="179">
        <f t="shared" si="132"/>
        <v>3</v>
      </c>
      <c r="BM132" s="258">
        <f>Автовик_разбивка[[#This Row],[Цена, 
юань, без НДС 1]]*BL132</f>
        <v>0</v>
      </c>
      <c r="BN132" s="178"/>
      <c r="BO132" s="184"/>
      <c r="BP132" s="130">
        <f t="shared" si="203"/>
        <v>5</v>
      </c>
      <c r="BQ132" s="179"/>
      <c r="BR132" s="130"/>
      <c r="BS132" s="178"/>
      <c r="BT132" s="184"/>
      <c r="BU132" s="130">
        <f t="shared" si="204"/>
        <v>5</v>
      </c>
      <c r="BV132" s="179"/>
      <c r="BW132" s="130"/>
      <c r="BX132" s="178"/>
      <c r="BY132" s="184"/>
      <c r="BZ132" s="130">
        <f t="shared" si="205"/>
        <v>5</v>
      </c>
      <c r="CA132" s="179"/>
      <c r="CB132" s="130"/>
      <c r="CC132" s="178"/>
      <c r="CD132" s="184"/>
      <c r="CE132" s="130">
        <f t="shared" si="206"/>
        <v>5</v>
      </c>
      <c r="CF132" s="179"/>
      <c r="CG132" s="130"/>
      <c r="CH132" s="178"/>
      <c r="CI132" s="184"/>
      <c r="CJ132" s="130">
        <f t="shared" si="207"/>
        <v>5</v>
      </c>
      <c r="CK132" s="179"/>
      <c r="CL132" s="130"/>
      <c r="CM132" s="178"/>
      <c r="CN132" s="184"/>
      <c r="CO132" s="130">
        <f t="shared" si="208"/>
        <v>5</v>
      </c>
      <c r="CP132" s="179"/>
      <c r="CQ132" s="130"/>
      <c r="CR132" s="178"/>
      <c r="CS132" s="184"/>
      <c r="CT132" s="130">
        <f t="shared" si="209"/>
        <v>5</v>
      </c>
      <c r="CU132" s="179"/>
      <c r="CV132" s="130"/>
      <c r="CW132" s="178"/>
      <c r="CX132" s="184"/>
      <c r="CY132" s="130">
        <f t="shared" si="210"/>
        <v>5</v>
      </c>
      <c r="CZ132" s="179"/>
      <c r="DA132" s="130"/>
      <c r="DB132" s="178"/>
      <c r="DC132" s="184"/>
      <c r="DD132" s="130">
        <f t="shared" si="211"/>
        <v>5</v>
      </c>
      <c r="DE132" s="179"/>
      <c r="DF132" s="130"/>
      <c r="DG132" s="178"/>
      <c r="DH132" s="184"/>
      <c r="DI132" s="130">
        <f t="shared" si="212"/>
        <v>5</v>
      </c>
      <c r="DJ132" s="179"/>
      <c r="DK132" s="130"/>
      <c r="DL132" s="178"/>
      <c r="DM132" s="184"/>
      <c r="DN132" s="130">
        <f t="shared" si="213"/>
        <v>5</v>
      </c>
      <c r="DO132" s="179"/>
      <c r="DP132" s="130"/>
      <c r="DQ132" s="178"/>
      <c r="DR132" s="184"/>
      <c r="DS132" s="130">
        <f t="shared" si="214"/>
        <v>5</v>
      </c>
      <c r="DT132" s="179"/>
      <c r="DU132" s="130"/>
      <c r="DV132" s="178">
        <f t="shared" si="133"/>
        <v>0</v>
      </c>
      <c r="DW132" s="257">
        <f>Автовик_разбивка[[#This Row],[Цена, 
юань, без НДС 1]]*DV132</f>
        <v>0</v>
      </c>
      <c r="DX132" s="259">
        <f t="shared" si="134"/>
        <v>0</v>
      </c>
      <c r="DY132" s="259">
        <f>Автовик_разбивка[[#This Row],[Цена, 
юань, без НДС 1]]*DX132</f>
        <v>0</v>
      </c>
      <c r="DZ132" s="130">
        <f t="shared" si="135"/>
        <v>60</v>
      </c>
      <c r="EA132" s="187">
        <f>Автовик_разбивка[[#This Row],[Цена, 
юань, без НДС 1]]*DZ132</f>
        <v>0</v>
      </c>
      <c r="EB132" s="179">
        <f t="shared" si="136"/>
        <v>0</v>
      </c>
      <c r="EC132" s="258">
        <f>Автовик_разбивка[[#This Row],[Цена, 
юань, без НДС 1]]*EB132</f>
        <v>0</v>
      </c>
    </row>
    <row r="133" spans="1:133">
      <c r="A133" s="256">
        <v>22</v>
      </c>
      <c r="B133" s="172" t="s">
        <v>321</v>
      </c>
      <c r="C133" s="173" t="s">
        <v>298</v>
      </c>
      <c r="D133" s="173" t="s">
        <v>311</v>
      </c>
      <c r="E133" s="174">
        <v>1</v>
      </c>
      <c r="F133" s="174"/>
      <c r="G133" s="174"/>
      <c r="H133" s="175">
        <v>9710029000</v>
      </c>
      <c r="I133" s="176" t="s">
        <v>75</v>
      </c>
      <c r="J133" s="223"/>
      <c r="K133" s="223"/>
      <c r="L133" s="178"/>
      <c r="M133" s="130"/>
      <c r="N133" s="179"/>
      <c r="O133" s="130"/>
      <c r="P133" s="178"/>
      <c r="Q133" s="130"/>
      <c r="R133" s="179"/>
      <c r="S133" s="130"/>
      <c r="T133" s="178"/>
      <c r="U133" s="130">
        <f t="shared" si="193"/>
        <v>0</v>
      </c>
      <c r="V133" s="179">
        <v>0</v>
      </c>
      <c r="W133" s="130"/>
      <c r="X133" s="178"/>
      <c r="Y133" s="130">
        <f t="shared" si="194"/>
        <v>0</v>
      </c>
      <c r="Z133" s="179">
        <v>3</v>
      </c>
      <c r="AA133" s="130"/>
      <c r="AB133" s="178"/>
      <c r="AC133" s="130">
        <f t="shared" si="195"/>
        <v>0</v>
      </c>
      <c r="AD133" s="179"/>
      <c r="AE133" s="130"/>
      <c r="AF133" s="178"/>
      <c r="AG133" s="130">
        <f t="shared" si="196"/>
        <v>0</v>
      </c>
      <c r="AH133" s="179"/>
      <c r="AI133" s="130"/>
      <c r="AJ133" s="178"/>
      <c r="AK133" s="130">
        <f t="shared" si="197"/>
        <v>0</v>
      </c>
      <c r="AL133" s="179"/>
      <c r="AM133" s="130"/>
      <c r="AN133" s="178"/>
      <c r="AO133" s="130">
        <f t="shared" si="198"/>
        <v>10</v>
      </c>
      <c r="AP133" s="179"/>
      <c r="AQ133" s="130"/>
      <c r="AR133" s="178"/>
      <c r="AS133" s="130">
        <f t="shared" si="199"/>
        <v>5</v>
      </c>
      <c r="AT133" s="179"/>
      <c r="AU133" s="130"/>
      <c r="AV133" s="178"/>
      <c r="AW133" s="130">
        <f t="shared" si="200"/>
        <v>5</v>
      </c>
      <c r="AX133" s="179"/>
      <c r="AY133" s="130"/>
      <c r="AZ133" s="178"/>
      <c r="BA133" s="130">
        <f t="shared" si="201"/>
        <v>5</v>
      </c>
      <c r="BB133" s="179"/>
      <c r="BC133" s="130"/>
      <c r="BD133" s="178"/>
      <c r="BE133" s="130">
        <f t="shared" si="202"/>
        <v>5</v>
      </c>
      <c r="BF133" s="179"/>
      <c r="BG133" s="130"/>
      <c r="BH133" s="178">
        <f t="shared" ref="BH133:BH196" si="215">SUMPRODUCT(--(MOD(COLUMN($L133:$BG133),4)=MOD(COLUMN($L133),4)),$L133:$BG133)</f>
        <v>0</v>
      </c>
      <c r="BI133" s="257">
        <f>Автовик_разбивка[[#This Row],[Цена, 
юань, без НДС 1]]*BH133</f>
        <v>0</v>
      </c>
      <c r="BJ133" s="130">
        <f t="shared" ref="BJ133:BJ196" si="216">SUMPRODUCT(--(MOD(COLUMN($L133:$BG133),4)=MOD(COLUMN($L133)+1,4)),$L133:$BG133)</f>
        <v>30</v>
      </c>
      <c r="BK133" s="187">
        <f>Автовик_разбивка[[#This Row],[Цена, 
юань, без НДС 1]]*BJ133</f>
        <v>0</v>
      </c>
      <c r="BL133" s="179">
        <f t="shared" ref="BL133:BL196" si="217">SUMPRODUCT(--(MOD(COLUMN($L133:$BG133),4)=MOD(COLUMN($L133)+2,4)),$L133:$BG133)</f>
        <v>3</v>
      </c>
      <c r="BM133" s="258">
        <f>Автовик_разбивка[[#This Row],[Цена, 
юань, без НДС 1]]*BL133</f>
        <v>0</v>
      </c>
      <c r="BN133" s="178"/>
      <c r="BO133" s="184"/>
      <c r="BP133" s="130">
        <f t="shared" si="203"/>
        <v>5</v>
      </c>
      <c r="BQ133" s="179"/>
      <c r="BR133" s="130"/>
      <c r="BS133" s="178"/>
      <c r="BT133" s="184"/>
      <c r="BU133" s="130">
        <f t="shared" si="204"/>
        <v>5</v>
      </c>
      <c r="BV133" s="179"/>
      <c r="BW133" s="130"/>
      <c r="BX133" s="178"/>
      <c r="BY133" s="184"/>
      <c r="BZ133" s="130">
        <f t="shared" si="205"/>
        <v>5</v>
      </c>
      <c r="CA133" s="179"/>
      <c r="CB133" s="130"/>
      <c r="CC133" s="178"/>
      <c r="CD133" s="184"/>
      <c r="CE133" s="130">
        <f t="shared" si="206"/>
        <v>5</v>
      </c>
      <c r="CF133" s="179"/>
      <c r="CG133" s="130"/>
      <c r="CH133" s="178"/>
      <c r="CI133" s="184"/>
      <c r="CJ133" s="130">
        <f t="shared" si="207"/>
        <v>5</v>
      </c>
      <c r="CK133" s="179"/>
      <c r="CL133" s="130"/>
      <c r="CM133" s="178"/>
      <c r="CN133" s="184"/>
      <c r="CO133" s="130">
        <f t="shared" si="208"/>
        <v>5</v>
      </c>
      <c r="CP133" s="179"/>
      <c r="CQ133" s="130"/>
      <c r="CR133" s="178"/>
      <c r="CS133" s="184"/>
      <c r="CT133" s="130">
        <f t="shared" si="209"/>
        <v>5</v>
      </c>
      <c r="CU133" s="179"/>
      <c r="CV133" s="130"/>
      <c r="CW133" s="178"/>
      <c r="CX133" s="184"/>
      <c r="CY133" s="130">
        <f t="shared" si="210"/>
        <v>5</v>
      </c>
      <c r="CZ133" s="179"/>
      <c r="DA133" s="130"/>
      <c r="DB133" s="178"/>
      <c r="DC133" s="184"/>
      <c r="DD133" s="130">
        <f t="shared" si="211"/>
        <v>5</v>
      </c>
      <c r="DE133" s="179"/>
      <c r="DF133" s="130"/>
      <c r="DG133" s="178"/>
      <c r="DH133" s="184"/>
      <c r="DI133" s="130">
        <f t="shared" si="212"/>
        <v>5</v>
      </c>
      <c r="DJ133" s="179"/>
      <c r="DK133" s="130"/>
      <c r="DL133" s="178"/>
      <c r="DM133" s="184"/>
      <c r="DN133" s="130">
        <f t="shared" si="213"/>
        <v>5</v>
      </c>
      <c r="DO133" s="179"/>
      <c r="DP133" s="130"/>
      <c r="DQ133" s="178"/>
      <c r="DR133" s="184"/>
      <c r="DS133" s="130">
        <f t="shared" si="214"/>
        <v>5</v>
      </c>
      <c r="DT133" s="179"/>
      <c r="DU133" s="130"/>
      <c r="DV133" s="178">
        <f t="shared" ref="DV133:DV196" si="218">SUMPRODUCT(--(MOD(COLUMN($BN133:$DU133),5)=MOD(COLUMN($BN133),5)),$BN133:$DU133)</f>
        <v>0</v>
      </c>
      <c r="DW133" s="257">
        <f>Автовик_разбивка[[#This Row],[Цена, 
юань, без НДС 1]]*DV133</f>
        <v>0</v>
      </c>
      <c r="DX133" s="259">
        <f t="shared" ref="DX133:DX196" si="219">SUMPRODUCT(--(MOD(COLUMN($BN133:$DU133),5)=MOD(COLUMN($BN133)+1,5)),$BN133:$DU133)</f>
        <v>0</v>
      </c>
      <c r="DY133" s="259">
        <f>Автовик_разбивка[[#This Row],[Цена, 
юань, без НДС 1]]*DX133</f>
        <v>0</v>
      </c>
      <c r="DZ133" s="130">
        <f t="shared" ref="DZ133:DZ196" si="220">SUMPRODUCT(--(MOD(COLUMN($BN133:$DU133),5)=MOD(COLUMN($BN133)+2,5)),$BN133:$DU133)</f>
        <v>60</v>
      </c>
      <c r="EA133" s="187">
        <f>Автовик_разбивка[[#This Row],[Цена, 
юань, без НДС 1]]*DZ133</f>
        <v>0</v>
      </c>
      <c r="EB133" s="179">
        <f t="shared" ref="EB133:EB196" si="221">SUMPRODUCT(--(MOD(COLUMN($BN133:$DU133),5)=MOD(COLUMN($BN133)+3,5)),$BN133:$DU133)</f>
        <v>0</v>
      </c>
      <c r="EC133" s="258">
        <f>Автовик_разбивка[[#This Row],[Цена, 
юань, без НДС 1]]*EB133</f>
        <v>0</v>
      </c>
    </row>
    <row r="134" spans="1:133">
      <c r="A134" s="256">
        <v>22</v>
      </c>
      <c r="B134" s="172" t="s">
        <v>321</v>
      </c>
      <c r="C134" s="173"/>
      <c r="D134" s="173"/>
      <c r="E134" s="174"/>
      <c r="F134" s="174"/>
      <c r="G134" s="174"/>
      <c r="H134" s="175">
        <v>9253771100</v>
      </c>
      <c r="I134" s="176" t="s">
        <v>55</v>
      </c>
      <c r="J134" s="223"/>
      <c r="K134" s="223"/>
      <c r="L134" s="178"/>
      <c r="M134" s="130"/>
      <c r="N134" s="179"/>
      <c r="O134" s="130"/>
      <c r="P134" s="178"/>
      <c r="Q134" s="130">
        <v>12</v>
      </c>
      <c r="R134" s="179">
        <v>12</v>
      </c>
      <c r="S134" s="130"/>
      <c r="T134" s="178"/>
      <c r="U134" s="130">
        <v>0</v>
      </c>
      <c r="V134" s="179">
        <v>0</v>
      </c>
      <c r="W134" s="130"/>
      <c r="X134" s="178"/>
      <c r="Y134" s="130">
        <v>0</v>
      </c>
      <c r="Z134" s="179">
        <v>12</v>
      </c>
      <c r="AA134" s="130"/>
      <c r="AB134" s="178"/>
      <c r="AC134" s="130"/>
      <c r="AD134" s="179"/>
      <c r="AE134" s="130"/>
      <c r="AF134" s="178"/>
      <c r="AG134" s="130"/>
      <c r="AH134" s="179"/>
      <c r="AI134" s="130"/>
      <c r="AJ134" s="178"/>
      <c r="AK134" s="130"/>
      <c r="AL134" s="179"/>
      <c r="AM134" s="130"/>
      <c r="AN134" s="178"/>
      <c r="AO134" s="130"/>
      <c r="AP134" s="179"/>
      <c r="AQ134" s="130"/>
      <c r="AR134" s="178"/>
      <c r="AS134" s="130"/>
      <c r="AT134" s="179"/>
      <c r="AU134" s="130"/>
      <c r="AV134" s="178"/>
      <c r="AW134" s="130"/>
      <c r="AX134" s="179"/>
      <c r="AY134" s="130"/>
      <c r="AZ134" s="178"/>
      <c r="BA134" s="130"/>
      <c r="BB134" s="179"/>
      <c r="BC134" s="130"/>
      <c r="BD134" s="178"/>
      <c r="BE134" s="130"/>
      <c r="BF134" s="179"/>
      <c r="BG134" s="130"/>
      <c r="BH134" s="178">
        <f t="shared" si="215"/>
        <v>0</v>
      </c>
      <c r="BI134" s="257">
        <f>Автовик_разбивка[[#This Row],[Цена, 
юань, без НДС 1]]*BH134</f>
        <v>0</v>
      </c>
      <c r="BJ134" s="130">
        <f t="shared" si="216"/>
        <v>12</v>
      </c>
      <c r="BK134" s="187">
        <f>Автовик_разбивка[[#This Row],[Цена, 
юань, без НДС 1]]*BJ134</f>
        <v>0</v>
      </c>
      <c r="BL134" s="179">
        <f t="shared" si="217"/>
        <v>24</v>
      </c>
      <c r="BM134" s="258">
        <f>Автовик_разбивка[[#This Row],[Цена, 
юань, без НДС 1]]*BL134</f>
        <v>0</v>
      </c>
      <c r="BN134" s="178"/>
      <c r="BO134" s="184"/>
      <c r="BP134" s="130"/>
      <c r="BQ134" s="179"/>
      <c r="BR134" s="130"/>
      <c r="BS134" s="178"/>
      <c r="BT134" s="184"/>
      <c r="BU134" s="130"/>
      <c r="BV134" s="179"/>
      <c r="BW134" s="130"/>
      <c r="BX134" s="178"/>
      <c r="BY134" s="184"/>
      <c r="BZ134" s="130"/>
      <c r="CA134" s="179"/>
      <c r="CB134" s="130"/>
      <c r="CC134" s="178"/>
      <c r="CD134" s="184"/>
      <c r="CE134" s="130"/>
      <c r="CF134" s="179"/>
      <c r="CG134" s="130"/>
      <c r="CH134" s="178"/>
      <c r="CI134" s="184"/>
      <c r="CJ134" s="130"/>
      <c r="CK134" s="179"/>
      <c r="CL134" s="130"/>
      <c r="CM134" s="178"/>
      <c r="CN134" s="184"/>
      <c r="CO134" s="130"/>
      <c r="CP134" s="179"/>
      <c r="CQ134" s="130"/>
      <c r="CR134" s="178"/>
      <c r="CS134" s="184"/>
      <c r="CT134" s="130"/>
      <c r="CU134" s="179"/>
      <c r="CV134" s="130"/>
      <c r="CW134" s="178"/>
      <c r="CX134" s="184"/>
      <c r="CY134" s="130"/>
      <c r="CZ134" s="179"/>
      <c r="DA134" s="130"/>
      <c r="DB134" s="178"/>
      <c r="DC134" s="184"/>
      <c r="DD134" s="130"/>
      <c r="DE134" s="179"/>
      <c r="DF134" s="130"/>
      <c r="DG134" s="178"/>
      <c r="DH134" s="184"/>
      <c r="DI134" s="130"/>
      <c r="DJ134" s="179"/>
      <c r="DK134" s="130"/>
      <c r="DL134" s="178"/>
      <c r="DM134" s="184"/>
      <c r="DN134" s="130"/>
      <c r="DO134" s="179"/>
      <c r="DP134" s="130"/>
      <c r="DQ134" s="178"/>
      <c r="DR134" s="184"/>
      <c r="DS134" s="130"/>
      <c r="DT134" s="179"/>
      <c r="DU134" s="130"/>
      <c r="DV134" s="178">
        <f t="shared" si="218"/>
        <v>0</v>
      </c>
      <c r="DW134" s="257">
        <f>Автовик_разбивка[[#This Row],[Цена, 
юань, без НДС 1]]*DV134</f>
        <v>0</v>
      </c>
      <c r="DX134" s="259">
        <f t="shared" si="219"/>
        <v>0</v>
      </c>
      <c r="DY134" s="259">
        <f>Автовик_разбивка[[#This Row],[Цена, 
юань, без НДС 1]]*DX134</f>
        <v>0</v>
      </c>
      <c r="DZ134" s="130">
        <f t="shared" si="220"/>
        <v>0</v>
      </c>
      <c r="EA134" s="187">
        <f>Автовик_разбивка[[#This Row],[Цена, 
юань, без НДС 1]]*DZ134</f>
        <v>0</v>
      </c>
      <c r="EB134" s="179">
        <f t="shared" si="221"/>
        <v>0</v>
      </c>
      <c r="EC134" s="258">
        <f>Автовик_разбивка[[#This Row],[Цена, 
юань, без НДС 1]]*EB134</f>
        <v>0</v>
      </c>
    </row>
    <row r="135" spans="1:133">
      <c r="A135" s="256">
        <v>22</v>
      </c>
      <c r="B135" s="172" t="s">
        <v>321</v>
      </c>
      <c r="C135" s="132"/>
      <c r="D135" s="132"/>
      <c r="E135" s="229"/>
      <c r="F135" s="229"/>
      <c r="G135" s="229"/>
      <c r="H135" s="230"/>
      <c r="I135" s="231" t="s">
        <v>43</v>
      </c>
      <c r="J135" s="232"/>
      <c r="K135" s="232"/>
      <c r="L135" s="233"/>
      <c r="M135" s="234"/>
      <c r="N135" s="235"/>
      <c r="O135" s="234"/>
      <c r="P135" s="233"/>
      <c r="Q135" s="234"/>
      <c r="R135" s="235"/>
      <c r="S135" s="234"/>
      <c r="T135" s="233"/>
      <c r="U135" s="234"/>
      <c r="V135" s="235"/>
      <c r="W135" s="234"/>
      <c r="X135" s="233"/>
      <c r="Y135" s="234"/>
      <c r="Z135" s="235"/>
      <c r="AA135" s="234"/>
      <c r="AB135" s="233"/>
      <c r="AC135" s="234"/>
      <c r="AD135" s="235"/>
      <c r="AE135" s="234"/>
      <c r="AF135" s="233"/>
      <c r="AG135" s="234"/>
      <c r="AH135" s="235"/>
      <c r="AI135" s="234"/>
      <c r="AJ135" s="233"/>
      <c r="AK135" s="234"/>
      <c r="AL135" s="235"/>
      <c r="AM135" s="234"/>
      <c r="AN135" s="233"/>
      <c r="AO135" s="234"/>
      <c r="AP135" s="235"/>
      <c r="AQ135" s="234"/>
      <c r="AR135" s="233"/>
      <c r="AS135" s="234"/>
      <c r="AT135" s="235"/>
      <c r="AU135" s="234"/>
      <c r="AV135" s="233"/>
      <c r="AW135" s="234"/>
      <c r="AX135" s="235"/>
      <c r="AY135" s="234"/>
      <c r="AZ135" s="233"/>
      <c r="BA135" s="234"/>
      <c r="BB135" s="235"/>
      <c r="BC135" s="234"/>
      <c r="BD135" s="233"/>
      <c r="BE135" s="234"/>
      <c r="BF135" s="235"/>
      <c r="BG135" s="234"/>
      <c r="BH135" s="233">
        <f t="shared" si="215"/>
        <v>0</v>
      </c>
      <c r="BI135" s="238">
        <f>Автовик_разбивка[[#This Row],[Цена, 
юань, без НДС 1]]*BH135</f>
        <v>0</v>
      </c>
      <c r="BJ135" s="234">
        <f t="shared" si="216"/>
        <v>0</v>
      </c>
      <c r="BK135" s="253">
        <f>Автовик_разбивка[[#This Row],[Цена, 
юань, без НДС 1]]*BJ135</f>
        <v>0</v>
      </c>
      <c r="BL135" s="235">
        <f t="shared" si="217"/>
        <v>0</v>
      </c>
      <c r="BM135" s="254">
        <f>Автовик_разбивка[[#This Row],[Цена, 
юань, без НДС 1]]*BL135</f>
        <v>0</v>
      </c>
      <c r="BN135" s="233"/>
      <c r="BO135" s="241"/>
      <c r="BP135" s="234"/>
      <c r="BQ135" s="235"/>
      <c r="BR135" s="234"/>
      <c r="BS135" s="233"/>
      <c r="BT135" s="241"/>
      <c r="BU135" s="234"/>
      <c r="BV135" s="235"/>
      <c r="BW135" s="234"/>
      <c r="BX135" s="233"/>
      <c r="BY135" s="241"/>
      <c r="BZ135" s="234"/>
      <c r="CA135" s="235"/>
      <c r="CB135" s="234"/>
      <c r="CC135" s="233"/>
      <c r="CD135" s="241"/>
      <c r="CE135" s="234"/>
      <c r="CF135" s="235"/>
      <c r="CG135" s="234"/>
      <c r="CH135" s="233"/>
      <c r="CI135" s="241"/>
      <c r="CJ135" s="234"/>
      <c r="CK135" s="235"/>
      <c r="CL135" s="234"/>
      <c r="CM135" s="233"/>
      <c r="CN135" s="241"/>
      <c r="CO135" s="234"/>
      <c r="CP135" s="235"/>
      <c r="CQ135" s="234"/>
      <c r="CR135" s="233"/>
      <c r="CS135" s="241"/>
      <c r="CT135" s="234"/>
      <c r="CU135" s="235"/>
      <c r="CV135" s="234"/>
      <c r="CW135" s="233"/>
      <c r="CX135" s="241"/>
      <c r="CY135" s="234"/>
      <c r="CZ135" s="235"/>
      <c r="DA135" s="234"/>
      <c r="DB135" s="233"/>
      <c r="DC135" s="241"/>
      <c r="DD135" s="234"/>
      <c r="DE135" s="235"/>
      <c r="DF135" s="234"/>
      <c r="DG135" s="233"/>
      <c r="DH135" s="241"/>
      <c r="DI135" s="234"/>
      <c r="DJ135" s="235"/>
      <c r="DK135" s="234"/>
      <c r="DL135" s="233"/>
      <c r="DM135" s="241"/>
      <c r="DN135" s="234"/>
      <c r="DO135" s="235"/>
      <c r="DP135" s="234"/>
      <c r="DQ135" s="233"/>
      <c r="DR135" s="241"/>
      <c r="DS135" s="234"/>
      <c r="DT135" s="235"/>
      <c r="DU135" s="234"/>
      <c r="DV135" s="233">
        <f t="shared" si="218"/>
        <v>0</v>
      </c>
      <c r="DW135" s="238">
        <f>Автовик_разбивка[[#This Row],[Цена, 
юань, без НДС 1]]*DV135</f>
        <v>0</v>
      </c>
      <c r="DX135" s="242">
        <f t="shared" si="219"/>
        <v>0</v>
      </c>
      <c r="DY135" s="242">
        <f>Автовик_разбивка[[#This Row],[Цена, 
юань, без НДС 1]]*DX135</f>
        <v>0</v>
      </c>
      <c r="DZ135" s="234">
        <f t="shared" si="220"/>
        <v>0</v>
      </c>
      <c r="EA135" s="253">
        <f>Автовик_разбивка[[#This Row],[Цена, 
юань, без НДС 1]]*DZ135</f>
        <v>0</v>
      </c>
      <c r="EB135" s="235">
        <f t="shared" si="221"/>
        <v>0</v>
      </c>
      <c r="EC135" s="254">
        <f>Автовик_разбивка[[#This Row],[Цена, 
юань, без НДС 1]]*EB135</f>
        <v>0</v>
      </c>
    </row>
    <row r="136" spans="1:133">
      <c r="A136" s="256">
        <v>22</v>
      </c>
      <c r="B136" s="243" t="s">
        <v>321</v>
      </c>
      <c r="C136" s="244"/>
      <c r="D136" s="244"/>
      <c r="E136" s="245"/>
      <c r="F136" s="245"/>
      <c r="G136" s="245"/>
      <c r="H136" s="246"/>
      <c r="I136" s="247"/>
      <c r="J136" s="248"/>
      <c r="K136" s="248"/>
      <c r="L136" s="249"/>
      <c r="M136" s="249"/>
      <c r="N136" s="249"/>
      <c r="O136" s="249"/>
      <c r="P136" s="249"/>
      <c r="Q136" s="249"/>
      <c r="R136" s="249"/>
      <c r="S136" s="249"/>
      <c r="T136" s="249"/>
      <c r="U136" s="249"/>
      <c r="V136" s="249"/>
      <c r="W136" s="249"/>
      <c r="X136" s="249"/>
      <c r="Y136" s="249"/>
      <c r="Z136" s="249"/>
      <c r="AA136" s="249"/>
      <c r="AB136" s="249"/>
      <c r="AC136" s="249"/>
      <c r="AD136" s="249"/>
      <c r="AE136" s="249"/>
      <c r="AF136" s="249"/>
      <c r="AG136" s="249"/>
      <c r="AH136" s="249"/>
      <c r="AI136" s="249"/>
      <c r="AJ136" s="249"/>
      <c r="AK136" s="249"/>
      <c r="AL136" s="249"/>
      <c r="AM136" s="249"/>
      <c r="AN136" s="249"/>
      <c r="AO136" s="249"/>
      <c r="AP136" s="249"/>
      <c r="AQ136" s="249"/>
      <c r="AR136" s="249"/>
      <c r="AS136" s="249"/>
      <c r="AT136" s="249"/>
      <c r="AU136" s="249"/>
      <c r="AV136" s="249"/>
      <c r="AW136" s="249"/>
      <c r="AX136" s="250"/>
      <c r="AY136" s="249"/>
      <c r="AZ136" s="250"/>
      <c r="BA136" s="250"/>
      <c r="BB136" s="250"/>
      <c r="BC136" s="249"/>
      <c r="BD136" s="250"/>
      <c r="BE136" s="250"/>
      <c r="BF136" s="250"/>
      <c r="BG136" s="249"/>
      <c r="BH136" s="250">
        <f t="shared" si="215"/>
        <v>0</v>
      </c>
      <c r="BI136" s="251">
        <f>Автовик_разбивка[[#This Row],[Цена, 
юань, без НДС 1]]*BH136</f>
        <v>0</v>
      </c>
      <c r="BJ136" s="250">
        <f t="shared" si="216"/>
        <v>0</v>
      </c>
      <c r="BK136" s="251">
        <f>Автовик_разбивка[[#This Row],[Цена, 
юань, без НДС 1]]*BJ136</f>
        <v>0</v>
      </c>
      <c r="BL136" s="250">
        <f t="shared" si="217"/>
        <v>0</v>
      </c>
      <c r="BM136" s="251">
        <f>Автовик_разбивка[[#This Row],[Цена, 
юань, без НДС 1]]*BL136</f>
        <v>0</v>
      </c>
      <c r="BN136" s="249"/>
      <c r="BO136" s="249"/>
      <c r="BP136" s="249"/>
      <c r="BQ136" s="249"/>
      <c r="BR136" s="249"/>
      <c r="BS136" s="249"/>
      <c r="BT136" s="249"/>
      <c r="BU136" s="249"/>
      <c r="BV136" s="249"/>
      <c r="BW136" s="249"/>
      <c r="BX136" s="249"/>
      <c r="BY136" s="249"/>
      <c r="BZ136" s="249"/>
      <c r="CA136" s="249"/>
      <c r="CB136" s="249"/>
      <c r="CC136" s="249"/>
      <c r="CD136" s="249"/>
      <c r="CE136" s="249"/>
      <c r="CF136" s="249"/>
      <c r="CG136" s="249"/>
      <c r="CH136" s="249"/>
      <c r="CI136" s="249"/>
      <c r="CJ136" s="249"/>
      <c r="CK136" s="249"/>
      <c r="CL136" s="249"/>
      <c r="CM136" s="249"/>
      <c r="CN136" s="249"/>
      <c r="CO136" s="249"/>
      <c r="CP136" s="249"/>
      <c r="CQ136" s="249"/>
      <c r="CR136" s="249"/>
      <c r="CS136" s="249"/>
      <c r="CT136" s="249"/>
      <c r="CU136" s="249"/>
      <c r="CV136" s="249"/>
      <c r="CW136" s="249"/>
      <c r="CX136" s="249"/>
      <c r="CY136" s="249"/>
      <c r="CZ136" s="249"/>
      <c r="DA136" s="249"/>
      <c r="DB136" s="249"/>
      <c r="DC136" s="249"/>
      <c r="DD136" s="249"/>
      <c r="DE136" s="249"/>
      <c r="DF136" s="249"/>
      <c r="DG136" s="249"/>
      <c r="DH136" s="249"/>
      <c r="DI136" s="249"/>
      <c r="DJ136" s="250"/>
      <c r="DK136" s="249"/>
      <c r="DL136" s="250"/>
      <c r="DM136" s="250"/>
      <c r="DN136" s="250"/>
      <c r="DO136" s="250"/>
      <c r="DP136" s="249"/>
      <c r="DQ136" s="250"/>
      <c r="DR136" s="250"/>
      <c r="DS136" s="250"/>
      <c r="DT136" s="250"/>
      <c r="DU136" s="249"/>
      <c r="DV136" s="250">
        <f t="shared" si="218"/>
        <v>0</v>
      </c>
      <c r="DW136" s="251">
        <f>Автовик_разбивка[[#This Row],[Цена, 
юань, без НДС 1]]*DV136</f>
        <v>0</v>
      </c>
      <c r="DX136" s="251">
        <f t="shared" si="219"/>
        <v>0</v>
      </c>
      <c r="DY136" s="251">
        <f>Автовик_разбивка[[#This Row],[Цена, 
юань, без НДС 1]]*DX136</f>
        <v>0</v>
      </c>
      <c r="DZ136" s="250">
        <f t="shared" si="220"/>
        <v>0</v>
      </c>
      <c r="EA136" s="251">
        <f>Автовик_разбивка[[#This Row],[Цена, 
юань, без НДС 1]]*DZ136</f>
        <v>0</v>
      </c>
      <c r="EB136" s="250">
        <f t="shared" si="221"/>
        <v>0</v>
      </c>
      <c r="EC136" s="251">
        <f>Автовик_разбивка[[#This Row],[Цена, 
юань, без НДС 1]]*EB136</f>
        <v>0</v>
      </c>
    </row>
    <row r="137" spans="1:133">
      <c r="A137" s="256">
        <v>22</v>
      </c>
      <c r="B137" s="172" t="s">
        <v>322</v>
      </c>
      <c r="C137" s="173" t="s">
        <v>298</v>
      </c>
      <c r="D137" s="173" t="s">
        <v>319</v>
      </c>
      <c r="E137" s="174">
        <v>1</v>
      </c>
      <c r="F137" s="174"/>
      <c r="G137" s="174"/>
      <c r="H137" s="175">
        <v>4334010030</v>
      </c>
      <c r="I137" s="176" t="s">
        <v>81</v>
      </c>
      <c r="J137" s="222"/>
      <c r="K137" s="227"/>
      <c r="L137" s="178"/>
      <c r="M137" s="130"/>
      <c r="N137" s="179"/>
      <c r="O137" s="130"/>
      <c r="P137" s="178"/>
      <c r="Q137" s="130"/>
      <c r="R137" s="179"/>
      <c r="S137" s="130"/>
      <c r="T137" s="178"/>
      <c r="U137" s="130"/>
      <c r="V137" s="179"/>
      <c r="W137" s="130"/>
      <c r="X137" s="178"/>
      <c r="Y137" s="130"/>
      <c r="Z137" s="179"/>
      <c r="AA137" s="130"/>
      <c r="AB137" s="178"/>
      <c r="AC137" s="130"/>
      <c r="AD137" s="109"/>
      <c r="AE137" s="252"/>
      <c r="AF137" s="178"/>
      <c r="AG137" s="130"/>
      <c r="AH137" s="109"/>
      <c r="AI137" s="252"/>
      <c r="AJ137" s="178"/>
      <c r="AK137" s="130"/>
      <c r="AL137" s="109"/>
      <c r="AM137" s="252"/>
      <c r="AN137" s="178"/>
      <c r="AO137" s="130"/>
      <c r="AP137" s="109"/>
      <c r="AQ137" s="252"/>
      <c r="AR137" s="178"/>
      <c r="AS137" s="130"/>
      <c r="AT137" s="109"/>
      <c r="AU137" s="252"/>
      <c r="AV137" s="178"/>
      <c r="AW137" s="130">
        <f t="shared" si="200"/>
        <v>5</v>
      </c>
      <c r="AX137" s="109"/>
      <c r="AY137" s="252"/>
      <c r="AZ137" s="178"/>
      <c r="BA137" s="130"/>
      <c r="BB137" s="194"/>
      <c r="BC137" s="252"/>
      <c r="BD137" s="178"/>
      <c r="BE137" s="130"/>
      <c r="BF137" s="109"/>
      <c r="BG137" s="252"/>
      <c r="BH137" s="180">
        <f t="shared" si="215"/>
        <v>0</v>
      </c>
      <c r="BI137" s="181">
        <f>Автовик_разбивка[[#This Row],[Цена, 
юань, без НДС 1]]*BH137</f>
        <v>0</v>
      </c>
      <c r="BJ137" s="130">
        <f t="shared" si="216"/>
        <v>5</v>
      </c>
      <c r="BK137" s="187">
        <f>Автовик_разбивка[[#This Row],[Цена, 
юань, без НДС 1]]*BJ137</f>
        <v>0</v>
      </c>
      <c r="BL137" s="109">
        <f t="shared" si="217"/>
        <v>0</v>
      </c>
      <c r="BM137" s="224">
        <f>Автовик_разбивка[[#This Row],[Цена, 
юань, без НДС 1]]*BL137</f>
        <v>0</v>
      </c>
      <c r="BN137" s="178"/>
      <c r="BO137" s="184"/>
      <c r="BP137" s="130"/>
      <c r="BQ137" s="179"/>
      <c r="BR137" s="130"/>
      <c r="BS137" s="178"/>
      <c r="BT137" s="184"/>
      <c r="BU137" s="130"/>
      <c r="BV137" s="179"/>
      <c r="BW137" s="130"/>
      <c r="BX137" s="178"/>
      <c r="BY137" s="184"/>
      <c r="BZ137" s="130"/>
      <c r="CA137" s="179"/>
      <c r="CB137" s="130"/>
      <c r="CC137" s="178"/>
      <c r="CD137" s="184"/>
      <c r="CE137" s="130"/>
      <c r="CF137" s="179"/>
      <c r="CG137" s="130"/>
      <c r="CH137" s="178"/>
      <c r="CI137" s="184"/>
      <c r="CJ137" s="130"/>
      <c r="CK137" s="109"/>
      <c r="CL137" s="252"/>
      <c r="CM137" s="178"/>
      <c r="CN137" s="184"/>
      <c r="CO137" s="130"/>
      <c r="CP137" s="109"/>
      <c r="CQ137" s="252"/>
      <c r="CR137" s="178"/>
      <c r="CS137" s="184"/>
      <c r="CT137" s="130"/>
      <c r="CU137" s="109"/>
      <c r="CV137" s="252"/>
      <c r="CW137" s="178"/>
      <c r="CX137" s="184"/>
      <c r="CY137" s="130"/>
      <c r="CZ137" s="109"/>
      <c r="DA137" s="252"/>
      <c r="DB137" s="178"/>
      <c r="DC137" s="184"/>
      <c r="DD137" s="130"/>
      <c r="DE137" s="109"/>
      <c r="DF137" s="252"/>
      <c r="DG137" s="178"/>
      <c r="DH137" s="184"/>
      <c r="DI137" s="130"/>
      <c r="DJ137" s="109"/>
      <c r="DK137" s="252"/>
      <c r="DL137" s="178"/>
      <c r="DM137" s="184"/>
      <c r="DN137" s="130"/>
      <c r="DO137" s="194"/>
      <c r="DP137" s="252"/>
      <c r="DQ137" s="178"/>
      <c r="DR137" s="184"/>
      <c r="DS137" s="130"/>
      <c r="DT137" s="109"/>
      <c r="DU137" s="252"/>
      <c r="DV137" s="180">
        <f t="shared" si="218"/>
        <v>0</v>
      </c>
      <c r="DW137" s="181">
        <f>Автовик_разбивка[[#This Row],[Цена, 
юань, без НДС 1]]*DV137</f>
        <v>0</v>
      </c>
      <c r="DX137" s="186">
        <f t="shared" si="219"/>
        <v>0</v>
      </c>
      <c r="DY137" s="186">
        <f>Автовик_разбивка[[#This Row],[Цена, 
юань, без НДС 1]]*DX137</f>
        <v>0</v>
      </c>
      <c r="DZ137" s="130">
        <f t="shared" si="220"/>
        <v>0</v>
      </c>
      <c r="EA137" s="187">
        <f>Автовик_разбивка[[#This Row],[Цена, 
юань, без НДС 1]]*DZ137</f>
        <v>0</v>
      </c>
      <c r="EB137" s="109">
        <f t="shared" si="221"/>
        <v>0</v>
      </c>
      <c r="EC137" s="224">
        <f>Автовик_разбивка[[#This Row],[Цена, 
юань, без НДС 1]]*EB137</f>
        <v>0</v>
      </c>
    </row>
    <row r="138" spans="1:133">
      <c r="A138" s="256">
        <v>22</v>
      </c>
      <c r="B138" s="172" t="s">
        <v>322</v>
      </c>
      <c r="C138" s="173" t="s">
        <v>298</v>
      </c>
      <c r="D138" s="173" t="s">
        <v>319</v>
      </c>
      <c r="E138" s="174">
        <v>1</v>
      </c>
      <c r="F138" s="174"/>
      <c r="G138" s="174"/>
      <c r="H138" s="175">
        <v>4491731500</v>
      </c>
      <c r="I138" s="176" t="s">
        <v>77</v>
      </c>
      <c r="J138" s="222"/>
      <c r="K138" s="227"/>
      <c r="L138" s="178"/>
      <c r="M138" s="130"/>
      <c r="N138" s="179"/>
      <c r="O138" s="130"/>
      <c r="P138" s="178"/>
      <c r="Q138" s="130"/>
      <c r="R138" s="179"/>
      <c r="S138" s="130"/>
      <c r="T138" s="178"/>
      <c r="U138" s="130"/>
      <c r="V138" s="179"/>
      <c r="W138" s="130"/>
      <c r="X138" s="178"/>
      <c r="Y138" s="130"/>
      <c r="Z138" s="179"/>
      <c r="AA138" s="130"/>
      <c r="AB138" s="178"/>
      <c r="AC138" s="130"/>
      <c r="AD138" s="109"/>
      <c r="AE138" s="252"/>
      <c r="AF138" s="178"/>
      <c r="AG138" s="130"/>
      <c r="AH138" s="109"/>
      <c r="AI138" s="252"/>
      <c r="AJ138" s="178"/>
      <c r="AK138" s="130"/>
      <c r="AL138" s="109"/>
      <c r="AM138" s="252"/>
      <c r="AN138" s="178"/>
      <c r="AO138" s="130"/>
      <c r="AP138" s="109"/>
      <c r="AQ138" s="252"/>
      <c r="AR138" s="178"/>
      <c r="AS138" s="130"/>
      <c r="AT138" s="109"/>
      <c r="AU138" s="252"/>
      <c r="AV138" s="178"/>
      <c r="AW138" s="130">
        <f t="shared" si="200"/>
        <v>5</v>
      </c>
      <c r="AX138" s="109"/>
      <c r="AY138" s="252"/>
      <c r="AZ138" s="178"/>
      <c r="BA138" s="130"/>
      <c r="BB138" s="194"/>
      <c r="BC138" s="252"/>
      <c r="BD138" s="178"/>
      <c r="BE138" s="130"/>
      <c r="BF138" s="109"/>
      <c r="BG138" s="252"/>
      <c r="BH138" s="180">
        <f t="shared" si="215"/>
        <v>0</v>
      </c>
      <c r="BI138" s="181">
        <f>Автовик_разбивка[[#This Row],[Цена, 
юань, без НДС 1]]*BH138</f>
        <v>0</v>
      </c>
      <c r="BJ138" s="130">
        <f t="shared" si="216"/>
        <v>5</v>
      </c>
      <c r="BK138" s="187">
        <f>Автовик_разбивка[[#This Row],[Цена, 
юань, без НДС 1]]*BJ138</f>
        <v>0</v>
      </c>
      <c r="BL138" s="109">
        <f t="shared" si="217"/>
        <v>0</v>
      </c>
      <c r="BM138" s="224">
        <f>Автовик_разбивка[[#This Row],[Цена, 
юань, без НДС 1]]*BL138</f>
        <v>0</v>
      </c>
      <c r="BN138" s="178"/>
      <c r="BO138" s="184"/>
      <c r="BP138" s="130"/>
      <c r="BQ138" s="179"/>
      <c r="BR138" s="130"/>
      <c r="BS138" s="178"/>
      <c r="BT138" s="184"/>
      <c r="BU138" s="130"/>
      <c r="BV138" s="179"/>
      <c r="BW138" s="130"/>
      <c r="BX138" s="178"/>
      <c r="BY138" s="184"/>
      <c r="BZ138" s="130"/>
      <c r="CA138" s="179"/>
      <c r="CB138" s="130"/>
      <c r="CC138" s="178"/>
      <c r="CD138" s="184"/>
      <c r="CE138" s="130"/>
      <c r="CF138" s="179"/>
      <c r="CG138" s="130"/>
      <c r="CH138" s="178"/>
      <c r="CI138" s="184"/>
      <c r="CJ138" s="130"/>
      <c r="CK138" s="109"/>
      <c r="CL138" s="252"/>
      <c r="CM138" s="178"/>
      <c r="CN138" s="184"/>
      <c r="CO138" s="130"/>
      <c r="CP138" s="109"/>
      <c r="CQ138" s="252"/>
      <c r="CR138" s="178"/>
      <c r="CS138" s="184"/>
      <c r="CT138" s="130"/>
      <c r="CU138" s="109"/>
      <c r="CV138" s="252"/>
      <c r="CW138" s="178"/>
      <c r="CX138" s="184"/>
      <c r="CY138" s="130"/>
      <c r="CZ138" s="109"/>
      <c r="DA138" s="252"/>
      <c r="DB138" s="178"/>
      <c r="DC138" s="184"/>
      <c r="DD138" s="130"/>
      <c r="DE138" s="109"/>
      <c r="DF138" s="252"/>
      <c r="DG138" s="178"/>
      <c r="DH138" s="184"/>
      <c r="DI138" s="130"/>
      <c r="DJ138" s="109"/>
      <c r="DK138" s="252"/>
      <c r="DL138" s="178"/>
      <c r="DM138" s="184"/>
      <c r="DN138" s="130"/>
      <c r="DO138" s="194"/>
      <c r="DP138" s="252"/>
      <c r="DQ138" s="178"/>
      <c r="DR138" s="184"/>
      <c r="DS138" s="130"/>
      <c r="DT138" s="109"/>
      <c r="DU138" s="252"/>
      <c r="DV138" s="180">
        <f t="shared" si="218"/>
        <v>0</v>
      </c>
      <c r="DW138" s="181">
        <f>Автовик_разбивка[[#This Row],[Цена, 
юань, без НДС 1]]*DV138</f>
        <v>0</v>
      </c>
      <c r="DX138" s="186">
        <f t="shared" si="219"/>
        <v>0</v>
      </c>
      <c r="DY138" s="186">
        <f>Автовик_разбивка[[#This Row],[Цена, 
юань, без НДС 1]]*DX138</f>
        <v>0</v>
      </c>
      <c r="DZ138" s="130">
        <f t="shared" si="220"/>
        <v>0</v>
      </c>
      <c r="EA138" s="187">
        <f>Автовик_разбивка[[#This Row],[Цена, 
юань, без НДС 1]]*DZ138</f>
        <v>0</v>
      </c>
      <c r="EB138" s="109">
        <f t="shared" si="221"/>
        <v>0</v>
      </c>
      <c r="EC138" s="224">
        <f>Автовик_разбивка[[#This Row],[Цена, 
юань, без НДС 1]]*EB138</f>
        <v>0</v>
      </c>
    </row>
    <row r="139" spans="1:133">
      <c r="A139" s="256">
        <v>22</v>
      </c>
      <c r="B139" s="172" t="s">
        <v>322</v>
      </c>
      <c r="C139" s="173" t="s">
        <v>298</v>
      </c>
      <c r="D139" s="173" t="s">
        <v>319</v>
      </c>
      <c r="E139" s="174">
        <v>2</v>
      </c>
      <c r="F139" s="174"/>
      <c r="G139" s="174"/>
      <c r="H139" s="175">
        <v>4497230500</v>
      </c>
      <c r="I139" s="176" t="s">
        <v>78</v>
      </c>
      <c r="J139" s="222"/>
      <c r="K139" s="227"/>
      <c r="L139" s="178"/>
      <c r="M139" s="130"/>
      <c r="N139" s="179"/>
      <c r="O139" s="130"/>
      <c r="P139" s="178"/>
      <c r="Q139" s="130"/>
      <c r="R139" s="179"/>
      <c r="S139" s="130"/>
      <c r="T139" s="178"/>
      <c r="U139" s="130"/>
      <c r="V139" s="179"/>
      <c r="W139" s="130"/>
      <c r="X139" s="178"/>
      <c r="Y139" s="130"/>
      <c r="Z139" s="179"/>
      <c r="AA139" s="130"/>
      <c r="AB139" s="178"/>
      <c r="AC139" s="130"/>
      <c r="AD139" s="109"/>
      <c r="AE139" s="252"/>
      <c r="AF139" s="178"/>
      <c r="AG139" s="130"/>
      <c r="AH139" s="109"/>
      <c r="AI139" s="252"/>
      <c r="AJ139" s="178"/>
      <c r="AK139" s="130"/>
      <c r="AL139" s="109"/>
      <c r="AM139" s="252"/>
      <c r="AN139" s="178"/>
      <c r="AO139" s="130"/>
      <c r="AP139" s="109"/>
      <c r="AQ139" s="252"/>
      <c r="AR139" s="178"/>
      <c r="AS139" s="130"/>
      <c r="AT139" s="109"/>
      <c r="AU139" s="252"/>
      <c r="AV139" s="178"/>
      <c r="AW139" s="130">
        <f t="shared" si="200"/>
        <v>10</v>
      </c>
      <c r="AX139" s="109"/>
      <c r="AY139" s="252"/>
      <c r="AZ139" s="178"/>
      <c r="BA139" s="130"/>
      <c r="BB139" s="194"/>
      <c r="BC139" s="252"/>
      <c r="BD139" s="178"/>
      <c r="BE139" s="130"/>
      <c r="BF139" s="109"/>
      <c r="BG139" s="252"/>
      <c r="BH139" s="180">
        <f t="shared" si="215"/>
        <v>0</v>
      </c>
      <c r="BI139" s="181">
        <f>Автовик_разбивка[[#This Row],[Цена, 
юань, без НДС 1]]*BH139</f>
        <v>0</v>
      </c>
      <c r="BJ139" s="130">
        <f t="shared" si="216"/>
        <v>10</v>
      </c>
      <c r="BK139" s="187">
        <f>Автовик_разбивка[[#This Row],[Цена, 
юань, без НДС 1]]*BJ139</f>
        <v>0</v>
      </c>
      <c r="BL139" s="109">
        <f t="shared" si="217"/>
        <v>0</v>
      </c>
      <c r="BM139" s="224">
        <f>Автовик_разбивка[[#This Row],[Цена, 
юань, без НДС 1]]*BL139</f>
        <v>0</v>
      </c>
      <c r="BN139" s="178"/>
      <c r="BO139" s="184"/>
      <c r="BP139" s="130"/>
      <c r="BQ139" s="179"/>
      <c r="BR139" s="130"/>
      <c r="BS139" s="178"/>
      <c r="BT139" s="184"/>
      <c r="BU139" s="130"/>
      <c r="BV139" s="179"/>
      <c r="BW139" s="130"/>
      <c r="BX139" s="178"/>
      <c r="BY139" s="184"/>
      <c r="BZ139" s="130"/>
      <c r="CA139" s="179"/>
      <c r="CB139" s="130"/>
      <c r="CC139" s="178"/>
      <c r="CD139" s="184"/>
      <c r="CE139" s="130"/>
      <c r="CF139" s="179"/>
      <c r="CG139" s="130"/>
      <c r="CH139" s="178"/>
      <c r="CI139" s="184"/>
      <c r="CJ139" s="130"/>
      <c r="CK139" s="109"/>
      <c r="CL139" s="252"/>
      <c r="CM139" s="178"/>
      <c r="CN139" s="184"/>
      <c r="CO139" s="130"/>
      <c r="CP139" s="109"/>
      <c r="CQ139" s="252"/>
      <c r="CR139" s="178"/>
      <c r="CS139" s="184"/>
      <c r="CT139" s="130"/>
      <c r="CU139" s="109"/>
      <c r="CV139" s="252"/>
      <c r="CW139" s="178"/>
      <c r="CX139" s="184"/>
      <c r="CY139" s="130"/>
      <c r="CZ139" s="109"/>
      <c r="DA139" s="252"/>
      <c r="DB139" s="178"/>
      <c r="DC139" s="184"/>
      <c r="DD139" s="130"/>
      <c r="DE139" s="109"/>
      <c r="DF139" s="252"/>
      <c r="DG139" s="178"/>
      <c r="DH139" s="184"/>
      <c r="DI139" s="130"/>
      <c r="DJ139" s="109"/>
      <c r="DK139" s="252"/>
      <c r="DL139" s="178"/>
      <c r="DM139" s="184"/>
      <c r="DN139" s="130"/>
      <c r="DO139" s="194"/>
      <c r="DP139" s="252"/>
      <c r="DQ139" s="178"/>
      <c r="DR139" s="184"/>
      <c r="DS139" s="130"/>
      <c r="DT139" s="109"/>
      <c r="DU139" s="252"/>
      <c r="DV139" s="180">
        <f t="shared" si="218"/>
        <v>0</v>
      </c>
      <c r="DW139" s="181">
        <f>Автовик_разбивка[[#This Row],[Цена, 
юань, без НДС 1]]*DV139</f>
        <v>0</v>
      </c>
      <c r="DX139" s="186">
        <f t="shared" si="219"/>
        <v>0</v>
      </c>
      <c r="DY139" s="186">
        <f>Автовик_разбивка[[#This Row],[Цена, 
юань, без НДС 1]]*DX139</f>
        <v>0</v>
      </c>
      <c r="DZ139" s="130">
        <f t="shared" si="220"/>
        <v>0</v>
      </c>
      <c r="EA139" s="187">
        <f>Автовик_разбивка[[#This Row],[Цена, 
юань, без НДС 1]]*DZ139</f>
        <v>0</v>
      </c>
      <c r="EB139" s="109">
        <f t="shared" si="221"/>
        <v>0</v>
      </c>
      <c r="EC139" s="224">
        <f>Автовик_разбивка[[#This Row],[Цена, 
юань, без НДС 1]]*EB139</f>
        <v>0</v>
      </c>
    </row>
    <row r="140" spans="1:133">
      <c r="A140" s="256">
        <v>22</v>
      </c>
      <c r="B140" s="172" t="s">
        <v>322</v>
      </c>
      <c r="C140" s="173" t="s">
        <v>298</v>
      </c>
      <c r="D140" s="173" t="s">
        <v>319</v>
      </c>
      <c r="E140" s="174">
        <v>1</v>
      </c>
      <c r="F140" s="174"/>
      <c r="G140" s="174"/>
      <c r="H140" s="175">
        <v>4630320200</v>
      </c>
      <c r="I140" s="176" t="s">
        <v>80</v>
      </c>
      <c r="J140" s="222"/>
      <c r="K140" s="227"/>
      <c r="L140" s="178"/>
      <c r="M140" s="130"/>
      <c r="N140" s="179"/>
      <c r="O140" s="130"/>
      <c r="P140" s="178"/>
      <c r="Q140" s="130"/>
      <c r="R140" s="179"/>
      <c r="S140" s="130"/>
      <c r="T140" s="178"/>
      <c r="U140" s="130"/>
      <c r="V140" s="179"/>
      <c r="W140" s="130"/>
      <c r="X140" s="178"/>
      <c r="Y140" s="130"/>
      <c r="Z140" s="179"/>
      <c r="AA140" s="130"/>
      <c r="AB140" s="178"/>
      <c r="AC140" s="130"/>
      <c r="AD140" s="109"/>
      <c r="AE140" s="252"/>
      <c r="AF140" s="178"/>
      <c r="AG140" s="130"/>
      <c r="AH140" s="109"/>
      <c r="AI140" s="252"/>
      <c r="AJ140" s="178"/>
      <c r="AK140" s="130"/>
      <c r="AL140" s="109"/>
      <c r="AM140" s="252"/>
      <c r="AN140" s="178"/>
      <c r="AO140" s="130"/>
      <c r="AP140" s="109"/>
      <c r="AQ140" s="252"/>
      <c r="AR140" s="178"/>
      <c r="AS140" s="130"/>
      <c r="AT140" s="109"/>
      <c r="AU140" s="252"/>
      <c r="AV140" s="178"/>
      <c r="AW140" s="130">
        <f t="shared" si="200"/>
        <v>5</v>
      </c>
      <c r="AX140" s="109"/>
      <c r="AY140" s="252"/>
      <c r="AZ140" s="178"/>
      <c r="BA140" s="130"/>
      <c r="BB140" s="194"/>
      <c r="BC140" s="252"/>
      <c r="BD140" s="178"/>
      <c r="BE140" s="130"/>
      <c r="BF140" s="109"/>
      <c r="BG140" s="252"/>
      <c r="BH140" s="180">
        <f t="shared" si="215"/>
        <v>0</v>
      </c>
      <c r="BI140" s="181">
        <f>Автовик_разбивка[[#This Row],[Цена, 
юань, без НДС 1]]*BH140</f>
        <v>0</v>
      </c>
      <c r="BJ140" s="130">
        <f t="shared" si="216"/>
        <v>5</v>
      </c>
      <c r="BK140" s="187">
        <f>Автовик_разбивка[[#This Row],[Цена, 
юань, без НДС 1]]*BJ140</f>
        <v>0</v>
      </c>
      <c r="BL140" s="109">
        <f t="shared" si="217"/>
        <v>0</v>
      </c>
      <c r="BM140" s="224">
        <f>Автовик_разбивка[[#This Row],[Цена, 
юань, без НДС 1]]*BL140</f>
        <v>0</v>
      </c>
      <c r="BN140" s="178"/>
      <c r="BO140" s="184"/>
      <c r="BP140" s="130"/>
      <c r="BQ140" s="179"/>
      <c r="BR140" s="130"/>
      <c r="BS140" s="178"/>
      <c r="BT140" s="184"/>
      <c r="BU140" s="130"/>
      <c r="BV140" s="179"/>
      <c r="BW140" s="130"/>
      <c r="BX140" s="178"/>
      <c r="BY140" s="184"/>
      <c r="BZ140" s="130"/>
      <c r="CA140" s="179"/>
      <c r="CB140" s="130"/>
      <c r="CC140" s="178"/>
      <c r="CD140" s="184"/>
      <c r="CE140" s="130"/>
      <c r="CF140" s="179"/>
      <c r="CG140" s="130"/>
      <c r="CH140" s="178"/>
      <c r="CI140" s="184"/>
      <c r="CJ140" s="130"/>
      <c r="CK140" s="109"/>
      <c r="CL140" s="252"/>
      <c r="CM140" s="178"/>
      <c r="CN140" s="184"/>
      <c r="CO140" s="130"/>
      <c r="CP140" s="109"/>
      <c r="CQ140" s="252"/>
      <c r="CR140" s="178"/>
      <c r="CS140" s="184"/>
      <c r="CT140" s="130"/>
      <c r="CU140" s="109"/>
      <c r="CV140" s="252"/>
      <c r="CW140" s="178"/>
      <c r="CX140" s="184"/>
      <c r="CY140" s="130"/>
      <c r="CZ140" s="109"/>
      <c r="DA140" s="252"/>
      <c r="DB140" s="178"/>
      <c r="DC140" s="184"/>
      <c r="DD140" s="130"/>
      <c r="DE140" s="109"/>
      <c r="DF140" s="252"/>
      <c r="DG140" s="178"/>
      <c r="DH140" s="184"/>
      <c r="DI140" s="130"/>
      <c r="DJ140" s="109"/>
      <c r="DK140" s="252"/>
      <c r="DL140" s="178"/>
      <c r="DM140" s="184"/>
      <c r="DN140" s="130"/>
      <c r="DO140" s="194"/>
      <c r="DP140" s="252"/>
      <c r="DQ140" s="178"/>
      <c r="DR140" s="184"/>
      <c r="DS140" s="130"/>
      <c r="DT140" s="109"/>
      <c r="DU140" s="252"/>
      <c r="DV140" s="180">
        <f t="shared" si="218"/>
        <v>0</v>
      </c>
      <c r="DW140" s="181">
        <f>Автовик_разбивка[[#This Row],[Цена, 
юань, без НДС 1]]*DV140</f>
        <v>0</v>
      </c>
      <c r="DX140" s="186">
        <f t="shared" si="219"/>
        <v>0</v>
      </c>
      <c r="DY140" s="186">
        <f>Автовик_разбивка[[#This Row],[Цена, 
юань, без НДС 1]]*DX140</f>
        <v>0</v>
      </c>
      <c r="DZ140" s="130">
        <f t="shared" si="220"/>
        <v>0</v>
      </c>
      <c r="EA140" s="187">
        <f>Автовик_разбивка[[#This Row],[Цена, 
юань, без НДС 1]]*DZ140</f>
        <v>0</v>
      </c>
      <c r="EB140" s="109">
        <f t="shared" si="221"/>
        <v>0</v>
      </c>
      <c r="EC140" s="224">
        <f>Автовик_разбивка[[#This Row],[Цена, 
юань, без НДС 1]]*EB140</f>
        <v>0</v>
      </c>
    </row>
    <row r="141" spans="1:133">
      <c r="A141" s="256">
        <v>22</v>
      </c>
      <c r="B141" s="172" t="s">
        <v>322</v>
      </c>
      <c r="C141" s="173" t="s">
        <v>298</v>
      </c>
      <c r="D141" s="173" t="s">
        <v>319</v>
      </c>
      <c r="E141" s="174">
        <v>1</v>
      </c>
      <c r="F141" s="174"/>
      <c r="G141" s="174"/>
      <c r="H141" s="175">
        <v>4640061000</v>
      </c>
      <c r="I141" s="176" t="s">
        <v>79</v>
      </c>
      <c r="J141" s="222"/>
      <c r="K141" s="227"/>
      <c r="L141" s="178"/>
      <c r="M141" s="130"/>
      <c r="N141" s="179"/>
      <c r="O141" s="130"/>
      <c r="P141" s="178"/>
      <c r="Q141" s="130"/>
      <c r="R141" s="179"/>
      <c r="S141" s="130"/>
      <c r="T141" s="178"/>
      <c r="U141" s="130"/>
      <c r="V141" s="179"/>
      <c r="W141" s="130"/>
      <c r="X141" s="178"/>
      <c r="Y141" s="130"/>
      <c r="Z141" s="179"/>
      <c r="AA141" s="130"/>
      <c r="AB141" s="178"/>
      <c r="AC141" s="130"/>
      <c r="AD141" s="109"/>
      <c r="AE141" s="252"/>
      <c r="AF141" s="178"/>
      <c r="AG141" s="130"/>
      <c r="AH141" s="109"/>
      <c r="AI141" s="252"/>
      <c r="AJ141" s="178"/>
      <c r="AK141" s="130"/>
      <c r="AL141" s="109"/>
      <c r="AM141" s="252"/>
      <c r="AN141" s="178"/>
      <c r="AO141" s="130"/>
      <c r="AP141" s="109"/>
      <c r="AQ141" s="252"/>
      <c r="AR141" s="178"/>
      <c r="AS141" s="130"/>
      <c r="AT141" s="109"/>
      <c r="AU141" s="252"/>
      <c r="AV141" s="178"/>
      <c r="AW141" s="130">
        <f t="shared" si="200"/>
        <v>5</v>
      </c>
      <c r="AX141" s="109"/>
      <c r="AY141" s="252"/>
      <c r="AZ141" s="178"/>
      <c r="BA141" s="130"/>
      <c r="BB141" s="194"/>
      <c r="BC141" s="252"/>
      <c r="BD141" s="178"/>
      <c r="BE141" s="130"/>
      <c r="BF141" s="109"/>
      <c r="BG141" s="252"/>
      <c r="BH141" s="180">
        <f t="shared" si="215"/>
        <v>0</v>
      </c>
      <c r="BI141" s="181">
        <f>Автовик_разбивка[[#This Row],[Цена, 
юань, без НДС 1]]*BH141</f>
        <v>0</v>
      </c>
      <c r="BJ141" s="130">
        <f t="shared" si="216"/>
        <v>5</v>
      </c>
      <c r="BK141" s="187">
        <f>Автовик_разбивка[[#This Row],[Цена, 
юань, без НДС 1]]*BJ141</f>
        <v>0</v>
      </c>
      <c r="BL141" s="109">
        <f t="shared" si="217"/>
        <v>0</v>
      </c>
      <c r="BM141" s="224">
        <f>Автовик_разбивка[[#This Row],[Цена, 
юань, без НДС 1]]*BL141</f>
        <v>0</v>
      </c>
      <c r="BN141" s="178"/>
      <c r="BO141" s="184"/>
      <c r="BP141" s="130"/>
      <c r="BQ141" s="179"/>
      <c r="BR141" s="130"/>
      <c r="BS141" s="178"/>
      <c r="BT141" s="184"/>
      <c r="BU141" s="130"/>
      <c r="BV141" s="179"/>
      <c r="BW141" s="130"/>
      <c r="BX141" s="178"/>
      <c r="BY141" s="184"/>
      <c r="BZ141" s="130"/>
      <c r="CA141" s="179"/>
      <c r="CB141" s="130"/>
      <c r="CC141" s="178"/>
      <c r="CD141" s="184"/>
      <c r="CE141" s="130"/>
      <c r="CF141" s="179"/>
      <c r="CG141" s="130"/>
      <c r="CH141" s="178"/>
      <c r="CI141" s="184"/>
      <c r="CJ141" s="130"/>
      <c r="CK141" s="109"/>
      <c r="CL141" s="252"/>
      <c r="CM141" s="178"/>
      <c r="CN141" s="184"/>
      <c r="CO141" s="130"/>
      <c r="CP141" s="109"/>
      <c r="CQ141" s="252"/>
      <c r="CR141" s="178"/>
      <c r="CS141" s="184"/>
      <c r="CT141" s="130"/>
      <c r="CU141" s="109"/>
      <c r="CV141" s="252"/>
      <c r="CW141" s="178"/>
      <c r="CX141" s="184"/>
      <c r="CY141" s="130"/>
      <c r="CZ141" s="109"/>
      <c r="DA141" s="252"/>
      <c r="DB141" s="178"/>
      <c r="DC141" s="184"/>
      <c r="DD141" s="130"/>
      <c r="DE141" s="109"/>
      <c r="DF141" s="252"/>
      <c r="DG141" s="178"/>
      <c r="DH141" s="184"/>
      <c r="DI141" s="130"/>
      <c r="DJ141" s="109"/>
      <c r="DK141" s="252"/>
      <c r="DL141" s="178"/>
      <c r="DM141" s="184"/>
      <c r="DN141" s="130"/>
      <c r="DO141" s="194"/>
      <c r="DP141" s="252"/>
      <c r="DQ141" s="178"/>
      <c r="DR141" s="184"/>
      <c r="DS141" s="130"/>
      <c r="DT141" s="109"/>
      <c r="DU141" s="252"/>
      <c r="DV141" s="180">
        <f t="shared" si="218"/>
        <v>0</v>
      </c>
      <c r="DW141" s="181">
        <f>Автовик_разбивка[[#This Row],[Цена, 
юань, без НДС 1]]*DV141</f>
        <v>0</v>
      </c>
      <c r="DX141" s="186">
        <f t="shared" si="219"/>
        <v>0</v>
      </c>
      <c r="DY141" s="186">
        <f>Автовик_разбивка[[#This Row],[Цена, 
юань, без НДС 1]]*DX141</f>
        <v>0</v>
      </c>
      <c r="DZ141" s="130">
        <f t="shared" si="220"/>
        <v>0</v>
      </c>
      <c r="EA141" s="187">
        <f>Автовик_разбивка[[#This Row],[Цена, 
юань, без НДС 1]]*DZ141</f>
        <v>0</v>
      </c>
      <c r="EB141" s="109">
        <f t="shared" si="221"/>
        <v>0</v>
      </c>
      <c r="EC141" s="224">
        <f>Автовик_разбивка[[#This Row],[Цена, 
юань, без НДС 1]]*EB141</f>
        <v>0</v>
      </c>
    </row>
    <row r="142" spans="1:133">
      <c r="A142" s="256">
        <v>22</v>
      </c>
      <c r="B142" s="172" t="s">
        <v>322</v>
      </c>
      <c r="C142" s="173" t="s">
        <v>298</v>
      </c>
      <c r="D142" s="173" t="s">
        <v>319</v>
      </c>
      <c r="E142" s="174">
        <v>1</v>
      </c>
      <c r="F142" s="174"/>
      <c r="G142" s="174"/>
      <c r="H142" s="175">
        <v>4801020640</v>
      </c>
      <c r="I142" s="176" t="s">
        <v>76</v>
      </c>
      <c r="J142" s="222"/>
      <c r="K142" s="227"/>
      <c r="L142" s="178"/>
      <c r="M142" s="130"/>
      <c r="N142" s="179"/>
      <c r="O142" s="130"/>
      <c r="P142" s="178"/>
      <c r="Q142" s="130"/>
      <c r="R142" s="179"/>
      <c r="S142" s="130"/>
      <c r="T142" s="178"/>
      <c r="U142" s="130"/>
      <c r="V142" s="179"/>
      <c r="W142" s="130"/>
      <c r="X142" s="178"/>
      <c r="Y142" s="130"/>
      <c r="Z142" s="179"/>
      <c r="AA142" s="130"/>
      <c r="AB142" s="178"/>
      <c r="AC142" s="130"/>
      <c r="AD142" s="109"/>
      <c r="AE142" s="252"/>
      <c r="AF142" s="178"/>
      <c r="AG142" s="130"/>
      <c r="AH142" s="109"/>
      <c r="AI142" s="252"/>
      <c r="AJ142" s="178"/>
      <c r="AK142" s="130"/>
      <c r="AL142" s="109"/>
      <c r="AM142" s="252"/>
      <c r="AN142" s="178"/>
      <c r="AO142" s="130"/>
      <c r="AP142" s="109"/>
      <c r="AQ142" s="252"/>
      <c r="AR142" s="178"/>
      <c r="AS142" s="130"/>
      <c r="AT142" s="109"/>
      <c r="AU142" s="252"/>
      <c r="AV142" s="178"/>
      <c r="AW142" s="130">
        <f t="shared" si="200"/>
        <v>5</v>
      </c>
      <c r="AX142" s="109"/>
      <c r="AY142" s="252"/>
      <c r="AZ142" s="178"/>
      <c r="BA142" s="130"/>
      <c r="BB142" s="194"/>
      <c r="BC142" s="252"/>
      <c r="BD142" s="178"/>
      <c r="BE142" s="130"/>
      <c r="BF142" s="109"/>
      <c r="BG142" s="252"/>
      <c r="BH142" s="180">
        <f t="shared" si="215"/>
        <v>0</v>
      </c>
      <c r="BI142" s="181">
        <f>Автовик_разбивка[[#This Row],[Цена, 
юань, без НДС 1]]*BH142</f>
        <v>0</v>
      </c>
      <c r="BJ142" s="130">
        <f t="shared" si="216"/>
        <v>5</v>
      </c>
      <c r="BK142" s="187">
        <f>Автовик_разбивка[[#This Row],[Цена, 
юань, без НДС 1]]*BJ142</f>
        <v>0</v>
      </c>
      <c r="BL142" s="109">
        <f t="shared" si="217"/>
        <v>0</v>
      </c>
      <c r="BM142" s="224">
        <f>Автовик_разбивка[[#This Row],[Цена, 
юань, без НДС 1]]*BL142</f>
        <v>0</v>
      </c>
      <c r="BN142" s="178"/>
      <c r="BO142" s="184"/>
      <c r="BP142" s="130"/>
      <c r="BQ142" s="179"/>
      <c r="BR142" s="130"/>
      <c r="BS142" s="178"/>
      <c r="BT142" s="184"/>
      <c r="BU142" s="130"/>
      <c r="BV142" s="179"/>
      <c r="BW142" s="130"/>
      <c r="BX142" s="178"/>
      <c r="BY142" s="184"/>
      <c r="BZ142" s="130"/>
      <c r="CA142" s="179"/>
      <c r="CB142" s="130"/>
      <c r="CC142" s="178"/>
      <c r="CD142" s="184"/>
      <c r="CE142" s="130"/>
      <c r="CF142" s="179"/>
      <c r="CG142" s="130"/>
      <c r="CH142" s="178"/>
      <c r="CI142" s="184"/>
      <c r="CJ142" s="130"/>
      <c r="CK142" s="109"/>
      <c r="CL142" s="252"/>
      <c r="CM142" s="178"/>
      <c r="CN142" s="184"/>
      <c r="CO142" s="130"/>
      <c r="CP142" s="109"/>
      <c r="CQ142" s="252"/>
      <c r="CR142" s="178"/>
      <c r="CS142" s="184"/>
      <c r="CT142" s="130"/>
      <c r="CU142" s="109"/>
      <c r="CV142" s="252"/>
      <c r="CW142" s="178"/>
      <c r="CX142" s="184"/>
      <c r="CY142" s="130"/>
      <c r="CZ142" s="109"/>
      <c r="DA142" s="252"/>
      <c r="DB142" s="178"/>
      <c r="DC142" s="184"/>
      <c r="DD142" s="130"/>
      <c r="DE142" s="109"/>
      <c r="DF142" s="252"/>
      <c r="DG142" s="178"/>
      <c r="DH142" s="184"/>
      <c r="DI142" s="130"/>
      <c r="DJ142" s="109"/>
      <c r="DK142" s="252"/>
      <c r="DL142" s="178"/>
      <c r="DM142" s="184"/>
      <c r="DN142" s="130"/>
      <c r="DO142" s="194"/>
      <c r="DP142" s="252"/>
      <c r="DQ142" s="178"/>
      <c r="DR142" s="184"/>
      <c r="DS142" s="130"/>
      <c r="DT142" s="109"/>
      <c r="DU142" s="252"/>
      <c r="DV142" s="180">
        <f t="shared" si="218"/>
        <v>0</v>
      </c>
      <c r="DW142" s="181">
        <f>Автовик_разбивка[[#This Row],[Цена, 
юань, без НДС 1]]*DV142</f>
        <v>0</v>
      </c>
      <c r="DX142" s="186">
        <f t="shared" si="219"/>
        <v>0</v>
      </c>
      <c r="DY142" s="186">
        <f>Автовик_разбивка[[#This Row],[Цена, 
юань, без НДС 1]]*DX142</f>
        <v>0</v>
      </c>
      <c r="DZ142" s="130">
        <f t="shared" si="220"/>
        <v>0</v>
      </c>
      <c r="EA142" s="187">
        <f>Автовик_разбивка[[#This Row],[Цена, 
юань, без НДС 1]]*DZ142</f>
        <v>0</v>
      </c>
      <c r="EB142" s="109">
        <f t="shared" si="221"/>
        <v>0</v>
      </c>
      <c r="EC142" s="224">
        <f>Автовик_разбивка[[#This Row],[Цена, 
юань, без НДС 1]]*EB142</f>
        <v>0</v>
      </c>
    </row>
    <row r="143" spans="1:133">
      <c r="A143" s="256">
        <v>22</v>
      </c>
      <c r="B143" s="172" t="s">
        <v>322</v>
      </c>
      <c r="C143" s="173" t="s">
        <v>298</v>
      </c>
      <c r="D143" s="173" t="s">
        <v>319</v>
      </c>
      <c r="E143" s="174">
        <v>1</v>
      </c>
      <c r="F143" s="174"/>
      <c r="G143" s="174"/>
      <c r="H143" s="175">
        <v>9522010010</v>
      </c>
      <c r="I143" s="176" t="s">
        <v>73</v>
      </c>
      <c r="J143" s="222"/>
      <c r="K143" s="227"/>
      <c r="L143" s="178"/>
      <c r="M143" s="130"/>
      <c r="N143" s="179"/>
      <c r="O143" s="130"/>
      <c r="P143" s="178"/>
      <c r="Q143" s="130"/>
      <c r="R143" s="179"/>
      <c r="S143" s="130"/>
      <c r="T143" s="178"/>
      <c r="U143" s="130"/>
      <c r="V143" s="179"/>
      <c r="W143" s="130"/>
      <c r="X143" s="178"/>
      <c r="Y143" s="130"/>
      <c r="Z143" s="179"/>
      <c r="AA143" s="130"/>
      <c r="AB143" s="178"/>
      <c r="AC143" s="130"/>
      <c r="AD143" s="109"/>
      <c r="AE143" s="252"/>
      <c r="AF143" s="178"/>
      <c r="AG143" s="130"/>
      <c r="AH143" s="109"/>
      <c r="AI143" s="252"/>
      <c r="AJ143" s="178"/>
      <c r="AK143" s="130"/>
      <c r="AL143" s="109"/>
      <c r="AM143" s="252"/>
      <c r="AN143" s="178"/>
      <c r="AO143" s="130"/>
      <c r="AP143" s="109"/>
      <c r="AQ143" s="252"/>
      <c r="AR143" s="178"/>
      <c r="AS143" s="130"/>
      <c r="AT143" s="109"/>
      <c r="AU143" s="252"/>
      <c r="AV143" s="178"/>
      <c r="AW143" s="130">
        <f t="shared" si="200"/>
        <v>5</v>
      </c>
      <c r="AX143" s="109"/>
      <c r="AY143" s="252"/>
      <c r="AZ143" s="178"/>
      <c r="BA143" s="130"/>
      <c r="BB143" s="194"/>
      <c r="BC143" s="252"/>
      <c r="BD143" s="178"/>
      <c r="BE143" s="130"/>
      <c r="BF143" s="109"/>
      <c r="BG143" s="252"/>
      <c r="BH143" s="180">
        <f t="shared" si="215"/>
        <v>0</v>
      </c>
      <c r="BI143" s="181">
        <f>Автовик_разбивка[[#This Row],[Цена, 
юань, без НДС 1]]*BH143</f>
        <v>0</v>
      </c>
      <c r="BJ143" s="130">
        <f t="shared" si="216"/>
        <v>5</v>
      </c>
      <c r="BK143" s="187">
        <f>Автовик_разбивка[[#This Row],[Цена, 
юань, без НДС 1]]*BJ143</f>
        <v>0</v>
      </c>
      <c r="BL143" s="109">
        <f t="shared" si="217"/>
        <v>0</v>
      </c>
      <c r="BM143" s="224">
        <f>Автовик_разбивка[[#This Row],[Цена, 
юань, без НДС 1]]*BL143</f>
        <v>0</v>
      </c>
      <c r="BN143" s="178"/>
      <c r="BO143" s="184"/>
      <c r="BP143" s="130"/>
      <c r="BQ143" s="179"/>
      <c r="BR143" s="130"/>
      <c r="BS143" s="178"/>
      <c r="BT143" s="184"/>
      <c r="BU143" s="130"/>
      <c r="BV143" s="179"/>
      <c r="BW143" s="130"/>
      <c r="BX143" s="178"/>
      <c r="BY143" s="184"/>
      <c r="BZ143" s="130"/>
      <c r="CA143" s="179"/>
      <c r="CB143" s="130"/>
      <c r="CC143" s="178"/>
      <c r="CD143" s="184"/>
      <c r="CE143" s="130"/>
      <c r="CF143" s="179"/>
      <c r="CG143" s="130"/>
      <c r="CH143" s="178"/>
      <c r="CI143" s="184"/>
      <c r="CJ143" s="130"/>
      <c r="CK143" s="109"/>
      <c r="CL143" s="252"/>
      <c r="CM143" s="178"/>
      <c r="CN143" s="184"/>
      <c r="CO143" s="130"/>
      <c r="CP143" s="109"/>
      <c r="CQ143" s="252"/>
      <c r="CR143" s="178"/>
      <c r="CS143" s="184"/>
      <c r="CT143" s="130"/>
      <c r="CU143" s="109"/>
      <c r="CV143" s="252"/>
      <c r="CW143" s="178"/>
      <c r="CX143" s="184"/>
      <c r="CY143" s="130"/>
      <c r="CZ143" s="109"/>
      <c r="DA143" s="252"/>
      <c r="DB143" s="178"/>
      <c r="DC143" s="184"/>
      <c r="DD143" s="130"/>
      <c r="DE143" s="109"/>
      <c r="DF143" s="252"/>
      <c r="DG143" s="178"/>
      <c r="DH143" s="184"/>
      <c r="DI143" s="130"/>
      <c r="DJ143" s="109"/>
      <c r="DK143" s="252"/>
      <c r="DL143" s="178"/>
      <c r="DM143" s="184"/>
      <c r="DN143" s="130"/>
      <c r="DO143" s="194"/>
      <c r="DP143" s="252"/>
      <c r="DQ143" s="178"/>
      <c r="DR143" s="184"/>
      <c r="DS143" s="130"/>
      <c r="DT143" s="109"/>
      <c r="DU143" s="252"/>
      <c r="DV143" s="180">
        <f t="shared" si="218"/>
        <v>0</v>
      </c>
      <c r="DW143" s="181">
        <f>Автовик_разбивка[[#This Row],[Цена, 
юань, без НДС 1]]*DV143</f>
        <v>0</v>
      </c>
      <c r="DX143" s="186">
        <f t="shared" si="219"/>
        <v>0</v>
      </c>
      <c r="DY143" s="186">
        <f>Автовик_разбивка[[#This Row],[Цена, 
юань, без НДС 1]]*DX143</f>
        <v>0</v>
      </c>
      <c r="DZ143" s="130">
        <f t="shared" si="220"/>
        <v>0</v>
      </c>
      <c r="EA143" s="187">
        <f>Автовик_разбивка[[#This Row],[Цена, 
юань, без НДС 1]]*DZ143</f>
        <v>0</v>
      </c>
      <c r="EB143" s="109">
        <f t="shared" si="221"/>
        <v>0</v>
      </c>
      <c r="EC143" s="224">
        <f>Автовик_разбивка[[#This Row],[Цена, 
юань, без НДС 1]]*EB143</f>
        <v>0</v>
      </c>
    </row>
    <row r="144" spans="1:133">
      <c r="A144" s="256">
        <v>22</v>
      </c>
      <c r="B144" s="172" t="s">
        <v>322</v>
      </c>
      <c r="C144" s="173" t="s">
        <v>298</v>
      </c>
      <c r="D144" s="173" t="s">
        <v>319</v>
      </c>
      <c r="E144" s="174">
        <v>1</v>
      </c>
      <c r="F144" s="174"/>
      <c r="G144" s="174"/>
      <c r="H144" s="175">
        <v>9522010020</v>
      </c>
      <c r="I144" s="176" t="s">
        <v>74</v>
      </c>
      <c r="J144" s="222"/>
      <c r="K144" s="227"/>
      <c r="L144" s="178"/>
      <c r="M144" s="130"/>
      <c r="N144" s="179"/>
      <c r="O144" s="130"/>
      <c r="P144" s="178"/>
      <c r="Q144" s="130"/>
      <c r="R144" s="179"/>
      <c r="S144" s="130"/>
      <c r="T144" s="178"/>
      <c r="U144" s="130"/>
      <c r="V144" s="179"/>
      <c r="W144" s="130"/>
      <c r="X144" s="178"/>
      <c r="Y144" s="130"/>
      <c r="Z144" s="179"/>
      <c r="AA144" s="130"/>
      <c r="AB144" s="178"/>
      <c r="AC144" s="130"/>
      <c r="AD144" s="109"/>
      <c r="AE144" s="252"/>
      <c r="AF144" s="178"/>
      <c r="AG144" s="130"/>
      <c r="AH144" s="109"/>
      <c r="AI144" s="252"/>
      <c r="AJ144" s="178"/>
      <c r="AK144" s="130"/>
      <c r="AL144" s="109"/>
      <c r="AM144" s="252"/>
      <c r="AN144" s="178"/>
      <c r="AO144" s="130"/>
      <c r="AP144" s="109"/>
      <c r="AQ144" s="252"/>
      <c r="AR144" s="178"/>
      <c r="AS144" s="130"/>
      <c r="AT144" s="109"/>
      <c r="AU144" s="252"/>
      <c r="AV144" s="178"/>
      <c r="AW144" s="130">
        <f t="shared" si="200"/>
        <v>5</v>
      </c>
      <c r="AX144" s="109"/>
      <c r="AY144" s="252"/>
      <c r="AZ144" s="178"/>
      <c r="BA144" s="130"/>
      <c r="BB144" s="194"/>
      <c r="BC144" s="252"/>
      <c r="BD144" s="178"/>
      <c r="BE144" s="130"/>
      <c r="BF144" s="109"/>
      <c r="BG144" s="252"/>
      <c r="BH144" s="180">
        <f t="shared" si="215"/>
        <v>0</v>
      </c>
      <c r="BI144" s="181">
        <f>Автовик_разбивка[[#This Row],[Цена, 
юань, без НДС 1]]*BH144</f>
        <v>0</v>
      </c>
      <c r="BJ144" s="130">
        <f t="shared" si="216"/>
        <v>5</v>
      </c>
      <c r="BK144" s="187">
        <f>Автовик_разбивка[[#This Row],[Цена, 
юань, без НДС 1]]*BJ144</f>
        <v>0</v>
      </c>
      <c r="BL144" s="109">
        <f t="shared" si="217"/>
        <v>0</v>
      </c>
      <c r="BM144" s="224">
        <f>Автовик_разбивка[[#This Row],[Цена, 
юань, без НДС 1]]*BL144</f>
        <v>0</v>
      </c>
      <c r="BN144" s="178"/>
      <c r="BO144" s="184"/>
      <c r="BP144" s="130"/>
      <c r="BQ144" s="179"/>
      <c r="BR144" s="130"/>
      <c r="BS144" s="178"/>
      <c r="BT144" s="184"/>
      <c r="BU144" s="130"/>
      <c r="BV144" s="179"/>
      <c r="BW144" s="130"/>
      <c r="BX144" s="178"/>
      <c r="BY144" s="184"/>
      <c r="BZ144" s="130"/>
      <c r="CA144" s="179"/>
      <c r="CB144" s="130"/>
      <c r="CC144" s="178"/>
      <c r="CD144" s="184"/>
      <c r="CE144" s="130"/>
      <c r="CF144" s="179"/>
      <c r="CG144" s="130"/>
      <c r="CH144" s="178"/>
      <c r="CI144" s="184"/>
      <c r="CJ144" s="130"/>
      <c r="CK144" s="109"/>
      <c r="CL144" s="252"/>
      <c r="CM144" s="178"/>
      <c r="CN144" s="184"/>
      <c r="CO144" s="130"/>
      <c r="CP144" s="109"/>
      <c r="CQ144" s="252"/>
      <c r="CR144" s="178"/>
      <c r="CS144" s="184"/>
      <c r="CT144" s="130"/>
      <c r="CU144" s="109"/>
      <c r="CV144" s="252"/>
      <c r="CW144" s="178"/>
      <c r="CX144" s="184"/>
      <c r="CY144" s="130"/>
      <c r="CZ144" s="109"/>
      <c r="DA144" s="252"/>
      <c r="DB144" s="178"/>
      <c r="DC144" s="184"/>
      <c r="DD144" s="130"/>
      <c r="DE144" s="109"/>
      <c r="DF144" s="252"/>
      <c r="DG144" s="178"/>
      <c r="DH144" s="184"/>
      <c r="DI144" s="130"/>
      <c r="DJ144" s="109"/>
      <c r="DK144" s="252"/>
      <c r="DL144" s="178"/>
      <c r="DM144" s="184"/>
      <c r="DN144" s="130"/>
      <c r="DO144" s="194"/>
      <c r="DP144" s="252"/>
      <c r="DQ144" s="178"/>
      <c r="DR144" s="184"/>
      <c r="DS144" s="130"/>
      <c r="DT144" s="109"/>
      <c r="DU144" s="252"/>
      <c r="DV144" s="180">
        <f t="shared" si="218"/>
        <v>0</v>
      </c>
      <c r="DW144" s="181">
        <f>Автовик_разбивка[[#This Row],[Цена, 
юань, без НДС 1]]*DV144</f>
        <v>0</v>
      </c>
      <c r="DX144" s="186">
        <f t="shared" si="219"/>
        <v>0</v>
      </c>
      <c r="DY144" s="186">
        <f>Автовик_разбивка[[#This Row],[Цена, 
юань, без НДС 1]]*DX144</f>
        <v>0</v>
      </c>
      <c r="DZ144" s="130">
        <f t="shared" si="220"/>
        <v>0</v>
      </c>
      <c r="EA144" s="187">
        <f>Автовик_разбивка[[#This Row],[Цена, 
юань, без НДС 1]]*DZ144</f>
        <v>0</v>
      </c>
      <c r="EB144" s="109">
        <f t="shared" si="221"/>
        <v>0</v>
      </c>
      <c r="EC144" s="224">
        <f>Автовик_разбивка[[#This Row],[Цена, 
юань, без НДС 1]]*EB144</f>
        <v>0</v>
      </c>
    </row>
    <row r="145" spans="1:133">
      <c r="A145" s="256">
        <v>22</v>
      </c>
      <c r="B145" s="172" t="s">
        <v>322</v>
      </c>
      <c r="C145" s="173" t="s">
        <v>298</v>
      </c>
      <c r="D145" s="173" t="s">
        <v>319</v>
      </c>
      <c r="E145" s="174">
        <v>1</v>
      </c>
      <c r="F145" s="174"/>
      <c r="G145" s="174"/>
      <c r="H145" s="175">
        <v>9710029000</v>
      </c>
      <c r="I145" s="176" t="s">
        <v>75</v>
      </c>
      <c r="J145" s="222"/>
      <c r="K145" s="227"/>
      <c r="L145" s="178"/>
      <c r="M145" s="130"/>
      <c r="N145" s="179"/>
      <c r="O145" s="130"/>
      <c r="P145" s="178"/>
      <c r="Q145" s="130"/>
      <c r="R145" s="179"/>
      <c r="S145" s="130"/>
      <c r="T145" s="178"/>
      <c r="U145" s="130"/>
      <c r="V145" s="179"/>
      <c r="W145" s="130"/>
      <c r="X145" s="178"/>
      <c r="Y145" s="130"/>
      <c r="Z145" s="179"/>
      <c r="AA145" s="130"/>
      <c r="AB145" s="178"/>
      <c r="AC145" s="130"/>
      <c r="AD145" s="109"/>
      <c r="AE145" s="252"/>
      <c r="AF145" s="178"/>
      <c r="AG145" s="130"/>
      <c r="AH145" s="109"/>
      <c r="AI145" s="252"/>
      <c r="AJ145" s="178"/>
      <c r="AK145" s="130"/>
      <c r="AL145" s="109"/>
      <c r="AM145" s="252"/>
      <c r="AN145" s="178"/>
      <c r="AO145" s="130"/>
      <c r="AP145" s="109"/>
      <c r="AQ145" s="252"/>
      <c r="AR145" s="178"/>
      <c r="AS145" s="130"/>
      <c r="AT145" s="109"/>
      <c r="AU145" s="252"/>
      <c r="AV145" s="178"/>
      <c r="AW145" s="130">
        <f t="shared" si="200"/>
        <v>5</v>
      </c>
      <c r="AX145" s="109"/>
      <c r="AY145" s="252"/>
      <c r="AZ145" s="178"/>
      <c r="BA145" s="130"/>
      <c r="BB145" s="194"/>
      <c r="BC145" s="252"/>
      <c r="BD145" s="178"/>
      <c r="BE145" s="130"/>
      <c r="BF145" s="109"/>
      <c r="BG145" s="252"/>
      <c r="BH145" s="180">
        <f t="shared" si="215"/>
        <v>0</v>
      </c>
      <c r="BI145" s="181">
        <f>Автовик_разбивка[[#This Row],[Цена, 
юань, без НДС 1]]*BH145</f>
        <v>0</v>
      </c>
      <c r="BJ145" s="130">
        <f t="shared" si="216"/>
        <v>5</v>
      </c>
      <c r="BK145" s="187">
        <f>Автовик_разбивка[[#This Row],[Цена, 
юань, без НДС 1]]*BJ145</f>
        <v>0</v>
      </c>
      <c r="BL145" s="109">
        <f t="shared" si="217"/>
        <v>0</v>
      </c>
      <c r="BM145" s="224">
        <f>Автовик_разбивка[[#This Row],[Цена, 
юань, без НДС 1]]*BL145</f>
        <v>0</v>
      </c>
      <c r="BN145" s="178"/>
      <c r="BO145" s="184"/>
      <c r="BP145" s="130"/>
      <c r="BQ145" s="179"/>
      <c r="BR145" s="130"/>
      <c r="BS145" s="178"/>
      <c r="BT145" s="184"/>
      <c r="BU145" s="130"/>
      <c r="BV145" s="179"/>
      <c r="BW145" s="130"/>
      <c r="BX145" s="178"/>
      <c r="BY145" s="184"/>
      <c r="BZ145" s="130"/>
      <c r="CA145" s="179"/>
      <c r="CB145" s="130"/>
      <c r="CC145" s="178"/>
      <c r="CD145" s="184"/>
      <c r="CE145" s="130"/>
      <c r="CF145" s="179"/>
      <c r="CG145" s="130"/>
      <c r="CH145" s="178"/>
      <c r="CI145" s="184"/>
      <c r="CJ145" s="130"/>
      <c r="CK145" s="109"/>
      <c r="CL145" s="252"/>
      <c r="CM145" s="178"/>
      <c r="CN145" s="184"/>
      <c r="CO145" s="130"/>
      <c r="CP145" s="109"/>
      <c r="CQ145" s="252"/>
      <c r="CR145" s="178"/>
      <c r="CS145" s="184"/>
      <c r="CT145" s="130"/>
      <c r="CU145" s="109"/>
      <c r="CV145" s="252"/>
      <c r="CW145" s="178"/>
      <c r="CX145" s="184"/>
      <c r="CY145" s="130"/>
      <c r="CZ145" s="109"/>
      <c r="DA145" s="252"/>
      <c r="DB145" s="178"/>
      <c r="DC145" s="184"/>
      <c r="DD145" s="130"/>
      <c r="DE145" s="109"/>
      <c r="DF145" s="252"/>
      <c r="DG145" s="178"/>
      <c r="DH145" s="184"/>
      <c r="DI145" s="130"/>
      <c r="DJ145" s="109"/>
      <c r="DK145" s="252"/>
      <c r="DL145" s="178"/>
      <c r="DM145" s="184"/>
      <c r="DN145" s="130"/>
      <c r="DO145" s="194"/>
      <c r="DP145" s="252"/>
      <c r="DQ145" s="178"/>
      <c r="DR145" s="184"/>
      <c r="DS145" s="130"/>
      <c r="DT145" s="109"/>
      <c r="DU145" s="252"/>
      <c r="DV145" s="180">
        <f t="shared" si="218"/>
        <v>0</v>
      </c>
      <c r="DW145" s="181">
        <f>Автовик_разбивка[[#This Row],[Цена, 
юань, без НДС 1]]*DV145</f>
        <v>0</v>
      </c>
      <c r="DX145" s="186">
        <f t="shared" si="219"/>
        <v>0</v>
      </c>
      <c r="DY145" s="186">
        <f>Автовик_разбивка[[#This Row],[Цена, 
юань, без НДС 1]]*DX145</f>
        <v>0</v>
      </c>
      <c r="DZ145" s="130">
        <f t="shared" si="220"/>
        <v>0</v>
      </c>
      <c r="EA145" s="187">
        <f>Автовик_разбивка[[#This Row],[Цена, 
юань, без НДС 1]]*DZ145</f>
        <v>0</v>
      </c>
      <c r="EB145" s="109">
        <f t="shared" si="221"/>
        <v>0</v>
      </c>
      <c r="EC145" s="224">
        <f>Автовик_разбивка[[#This Row],[Цена, 
юань, без НДС 1]]*EB145</f>
        <v>0</v>
      </c>
    </row>
    <row r="146" spans="1:133">
      <c r="A146" s="256">
        <v>22</v>
      </c>
      <c r="B146" s="172" t="s">
        <v>322</v>
      </c>
      <c r="C146" s="132"/>
      <c r="D146" s="132"/>
      <c r="E146" s="229"/>
      <c r="F146" s="229"/>
      <c r="G146" s="229"/>
      <c r="H146" s="230"/>
      <c r="I146" s="231" t="s">
        <v>43</v>
      </c>
      <c r="J146" s="232"/>
      <c r="K146" s="232"/>
      <c r="L146" s="233"/>
      <c r="M146" s="234"/>
      <c r="N146" s="235"/>
      <c r="O146" s="234"/>
      <c r="P146" s="233"/>
      <c r="Q146" s="234"/>
      <c r="R146" s="235"/>
      <c r="S146" s="234"/>
      <c r="T146" s="233"/>
      <c r="U146" s="234"/>
      <c r="V146" s="235"/>
      <c r="W146" s="234"/>
      <c r="X146" s="233"/>
      <c r="Y146" s="234"/>
      <c r="Z146" s="235"/>
      <c r="AA146" s="234"/>
      <c r="AB146" s="233"/>
      <c r="AC146" s="234"/>
      <c r="AD146" s="235"/>
      <c r="AE146" s="234"/>
      <c r="AF146" s="233"/>
      <c r="AG146" s="234"/>
      <c r="AH146" s="235"/>
      <c r="AI146" s="234"/>
      <c r="AJ146" s="233"/>
      <c r="AK146" s="234"/>
      <c r="AL146" s="235"/>
      <c r="AM146" s="234"/>
      <c r="AN146" s="233"/>
      <c r="AO146" s="234"/>
      <c r="AP146" s="235"/>
      <c r="AQ146" s="234"/>
      <c r="AR146" s="233"/>
      <c r="AS146" s="234"/>
      <c r="AT146" s="235"/>
      <c r="AU146" s="234"/>
      <c r="AV146" s="233"/>
      <c r="AW146" s="234"/>
      <c r="AX146" s="235"/>
      <c r="AY146" s="234"/>
      <c r="AZ146" s="233"/>
      <c r="BA146" s="234"/>
      <c r="BB146" s="235"/>
      <c r="BC146" s="234"/>
      <c r="BD146" s="233"/>
      <c r="BE146" s="234"/>
      <c r="BF146" s="235"/>
      <c r="BG146" s="234"/>
      <c r="BH146" s="233">
        <f t="shared" si="215"/>
        <v>0</v>
      </c>
      <c r="BI146" s="238">
        <f>Автовик_разбивка[[#This Row],[Цена, 
юань, без НДС 1]]*BH146</f>
        <v>0</v>
      </c>
      <c r="BJ146" s="234">
        <f t="shared" si="216"/>
        <v>0</v>
      </c>
      <c r="BK146" s="253">
        <f>Автовик_разбивка[[#This Row],[Цена, 
юань, без НДС 1]]*BJ146</f>
        <v>0</v>
      </c>
      <c r="BL146" s="235">
        <f t="shared" si="217"/>
        <v>0</v>
      </c>
      <c r="BM146" s="254">
        <f>Автовик_разбивка[[#This Row],[Цена, 
юань, без НДС 1]]*BL146</f>
        <v>0</v>
      </c>
      <c r="BN146" s="233"/>
      <c r="BO146" s="241"/>
      <c r="BP146" s="234"/>
      <c r="BQ146" s="235"/>
      <c r="BR146" s="234"/>
      <c r="BS146" s="233"/>
      <c r="BT146" s="241"/>
      <c r="BU146" s="234"/>
      <c r="BV146" s="235"/>
      <c r="BW146" s="234"/>
      <c r="BX146" s="233"/>
      <c r="BY146" s="241"/>
      <c r="BZ146" s="234"/>
      <c r="CA146" s="235"/>
      <c r="CB146" s="234"/>
      <c r="CC146" s="233"/>
      <c r="CD146" s="241"/>
      <c r="CE146" s="234"/>
      <c r="CF146" s="235"/>
      <c r="CG146" s="234"/>
      <c r="CH146" s="233"/>
      <c r="CI146" s="241"/>
      <c r="CJ146" s="234"/>
      <c r="CK146" s="235"/>
      <c r="CL146" s="234"/>
      <c r="CM146" s="233"/>
      <c r="CN146" s="241"/>
      <c r="CO146" s="234"/>
      <c r="CP146" s="235"/>
      <c r="CQ146" s="234"/>
      <c r="CR146" s="233"/>
      <c r="CS146" s="241"/>
      <c r="CT146" s="234"/>
      <c r="CU146" s="235"/>
      <c r="CV146" s="234"/>
      <c r="CW146" s="233"/>
      <c r="CX146" s="241"/>
      <c r="CY146" s="234"/>
      <c r="CZ146" s="235"/>
      <c r="DA146" s="234"/>
      <c r="DB146" s="233"/>
      <c r="DC146" s="241"/>
      <c r="DD146" s="234"/>
      <c r="DE146" s="235"/>
      <c r="DF146" s="234"/>
      <c r="DG146" s="233"/>
      <c r="DH146" s="241"/>
      <c r="DI146" s="234"/>
      <c r="DJ146" s="235"/>
      <c r="DK146" s="234"/>
      <c r="DL146" s="233"/>
      <c r="DM146" s="241"/>
      <c r="DN146" s="234"/>
      <c r="DO146" s="235"/>
      <c r="DP146" s="234"/>
      <c r="DQ146" s="233"/>
      <c r="DR146" s="241"/>
      <c r="DS146" s="234"/>
      <c r="DT146" s="235"/>
      <c r="DU146" s="234"/>
      <c r="DV146" s="233">
        <f t="shared" si="218"/>
        <v>0</v>
      </c>
      <c r="DW146" s="238">
        <f>Автовик_разбивка[[#This Row],[Цена, 
юань, без НДС 1]]*DV146</f>
        <v>0</v>
      </c>
      <c r="DX146" s="242">
        <f t="shared" si="219"/>
        <v>0</v>
      </c>
      <c r="DY146" s="242">
        <f>Автовик_разбивка[[#This Row],[Цена, 
юань, без НДС 1]]*DX146</f>
        <v>0</v>
      </c>
      <c r="DZ146" s="234">
        <f t="shared" si="220"/>
        <v>0</v>
      </c>
      <c r="EA146" s="253">
        <f>Автовик_разбивка[[#This Row],[Цена, 
юань, без НДС 1]]*DZ146</f>
        <v>0</v>
      </c>
      <c r="EB146" s="235">
        <f t="shared" si="221"/>
        <v>0</v>
      </c>
      <c r="EC146" s="254">
        <f>Автовик_разбивка[[#This Row],[Цена, 
юань, без НДС 1]]*EB146</f>
        <v>0</v>
      </c>
    </row>
    <row r="147" spans="1:133">
      <c r="A147" s="256">
        <v>22</v>
      </c>
      <c r="B147" s="243" t="s">
        <v>322</v>
      </c>
      <c r="C147" s="244"/>
      <c r="D147" s="244"/>
      <c r="E147" s="245"/>
      <c r="F147" s="245"/>
      <c r="G147" s="245"/>
      <c r="H147" s="246"/>
      <c r="I147" s="247"/>
      <c r="J147" s="248"/>
      <c r="K147" s="248"/>
      <c r="L147" s="249"/>
      <c r="M147" s="249"/>
      <c r="N147" s="249"/>
      <c r="O147" s="249"/>
      <c r="P147" s="249"/>
      <c r="Q147" s="249"/>
      <c r="R147" s="249"/>
      <c r="S147" s="249"/>
      <c r="T147" s="249"/>
      <c r="U147" s="249"/>
      <c r="V147" s="249"/>
      <c r="W147" s="249"/>
      <c r="X147" s="249"/>
      <c r="Y147" s="249"/>
      <c r="Z147" s="249"/>
      <c r="AA147" s="249"/>
      <c r="AB147" s="249"/>
      <c r="AC147" s="249"/>
      <c r="AD147" s="249"/>
      <c r="AE147" s="249"/>
      <c r="AF147" s="249"/>
      <c r="AG147" s="249"/>
      <c r="AH147" s="249"/>
      <c r="AI147" s="249"/>
      <c r="AJ147" s="249"/>
      <c r="AK147" s="249"/>
      <c r="AL147" s="249"/>
      <c r="AM147" s="249"/>
      <c r="AN147" s="249"/>
      <c r="AO147" s="249"/>
      <c r="AP147" s="249"/>
      <c r="AQ147" s="249"/>
      <c r="AR147" s="249"/>
      <c r="AS147" s="249"/>
      <c r="AT147" s="249"/>
      <c r="AU147" s="249"/>
      <c r="AV147" s="249"/>
      <c r="AW147" s="249"/>
      <c r="AX147" s="250"/>
      <c r="AY147" s="249"/>
      <c r="AZ147" s="250"/>
      <c r="BA147" s="250"/>
      <c r="BB147" s="250"/>
      <c r="BC147" s="249"/>
      <c r="BD147" s="250"/>
      <c r="BE147" s="250"/>
      <c r="BF147" s="250"/>
      <c r="BG147" s="249"/>
      <c r="BH147" s="250">
        <f t="shared" si="215"/>
        <v>0</v>
      </c>
      <c r="BI147" s="251">
        <f>Автовик_разбивка[[#This Row],[Цена, 
юань, без НДС 1]]*BH147</f>
        <v>0</v>
      </c>
      <c r="BJ147" s="250">
        <f t="shared" si="216"/>
        <v>0</v>
      </c>
      <c r="BK147" s="251">
        <f>Автовик_разбивка[[#This Row],[Цена, 
юань, без НДС 1]]*BJ147</f>
        <v>0</v>
      </c>
      <c r="BL147" s="250">
        <f t="shared" si="217"/>
        <v>0</v>
      </c>
      <c r="BM147" s="251">
        <f>Автовик_разбивка[[#This Row],[Цена, 
юань, без НДС 1]]*BL147</f>
        <v>0</v>
      </c>
      <c r="BN147" s="249"/>
      <c r="BO147" s="249"/>
      <c r="BP147" s="249"/>
      <c r="BQ147" s="249"/>
      <c r="BR147" s="249"/>
      <c r="BS147" s="249"/>
      <c r="BT147" s="249"/>
      <c r="BU147" s="249"/>
      <c r="BV147" s="249"/>
      <c r="BW147" s="249"/>
      <c r="BX147" s="249"/>
      <c r="BY147" s="249"/>
      <c r="BZ147" s="249"/>
      <c r="CA147" s="249"/>
      <c r="CB147" s="249"/>
      <c r="CC147" s="249"/>
      <c r="CD147" s="249"/>
      <c r="CE147" s="249"/>
      <c r="CF147" s="249"/>
      <c r="CG147" s="249"/>
      <c r="CH147" s="249"/>
      <c r="CI147" s="249"/>
      <c r="CJ147" s="249"/>
      <c r="CK147" s="249"/>
      <c r="CL147" s="249"/>
      <c r="CM147" s="249"/>
      <c r="CN147" s="249"/>
      <c r="CO147" s="249"/>
      <c r="CP147" s="249"/>
      <c r="CQ147" s="249"/>
      <c r="CR147" s="249"/>
      <c r="CS147" s="249"/>
      <c r="CT147" s="249"/>
      <c r="CU147" s="249"/>
      <c r="CV147" s="249"/>
      <c r="CW147" s="249"/>
      <c r="CX147" s="249"/>
      <c r="CY147" s="249"/>
      <c r="CZ147" s="249"/>
      <c r="DA147" s="249"/>
      <c r="DB147" s="249"/>
      <c r="DC147" s="249"/>
      <c r="DD147" s="249"/>
      <c r="DE147" s="249"/>
      <c r="DF147" s="249"/>
      <c r="DG147" s="249"/>
      <c r="DH147" s="249"/>
      <c r="DI147" s="249"/>
      <c r="DJ147" s="250"/>
      <c r="DK147" s="249"/>
      <c r="DL147" s="250"/>
      <c r="DM147" s="250"/>
      <c r="DN147" s="250"/>
      <c r="DO147" s="250"/>
      <c r="DP147" s="249"/>
      <c r="DQ147" s="250"/>
      <c r="DR147" s="250"/>
      <c r="DS147" s="250"/>
      <c r="DT147" s="250"/>
      <c r="DU147" s="249"/>
      <c r="DV147" s="250">
        <f t="shared" si="218"/>
        <v>0</v>
      </c>
      <c r="DW147" s="251">
        <f>Автовик_разбивка[[#This Row],[Цена, 
юань, без НДС 1]]*DV147</f>
        <v>0</v>
      </c>
      <c r="DX147" s="251">
        <f t="shared" si="219"/>
        <v>0</v>
      </c>
      <c r="DY147" s="251">
        <f>Автовик_разбивка[[#This Row],[Цена, 
юань, без НДС 1]]*DX147</f>
        <v>0</v>
      </c>
      <c r="DZ147" s="250">
        <f t="shared" si="220"/>
        <v>0</v>
      </c>
      <c r="EA147" s="251">
        <f>Автовик_разбивка[[#This Row],[Цена, 
юань, без НДС 1]]*DZ147</f>
        <v>0</v>
      </c>
      <c r="EB147" s="250">
        <f t="shared" si="221"/>
        <v>0</v>
      </c>
      <c r="EC147" s="251">
        <f>Автовик_разбивка[[#This Row],[Цена, 
юань, без НДС 1]]*EB147</f>
        <v>0</v>
      </c>
    </row>
    <row r="148" spans="1:133">
      <c r="A148" s="256">
        <v>22</v>
      </c>
      <c r="B148" s="172" t="s">
        <v>323</v>
      </c>
      <c r="C148" s="173" t="s">
        <v>298</v>
      </c>
      <c r="D148" s="173" t="s">
        <v>300</v>
      </c>
      <c r="E148" s="174">
        <v>1</v>
      </c>
      <c r="F148" s="174"/>
      <c r="G148" s="174"/>
      <c r="H148" s="175">
        <v>4494430600</v>
      </c>
      <c r="I148" s="176" t="s">
        <v>136</v>
      </c>
      <c r="J148" s="222"/>
      <c r="K148" s="223"/>
      <c r="L148" s="178">
        <v>0</v>
      </c>
      <c r="M148" s="130">
        <f t="shared" ref="M148:M158" si="222">$E148*0</f>
        <v>0</v>
      </c>
      <c r="N148" s="179">
        <v>0</v>
      </c>
      <c r="O148" s="130"/>
      <c r="P148" s="178">
        <v>0</v>
      </c>
      <c r="Q148" s="130">
        <f t="shared" ref="Q148:Q158" si="223">$E148*0</f>
        <v>0</v>
      </c>
      <c r="R148" s="179">
        <v>0</v>
      </c>
      <c r="S148" s="130"/>
      <c r="T148" s="178">
        <v>0</v>
      </c>
      <c r="U148" s="130">
        <f t="shared" si="193"/>
        <v>0</v>
      </c>
      <c r="V148" s="179">
        <v>0</v>
      </c>
      <c r="W148" s="130"/>
      <c r="X148" s="178">
        <v>5</v>
      </c>
      <c r="Y148" s="130">
        <f t="shared" si="194"/>
        <v>0</v>
      </c>
      <c r="Z148" s="179">
        <v>0</v>
      </c>
      <c r="AA148" s="130"/>
      <c r="AB148" s="178">
        <v>5</v>
      </c>
      <c r="AC148" s="130">
        <f t="shared" si="195"/>
        <v>0</v>
      </c>
      <c r="AD148" s="179"/>
      <c r="AE148" s="130"/>
      <c r="AF148" s="178">
        <v>5</v>
      </c>
      <c r="AG148" s="130">
        <f t="shared" si="196"/>
        <v>0</v>
      </c>
      <c r="AH148" s="179"/>
      <c r="AI148" s="130"/>
      <c r="AJ148" s="178">
        <v>5</v>
      </c>
      <c r="AK148" s="130">
        <f t="shared" ref="AK148:AK158" si="224">$E148*5</f>
        <v>5</v>
      </c>
      <c r="AL148" s="179"/>
      <c r="AM148" s="130"/>
      <c r="AN148" s="178">
        <v>5</v>
      </c>
      <c r="AO148" s="130">
        <f t="shared" ref="AO148:AO158" si="225">$E148*5</f>
        <v>5</v>
      </c>
      <c r="AP148" s="179"/>
      <c r="AQ148" s="130"/>
      <c r="AR148" s="178">
        <v>5</v>
      </c>
      <c r="AS148" s="130">
        <f t="shared" ref="AS148:AS158" si="226">$E148*0</f>
        <v>0</v>
      </c>
      <c r="AT148" s="179"/>
      <c r="AU148" s="130"/>
      <c r="AV148" s="178">
        <v>5</v>
      </c>
      <c r="AW148" s="130">
        <f t="shared" ref="AW148:AW158" si="227">$E148*0</f>
        <v>0</v>
      </c>
      <c r="AX148" s="179"/>
      <c r="AY148" s="130"/>
      <c r="AZ148" s="178">
        <v>5</v>
      </c>
      <c r="BA148" s="130"/>
      <c r="BB148" s="194"/>
      <c r="BC148" s="130"/>
      <c r="BD148" s="178">
        <v>5</v>
      </c>
      <c r="BE148" s="130"/>
      <c r="BF148" s="109"/>
      <c r="BG148" s="130"/>
      <c r="BH148" s="180">
        <f t="shared" si="215"/>
        <v>45</v>
      </c>
      <c r="BI148" s="181">
        <f>Автовик_разбивка[[#This Row],[Цена, 
юань, без НДС 1]]*BH148</f>
        <v>0</v>
      </c>
      <c r="BJ148" s="130">
        <f t="shared" si="216"/>
        <v>10</v>
      </c>
      <c r="BK148" s="187">
        <f>Автовик_разбивка[[#This Row],[Цена, 
юань, без НДС 1]]*BJ148</f>
        <v>0</v>
      </c>
      <c r="BL148" s="109">
        <f t="shared" si="217"/>
        <v>0</v>
      </c>
      <c r="BM148" s="224">
        <f>Автовик_разбивка[[#This Row],[Цена, 
юань, без НДС 1]]*BL148</f>
        <v>0</v>
      </c>
      <c r="BN148" s="178"/>
      <c r="BO148" s="184"/>
      <c r="BP148" s="130"/>
      <c r="BQ148" s="179"/>
      <c r="BR148" s="130"/>
      <c r="BS148" s="178"/>
      <c r="BT148" s="184"/>
      <c r="BU148" s="130"/>
      <c r="BV148" s="179"/>
      <c r="BW148" s="130"/>
      <c r="BX148" s="178"/>
      <c r="BY148" s="184"/>
      <c r="BZ148" s="130">
        <f t="shared" si="205"/>
        <v>5</v>
      </c>
      <c r="CA148" s="179"/>
      <c r="CB148" s="130"/>
      <c r="CC148" s="178"/>
      <c r="CD148" s="184"/>
      <c r="CE148" s="130">
        <f t="shared" si="206"/>
        <v>5</v>
      </c>
      <c r="CF148" s="179"/>
      <c r="CG148" s="130"/>
      <c r="CH148" s="178"/>
      <c r="CI148" s="184"/>
      <c r="CJ148" s="130">
        <f t="shared" si="207"/>
        <v>5</v>
      </c>
      <c r="CK148" s="179"/>
      <c r="CL148" s="130"/>
      <c r="CM148" s="178"/>
      <c r="CN148" s="184"/>
      <c r="CO148" s="130">
        <f t="shared" si="208"/>
        <v>5</v>
      </c>
      <c r="CP148" s="179"/>
      <c r="CQ148" s="130"/>
      <c r="CR148" s="178"/>
      <c r="CS148" s="184"/>
      <c r="CT148" s="130">
        <f t="shared" si="209"/>
        <v>5</v>
      </c>
      <c r="CU148" s="179"/>
      <c r="CV148" s="130"/>
      <c r="CW148" s="178"/>
      <c r="CX148" s="184"/>
      <c r="CY148" s="130">
        <f t="shared" si="210"/>
        <v>5</v>
      </c>
      <c r="CZ148" s="179"/>
      <c r="DA148" s="130"/>
      <c r="DB148" s="178"/>
      <c r="DC148" s="184"/>
      <c r="DD148" s="130">
        <f t="shared" si="211"/>
        <v>5</v>
      </c>
      <c r="DE148" s="179"/>
      <c r="DF148" s="130"/>
      <c r="DG148" s="178"/>
      <c r="DH148" s="184"/>
      <c r="DI148" s="130">
        <f t="shared" si="212"/>
        <v>5</v>
      </c>
      <c r="DJ148" s="179"/>
      <c r="DK148" s="130"/>
      <c r="DL148" s="178"/>
      <c r="DM148" s="184"/>
      <c r="DN148" s="130">
        <f t="shared" si="213"/>
        <v>5</v>
      </c>
      <c r="DO148" s="194"/>
      <c r="DP148" s="130"/>
      <c r="DQ148" s="178"/>
      <c r="DR148" s="184"/>
      <c r="DS148" s="130">
        <f t="shared" si="214"/>
        <v>5</v>
      </c>
      <c r="DT148" s="109"/>
      <c r="DU148" s="130"/>
      <c r="DV148" s="180">
        <f t="shared" si="218"/>
        <v>0</v>
      </c>
      <c r="DW148" s="181">
        <f>Автовик_разбивка[[#This Row],[Цена, 
юань, без НДС 1]]*DV148</f>
        <v>0</v>
      </c>
      <c r="DX148" s="186">
        <f t="shared" si="219"/>
        <v>0</v>
      </c>
      <c r="DY148" s="186">
        <f>Автовик_разбивка[[#This Row],[Цена, 
юань, без НДС 1]]*DX148</f>
        <v>0</v>
      </c>
      <c r="DZ148" s="130">
        <f t="shared" si="220"/>
        <v>50</v>
      </c>
      <c r="EA148" s="187">
        <f>Автовик_разбивка[[#This Row],[Цена, 
юань, без НДС 1]]*DZ148</f>
        <v>0</v>
      </c>
      <c r="EB148" s="109">
        <f t="shared" si="221"/>
        <v>0</v>
      </c>
      <c r="EC148" s="224">
        <f>Автовик_разбивка[[#This Row],[Цена, 
юань, без НДС 1]]*EB148</f>
        <v>0</v>
      </c>
    </row>
    <row r="149" spans="1:133">
      <c r="A149" s="256">
        <v>22</v>
      </c>
      <c r="B149" s="172" t="s">
        <v>323</v>
      </c>
      <c r="C149" s="173" t="s">
        <v>298</v>
      </c>
      <c r="D149" s="173" t="s">
        <v>300</v>
      </c>
      <c r="E149" s="174">
        <v>1</v>
      </c>
      <c r="F149" s="174"/>
      <c r="G149" s="174"/>
      <c r="H149" s="175">
        <v>4630840310</v>
      </c>
      <c r="I149" s="176" t="s">
        <v>135</v>
      </c>
      <c r="J149" s="222"/>
      <c r="K149" s="223"/>
      <c r="L149" s="178">
        <v>0</v>
      </c>
      <c r="M149" s="130">
        <f t="shared" si="222"/>
        <v>0</v>
      </c>
      <c r="N149" s="179">
        <v>0</v>
      </c>
      <c r="O149" s="130"/>
      <c r="P149" s="178">
        <v>0</v>
      </c>
      <c r="Q149" s="130">
        <f t="shared" si="223"/>
        <v>0</v>
      </c>
      <c r="R149" s="179">
        <v>0</v>
      </c>
      <c r="S149" s="130"/>
      <c r="T149" s="178">
        <v>0</v>
      </c>
      <c r="U149" s="130">
        <f t="shared" si="193"/>
        <v>0</v>
      </c>
      <c r="V149" s="179">
        <v>0</v>
      </c>
      <c r="W149" s="130"/>
      <c r="X149" s="178">
        <v>5</v>
      </c>
      <c r="Y149" s="130">
        <f t="shared" si="194"/>
        <v>0</v>
      </c>
      <c r="Z149" s="179">
        <v>0</v>
      </c>
      <c r="AA149" s="130"/>
      <c r="AB149" s="178">
        <v>5</v>
      </c>
      <c r="AC149" s="130">
        <f t="shared" si="195"/>
        <v>0</v>
      </c>
      <c r="AD149" s="179"/>
      <c r="AE149" s="130"/>
      <c r="AF149" s="178">
        <v>5</v>
      </c>
      <c r="AG149" s="130">
        <f t="shared" si="196"/>
        <v>0</v>
      </c>
      <c r="AH149" s="179"/>
      <c r="AI149" s="130"/>
      <c r="AJ149" s="178">
        <v>5</v>
      </c>
      <c r="AK149" s="130">
        <f t="shared" si="224"/>
        <v>5</v>
      </c>
      <c r="AL149" s="179"/>
      <c r="AM149" s="130"/>
      <c r="AN149" s="178">
        <v>5</v>
      </c>
      <c r="AO149" s="130">
        <f t="shared" si="225"/>
        <v>5</v>
      </c>
      <c r="AP149" s="179"/>
      <c r="AQ149" s="130"/>
      <c r="AR149" s="178">
        <v>5</v>
      </c>
      <c r="AS149" s="130">
        <f t="shared" si="226"/>
        <v>0</v>
      </c>
      <c r="AT149" s="179"/>
      <c r="AU149" s="130"/>
      <c r="AV149" s="178">
        <v>5</v>
      </c>
      <c r="AW149" s="130">
        <f t="shared" si="227"/>
        <v>0</v>
      </c>
      <c r="AX149" s="179"/>
      <c r="AY149" s="130"/>
      <c r="AZ149" s="178">
        <v>5</v>
      </c>
      <c r="BA149" s="130"/>
      <c r="BB149" s="194"/>
      <c r="BC149" s="130"/>
      <c r="BD149" s="178">
        <v>5</v>
      </c>
      <c r="BE149" s="130"/>
      <c r="BF149" s="109"/>
      <c r="BG149" s="130"/>
      <c r="BH149" s="180">
        <f t="shared" si="215"/>
        <v>45</v>
      </c>
      <c r="BI149" s="181">
        <f>Автовик_разбивка[[#This Row],[Цена, 
юань, без НДС 1]]*BH149</f>
        <v>0</v>
      </c>
      <c r="BJ149" s="130">
        <f t="shared" si="216"/>
        <v>10</v>
      </c>
      <c r="BK149" s="187">
        <f>Автовик_разбивка[[#This Row],[Цена, 
юань, без НДС 1]]*BJ149</f>
        <v>0</v>
      </c>
      <c r="BL149" s="109">
        <f t="shared" si="217"/>
        <v>0</v>
      </c>
      <c r="BM149" s="224">
        <f>Автовик_разбивка[[#This Row],[Цена, 
юань, без НДС 1]]*BL149</f>
        <v>0</v>
      </c>
      <c r="BN149" s="178"/>
      <c r="BO149" s="184"/>
      <c r="BP149" s="130"/>
      <c r="BQ149" s="179"/>
      <c r="BR149" s="130"/>
      <c r="BS149" s="178"/>
      <c r="BT149" s="184"/>
      <c r="BU149" s="130"/>
      <c r="BV149" s="179"/>
      <c r="BW149" s="130"/>
      <c r="BX149" s="178"/>
      <c r="BY149" s="184"/>
      <c r="BZ149" s="130">
        <f t="shared" si="205"/>
        <v>5</v>
      </c>
      <c r="CA149" s="179"/>
      <c r="CB149" s="130"/>
      <c r="CC149" s="178"/>
      <c r="CD149" s="184"/>
      <c r="CE149" s="130">
        <f t="shared" si="206"/>
        <v>5</v>
      </c>
      <c r="CF149" s="179"/>
      <c r="CG149" s="130"/>
      <c r="CH149" s="178"/>
      <c r="CI149" s="184"/>
      <c r="CJ149" s="130">
        <f t="shared" si="207"/>
        <v>5</v>
      </c>
      <c r="CK149" s="179"/>
      <c r="CL149" s="130"/>
      <c r="CM149" s="178"/>
      <c r="CN149" s="184"/>
      <c r="CO149" s="130">
        <f t="shared" si="208"/>
        <v>5</v>
      </c>
      <c r="CP149" s="179"/>
      <c r="CQ149" s="130"/>
      <c r="CR149" s="178"/>
      <c r="CS149" s="184"/>
      <c r="CT149" s="130">
        <f t="shared" si="209"/>
        <v>5</v>
      </c>
      <c r="CU149" s="179"/>
      <c r="CV149" s="130"/>
      <c r="CW149" s="178"/>
      <c r="CX149" s="184"/>
      <c r="CY149" s="130">
        <f t="shared" si="210"/>
        <v>5</v>
      </c>
      <c r="CZ149" s="179"/>
      <c r="DA149" s="130"/>
      <c r="DB149" s="178"/>
      <c r="DC149" s="184"/>
      <c r="DD149" s="130">
        <f t="shared" si="211"/>
        <v>5</v>
      </c>
      <c r="DE149" s="179"/>
      <c r="DF149" s="130"/>
      <c r="DG149" s="178"/>
      <c r="DH149" s="184"/>
      <c r="DI149" s="130">
        <f t="shared" si="212"/>
        <v>5</v>
      </c>
      <c r="DJ149" s="179"/>
      <c r="DK149" s="130"/>
      <c r="DL149" s="178"/>
      <c r="DM149" s="184"/>
      <c r="DN149" s="130">
        <f t="shared" si="213"/>
        <v>5</v>
      </c>
      <c r="DO149" s="194"/>
      <c r="DP149" s="130"/>
      <c r="DQ149" s="178"/>
      <c r="DR149" s="184"/>
      <c r="DS149" s="130">
        <f t="shared" si="214"/>
        <v>5</v>
      </c>
      <c r="DT149" s="109"/>
      <c r="DU149" s="130"/>
      <c r="DV149" s="180">
        <f t="shared" si="218"/>
        <v>0</v>
      </c>
      <c r="DW149" s="181">
        <f>Автовик_разбивка[[#This Row],[Цена, 
юань, без НДС 1]]*DV149</f>
        <v>0</v>
      </c>
      <c r="DX149" s="186">
        <f t="shared" si="219"/>
        <v>0</v>
      </c>
      <c r="DY149" s="186">
        <f>Автовик_разбивка[[#This Row],[Цена, 
юань, без НДС 1]]*DX149</f>
        <v>0</v>
      </c>
      <c r="DZ149" s="130">
        <f t="shared" si="220"/>
        <v>50</v>
      </c>
      <c r="EA149" s="187">
        <f>Автовик_разбивка[[#This Row],[Цена, 
юань, без НДС 1]]*DZ149</f>
        <v>0</v>
      </c>
      <c r="EB149" s="109">
        <f t="shared" si="221"/>
        <v>0</v>
      </c>
      <c r="EC149" s="224">
        <f>Автовик_разбивка[[#This Row],[Цена, 
юань, без НДС 1]]*EB149</f>
        <v>0</v>
      </c>
    </row>
    <row r="150" spans="1:133">
      <c r="A150" s="256">
        <v>22</v>
      </c>
      <c r="B150" s="172" t="s">
        <v>323</v>
      </c>
      <c r="C150" s="173" t="s">
        <v>298</v>
      </c>
      <c r="D150" s="173" t="s">
        <v>311</v>
      </c>
      <c r="E150" s="174">
        <v>1</v>
      </c>
      <c r="F150" s="174"/>
      <c r="G150" s="174"/>
      <c r="H150" s="175">
        <v>4334010030</v>
      </c>
      <c r="I150" s="176" t="s">
        <v>81</v>
      </c>
      <c r="J150" s="222"/>
      <c r="K150" s="227"/>
      <c r="L150" s="178">
        <v>0</v>
      </c>
      <c r="M150" s="130">
        <f t="shared" si="222"/>
        <v>0</v>
      </c>
      <c r="N150" s="179">
        <v>0</v>
      </c>
      <c r="O150" s="130"/>
      <c r="P150" s="178">
        <v>0</v>
      </c>
      <c r="Q150" s="130">
        <f t="shared" si="223"/>
        <v>0</v>
      </c>
      <c r="R150" s="179">
        <v>0</v>
      </c>
      <c r="S150" s="130"/>
      <c r="T150" s="178">
        <v>0</v>
      </c>
      <c r="U150" s="130">
        <f t="shared" si="193"/>
        <v>0</v>
      </c>
      <c r="V150" s="179">
        <v>0</v>
      </c>
      <c r="W150" s="130"/>
      <c r="X150" s="178">
        <v>5</v>
      </c>
      <c r="Y150" s="130">
        <f t="shared" si="194"/>
        <v>0</v>
      </c>
      <c r="Z150" s="179">
        <v>0</v>
      </c>
      <c r="AA150" s="130"/>
      <c r="AB150" s="178">
        <v>5</v>
      </c>
      <c r="AC150" s="130">
        <f t="shared" si="195"/>
        <v>0</v>
      </c>
      <c r="AD150" s="109"/>
      <c r="AE150" s="252"/>
      <c r="AF150" s="178">
        <v>5</v>
      </c>
      <c r="AG150" s="130">
        <f t="shared" si="196"/>
        <v>0</v>
      </c>
      <c r="AH150" s="109"/>
      <c r="AI150" s="252"/>
      <c r="AJ150" s="178">
        <v>5</v>
      </c>
      <c r="AK150" s="130">
        <f t="shared" si="224"/>
        <v>5</v>
      </c>
      <c r="AL150" s="109"/>
      <c r="AM150" s="252"/>
      <c r="AN150" s="178">
        <v>5</v>
      </c>
      <c r="AO150" s="130">
        <f t="shared" si="225"/>
        <v>5</v>
      </c>
      <c r="AP150" s="109"/>
      <c r="AQ150" s="252"/>
      <c r="AR150" s="178">
        <v>5</v>
      </c>
      <c r="AS150" s="130">
        <f t="shared" si="226"/>
        <v>0</v>
      </c>
      <c r="AT150" s="109"/>
      <c r="AU150" s="252"/>
      <c r="AV150" s="178">
        <v>5</v>
      </c>
      <c r="AW150" s="130">
        <f t="shared" si="227"/>
        <v>0</v>
      </c>
      <c r="AX150" s="109"/>
      <c r="AY150" s="252"/>
      <c r="AZ150" s="178">
        <v>5</v>
      </c>
      <c r="BA150" s="130"/>
      <c r="BB150" s="194"/>
      <c r="BC150" s="252"/>
      <c r="BD150" s="178">
        <v>5</v>
      </c>
      <c r="BE150" s="130"/>
      <c r="BF150" s="109"/>
      <c r="BG150" s="252"/>
      <c r="BH150" s="180">
        <f t="shared" si="215"/>
        <v>45</v>
      </c>
      <c r="BI150" s="181">
        <f>Автовик_разбивка[[#This Row],[Цена, 
юань, без НДС 1]]*BH150</f>
        <v>0</v>
      </c>
      <c r="BJ150" s="130">
        <f t="shared" si="216"/>
        <v>10</v>
      </c>
      <c r="BK150" s="187">
        <f>Автовик_разбивка[[#This Row],[Цена, 
юань, без НДС 1]]*BJ150</f>
        <v>0</v>
      </c>
      <c r="BL150" s="109">
        <f t="shared" si="217"/>
        <v>0</v>
      </c>
      <c r="BM150" s="224">
        <f>Автовик_разбивка[[#This Row],[Цена, 
юань, без НДС 1]]*BL150</f>
        <v>0</v>
      </c>
      <c r="BN150" s="178"/>
      <c r="BO150" s="184"/>
      <c r="BP150" s="130"/>
      <c r="BQ150" s="179"/>
      <c r="BR150" s="130"/>
      <c r="BS150" s="178"/>
      <c r="BT150" s="184"/>
      <c r="BU150" s="130"/>
      <c r="BV150" s="179"/>
      <c r="BW150" s="130"/>
      <c r="BX150" s="178"/>
      <c r="BY150" s="184"/>
      <c r="BZ150" s="130">
        <f t="shared" si="205"/>
        <v>5</v>
      </c>
      <c r="CA150" s="179"/>
      <c r="CB150" s="130"/>
      <c r="CC150" s="178"/>
      <c r="CD150" s="184"/>
      <c r="CE150" s="130">
        <f t="shared" si="206"/>
        <v>5</v>
      </c>
      <c r="CF150" s="179"/>
      <c r="CG150" s="130"/>
      <c r="CH150" s="178"/>
      <c r="CI150" s="184"/>
      <c r="CJ150" s="130">
        <f t="shared" si="207"/>
        <v>5</v>
      </c>
      <c r="CK150" s="109"/>
      <c r="CL150" s="252"/>
      <c r="CM150" s="178"/>
      <c r="CN150" s="184"/>
      <c r="CO150" s="130">
        <f t="shared" si="208"/>
        <v>5</v>
      </c>
      <c r="CP150" s="109"/>
      <c r="CQ150" s="252"/>
      <c r="CR150" s="178"/>
      <c r="CS150" s="184"/>
      <c r="CT150" s="130">
        <f t="shared" si="209"/>
        <v>5</v>
      </c>
      <c r="CU150" s="109"/>
      <c r="CV150" s="252"/>
      <c r="CW150" s="178"/>
      <c r="CX150" s="184"/>
      <c r="CY150" s="130">
        <f t="shared" si="210"/>
        <v>5</v>
      </c>
      <c r="CZ150" s="109"/>
      <c r="DA150" s="252"/>
      <c r="DB150" s="178"/>
      <c r="DC150" s="184"/>
      <c r="DD150" s="130">
        <f t="shared" si="211"/>
        <v>5</v>
      </c>
      <c r="DE150" s="109"/>
      <c r="DF150" s="252"/>
      <c r="DG150" s="178"/>
      <c r="DH150" s="184"/>
      <c r="DI150" s="130">
        <f t="shared" si="212"/>
        <v>5</v>
      </c>
      <c r="DJ150" s="109"/>
      <c r="DK150" s="252"/>
      <c r="DL150" s="178"/>
      <c r="DM150" s="184"/>
      <c r="DN150" s="130">
        <f t="shared" si="213"/>
        <v>5</v>
      </c>
      <c r="DO150" s="194"/>
      <c r="DP150" s="252"/>
      <c r="DQ150" s="178"/>
      <c r="DR150" s="184"/>
      <c r="DS150" s="130">
        <f t="shared" si="214"/>
        <v>5</v>
      </c>
      <c r="DT150" s="109"/>
      <c r="DU150" s="252"/>
      <c r="DV150" s="180">
        <f t="shared" si="218"/>
        <v>0</v>
      </c>
      <c r="DW150" s="181">
        <f>Автовик_разбивка[[#This Row],[Цена, 
юань, без НДС 1]]*DV150</f>
        <v>0</v>
      </c>
      <c r="DX150" s="186">
        <f t="shared" si="219"/>
        <v>0</v>
      </c>
      <c r="DY150" s="186">
        <f>Автовик_разбивка[[#This Row],[Цена, 
юань, без НДС 1]]*DX150</f>
        <v>0</v>
      </c>
      <c r="DZ150" s="130">
        <f t="shared" si="220"/>
        <v>50</v>
      </c>
      <c r="EA150" s="187">
        <f>Автовик_разбивка[[#This Row],[Цена, 
юань, без НДС 1]]*DZ150</f>
        <v>0</v>
      </c>
      <c r="EB150" s="109">
        <f t="shared" si="221"/>
        <v>0</v>
      </c>
      <c r="EC150" s="224">
        <f>Автовик_разбивка[[#This Row],[Цена, 
юань, без НДС 1]]*EB150</f>
        <v>0</v>
      </c>
    </row>
    <row r="151" spans="1:133">
      <c r="A151" s="256">
        <v>22</v>
      </c>
      <c r="B151" s="172" t="s">
        <v>323</v>
      </c>
      <c r="C151" s="173" t="s">
        <v>298</v>
      </c>
      <c r="D151" s="173" t="s">
        <v>311</v>
      </c>
      <c r="E151" s="174">
        <v>1</v>
      </c>
      <c r="F151" s="174"/>
      <c r="G151" s="174"/>
      <c r="H151" s="175">
        <v>4491731500</v>
      </c>
      <c r="I151" s="176" t="s">
        <v>77</v>
      </c>
      <c r="J151" s="222"/>
      <c r="K151" s="223"/>
      <c r="L151" s="178">
        <v>0</v>
      </c>
      <c r="M151" s="130">
        <f t="shared" si="222"/>
        <v>0</v>
      </c>
      <c r="N151" s="179">
        <v>0</v>
      </c>
      <c r="O151" s="130"/>
      <c r="P151" s="178">
        <v>0</v>
      </c>
      <c r="Q151" s="130">
        <f t="shared" si="223"/>
        <v>0</v>
      </c>
      <c r="R151" s="179">
        <v>0</v>
      </c>
      <c r="S151" s="130"/>
      <c r="T151" s="178">
        <v>0</v>
      </c>
      <c r="U151" s="130">
        <f t="shared" si="193"/>
        <v>0</v>
      </c>
      <c r="V151" s="179">
        <v>0</v>
      </c>
      <c r="W151" s="130"/>
      <c r="X151" s="178">
        <v>5</v>
      </c>
      <c r="Y151" s="130">
        <f t="shared" si="194"/>
        <v>0</v>
      </c>
      <c r="Z151" s="179">
        <v>0</v>
      </c>
      <c r="AA151" s="130"/>
      <c r="AB151" s="178">
        <v>5</v>
      </c>
      <c r="AC151" s="130">
        <f t="shared" si="195"/>
        <v>0</v>
      </c>
      <c r="AD151" s="109"/>
      <c r="AE151" s="252"/>
      <c r="AF151" s="178">
        <v>5</v>
      </c>
      <c r="AG151" s="130">
        <f t="shared" si="196"/>
        <v>0</v>
      </c>
      <c r="AH151" s="109"/>
      <c r="AI151" s="252"/>
      <c r="AJ151" s="178">
        <v>5</v>
      </c>
      <c r="AK151" s="130">
        <f t="shared" si="224"/>
        <v>5</v>
      </c>
      <c r="AL151" s="109"/>
      <c r="AM151" s="252"/>
      <c r="AN151" s="178">
        <v>5</v>
      </c>
      <c r="AO151" s="130">
        <f t="shared" si="225"/>
        <v>5</v>
      </c>
      <c r="AP151" s="109"/>
      <c r="AQ151" s="252"/>
      <c r="AR151" s="178">
        <v>5</v>
      </c>
      <c r="AS151" s="130">
        <f t="shared" si="226"/>
        <v>0</v>
      </c>
      <c r="AT151" s="109"/>
      <c r="AU151" s="252"/>
      <c r="AV151" s="178">
        <v>5</v>
      </c>
      <c r="AW151" s="130">
        <f t="shared" si="227"/>
        <v>0</v>
      </c>
      <c r="AX151" s="109"/>
      <c r="AY151" s="252"/>
      <c r="AZ151" s="178">
        <v>5</v>
      </c>
      <c r="BA151" s="130"/>
      <c r="BB151" s="193"/>
      <c r="BC151" s="252"/>
      <c r="BD151" s="178">
        <v>5</v>
      </c>
      <c r="BE151" s="130"/>
      <c r="BF151" s="109"/>
      <c r="BG151" s="252"/>
      <c r="BH151" s="180">
        <f t="shared" si="215"/>
        <v>45</v>
      </c>
      <c r="BI151" s="181">
        <f>Автовик_разбивка[[#This Row],[Цена, 
юань, без НДС 1]]*BH151</f>
        <v>0</v>
      </c>
      <c r="BJ151" s="130">
        <f t="shared" si="216"/>
        <v>10</v>
      </c>
      <c r="BK151" s="187">
        <f>Автовик_разбивка[[#This Row],[Цена, 
юань, без НДС 1]]*BJ151</f>
        <v>0</v>
      </c>
      <c r="BL151" s="109">
        <f t="shared" si="217"/>
        <v>0</v>
      </c>
      <c r="BM151" s="224">
        <f>Автовик_разбивка[[#This Row],[Цена, 
юань, без НДС 1]]*BL151</f>
        <v>0</v>
      </c>
      <c r="BN151" s="178"/>
      <c r="BO151" s="184"/>
      <c r="BP151" s="130"/>
      <c r="BQ151" s="179"/>
      <c r="BR151" s="130"/>
      <c r="BS151" s="178"/>
      <c r="BT151" s="184"/>
      <c r="BU151" s="130"/>
      <c r="BV151" s="179"/>
      <c r="BW151" s="130"/>
      <c r="BX151" s="178"/>
      <c r="BY151" s="184"/>
      <c r="BZ151" s="130">
        <f t="shared" si="205"/>
        <v>5</v>
      </c>
      <c r="CA151" s="179"/>
      <c r="CB151" s="130"/>
      <c r="CC151" s="178"/>
      <c r="CD151" s="184"/>
      <c r="CE151" s="130">
        <f t="shared" si="206"/>
        <v>5</v>
      </c>
      <c r="CF151" s="179"/>
      <c r="CG151" s="130"/>
      <c r="CH151" s="178"/>
      <c r="CI151" s="184"/>
      <c r="CJ151" s="130">
        <f t="shared" si="207"/>
        <v>5</v>
      </c>
      <c r="CK151" s="109"/>
      <c r="CL151" s="252"/>
      <c r="CM151" s="178"/>
      <c r="CN151" s="184"/>
      <c r="CO151" s="130">
        <f t="shared" si="208"/>
        <v>5</v>
      </c>
      <c r="CP151" s="109"/>
      <c r="CQ151" s="252"/>
      <c r="CR151" s="178"/>
      <c r="CS151" s="184"/>
      <c r="CT151" s="130">
        <f t="shared" si="209"/>
        <v>5</v>
      </c>
      <c r="CU151" s="109"/>
      <c r="CV151" s="252"/>
      <c r="CW151" s="178"/>
      <c r="CX151" s="184"/>
      <c r="CY151" s="130">
        <f t="shared" si="210"/>
        <v>5</v>
      </c>
      <c r="CZ151" s="109"/>
      <c r="DA151" s="252"/>
      <c r="DB151" s="178"/>
      <c r="DC151" s="184"/>
      <c r="DD151" s="130">
        <f t="shared" si="211"/>
        <v>5</v>
      </c>
      <c r="DE151" s="109"/>
      <c r="DF151" s="252"/>
      <c r="DG151" s="178"/>
      <c r="DH151" s="184"/>
      <c r="DI151" s="130">
        <f t="shared" si="212"/>
        <v>5</v>
      </c>
      <c r="DJ151" s="109"/>
      <c r="DK151" s="252"/>
      <c r="DL151" s="178"/>
      <c r="DM151" s="184"/>
      <c r="DN151" s="130">
        <f t="shared" si="213"/>
        <v>5</v>
      </c>
      <c r="DO151" s="193"/>
      <c r="DP151" s="252"/>
      <c r="DQ151" s="178"/>
      <c r="DR151" s="184"/>
      <c r="DS151" s="130">
        <f t="shared" si="214"/>
        <v>5</v>
      </c>
      <c r="DT151" s="109"/>
      <c r="DU151" s="252"/>
      <c r="DV151" s="180">
        <f t="shared" si="218"/>
        <v>0</v>
      </c>
      <c r="DW151" s="181">
        <f>Автовик_разбивка[[#This Row],[Цена, 
юань, без НДС 1]]*DV151</f>
        <v>0</v>
      </c>
      <c r="DX151" s="186">
        <f t="shared" si="219"/>
        <v>0</v>
      </c>
      <c r="DY151" s="186">
        <f>Автовик_разбивка[[#This Row],[Цена, 
юань, без НДС 1]]*DX151</f>
        <v>0</v>
      </c>
      <c r="DZ151" s="130">
        <f t="shared" si="220"/>
        <v>50</v>
      </c>
      <c r="EA151" s="187">
        <f>Автовик_разбивка[[#This Row],[Цена, 
юань, без НДС 1]]*DZ151</f>
        <v>0</v>
      </c>
      <c r="EB151" s="109">
        <f t="shared" si="221"/>
        <v>0</v>
      </c>
      <c r="EC151" s="224">
        <f>Автовик_разбивка[[#This Row],[Цена, 
юань, без НДС 1]]*EB151</f>
        <v>0</v>
      </c>
    </row>
    <row r="152" spans="1:133">
      <c r="A152" s="256">
        <v>22</v>
      </c>
      <c r="B152" s="172" t="s">
        <v>323</v>
      </c>
      <c r="C152" s="173" t="s">
        <v>298</v>
      </c>
      <c r="D152" s="173" t="s">
        <v>311</v>
      </c>
      <c r="E152" s="174">
        <v>2</v>
      </c>
      <c r="F152" s="174"/>
      <c r="G152" s="174"/>
      <c r="H152" s="175">
        <v>4497230500</v>
      </c>
      <c r="I152" s="176" t="s">
        <v>78</v>
      </c>
      <c r="J152" s="222"/>
      <c r="K152" s="223"/>
      <c r="L152" s="178">
        <v>0</v>
      </c>
      <c r="M152" s="130">
        <f t="shared" si="222"/>
        <v>0</v>
      </c>
      <c r="N152" s="179">
        <v>0</v>
      </c>
      <c r="O152" s="130"/>
      <c r="P152" s="178">
        <v>0</v>
      </c>
      <c r="Q152" s="130">
        <f t="shared" si="223"/>
        <v>0</v>
      </c>
      <c r="R152" s="179">
        <v>0</v>
      </c>
      <c r="S152" s="130"/>
      <c r="T152" s="178">
        <v>0</v>
      </c>
      <c r="U152" s="130">
        <f t="shared" si="193"/>
        <v>0</v>
      </c>
      <c r="V152" s="179">
        <v>0</v>
      </c>
      <c r="W152" s="130"/>
      <c r="X152" s="178">
        <v>10</v>
      </c>
      <c r="Y152" s="130">
        <f t="shared" si="194"/>
        <v>0</v>
      </c>
      <c r="Z152" s="179">
        <v>0</v>
      </c>
      <c r="AA152" s="130"/>
      <c r="AB152" s="178">
        <v>10</v>
      </c>
      <c r="AC152" s="130">
        <f t="shared" si="195"/>
        <v>0</v>
      </c>
      <c r="AD152" s="109"/>
      <c r="AE152" s="252"/>
      <c r="AF152" s="178">
        <v>10</v>
      </c>
      <c r="AG152" s="130">
        <f t="shared" si="196"/>
        <v>0</v>
      </c>
      <c r="AH152" s="109"/>
      <c r="AI152" s="252"/>
      <c r="AJ152" s="178">
        <v>10</v>
      </c>
      <c r="AK152" s="130">
        <f t="shared" si="224"/>
        <v>10</v>
      </c>
      <c r="AL152" s="109"/>
      <c r="AM152" s="252"/>
      <c r="AN152" s="178">
        <v>10</v>
      </c>
      <c r="AO152" s="130">
        <f t="shared" si="225"/>
        <v>10</v>
      </c>
      <c r="AP152" s="109"/>
      <c r="AQ152" s="252"/>
      <c r="AR152" s="178">
        <v>10</v>
      </c>
      <c r="AS152" s="130">
        <f t="shared" si="226"/>
        <v>0</v>
      </c>
      <c r="AT152" s="109"/>
      <c r="AU152" s="252"/>
      <c r="AV152" s="178">
        <v>10</v>
      </c>
      <c r="AW152" s="130">
        <f t="shared" si="227"/>
        <v>0</v>
      </c>
      <c r="AX152" s="109"/>
      <c r="AY152" s="252"/>
      <c r="AZ152" s="178">
        <v>10</v>
      </c>
      <c r="BA152" s="130"/>
      <c r="BB152" s="193"/>
      <c r="BC152" s="252"/>
      <c r="BD152" s="178">
        <v>10</v>
      </c>
      <c r="BE152" s="130"/>
      <c r="BF152" s="109"/>
      <c r="BG152" s="252"/>
      <c r="BH152" s="180">
        <f t="shared" si="215"/>
        <v>90</v>
      </c>
      <c r="BI152" s="181">
        <f>Автовик_разбивка[[#This Row],[Цена, 
юань, без НДС 1]]*BH152</f>
        <v>0</v>
      </c>
      <c r="BJ152" s="130">
        <f t="shared" si="216"/>
        <v>20</v>
      </c>
      <c r="BK152" s="187">
        <f>Автовик_разбивка[[#This Row],[Цена, 
юань, без НДС 1]]*BJ152</f>
        <v>0</v>
      </c>
      <c r="BL152" s="109">
        <f t="shared" si="217"/>
        <v>0</v>
      </c>
      <c r="BM152" s="224">
        <f>Автовик_разбивка[[#This Row],[Цена, 
юань, без НДС 1]]*BL152</f>
        <v>0</v>
      </c>
      <c r="BN152" s="178"/>
      <c r="BO152" s="184"/>
      <c r="BP152" s="130"/>
      <c r="BQ152" s="179"/>
      <c r="BR152" s="130"/>
      <c r="BS152" s="178"/>
      <c r="BT152" s="184"/>
      <c r="BU152" s="130"/>
      <c r="BV152" s="179"/>
      <c r="BW152" s="130"/>
      <c r="BX152" s="178"/>
      <c r="BY152" s="184"/>
      <c r="BZ152" s="130">
        <f t="shared" si="205"/>
        <v>10</v>
      </c>
      <c r="CA152" s="179"/>
      <c r="CB152" s="130"/>
      <c r="CC152" s="178"/>
      <c r="CD152" s="184"/>
      <c r="CE152" s="130">
        <f t="shared" si="206"/>
        <v>10</v>
      </c>
      <c r="CF152" s="179"/>
      <c r="CG152" s="130"/>
      <c r="CH152" s="178"/>
      <c r="CI152" s="184"/>
      <c r="CJ152" s="130">
        <f t="shared" si="207"/>
        <v>10</v>
      </c>
      <c r="CK152" s="109"/>
      <c r="CL152" s="252"/>
      <c r="CM152" s="178"/>
      <c r="CN152" s="184"/>
      <c r="CO152" s="130">
        <f t="shared" si="208"/>
        <v>10</v>
      </c>
      <c r="CP152" s="109"/>
      <c r="CQ152" s="252"/>
      <c r="CR152" s="178"/>
      <c r="CS152" s="184"/>
      <c r="CT152" s="130">
        <f t="shared" si="209"/>
        <v>10</v>
      </c>
      <c r="CU152" s="109"/>
      <c r="CV152" s="252"/>
      <c r="CW152" s="178"/>
      <c r="CX152" s="184"/>
      <c r="CY152" s="130">
        <f t="shared" si="210"/>
        <v>10</v>
      </c>
      <c r="CZ152" s="109"/>
      <c r="DA152" s="252"/>
      <c r="DB152" s="178"/>
      <c r="DC152" s="184"/>
      <c r="DD152" s="130">
        <f t="shared" si="211"/>
        <v>10</v>
      </c>
      <c r="DE152" s="109"/>
      <c r="DF152" s="252"/>
      <c r="DG152" s="178"/>
      <c r="DH152" s="184"/>
      <c r="DI152" s="130">
        <f t="shared" si="212"/>
        <v>10</v>
      </c>
      <c r="DJ152" s="109"/>
      <c r="DK152" s="252"/>
      <c r="DL152" s="178"/>
      <c r="DM152" s="184"/>
      <c r="DN152" s="130">
        <f t="shared" si="213"/>
        <v>10</v>
      </c>
      <c r="DO152" s="193"/>
      <c r="DP152" s="252"/>
      <c r="DQ152" s="178"/>
      <c r="DR152" s="184"/>
      <c r="DS152" s="130">
        <f t="shared" si="214"/>
        <v>10</v>
      </c>
      <c r="DT152" s="109"/>
      <c r="DU152" s="252"/>
      <c r="DV152" s="180">
        <f t="shared" si="218"/>
        <v>0</v>
      </c>
      <c r="DW152" s="181">
        <f>Автовик_разбивка[[#This Row],[Цена, 
юань, без НДС 1]]*DV152</f>
        <v>0</v>
      </c>
      <c r="DX152" s="186">
        <f t="shared" si="219"/>
        <v>0</v>
      </c>
      <c r="DY152" s="186">
        <f>Автовик_разбивка[[#This Row],[Цена, 
юань, без НДС 1]]*DX152</f>
        <v>0</v>
      </c>
      <c r="DZ152" s="130">
        <f t="shared" si="220"/>
        <v>100</v>
      </c>
      <c r="EA152" s="187">
        <f>Автовик_разбивка[[#This Row],[Цена, 
юань, без НДС 1]]*DZ152</f>
        <v>0</v>
      </c>
      <c r="EB152" s="109">
        <f t="shared" si="221"/>
        <v>0</v>
      </c>
      <c r="EC152" s="224">
        <f>Автовик_разбивка[[#This Row],[Цена, 
юань, без НДС 1]]*EB152</f>
        <v>0</v>
      </c>
    </row>
    <row r="153" spans="1:133">
      <c r="A153" s="256">
        <v>22</v>
      </c>
      <c r="B153" s="172" t="s">
        <v>323</v>
      </c>
      <c r="C153" s="173" t="s">
        <v>298</v>
      </c>
      <c r="D153" s="173" t="s">
        <v>311</v>
      </c>
      <c r="E153" s="174">
        <v>1</v>
      </c>
      <c r="F153" s="174"/>
      <c r="G153" s="174"/>
      <c r="H153" s="175">
        <v>4630320200</v>
      </c>
      <c r="I153" s="176" t="s">
        <v>80</v>
      </c>
      <c r="J153" s="222"/>
      <c r="K153" s="227"/>
      <c r="L153" s="178">
        <v>0</v>
      </c>
      <c r="M153" s="130">
        <f t="shared" si="222"/>
        <v>0</v>
      </c>
      <c r="N153" s="179">
        <v>0</v>
      </c>
      <c r="O153" s="130"/>
      <c r="P153" s="178">
        <v>0</v>
      </c>
      <c r="Q153" s="130">
        <f t="shared" si="223"/>
        <v>0</v>
      </c>
      <c r="R153" s="179">
        <v>0</v>
      </c>
      <c r="S153" s="130"/>
      <c r="T153" s="178">
        <v>0</v>
      </c>
      <c r="U153" s="130">
        <f t="shared" si="193"/>
        <v>0</v>
      </c>
      <c r="V153" s="179">
        <v>0</v>
      </c>
      <c r="W153" s="130"/>
      <c r="X153" s="178">
        <v>5</v>
      </c>
      <c r="Y153" s="130">
        <f t="shared" si="194"/>
        <v>0</v>
      </c>
      <c r="Z153" s="179">
        <v>0</v>
      </c>
      <c r="AA153" s="130"/>
      <c r="AB153" s="178">
        <v>5</v>
      </c>
      <c r="AC153" s="130">
        <f t="shared" si="195"/>
        <v>0</v>
      </c>
      <c r="AD153" s="109"/>
      <c r="AE153" s="252"/>
      <c r="AF153" s="178">
        <v>5</v>
      </c>
      <c r="AG153" s="130">
        <f t="shared" si="196"/>
        <v>0</v>
      </c>
      <c r="AH153" s="109"/>
      <c r="AI153" s="252"/>
      <c r="AJ153" s="178">
        <v>5</v>
      </c>
      <c r="AK153" s="130">
        <f t="shared" si="224"/>
        <v>5</v>
      </c>
      <c r="AL153" s="109"/>
      <c r="AM153" s="252"/>
      <c r="AN153" s="178">
        <v>5</v>
      </c>
      <c r="AO153" s="130">
        <f t="shared" si="225"/>
        <v>5</v>
      </c>
      <c r="AP153" s="109"/>
      <c r="AQ153" s="252"/>
      <c r="AR153" s="178">
        <v>5</v>
      </c>
      <c r="AS153" s="130">
        <f t="shared" si="226"/>
        <v>0</v>
      </c>
      <c r="AT153" s="109"/>
      <c r="AU153" s="252"/>
      <c r="AV153" s="178">
        <v>5</v>
      </c>
      <c r="AW153" s="130">
        <f t="shared" si="227"/>
        <v>0</v>
      </c>
      <c r="AX153" s="109"/>
      <c r="AY153" s="252"/>
      <c r="AZ153" s="178">
        <v>5</v>
      </c>
      <c r="BA153" s="130"/>
      <c r="BB153" s="194"/>
      <c r="BC153" s="252"/>
      <c r="BD153" s="178">
        <v>5</v>
      </c>
      <c r="BE153" s="130"/>
      <c r="BF153" s="109"/>
      <c r="BG153" s="252"/>
      <c r="BH153" s="180">
        <f t="shared" si="215"/>
        <v>45</v>
      </c>
      <c r="BI153" s="181">
        <f>Автовик_разбивка[[#This Row],[Цена, 
юань, без НДС 1]]*BH153</f>
        <v>0</v>
      </c>
      <c r="BJ153" s="130">
        <f t="shared" si="216"/>
        <v>10</v>
      </c>
      <c r="BK153" s="187">
        <f>Автовик_разбивка[[#This Row],[Цена, 
юань, без НДС 1]]*BJ153</f>
        <v>0</v>
      </c>
      <c r="BL153" s="109">
        <f t="shared" si="217"/>
        <v>0</v>
      </c>
      <c r="BM153" s="224">
        <f>Автовик_разбивка[[#This Row],[Цена, 
юань, без НДС 1]]*BL153</f>
        <v>0</v>
      </c>
      <c r="BN153" s="178"/>
      <c r="BO153" s="184"/>
      <c r="BP153" s="130"/>
      <c r="BQ153" s="179"/>
      <c r="BR153" s="130"/>
      <c r="BS153" s="178"/>
      <c r="BT153" s="184"/>
      <c r="BU153" s="130"/>
      <c r="BV153" s="179"/>
      <c r="BW153" s="130"/>
      <c r="BX153" s="178"/>
      <c r="BY153" s="184"/>
      <c r="BZ153" s="130">
        <f t="shared" si="205"/>
        <v>5</v>
      </c>
      <c r="CA153" s="179"/>
      <c r="CB153" s="130"/>
      <c r="CC153" s="178"/>
      <c r="CD153" s="184"/>
      <c r="CE153" s="130">
        <f t="shared" si="206"/>
        <v>5</v>
      </c>
      <c r="CF153" s="179"/>
      <c r="CG153" s="130"/>
      <c r="CH153" s="178"/>
      <c r="CI153" s="184"/>
      <c r="CJ153" s="130">
        <f t="shared" si="207"/>
        <v>5</v>
      </c>
      <c r="CK153" s="109"/>
      <c r="CL153" s="252"/>
      <c r="CM153" s="178"/>
      <c r="CN153" s="184"/>
      <c r="CO153" s="130">
        <f t="shared" si="208"/>
        <v>5</v>
      </c>
      <c r="CP153" s="109"/>
      <c r="CQ153" s="252"/>
      <c r="CR153" s="178"/>
      <c r="CS153" s="184"/>
      <c r="CT153" s="130">
        <f t="shared" si="209"/>
        <v>5</v>
      </c>
      <c r="CU153" s="109"/>
      <c r="CV153" s="252"/>
      <c r="CW153" s="178"/>
      <c r="CX153" s="184"/>
      <c r="CY153" s="130">
        <f t="shared" si="210"/>
        <v>5</v>
      </c>
      <c r="CZ153" s="109"/>
      <c r="DA153" s="252"/>
      <c r="DB153" s="178"/>
      <c r="DC153" s="184"/>
      <c r="DD153" s="130">
        <f t="shared" si="211"/>
        <v>5</v>
      </c>
      <c r="DE153" s="109"/>
      <c r="DF153" s="252"/>
      <c r="DG153" s="178"/>
      <c r="DH153" s="184"/>
      <c r="DI153" s="130">
        <f t="shared" si="212"/>
        <v>5</v>
      </c>
      <c r="DJ153" s="109"/>
      <c r="DK153" s="252"/>
      <c r="DL153" s="178"/>
      <c r="DM153" s="184"/>
      <c r="DN153" s="130">
        <f t="shared" si="213"/>
        <v>5</v>
      </c>
      <c r="DO153" s="194"/>
      <c r="DP153" s="252"/>
      <c r="DQ153" s="178"/>
      <c r="DR153" s="184"/>
      <c r="DS153" s="130">
        <f t="shared" si="214"/>
        <v>5</v>
      </c>
      <c r="DT153" s="109"/>
      <c r="DU153" s="252"/>
      <c r="DV153" s="180">
        <f t="shared" si="218"/>
        <v>0</v>
      </c>
      <c r="DW153" s="181">
        <f>Автовик_разбивка[[#This Row],[Цена, 
юань, без НДС 1]]*DV153</f>
        <v>0</v>
      </c>
      <c r="DX153" s="186">
        <f t="shared" si="219"/>
        <v>0</v>
      </c>
      <c r="DY153" s="186">
        <f>Автовик_разбивка[[#This Row],[Цена, 
юань, без НДС 1]]*DX153</f>
        <v>0</v>
      </c>
      <c r="DZ153" s="130">
        <f t="shared" si="220"/>
        <v>50</v>
      </c>
      <c r="EA153" s="187">
        <f>Автовик_разбивка[[#This Row],[Цена, 
юань, без НДС 1]]*DZ153</f>
        <v>0</v>
      </c>
      <c r="EB153" s="109">
        <f t="shared" si="221"/>
        <v>0</v>
      </c>
      <c r="EC153" s="224">
        <f>Автовик_разбивка[[#This Row],[Цена, 
юань, без НДС 1]]*EB153</f>
        <v>0</v>
      </c>
    </row>
    <row r="154" spans="1:133">
      <c r="A154" s="256">
        <v>22</v>
      </c>
      <c r="B154" s="172" t="s">
        <v>323</v>
      </c>
      <c r="C154" s="173" t="s">
        <v>298</v>
      </c>
      <c r="D154" s="173" t="s">
        <v>311</v>
      </c>
      <c r="E154" s="174">
        <v>1</v>
      </c>
      <c r="F154" s="174"/>
      <c r="G154" s="174"/>
      <c r="H154" s="175">
        <v>4640061000</v>
      </c>
      <c r="I154" s="176" t="s">
        <v>79</v>
      </c>
      <c r="J154" s="222"/>
      <c r="K154" s="223"/>
      <c r="L154" s="178">
        <v>0</v>
      </c>
      <c r="M154" s="130">
        <f t="shared" si="222"/>
        <v>0</v>
      </c>
      <c r="N154" s="179">
        <v>0</v>
      </c>
      <c r="O154" s="130"/>
      <c r="P154" s="178">
        <v>0</v>
      </c>
      <c r="Q154" s="130">
        <f t="shared" si="223"/>
        <v>0</v>
      </c>
      <c r="R154" s="179">
        <v>0</v>
      </c>
      <c r="S154" s="130"/>
      <c r="T154" s="178">
        <v>0</v>
      </c>
      <c r="U154" s="130">
        <f t="shared" si="193"/>
        <v>0</v>
      </c>
      <c r="V154" s="179">
        <v>0</v>
      </c>
      <c r="W154" s="130"/>
      <c r="X154" s="178">
        <v>5</v>
      </c>
      <c r="Y154" s="130">
        <f t="shared" si="194"/>
        <v>0</v>
      </c>
      <c r="Z154" s="179">
        <v>0</v>
      </c>
      <c r="AA154" s="130"/>
      <c r="AB154" s="178">
        <v>5</v>
      </c>
      <c r="AC154" s="130">
        <f t="shared" si="195"/>
        <v>0</v>
      </c>
      <c r="AD154" s="109"/>
      <c r="AE154" s="252"/>
      <c r="AF154" s="178">
        <v>5</v>
      </c>
      <c r="AG154" s="130">
        <f t="shared" si="196"/>
        <v>0</v>
      </c>
      <c r="AH154" s="109"/>
      <c r="AI154" s="252"/>
      <c r="AJ154" s="178">
        <v>5</v>
      </c>
      <c r="AK154" s="130">
        <f t="shared" si="224"/>
        <v>5</v>
      </c>
      <c r="AL154" s="109"/>
      <c r="AM154" s="252"/>
      <c r="AN154" s="178">
        <v>5</v>
      </c>
      <c r="AO154" s="130">
        <f t="shared" si="225"/>
        <v>5</v>
      </c>
      <c r="AP154" s="109"/>
      <c r="AQ154" s="252"/>
      <c r="AR154" s="178">
        <v>5</v>
      </c>
      <c r="AS154" s="130">
        <f t="shared" si="226"/>
        <v>0</v>
      </c>
      <c r="AT154" s="109"/>
      <c r="AU154" s="252"/>
      <c r="AV154" s="178">
        <v>5</v>
      </c>
      <c r="AW154" s="130">
        <f t="shared" si="227"/>
        <v>0</v>
      </c>
      <c r="AX154" s="109"/>
      <c r="AY154" s="252"/>
      <c r="AZ154" s="178">
        <v>5</v>
      </c>
      <c r="BA154" s="130"/>
      <c r="BB154" s="179"/>
      <c r="BC154" s="252"/>
      <c r="BD154" s="178">
        <v>5</v>
      </c>
      <c r="BE154" s="130"/>
      <c r="BF154" s="109"/>
      <c r="BG154" s="252"/>
      <c r="BH154" s="180">
        <f t="shared" si="215"/>
        <v>45</v>
      </c>
      <c r="BI154" s="181">
        <f>Автовик_разбивка[[#This Row],[Цена, 
юань, без НДС 1]]*BH154</f>
        <v>0</v>
      </c>
      <c r="BJ154" s="130">
        <f t="shared" si="216"/>
        <v>10</v>
      </c>
      <c r="BK154" s="187">
        <f>Автовик_разбивка[[#This Row],[Цена, 
юань, без НДС 1]]*BJ154</f>
        <v>0</v>
      </c>
      <c r="BL154" s="109">
        <f t="shared" si="217"/>
        <v>0</v>
      </c>
      <c r="BM154" s="224">
        <f>Автовик_разбивка[[#This Row],[Цена, 
юань, без НДС 1]]*BL154</f>
        <v>0</v>
      </c>
      <c r="BN154" s="178"/>
      <c r="BO154" s="184"/>
      <c r="BP154" s="130"/>
      <c r="BQ154" s="179"/>
      <c r="BR154" s="130"/>
      <c r="BS154" s="178"/>
      <c r="BT154" s="184"/>
      <c r="BU154" s="130"/>
      <c r="BV154" s="179"/>
      <c r="BW154" s="130"/>
      <c r="BX154" s="178"/>
      <c r="BY154" s="184"/>
      <c r="BZ154" s="130">
        <f t="shared" si="205"/>
        <v>5</v>
      </c>
      <c r="CA154" s="179"/>
      <c r="CB154" s="130"/>
      <c r="CC154" s="178"/>
      <c r="CD154" s="184"/>
      <c r="CE154" s="130">
        <f t="shared" si="206"/>
        <v>5</v>
      </c>
      <c r="CF154" s="179"/>
      <c r="CG154" s="130"/>
      <c r="CH154" s="178"/>
      <c r="CI154" s="184"/>
      <c r="CJ154" s="130">
        <f t="shared" si="207"/>
        <v>5</v>
      </c>
      <c r="CK154" s="109"/>
      <c r="CL154" s="252"/>
      <c r="CM154" s="178"/>
      <c r="CN154" s="184"/>
      <c r="CO154" s="130">
        <f t="shared" si="208"/>
        <v>5</v>
      </c>
      <c r="CP154" s="109"/>
      <c r="CQ154" s="252"/>
      <c r="CR154" s="178"/>
      <c r="CS154" s="184"/>
      <c r="CT154" s="130">
        <f t="shared" si="209"/>
        <v>5</v>
      </c>
      <c r="CU154" s="109"/>
      <c r="CV154" s="252"/>
      <c r="CW154" s="178"/>
      <c r="CX154" s="184"/>
      <c r="CY154" s="130">
        <f t="shared" si="210"/>
        <v>5</v>
      </c>
      <c r="CZ154" s="109"/>
      <c r="DA154" s="252"/>
      <c r="DB154" s="178"/>
      <c r="DC154" s="184"/>
      <c r="DD154" s="130">
        <f t="shared" si="211"/>
        <v>5</v>
      </c>
      <c r="DE154" s="109"/>
      <c r="DF154" s="252"/>
      <c r="DG154" s="178"/>
      <c r="DH154" s="184"/>
      <c r="DI154" s="130">
        <f t="shared" si="212"/>
        <v>5</v>
      </c>
      <c r="DJ154" s="109"/>
      <c r="DK154" s="252"/>
      <c r="DL154" s="178"/>
      <c r="DM154" s="184"/>
      <c r="DN154" s="130">
        <f t="shared" si="213"/>
        <v>5</v>
      </c>
      <c r="DO154" s="179"/>
      <c r="DP154" s="252"/>
      <c r="DQ154" s="178"/>
      <c r="DR154" s="184"/>
      <c r="DS154" s="130">
        <f t="shared" si="214"/>
        <v>5</v>
      </c>
      <c r="DT154" s="109"/>
      <c r="DU154" s="252"/>
      <c r="DV154" s="180">
        <f t="shared" si="218"/>
        <v>0</v>
      </c>
      <c r="DW154" s="181">
        <f>Автовик_разбивка[[#This Row],[Цена, 
юань, без НДС 1]]*DV154</f>
        <v>0</v>
      </c>
      <c r="DX154" s="186">
        <f t="shared" si="219"/>
        <v>0</v>
      </c>
      <c r="DY154" s="186">
        <f>Автовик_разбивка[[#This Row],[Цена, 
юань, без НДС 1]]*DX154</f>
        <v>0</v>
      </c>
      <c r="DZ154" s="130">
        <f t="shared" si="220"/>
        <v>50</v>
      </c>
      <c r="EA154" s="187">
        <f>Автовик_разбивка[[#This Row],[Цена, 
юань, без НДС 1]]*DZ154</f>
        <v>0</v>
      </c>
      <c r="EB154" s="109">
        <f t="shared" si="221"/>
        <v>0</v>
      </c>
      <c r="EC154" s="224">
        <f>Автовик_разбивка[[#This Row],[Цена, 
юань, без НДС 1]]*EB154</f>
        <v>0</v>
      </c>
    </row>
    <row r="155" spans="1:133">
      <c r="A155" s="256">
        <v>22</v>
      </c>
      <c r="B155" s="172" t="s">
        <v>323</v>
      </c>
      <c r="C155" s="173" t="s">
        <v>298</v>
      </c>
      <c r="D155" s="173" t="s">
        <v>311</v>
      </c>
      <c r="E155" s="174">
        <v>1</v>
      </c>
      <c r="F155" s="174"/>
      <c r="G155" s="174"/>
      <c r="H155" s="175">
        <v>4801020640</v>
      </c>
      <c r="I155" s="176" t="s">
        <v>76</v>
      </c>
      <c r="J155" s="222"/>
      <c r="K155" s="227"/>
      <c r="L155" s="178">
        <v>0</v>
      </c>
      <c r="M155" s="130">
        <f t="shared" si="222"/>
        <v>0</v>
      </c>
      <c r="N155" s="179">
        <v>0</v>
      </c>
      <c r="O155" s="130"/>
      <c r="P155" s="178">
        <v>0</v>
      </c>
      <c r="Q155" s="130">
        <f t="shared" si="223"/>
        <v>0</v>
      </c>
      <c r="R155" s="179">
        <v>0</v>
      </c>
      <c r="S155" s="130"/>
      <c r="T155" s="178">
        <v>0</v>
      </c>
      <c r="U155" s="130">
        <f t="shared" si="193"/>
        <v>0</v>
      </c>
      <c r="V155" s="179">
        <v>0</v>
      </c>
      <c r="W155" s="130"/>
      <c r="X155" s="178">
        <v>5</v>
      </c>
      <c r="Y155" s="130">
        <f t="shared" si="194"/>
        <v>0</v>
      </c>
      <c r="Z155" s="179">
        <v>0</v>
      </c>
      <c r="AA155" s="130"/>
      <c r="AB155" s="178">
        <v>5</v>
      </c>
      <c r="AC155" s="130">
        <f t="shared" si="195"/>
        <v>0</v>
      </c>
      <c r="AD155" s="109"/>
      <c r="AE155" s="252"/>
      <c r="AF155" s="178">
        <v>5</v>
      </c>
      <c r="AG155" s="130">
        <f t="shared" si="196"/>
        <v>0</v>
      </c>
      <c r="AH155" s="109"/>
      <c r="AI155" s="252"/>
      <c r="AJ155" s="178">
        <v>5</v>
      </c>
      <c r="AK155" s="130">
        <f t="shared" si="224"/>
        <v>5</v>
      </c>
      <c r="AL155" s="109"/>
      <c r="AM155" s="252"/>
      <c r="AN155" s="178">
        <v>5</v>
      </c>
      <c r="AO155" s="130">
        <f t="shared" si="225"/>
        <v>5</v>
      </c>
      <c r="AP155" s="109"/>
      <c r="AQ155" s="252"/>
      <c r="AR155" s="178">
        <v>5</v>
      </c>
      <c r="AS155" s="130">
        <f t="shared" si="226"/>
        <v>0</v>
      </c>
      <c r="AT155" s="109"/>
      <c r="AU155" s="252"/>
      <c r="AV155" s="178">
        <v>5</v>
      </c>
      <c r="AW155" s="130">
        <f t="shared" si="227"/>
        <v>0</v>
      </c>
      <c r="AX155" s="109"/>
      <c r="AY155" s="252"/>
      <c r="AZ155" s="178">
        <v>5</v>
      </c>
      <c r="BA155" s="130"/>
      <c r="BB155" s="193"/>
      <c r="BC155" s="252"/>
      <c r="BD155" s="178">
        <v>5</v>
      </c>
      <c r="BE155" s="130"/>
      <c r="BF155" s="109"/>
      <c r="BG155" s="252"/>
      <c r="BH155" s="180">
        <f t="shared" si="215"/>
        <v>45</v>
      </c>
      <c r="BI155" s="181">
        <f>Автовик_разбивка[[#This Row],[Цена, 
юань, без НДС 1]]*BH155</f>
        <v>0</v>
      </c>
      <c r="BJ155" s="130">
        <f t="shared" si="216"/>
        <v>10</v>
      </c>
      <c r="BK155" s="187">
        <f>Автовик_разбивка[[#This Row],[Цена, 
юань, без НДС 1]]*BJ155</f>
        <v>0</v>
      </c>
      <c r="BL155" s="109">
        <f t="shared" si="217"/>
        <v>0</v>
      </c>
      <c r="BM155" s="224">
        <f>Автовик_разбивка[[#This Row],[Цена, 
юань, без НДС 1]]*BL155</f>
        <v>0</v>
      </c>
      <c r="BN155" s="178"/>
      <c r="BO155" s="184"/>
      <c r="BP155" s="130"/>
      <c r="BQ155" s="179"/>
      <c r="BR155" s="130"/>
      <c r="BS155" s="178"/>
      <c r="BT155" s="184"/>
      <c r="BU155" s="130"/>
      <c r="BV155" s="179"/>
      <c r="BW155" s="130"/>
      <c r="BX155" s="178"/>
      <c r="BY155" s="184"/>
      <c r="BZ155" s="130">
        <f t="shared" si="205"/>
        <v>5</v>
      </c>
      <c r="CA155" s="179"/>
      <c r="CB155" s="130"/>
      <c r="CC155" s="178"/>
      <c r="CD155" s="184"/>
      <c r="CE155" s="130">
        <f t="shared" si="206"/>
        <v>5</v>
      </c>
      <c r="CF155" s="179"/>
      <c r="CG155" s="130"/>
      <c r="CH155" s="178"/>
      <c r="CI155" s="184"/>
      <c r="CJ155" s="130">
        <f t="shared" si="207"/>
        <v>5</v>
      </c>
      <c r="CK155" s="109"/>
      <c r="CL155" s="252"/>
      <c r="CM155" s="178"/>
      <c r="CN155" s="184"/>
      <c r="CO155" s="130">
        <f t="shared" si="208"/>
        <v>5</v>
      </c>
      <c r="CP155" s="109"/>
      <c r="CQ155" s="252"/>
      <c r="CR155" s="178"/>
      <c r="CS155" s="184"/>
      <c r="CT155" s="130">
        <f t="shared" si="209"/>
        <v>5</v>
      </c>
      <c r="CU155" s="109"/>
      <c r="CV155" s="252"/>
      <c r="CW155" s="178"/>
      <c r="CX155" s="184"/>
      <c r="CY155" s="130">
        <f t="shared" si="210"/>
        <v>5</v>
      </c>
      <c r="CZ155" s="109"/>
      <c r="DA155" s="252"/>
      <c r="DB155" s="178"/>
      <c r="DC155" s="184"/>
      <c r="DD155" s="130">
        <f t="shared" si="211"/>
        <v>5</v>
      </c>
      <c r="DE155" s="109"/>
      <c r="DF155" s="252"/>
      <c r="DG155" s="178"/>
      <c r="DH155" s="184"/>
      <c r="DI155" s="130">
        <f t="shared" si="212"/>
        <v>5</v>
      </c>
      <c r="DJ155" s="109"/>
      <c r="DK155" s="252"/>
      <c r="DL155" s="178"/>
      <c r="DM155" s="184"/>
      <c r="DN155" s="130">
        <f t="shared" si="213"/>
        <v>5</v>
      </c>
      <c r="DO155" s="193"/>
      <c r="DP155" s="252"/>
      <c r="DQ155" s="178"/>
      <c r="DR155" s="184"/>
      <c r="DS155" s="130">
        <f t="shared" si="214"/>
        <v>5</v>
      </c>
      <c r="DT155" s="109"/>
      <c r="DU155" s="252"/>
      <c r="DV155" s="180">
        <f t="shared" si="218"/>
        <v>0</v>
      </c>
      <c r="DW155" s="181">
        <f>Автовик_разбивка[[#This Row],[Цена, 
юань, без НДС 1]]*DV155</f>
        <v>0</v>
      </c>
      <c r="DX155" s="186">
        <f t="shared" si="219"/>
        <v>0</v>
      </c>
      <c r="DY155" s="186">
        <f>Автовик_разбивка[[#This Row],[Цена, 
юань, без НДС 1]]*DX155</f>
        <v>0</v>
      </c>
      <c r="DZ155" s="130">
        <f t="shared" si="220"/>
        <v>50</v>
      </c>
      <c r="EA155" s="187">
        <f>Автовик_разбивка[[#This Row],[Цена, 
юань, без НДС 1]]*DZ155</f>
        <v>0</v>
      </c>
      <c r="EB155" s="109">
        <f t="shared" si="221"/>
        <v>0</v>
      </c>
      <c r="EC155" s="224">
        <f>Автовик_разбивка[[#This Row],[Цена, 
юань, без НДС 1]]*EB155</f>
        <v>0</v>
      </c>
    </row>
    <row r="156" spans="1:133">
      <c r="A156" s="256">
        <v>22</v>
      </c>
      <c r="B156" s="172" t="s">
        <v>323</v>
      </c>
      <c r="C156" s="173" t="s">
        <v>298</v>
      </c>
      <c r="D156" s="173" t="s">
        <v>311</v>
      </c>
      <c r="E156" s="174">
        <v>1</v>
      </c>
      <c r="F156" s="174"/>
      <c r="G156" s="174"/>
      <c r="H156" s="175">
        <v>9522010010</v>
      </c>
      <c r="I156" s="176" t="s">
        <v>73</v>
      </c>
      <c r="J156" s="222"/>
      <c r="K156" s="227"/>
      <c r="L156" s="178">
        <v>0</v>
      </c>
      <c r="M156" s="130">
        <f t="shared" si="222"/>
        <v>0</v>
      </c>
      <c r="N156" s="179">
        <v>0</v>
      </c>
      <c r="O156" s="130"/>
      <c r="P156" s="178">
        <v>0</v>
      </c>
      <c r="Q156" s="130">
        <f t="shared" si="223"/>
        <v>0</v>
      </c>
      <c r="R156" s="179">
        <v>0</v>
      </c>
      <c r="S156" s="130"/>
      <c r="T156" s="178">
        <v>0</v>
      </c>
      <c r="U156" s="130">
        <f t="shared" si="193"/>
        <v>0</v>
      </c>
      <c r="V156" s="179">
        <v>0</v>
      </c>
      <c r="W156" s="130"/>
      <c r="X156" s="178">
        <v>5</v>
      </c>
      <c r="Y156" s="130">
        <f t="shared" si="194"/>
        <v>0</v>
      </c>
      <c r="Z156" s="179">
        <v>0</v>
      </c>
      <c r="AA156" s="130"/>
      <c r="AB156" s="178">
        <v>5</v>
      </c>
      <c r="AC156" s="130">
        <f t="shared" si="195"/>
        <v>0</v>
      </c>
      <c r="AD156" s="179"/>
      <c r="AE156" s="130"/>
      <c r="AF156" s="178">
        <v>5</v>
      </c>
      <c r="AG156" s="130">
        <f t="shared" si="196"/>
        <v>0</v>
      </c>
      <c r="AH156" s="179"/>
      <c r="AI156" s="130"/>
      <c r="AJ156" s="178">
        <v>5</v>
      </c>
      <c r="AK156" s="130">
        <f t="shared" si="224"/>
        <v>5</v>
      </c>
      <c r="AL156" s="179"/>
      <c r="AM156" s="130"/>
      <c r="AN156" s="178">
        <v>5</v>
      </c>
      <c r="AO156" s="130">
        <f t="shared" si="225"/>
        <v>5</v>
      </c>
      <c r="AP156" s="179"/>
      <c r="AQ156" s="130"/>
      <c r="AR156" s="178">
        <v>5</v>
      </c>
      <c r="AS156" s="130">
        <f t="shared" si="226"/>
        <v>0</v>
      </c>
      <c r="AT156" s="179"/>
      <c r="AU156" s="130"/>
      <c r="AV156" s="178">
        <v>5</v>
      </c>
      <c r="AW156" s="130">
        <f t="shared" si="227"/>
        <v>0</v>
      </c>
      <c r="AX156" s="179"/>
      <c r="AY156" s="130"/>
      <c r="AZ156" s="178">
        <v>5</v>
      </c>
      <c r="BA156" s="130"/>
      <c r="BB156" s="228"/>
      <c r="BC156" s="130"/>
      <c r="BD156" s="178">
        <v>5</v>
      </c>
      <c r="BE156" s="130"/>
      <c r="BF156" s="109"/>
      <c r="BG156" s="130"/>
      <c r="BH156" s="180">
        <f t="shared" si="215"/>
        <v>45</v>
      </c>
      <c r="BI156" s="181">
        <f>Автовик_разбивка[[#This Row],[Цена, 
юань, без НДС 1]]*BH156</f>
        <v>0</v>
      </c>
      <c r="BJ156" s="130">
        <f t="shared" si="216"/>
        <v>10</v>
      </c>
      <c r="BK156" s="187">
        <f>Автовик_разбивка[[#This Row],[Цена, 
юань, без НДС 1]]*BJ156</f>
        <v>0</v>
      </c>
      <c r="BL156" s="109">
        <f t="shared" si="217"/>
        <v>0</v>
      </c>
      <c r="BM156" s="224">
        <f>Автовик_разбивка[[#This Row],[Цена, 
юань, без НДС 1]]*BL156</f>
        <v>0</v>
      </c>
      <c r="BN156" s="178"/>
      <c r="BO156" s="184"/>
      <c r="BP156" s="130"/>
      <c r="BQ156" s="179"/>
      <c r="BR156" s="130"/>
      <c r="BS156" s="178"/>
      <c r="BT156" s="184"/>
      <c r="BU156" s="130"/>
      <c r="BV156" s="179"/>
      <c r="BW156" s="130"/>
      <c r="BX156" s="178"/>
      <c r="BY156" s="184"/>
      <c r="BZ156" s="130">
        <f t="shared" si="205"/>
        <v>5</v>
      </c>
      <c r="CA156" s="179"/>
      <c r="CB156" s="130"/>
      <c r="CC156" s="178"/>
      <c r="CD156" s="184"/>
      <c r="CE156" s="130">
        <f t="shared" si="206"/>
        <v>5</v>
      </c>
      <c r="CF156" s="179"/>
      <c r="CG156" s="130"/>
      <c r="CH156" s="178"/>
      <c r="CI156" s="184"/>
      <c r="CJ156" s="130">
        <f t="shared" si="207"/>
        <v>5</v>
      </c>
      <c r="CK156" s="179"/>
      <c r="CL156" s="130"/>
      <c r="CM156" s="178"/>
      <c r="CN156" s="184"/>
      <c r="CO156" s="130">
        <f t="shared" si="208"/>
        <v>5</v>
      </c>
      <c r="CP156" s="179"/>
      <c r="CQ156" s="130"/>
      <c r="CR156" s="178"/>
      <c r="CS156" s="184"/>
      <c r="CT156" s="130">
        <f t="shared" si="209"/>
        <v>5</v>
      </c>
      <c r="CU156" s="179"/>
      <c r="CV156" s="130"/>
      <c r="CW156" s="178"/>
      <c r="CX156" s="184"/>
      <c r="CY156" s="130">
        <f t="shared" si="210"/>
        <v>5</v>
      </c>
      <c r="CZ156" s="179"/>
      <c r="DA156" s="130"/>
      <c r="DB156" s="178"/>
      <c r="DC156" s="184"/>
      <c r="DD156" s="130">
        <f t="shared" si="211"/>
        <v>5</v>
      </c>
      <c r="DE156" s="179"/>
      <c r="DF156" s="130"/>
      <c r="DG156" s="178"/>
      <c r="DH156" s="184"/>
      <c r="DI156" s="130">
        <f t="shared" si="212"/>
        <v>5</v>
      </c>
      <c r="DJ156" s="179"/>
      <c r="DK156" s="130"/>
      <c r="DL156" s="178"/>
      <c r="DM156" s="184"/>
      <c r="DN156" s="130">
        <f t="shared" si="213"/>
        <v>5</v>
      </c>
      <c r="DO156" s="228"/>
      <c r="DP156" s="130"/>
      <c r="DQ156" s="178"/>
      <c r="DR156" s="184"/>
      <c r="DS156" s="130">
        <f t="shared" si="214"/>
        <v>5</v>
      </c>
      <c r="DT156" s="109"/>
      <c r="DU156" s="130"/>
      <c r="DV156" s="180">
        <f t="shared" si="218"/>
        <v>0</v>
      </c>
      <c r="DW156" s="181">
        <f>Автовик_разбивка[[#This Row],[Цена, 
юань, без НДС 1]]*DV156</f>
        <v>0</v>
      </c>
      <c r="DX156" s="186">
        <f t="shared" si="219"/>
        <v>0</v>
      </c>
      <c r="DY156" s="186">
        <f>Автовик_разбивка[[#This Row],[Цена, 
юань, без НДС 1]]*DX156</f>
        <v>0</v>
      </c>
      <c r="DZ156" s="130">
        <f t="shared" si="220"/>
        <v>50</v>
      </c>
      <c r="EA156" s="187">
        <f>Автовик_разбивка[[#This Row],[Цена, 
юань, без НДС 1]]*DZ156</f>
        <v>0</v>
      </c>
      <c r="EB156" s="109">
        <f t="shared" si="221"/>
        <v>0</v>
      </c>
      <c r="EC156" s="224">
        <f>Автовик_разбивка[[#This Row],[Цена, 
юань, без НДС 1]]*EB156</f>
        <v>0</v>
      </c>
    </row>
    <row r="157" spans="1:133">
      <c r="A157" s="256">
        <v>22</v>
      </c>
      <c r="B157" s="172" t="s">
        <v>323</v>
      </c>
      <c r="C157" s="173" t="s">
        <v>298</v>
      </c>
      <c r="D157" s="173" t="s">
        <v>311</v>
      </c>
      <c r="E157" s="174">
        <v>1</v>
      </c>
      <c r="F157" s="174"/>
      <c r="G157" s="174"/>
      <c r="H157" s="175">
        <v>9522010020</v>
      </c>
      <c r="I157" s="176" t="s">
        <v>74</v>
      </c>
      <c r="J157" s="222"/>
      <c r="K157" s="227"/>
      <c r="L157" s="178">
        <v>0</v>
      </c>
      <c r="M157" s="130">
        <f t="shared" si="222"/>
        <v>0</v>
      </c>
      <c r="N157" s="179">
        <v>0</v>
      </c>
      <c r="O157" s="130"/>
      <c r="P157" s="178">
        <v>0</v>
      </c>
      <c r="Q157" s="130">
        <f t="shared" si="223"/>
        <v>0</v>
      </c>
      <c r="R157" s="179">
        <v>0</v>
      </c>
      <c r="S157" s="130"/>
      <c r="T157" s="178">
        <v>0</v>
      </c>
      <c r="U157" s="130">
        <f t="shared" si="193"/>
        <v>0</v>
      </c>
      <c r="V157" s="179">
        <v>0</v>
      </c>
      <c r="W157" s="130"/>
      <c r="X157" s="178">
        <v>5</v>
      </c>
      <c r="Y157" s="130">
        <f t="shared" si="194"/>
        <v>0</v>
      </c>
      <c r="Z157" s="179">
        <v>0</v>
      </c>
      <c r="AA157" s="130"/>
      <c r="AB157" s="178">
        <v>5</v>
      </c>
      <c r="AC157" s="130">
        <f t="shared" si="195"/>
        <v>0</v>
      </c>
      <c r="AD157" s="179"/>
      <c r="AE157" s="130"/>
      <c r="AF157" s="178">
        <v>5</v>
      </c>
      <c r="AG157" s="130">
        <f t="shared" si="196"/>
        <v>0</v>
      </c>
      <c r="AH157" s="179"/>
      <c r="AI157" s="130"/>
      <c r="AJ157" s="178">
        <v>5</v>
      </c>
      <c r="AK157" s="130">
        <f t="shared" si="224"/>
        <v>5</v>
      </c>
      <c r="AL157" s="179"/>
      <c r="AM157" s="130"/>
      <c r="AN157" s="178">
        <v>5</v>
      </c>
      <c r="AO157" s="130">
        <f t="shared" si="225"/>
        <v>5</v>
      </c>
      <c r="AP157" s="179"/>
      <c r="AQ157" s="130"/>
      <c r="AR157" s="178">
        <v>5</v>
      </c>
      <c r="AS157" s="130">
        <f t="shared" si="226"/>
        <v>0</v>
      </c>
      <c r="AT157" s="179"/>
      <c r="AU157" s="130"/>
      <c r="AV157" s="178">
        <v>5</v>
      </c>
      <c r="AW157" s="130">
        <f t="shared" si="227"/>
        <v>0</v>
      </c>
      <c r="AX157" s="179"/>
      <c r="AY157" s="130"/>
      <c r="AZ157" s="178">
        <v>5</v>
      </c>
      <c r="BA157" s="130"/>
      <c r="BB157" s="228"/>
      <c r="BC157" s="130"/>
      <c r="BD157" s="178">
        <v>5</v>
      </c>
      <c r="BE157" s="130"/>
      <c r="BF157" s="109"/>
      <c r="BG157" s="130"/>
      <c r="BH157" s="180">
        <f t="shared" si="215"/>
        <v>45</v>
      </c>
      <c r="BI157" s="181">
        <f>Автовик_разбивка[[#This Row],[Цена, 
юань, без НДС 1]]*BH157</f>
        <v>0</v>
      </c>
      <c r="BJ157" s="130">
        <f t="shared" si="216"/>
        <v>10</v>
      </c>
      <c r="BK157" s="187">
        <f>Автовик_разбивка[[#This Row],[Цена, 
юань, без НДС 1]]*BJ157</f>
        <v>0</v>
      </c>
      <c r="BL157" s="109">
        <f t="shared" si="217"/>
        <v>0</v>
      </c>
      <c r="BM157" s="224">
        <f>Автовик_разбивка[[#This Row],[Цена, 
юань, без НДС 1]]*BL157</f>
        <v>0</v>
      </c>
      <c r="BN157" s="178"/>
      <c r="BO157" s="184"/>
      <c r="BP157" s="130"/>
      <c r="BQ157" s="179"/>
      <c r="BR157" s="130"/>
      <c r="BS157" s="178"/>
      <c r="BT157" s="184"/>
      <c r="BU157" s="130"/>
      <c r="BV157" s="179"/>
      <c r="BW157" s="130"/>
      <c r="BX157" s="178"/>
      <c r="BY157" s="184"/>
      <c r="BZ157" s="130">
        <f t="shared" si="205"/>
        <v>5</v>
      </c>
      <c r="CA157" s="179"/>
      <c r="CB157" s="130"/>
      <c r="CC157" s="178"/>
      <c r="CD157" s="184"/>
      <c r="CE157" s="130">
        <f t="shared" si="206"/>
        <v>5</v>
      </c>
      <c r="CF157" s="179"/>
      <c r="CG157" s="130"/>
      <c r="CH157" s="178"/>
      <c r="CI157" s="184"/>
      <c r="CJ157" s="130">
        <f t="shared" si="207"/>
        <v>5</v>
      </c>
      <c r="CK157" s="179"/>
      <c r="CL157" s="130"/>
      <c r="CM157" s="178"/>
      <c r="CN157" s="184"/>
      <c r="CO157" s="130">
        <f t="shared" si="208"/>
        <v>5</v>
      </c>
      <c r="CP157" s="179"/>
      <c r="CQ157" s="130"/>
      <c r="CR157" s="178"/>
      <c r="CS157" s="184"/>
      <c r="CT157" s="130">
        <f t="shared" si="209"/>
        <v>5</v>
      </c>
      <c r="CU157" s="179"/>
      <c r="CV157" s="130"/>
      <c r="CW157" s="178"/>
      <c r="CX157" s="184"/>
      <c r="CY157" s="130">
        <f t="shared" si="210"/>
        <v>5</v>
      </c>
      <c r="CZ157" s="179"/>
      <c r="DA157" s="130"/>
      <c r="DB157" s="178"/>
      <c r="DC157" s="184"/>
      <c r="DD157" s="130">
        <f t="shared" si="211"/>
        <v>5</v>
      </c>
      <c r="DE157" s="179"/>
      <c r="DF157" s="130"/>
      <c r="DG157" s="178"/>
      <c r="DH157" s="184"/>
      <c r="DI157" s="130">
        <f t="shared" si="212"/>
        <v>5</v>
      </c>
      <c r="DJ157" s="179"/>
      <c r="DK157" s="130"/>
      <c r="DL157" s="178"/>
      <c r="DM157" s="184"/>
      <c r="DN157" s="130">
        <f t="shared" si="213"/>
        <v>5</v>
      </c>
      <c r="DO157" s="228"/>
      <c r="DP157" s="130"/>
      <c r="DQ157" s="178"/>
      <c r="DR157" s="184"/>
      <c r="DS157" s="130">
        <f t="shared" si="214"/>
        <v>5</v>
      </c>
      <c r="DT157" s="109"/>
      <c r="DU157" s="130"/>
      <c r="DV157" s="180">
        <f t="shared" si="218"/>
        <v>0</v>
      </c>
      <c r="DW157" s="181">
        <f>Автовик_разбивка[[#This Row],[Цена, 
юань, без НДС 1]]*DV157</f>
        <v>0</v>
      </c>
      <c r="DX157" s="186">
        <f t="shared" si="219"/>
        <v>0</v>
      </c>
      <c r="DY157" s="186">
        <f>Автовик_разбивка[[#This Row],[Цена, 
юань, без НДС 1]]*DX157</f>
        <v>0</v>
      </c>
      <c r="DZ157" s="130">
        <f t="shared" si="220"/>
        <v>50</v>
      </c>
      <c r="EA157" s="187">
        <f>Автовик_разбивка[[#This Row],[Цена, 
юань, без НДС 1]]*DZ157</f>
        <v>0</v>
      </c>
      <c r="EB157" s="109">
        <f t="shared" si="221"/>
        <v>0</v>
      </c>
      <c r="EC157" s="224">
        <f>Автовик_разбивка[[#This Row],[Цена, 
юань, без НДС 1]]*EB157</f>
        <v>0</v>
      </c>
    </row>
    <row r="158" spans="1:133">
      <c r="A158" s="256">
        <v>22</v>
      </c>
      <c r="B158" s="172" t="s">
        <v>323</v>
      </c>
      <c r="C158" s="173" t="s">
        <v>298</v>
      </c>
      <c r="D158" s="173" t="s">
        <v>311</v>
      </c>
      <c r="E158" s="174">
        <v>1</v>
      </c>
      <c r="F158" s="174"/>
      <c r="G158" s="174"/>
      <c r="H158" s="175">
        <v>9710029000</v>
      </c>
      <c r="I158" s="176" t="s">
        <v>75</v>
      </c>
      <c r="J158" s="222"/>
      <c r="K158" s="227"/>
      <c r="L158" s="178">
        <v>0</v>
      </c>
      <c r="M158" s="130">
        <f t="shared" si="222"/>
        <v>0</v>
      </c>
      <c r="N158" s="179">
        <v>0</v>
      </c>
      <c r="O158" s="130"/>
      <c r="P158" s="178">
        <v>0</v>
      </c>
      <c r="Q158" s="130">
        <f t="shared" si="223"/>
        <v>0</v>
      </c>
      <c r="R158" s="179">
        <v>0</v>
      </c>
      <c r="S158" s="130"/>
      <c r="T158" s="178">
        <v>0</v>
      </c>
      <c r="U158" s="130">
        <f t="shared" si="193"/>
        <v>0</v>
      </c>
      <c r="V158" s="179">
        <v>0</v>
      </c>
      <c r="W158" s="130"/>
      <c r="X158" s="178">
        <v>5</v>
      </c>
      <c r="Y158" s="130">
        <f t="shared" si="194"/>
        <v>0</v>
      </c>
      <c r="Z158" s="179">
        <v>0</v>
      </c>
      <c r="AA158" s="130"/>
      <c r="AB158" s="178">
        <v>5</v>
      </c>
      <c r="AC158" s="130">
        <f t="shared" si="195"/>
        <v>0</v>
      </c>
      <c r="AD158" s="109"/>
      <c r="AE158" s="252"/>
      <c r="AF158" s="178">
        <v>5</v>
      </c>
      <c r="AG158" s="130">
        <f t="shared" si="196"/>
        <v>0</v>
      </c>
      <c r="AH158" s="109"/>
      <c r="AI158" s="252"/>
      <c r="AJ158" s="178">
        <v>5</v>
      </c>
      <c r="AK158" s="130">
        <f t="shared" si="224"/>
        <v>5</v>
      </c>
      <c r="AL158" s="109"/>
      <c r="AM158" s="252"/>
      <c r="AN158" s="178">
        <v>5</v>
      </c>
      <c r="AO158" s="130">
        <f t="shared" si="225"/>
        <v>5</v>
      </c>
      <c r="AP158" s="109"/>
      <c r="AQ158" s="252"/>
      <c r="AR158" s="178">
        <v>5</v>
      </c>
      <c r="AS158" s="130">
        <f t="shared" si="226"/>
        <v>0</v>
      </c>
      <c r="AT158" s="109"/>
      <c r="AU158" s="252"/>
      <c r="AV158" s="178">
        <v>5</v>
      </c>
      <c r="AW158" s="130">
        <f t="shared" si="227"/>
        <v>0</v>
      </c>
      <c r="AX158" s="109"/>
      <c r="AY158" s="252"/>
      <c r="AZ158" s="178">
        <v>5</v>
      </c>
      <c r="BA158" s="130"/>
      <c r="BB158" s="194"/>
      <c r="BC158" s="252"/>
      <c r="BD158" s="178">
        <v>5</v>
      </c>
      <c r="BE158" s="130"/>
      <c r="BF158" s="109"/>
      <c r="BG158" s="252"/>
      <c r="BH158" s="180">
        <f t="shared" si="215"/>
        <v>45</v>
      </c>
      <c r="BI158" s="181">
        <f>Автовик_разбивка[[#This Row],[Цена, 
юань, без НДС 1]]*BH158</f>
        <v>0</v>
      </c>
      <c r="BJ158" s="130">
        <f t="shared" si="216"/>
        <v>10</v>
      </c>
      <c r="BK158" s="187">
        <f>Автовик_разбивка[[#This Row],[Цена, 
юань, без НДС 1]]*BJ158</f>
        <v>0</v>
      </c>
      <c r="BL158" s="109">
        <f t="shared" si="217"/>
        <v>0</v>
      </c>
      <c r="BM158" s="224">
        <f>Автовик_разбивка[[#This Row],[Цена, 
юань, без НДС 1]]*BL158</f>
        <v>0</v>
      </c>
      <c r="BN158" s="178"/>
      <c r="BO158" s="184"/>
      <c r="BP158" s="130"/>
      <c r="BQ158" s="179"/>
      <c r="BR158" s="130"/>
      <c r="BS158" s="178"/>
      <c r="BT158" s="184"/>
      <c r="BU158" s="130"/>
      <c r="BV158" s="179"/>
      <c r="BW158" s="130"/>
      <c r="BX158" s="178"/>
      <c r="BY158" s="184"/>
      <c r="BZ158" s="130">
        <f t="shared" si="205"/>
        <v>5</v>
      </c>
      <c r="CA158" s="179"/>
      <c r="CB158" s="130"/>
      <c r="CC158" s="178"/>
      <c r="CD158" s="184"/>
      <c r="CE158" s="130">
        <f t="shared" si="206"/>
        <v>5</v>
      </c>
      <c r="CF158" s="179"/>
      <c r="CG158" s="130"/>
      <c r="CH158" s="178"/>
      <c r="CI158" s="184"/>
      <c r="CJ158" s="130">
        <f t="shared" si="207"/>
        <v>5</v>
      </c>
      <c r="CK158" s="109"/>
      <c r="CL158" s="252"/>
      <c r="CM158" s="178"/>
      <c r="CN158" s="184"/>
      <c r="CO158" s="130">
        <f t="shared" si="208"/>
        <v>5</v>
      </c>
      <c r="CP158" s="109"/>
      <c r="CQ158" s="252"/>
      <c r="CR158" s="178"/>
      <c r="CS158" s="184"/>
      <c r="CT158" s="130">
        <f t="shared" si="209"/>
        <v>5</v>
      </c>
      <c r="CU158" s="109"/>
      <c r="CV158" s="252"/>
      <c r="CW158" s="178"/>
      <c r="CX158" s="184"/>
      <c r="CY158" s="130">
        <f t="shared" si="210"/>
        <v>5</v>
      </c>
      <c r="CZ158" s="109"/>
      <c r="DA158" s="252"/>
      <c r="DB158" s="178"/>
      <c r="DC158" s="184"/>
      <c r="DD158" s="130">
        <f t="shared" si="211"/>
        <v>5</v>
      </c>
      <c r="DE158" s="109"/>
      <c r="DF158" s="252"/>
      <c r="DG158" s="178"/>
      <c r="DH158" s="184"/>
      <c r="DI158" s="130">
        <f t="shared" si="212"/>
        <v>5</v>
      </c>
      <c r="DJ158" s="109"/>
      <c r="DK158" s="252"/>
      <c r="DL158" s="178"/>
      <c r="DM158" s="184"/>
      <c r="DN158" s="130">
        <f t="shared" si="213"/>
        <v>5</v>
      </c>
      <c r="DO158" s="194"/>
      <c r="DP158" s="252"/>
      <c r="DQ158" s="178"/>
      <c r="DR158" s="184"/>
      <c r="DS158" s="130">
        <f t="shared" si="214"/>
        <v>5</v>
      </c>
      <c r="DT158" s="109"/>
      <c r="DU158" s="252"/>
      <c r="DV158" s="180">
        <f t="shared" si="218"/>
        <v>0</v>
      </c>
      <c r="DW158" s="181">
        <f>Автовик_разбивка[[#This Row],[Цена, 
юань, без НДС 1]]*DV158</f>
        <v>0</v>
      </c>
      <c r="DX158" s="186">
        <f t="shared" si="219"/>
        <v>0</v>
      </c>
      <c r="DY158" s="186">
        <f>Автовик_разбивка[[#This Row],[Цена, 
юань, без НДС 1]]*DX158</f>
        <v>0</v>
      </c>
      <c r="DZ158" s="130">
        <f t="shared" si="220"/>
        <v>50</v>
      </c>
      <c r="EA158" s="187">
        <f>Автовик_разбивка[[#This Row],[Цена, 
юань, без НДС 1]]*DZ158</f>
        <v>0</v>
      </c>
      <c r="EB158" s="109">
        <f t="shared" si="221"/>
        <v>0</v>
      </c>
      <c r="EC158" s="224">
        <f>Автовик_разбивка[[#This Row],[Цена, 
юань, без НДС 1]]*EB158</f>
        <v>0</v>
      </c>
    </row>
    <row r="159" spans="1:133">
      <c r="A159" s="256">
        <v>22</v>
      </c>
      <c r="B159" s="172" t="s">
        <v>323</v>
      </c>
      <c r="C159" s="132"/>
      <c r="D159" s="132"/>
      <c r="E159" s="229"/>
      <c r="F159" s="229"/>
      <c r="G159" s="229"/>
      <c r="H159" s="230"/>
      <c r="I159" s="231" t="s">
        <v>43</v>
      </c>
      <c r="J159" s="232"/>
      <c r="K159" s="232"/>
      <c r="L159" s="233"/>
      <c r="M159" s="234"/>
      <c r="N159" s="235"/>
      <c r="O159" s="234"/>
      <c r="P159" s="233"/>
      <c r="Q159" s="234"/>
      <c r="R159" s="235"/>
      <c r="S159" s="234"/>
      <c r="T159" s="233"/>
      <c r="U159" s="234"/>
      <c r="V159" s="235"/>
      <c r="W159" s="234"/>
      <c r="X159" s="233"/>
      <c r="Y159" s="234"/>
      <c r="Z159" s="235"/>
      <c r="AA159" s="234"/>
      <c r="AB159" s="233"/>
      <c r="AC159" s="234"/>
      <c r="AD159" s="235"/>
      <c r="AE159" s="234"/>
      <c r="AF159" s="233"/>
      <c r="AG159" s="234"/>
      <c r="AH159" s="235"/>
      <c r="AI159" s="234"/>
      <c r="AJ159" s="233"/>
      <c r="AK159" s="234"/>
      <c r="AL159" s="235"/>
      <c r="AM159" s="234"/>
      <c r="AN159" s="233"/>
      <c r="AO159" s="234"/>
      <c r="AP159" s="235"/>
      <c r="AQ159" s="234"/>
      <c r="AR159" s="233"/>
      <c r="AS159" s="234"/>
      <c r="AT159" s="235"/>
      <c r="AU159" s="234"/>
      <c r="AV159" s="233"/>
      <c r="AW159" s="234"/>
      <c r="AX159" s="235"/>
      <c r="AY159" s="234"/>
      <c r="AZ159" s="233"/>
      <c r="BA159" s="234"/>
      <c r="BB159" s="235"/>
      <c r="BC159" s="234"/>
      <c r="BD159" s="233"/>
      <c r="BE159" s="234"/>
      <c r="BF159" s="235"/>
      <c r="BG159" s="234"/>
      <c r="BH159" s="233">
        <f t="shared" si="215"/>
        <v>0</v>
      </c>
      <c r="BI159" s="238">
        <f>Автовик_разбивка[[#This Row],[Цена, 
юань, без НДС 1]]*BH159</f>
        <v>0</v>
      </c>
      <c r="BJ159" s="234">
        <f t="shared" si="216"/>
        <v>0</v>
      </c>
      <c r="BK159" s="253">
        <f>Автовик_разбивка[[#This Row],[Цена, 
юань, без НДС 1]]*BJ159</f>
        <v>0</v>
      </c>
      <c r="BL159" s="235">
        <f t="shared" si="217"/>
        <v>0</v>
      </c>
      <c r="BM159" s="254">
        <f>Автовик_разбивка[[#This Row],[Цена, 
юань, без НДС 1]]*BL159</f>
        <v>0</v>
      </c>
      <c r="BN159" s="233"/>
      <c r="BO159" s="241"/>
      <c r="BP159" s="234"/>
      <c r="BQ159" s="235"/>
      <c r="BR159" s="234"/>
      <c r="BS159" s="233"/>
      <c r="BT159" s="241"/>
      <c r="BU159" s="234"/>
      <c r="BV159" s="235"/>
      <c r="BW159" s="234"/>
      <c r="BX159" s="233"/>
      <c r="BY159" s="241"/>
      <c r="BZ159" s="234"/>
      <c r="CA159" s="235"/>
      <c r="CB159" s="234"/>
      <c r="CC159" s="233"/>
      <c r="CD159" s="241"/>
      <c r="CE159" s="234"/>
      <c r="CF159" s="235"/>
      <c r="CG159" s="234"/>
      <c r="CH159" s="233"/>
      <c r="CI159" s="241"/>
      <c r="CJ159" s="234"/>
      <c r="CK159" s="235"/>
      <c r="CL159" s="234"/>
      <c r="CM159" s="233"/>
      <c r="CN159" s="241"/>
      <c r="CO159" s="234"/>
      <c r="CP159" s="235"/>
      <c r="CQ159" s="234"/>
      <c r="CR159" s="233"/>
      <c r="CS159" s="241"/>
      <c r="CT159" s="234"/>
      <c r="CU159" s="235"/>
      <c r="CV159" s="234"/>
      <c r="CW159" s="233"/>
      <c r="CX159" s="241"/>
      <c r="CY159" s="234"/>
      <c r="CZ159" s="235"/>
      <c r="DA159" s="234"/>
      <c r="DB159" s="233"/>
      <c r="DC159" s="241"/>
      <c r="DD159" s="234"/>
      <c r="DE159" s="235"/>
      <c r="DF159" s="234"/>
      <c r="DG159" s="233"/>
      <c r="DH159" s="241"/>
      <c r="DI159" s="234"/>
      <c r="DJ159" s="235"/>
      <c r="DK159" s="234"/>
      <c r="DL159" s="233"/>
      <c r="DM159" s="241"/>
      <c r="DN159" s="234"/>
      <c r="DO159" s="235"/>
      <c r="DP159" s="234"/>
      <c r="DQ159" s="233"/>
      <c r="DR159" s="241"/>
      <c r="DS159" s="234"/>
      <c r="DT159" s="235"/>
      <c r="DU159" s="234"/>
      <c r="DV159" s="233">
        <f t="shared" si="218"/>
        <v>0</v>
      </c>
      <c r="DW159" s="238">
        <f>Автовик_разбивка[[#This Row],[Цена, 
юань, без НДС 1]]*DV159</f>
        <v>0</v>
      </c>
      <c r="DX159" s="242">
        <f t="shared" si="219"/>
        <v>0</v>
      </c>
      <c r="DY159" s="242">
        <f>Автовик_разбивка[[#This Row],[Цена, 
юань, без НДС 1]]*DX159</f>
        <v>0</v>
      </c>
      <c r="DZ159" s="234">
        <f t="shared" si="220"/>
        <v>0</v>
      </c>
      <c r="EA159" s="253">
        <f>Автовик_разбивка[[#This Row],[Цена, 
юань, без НДС 1]]*DZ159</f>
        <v>0</v>
      </c>
      <c r="EB159" s="235">
        <f t="shared" si="221"/>
        <v>0</v>
      </c>
      <c r="EC159" s="254">
        <f>Автовик_разбивка[[#This Row],[Цена, 
юань, без НДС 1]]*EB159</f>
        <v>0</v>
      </c>
    </row>
    <row r="160" spans="1:133">
      <c r="A160" s="256">
        <v>22</v>
      </c>
      <c r="B160" s="243" t="s">
        <v>323</v>
      </c>
      <c r="C160" s="244"/>
      <c r="D160" s="244"/>
      <c r="E160" s="245"/>
      <c r="F160" s="245"/>
      <c r="G160" s="245"/>
      <c r="H160" s="246"/>
      <c r="I160" s="247"/>
      <c r="J160" s="248"/>
      <c r="K160" s="248"/>
      <c r="L160" s="249"/>
      <c r="M160" s="249"/>
      <c r="N160" s="249"/>
      <c r="O160" s="249"/>
      <c r="P160" s="249"/>
      <c r="Q160" s="249"/>
      <c r="R160" s="249"/>
      <c r="S160" s="249"/>
      <c r="T160" s="249"/>
      <c r="U160" s="249"/>
      <c r="V160" s="249"/>
      <c r="W160" s="249"/>
      <c r="X160" s="249"/>
      <c r="Y160" s="249"/>
      <c r="Z160" s="249"/>
      <c r="AA160" s="249"/>
      <c r="AB160" s="249"/>
      <c r="AC160" s="249"/>
      <c r="AD160" s="249"/>
      <c r="AE160" s="249"/>
      <c r="AF160" s="249"/>
      <c r="AG160" s="249"/>
      <c r="AH160" s="249"/>
      <c r="AI160" s="249"/>
      <c r="AJ160" s="249"/>
      <c r="AK160" s="249"/>
      <c r="AL160" s="249"/>
      <c r="AM160" s="249"/>
      <c r="AN160" s="249"/>
      <c r="AO160" s="249"/>
      <c r="AP160" s="249"/>
      <c r="AQ160" s="249"/>
      <c r="AR160" s="249"/>
      <c r="AS160" s="249"/>
      <c r="AT160" s="249"/>
      <c r="AU160" s="249"/>
      <c r="AV160" s="249"/>
      <c r="AW160" s="249"/>
      <c r="AX160" s="250"/>
      <c r="AY160" s="249"/>
      <c r="AZ160" s="250"/>
      <c r="BA160" s="250"/>
      <c r="BB160" s="250"/>
      <c r="BC160" s="249"/>
      <c r="BD160" s="250"/>
      <c r="BE160" s="250"/>
      <c r="BF160" s="250"/>
      <c r="BG160" s="249"/>
      <c r="BH160" s="250">
        <f t="shared" si="215"/>
        <v>0</v>
      </c>
      <c r="BI160" s="251">
        <f>Автовик_разбивка[[#This Row],[Цена, 
юань, без НДС 1]]*BH160</f>
        <v>0</v>
      </c>
      <c r="BJ160" s="250">
        <f t="shared" si="216"/>
        <v>0</v>
      </c>
      <c r="BK160" s="251">
        <f>Автовик_разбивка[[#This Row],[Цена, 
юань, без НДС 1]]*BJ160</f>
        <v>0</v>
      </c>
      <c r="BL160" s="250">
        <f t="shared" si="217"/>
        <v>0</v>
      </c>
      <c r="BM160" s="251">
        <f>Автовик_разбивка[[#This Row],[Цена, 
юань, без НДС 1]]*BL160</f>
        <v>0</v>
      </c>
      <c r="BN160" s="249"/>
      <c r="BO160" s="249"/>
      <c r="BP160" s="249"/>
      <c r="BQ160" s="249"/>
      <c r="BR160" s="249"/>
      <c r="BS160" s="249"/>
      <c r="BT160" s="249"/>
      <c r="BU160" s="249"/>
      <c r="BV160" s="249"/>
      <c r="BW160" s="249"/>
      <c r="BX160" s="249"/>
      <c r="BY160" s="249"/>
      <c r="BZ160" s="249"/>
      <c r="CA160" s="249"/>
      <c r="CB160" s="249"/>
      <c r="CC160" s="249"/>
      <c r="CD160" s="249"/>
      <c r="CE160" s="249"/>
      <c r="CF160" s="249"/>
      <c r="CG160" s="249"/>
      <c r="CH160" s="249"/>
      <c r="CI160" s="249"/>
      <c r="CJ160" s="249"/>
      <c r="CK160" s="249"/>
      <c r="CL160" s="249"/>
      <c r="CM160" s="249"/>
      <c r="CN160" s="249"/>
      <c r="CO160" s="249"/>
      <c r="CP160" s="249"/>
      <c r="CQ160" s="249"/>
      <c r="CR160" s="249"/>
      <c r="CS160" s="249"/>
      <c r="CT160" s="249"/>
      <c r="CU160" s="249"/>
      <c r="CV160" s="249"/>
      <c r="CW160" s="249"/>
      <c r="CX160" s="249"/>
      <c r="CY160" s="249"/>
      <c r="CZ160" s="249"/>
      <c r="DA160" s="249"/>
      <c r="DB160" s="249"/>
      <c r="DC160" s="249"/>
      <c r="DD160" s="249"/>
      <c r="DE160" s="249"/>
      <c r="DF160" s="249"/>
      <c r="DG160" s="249"/>
      <c r="DH160" s="249"/>
      <c r="DI160" s="249"/>
      <c r="DJ160" s="250"/>
      <c r="DK160" s="249"/>
      <c r="DL160" s="250"/>
      <c r="DM160" s="250"/>
      <c r="DN160" s="250"/>
      <c r="DO160" s="250"/>
      <c r="DP160" s="249"/>
      <c r="DQ160" s="250"/>
      <c r="DR160" s="250"/>
      <c r="DS160" s="250"/>
      <c r="DT160" s="250"/>
      <c r="DU160" s="249"/>
      <c r="DV160" s="250">
        <f t="shared" si="218"/>
        <v>0</v>
      </c>
      <c r="DW160" s="251">
        <f>Автовик_разбивка[[#This Row],[Цена, 
юань, без НДС 1]]*DV160</f>
        <v>0</v>
      </c>
      <c r="DX160" s="251">
        <f t="shared" si="219"/>
        <v>0</v>
      </c>
      <c r="DY160" s="251">
        <f>Автовик_разбивка[[#This Row],[Цена, 
юань, без НДС 1]]*DX160</f>
        <v>0</v>
      </c>
      <c r="DZ160" s="250">
        <f t="shared" si="220"/>
        <v>0</v>
      </c>
      <c r="EA160" s="251">
        <f>Автовик_разбивка[[#This Row],[Цена, 
юань, без НДС 1]]*DZ160</f>
        <v>0</v>
      </c>
      <c r="EB160" s="250">
        <f t="shared" si="221"/>
        <v>0</v>
      </c>
      <c r="EC160" s="251">
        <f>Автовик_разбивка[[#This Row],[Цена, 
юань, без НДС 1]]*EB160</f>
        <v>0</v>
      </c>
    </row>
    <row r="161" spans="1:133">
      <c r="A161" s="260">
        <v>33</v>
      </c>
      <c r="B161" s="172" t="s">
        <v>324</v>
      </c>
      <c r="C161" s="173"/>
      <c r="D161" s="173"/>
      <c r="E161" s="174"/>
      <c r="F161" s="174"/>
      <c r="G161" s="174"/>
      <c r="H161" s="175">
        <v>4231079000</v>
      </c>
      <c r="I161" s="176" t="s">
        <v>53</v>
      </c>
      <c r="J161" s="223"/>
      <c r="K161" s="223"/>
      <c r="L161" s="178"/>
      <c r="M161" s="130"/>
      <c r="N161" s="179"/>
      <c r="O161" s="130"/>
      <c r="P161" s="178"/>
      <c r="Q161" s="130"/>
      <c r="R161" s="179"/>
      <c r="S161" s="130"/>
      <c r="T161" s="178"/>
      <c r="U161" s="130">
        <v>50</v>
      </c>
      <c r="V161" s="179">
        <v>0</v>
      </c>
      <c r="W161" s="130"/>
      <c r="X161" s="178"/>
      <c r="Y161" s="130"/>
      <c r="Z161" s="179"/>
      <c r="AA161" s="130"/>
      <c r="AB161" s="178"/>
      <c r="AC161" s="130"/>
      <c r="AD161" s="179"/>
      <c r="AE161" s="130"/>
      <c r="AF161" s="178"/>
      <c r="AG161" s="130"/>
      <c r="AH161" s="179"/>
      <c r="AI161" s="130"/>
      <c r="AJ161" s="178"/>
      <c r="AK161" s="130"/>
      <c r="AL161" s="179"/>
      <c r="AM161" s="130"/>
      <c r="AN161" s="178"/>
      <c r="AO161" s="130"/>
      <c r="AP161" s="179"/>
      <c r="AQ161" s="130"/>
      <c r="AR161" s="178"/>
      <c r="AS161" s="130"/>
      <c r="AT161" s="179"/>
      <c r="AU161" s="130"/>
      <c r="AV161" s="178"/>
      <c r="AW161" s="130"/>
      <c r="AX161" s="179"/>
      <c r="AY161" s="130"/>
      <c r="AZ161" s="178"/>
      <c r="BA161" s="130"/>
      <c r="BB161" s="179"/>
      <c r="BC161" s="130"/>
      <c r="BD161" s="178"/>
      <c r="BE161" s="130"/>
      <c r="BF161" s="179"/>
      <c r="BG161" s="130"/>
      <c r="BH161" s="178">
        <f t="shared" si="215"/>
        <v>0</v>
      </c>
      <c r="BI161" s="257">
        <f>Автовик_разбивка[[#This Row],[Цена, 
юань, без НДС 1]]*BH161</f>
        <v>0</v>
      </c>
      <c r="BJ161" s="130">
        <f t="shared" si="216"/>
        <v>50</v>
      </c>
      <c r="BK161" s="187">
        <f>Автовик_разбивка[[#This Row],[Цена, 
юань, без НДС 1]]*BJ161</f>
        <v>0</v>
      </c>
      <c r="BL161" s="179">
        <f t="shared" si="217"/>
        <v>0</v>
      </c>
      <c r="BM161" s="258">
        <f>Автовик_разбивка[[#This Row],[Цена, 
юань, без НДС 1]]*BL161</f>
        <v>0</v>
      </c>
      <c r="BN161" s="178"/>
      <c r="BO161" s="184"/>
      <c r="BP161" s="130"/>
      <c r="BQ161" s="179"/>
      <c r="BR161" s="130"/>
      <c r="BS161" s="178"/>
      <c r="BT161" s="184"/>
      <c r="BU161" s="130"/>
      <c r="BV161" s="179"/>
      <c r="BW161" s="130"/>
      <c r="BX161" s="178"/>
      <c r="BY161" s="184"/>
      <c r="BZ161" s="130"/>
      <c r="CA161" s="179"/>
      <c r="CB161" s="130"/>
      <c r="CC161" s="178"/>
      <c r="CD161" s="184"/>
      <c r="CE161" s="130"/>
      <c r="CF161" s="179"/>
      <c r="CG161" s="130"/>
      <c r="CH161" s="178"/>
      <c r="CI161" s="184"/>
      <c r="CJ161" s="130"/>
      <c r="CK161" s="179"/>
      <c r="CL161" s="130"/>
      <c r="CM161" s="178"/>
      <c r="CN161" s="184"/>
      <c r="CO161" s="130"/>
      <c r="CP161" s="179"/>
      <c r="CQ161" s="130"/>
      <c r="CR161" s="178"/>
      <c r="CS161" s="184"/>
      <c r="CT161" s="130"/>
      <c r="CU161" s="179"/>
      <c r="CV161" s="130"/>
      <c r="CW161" s="178"/>
      <c r="CX161" s="184"/>
      <c r="CY161" s="130"/>
      <c r="CZ161" s="179"/>
      <c r="DA161" s="130"/>
      <c r="DB161" s="178"/>
      <c r="DC161" s="184"/>
      <c r="DD161" s="130"/>
      <c r="DE161" s="179"/>
      <c r="DF161" s="130"/>
      <c r="DG161" s="178"/>
      <c r="DH161" s="184"/>
      <c r="DI161" s="130"/>
      <c r="DJ161" s="179"/>
      <c r="DK161" s="130"/>
      <c r="DL161" s="178"/>
      <c r="DM161" s="184"/>
      <c r="DN161" s="130"/>
      <c r="DO161" s="179"/>
      <c r="DP161" s="130"/>
      <c r="DQ161" s="178"/>
      <c r="DR161" s="184"/>
      <c r="DS161" s="130"/>
      <c r="DT161" s="179"/>
      <c r="DU161" s="130"/>
      <c r="DV161" s="178">
        <f t="shared" si="218"/>
        <v>0</v>
      </c>
      <c r="DW161" s="257">
        <f>Автовик_разбивка[[#This Row],[Цена, 
юань, без НДС 1]]*DV161</f>
        <v>0</v>
      </c>
      <c r="DX161" s="259">
        <f t="shared" si="219"/>
        <v>0</v>
      </c>
      <c r="DY161" s="259">
        <f>Автовик_разбивка[[#This Row],[Цена, 
юань, без НДС 1]]*DX161</f>
        <v>0</v>
      </c>
      <c r="DZ161" s="130">
        <f t="shared" si="220"/>
        <v>0</v>
      </c>
      <c r="EA161" s="187">
        <f>Автовик_разбивка[[#This Row],[Цена, 
юань, без НДС 1]]*DZ161</f>
        <v>0</v>
      </c>
      <c r="EB161" s="179">
        <f t="shared" si="221"/>
        <v>0</v>
      </c>
      <c r="EC161" s="258">
        <f>Автовик_разбивка[[#This Row],[Цена, 
юань, без НДС 1]]*EB161</f>
        <v>0</v>
      </c>
    </row>
    <row r="162" spans="1:133">
      <c r="A162" s="260">
        <v>33</v>
      </c>
      <c r="B162" s="172" t="s">
        <v>324</v>
      </c>
      <c r="C162" s="173"/>
      <c r="D162" s="173"/>
      <c r="E162" s="174"/>
      <c r="F162" s="174"/>
      <c r="G162" s="174"/>
      <c r="H162" s="175">
        <v>9253771100</v>
      </c>
      <c r="I162" s="176" t="s">
        <v>55</v>
      </c>
      <c r="J162" s="223"/>
      <c r="K162" s="223"/>
      <c r="L162" s="178"/>
      <c r="M162" s="130"/>
      <c r="N162" s="179"/>
      <c r="O162" s="130"/>
      <c r="P162" s="178"/>
      <c r="Q162" s="130"/>
      <c r="R162" s="179"/>
      <c r="S162" s="130"/>
      <c r="T162" s="178"/>
      <c r="U162" s="130">
        <v>50</v>
      </c>
      <c r="V162" s="179">
        <v>0</v>
      </c>
      <c r="W162" s="130"/>
      <c r="X162" s="178"/>
      <c r="Y162" s="130"/>
      <c r="Z162" s="179"/>
      <c r="AA162" s="130"/>
      <c r="AB162" s="178"/>
      <c r="AC162" s="130"/>
      <c r="AD162" s="179"/>
      <c r="AE162" s="130"/>
      <c r="AF162" s="178"/>
      <c r="AG162" s="130"/>
      <c r="AH162" s="179"/>
      <c r="AI162" s="130"/>
      <c r="AJ162" s="178"/>
      <c r="AK162" s="130"/>
      <c r="AL162" s="179"/>
      <c r="AM162" s="130"/>
      <c r="AN162" s="178"/>
      <c r="AO162" s="130"/>
      <c r="AP162" s="179"/>
      <c r="AQ162" s="130"/>
      <c r="AR162" s="178"/>
      <c r="AS162" s="130"/>
      <c r="AT162" s="179"/>
      <c r="AU162" s="130"/>
      <c r="AV162" s="178"/>
      <c r="AW162" s="130"/>
      <c r="AX162" s="179"/>
      <c r="AY162" s="130"/>
      <c r="AZ162" s="178"/>
      <c r="BA162" s="130"/>
      <c r="BB162" s="179"/>
      <c r="BC162" s="130"/>
      <c r="BD162" s="178"/>
      <c r="BE162" s="130"/>
      <c r="BF162" s="179"/>
      <c r="BG162" s="130"/>
      <c r="BH162" s="178">
        <f t="shared" si="215"/>
        <v>0</v>
      </c>
      <c r="BI162" s="257">
        <f>Автовик_разбивка[[#This Row],[Цена, 
юань, без НДС 1]]*BH162</f>
        <v>0</v>
      </c>
      <c r="BJ162" s="130">
        <f t="shared" si="216"/>
        <v>50</v>
      </c>
      <c r="BK162" s="187">
        <f>Автовик_разбивка[[#This Row],[Цена, 
юань, без НДС 1]]*BJ162</f>
        <v>0</v>
      </c>
      <c r="BL162" s="179">
        <f t="shared" si="217"/>
        <v>0</v>
      </c>
      <c r="BM162" s="258">
        <f>Автовик_разбивка[[#This Row],[Цена, 
юань, без НДС 1]]*BL162</f>
        <v>0</v>
      </c>
      <c r="BN162" s="178"/>
      <c r="BO162" s="184"/>
      <c r="BP162" s="130"/>
      <c r="BQ162" s="179"/>
      <c r="BR162" s="130"/>
      <c r="BS162" s="178"/>
      <c r="BT162" s="184"/>
      <c r="BU162" s="130"/>
      <c r="BV162" s="179"/>
      <c r="BW162" s="130"/>
      <c r="BX162" s="178"/>
      <c r="BY162" s="184"/>
      <c r="BZ162" s="130"/>
      <c r="CA162" s="179"/>
      <c r="CB162" s="130"/>
      <c r="CC162" s="178"/>
      <c r="CD162" s="184"/>
      <c r="CE162" s="130"/>
      <c r="CF162" s="179"/>
      <c r="CG162" s="130"/>
      <c r="CH162" s="178"/>
      <c r="CI162" s="184"/>
      <c r="CJ162" s="130"/>
      <c r="CK162" s="179"/>
      <c r="CL162" s="130"/>
      <c r="CM162" s="178"/>
      <c r="CN162" s="184"/>
      <c r="CO162" s="130"/>
      <c r="CP162" s="179"/>
      <c r="CQ162" s="130"/>
      <c r="CR162" s="178"/>
      <c r="CS162" s="184"/>
      <c r="CT162" s="130"/>
      <c r="CU162" s="179"/>
      <c r="CV162" s="130"/>
      <c r="CW162" s="178"/>
      <c r="CX162" s="184"/>
      <c r="CY162" s="130"/>
      <c r="CZ162" s="179"/>
      <c r="DA162" s="130"/>
      <c r="DB162" s="178"/>
      <c r="DC162" s="184"/>
      <c r="DD162" s="130"/>
      <c r="DE162" s="179"/>
      <c r="DF162" s="130"/>
      <c r="DG162" s="178"/>
      <c r="DH162" s="184"/>
      <c r="DI162" s="130"/>
      <c r="DJ162" s="179"/>
      <c r="DK162" s="130"/>
      <c r="DL162" s="178"/>
      <c r="DM162" s="184"/>
      <c r="DN162" s="130"/>
      <c r="DO162" s="179"/>
      <c r="DP162" s="130"/>
      <c r="DQ162" s="178"/>
      <c r="DR162" s="184"/>
      <c r="DS162" s="130"/>
      <c r="DT162" s="179"/>
      <c r="DU162" s="130"/>
      <c r="DV162" s="178">
        <f t="shared" si="218"/>
        <v>0</v>
      </c>
      <c r="DW162" s="257">
        <f>Автовик_разбивка[[#This Row],[Цена, 
юань, без НДС 1]]*DV162</f>
        <v>0</v>
      </c>
      <c r="DX162" s="259">
        <f t="shared" si="219"/>
        <v>0</v>
      </c>
      <c r="DY162" s="259">
        <f>Автовик_разбивка[[#This Row],[Цена, 
юань, без НДС 1]]*DX162</f>
        <v>0</v>
      </c>
      <c r="DZ162" s="130">
        <f t="shared" si="220"/>
        <v>0</v>
      </c>
      <c r="EA162" s="187">
        <f>Автовик_разбивка[[#This Row],[Цена, 
юань, без НДС 1]]*DZ162</f>
        <v>0</v>
      </c>
      <c r="EB162" s="179">
        <f t="shared" si="221"/>
        <v>0</v>
      </c>
      <c r="EC162" s="258">
        <f>Автовик_разбивка[[#This Row],[Цена, 
юань, без НДС 1]]*EB162</f>
        <v>0</v>
      </c>
    </row>
    <row r="163" spans="1:133">
      <c r="A163" s="260">
        <v>33</v>
      </c>
      <c r="B163" s="172" t="s">
        <v>324</v>
      </c>
      <c r="C163" s="132"/>
      <c r="D163" s="132"/>
      <c r="E163" s="229"/>
      <c r="F163" s="229"/>
      <c r="G163" s="229"/>
      <c r="H163" s="230"/>
      <c r="I163" s="231" t="s">
        <v>43</v>
      </c>
      <c r="J163" s="232"/>
      <c r="K163" s="232"/>
      <c r="L163" s="233"/>
      <c r="M163" s="234"/>
      <c r="N163" s="235"/>
      <c r="O163" s="234"/>
      <c r="P163" s="233"/>
      <c r="Q163" s="234"/>
      <c r="R163" s="235"/>
      <c r="S163" s="234"/>
      <c r="T163" s="233"/>
      <c r="U163" s="234"/>
      <c r="V163" s="235"/>
      <c r="W163" s="234"/>
      <c r="X163" s="233"/>
      <c r="Y163" s="234"/>
      <c r="Z163" s="235"/>
      <c r="AA163" s="234"/>
      <c r="AB163" s="233"/>
      <c r="AC163" s="234"/>
      <c r="AD163" s="235"/>
      <c r="AE163" s="234"/>
      <c r="AF163" s="233"/>
      <c r="AG163" s="234"/>
      <c r="AH163" s="235"/>
      <c r="AI163" s="234"/>
      <c r="AJ163" s="233"/>
      <c r="AK163" s="234"/>
      <c r="AL163" s="235"/>
      <c r="AM163" s="234"/>
      <c r="AN163" s="233"/>
      <c r="AO163" s="234"/>
      <c r="AP163" s="235"/>
      <c r="AQ163" s="234"/>
      <c r="AR163" s="233"/>
      <c r="AS163" s="234"/>
      <c r="AT163" s="235"/>
      <c r="AU163" s="234"/>
      <c r="AV163" s="233"/>
      <c r="AW163" s="234"/>
      <c r="AX163" s="235"/>
      <c r="AY163" s="234"/>
      <c r="AZ163" s="233"/>
      <c r="BA163" s="234"/>
      <c r="BB163" s="235"/>
      <c r="BC163" s="234"/>
      <c r="BD163" s="233"/>
      <c r="BE163" s="234"/>
      <c r="BF163" s="235"/>
      <c r="BG163" s="234"/>
      <c r="BH163" s="233">
        <f t="shared" si="215"/>
        <v>0</v>
      </c>
      <c r="BI163" s="238">
        <f>Автовик_разбивка[[#This Row],[Цена, 
юань, без НДС 1]]*BH163</f>
        <v>0</v>
      </c>
      <c r="BJ163" s="234">
        <f t="shared" si="216"/>
        <v>0</v>
      </c>
      <c r="BK163" s="253">
        <f>Автовик_разбивка[[#This Row],[Цена, 
юань, без НДС 1]]*BJ163</f>
        <v>0</v>
      </c>
      <c r="BL163" s="235">
        <f t="shared" si="217"/>
        <v>0</v>
      </c>
      <c r="BM163" s="254">
        <f>Автовик_разбивка[[#This Row],[Цена, 
юань, без НДС 1]]*BL163</f>
        <v>0</v>
      </c>
      <c r="BN163" s="233"/>
      <c r="BO163" s="241"/>
      <c r="BP163" s="234"/>
      <c r="BQ163" s="235"/>
      <c r="BR163" s="234"/>
      <c r="BS163" s="233"/>
      <c r="BT163" s="241"/>
      <c r="BU163" s="234"/>
      <c r="BV163" s="235"/>
      <c r="BW163" s="234"/>
      <c r="BX163" s="233"/>
      <c r="BY163" s="241"/>
      <c r="BZ163" s="234"/>
      <c r="CA163" s="235"/>
      <c r="CB163" s="234"/>
      <c r="CC163" s="233"/>
      <c r="CD163" s="241"/>
      <c r="CE163" s="234"/>
      <c r="CF163" s="235"/>
      <c r="CG163" s="234"/>
      <c r="CH163" s="233"/>
      <c r="CI163" s="241"/>
      <c r="CJ163" s="234"/>
      <c r="CK163" s="235"/>
      <c r="CL163" s="234"/>
      <c r="CM163" s="233"/>
      <c r="CN163" s="241"/>
      <c r="CO163" s="234"/>
      <c r="CP163" s="235"/>
      <c r="CQ163" s="234"/>
      <c r="CR163" s="233"/>
      <c r="CS163" s="241"/>
      <c r="CT163" s="234"/>
      <c r="CU163" s="235"/>
      <c r="CV163" s="234"/>
      <c r="CW163" s="233"/>
      <c r="CX163" s="241"/>
      <c r="CY163" s="234"/>
      <c r="CZ163" s="235"/>
      <c r="DA163" s="234"/>
      <c r="DB163" s="233"/>
      <c r="DC163" s="241"/>
      <c r="DD163" s="234"/>
      <c r="DE163" s="235"/>
      <c r="DF163" s="234"/>
      <c r="DG163" s="233"/>
      <c r="DH163" s="241"/>
      <c r="DI163" s="234"/>
      <c r="DJ163" s="235"/>
      <c r="DK163" s="234"/>
      <c r="DL163" s="233"/>
      <c r="DM163" s="241"/>
      <c r="DN163" s="234"/>
      <c r="DO163" s="235"/>
      <c r="DP163" s="234"/>
      <c r="DQ163" s="233"/>
      <c r="DR163" s="241"/>
      <c r="DS163" s="234"/>
      <c r="DT163" s="235"/>
      <c r="DU163" s="234"/>
      <c r="DV163" s="233">
        <f t="shared" si="218"/>
        <v>0</v>
      </c>
      <c r="DW163" s="238">
        <f>Автовик_разбивка[[#This Row],[Цена, 
юань, без НДС 1]]*DV163</f>
        <v>0</v>
      </c>
      <c r="DX163" s="242">
        <f t="shared" si="219"/>
        <v>0</v>
      </c>
      <c r="DY163" s="242">
        <f>Автовик_разбивка[[#This Row],[Цена, 
юань, без НДС 1]]*DX163</f>
        <v>0</v>
      </c>
      <c r="DZ163" s="234">
        <f t="shared" si="220"/>
        <v>0</v>
      </c>
      <c r="EA163" s="253">
        <f>Автовик_разбивка[[#This Row],[Цена, 
юань, без НДС 1]]*DZ163</f>
        <v>0</v>
      </c>
      <c r="EB163" s="235">
        <f t="shared" si="221"/>
        <v>0</v>
      </c>
      <c r="EC163" s="254">
        <f>Автовик_разбивка[[#This Row],[Цена, 
юань, без НДС 1]]*EB163</f>
        <v>0</v>
      </c>
    </row>
    <row r="164" spans="1:133">
      <c r="A164" s="260">
        <v>33</v>
      </c>
      <c r="B164" s="243" t="s">
        <v>324</v>
      </c>
      <c r="C164" s="244"/>
      <c r="D164" s="244"/>
      <c r="E164" s="245"/>
      <c r="F164" s="245"/>
      <c r="G164" s="245"/>
      <c r="H164" s="246"/>
      <c r="I164" s="247"/>
      <c r="J164" s="248"/>
      <c r="K164" s="248"/>
      <c r="L164" s="249"/>
      <c r="M164" s="249"/>
      <c r="N164" s="249"/>
      <c r="O164" s="249"/>
      <c r="P164" s="249"/>
      <c r="Q164" s="249"/>
      <c r="R164" s="249"/>
      <c r="S164" s="249"/>
      <c r="T164" s="249"/>
      <c r="U164" s="249"/>
      <c r="V164" s="249"/>
      <c r="W164" s="249"/>
      <c r="X164" s="249"/>
      <c r="Y164" s="249"/>
      <c r="Z164" s="249"/>
      <c r="AA164" s="249"/>
      <c r="AB164" s="249"/>
      <c r="AC164" s="249"/>
      <c r="AD164" s="249"/>
      <c r="AE164" s="249"/>
      <c r="AF164" s="249"/>
      <c r="AG164" s="249"/>
      <c r="AH164" s="249"/>
      <c r="AI164" s="249"/>
      <c r="AJ164" s="249"/>
      <c r="AK164" s="249"/>
      <c r="AL164" s="249"/>
      <c r="AM164" s="249"/>
      <c r="AN164" s="249"/>
      <c r="AO164" s="249"/>
      <c r="AP164" s="249"/>
      <c r="AQ164" s="249"/>
      <c r="AR164" s="249"/>
      <c r="AS164" s="249"/>
      <c r="AT164" s="249"/>
      <c r="AU164" s="249"/>
      <c r="AV164" s="249"/>
      <c r="AW164" s="249"/>
      <c r="AX164" s="250"/>
      <c r="AY164" s="249"/>
      <c r="AZ164" s="250"/>
      <c r="BA164" s="250"/>
      <c r="BB164" s="250"/>
      <c r="BC164" s="249"/>
      <c r="BD164" s="250"/>
      <c r="BE164" s="250"/>
      <c r="BF164" s="250"/>
      <c r="BG164" s="249"/>
      <c r="BH164" s="250">
        <f t="shared" si="215"/>
        <v>0</v>
      </c>
      <c r="BI164" s="251">
        <f>Автовик_разбивка[[#This Row],[Цена, 
юань, без НДС 1]]*BH164</f>
        <v>0</v>
      </c>
      <c r="BJ164" s="250">
        <f t="shared" si="216"/>
        <v>0</v>
      </c>
      <c r="BK164" s="251">
        <f>Автовик_разбивка[[#This Row],[Цена, 
юань, без НДС 1]]*BJ164</f>
        <v>0</v>
      </c>
      <c r="BL164" s="250">
        <f t="shared" si="217"/>
        <v>0</v>
      </c>
      <c r="BM164" s="251">
        <f>Автовик_разбивка[[#This Row],[Цена, 
юань, без НДС 1]]*BL164</f>
        <v>0</v>
      </c>
      <c r="BN164" s="249"/>
      <c r="BO164" s="249"/>
      <c r="BP164" s="249"/>
      <c r="BQ164" s="249"/>
      <c r="BR164" s="249"/>
      <c r="BS164" s="249"/>
      <c r="BT164" s="249"/>
      <c r="BU164" s="249"/>
      <c r="BV164" s="249"/>
      <c r="BW164" s="249"/>
      <c r="BX164" s="249"/>
      <c r="BY164" s="249"/>
      <c r="BZ164" s="249"/>
      <c r="CA164" s="249"/>
      <c r="CB164" s="249"/>
      <c r="CC164" s="249"/>
      <c r="CD164" s="249"/>
      <c r="CE164" s="249"/>
      <c r="CF164" s="249"/>
      <c r="CG164" s="249"/>
      <c r="CH164" s="249"/>
      <c r="CI164" s="249"/>
      <c r="CJ164" s="249"/>
      <c r="CK164" s="249"/>
      <c r="CL164" s="249"/>
      <c r="CM164" s="249"/>
      <c r="CN164" s="249"/>
      <c r="CO164" s="249"/>
      <c r="CP164" s="249"/>
      <c r="CQ164" s="249"/>
      <c r="CR164" s="249"/>
      <c r="CS164" s="249"/>
      <c r="CT164" s="249"/>
      <c r="CU164" s="249"/>
      <c r="CV164" s="249"/>
      <c r="CW164" s="249"/>
      <c r="CX164" s="249"/>
      <c r="CY164" s="249"/>
      <c r="CZ164" s="249"/>
      <c r="DA164" s="249"/>
      <c r="DB164" s="249"/>
      <c r="DC164" s="249"/>
      <c r="DD164" s="249"/>
      <c r="DE164" s="249"/>
      <c r="DF164" s="249"/>
      <c r="DG164" s="249"/>
      <c r="DH164" s="249"/>
      <c r="DI164" s="249"/>
      <c r="DJ164" s="250"/>
      <c r="DK164" s="249"/>
      <c r="DL164" s="250"/>
      <c r="DM164" s="250"/>
      <c r="DN164" s="250"/>
      <c r="DO164" s="250"/>
      <c r="DP164" s="249"/>
      <c r="DQ164" s="250"/>
      <c r="DR164" s="250"/>
      <c r="DS164" s="250"/>
      <c r="DT164" s="250"/>
      <c r="DU164" s="249"/>
      <c r="DV164" s="250">
        <f t="shared" si="218"/>
        <v>0</v>
      </c>
      <c r="DW164" s="251">
        <f>Автовик_разбивка[[#This Row],[Цена, 
юань, без НДС 1]]*DV164</f>
        <v>0</v>
      </c>
      <c r="DX164" s="251">
        <f t="shared" si="219"/>
        <v>0</v>
      </c>
      <c r="DY164" s="251">
        <f>Автовик_разбивка[[#This Row],[Цена, 
юань, без НДС 1]]*DX164</f>
        <v>0</v>
      </c>
      <c r="DZ164" s="250">
        <f t="shared" si="220"/>
        <v>0</v>
      </c>
      <c r="EA164" s="251">
        <f>Автовик_разбивка[[#This Row],[Цена, 
юань, без НДС 1]]*DZ164</f>
        <v>0</v>
      </c>
      <c r="EB164" s="250">
        <f t="shared" si="221"/>
        <v>0</v>
      </c>
      <c r="EC164" s="251">
        <f>Автовик_разбивка[[#This Row],[Цена, 
юань, без НДС 1]]*EB164</f>
        <v>0</v>
      </c>
    </row>
    <row r="165" spans="1:133">
      <c r="A165" s="260">
        <v>33</v>
      </c>
      <c r="B165" s="172" t="s">
        <v>325</v>
      </c>
      <c r="C165" s="173" t="s">
        <v>301</v>
      </c>
      <c r="D165" s="173" t="s">
        <v>326</v>
      </c>
      <c r="E165" s="174">
        <v>1</v>
      </c>
      <c r="F165" s="174"/>
      <c r="G165" s="174">
        <v>2</v>
      </c>
      <c r="H165" s="175">
        <v>4005000810</v>
      </c>
      <c r="I165" s="176" t="s">
        <v>96</v>
      </c>
      <c r="J165" s="227"/>
      <c r="K165" s="223"/>
      <c r="L165" s="178"/>
      <c r="M165" s="130"/>
      <c r="N165" s="179"/>
      <c r="O165" s="130"/>
      <c r="P165" s="178"/>
      <c r="Q165" s="130"/>
      <c r="R165" s="179"/>
      <c r="S165" s="130"/>
      <c r="T165" s="178"/>
      <c r="U165" s="130"/>
      <c r="V165" s="179"/>
      <c r="W165" s="130"/>
      <c r="X165" s="178"/>
      <c r="Y165" s="130"/>
      <c r="Z165" s="179"/>
      <c r="AA165" s="130"/>
      <c r="AB165" s="178"/>
      <c r="AC165" s="130"/>
      <c r="AD165" s="179"/>
      <c r="AE165" s="130"/>
      <c r="AF165" s="178"/>
      <c r="AG165" s="130"/>
      <c r="AH165" s="179"/>
      <c r="AI165" s="130"/>
      <c r="AJ165" s="178"/>
      <c r="AK165" s="130"/>
      <c r="AL165" s="179"/>
      <c r="AM165" s="130"/>
      <c r="AN165" s="178"/>
      <c r="AO165" s="130"/>
      <c r="AP165" s="179"/>
      <c r="AQ165" s="130"/>
      <c r="AR165" s="178"/>
      <c r="AS165" s="130"/>
      <c r="AT165" s="179"/>
      <c r="AU165" s="130"/>
      <c r="AV165" s="178"/>
      <c r="AW165" s="130"/>
      <c r="AX165" s="179"/>
      <c r="AY165" s="130"/>
      <c r="AZ165" s="178"/>
      <c r="BA165" s="130"/>
      <c r="BB165" s="179"/>
      <c r="BC165" s="130"/>
      <c r="BD165" s="178"/>
      <c r="BE165" s="130"/>
      <c r="BF165" s="109"/>
      <c r="BG165" s="130"/>
      <c r="BH165" s="180">
        <f t="shared" si="215"/>
        <v>0</v>
      </c>
      <c r="BI165" s="181">
        <f>Автовик_разбивка[[#This Row],[Цена, 
юань, без НДС 1]]*BH165</f>
        <v>0</v>
      </c>
      <c r="BJ165" s="130">
        <f t="shared" si="216"/>
        <v>0</v>
      </c>
      <c r="BK165" s="187">
        <f>Автовик_разбивка[[#This Row],[Цена, 
юань, без НДС 1]]*BJ165</f>
        <v>0</v>
      </c>
      <c r="BL165" s="109">
        <f t="shared" si="217"/>
        <v>0</v>
      </c>
      <c r="BM165" s="224">
        <f>Автовик_разбивка[[#This Row],[Цена, 
юань, без НДС 1]]*BL165</f>
        <v>0</v>
      </c>
      <c r="BN165" s="178"/>
      <c r="BO165" s="184"/>
      <c r="BP165" s="130"/>
      <c r="BQ165" s="179"/>
      <c r="BR165" s="130"/>
      <c r="BS165" s="178"/>
      <c r="BT165" s="184"/>
      <c r="BU165" s="130"/>
      <c r="BV165" s="179"/>
      <c r="BW165" s="130"/>
      <c r="BX165" s="178"/>
      <c r="BY165" s="184"/>
      <c r="BZ165" s="130"/>
      <c r="CA165" s="179"/>
      <c r="CB165" s="130"/>
      <c r="CC165" s="178"/>
      <c r="CD165" s="184"/>
      <c r="CE165" s="130"/>
      <c r="CF165" s="179"/>
      <c r="CG165" s="130"/>
      <c r="CH165" s="178"/>
      <c r="CI165" s="184"/>
      <c r="CJ165" s="130"/>
      <c r="CK165" s="179"/>
      <c r="CL165" s="130"/>
      <c r="CM165" s="178"/>
      <c r="CN165" s="184"/>
      <c r="CO165" s="130"/>
      <c r="CP165" s="179"/>
      <c r="CQ165" s="130"/>
      <c r="CR165" s="178"/>
      <c r="CS165" s="184"/>
      <c r="CT165" s="130"/>
      <c r="CU165" s="179"/>
      <c r="CV165" s="130"/>
      <c r="CW165" s="178"/>
      <c r="CX165" s="184"/>
      <c r="CY165" s="130"/>
      <c r="CZ165" s="179"/>
      <c r="DA165" s="130"/>
      <c r="DB165" s="178"/>
      <c r="DC165" s="184"/>
      <c r="DD165" s="130"/>
      <c r="DE165" s="179"/>
      <c r="DF165" s="130"/>
      <c r="DG165" s="178"/>
      <c r="DH165" s="184"/>
      <c r="DI165" s="130"/>
      <c r="DJ165" s="179"/>
      <c r="DK165" s="130"/>
      <c r="DL165" s="178"/>
      <c r="DM165" s="184"/>
      <c r="DN165" s="130"/>
      <c r="DO165" s="179"/>
      <c r="DP165" s="130"/>
      <c r="DQ165" s="178"/>
      <c r="DR165" s="184"/>
      <c r="DS165" s="130"/>
      <c r="DT165" s="109"/>
      <c r="DU165" s="130"/>
      <c r="DV165" s="180">
        <f t="shared" si="218"/>
        <v>0</v>
      </c>
      <c r="DW165" s="181">
        <f>Автовик_разбивка[[#This Row],[Цена, 
юань, без НДС 1]]*DV165</f>
        <v>0</v>
      </c>
      <c r="DX165" s="186">
        <f t="shared" si="219"/>
        <v>0</v>
      </c>
      <c r="DY165" s="186">
        <f>Автовик_разбивка[[#This Row],[Цена, 
юань, без НДС 1]]*DX165</f>
        <v>0</v>
      </c>
      <c r="DZ165" s="130">
        <f t="shared" si="220"/>
        <v>0</v>
      </c>
      <c r="EA165" s="187">
        <f>Автовик_разбивка[[#This Row],[Цена, 
юань, без НДС 1]]*DZ165</f>
        <v>0</v>
      </c>
      <c r="EB165" s="109">
        <f t="shared" si="221"/>
        <v>0</v>
      </c>
      <c r="EC165" s="224">
        <f>Автовик_разбивка[[#This Row],[Цена, 
юань, без НДС 1]]*EB165</f>
        <v>0</v>
      </c>
    </row>
    <row r="166" spans="1:133">
      <c r="A166" s="260">
        <v>33</v>
      </c>
      <c r="B166" s="172" t="s">
        <v>325</v>
      </c>
      <c r="C166" s="173" t="s">
        <v>301</v>
      </c>
      <c r="D166" s="173" t="s">
        <v>326</v>
      </c>
      <c r="E166" s="174">
        <v>1</v>
      </c>
      <c r="F166" s="174"/>
      <c r="G166" s="174">
        <v>2</v>
      </c>
      <c r="H166" s="175">
        <v>4492251200</v>
      </c>
      <c r="I166" s="176" t="s">
        <v>159</v>
      </c>
      <c r="J166" s="227"/>
      <c r="K166" s="223"/>
      <c r="L166" s="178"/>
      <c r="M166" s="130"/>
      <c r="N166" s="179"/>
      <c r="O166" s="130"/>
      <c r="P166" s="178"/>
      <c r="Q166" s="130"/>
      <c r="R166" s="179"/>
      <c r="S166" s="130"/>
      <c r="T166" s="178"/>
      <c r="U166" s="130"/>
      <c r="V166" s="179"/>
      <c r="W166" s="130"/>
      <c r="X166" s="178"/>
      <c r="Y166" s="130"/>
      <c r="Z166" s="179"/>
      <c r="AA166" s="130"/>
      <c r="AB166" s="178"/>
      <c r="AC166" s="130"/>
      <c r="AD166" s="179"/>
      <c r="AE166" s="130"/>
      <c r="AF166" s="178"/>
      <c r="AG166" s="130"/>
      <c r="AH166" s="179"/>
      <c r="AI166" s="130"/>
      <c r="AJ166" s="178"/>
      <c r="AK166" s="130"/>
      <c r="AL166" s="179"/>
      <c r="AM166" s="130"/>
      <c r="AN166" s="178"/>
      <c r="AO166" s="130"/>
      <c r="AP166" s="179"/>
      <c r="AQ166" s="130"/>
      <c r="AR166" s="178"/>
      <c r="AS166" s="130"/>
      <c r="AT166" s="179"/>
      <c r="AU166" s="130"/>
      <c r="AV166" s="178"/>
      <c r="AW166" s="130"/>
      <c r="AX166" s="179"/>
      <c r="AY166" s="130"/>
      <c r="AZ166" s="178"/>
      <c r="BA166" s="130"/>
      <c r="BB166" s="179"/>
      <c r="BC166" s="130"/>
      <c r="BD166" s="178"/>
      <c r="BE166" s="130"/>
      <c r="BF166" s="109"/>
      <c r="BG166" s="130"/>
      <c r="BH166" s="180">
        <f t="shared" si="215"/>
        <v>0</v>
      </c>
      <c r="BI166" s="181">
        <f>Автовик_разбивка[[#This Row],[Цена, 
юань, без НДС 1]]*BH166</f>
        <v>0</v>
      </c>
      <c r="BJ166" s="130">
        <f t="shared" si="216"/>
        <v>0</v>
      </c>
      <c r="BK166" s="187">
        <f>Автовик_разбивка[[#This Row],[Цена, 
юань, без НДС 1]]*BJ166</f>
        <v>0</v>
      </c>
      <c r="BL166" s="109">
        <f t="shared" si="217"/>
        <v>0</v>
      </c>
      <c r="BM166" s="224">
        <f>Автовик_разбивка[[#This Row],[Цена, 
юань, без НДС 1]]*BL166</f>
        <v>0</v>
      </c>
      <c r="BN166" s="178"/>
      <c r="BO166" s="184"/>
      <c r="BP166" s="130"/>
      <c r="BQ166" s="179"/>
      <c r="BR166" s="130"/>
      <c r="BS166" s="178"/>
      <c r="BT166" s="184"/>
      <c r="BU166" s="130"/>
      <c r="BV166" s="179"/>
      <c r="BW166" s="130"/>
      <c r="BX166" s="178"/>
      <c r="BY166" s="184"/>
      <c r="BZ166" s="130"/>
      <c r="CA166" s="179"/>
      <c r="CB166" s="130"/>
      <c r="CC166" s="178"/>
      <c r="CD166" s="184"/>
      <c r="CE166" s="130"/>
      <c r="CF166" s="179"/>
      <c r="CG166" s="130"/>
      <c r="CH166" s="178"/>
      <c r="CI166" s="184"/>
      <c r="CJ166" s="130"/>
      <c r="CK166" s="179"/>
      <c r="CL166" s="130"/>
      <c r="CM166" s="178"/>
      <c r="CN166" s="184"/>
      <c r="CO166" s="130"/>
      <c r="CP166" s="179"/>
      <c r="CQ166" s="130"/>
      <c r="CR166" s="178"/>
      <c r="CS166" s="184"/>
      <c r="CT166" s="130"/>
      <c r="CU166" s="179"/>
      <c r="CV166" s="130"/>
      <c r="CW166" s="178"/>
      <c r="CX166" s="184"/>
      <c r="CY166" s="130"/>
      <c r="CZ166" s="179"/>
      <c r="DA166" s="130"/>
      <c r="DB166" s="178"/>
      <c r="DC166" s="184"/>
      <c r="DD166" s="130"/>
      <c r="DE166" s="179"/>
      <c r="DF166" s="130"/>
      <c r="DG166" s="178"/>
      <c r="DH166" s="184"/>
      <c r="DI166" s="130"/>
      <c r="DJ166" s="179"/>
      <c r="DK166" s="130"/>
      <c r="DL166" s="178"/>
      <c r="DM166" s="184"/>
      <c r="DN166" s="130"/>
      <c r="DO166" s="179"/>
      <c r="DP166" s="130"/>
      <c r="DQ166" s="178"/>
      <c r="DR166" s="184"/>
      <c r="DS166" s="130"/>
      <c r="DT166" s="109"/>
      <c r="DU166" s="130"/>
      <c r="DV166" s="180">
        <f t="shared" si="218"/>
        <v>0</v>
      </c>
      <c r="DW166" s="181">
        <f>Автовик_разбивка[[#This Row],[Цена, 
юань, без НДС 1]]*DV166</f>
        <v>0</v>
      </c>
      <c r="DX166" s="186">
        <f t="shared" si="219"/>
        <v>0</v>
      </c>
      <c r="DY166" s="186">
        <f>Автовик_разбивка[[#This Row],[Цена, 
юань, без НДС 1]]*DX166</f>
        <v>0</v>
      </c>
      <c r="DZ166" s="130">
        <f t="shared" si="220"/>
        <v>0</v>
      </c>
      <c r="EA166" s="187">
        <f>Автовик_разбивка[[#This Row],[Цена, 
юань, без НДС 1]]*DZ166</f>
        <v>0</v>
      </c>
      <c r="EB166" s="109">
        <f t="shared" si="221"/>
        <v>0</v>
      </c>
      <c r="EC166" s="224">
        <f>Автовик_разбивка[[#This Row],[Цена, 
юань, без НДС 1]]*EB166</f>
        <v>0</v>
      </c>
    </row>
    <row r="167" spans="1:133">
      <c r="A167" s="260">
        <v>33</v>
      </c>
      <c r="B167" s="172" t="s">
        <v>325</v>
      </c>
      <c r="C167" s="173" t="s">
        <v>301</v>
      </c>
      <c r="D167" s="173" t="s">
        <v>326</v>
      </c>
      <c r="E167" s="174">
        <v>1</v>
      </c>
      <c r="F167" s="174"/>
      <c r="G167" s="174"/>
      <c r="H167" s="175">
        <v>4496161560</v>
      </c>
      <c r="I167" s="176" t="s">
        <v>103</v>
      </c>
      <c r="J167" s="227"/>
      <c r="K167" s="223"/>
      <c r="L167" s="178"/>
      <c r="M167" s="130"/>
      <c r="N167" s="179"/>
      <c r="O167" s="130"/>
      <c r="P167" s="178"/>
      <c r="Q167" s="130"/>
      <c r="R167" s="179"/>
      <c r="S167" s="130"/>
      <c r="T167" s="178"/>
      <c r="U167" s="130"/>
      <c r="V167" s="179"/>
      <c r="W167" s="130"/>
      <c r="X167" s="178"/>
      <c r="Y167" s="130"/>
      <c r="Z167" s="179"/>
      <c r="AA167" s="130"/>
      <c r="AB167" s="178"/>
      <c r="AC167" s="130"/>
      <c r="AD167" s="179"/>
      <c r="AE167" s="130"/>
      <c r="AF167" s="178"/>
      <c r="AG167" s="130"/>
      <c r="AH167" s="179"/>
      <c r="AI167" s="130"/>
      <c r="AJ167" s="178"/>
      <c r="AK167" s="130"/>
      <c r="AL167" s="179"/>
      <c r="AM167" s="130"/>
      <c r="AN167" s="178"/>
      <c r="AO167" s="130"/>
      <c r="AP167" s="179"/>
      <c r="AQ167" s="130"/>
      <c r="AR167" s="178"/>
      <c r="AS167" s="130"/>
      <c r="AT167" s="179"/>
      <c r="AU167" s="130"/>
      <c r="AV167" s="178"/>
      <c r="AW167" s="130"/>
      <c r="AX167" s="179"/>
      <c r="AY167" s="130"/>
      <c r="AZ167" s="178"/>
      <c r="BA167" s="130"/>
      <c r="BB167" s="179"/>
      <c r="BC167" s="130"/>
      <c r="BD167" s="178"/>
      <c r="BE167" s="130"/>
      <c r="BF167" s="109"/>
      <c r="BG167" s="130"/>
      <c r="BH167" s="180">
        <f t="shared" si="215"/>
        <v>0</v>
      </c>
      <c r="BI167" s="181">
        <f>Автовик_разбивка[[#This Row],[Цена, 
юань, без НДС 1]]*BH167</f>
        <v>0</v>
      </c>
      <c r="BJ167" s="130">
        <f t="shared" si="216"/>
        <v>0</v>
      </c>
      <c r="BK167" s="187">
        <f>Автовик_разбивка[[#This Row],[Цена, 
юань, без НДС 1]]*BJ167</f>
        <v>0</v>
      </c>
      <c r="BL167" s="109">
        <f t="shared" si="217"/>
        <v>0</v>
      </c>
      <c r="BM167" s="224">
        <f>Автовик_разбивка[[#This Row],[Цена, 
юань, без НДС 1]]*BL167</f>
        <v>0</v>
      </c>
      <c r="BN167" s="178"/>
      <c r="BO167" s="184"/>
      <c r="BP167" s="130"/>
      <c r="BQ167" s="179"/>
      <c r="BR167" s="130"/>
      <c r="BS167" s="178"/>
      <c r="BT167" s="184"/>
      <c r="BU167" s="130"/>
      <c r="BV167" s="179"/>
      <c r="BW167" s="130"/>
      <c r="BX167" s="178"/>
      <c r="BY167" s="184"/>
      <c r="BZ167" s="130"/>
      <c r="CA167" s="179"/>
      <c r="CB167" s="130"/>
      <c r="CC167" s="178"/>
      <c r="CD167" s="184"/>
      <c r="CE167" s="130"/>
      <c r="CF167" s="179"/>
      <c r="CG167" s="130"/>
      <c r="CH167" s="178"/>
      <c r="CI167" s="184"/>
      <c r="CJ167" s="130"/>
      <c r="CK167" s="179"/>
      <c r="CL167" s="130"/>
      <c r="CM167" s="178"/>
      <c r="CN167" s="184"/>
      <c r="CO167" s="130"/>
      <c r="CP167" s="179"/>
      <c r="CQ167" s="130"/>
      <c r="CR167" s="178"/>
      <c r="CS167" s="184"/>
      <c r="CT167" s="130"/>
      <c r="CU167" s="179"/>
      <c r="CV167" s="130"/>
      <c r="CW167" s="178"/>
      <c r="CX167" s="184"/>
      <c r="CY167" s="130"/>
      <c r="CZ167" s="179"/>
      <c r="DA167" s="130"/>
      <c r="DB167" s="178"/>
      <c r="DC167" s="184"/>
      <c r="DD167" s="130"/>
      <c r="DE167" s="179"/>
      <c r="DF167" s="130"/>
      <c r="DG167" s="178"/>
      <c r="DH167" s="184"/>
      <c r="DI167" s="130"/>
      <c r="DJ167" s="179"/>
      <c r="DK167" s="130"/>
      <c r="DL167" s="178"/>
      <c r="DM167" s="184"/>
      <c r="DN167" s="130"/>
      <c r="DO167" s="179"/>
      <c r="DP167" s="130"/>
      <c r="DQ167" s="178"/>
      <c r="DR167" s="184"/>
      <c r="DS167" s="130"/>
      <c r="DT167" s="109"/>
      <c r="DU167" s="130"/>
      <c r="DV167" s="180">
        <f t="shared" si="218"/>
        <v>0</v>
      </c>
      <c r="DW167" s="181">
        <f>Автовик_разбивка[[#This Row],[Цена, 
юань, без НДС 1]]*DV167</f>
        <v>0</v>
      </c>
      <c r="DX167" s="186">
        <f t="shared" si="219"/>
        <v>0</v>
      </c>
      <c r="DY167" s="186">
        <f>Автовик_разбивка[[#This Row],[Цена, 
юань, без НДС 1]]*DX167</f>
        <v>0</v>
      </c>
      <c r="DZ167" s="130">
        <f t="shared" si="220"/>
        <v>0</v>
      </c>
      <c r="EA167" s="187">
        <f>Автовик_разбивка[[#This Row],[Цена, 
юань, без НДС 1]]*DZ167</f>
        <v>0</v>
      </c>
      <c r="EB167" s="109">
        <f t="shared" si="221"/>
        <v>0</v>
      </c>
      <c r="EC167" s="224">
        <f>Автовик_разбивка[[#This Row],[Цена, 
юань, без НДС 1]]*EB167</f>
        <v>0</v>
      </c>
    </row>
    <row r="168" spans="1:133">
      <c r="A168" s="260">
        <v>33</v>
      </c>
      <c r="B168" s="172" t="s">
        <v>325</v>
      </c>
      <c r="C168" s="173" t="s">
        <v>301</v>
      </c>
      <c r="D168" s="173" t="s">
        <v>326</v>
      </c>
      <c r="E168" s="174">
        <v>6</v>
      </c>
      <c r="F168" s="174"/>
      <c r="G168" s="174">
        <v>2</v>
      </c>
      <c r="H168" s="175">
        <v>4497490300</v>
      </c>
      <c r="I168" s="176" t="s">
        <v>100</v>
      </c>
      <c r="J168" s="227"/>
      <c r="K168" s="223"/>
      <c r="L168" s="178"/>
      <c r="M168" s="130"/>
      <c r="N168" s="179"/>
      <c r="O168" s="130"/>
      <c r="P168" s="178"/>
      <c r="Q168" s="130"/>
      <c r="R168" s="179"/>
      <c r="S168" s="130"/>
      <c r="T168" s="178"/>
      <c r="U168" s="130"/>
      <c r="V168" s="179"/>
      <c r="W168" s="130"/>
      <c r="X168" s="178"/>
      <c r="Y168" s="130"/>
      <c r="Z168" s="179"/>
      <c r="AA168" s="130"/>
      <c r="AB168" s="178"/>
      <c r="AC168" s="130"/>
      <c r="AD168" s="179"/>
      <c r="AE168" s="130"/>
      <c r="AF168" s="178"/>
      <c r="AG168" s="130"/>
      <c r="AH168" s="179"/>
      <c r="AI168" s="130"/>
      <c r="AJ168" s="178"/>
      <c r="AK168" s="130"/>
      <c r="AL168" s="179"/>
      <c r="AM168" s="130"/>
      <c r="AN168" s="178"/>
      <c r="AO168" s="130"/>
      <c r="AP168" s="179"/>
      <c r="AQ168" s="130"/>
      <c r="AR168" s="178"/>
      <c r="AS168" s="130"/>
      <c r="AT168" s="179"/>
      <c r="AU168" s="130"/>
      <c r="AV168" s="178"/>
      <c r="AW168" s="130"/>
      <c r="AX168" s="179"/>
      <c r="AY168" s="130"/>
      <c r="AZ168" s="178"/>
      <c r="BA168" s="130"/>
      <c r="BB168" s="179"/>
      <c r="BC168" s="130"/>
      <c r="BD168" s="178"/>
      <c r="BE168" s="130"/>
      <c r="BF168" s="109"/>
      <c r="BG168" s="130"/>
      <c r="BH168" s="180">
        <f t="shared" si="215"/>
        <v>0</v>
      </c>
      <c r="BI168" s="181">
        <f>Автовик_разбивка[[#This Row],[Цена, 
юань, без НДС 1]]*BH168</f>
        <v>0</v>
      </c>
      <c r="BJ168" s="130">
        <f t="shared" si="216"/>
        <v>0</v>
      </c>
      <c r="BK168" s="187">
        <f>Автовик_разбивка[[#This Row],[Цена, 
юань, без НДС 1]]*BJ168</f>
        <v>0</v>
      </c>
      <c r="BL168" s="109">
        <f t="shared" si="217"/>
        <v>0</v>
      </c>
      <c r="BM168" s="224">
        <f>Автовик_разбивка[[#This Row],[Цена, 
юань, без НДС 1]]*BL168</f>
        <v>0</v>
      </c>
      <c r="BN168" s="178"/>
      <c r="BO168" s="184"/>
      <c r="BP168" s="130"/>
      <c r="BQ168" s="179"/>
      <c r="BR168" s="130"/>
      <c r="BS168" s="178"/>
      <c r="BT168" s="184"/>
      <c r="BU168" s="130"/>
      <c r="BV168" s="179"/>
      <c r="BW168" s="130"/>
      <c r="BX168" s="178"/>
      <c r="BY168" s="184"/>
      <c r="BZ168" s="130"/>
      <c r="CA168" s="179"/>
      <c r="CB168" s="130"/>
      <c r="CC168" s="178"/>
      <c r="CD168" s="184"/>
      <c r="CE168" s="130"/>
      <c r="CF168" s="179"/>
      <c r="CG168" s="130"/>
      <c r="CH168" s="178"/>
      <c r="CI168" s="184"/>
      <c r="CJ168" s="130"/>
      <c r="CK168" s="179"/>
      <c r="CL168" s="130"/>
      <c r="CM168" s="178"/>
      <c r="CN168" s="184"/>
      <c r="CO168" s="130"/>
      <c r="CP168" s="179"/>
      <c r="CQ168" s="130"/>
      <c r="CR168" s="178"/>
      <c r="CS168" s="184"/>
      <c r="CT168" s="130"/>
      <c r="CU168" s="179"/>
      <c r="CV168" s="130"/>
      <c r="CW168" s="178"/>
      <c r="CX168" s="184"/>
      <c r="CY168" s="130"/>
      <c r="CZ168" s="179"/>
      <c r="DA168" s="130"/>
      <c r="DB168" s="178"/>
      <c r="DC168" s="184"/>
      <c r="DD168" s="130"/>
      <c r="DE168" s="179"/>
      <c r="DF168" s="130"/>
      <c r="DG168" s="178"/>
      <c r="DH168" s="184"/>
      <c r="DI168" s="130"/>
      <c r="DJ168" s="179"/>
      <c r="DK168" s="130"/>
      <c r="DL168" s="178"/>
      <c r="DM168" s="184"/>
      <c r="DN168" s="130"/>
      <c r="DO168" s="179"/>
      <c r="DP168" s="130"/>
      <c r="DQ168" s="178"/>
      <c r="DR168" s="184"/>
      <c r="DS168" s="130"/>
      <c r="DT168" s="109"/>
      <c r="DU168" s="130"/>
      <c r="DV168" s="180">
        <f t="shared" si="218"/>
        <v>0</v>
      </c>
      <c r="DW168" s="181">
        <f>Автовик_разбивка[[#This Row],[Цена, 
юань, без НДС 1]]*DV168</f>
        <v>0</v>
      </c>
      <c r="DX168" s="186">
        <f t="shared" si="219"/>
        <v>0</v>
      </c>
      <c r="DY168" s="186">
        <f>Автовик_разбивка[[#This Row],[Цена, 
юань, без НДС 1]]*DX168</f>
        <v>0</v>
      </c>
      <c r="DZ168" s="130">
        <f t="shared" si="220"/>
        <v>0</v>
      </c>
      <c r="EA168" s="187">
        <f>Автовик_разбивка[[#This Row],[Цена, 
юань, без НДС 1]]*DZ168</f>
        <v>0</v>
      </c>
      <c r="EB168" s="109">
        <f t="shared" si="221"/>
        <v>0</v>
      </c>
      <c r="EC168" s="224">
        <f>Автовик_разбивка[[#This Row],[Цена, 
юань, без НДС 1]]*EB168</f>
        <v>0</v>
      </c>
    </row>
    <row r="169" spans="1:133">
      <c r="A169" s="260">
        <v>33</v>
      </c>
      <c r="B169" s="172" t="s">
        <v>325</v>
      </c>
      <c r="C169" s="173" t="s">
        <v>301</v>
      </c>
      <c r="D169" s="173" t="s">
        <v>326</v>
      </c>
      <c r="E169" s="174">
        <v>1</v>
      </c>
      <c r="F169" s="174"/>
      <c r="G169" s="174"/>
      <c r="H169" s="175">
        <v>4721950310</v>
      </c>
      <c r="I169" s="176" t="s">
        <v>102</v>
      </c>
      <c r="J169" s="227"/>
      <c r="K169" s="223"/>
      <c r="L169" s="178"/>
      <c r="M169" s="130"/>
      <c r="N169" s="179"/>
      <c r="O169" s="130"/>
      <c r="P169" s="178"/>
      <c r="Q169" s="130"/>
      <c r="R169" s="179"/>
      <c r="S169" s="130"/>
      <c r="T169" s="178"/>
      <c r="U169" s="130"/>
      <c r="V169" s="179"/>
      <c r="W169" s="130"/>
      <c r="X169" s="178"/>
      <c r="Y169" s="130"/>
      <c r="Z169" s="179"/>
      <c r="AA169" s="130"/>
      <c r="AB169" s="178"/>
      <c r="AC169" s="130"/>
      <c r="AD169" s="179"/>
      <c r="AE169" s="130"/>
      <c r="AF169" s="178"/>
      <c r="AG169" s="130"/>
      <c r="AH169" s="179"/>
      <c r="AI169" s="130"/>
      <c r="AJ169" s="178"/>
      <c r="AK169" s="130"/>
      <c r="AL169" s="179"/>
      <c r="AM169" s="130"/>
      <c r="AN169" s="178"/>
      <c r="AO169" s="130"/>
      <c r="AP169" s="179"/>
      <c r="AQ169" s="130"/>
      <c r="AR169" s="178"/>
      <c r="AS169" s="130"/>
      <c r="AT169" s="179"/>
      <c r="AU169" s="130"/>
      <c r="AV169" s="178"/>
      <c r="AW169" s="130"/>
      <c r="AX169" s="179"/>
      <c r="AY169" s="130"/>
      <c r="AZ169" s="178"/>
      <c r="BA169" s="130"/>
      <c r="BB169" s="179"/>
      <c r="BC169" s="130"/>
      <c r="BD169" s="178"/>
      <c r="BE169" s="130"/>
      <c r="BF169" s="109"/>
      <c r="BG169" s="130"/>
      <c r="BH169" s="180">
        <f t="shared" si="215"/>
        <v>0</v>
      </c>
      <c r="BI169" s="181">
        <f>Автовик_разбивка[[#This Row],[Цена, 
юань, без НДС 1]]*BH169</f>
        <v>0</v>
      </c>
      <c r="BJ169" s="130">
        <f t="shared" si="216"/>
        <v>0</v>
      </c>
      <c r="BK169" s="187">
        <f>Автовик_разбивка[[#This Row],[Цена, 
юань, без НДС 1]]*BJ169</f>
        <v>0</v>
      </c>
      <c r="BL169" s="109">
        <f t="shared" si="217"/>
        <v>0</v>
      </c>
      <c r="BM169" s="224">
        <f>Автовик_разбивка[[#This Row],[Цена, 
юань, без НДС 1]]*BL169</f>
        <v>0</v>
      </c>
      <c r="BN169" s="178"/>
      <c r="BO169" s="184"/>
      <c r="BP169" s="130"/>
      <c r="BQ169" s="179"/>
      <c r="BR169" s="130"/>
      <c r="BS169" s="178"/>
      <c r="BT169" s="184"/>
      <c r="BU169" s="130"/>
      <c r="BV169" s="179"/>
      <c r="BW169" s="130"/>
      <c r="BX169" s="178"/>
      <c r="BY169" s="184"/>
      <c r="BZ169" s="130"/>
      <c r="CA169" s="179"/>
      <c r="CB169" s="130"/>
      <c r="CC169" s="178"/>
      <c r="CD169" s="184"/>
      <c r="CE169" s="130"/>
      <c r="CF169" s="179"/>
      <c r="CG169" s="130"/>
      <c r="CH169" s="178"/>
      <c r="CI169" s="184"/>
      <c r="CJ169" s="130"/>
      <c r="CK169" s="179"/>
      <c r="CL169" s="130"/>
      <c r="CM169" s="178"/>
      <c r="CN169" s="184"/>
      <c r="CO169" s="130"/>
      <c r="CP169" s="179"/>
      <c r="CQ169" s="130"/>
      <c r="CR169" s="178"/>
      <c r="CS169" s="184"/>
      <c r="CT169" s="130"/>
      <c r="CU169" s="179"/>
      <c r="CV169" s="130"/>
      <c r="CW169" s="178"/>
      <c r="CX169" s="184"/>
      <c r="CY169" s="130"/>
      <c r="CZ169" s="179"/>
      <c r="DA169" s="130"/>
      <c r="DB169" s="178"/>
      <c r="DC169" s="184"/>
      <c r="DD169" s="130"/>
      <c r="DE169" s="179"/>
      <c r="DF169" s="130"/>
      <c r="DG169" s="178"/>
      <c r="DH169" s="184"/>
      <c r="DI169" s="130"/>
      <c r="DJ169" s="179"/>
      <c r="DK169" s="130"/>
      <c r="DL169" s="178"/>
      <c r="DM169" s="184"/>
      <c r="DN169" s="130"/>
      <c r="DO169" s="179"/>
      <c r="DP169" s="130"/>
      <c r="DQ169" s="178"/>
      <c r="DR169" s="184"/>
      <c r="DS169" s="130"/>
      <c r="DT169" s="109"/>
      <c r="DU169" s="130"/>
      <c r="DV169" s="180">
        <f t="shared" si="218"/>
        <v>0</v>
      </c>
      <c r="DW169" s="181">
        <f>Автовик_разбивка[[#This Row],[Цена, 
юань, без НДС 1]]*DV169</f>
        <v>0</v>
      </c>
      <c r="DX169" s="186">
        <f t="shared" si="219"/>
        <v>0</v>
      </c>
      <c r="DY169" s="186">
        <f>Автовик_разбивка[[#This Row],[Цена, 
юань, без НДС 1]]*DX169</f>
        <v>0</v>
      </c>
      <c r="DZ169" s="130">
        <f t="shared" si="220"/>
        <v>0</v>
      </c>
      <c r="EA169" s="187">
        <f>Автовик_разбивка[[#This Row],[Цена, 
юань, без НДС 1]]*DZ169</f>
        <v>0</v>
      </c>
      <c r="EB169" s="109">
        <f t="shared" si="221"/>
        <v>0</v>
      </c>
      <c r="EC169" s="224">
        <f>Автовик_разбивка[[#This Row],[Цена, 
юань, без НДС 1]]*EB169</f>
        <v>0</v>
      </c>
    </row>
    <row r="170" spans="1:133">
      <c r="A170" s="260">
        <v>33</v>
      </c>
      <c r="B170" s="172" t="s">
        <v>325</v>
      </c>
      <c r="C170" s="173" t="s">
        <v>301</v>
      </c>
      <c r="D170" s="173" t="s">
        <v>326</v>
      </c>
      <c r="E170" s="174">
        <v>1</v>
      </c>
      <c r="F170" s="174"/>
      <c r="G170" s="174">
        <v>2</v>
      </c>
      <c r="H170" s="175">
        <v>9522010010</v>
      </c>
      <c r="I170" s="176" t="s">
        <v>73</v>
      </c>
      <c r="J170" s="227"/>
      <c r="K170" s="223"/>
      <c r="L170" s="178"/>
      <c r="M170" s="130"/>
      <c r="N170" s="179"/>
      <c r="O170" s="130"/>
      <c r="P170" s="178"/>
      <c r="Q170" s="130"/>
      <c r="R170" s="179"/>
      <c r="S170" s="130"/>
      <c r="T170" s="178"/>
      <c r="U170" s="130"/>
      <c r="V170" s="179"/>
      <c r="W170" s="130"/>
      <c r="X170" s="178"/>
      <c r="Y170" s="130"/>
      <c r="Z170" s="179"/>
      <c r="AA170" s="130"/>
      <c r="AB170" s="178"/>
      <c r="AC170" s="130"/>
      <c r="AD170" s="179"/>
      <c r="AE170" s="130"/>
      <c r="AF170" s="178"/>
      <c r="AG170" s="130"/>
      <c r="AH170" s="179"/>
      <c r="AI170" s="130"/>
      <c r="AJ170" s="178"/>
      <c r="AK170" s="130"/>
      <c r="AL170" s="179"/>
      <c r="AM170" s="130"/>
      <c r="AN170" s="178"/>
      <c r="AO170" s="130"/>
      <c r="AP170" s="179"/>
      <c r="AQ170" s="130"/>
      <c r="AR170" s="178"/>
      <c r="AS170" s="130"/>
      <c r="AT170" s="179"/>
      <c r="AU170" s="130"/>
      <c r="AV170" s="178"/>
      <c r="AW170" s="130"/>
      <c r="AX170" s="179"/>
      <c r="AY170" s="130"/>
      <c r="AZ170" s="178"/>
      <c r="BA170" s="130"/>
      <c r="BB170" s="179"/>
      <c r="BC170" s="130"/>
      <c r="BD170" s="178"/>
      <c r="BE170" s="130"/>
      <c r="BF170" s="109"/>
      <c r="BG170" s="130"/>
      <c r="BH170" s="180">
        <f t="shared" si="215"/>
        <v>0</v>
      </c>
      <c r="BI170" s="181">
        <f>Автовик_разбивка[[#This Row],[Цена, 
юань, без НДС 1]]*BH170</f>
        <v>0</v>
      </c>
      <c r="BJ170" s="130">
        <f t="shared" si="216"/>
        <v>0</v>
      </c>
      <c r="BK170" s="187">
        <f>Автовик_разбивка[[#This Row],[Цена, 
юань, без НДС 1]]*BJ170</f>
        <v>0</v>
      </c>
      <c r="BL170" s="109">
        <f t="shared" si="217"/>
        <v>0</v>
      </c>
      <c r="BM170" s="224">
        <f>Автовик_разбивка[[#This Row],[Цена, 
юань, без НДС 1]]*BL170</f>
        <v>0</v>
      </c>
      <c r="BN170" s="178"/>
      <c r="BO170" s="184"/>
      <c r="BP170" s="130"/>
      <c r="BQ170" s="179"/>
      <c r="BR170" s="130"/>
      <c r="BS170" s="178"/>
      <c r="BT170" s="184"/>
      <c r="BU170" s="130"/>
      <c r="BV170" s="179"/>
      <c r="BW170" s="130"/>
      <c r="BX170" s="178"/>
      <c r="BY170" s="184"/>
      <c r="BZ170" s="130"/>
      <c r="CA170" s="179"/>
      <c r="CB170" s="130"/>
      <c r="CC170" s="178"/>
      <c r="CD170" s="184"/>
      <c r="CE170" s="130"/>
      <c r="CF170" s="179"/>
      <c r="CG170" s="130"/>
      <c r="CH170" s="178"/>
      <c r="CI170" s="184"/>
      <c r="CJ170" s="130"/>
      <c r="CK170" s="179"/>
      <c r="CL170" s="130"/>
      <c r="CM170" s="178"/>
      <c r="CN170" s="184"/>
      <c r="CO170" s="130"/>
      <c r="CP170" s="179"/>
      <c r="CQ170" s="130"/>
      <c r="CR170" s="178"/>
      <c r="CS170" s="184"/>
      <c r="CT170" s="130"/>
      <c r="CU170" s="179"/>
      <c r="CV170" s="130"/>
      <c r="CW170" s="178"/>
      <c r="CX170" s="184"/>
      <c r="CY170" s="130"/>
      <c r="CZ170" s="179"/>
      <c r="DA170" s="130"/>
      <c r="DB170" s="178"/>
      <c r="DC170" s="184"/>
      <c r="DD170" s="130"/>
      <c r="DE170" s="179"/>
      <c r="DF170" s="130"/>
      <c r="DG170" s="178"/>
      <c r="DH170" s="184"/>
      <c r="DI170" s="130"/>
      <c r="DJ170" s="179"/>
      <c r="DK170" s="130"/>
      <c r="DL170" s="178"/>
      <c r="DM170" s="184"/>
      <c r="DN170" s="130"/>
      <c r="DO170" s="179"/>
      <c r="DP170" s="130"/>
      <c r="DQ170" s="178"/>
      <c r="DR170" s="184"/>
      <c r="DS170" s="130"/>
      <c r="DT170" s="109"/>
      <c r="DU170" s="130"/>
      <c r="DV170" s="180">
        <f t="shared" si="218"/>
        <v>0</v>
      </c>
      <c r="DW170" s="181">
        <f>Автовик_разбивка[[#This Row],[Цена, 
юань, без НДС 1]]*DV170</f>
        <v>0</v>
      </c>
      <c r="DX170" s="186">
        <f t="shared" si="219"/>
        <v>0</v>
      </c>
      <c r="DY170" s="186">
        <f>Автовик_разбивка[[#This Row],[Цена, 
юань, без НДС 1]]*DX170</f>
        <v>0</v>
      </c>
      <c r="DZ170" s="130">
        <f t="shared" si="220"/>
        <v>0</v>
      </c>
      <c r="EA170" s="187">
        <f>Автовик_разбивка[[#This Row],[Цена, 
юань, без НДС 1]]*DZ170</f>
        <v>0</v>
      </c>
      <c r="EB170" s="109">
        <f t="shared" si="221"/>
        <v>0</v>
      </c>
      <c r="EC170" s="224">
        <f>Автовик_разбивка[[#This Row],[Цена, 
юань, без НДС 1]]*EB170</f>
        <v>0</v>
      </c>
    </row>
    <row r="171" spans="1:133">
      <c r="A171" s="260">
        <v>33</v>
      </c>
      <c r="B171" s="172" t="s">
        <v>325</v>
      </c>
      <c r="C171" s="173" t="s">
        <v>301</v>
      </c>
      <c r="D171" s="173" t="s">
        <v>326</v>
      </c>
      <c r="E171" s="174">
        <v>1</v>
      </c>
      <c r="F171" s="174"/>
      <c r="G171" s="174">
        <v>2</v>
      </c>
      <c r="H171" s="175">
        <v>9522010020</v>
      </c>
      <c r="I171" s="176" t="s">
        <v>74</v>
      </c>
      <c r="J171" s="227"/>
      <c r="K171" s="223"/>
      <c r="L171" s="178"/>
      <c r="M171" s="130"/>
      <c r="N171" s="179"/>
      <c r="O171" s="130"/>
      <c r="P171" s="178"/>
      <c r="Q171" s="130"/>
      <c r="R171" s="179"/>
      <c r="S171" s="130"/>
      <c r="T171" s="178"/>
      <c r="U171" s="130"/>
      <c r="V171" s="179"/>
      <c r="W171" s="130"/>
      <c r="X171" s="178"/>
      <c r="Y171" s="130"/>
      <c r="Z171" s="179"/>
      <c r="AA171" s="130"/>
      <c r="AB171" s="178"/>
      <c r="AC171" s="130"/>
      <c r="AD171" s="179"/>
      <c r="AE171" s="130"/>
      <c r="AF171" s="178"/>
      <c r="AG171" s="130"/>
      <c r="AH171" s="179"/>
      <c r="AI171" s="130"/>
      <c r="AJ171" s="178"/>
      <c r="AK171" s="130"/>
      <c r="AL171" s="179"/>
      <c r="AM171" s="130"/>
      <c r="AN171" s="178"/>
      <c r="AO171" s="130"/>
      <c r="AP171" s="179"/>
      <c r="AQ171" s="130"/>
      <c r="AR171" s="178"/>
      <c r="AS171" s="130"/>
      <c r="AT171" s="179"/>
      <c r="AU171" s="130"/>
      <c r="AV171" s="178"/>
      <c r="AW171" s="130"/>
      <c r="AX171" s="179"/>
      <c r="AY171" s="130"/>
      <c r="AZ171" s="178"/>
      <c r="BA171" s="130"/>
      <c r="BB171" s="179"/>
      <c r="BC171" s="130"/>
      <c r="BD171" s="178"/>
      <c r="BE171" s="130"/>
      <c r="BF171" s="109"/>
      <c r="BG171" s="130"/>
      <c r="BH171" s="180">
        <f t="shared" si="215"/>
        <v>0</v>
      </c>
      <c r="BI171" s="181">
        <f>Автовик_разбивка[[#This Row],[Цена, 
юань, без НДС 1]]*BH171</f>
        <v>0</v>
      </c>
      <c r="BJ171" s="130">
        <f t="shared" si="216"/>
        <v>0</v>
      </c>
      <c r="BK171" s="187">
        <f>Автовик_разбивка[[#This Row],[Цена, 
юань, без НДС 1]]*BJ171</f>
        <v>0</v>
      </c>
      <c r="BL171" s="109">
        <f t="shared" si="217"/>
        <v>0</v>
      </c>
      <c r="BM171" s="224">
        <f>Автовик_разбивка[[#This Row],[Цена, 
юань, без НДС 1]]*BL171</f>
        <v>0</v>
      </c>
      <c r="BN171" s="178"/>
      <c r="BO171" s="184"/>
      <c r="BP171" s="130"/>
      <c r="BQ171" s="179"/>
      <c r="BR171" s="130"/>
      <c r="BS171" s="178"/>
      <c r="BT171" s="184"/>
      <c r="BU171" s="130"/>
      <c r="BV171" s="179"/>
      <c r="BW171" s="130"/>
      <c r="BX171" s="178"/>
      <c r="BY171" s="184"/>
      <c r="BZ171" s="130"/>
      <c r="CA171" s="179"/>
      <c r="CB171" s="130"/>
      <c r="CC171" s="178"/>
      <c r="CD171" s="184"/>
      <c r="CE171" s="130"/>
      <c r="CF171" s="179"/>
      <c r="CG171" s="130"/>
      <c r="CH171" s="178"/>
      <c r="CI171" s="184"/>
      <c r="CJ171" s="130"/>
      <c r="CK171" s="179"/>
      <c r="CL171" s="130"/>
      <c r="CM171" s="178"/>
      <c r="CN171" s="184"/>
      <c r="CO171" s="130"/>
      <c r="CP171" s="179"/>
      <c r="CQ171" s="130"/>
      <c r="CR171" s="178"/>
      <c r="CS171" s="184"/>
      <c r="CT171" s="130"/>
      <c r="CU171" s="179"/>
      <c r="CV171" s="130"/>
      <c r="CW171" s="178"/>
      <c r="CX171" s="184"/>
      <c r="CY171" s="130"/>
      <c r="CZ171" s="179"/>
      <c r="DA171" s="130"/>
      <c r="DB171" s="178"/>
      <c r="DC171" s="184"/>
      <c r="DD171" s="130"/>
      <c r="DE171" s="179"/>
      <c r="DF171" s="130"/>
      <c r="DG171" s="178"/>
      <c r="DH171" s="184"/>
      <c r="DI171" s="130"/>
      <c r="DJ171" s="179"/>
      <c r="DK171" s="130"/>
      <c r="DL171" s="178"/>
      <c r="DM171" s="184"/>
      <c r="DN171" s="130"/>
      <c r="DO171" s="179"/>
      <c r="DP171" s="130"/>
      <c r="DQ171" s="178"/>
      <c r="DR171" s="184"/>
      <c r="DS171" s="130"/>
      <c r="DT171" s="109"/>
      <c r="DU171" s="130"/>
      <c r="DV171" s="180">
        <f t="shared" si="218"/>
        <v>0</v>
      </c>
      <c r="DW171" s="181">
        <f>Автовик_разбивка[[#This Row],[Цена, 
юань, без НДС 1]]*DV171</f>
        <v>0</v>
      </c>
      <c r="DX171" s="186">
        <f t="shared" si="219"/>
        <v>0</v>
      </c>
      <c r="DY171" s="186">
        <f>Автовик_разбивка[[#This Row],[Цена, 
юань, без НДС 1]]*DX171</f>
        <v>0</v>
      </c>
      <c r="DZ171" s="130">
        <f t="shared" si="220"/>
        <v>0</v>
      </c>
      <c r="EA171" s="187">
        <f>Автовик_разбивка[[#This Row],[Цена, 
юань, без НДС 1]]*DZ171</f>
        <v>0</v>
      </c>
      <c r="EB171" s="109">
        <f t="shared" si="221"/>
        <v>0</v>
      </c>
      <c r="EC171" s="224">
        <f>Автовик_разбивка[[#This Row],[Цена, 
юань, без НДС 1]]*EB171</f>
        <v>0</v>
      </c>
    </row>
    <row r="172" spans="1:133">
      <c r="A172" s="260">
        <v>33</v>
      </c>
      <c r="B172" s="172" t="s">
        <v>325</v>
      </c>
      <c r="C172" s="173" t="s">
        <v>301</v>
      </c>
      <c r="D172" s="173" t="s">
        <v>326</v>
      </c>
      <c r="E172" s="174">
        <v>1</v>
      </c>
      <c r="F172" s="174"/>
      <c r="G172" s="174">
        <v>2</v>
      </c>
      <c r="H172" s="175">
        <v>9710020400</v>
      </c>
      <c r="I172" s="176" t="s">
        <v>101</v>
      </c>
      <c r="J172" s="227"/>
      <c r="K172" s="223"/>
      <c r="L172" s="178"/>
      <c r="M172" s="130"/>
      <c r="N172" s="179"/>
      <c r="O172" s="130"/>
      <c r="P172" s="178"/>
      <c r="Q172" s="130"/>
      <c r="R172" s="179"/>
      <c r="S172" s="130"/>
      <c r="T172" s="178"/>
      <c r="U172" s="130"/>
      <c r="V172" s="179"/>
      <c r="W172" s="130"/>
      <c r="X172" s="178"/>
      <c r="Y172" s="130"/>
      <c r="Z172" s="179"/>
      <c r="AA172" s="130"/>
      <c r="AB172" s="178"/>
      <c r="AC172" s="130"/>
      <c r="AD172" s="179"/>
      <c r="AE172" s="130"/>
      <c r="AF172" s="178"/>
      <c r="AG172" s="130"/>
      <c r="AH172" s="179"/>
      <c r="AI172" s="130"/>
      <c r="AJ172" s="178"/>
      <c r="AK172" s="130"/>
      <c r="AL172" s="179"/>
      <c r="AM172" s="130"/>
      <c r="AN172" s="178"/>
      <c r="AO172" s="130"/>
      <c r="AP172" s="179"/>
      <c r="AQ172" s="130"/>
      <c r="AR172" s="178"/>
      <c r="AS172" s="130"/>
      <c r="AT172" s="179"/>
      <c r="AU172" s="130"/>
      <c r="AV172" s="178"/>
      <c r="AW172" s="130"/>
      <c r="AX172" s="179"/>
      <c r="AY172" s="130"/>
      <c r="AZ172" s="178"/>
      <c r="BA172" s="130"/>
      <c r="BB172" s="179"/>
      <c r="BC172" s="130"/>
      <c r="BD172" s="178"/>
      <c r="BE172" s="130"/>
      <c r="BF172" s="109"/>
      <c r="BG172" s="130"/>
      <c r="BH172" s="180">
        <f t="shared" si="215"/>
        <v>0</v>
      </c>
      <c r="BI172" s="181">
        <f>Автовик_разбивка[[#This Row],[Цена, 
юань, без НДС 1]]*BH172</f>
        <v>0</v>
      </c>
      <c r="BJ172" s="130">
        <f t="shared" si="216"/>
        <v>0</v>
      </c>
      <c r="BK172" s="187">
        <f>Автовик_разбивка[[#This Row],[Цена, 
юань, без НДС 1]]*BJ172</f>
        <v>0</v>
      </c>
      <c r="BL172" s="109">
        <f t="shared" si="217"/>
        <v>0</v>
      </c>
      <c r="BM172" s="224">
        <f>Автовик_разбивка[[#This Row],[Цена, 
юань, без НДС 1]]*BL172</f>
        <v>0</v>
      </c>
      <c r="BN172" s="178"/>
      <c r="BO172" s="184"/>
      <c r="BP172" s="130"/>
      <c r="BQ172" s="179"/>
      <c r="BR172" s="130"/>
      <c r="BS172" s="178"/>
      <c r="BT172" s="184"/>
      <c r="BU172" s="130"/>
      <c r="BV172" s="179"/>
      <c r="BW172" s="130"/>
      <c r="BX172" s="178"/>
      <c r="BY172" s="184"/>
      <c r="BZ172" s="130"/>
      <c r="CA172" s="179"/>
      <c r="CB172" s="130"/>
      <c r="CC172" s="178"/>
      <c r="CD172" s="184"/>
      <c r="CE172" s="130"/>
      <c r="CF172" s="179"/>
      <c r="CG172" s="130"/>
      <c r="CH172" s="178"/>
      <c r="CI172" s="184"/>
      <c r="CJ172" s="130"/>
      <c r="CK172" s="179"/>
      <c r="CL172" s="130"/>
      <c r="CM172" s="178"/>
      <c r="CN172" s="184"/>
      <c r="CO172" s="130"/>
      <c r="CP172" s="179"/>
      <c r="CQ172" s="130"/>
      <c r="CR172" s="178"/>
      <c r="CS172" s="184"/>
      <c r="CT172" s="130"/>
      <c r="CU172" s="179"/>
      <c r="CV172" s="130"/>
      <c r="CW172" s="178"/>
      <c r="CX172" s="184"/>
      <c r="CY172" s="130"/>
      <c r="CZ172" s="179"/>
      <c r="DA172" s="130"/>
      <c r="DB172" s="178"/>
      <c r="DC172" s="184"/>
      <c r="DD172" s="130"/>
      <c r="DE172" s="179"/>
      <c r="DF172" s="130"/>
      <c r="DG172" s="178"/>
      <c r="DH172" s="184"/>
      <c r="DI172" s="130"/>
      <c r="DJ172" s="179"/>
      <c r="DK172" s="130"/>
      <c r="DL172" s="178"/>
      <c r="DM172" s="184"/>
      <c r="DN172" s="130"/>
      <c r="DO172" s="179"/>
      <c r="DP172" s="130"/>
      <c r="DQ172" s="178"/>
      <c r="DR172" s="184"/>
      <c r="DS172" s="130"/>
      <c r="DT172" s="109"/>
      <c r="DU172" s="130"/>
      <c r="DV172" s="180">
        <f t="shared" si="218"/>
        <v>0</v>
      </c>
      <c r="DW172" s="181">
        <f>Автовик_разбивка[[#This Row],[Цена, 
юань, без НДС 1]]*DV172</f>
        <v>0</v>
      </c>
      <c r="DX172" s="186">
        <f t="shared" si="219"/>
        <v>0</v>
      </c>
      <c r="DY172" s="186">
        <f>Автовик_разбивка[[#This Row],[Цена, 
юань, без НДС 1]]*DX172</f>
        <v>0</v>
      </c>
      <c r="DZ172" s="130">
        <f t="shared" si="220"/>
        <v>0</v>
      </c>
      <c r="EA172" s="187">
        <f>Автовик_разбивка[[#This Row],[Цена, 
юань, без НДС 1]]*DZ172</f>
        <v>0</v>
      </c>
      <c r="EB172" s="109">
        <f t="shared" si="221"/>
        <v>0</v>
      </c>
      <c r="EC172" s="224">
        <f>Автовик_разбивка[[#This Row],[Цена, 
юань, без НДС 1]]*EB172</f>
        <v>0</v>
      </c>
    </row>
    <row r="173" spans="1:133">
      <c r="A173" s="260">
        <v>33</v>
      </c>
      <c r="B173" s="172" t="s">
        <v>325</v>
      </c>
      <c r="C173" s="132"/>
      <c r="D173" s="132"/>
      <c r="E173" s="229"/>
      <c r="F173" s="229"/>
      <c r="G173" s="229"/>
      <c r="H173" s="230"/>
      <c r="I173" s="231" t="s">
        <v>43</v>
      </c>
      <c r="J173" s="232"/>
      <c r="K173" s="232"/>
      <c r="L173" s="233"/>
      <c r="M173" s="234"/>
      <c r="N173" s="235"/>
      <c r="O173" s="234"/>
      <c r="P173" s="233"/>
      <c r="Q173" s="234"/>
      <c r="R173" s="235"/>
      <c r="S173" s="234"/>
      <c r="T173" s="233"/>
      <c r="U173" s="234"/>
      <c r="V173" s="235"/>
      <c r="W173" s="234"/>
      <c r="X173" s="233"/>
      <c r="Y173" s="234"/>
      <c r="Z173" s="235"/>
      <c r="AA173" s="234"/>
      <c r="AB173" s="233"/>
      <c r="AC173" s="234"/>
      <c r="AD173" s="235"/>
      <c r="AE173" s="234"/>
      <c r="AF173" s="233"/>
      <c r="AG173" s="234"/>
      <c r="AH173" s="235"/>
      <c r="AI173" s="234"/>
      <c r="AJ173" s="233"/>
      <c r="AK173" s="234"/>
      <c r="AL173" s="235"/>
      <c r="AM173" s="234"/>
      <c r="AN173" s="233"/>
      <c r="AO173" s="234"/>
      <c r="AP173" s="235"/>
      <c r="AQ173" s="234"/>
      <c r="AR173" s="233"/>
      <c r="AS173" s="234"/>
      <c r="AT173" s="235"/>
      <c r="AU173" s="234"/>
      <c r="AV173" s="233"/>
      <c r="AW173" s="234"/>
      <c r="AX173" s="235"/>
      <c r="AY173" s="234"/>
      <c r="AZ173" s="233"/>
      <c r="BA173" s="234"/>
      <c r="BB173" s="235"/>
      <c r="BC173" s="234"/>
      <c r="BD173" s="233"/>
      <c r="BE173" s="234"/>
      <c r="BF173" s="235"/>
      <c r="BG173" s="234"/>
      <c r="BH173" s="233">
        <f t="shared" si="215"/>
        <v>0</v>
      </c>
      <c r="BI173" s="238">
        <f>Автовик_разбивка[[#This Row],[Цена, 
юань, без НДС 1]]*BH173</f>
        <v>0</v>
      </c>
      <c r="BJ173" s="234">
        <f t="shared" si="216"/>
        <v>0</v>
      </c>
      <c r="BK173" s="253">
        <f>Автовик_разбивка[[#This Row],[Цена, 
юань, без НДС 1]]*BJ173</f>
        <v>0</v>
      </c>
      <c r="BL173" s="235">
        <f t="shared" si="217"/>
        <v>0</v>
      </c>
      <c r="BM173" s="254">
        <f>Автовик_разбивка[[#This Row],[Цена, 
юань, без НДС 1]]*BL173</f>
        <v>0</v>
      </c>
      <c r="BN173" s="233"/>
      <c r="BO173" s="241"/>
      <c r="BP173" s="234"/>
      <c r="BQ173" s="235"/>
      <c r="BR173" s="234"/>
      <c r="BS173" s="233"/>
      <c r="BT173" s="241"/>
      <c r="BU173" s="234"/>
      <c r="BV173" s="235"/>
      <c r="BW173" s="234"/>
      <c r="BX173" s="233"/>
      <c r="BY173" s="241"/>
      <c r="BZ173" s="234"/>
      <c r="CA173" s="235"/>
      <c r="CB173" s="234"/>
      <c r="CC173" s="233"/>
      <c r="CD173" s="241"/>
      <c r="CE173" s="234"/>
      <c r="CF173" s="235"/>
      <c r="CG173" s="234"/>
      <c r="CH173" s="233"/>
      <c r="CI173" s="241"/>
      <c r="CJ173" s="234"/>
      <c r="CK173" s="235"/>
      <c r="CL173" s="234"/>
      <c r="CM173" s="233"/>
      <c r="CN173" s="241"/>
      <c r="CO173" s="234"/>
      <c r="CP173" s="235"/>
      <c r="CQ173" s="234"/>
      <c r="CR173" s="233"/>
      <c r="CS173" s="241"/>
      <c r="CT173" s="234"/>
      <c r="CU173" s="235"/>
      <c r="CV173" s="234"/>
      <c r="CW173" s="233"/>
      <c r="CX173" s="241"/>
      <c r="CY173" s="234"/>
      <c r="CZ173" s="235"/>
      <c r="DA173" s="234"/>
      <c r="DB173" s="233"/>
      <c r="DC173" s="241"/>
      <c r="DD173" s="234"/>
      <c r="DE173" s="235"/>
      <c r="DF173" s="234"/>
      <c r="DG173" s="233"/>
      <c r="DH173" s="241"/>
      <c r="DI173" s="234"/>
      <c r="DJ173" s="235"/>
      <c r="DK173" s="234"/>
      <c r="DL173" s="233"/>
      <c r="DM173" s="241"/>
      <c r="DN173" s="234"/>
      <c r="DO173" s="235"/>
      <c r="DP173" s="234"/>
      <c r="DQ173" s="233"/>
      <c r="DR173" s="241"/>
      <c r="DS173" s="234"/>
      <c r="DT173" s="235"/>
      <c r="DU173" s="234"/>
      <c r="DV173" s="233">
        <f t="shared" si="218"/>
        <v>0</v>
      </c>
      <c r="DW173" s="238">
        <f>Автовик_разбивка[[#This Row],[Цена, 
юань, без НДС 1]]*DV173</f>
        <v>0</v>
      </c>
      <c r="DX173" s="242">
        <f t="shared" si="219"/>
        <v>0</v>
      </c>
      <c r="DY173" s="242">
        <f>Автовик_разбивка[[#This Row],[Цена, 
юань, без НДС 1]]*DX173</f>
        <v>0</v>
      </c>
      <c r="DZ173" s="234">
        <f t="shared" si="220"/>
        <v>0</v>
      </c>
      <c r="EA173" s="253">
        <f>Автовик_разбивка[[#This Row],[Цена, 
юань, без НДС 1]]*DZ173</f>
        <v>0</v>
      </c>
      <c r="EB173" s="235">
        <f t="shared" si="221"/>
        <v>0</v>
      </c>
      <c r="EC173" s="254">
        <f>Автовик_разбивка[[#This Row],[Цена, 
юань, без НДС 1]]*EB173</f>
        <v>0</v>
      </c>
    </row>
    <row r="174" spans="1:133">
      <c r="A174" s="260">
        <v>33</v>
      </c>
      <c r="B174" s="261" t="s">
        <v>325</v>
      </c>
      <c r="C174" s="244"/>
      <c r="D174" s="244"/>
      <c r="E174" s="245"/>
      <c r="F174" s="245"/>
      <c r="G174" s="245"/>
      <c r="H174" s="246"/>
      <c r="I174" s="247"/>
      <c r="J174" s="248"/>
      <c r="K174" s="248"/>
      <c r="L174" s="249"/>
      <c r="M174" s="249"/>
      <c r="N174" s="249"/>
      <c r="O174" s="249"/>
      <c r="P174" s="249"/>
      <c r="Q174" s="249"/>
      <c r="R174" s="249"/>
      <c r="S174" s="249"/>
      <c r="T174" s="249"/>
      <c r="U174" s="249"/>
      <c r="V174" s="249"/>
      <c r="W174" s="249"/>
      <c r="X174" s="249"/>
      <c r="Y174" s="249"/>
      <c r="Z174" s="249"/>
      <c r="AA174" s="249"/>
      <c r="AB174" s="249"/>
      <c r="AC174" s="249"/>
      <c r="AD174" s="249"/>
      <c r="AE174" s="249"/>
      <c r="AF174" s="249"/>
      <c r="AG174" s="249"/>
      <c r="AH174" s="249"/>
      <c r="AI174" s="249"/>
      <c r="AJ174" s="249"/>
      <c r="AK174" s="249"/>
      <c r="AL174" s="249"/>
      <c r="AM174" s="249"/>
      <c r="AN174" s="249"/>
      <c r="AO174" s="249"/>
      <c r="AP174" s="249"/>
      <c r="AQ174" s="249"/>
      <c r="AR174" s="249"/>
      <c r="AS174" s="249"/>
      <c r="AT174" s="249"/>
      <c r="AU174" s="249"/>
      <c r="AV174" s="249"/>
      <c r="AW174" s="249"/>
      <c r="AX174" s="250"/>
      <c r="AY174" s="249"/>
      <c r="AZ174" s="250"/>
      <c r="BA174" s="250"/>
      <c r="BB174" s="250"/>
      <c r="BC174" s="249"/>
      <c r="BD174" s="250"/>
      <c r="BE174" s="250"/>
      <c r="BF174" s="250"/>
      <c r="BG174" s="249"/>
      <c r="BH174" s="250">
        <f t="shared" si="215"/>
        <v>0</v>
      </c>
      <c r="BI174" s="251">
        <f>Автовик_разбивка[[#This Row],[Цена, 
юань, без НДС 1]]*BH174</f>
        <v>0</v>
      </c>
      <c r="BJ174" s="250">
        <f t="shared" si="216"/>
        <v>0</v>
      </c>
      <c r="BK174" s="251">
        <f>Автовик_разбивка[[#This Row],[Цена, 
юань, без НДС 1]]*BJ174</f>
        <v>0</v>
      </c>
      <c r="BL174" s="250">
        <f t="shared" si="217"/>
        <v>0</v>
      </c>
      <c r="BM174" s="251">
        <f>Автовик_разбивка[[#This Row],[Цена, 
юань, без НДС 1]]*BL174</f>
        <v>0</v>
      </c>
      <c r="BN174" s="249"/>
      <c r="BO174" s="249"/>
      <c r="BP174" s="249"/>
      <c r="BQ174" s="249"/>
      <c r="BR174" s="249"/>
      <c r="BS174" s="249"/>
      <c r="BT174" s="249"/>
      <c r="BU174" s="249"/>
      <c r="BV174" s="249"/>
      <c r="BW174" s="249"/>
      <c r="BX174" s="249"/>
      <c r="BY174" s="249"/>
      <c r="BZ174" s="249"/>
      <c r="CA174" s="249"/>
      <c r="CB174" s="249"/>
      <c r="CC174" s="249"/>
      <c r="CD174" s="249"/>
      <c r="CE174" s="249"/>
      <c r="CF174" s="249"/>
      <c r="CG174" s="249"/>
      <c r="CH174" s="249"/>
      <c r="CI174" s="249"/>
      <c r="CJ174" s="249"/>
      <c r="CK174" s="249"/>
      <c r="CL174" s="249"/>
      <c r="CM174" s="249"/>
      <c r="CN174" s="249"/>
      <c r="CO174" s="249"/>
      <c r="CP174" s="249"/>
      <c r="CQ174" s="249"/>
      <c r="CR174" s="249"/>
      <c r="CS174" s="249"/>
      <c r="CT174" s="249"/>
      <c r="CU174" s="249"/>
      <c r="CV174" s="249"/>
      <c r="CW174" s="249"/>
      <c r="CX174" s="249"/>
      <c r="CY174" s="249"/>
      <c r="CZ174" s="249"/>
      <c r="DA174" s="249"/>
      <c r="DB174" s="249"/>
      <c r="DC174" s="249"/>
      <c r="DD174" s="249"/>
      <c r="DE174" s="249"/>
      <c r="DF174" s="249"/>
      <c r="DG174" s="249"/>
      <c r="DH174" s="249"/>
      <c r="DI174" s="249"/>
      <c r="DJ174" s="250"/>
      <c r="DK174" s="249"/>
      <c r="DL174" s="250"/>
      <c r="DM174" s="250"/>
      <c r="DN174" s="250"/>
      <c r="DO174" s="250"/>
      <c r="DP174" s="249"/>
      <c r="DQ174" s="250"/>
      <c r="DR174" s="250"/>
      <c r="DS174" s="250"/>
      <c r="DT174" s="250"/>
      <c r="DU174" s="249"/>
      <c r="DV174" s="250">
        <f t="shared" si="218"/>
        <v>0</v>
      </c>
      <c r="DW174" s="251">
        <f>Автовик_разбивка[[#This Row],[Цена, 
юань, без НДС 1]]*DV174</f>
        <v>0</v>
      </c>
      <c r="DX174" s="251">
        <f t="shared" si="219"/>
        <v>0</v>
      </c>
      <c r="DY174" s="251">
        <f>Автовик_разбивка[[#This Row],[Цена, 
юань, без НДС 1]]*DX174</f>
        <v>0</v>
      </c>
      <c r="DZ174" s="250">
        <f t="shared" si="220"/>
        <v>0</v>
      </c>
      <c r="EA174" s="251">
        <f>Автовик_разбивка[[#This Row],[Цена, 
юань, без НДС 1]]*DZ174</f>
        <v>0</v>
      </c>
      <c r="EB174" s="250">
        <f t="shared" si="221"/>
        <v>0</v>
      </c>
      <c r="EC174" s="251">
        <f>Автовик_разбивка[[#This Row],[Цена, 
юань, без НДС 1]]*EB174</f>
        <v>0</v>
      </c>
    </row>
    <row r="175" spans="1:133">
      <c r="A175" s="260">
        <v>33</v>
      </c>
      <c r="B175" s="172" t="s">
        <v>327</v>
      </c>
      <c r="C175" s="173" t="s">
        <v>298</v>
      </c>
      <c r="D175" s="173" t="s">
        <v>300</v>
      </c>
      <c r="E175" s="174">
        <v>1</v>
      </c>
      <c r="F175" s="174"/>
      <c r="G175" s="174"/>
      <c r="H175" s="175">
        <v>4494430600</v>
      </c>
      <c r="I175" s="176" t="s">
        <v>136</v>
      </c>
      <c r="J175" s="227"/>
      <c r="K175" s="223"/>
      <c r="L175" s="178"/>
      <c r="M175" s="130"/>
      <c r="N175" s="179">
        <v>5</v>
      </c>
      <c r="O175" s="130"/>
      <c r="P175" s="178"/>
      <c r="Q175" s="130"/>
      <c r="R175" s="179"/>
      <c r="S175" s="130"/>
      <c r="T175" s="178"/>
      <c r="U175" s="130"/>
      <c r="V175" s="179"/>
      <c r="W175" s="130"/>
      <c r="X175" s="178"/>
      <c r="Y175" s="130"/>
      <c r="Z175" s="179"/>
      <c r="AA175" s="130"/>
      <c r="AB175" s="178"/>
      <c r="AC175" s="130"/>
      <c r="AD175" s="179"/>
      <c r="AE175" s="130"/>
      <c r="AF175" s="178"/>
      <c r="AG175" s="130"/>
      <c r="AH175" s="179"/>
      <c r="AI175" s="130"/>
      <c r="AJ175" s="178"/>
      <c r="AK175" s="130"/>
      <c r="AL175" s="179"/>
      <c r="AM175" s="130"/>
      <c r="AN175" s="178"/>
      <c r="AO175" s="130"/>
      <c r="AP175" s="179"/>
      <c r="AQ175" s="130"/>
      <c r="AR175" s="178"/>
      <c r="AS175" s="130"/>
      <c r="AT175" s="179"/>
      <c r="AU175" s="130"/>
      <c r="AV175" s="178"/>
      <c r="AW175" s="130"/>
      <c r="AX175" s="179"/>
      <c r="AY175" s="130"/>
      <c r="AZ175" s="178"/>
      <c r="BA175" s="130"/>
      <c r="BB175" s="179"/>
      <c r="BC175" s="130"/>
      <c r="BD175" s="178"/>
      <c r="BE175" s="130"/>
      <c r="BF175" s="109"/>
      <c r="BG175" s="130"/>
      <c r="BH175" s="180">
        <f t="shared" si="215"/>
        <v>0</v>
      </c>
      <c r="BI175" s="181">
        <f>Автовик_разбивка[[#This Row],[Цена, 
юань, без НДС 1]]*BH175</f>
        <v>0</v>
      </c>
      <c r="BJ175" s="130">
        <f t="shared" si="216"/>
        <v>0</v>
      </c>
      <c r="BK175" s="187">
        <f>Автовик_разбивка[[#This Row],[Цена, 
юань, без НДС 1]]*BJ175</f>
        <v>0</v>
      </c>
      <c r="BL175" s="109">
        <f t="shared" si="217"/>
        <v>5</v>
      </c>
      <c r="BM175" s="224">
        <f>Автовик_разбивка[[#This Row],[Цена, 
юань, без НДС 1]]*BL175</f>
        <v>0</v>
      </c>
      <c r="BN175" s="178"/>
      <c r="BO175" s="184"/>
      <c r="BP175" s="130"/>
      <c r="BQ175" s="179"/>
      <c r="BR175" s="130"/>
      <c r="BS175" s="178"/>
      <c r="BT175" s="184"/>
      <c r="BU175" s="130"/>
      <c r="BV175" s="179"/>
      <c r="BW175" s="130"/>
      <c r="BX175" s="178"/>
      <c r="BY175" s="184"/>
      <c r="BZ175" s="130"/>
      <c r="CA175" s="179"/>
      <c r="CB175" s="130"/>
      <c r="CC175" s="178"/>
      <c r="CD175" s="184"/>
      <c r="CE175" s="130"/>
      <c r="CF175" s="179"/>
      <c r="CG175" s="130"/>
      <c r="CH175" s="178"/>
      <c r="CI175" s="184"/>
      <c r="CJ175" s="130"/>
      <c r="CK175" s="179"/>
      <c r="CL175" s="130"/>
      <c r="CM175" s="178"/>
      <c r="CN175" s="184"/>
      <c r="CO175" s="130"/>
      <c r="CP175" s="179"/>
      <c r="CQ175" s="130"/>
      <c r="CR175" s="178"/>
      <c r="CS175" s="184"/>
      <c r="CT175" s="130"/>
      <c r="CU175" s="179"/>
      <c r="CV175" s="130"/>
      <c r="CW175" s="178"/>
      <c r="CX175" s="184"/>
      <c r="CY175" s="130"/>
      <c r="CZ175" s="179"/>
      <c r="DA175" s="130"/>
      <c r="DB175" s="178"/>
      <c r="DC175" s="184"/>
      <c r="DD175" s="130"/>
      <c r="DE175" s="179"/>
      <c r="DF175" s="130"/>
      <c r="DG175" s="178"/>
      <c r="DH175" s="184"/>
      <c r="DI175" s="130"/>
      <c r="DJ175" s="179"/>
      <c r="DK175" s="130"/>
      <c r="DL175" s="178"/>
      <c r="DM175" s="184"/>
      <c r="DN175" s="130"/>
      <c r="DO175" s="179"/>
      <c r="DP175" s="130"/>
      <c r="DQ175" s="178"/>
      <c r="DR175" s="184"/>
      <c r="DS175" s="130"/>
      <c r="DT175" s="109"/>
      <c r="DU175" s="130"/>
      <c r="DV175" s="180">
        <f t="shared" si="218"/>
        <v>0</v>
      </c>
      <c r="DW175" s="181">
        <f>Автовик_разбивка[[#This Row],[Цена, 
юань, без НДС 1]]*DV175</f>
        <v>0</v>
      </c>
      <c r="DX175" s="186">
        <f t="shared" si="219"/>
        <v>0</v>
      </c>
      <c r="DY175" s="186">
        <f>Автовик_разбивка[[#This Row],[Цена, 
юань, без НДС 1]]*DX175</f>
        <v>0</v>
      </c>
      <c r="DZ175" s="130">
        <f t="shared" si="220"/>
        <v>0</v>
      </c>
      <c r="EA175" s="187">
        <f>Автовик_разбивка[[#This Row],[Цена, 
юань, без НДС 1]]*DZ175</f>
        <v>0</v>
      </c>
      <c r="EB175" s="109">
        <f t="shared" si="221"/>
        <v>0</v>
      </c>
      <c r="EC175" s="224">
        <f>Автовик_разбивка[[#This Row],[Цена, 
юань, без НДС 1]]*EB175</f>
        <v>0</v>
      </c>
    </row>
    <row r="176" spans="1:133">
      <c r="A176" s="260">
        <v>33</v>
      </c>
      <c r="B176" s="172" t="s">
        <v>327</v>
      </c>
      <c r="C176" s="173" t="s">
        <v>298</v>
      </c>
      <c r="D176" s="173" t="s">
        <v>300</v>
      </c>
      <c r="E176" s="174">
        <v>1</v>
      </c>
      <c r="F176" s="174"/>
      <c r="G176" s="174"/>
      <c r="H176" s="175">
        <v>4630840310</v>
      </c>
      <c r="I176" s="176" t="s">
        <v>135</v>
      </c>
      <c r="J176" s="227"/>
      <c r="K176" s="223"/>
      <c r="L176" s="178"/>
      <c r="M176" s="130"/>
      <c r="N176" s="179">
        <v>5</v>
      </c>
      <c r="O176" s="130"/>
      <c r="P176" s="178"/>
      <c r="Q176" s="130"/>
      <c r="R176" s="179"/>
      <c r="S176" s="130"/>
      <c r="T176" s="178"/>
      <c r="U176" s="130"/>
      <c r="V176" s="179"/>
      <c r="W176" s="130"/>
      <c r="X176" s="178"/>
      <c r="Y176" s="130"/>
      <c r="Z176" s="179"/>
      <c r="AA176" s="130"/>
      <c r="AB176" s="178"/>
      <c r="AC176" s="130"/>
      <c r="AD176" s="179"/>
      <c r="AE176" s="130"/>
      <c r="AF176" s="178"/>
      <c r="AG176" s="130"/>
      <c r="AH176" s="179"/>
      <c r="AI176" s="130"/>
      <c r="AJ176" s="178"/>
      <c r="AK176" s="130"/>
      <c r="AL176" s="179"/>
      <c r="AM176" s="130"/>
      <c r="AN176" s="178"/>
      <c r="AO176" s="130"/>
      <c r="AP176" s="179"/>
      <c r="AQ176" s="130"/>
      <c r="AR176" s="178"/>
      <c r="AS176" s="130"/>
      <c r="AT176" s="179"/>
      <c r="AU176" s="130"/>
      <c r="AV176" s="178"/>
      <c r="AW176" s="130"/>
      <c r="AX176" s="179"/>
      <c r="AY176" s="130"/>
      <c r="AZ176" s="178"/>
      <c r="BA176" s="130"/>
      <c r="BB176" s="179"/>
      <c r="BC176" s="130"/>
      <c r="BD176" s="178"/>
      <c r="BE176" s="130"/>
      <c r="BF176" s="109"/>
      <c r="BG176" s="130"/>
      <c r="BH176" s="180">
        <f t="shared" si="215"/>
        <v>0</v>
      </c>
      <c r="BI176" s="181">
        <f>Автовик_разбивка[[#This Row],[Цена, 
юань, без НДС 1]]*BH176</f>
        <v>0</v>
      </c>
      <c r="BJ176" s="130">
        <f t="shared" si="216"/>
        <v>0</v>
      </c>
      <c r="BK176" s="187">
        <f>Автовик_разбивка[[#This Row],[Цена, 
юань, без НДС 1]]*BJ176</f>
        <v>0</v>
      </c>
      <c r="BL176" s="109">
        <f t="shared" si="217"/>
        <v>5</v>
      </c>
      <c r="BM176" s="224">
        <f>Автовик_разбивка[[#This Row],[Цена, 
юань, без НДС 1]]*BL176</f>
        <v>0</v>
      </c>
      <c r="BN176" s="178"/>
      <c r="BO176" s="184"/>
      <c r="BP176" s="130"/>
      <c r="BQ176" s="179"/>
      <c r="BR176" s="130"/>
      <c r="BS176" s="178"/>
      <c r="BT176" s="184"/>
      <c r="BU176" s="130"/>
      <c r="BV176" s="179"/>
      <c r="BW176" s="130"/>
      <c r="BX176" s="178"/>
      <c r="BY176" s="184"/>
      <c r="BZ176" s="130"/>
      <c r="CA176" s="179"/>
      <c r="CB176" s="130"/>
      <c r="CC176" s="178"/>
      <c r="CD176" s="184"/>
      <c r="CE176" s="130"/>
      <c r="CF176" s="179"/>
      <c r="CG176" s="130"/>
      <c r="CH176" s="178"/>
      <c r="CI176" s="184"/>
      <c r="CJ176" s="130"/>
      <c r="CK176" s="179"/>
      <c r="CL176" s="130"/>
      <c r="CM176" s="178"/>
      <c r="CN176" s="184"/>
      <c r="CO176" s="130"/>
      <c r="CP176" s="179"/>
      <c r="CQ176" s="130"/>
      <c r="CR176" s="178"/>
      <c r="CS176" s="184"/>
      <c r="CT176" s="130"/>
      <c r="CU176" s="179"/>
      <c r="CV176" s="130"/>
      <c r="CW176" s="178"/>
      <c r="CX176" s="184"/>
      <c r="CY176" s="130"/>
      <c r="CZ176" s="179"/>
      <c r="DA176" s="130"/>
      <c r="DB176" s="178"/>
      <c r="DC176" s="184"/>
      <c r="DD176" s="130"/>
      <c r="DE176" s="179"/>
      <c r="DF176" s="130"/>
      <c r="DG176" s="178"/>
      <c r="DH176" s="184"/>
      <c r="DI176" s="130"/>
      <c r="DJ176" s="179"/>
      <c r="DK176" s="130"/>
      <c r="DL176" s="178"/>
      <c r="DM176" s="184"/>
      <c r="DN176" s="130"/>
      <c r="DO176" s="179"/>
      <c r="DP176" s="130"/>
      <c r="DQ176" s="178"/>
      <c r="DR176" s="184"/>
      <c r="DS176" s="130"/>
      <c r="DT176" s="109"/>
      <c r="DU176" s="130"/>
      <c r="DV176" s="180">
        <f t="shared" si="218"/>
        <v>0</v>
      </c>
      <c r="DW176" s="181">
        <f>Автовик_разбивка[[#This Row],[Цена, 
юань, без НДС 1]]*DV176</f>
        <v>0</v>
      </c>
      <c r="DX176" s="186">
        <f t="shared" si="219"/>
        <v>0</v>
      </c>
      <c r="DY176" s="186">
        <f>Автовик_разбивка[[#This Row],[Цена, 
юань, без НДС 1]]*DX176</f>
        <v>0</v>
      </c>
      <c r="DZ176" s="130">
        <f t="shared" si="220"/>
        <v>0</v>
      </c>
      <c r="EA176" s="187">
        <f>Автовик_разбивка[[#This Row],[Цена, 
юань, без НДС 1]]*DZ176</f>
        <v>0</v>
      </c>
      <c r="EB176" s="109">
        <f t="shared" si="221"/>
        <v>0</v>
      </c>
      <c r="EC176" s="224">
        <f>Автовик_разбивка[[#This Row],[Цена, 
юань, без НДС 1]]*EB176</f>
        <v>0</v>
      </c>
    </row>
    <row r="177" spans="1:133">
      <c r="A177" s="260">
        <v>33</v>
      </c>
      <c r="B177" s="172" t="s">
        <v>327</v>
      </c>
      <c r="C177" s="132"/>
      <c r="D177" s="132"/>
      <c r="E177" s="229"/>
      <c r="F177" s="229"/>
      <c r="G177" s="229"/>
      <c r="H177" s="230"/>
      <c r="I177" s="231" t="s">
        <v>43</v>
      </c>
      <c r="J177" s="232"/>
      <c r="K177" s="232"/>
      <c r="L177" s="233"/>
      <c r="M177" s="234"/>
      <c r="N177" s="235"/>
      <c r="O177" s="234"/>
      <c r="P177" s="233"/>
      <c r="Q177" s="234"/>
      <c r="R177" s="235"/>
      <c r="S177" s="234"/>
      <c r="T177" s="233"/>
      <c r="U177" s="234"/>
      <c r="V177" s="235"/>
      <c r="W177" s="234"/>
      <c r="X177" s="233"/>
      <c r="Y177" s="234"/>
      <c r="Z177" s="235"/>
      <c r="AA177" s="234"/>
      <c r="AB177" s="233"/>
      <c r="AC177" s="234"/>
      <c r="AD177" s="235"/>
      <c r="AE177" s="234"/>
      <c r="AF177" s="233"/>
      <c r="AG177" s="234"/>
      <c r="AH177" s="235"/>
      <c r="AI177" s="234"/>
      <c r="AJ177" s="233"/>
      <c r="AK177" s="234"/>
      <c r="AL177" s="235"/>
      <c r="AM177" s="234"/>
      <c r="AN177" s="233"/>
      <c r="AO177" s="234"/>
      <c r="AP177" s="235"/>
      <c r="AQ177" s="234"/>
      <c r="AR177" s="233"/>
      <c r="AS177" s="234"/>
      <c r="AT177" s="235"/>
      <c r="AU177" s="234"/>
      <c r="AV177" s="233"/>
      <c r="AW177" s="234"/>
      <c r="AX177" s="235"/>
      <c r="AY177" s="234"/>
      <c r="AZ177" s="233"/>
      <c r="BA177" s="234"/>
      <c r="BB177" s="235"/>
      <c r="BC177" s="234"/>
      <c r="BD177" s="233"/>
      <c r="BE177" s="234"/>
      <c r="BF177" s="235"/>
      <c r="BG177" s="234"/>
      <c r="BH177" s="233">
        <f t="shared" si="215"/>
        <v>0</v>
      </c>
      <c r="BI177" s="238">
        <f>Автовик_разбивка[[#This Row],[Цена, 
юань, без НДС 1]]*BH177</f>
        <v>0</v>
      </c>
      <c r="BJ177" s="234">
        <f t="shared" si="216"/>
        <v>0</v>
      </c>
      <c r="BK177" s="253">
        <f>Автовик_разбивка[[#This Row],[Цена, 
юань, без НДС 1]]*BJ177</f>
        <v>0</v>
      </c>
      <c r="BL177" s="235">
        <f t="shared" si="217"/>
        <v>0</v>
      </c>
      <c r="BM177" s="254">
        <f>Автовик_разбивка[[#This Row],[Цена, 
юань, без НДС 1]]*BL177</f>
        <v>0</v>
      </c>
      <c r="BN177" s="233"/>
      <c r="BO177" s="241"/>
      <c r="BP177" s="234"/>
      <c r="BQ177" s="235"/>
      <c r="BR177" s="234"/>
      <c r="BS177" s="233"/>
      <c r="BT177" s="241"/>
      <c r="BU177" s="234"/>
      <c r="BV177" s="235"/>
      <c r="BW177" s="234"/>
      <c r="BX177" s="233"/>
      <c r="BY177" s="241"/>
      <c r="BZ177" s="234"/>
      <c r="CA177" s="235"/>
      <c r="CB177" s="234"/>
      <c r="CC177" s="233"/>
      <c r="CD177" s="241"/>
      <c r="CE177" s="234"/>
      <c r="CF177" s="235"/>
      <c r="CG177" s="234"/>
      <c r="CH177" s="233"/>
      <c r="CI177" s="241"/>
      <c r="CJ177" s="234"/>
      <c r="CK177" s="235"/>
      <c r="CL177" s="234"/>
      <c r="CM177" s="233"/>
      <c r="CN177" s="241"/>
      <c r="CO177" s="234"/>
      <c r="CP177" s="235"/>
      <c r="CQ177" s="234"/>
      <c r="CR177" s="233"/>
      <c r="CS177" s="241"/>
      <c r="CT177" s="234"/>
      <c r="CU177" s="235"/>
      <c r="CV177" s="234"/>
      <c r="CW177" s="233"/>
      <c r="CX177" s="241"/>
      <c r="CY177" s="234"/>
      <c r="CZ177" s="235"/>
      <c r="DA177" s="234"/>
      <c r="DB177" s="233"/>
      <c r="DC177" s="241"/>
      <c r="DD177" s="234"/>
      <c r="DE177" s="235"/>
      <c r="DF177" s="234"/>
      <c r="DG177" s="233"/>
      <c r="DH177" s="241"/>
      <c r="DI177" s="234"/>
      <c r="DJ177" s="235"/>
      <c r="DK177" s="234"/>
      <c r="DL177" s="233"/>
      <c r="DM177" s="241"/>
      <c r="DN177" s="234"/>
      <c r="DO177" s="235"/>
      <c r="DP177" s="234"/>
      <c r="DQ177" s="233"/>
      <c r="DR177" s="241"/>
      <c r="DS177" s="234"/>
      <c r="DT177" s="235"/>
      <c r="DU177" s="234"/>
      <c r="DV177" s="233">
        <f t="shared" si="218"/>
        <v>0</v>
      </c>
      <c r="DW177" s="238">
        <f>Автовик_разбивка[[#This Row],[Цена, 
юань, без НДС 1]]*DV177</f>
        <v>0</v>
      </c>
      <c r="DX177" s="242">
        <f t="shared" si="219"/>
        <v>0</v>
      </c>
      <c r="DY177" s="242">
        <f>Автовик_разбивка[[#This Row],[Цена, 
юань, без НДС 1]]*DX177</f>
        <v>0</v>
      </c>
      <c r="DZ177" s="234">
        <f t="shared" si="220"/>
        <v>0</v>
      </c>
      <c r="EA177" s="253">
        <f>Автовик_разбивка[[#This Row],[Цена, 
юань, без НДС 1]]*DZ177</f>
        <v>0</v>
      </c>
      <c r="EB177" s="235">
        <f t="shared" si="221"/>
        <v>0</v>
      </c>
      <c r="EC177" s="254">
        <f>Автовик_разбивка[[#This Row],[Цена, 
юань, без НДС 1]]*EB177</f>
        <v>0</v>
      </c>
    </row>
    <row r="178" spans="1:133">
      <c r="A178" s="260">
        <v>33</v>
      </c>
      <c r="B178" s="261" t="s">
        <v>327</v>
      </c>
      <c r="C178" s="244"/>
      <c r="D178" s="244"/>
      <c r="E178" s="245"/>
      <c r="F178" s="245"/>
      <c r="G178" s="245"/>
      <c r="H178" s="246"/>
      <c r="I178" s="247"/>
      <c r="J178" s="248"/>
      <c r="K178" s="248"/>
      <c r="L178" s="249"/>
      <c r="M178" s="249"/>
      <c r="N178" s="249"/>
      <c r="O178" s="249"/>
      <c r="P178" s="249"/>
      <c r="Q178" s="249"/>
      <c r="R178" s="249"/>
      <c r="S178" s="249"/>
      <c r="T178" s="249"/>
      <c r="U178" s="249"/>
      <c r="V178" s="249"/>
      <c r="W178" s="249"/>
      <c r="X178" s="249"/>
      <c r="Y178" s="249"/>
      <c r="Z178" s="249"/>
      <c r="AA178" s="249"/>
      <c r="AB178" s="249"/>
      <c r="AC178" s="249"/>
      <c r="AD178" s="249"/>
      <c r="AE178" s="249"/>
      <c r="AF178" s="249"/>
      <c r="AG178" s="249"/>
      <c r="AH178" s="249"/>
      <c r="AI178" s="249"/>
      <c r="AJ178" s="249"/>
      <c r="AK178" s="249"/>
      <c r="AL178" s="249"/>
      <c r="AM178" s="249"/>
      <c r="AN178" s="249"/>
      <c r="AO178" s="249"/>
      <c r="AP178" s="249"/>
      <c r="AQ178" s="249"/>
      <c r="AR178" s="249"/>
      <c r="AS178" s="249"/>
      <c r="AT178" s="249"/>
      <c r="AU178" s="249"/>
      <c r="AV178" s="249"/>
      <c r="AW178" s="249"/>
      <c r="AX178" s="250"/>
      <c r="AY178" s="249"/>
      <c r="AZ178" s="250"/>
      <c r="BA178" s="250"/>
      <c r="BB178" s="250"/>
      <c r="BC178" s="249"/>
      <c r="BD178" s="250"/>
      <c r="BE178" s="250"/>
      <c r="BF178" s="250"/>
      <c r="BG178" s="249"/>
      <c r="BH178" s="250">
        <f t="shared" si="215"/>
        <v>0</v>
      </c>
      <c r="BI178" s="251">
        <f>Автовик_разбивка[[#This Row],[Цена, 
юань, без НДС 1]]*BH178</f>
        <v>0</v>
      </c>
      <c r="BJ178" s="250">
        <f t="shared" si="216"/>
        <v>0</v>
      </c>
      <c r="BK178" s="251">
        <f>Автовик_разбивка[[#This Row],[Цена, 
юань, без НДС 1]]*BJ178</f>
        <v>0</v>
      </c>
      <c r="BL178" s="250">
        <f t="shared" si="217"/>
        <v>0</v>
      </c>
      <c r="BM178" s="251">
        <f>Автовик_разбивка[[#This Row],[Цена, 
юань, без НДС 1]]*BL178</f>
        <v>0</v>
      </c>
      <c r="BN178" s="249"/>
      <c r="BO178" s="249"/>
      <c r="BP178" s="249"/>
      <c r="BQ178" s="249"/>
      <c r="BR178" s="249"/>
      <c r="BS178" s="249"/>
      <c r="BT178" s="249"/>
      <c r="BU178" s="249"/>
      <c r="BV178" s="249"/>
      <c r="BW178" s="249"/>
      <c r="BX178" s="249"/>
      <c r="BY178" s="249"/>
      <c r="BZ178" s="249"/>
      <c r="CA178" s="249"/>
      <c r="CB178" s="249"/>
      <c r="CC178" s="249"/>
      <c r="CD178" s="249"/>
      <c r="CE178" s="249"/>
      <c r="CF178" s="249"/>
      <c r="CG178" s="249"/>
      <c r="CH178" s="249"/>
      <c r="CI178" s="249"/>
      <c r="CJ178" s="249"/>
      <c r="CK178" s="249"/>
      <c r="CL178" s="249"/>
      <c r="CM178" s="249"/>
      <c r="CN178" s="249"/>
      <c r="CO178" s="249"/>
      <c r="CP178" s="249"/>
      <c r="CQ178" s="249"/>
      <c r="CR178" s="249"/>
      <c r="CS178" s="249"/>
      <c r="CT178" s="249"/>
      <c r="CU178" s="249"/>
      <c r="CV178" s="249"/>
      <c r="CW178" s="249"/>
      <c r="CX178" s="249"/>
      <c r="CY178" s="249"/>
      <c r="CZ178" s="249"/>
      <c r="DA178" s="249"/>
      <c r="DB178" s="249"/>
      <c r="DC178" s="249"/>
      <c r="DD178" s="249"/>
      <c r="DE178" s="249"/>
      <c r="DF178" s="249"/>
      <c r="DG178" s="249"/>
      <c r="DH178" s="249"/>
      <c r="DI178" s="249"/>
      <c r="DJ178" s="250"/>
      <c r="DK178" s="249"/>
      <c r="DL178" s="250"/>
      <c r="DM178" s="250"/>
      <c r="DN178" s="250"/>
      <c r="DO178" s="250"/>
      <c r="DP178" s="249"/>
      <c r="DQ178" s="250"/>
      <c r="DR178" s="250"/>
      <c r="DS178" s="250"/>
      <c r="DT178" s="250"/>
      <c r="DU178" s="249"/>
      <c r="DV178" s="250">
        <f t="shared" si="218"/>
        <v>0</v>
      </c>
      <c r="DW178" s="251">
        <f>Автовик_разбивка[[#This Row],[Цена, 
юань, без НДС 1]]*DV178</f>
        <v>0</v>
      </c>
      <c r="DX178" s="251">
        <f t="shared" si="219"/>
        <v>0</v>
      </c>
      <c r="DY178" s="251">
        <f>Автовик_разбивка[[#This Row],[Цена, 
юань, без НДС 1]]*DX178</f>
        <v>0</v>
      </c>
      <c r="DZ178" s="250">
        <f t="shared" si="220"/>
        <v>0</v>
      </c>
      <c r="EA178" s="251">
        <f>Автовик_разбивка[[#This Row],[Цена, 
юань, без НДС 1]]*DZ178</f>
        <v>0</v>
      </c>
      <c r="EB178" s="250">
        <f t="shared" si="221"/>
        <v>0</v>
      </c>
      <c r="EC178" s="251">
        <f>Автовик_разбивка[[#This Row],[Цена, 
юань, без НДС 1]]*EB178</f>
        <v>0</v>
      </c>
    </row>
    <row r="179" spans="1:133">
      <c r="A179" s="260">
        <v>33</v>
      </c>
      <c r="B179" s="172" t="s">
        <v>328</v>
      </c>
      <c r="C179" s="173" t="s">
        <v>298</v>
      </c>
      <c r="D179" s="173" t="s">
        <v>311</v>
      </c>
      <c r="E179" s="174">
        <v>1</v>
      </c>
      <c r="F179" s="174"/>
      <c r="G179" s="174"/>
      <c r="H179" s="175">
        <v>4334010030</v>
      </c>
      <c r="I179" s="176" t="s">
        <v>81</v>
      </c>
      <c r="J179" s="227"/>
      <c r="K179" s="223"/>
      <c r="L179" s="178"/>
      <c r="M179" s="130"/>
      <c r="N179" s="179">
        <v>1</v>
      </c>
      <c r="O179" s="130"/>
      <c r="P179" s="178"/>
      <c r="Q179" s="130"/>
      <c r="R179" s="179"/>
      <c r="S179" s="130"/>
      <c r="T179" s="178"/>
      <c r="U179" s="130"/>
      <c r="V179" s="179"/>
      <c r="W179" s="130"/>
      <c r="X179" s="178"/>
      <c r="Y179" s="130"/>
      <c r="Z179" s="179"/>
      <c r="AA179" s="130"/>
      <c r="AB179" s="178"/>
      <c r="AC179" s="130"/>
      <c r="AD179" s="179"/>
      <c r="AE179" s="130"/>
      <c r="AF179" s="178"/>
      <c r="AG179" s="130"/>
      <c r="AH179" s="179"/>
      <c r="AI179" s="130"/>
      <c r="AJ179" s="178"/>
      <c r="AK179" s="130"/>
      <c r="AL179" s="179"/>
      <c r="AM179" s="130"/>
      <c r="AN179" s="178"/>
      <c r="AO179" s="130"/>
      <c r="AP179" s="179"/>
      <c r="AQ179" s="130"/>
      <c r="AR179" s="178"/>
      <c r="AS179" s="130"/>
      <c r="AT179" s="179"/>
      <c r="AU179" s="130"/>
      <c r="AV179" s="178"/>
      <c r="AW179" s="130"/>
      <c r="AX179" s="179"/>
      <c r="AY179" s="130"/>
      <c r="AZ179" s="178"/>
      <c r="BA179" s="130"/>
      <c r="BB179" s="179"/>
      <c r="BC179" s="130"/>
      <c r="BD179" s="178"/>
      <c r="BE179" s="130"/>
      <c r="BF179" s="109"/>
      <c r="BG179" s="130"/>
      <c r="BH179" s="180">
        <f t="shared" si="215"/>
        <v>0</v>
      </c>
      <c r="BI179" s="181">
        <f>Автовик_разбивка[[#This Row],[Цена, 
юань, без НДС 1]]*BH179</f>
        <v>0</v>
      </c>
      <c r="BJ179" s="130">
        <f t="shared" si="216"/>
        <v>0</v>
      </c>
      <c r="BK179" s="187">
        <f>Автовик_разбивка[[#This Row],[Цена, 
юань, без НДС 1]]*BJ179</f>
        <v>0</v>
      </c>
      <c r="BL179" s="109">
        <f t="shared" si="217"/>
        <v>1</v>
      </c>
      <c r="BM179" s="224">
        <f>Автовик_разбивка[[#This Row],[Цена, 
юань, без НДС 1]]*BL179</f>
        <v>0</v>
      </c>
      <c r="BN179" s="178"/>
      <c r="BO179" s="184"/>
      <c r="BP179" s="130"/>
      <c r="BQ179" s="179"/>
      <c r="BR179" s="130"/>
      <c r="BS179" s="178"/>
      <c r="BT179" s="184"/>
      <c r="BU179" s="130"/>
      <c r="BV179" s="179"/>
      <c r="BW179" s="130"/>
      <c r="BX179" s="178"/>
      <c r="BY179" s="184"/>
      <c r="BZ179" s="130"/>
      <c r="CA179" s="179"/>
      <c r="CB179" s="130"/>
      <c r="CC179" s="178"/>
      <c r="CD179" s="184"/>
      <c r="CE179" s="130"/>
      <c r="CF179" s="179"/>
      <c r="CG179" s="130"/>
      <c r="CH179" s="178"/>
      <c r="CI179" s="184"/>
      <c r="CJ179" s="130"/>
      <c r="CK179" s="179"/>
      <c r="CL179" s="130"/>
      <c r="CM179" s="178"/>
      <c r="CN179" s="184"/>
      <c r="CO179" s="130"/>
      <c r="CP179" s="179"/>
      <c r="CQ179" s="130"/>
      <c r="CR179" s="178"/>
      <c r="CS179" s="184"/>
      <c r="CT179" s="130"/>
      <c r="CU179" s="179"/>
      <c r="CV179" s="130"/>
      <c r="CW179" s="178"/>
      <c r="CX179" s="184"/>
      <c r="CY179" s="130"/>
      <c r="CZ179" s="179"/>
      <c r="DA179" s="130"/>
      <c r="DB179" s="178"/>
      <c r="DC179" s="184"/>
      <c r="DD179" s="130"/>
      <c r="DE179" s="179"/>
      <c r="DF179" s="130"/>
      <c r="DG179" s="178"/>
      <c r="DH179" s="184"/>
      <c r="DI179" s="130"/>
      <c r="DJ179" s="179"/>
      <c r="DK179" s="130"/>
      <c r="DL179" s="178"/>
      <c r="DM179" s="184"/>
      <c r="DN179" s="130"/>
      <c r="DO179" s="179"/>
      <c r="DP179" s="130"/>
      <c r="DQ179" s="178"/>
      <c r="DR179" s="184"/>
      <c r="DS179" s="130"/>
      <c r="DT179" s="109"/>
      <c r="DU179" s="130"/>
      <c r="DV179" s="180">
        <f t="shared" si="218"/>
        <v>0</v>
      </c>
      <c r="DW179" s="181">
        <f>Автовик_разбивка[[#This Row],[Цена, 
юань, без НДС 1]]*DV179</f>
        <v>0</v>
      </c>
      <c r="DX179" s="186">
        <f t="shared" si="219"/>
        <v>0</v>
      </c>
      <c r="DY179" s="186">
        <f>Автовик_разбивка[[#This Row],[Цена, 
юань, без НДС 1]]*DX179</f>
        <v>0</v>
      </c>
      <c r="DZ179" s="130">
        <f t="shared" si="220"/>
        <v>0</v>
      </c>
      <c r="EA179" s="187">
        <f>Автовик_разбивка[[#This Row],[Цена, 
юань, без НДС 1]]*DZ179</f>
        <v>0</v>
      </c>
      <c r="EB179" s="109">
        <f t="shared" si="221"/>
        <v>0</v>
      </c>
      <c r="EC179" s="224">
        <f>Автовик_разбивка[[#This Row],[Цена, 
юань, без НДС 1]]*EB179</f>
        <v>0</v>
      </c>
    </row>
    <row r="180" spans="1:133">
      <c r="A180" s="260">
        <v>33</v>
      </c>
      <c r="B180" s="172" t="s">
        <v>328</v>
      </c>
      <c r="C180" s="173" t="s">
        <v>298</v>
      </c>
      <c r="D180" s="173" t="s">
        <v>311</v>
      </c>
      <c r="E180" s="174">
        <v>1</v>
      </c>
      <c r="F180" s="174"/>
      <c r="G180" s="174"/>
      <c r="H180" s="175">
        <v>4491731500</v>
      </c>
      <c r="I180" s="176" t="s">
        <v>77</v>
      </c>
      <c r="J180" s="227"/>
      <c r="K180" s="223"/>
      <c r="L180" s="178"/>
      <c r="M180" s="130"/>
      <c r="N180" s="179">
        <v>1</v>
      </c>
      <c r="O180" s="130"/>
      <c r="P180" s="178"/>
      <c r="Q180" s="130"/>
      <c r="R180" s="179"/>
      <c r="S180" s="130"/>
      <c r="T180" s="178"/>
      <c r="U180" s="130"/>
      <c r="V180" s="179"/>
      <c r="W180" s="130"/>
      <c r="X180" s="178"/>
      <c r="Y180" s="130"/>
      <c r="Z180" s="179"/>
      <c r="AA180" s="130"/>
      <c r="AB180" s="178"/>
      <c r="AC180" s="130"/>
      <c r="AD180" s="179"/>
      <c r="AE180" s="130"/>
      <c r="AF180" s="178"/>
      <c r="AG180" s="130"/>
      <c r="AH180" s="179"/>
      <c r="AI180" s="130"/>
      <c r="AJ180" s="178"/>
      <c r="AK180" s="130"/>
      <c r="AL180" s="179"/>
      <c r="AM180" s="130"/>
      <c r="AN180" s="178"/>
      <c r="AO180" s="130"/>
      <c r="AP180" s="179"/>
      <c r="AQ180" s="130"/>
      <c r="AR180" s="178"/>
      <c r="AS180" s="130"/>
      <c r="AT180" s="179"/>
      <c r="AU180" s="130"/>
      <c r="AV180" s="178"/>
      <c r="AW180" s="130"/>
      <c r="AX180" s="179"/>
      <c r="AY180" s="130"/>
      <c r="AZ180" s="178"/>
      <c r="BA180" s="130"/>
      <c r="BB180" s="179"/>
      <c r="BC180" s="130"/>
      <c r="BD180" s="178"/>
      <c r="BE180" s="130"/>
      <c r="BF180" s="109"/>
      <c r="BG180" s="130"/>
      <c r="BH180" s="180">
        <f t="shared" si="215"/>
        <v>0</v>
      </c>
      <c r="BI180" s="181">
        <f>Автовик_разбивка[[#This Row],[Цена, 
юань, без НДС 1]]*BH180</f>
        <v>0</v>
      </c>
      <c r="BJ180" s="130">
        <f t="shared" si="216"/>
        <v>0</v>
      </c>
      <c r="BK180" s="187">
        <f>Автовик_разбивка[[#This Row],[Цена, 
юань, без НДС 1]]*BJ180</f>
        <v>0</v>
      </c>
      <c r="BL180" s="109">
        <f t="shared" si="217"/>
        <v>1</v>
      </c>
      <c r="BM180" s="224">
        <f>Автовик_разбивка[[#This Row],[Цена, 
юань, без НДС 1]]*BL180</f>
        <v>0</v>
      </c>
      <c r="BN180" s="178"/>
      <c r="BO180" s="184"/>
      <c r="BP180" s="130"/>
      <c r="BQ180" s="179"/>
      <c r="BR180" s="130"/>
      <c r="BS180" s="178"/>
      <c r="BT180" s="184"/>
      <c r="BU180" s="130"/>
      <c r="BV180" s="179"/>
      <c r="BW180" s="130"/>
      <c r="BX180" s="178"/>
      <c r="BY180" s="184"/>
      <c r="BZ180" s="130"/>
      <c r="CA180" s="179"/>
      <c r="CB180" s="130"/>
      <c r="CC180" s="178"/>
      <c r="CD180" s="184"/>
      <c r="CE180" s="130"/>
      <c r="CF180" s="179"/>
      <c r="CG180" s="130"/>
      <c r="CH180" s="178"/>
      <c r="CI180" s="184"/>
      <c r="CJ180" s="130"/>
      <c r="CK180" s="179"/>
      <c r="CL180" s="130"/>
      <c r="CM180" s="178"/>
      <c r="CN180" s="184"/>
      <c r="CO180" s="130"/>
      <c r="CP180" s="179"/>
      <c r="CQ180" s="130"/>
      <c r="CR180" s="178"/>
      <c r="CS180" s="184"/>
      <c r="CT180" s="130"/>
      <c r="CU180" s="179"/>
      <c r="CV180" s="130"/>
      <c r="CW180" s="178"/>
      <c r="CX180" s="184"/>
      <c r="CY180" s="130"/>
      <c r="CZ180" s="179"/>
      <c r="DA180" s="130"/>
      <c r="DB180" s="178"/>
      <c r="DC180" s="184"/>
      <c r="DD180" s="130"/>
      <c r="DE180" s="179"/>
      <c r="DF180" s="130"/>
      <c r="DG180" s="178"/>
      <c r="DH180" s="184"/>
      <c r="DI180" s="130"/>
      <c r="DJ180" s="179"/>
      <c r="DK180" s="130"/>
      <c r="DL180" s="178"/>
      <c r="DM180" s="184"/>
      <c r="DN180" s="130"/>
      <c r="DO180" s="179"/>
      <c r="DP180" s="130"/>
      <c r="DQ180" s="178"/>
      <c r="DR180" s="184"/>
      <c r="DS180" s="130"/>
      <c r="DT180" s="109"/>
      <c r="DU180" s="130"/>
      <c r="DV180" s="180">
        <f t="shared" si="218"/>
        <v>0</v>
      </c>
      <c r="DW180" s="181">
        <f>Автовик_разбивка[[#This Row],[Цена, 
юань, без НДС 1]]*DV180</f>
        <v>0</v>
      </c>
      <c r="DX180" s="186">
        <f t="shared" si="219"/>
        <v>0</v>
      </c>
      <c r="DY180" s="186">
        <f>Автовик_разбивка[[#This Row],[Цена, 
юань, без НДС 1]]*DX180</f>
        <v>0</v>
      </c>
      <c r="DZ180" s="130">
        <f t="shared" si="220"/>
        <v>0</v>
      </c>
      <c r="EA180" s="187">
        <f>Автовик_разбивка[[#This Row],[Цена, 
юань, без НДС 1]]*DZ180</f>
        <v>0</v>
      </c>
      <c r="EB180" s="109">
        <f t="shared" si="221"/>
        <v>0</v>
      </c>
      <c r="EC180" s="224">
        <f>Автовик_разбивка[[#This Row],[Цена, 
юань, без НДС 1]]*EB180</f>
        <v>0</v>
      </c>
    </row>
    <row r="181" spans="1:133">
      <c r="A181" s="260">
        <v>33</v>
      </c>
      <c r="B181" s="172" t="s">
        <v>328</v>
      </c>
      <c r="C181" s="173" t="s">
        <v>298</v>
      </c>
      <c r="D181" s="173" t="s">
        <v>311</v>
      </c>
      <c r="E181" s="174">
        <v>2</v>
      </c>
      <c r="F181" s="174"/>
      <c r="G181" s="174"/>
      <c r="H181" s="175">
        <v>4497230500</v>
      </c>
      <c r="I181" s="176" t="s">
        <v>78</v>
      </c>
      <c r="J181" s="227"/>
      <c r="K181" s="223"/>
      <c r="L181" s="178"/>
      <c r="M181" s="130"/>
      <c r="N181" s="179">
        <v>2</v>
      </c>
      <c r="O181" s="130"/>
      <c r="P181" s="178"/>
      <c r="Q181" s="130"/>
      <c r="R181" s="179"/>
      <c r="S181" s="130"/>
      <c r="T181" s="178"/>
      <c r="U181" s="130"/>
      <c r="V181" s="179"/>
      <c r="W181" s="130"/>
      <c r="X181" s="178"/>
      <c r="Y181" s="130"/>
      <c r="Z181" s="179"/>
      <c r="AA181" s="130"/>
      <c r="AB181" s="178"/>
      <c r="AC181" s="130"/>
      <c r="AD181" s="179"/>
      <c r="AE181" s="130"/>
      <c r="AF181" s="178"/>
      <c r="AG181" s="130"/>
      <c r="AH181" s="179"/>
      <c r="AI181" s="130"/>
      <c r="AJ181" s="178"/>
      <c r="AK181" s="130"/>
      <c r="AL181" s="179"/>
      <c r="AM181" s="130"/>
      <c r="AN181" s="178"/>
      <c r="AO181" s="130"/>
      <c r="AP181" s="179"/>
      <c r="AQ181" s="130"/>
      <c r="AR181" s="178"/>
      <c r="AS181" s="130"/>
      <c r="AT181" s="179"/>
      <c r="AU181" s="130"/>
      <c r="AV181" s="178"/>
      <c r="AW181" s="130"/>
      <c r="AX181" s="179"/>
      <c r="AY181" s="130"/>
      <c r="AZ181" s="178"/>
      <c r="BA181" s="130"/>
      <c r="BB181" s="179"/>
      <c r="BC181" s="130"/>
      <c r="BD181" s="178"/>
      <c r="BE181" s="130"/>
      <c r="BF181" s="109"/>
      <c r="BG181" s="130"/>
      <c r="BH181" s="180">
        <f t="shared" si="215"/>
        <v>0</v>
      </c>
      <c r="BI181" s="181">
        <f>Автовик_разбивка[[#This Row],[Цена, 
юань, без НДС 1]]*BH181</f>
        <v>0</v>
      </c>
      <c r="BJ181" s="130">
        <f t="shared" si="216"/>
        <v>0</v>
      </c>
      <c r="BK181" s="187">
        <f>Автовик_разбивка[[#This Row],[Цена, 
юань, без НДС 1]]*BJ181</f>
        <v>0</v>
      </c>
      <c r="BL181" s="109">
        <f t="shared" si="217"/>
        <v>2</v>
      </c>
      <c r="BM181" s="224">
        <f>Автовик_разбивка[[#This Row],[Цена, 
юань, без НДС 1]]*BL181</f>
        <v>0</v>
      </c>
      <c r="BN181" s="178"/>
      <c r="BO181" s="184"/>
      <c r="BP181" s="130"/>
      <c r="BQ181" s="179"/>
      <c r="BR181" s="130"/>
      <c r="BS181" s="178"/>
      <c r="BT181" s="184"/>
      <c r="BU181" s="130"/>
      <c r="BV181" s="179"/>
      <c r="BW181" s="130"/>
      <c r="BX181" s="178"/>
      <c r="BY181" s="184"/>
      <c r="BZ181" s="130"/>
      <c r="CA181" s="179"/>
      <c r="CB181" s="130"/>
      <c r="CC181" s="178"/>
      <c r="CD181" s="184"/>
      <c r="CE181" s="130"/>
      <c r="CF181" s="179"/>
      <c r="CG181" s="130"/>
      <c r="CH181" s="178"/>
      <c r="CI181" s="184"/>
      <c r="CJ181" s="130"/>
      <c r="CK181" s="179"/>
      <c r="CL181" s="130"/>
      <c r="CM181" s="178"/>
      <c r="CN181" s="184"/>
      <c r="CO181" s="130"/>
      <c r="CP181" s="179"/>
      <c r="CQ181" s="130"/>
      <c r="CR181" s="178"/>
      <c r="CS181" s="184"/>
      <c r="CT181" s="130"/>
      <c r="CU181" s="179"/>
      <c r="CV181" s="130"/>
      <c r="CW181" s="178"/>
      <c r="CX181" s="184"/>
      <c r="CY181" s="130"/>
      <c r="CZ181" s="179"/>
      <c r="DA181" s="130"/>
      <c r="DB181" s="178"/>
      <c r="DC181" s="184"/>
      <c r="DD181" s="130"/>
      <c r="DE181" s="179"/>
      <c r="DF181" s="130"/>
      <c r="DG181" s="178"/>
      <c r="DH181" s="184"/>
      <c r="DI181" s="130"/>
      <c r="DJ181" s="179"/>
      <c r="DK181" s="130"/>
      <c r="DL181" s="178"/>
      <c r="DM181" s="184"/>
      <c r="DN181" s="130"/>
      <c r="DO181" s="179"/>
      <c r="DP181" s="130"/>
      <c r="DQ181" s="178"/>
      <c r="DR181" s="184"/>
      <c r="DS181" s="130"/>
      <c r="DT181" s="109"/>
      <c r="DU181" s="130"/>
      <c r="DV181" s="180">
        <f t="shared" si="218"/>
        <v>0</v>
      </c>
      <c r="DW181" s="181">
        <f>Автовик_разбивка[[#This Row],[Цена, 
юань, без НДС 1]]*DV181</f>
        <v>0</v>
      </c>
      <c r="DX181" s="186">
        <f t="shared" si="219"/>
        <v>0</v>
      </c>
      <c r="DY181" s="186">
        <f>Автовик_разбивка[[#This Row],[Цена, 
юань, без НДС 1]]*DX181</f>
        <v>0</v>
      </c>
      <c r="DZ181" s="130">
        <f t="shared" si="220"/>
        <v>0</v>
      </c>
      <c r="EA181" s="187">
        <f>Автовик_разбивка[[#This Row],[Цена, 
юань, без НДС 1]]*DZ181</f>
        <v>0</v>
      </c>
      <c r="EB181" s="109">
        <f t="shared" si="221"/>
        <v>0</v>
      </c>
      <c r="EC181" s="224">
        <f>Автовик_разбивка[[#This Row],[Цена, 
юань, без НДС 1]]*EB181</f>
        <v>0</v>
      </c>
    </row>
    <row r="182" spans="1:133">
      <c r="A182" s="260">
        <v>33</v>
      </c>
      <c r="B182" s="172" t="s">
        <v>328</v>
      </c>
      <c r="C182" s="173" t="s">
        <v>298</v>
      </c>
      <c r="D182" s="173" t="s">
        <v>311</v>
      </c>
      <c r="E182" s="174">
        <v>1</v>
      </c>
      <c r="F182" s="174"/>
      <c r="G182" s="174"/>
      <c r="H182" s="175">
        <v>4630320200</v>
      </c>
      <c r="I182" s="176" t="s">
        <v>80</v>
      </c>
      <c r="J182" s="227"/>
      <c r="K182" s="223"/>
      <c r="L182" s="178"/>
      <c r="M182" s="130"/>
      <c r="N182" s="179">
        <v>1</v>
      </c>
      <c r="O182" s="130"/>
      <c r="P182" s="178"/>
      <c r="Q182" s="130"/>
      <c r="R182" s="179"/>
      <c r="S182" s="130"/>
      <c r="T182" s="178"/>
      <c r="U182" s="130"/>
      <c r="V182" s="179"/>
      <c r="W182" s="130"/>
      <c r="X182" s="178"/>
      <c r="Y182" s="130"/>
      <c r="Z182" s="179"/>
      <c r="AA182" s="130"/>
      <c r="AB182" s="178"/>
      <c r="AC182" s="130"/>
      <c r="AD182" s="179"/>
      <c r="AE182" s="130"/>
      <c r="AF182" s="178"/>
      <c r="AG182" s="130"/>
      <c r="AH182" s="179"/>
      <c r="AI182" s="130"/>
      <c r="AJ182" s="178"/>
      <c r="AK182" s="130"/>
      <c r="AL182" s="179"/>
      <c r="AM182" s="130"/>
      <c r="AN182" s="178"/>
      <c r="AO182" s="130"/>
      <c r="AP182" s="179"/>
      <c r="AQ182" s="130"/>
      <c r="AR182" s="178"/>
      <c r="AS182" s="130"/>
      <c r="AT182" s="179"/>
      <c r="AU182" s="130"/>
      <c r="AV182" s="178"/>
      <c r="AW182" s="130"/>
      <c r="AX182" s="179"/>
      <c r="AY182" s="130"/>
      <c r="AZ182" s="178"/>
      <c r="BA182" s="130"/>
      <c r="BB182" s="179"/>
      <c r="BC182" s="130"/>
      <c r="BD182" s="178"/>
      <c r="BE182" s="130"/>
      <c r="BF182" s="109"/>
      <c r="BG182" s="130"/>
      <c r="BH182" s="180">
        <f t="shared" si="215"/>
        <v>0</v>
      </c>
      <c r="BI182" s="181">
        <f>Автовик_разбивка[[#This Row],[Цена, 
юань, без НДС 1]]*BH182</f>
        <v>0</v>
      </c>
      <c r="BJ182" s="130">
        <f t="shared" si="216"/>
        <v>0</v>
      </c>
      <c r="BK182" s="187">
        <f>Автовик_разбивка[[#This Row],[Цена, 
юань, без НДС 1]]*BJ182</f>
        <v>0</v>
      </c>
      <c r="BL182" s="109">
        <f t="shared" si="217"/>
        <v>1</v>
      </c>
      <c r="BM182" s="224">
        <f>Автовик_разбивка[[#This Row],[Цена, 
юань, без НДС 1]]*BL182</f>
        <v>0</v>
      </c>
      <c r="BN182" s="178"/>
      <c r="BO182" s="184"/>
      <c r="BP182" s="130"/>
      <c r="BQ182" s="179"/>
      <c r="BR182" s="130"/>
      <c r="BS182" s="178"/>
      <c r="BT182" s="184"/>
      <c r="BU182" s="130"/>
      <c r="BV182" s="179"/>
      <c r="BW182" s="130"/>
      <c r="BX182" s="178"/>
      <c r="BY182" s="184"/>
      <c r="BZ182" s="130"/>
      <c r="CA182" s="179"/>
      <c r="CB182" s="130"/>
      <c r="CC182" s="178"/>
      <c r="CD182" s="184"/>
      <c r="CE182" s="130"/>
      <c r="CF182" s="179"/>
      <c r="CG182" s="130"/>
      <c r="CH182" s="178"/>
      <c r="CI182" s="184"/>
      <c r="CJ182" s="130"/>
      <c r="CK182" s="179"/>
      <c r="CL182" s="130"/>
      <c r="CM182" s="178"/>
      <c r="CN182" s="184"/>
      <c r="CO182" s="130"/>
      <c r="CP182" s="179"/>
      <c r="CQ182" s="130"/>
      <c r="CR182" s="178"/>
      <c r="CS182" s="184"/>
      <c r="CT182" s="130"/>
      <c r="CU182" s="179"/>
      <c r="CV182" s="130"/>
      <c r="CW182" s="178"/>
      <c r="CX182" s="184"/>
      <c r="CY182" s="130"/>
      <c r="CZ182" s="179"/>
      <c r="DA182" s="130"/>
      <c r="DB182" s="178"/>
      <c r="DC182" s="184"/>
      <c r="DD182" s="130"/>
      <c r="DE182" s="179"/>
      <c r="DF182" s="130"/>
      <c r="DG182" s="178"/>
      <c r="DH182" s="184"/>
      <c r="DI182" s="130"/>
      <c r="DJ182" s="179"/>
      <c r="DK182" s="130"/>
      <c r="DL182" s="178"/>
      <c r="DM182" s="184"/>
      <c r="DN182" s="130"/>
      <c r="DO182" s="179"/>
      <c r="DP182" s="130"/>
      <c r="DQ182" s="178"/>
      <c r="DR182" s="184"/>
      <c r="DS182" s="130"/>
      <c r="DT182" s="109"/>
      <c r="DU182" s="130"/>
      <c r="DV182" s="180">
        <f t="shared" si="218"/>
        <v>0</v>
      </c>
      <c r="DW182" s="181">
        <f>Автовик_разбивка[[#This Row],[Цена, 
юань, без НДС 1]]*DV182</f>
        <v>0</v>
      </c>
      <c r="DX182" s="186">
        <f t="shared" si="219"/>
        <v>0</v>
      </c>
      <c r="DY182" s="186">
        <f>Автовик_разбивка[[#This Row],[Цена, 
юань, без НДС 1]]*DX182</f>
        <v>0</v>
      </c>
      <c r="DZ182" s="130">
        <f t="shared" si="220"/>
        <v>0</v>
      </c>
      <c r="EA182" s="187">
        <f>Автовик_разбивка[[#This Row],[Цена, 
юань, без НДС 1]]*DZ182</f>
        <v>0</v>
      </c>
      <c r="EB182" s="109">
        <f t="shared" si="221"/>
        <v>0</v>
      </c>
      <c r="EC182" s="224">
        <f>Автовик_разбивка[[#This Row],[Цена, 
юань, без НДС 1]]*EB182</f>
        <v>0</v>
      </c>
    </row>
    <row r="183" spans="1:133">
      <c r="A183" s="260">
        <v>33</v>
      </c>
      <c r="B183" s="172" t="s">
        <v>328</v>
      </c>
      <c r="C183" s="173" t="s">
        <v>298</v>
      </c>
      <c r="D183" s="173" t="s">
        <v>311</v>
      </c>
      <c r="E183" s="174">
        <v>1</v>
      </c>
      <c r="F183" s="174"/>
      <c r="G183" s="174"/>
      <c r="H183" s="175">
        <v>4640061000</v>
      </c>
      <c r="I183" s="176" t="s">
        <v>79</v>
      </c>
      <c r="J183" s="227"/>
      <c r="K183" s="223"/>
      <c r="L183" s="178"/>
      <c r="M183" s="130"/>
      <c r="N183" s="179">
        <v>1</v>
      </c>
      <c r="O183" s="130"/>
      <c r="P183" s="178"/>
      <c r="Q183" s="130"/>
      <c r="R183" s="179"/>
      <c r="S183" s="130"/>
      <c r="T183" s="178"/>
      <c r="U183" s="130"/>
      <c r="V183" s="179"/>
      <c r="W183" s="130"/>
      <c r="X183" s="178"/>
      <c r="Y183" s="130"/>
      <c r="Z183" s="179"/>
      <c r="AA183" s="130"/>
      <c r="AB183" s="178"/>
      <c r="AC183" s="130"/>
      <c r="AD183" s="179"/>
      <c r="AE183" s="130"/>
      <c r="AF183" s="178"/>
      <c r="AG183" s="130"/>
      <c r="AH183" s="179"/>
      <c r="AI183" s="130"/>
      <c r="AJ183" s="178"/>
      <c r="AK183" s="130"/>
      <c r="AL183" s="179"/>
      <c r="AM183" s="130"/>
      <c r="AN183" s="178"/>
      <c r="AO183" s="130"/>
      <c r="AP183" s="179"/>
      <c r="AQ183" s="130"/>
      <c r="AR183" s="178"/>
      <c r="AS183" s="130"/>
      <c r="AT183" s="179"/>
      <c r="AU183" s="130"/>
      <c r="AV183" s="178"/>
      <c r="AW183" s="130"/>
      <c r="AX183" s="179"/>
      <c r="AY183" s="130"/>
      <c r="AZ183" s="178"/>
      <c r="BA183" s="130"/>
      <c r="BB183" s="179"/>
      <c r="BC183" s="130"/>
      <c r="BD183" s="178"/>
      <c r="BE183" s="130"/>
      <c r="BF183" s="109"/>
      <c r="BG183" s="130"/>
      <c r="BH183" s="180">
        <f t="shared" si="215"/>
        <v>0</v>
      </c>
      <c r="BI183" s="181">
        <f>Автовик_разбивка[[#This Row],[Цена, 
юань, без НДС 1]]*BH183</f>
        <v>0</v>
      </c>
      <c r="BJ183" s="130">
        <f t="shared" si="216"/>
        <v>0</v>
      </c>
      <c r="BK183" s="187">
        <f>Автовик_разбивка[[#This Row],[Цена, 
юань, без НДС 1]]*BJ183</f>
        <v>0</v>
      </c>
      <c r="BL183" s="109">
        <f t="shared" si="217"/>
        <v>1</v>
      </c>
      <c r="BM183" s="224">
        <f>Автовик_разбивка[[#This Row],[Цена, 
юань, без НДС 1]]*BL183</f>
        <v>0</v>
      </c>
      <c r="BN183" s="178"/>
      <c r="BO183" s="184"/>
      <c r="BP183" s="130"/>
      <c r="BQ183" s="179"/>
      <c r="BR183" s="130"/>
      <c r="BS183" s="178"/>
      <c r="BT183" s="184"/>
      <c r="BU183" s="130"/>
      <c r="BV183" s="179"/>
      <c r="BW183" s="130"/>
      <c r="BX183" s="178"/>
      <c r="BY183" s="184"/>
      <c r="BZ183" s="130"/>
      <c r="CA183" s="179"/>
      <c r="CB183" s="130"/>
      <c r="CC183" s="178"/>
      <c r="CD183" s="184"/>
      <c r="CE183" s="130"/>
      <c r="CF183" s="179"/>
      <c r="CG183" s="130"/>
      <c r="CH183" s="178"/>
      <c r="CI183" s="184"/>
      <c r="CJ183" s="130"/>
      <c r="CK183" s="179"/>
      <c r="CL183" s="130"/>
      <c r="CM183" s="178"/>
      <c r="CN183" s="184"/>
      <c r="CO183" s="130"/>
      <c r="CP183" s="179"/>
      <c r="CQ183" s="130"/>
      <c r="CR183" s="178"/>
      <c r="CS183" s="184"/>
      <c r="CT183" s="130"/>
      <c r="CU183" s="179"/>
      <c r="CV183" s="130"/>
      <c r="CW183" s="178"/>
      <c r="CX183" s="184"/>
      <c r="CY183" s="130"/>
      <c r="CZ183" s="179"/>
      <c r="DA183" s="130"/>
      <c r="DB183" s="178"/>
      <c r="DC183" s="184"/>
      <c r="DD183" s="130"/>
      <c r="DE183" s="179"/>
      <c r="DF183" s="130"/>
      <c r="DG183" s="178"/>
      <c r="DH183" s="184"/>
      <c r="DI183" s="130"/>
      <c r="DJ183" s="179"/>
      <c r="DK183" s="130"/>
      <c r="DL183" s="178"/>
      <c r="DM183" s="184"/>
      <c r="DN183" s="130"/>
      <c r="DO183" s="179"/>
      <c r="DP183" s="130"/>
      <c r="DQ183" s="178"/>
      <c r="DR183" s="184"/>
      <c r="DS183" s="130"/>
      <c r="DT183" s="109"/>
      <c r="DU183" s="130"/>
      <c r="DV183" s="180">
        <f t="shared" si="218"/>
        <v>0</v>
      </c>
      <c r="DW183" s="181">
        <f>Автовик_разбивка[[#This Row],[Цена, 
юань, без НДС 1]]*DV183</f>
        <v>0</v>
      </c>
      <c r="DX183" s="186">
        <f t="shared" si="219"/>
        <v>0</v>
      </c>
      <c r="DY183" s="186">
        <f>Автовик_разбивка[[#This Row],[Цена, 
юань, без НДС 1]]*DX183</f>
        <v>0</v>
      </c>
      <c r="DZ183" s="130">
        <f t="shared" si="220"/>
        <v>0</v>
      </c>
      <c r="EA183" s="187">
        <f>Автовик_разбивка[[#This Row],[Цена, 
юань, без НДС 1]]*DZ183</f>
        <v>0</v>
      </c>
      <c r="EB183" s="109">
        <f t="shared" si="221"/>
        <v>0</v>
      </c>
      <c r="EC183" s="224">
        <f>Автовик_разбивка[[#This Row],[Цена, 
юань, без НДС 1]]*EB183</f>
        <v>0</v>
      </c>
    </row>
    <row r="184" spans="1:133">
      <c r="A184" s="260">
        <v>33</v>
      </c>
      <c r="B184" s="172" t="s">
        <v>328</v>
      </c>
      <c r="C184" s="173" t="s">
        <v>298</v>
      </c>
      <c r="D184" s="173" t="s">
        <v>311</v>
      </c>
      <c r="E184" s="174">
        <v>1</v>
      </c>
      <c r="F184" s="174"/>
      <c r="G184" s="174"/>
      <c r="H184" s="175">
        <v>4801020640</v>
      </c>
      <c r="I184" s="176" t="s">
        <v>76</v>
      </c>
      <c r="J184" s="227"/>
      <c r="K184" s="223"/>
      <c r="L184" s="178"/>
      <c r="M184" s="130"/>
      <c r="N184" s="179">
        <v>1</v>
      </c>
      <c r="O184" s="130"/>
      <c r="P184" s="178"/>
      <c r="Q184" s="130"/>
      <c r="R184" s="179"/>
      <c r="S184" s="130"/>
      <c r="T184" s="178"/>
      <c r="U184" s="130"/>
      <c r="V184" s="179"/>
      <c r="W184" s="130"/>
      <c r="X184" s="178"/>
      <c r="Y184" s="130"/>
      <c r="Z184" s="179"/>
      <c r="AA184" s="130"/>
      <c r="AB184" s="178"/>
      <c r="AC184" s="130"/>
      <c r="AD184" s="179"/>
      <c r="AE184" s="130"/>
      <c r="AF184" s="178"/>
      <c r="AG184" s="130"/>
      <c r="AH184" s="179"/>
      <c r="AI184" s="130"/>
      <c r="AJ184" s="178"/>
      <c r="AK184" s="130"/>
      <c r="AL184" s="179"/>
      <c r="AM184" s="130"/>
      <c r="AN184" s="178"/>
      <c r="AO184" s="130"/>
      <c r="AP184" s="179"/>
      <c r="AQ184" s="130"/>
      <c r="AR184" s="178"/>
      <c r="AS184" s="130"/>
      <c r="AT184" s="179"/>
      <c r="AU184" s="130"/>
      <c r="AV184" s="178"/>
      <c r="AW184" s="130"/>
      <c r="AX184" s="179"/>
      <c r="AY184" s="130"/>
      <c r="AZ184" s="178"/>
      <c r="BA184" s="130"/>
      <c r="BB184" s="179"/>
      <c r="BC184" s="130"/>
      <c r="BD184" s="178"/>
      <c r="BE184" s="130"/>
      <c r="BF184" s="109"/>
      <c r="BG184" s="130"/>
      <c r="BH184" s="180">
        <f t="shared" si="215"/>
        <v>0</v>
      </c>
      <c r="BI184" s="181">
        <f>Автовик_разбивка[[#This Row],[Цена, 
юань, без НДС 1]]*BH184</f>
        <v>0</v>
      </c>
      <c r="BJ184" s="130">
        <f t="shared" si="216"/>
        <v>0</v>
      </c>
      <c r="BK184" s="187">
        <f>Автовик_разбивка[[#This Row],[Цена, 
юань, без НДС 1]]*BJ184</f>
        <v>0</v>
      </c>
      <c r="BL184" s="109">
        <f t="shared" si="217"/>
        <v>1</v>
      </c>
      <c r="BM184" s="224">
        <f>Автовик_разбивка[[#This Row],[Цена, 
юань, без НДС 1]]*BL184</f>
        <v>0</v>
      </c>
      <c r="BN184" s="178"/>
      <c r="BO184" s="184"/>
      <c r="BP184" s="130"/>
      <c r="BQ184" s="179"/>
      <c r="BR184" s="130"/>
      <c r="BS184" s="178"/>
      <c r="BT184" s="184"/>
      <c r="BU184" s="130"/>
      <c r="BV184" s="179"/>
      <c r="BW184" s="130"/>
      <c r="BX184" s="178"/>
      <c r="BY184" s="184"/>
      <c r="BZ184" s="130"/>
      <c r="CA184" s="179"/>
      <c r="CB184" s="130"/>
      <c r="CC184" s="178"/>
      <c r="CD184" s="184"/>
      <c r="CE184" s="130"/>
      <c r="CF184" s="179"/>
      <c r="CG184" s="130"/>
      <c r="CH184" s="178"/>
      <c r="CI184" s="184"/>
      <c r="CJ184" s="130"/>
      <c r="CK184" s="179"/>
      <c r="CL184" s="130"/>
      <c r="CM184" s="178"/>
      <c r="CN184" s="184"/>
      <c r="CO184" s="130"/>
      <c r="CP184" s="179"/>
      <c r="CQ184" s="130"/>
      <c r="CR184" s="178"/>
      <c r="CS184" s="184"/>
      <c r="CT184" s="130"/>
      <c r="CU184" s="179"/>
      <c r="CV184" s="130"/>
      <c r="CW184" s="178"/>
      <c r="CX184" s="184"/>
      <c r="CY184" s="130"/>
      <c r="CZ184" s="179"/>
      <c r="DA184" s="130"/>
      <c r="DB184" s="178"/>
      <c r="DC184" s="184"/>
      <c r="DD184" s="130"/>
      <c r="DE184" s="179"/>
      <c r="DF184" s="130"/>
      <c r="DG184" s="178"/>
      <c r="DH184" s="184"/>
      <c r="DI184" s="130"/>
      <c r="DJ184" s="179"/>
      <c r="DK184" s="130"/>
      <c r="DL184" s="178"/>
      <c r="DM184" s="184"/>
      <c r="DN184" s="130"/>
      <c r="DO184" s="179"/>
      <c r="DP184" s="130"/>
      <c r="DQ184" s="178"/>
      <c r="DR184" s="184"/>
      <c r="DS184" s="130"/>
      <c r="DT184" s="109"/>
      <c r="DU184" s="130"/>
      <c r="DV184" s="180">
        <f t="shared" si="218"/>
        <v>0</v>
      </c>
      <c r="DW184" s="181">
        <f>Автовик_разбивка[[#This Row],[Цена, 
юань, без НДС 1]]*DV184</f>
        <v>0</v>
      </c>
      <c r="DX184" s="186">
        <f t="shared" si="219"/>
        <v>0</v>
      </c>
      <c r="DY184" s="186">
        <f>Автовик_разбивка[[#This Row],[Цена, 
юань, без НДС 1]]*DX184</f>
        <v>0</v>
      </c>
      <c r="DZ184" s="130">
        <f t="shared" si="220"/>
        <v>0</v>
      </c>
      <c r="EA184" s="187">
        <f>Автовик_разбивка[[#This Row],[Цена, 
юань, без НДС 1]]*DZ184</f>
        <v>0</v>
      </c>
      <c r="EB184" s="109">
        <f t="shared" si="221"/>
        <v>0</v>
      </c>
      <c r="EC184" s="224">
        <f>Автовик_разбивка[[#This Row],[Цена, 
юань, без НДС 1]]*EB184</f>
        <v>0</v>
      </c>
    </row>
    <row r="185" spans="1:133">
      <c r="A185" s="260">
        <v>33</v>
      </c>
      <c r="B185" s="172" t="s">
        <v>328</v>
      </c>
      <c r="C185" s="173" t="s">
        <v>298</v>
      </c>
      <c r="D185" s="173" t="s">
        <v>311</v>
      </c>
      <c r="E185" s="174">
        <v>1</v>
      </c>
      <c r="F185" s="174"/>
      <c r="G185" s="174"/>
      <c r="H185" s="175">
        <v>9522010010</v>
      </c>
      <c r="I185" s="176" t="s">
        <v>73</v>
      </c>
      <c r="J185" s="227"/>
      <c r="K185" s="223"/>
      <c r="L185" s="178"/>
      <c r="M185" s="130"/>
      <c r="N185" s="179">
        <v>1</v>
      </c>
      <c r="O185" s="130"/>
      <c r="P185" s="178"/>
      <c r="Q185" s="130"/>
      <c r="R185" s="179"/>
      <c r="S185" s="130"/>
      <c r="T185" s="178"/>
      <c r="U185" s="130"/>
      <c r="V185" s="179"/>
      <c r="W185" s="130"/>
      <c r="X185" s="178"/>
      <c r="Y185" s="130"/>
      <c r="Z185" s="179"/>
      <c r="AA185" s="130"/>
      <c r="AB185" s="178"/>
      <c r="AC185" s="130"/>
      <c r="AD185" s="179"/>
      <c r="AE185" s="130"/>
      <c r="AF185" s="178"/>
      <c r="AG185" s="130"/>
      <c r="AH185" s="179"/>
      <c r="AI185" s="130"/>
      <c r="AJ185" s="178"/>
      <c r="AK185" s="130"/>
      <c r="AL185" s="179"/>
      <c r="AM185" s="130"/>
      <c r="AN185" s="178"/>
      <c r="AO185" s="130"/>
      <c r="AP185" s="179"/>
      <c r="AQ185" s="130"/>
      <c r="AR185" s="178"/>
      <c r="AS185" s="130"/>
      <c r="AT185" s="179"/>
      <c r="AU185" s="130"/>
      <c r="AV185" s="178"/>
      <c r="AW185" s="130"/>
      <c r="AX185" s="179"/>
      <c r="AY185" s="130"/>
      <c r="AZ185" s="178"/>
      <c r="BA185" s="130"/>
      <c r="BB185" s="179"/>
      <c r="BC185" s="130"/>
      <c r="BD185" s="178"/>
      <c r="BE185" s="130"/>
      <c r="BF185" s="109"/>
      <c r="BG185" s="130"/>
      <c r="BH185" s="180">
        <f t="shared" si="215"/>
        <v>0</v>
      </c>
      <c r="BI185" s="181">
        <f>Автовик_разбивка[[#This Row],[Цена, 
юань, без НДС 1]]*BH185</f>
        <v>0</v>
      </c>
      <c r="BJ185" s="130">
        <f t="shared" si="216"/>
        <v>0</v>
      </c>
      <c r="BK185" s="187">
        <f>Автовик_разбивка[[#This Row],[Цена, 
юань, без НДС 1]]*BJ185</f>
        <v>0</v>
      </c>
      <c r="BL185" s="109">
        <f t="shared" si="217"/>
        <v>1</v>
      </c>
      <c r="BM185" s="224">
        <f>Автовик_разбивка[[#This Row],[Цена, 
юань, без НДС 1]]*BL185</f>
        <v>0</v>
      </c>
      <c r="BN185" s="178"/>
      <c r="BO185" s="184"/>
      <c r="BP185" s="130"/>
      <c r="BQ185" s="179"/>
      <c r="BR185" s="130"/>
      <c r="BS185" s="178"/>
      <c r="BT185" s="184"/>
      <c r="BU185" s="130"/>
      <c r="BV185" s="179"/>
      <c r="BW185" s="130"/>
      <c r="BX185" s="178"/>
      <c r="BY185" s="184"/>
      <c r="BZ185" s="130"/>
      <c r="CA185" s="179"/>
      <c r="CB185" s="130"/>
      <c r="CC185" s="178"/>
      <c r="CD185" s="184"/>
      <c r="CE185" s="130"/>
      <c r="CF185" s="179"/>
      <c r="CG185" s="130"/>
      <c r="CH185" s="178"/>
      <c r="CI185" s="184"/>
      <c r="CJ185" s="130"/>
      <c r="CK185" s="179"/>
      <c r="CL185" s="130"/>
      <c r="CM185" s="178"/>
      <c r="CN185" s="184"/>
      <c r="CO185" s="130"/>
      <c r="CP185" s="179"/>
      <c r="CQ185" s="130"/>
      <c r="CR185" s="178"/>
      <c r="CS185" s="184"/>
      <c r="CT185" s="130"/>
      <c r="CU185" s="179"/>
      <c r="CV185" s="130"/>
      <c r="CW185" s="178"/>
      <c r="CX185" s="184"/>
      <c r="CY185" s="130"/>
      <c r="CZ185" s="179"/>
      <c r="DA185" s="130"/>
      <c r="DB185" s="178"/>
      <c r="DC185" s="184"/>
      <c r="DD185" s="130"/>
      <c r="DE185" s="179"/>
      <c r="DF185" s="130"/>
      <c r="DG185" s="178"/>
      <c r="DH185" s="184"/>
      <c r="DI185" s="130"/>
      <c r="DJ185" s="179"/>
      <c r="DK185" s="130"/>
      <c r="DL185" s="178"/>
      <c r="DM185" s="184"/>
      <c r="DN185" s="130"/>
      <c r="DO185" s="179"/>
      <c r="DP185" s="130"/>
      <c r="DQ185" s="178"/>
      <c r="DR185" s="184"/>
      <c r="DS185" s="130"/>
      <c r="DT185" s="109"/>
      <c r="DU185" s="130"/>
      <c r="DV185" s="180">
        <f t="shared" si="218"/>
        <v>0</v>
      </c>
      <c r="DW185" s="181">
        <f>Автовик_разбивка[[#This Row],[Цена, 
юань, без НДС 1]]*DV185</f>
        <v>0</v>
      </c>
      <c r="DX185" s="186">
        <f t="shared" si="219"/>
        <v>0</v>
      </c>
      <c r="DY185" s="186">
        <f>Автовик_разбивка[[#This Row],[Цена, 
юань, без НДС 1]]*DX185</f>
        <v>0</v>
      </c>
      <c r="DZ185" s="130">
        <f t="shared" si="220"/>
        <v>0</v>
      </c>
      <c r="EA185" s="187">
        <f>Автовик_разбивка[[#This Row],[Цена, 
юань, без НДС 1]]*DZ185</f>
        <v>0</v>
      </c>
      <c r="EB185" s="109">
        <f t="shared" si="221"/>
        <v>0</v>
      </c>
      <c r="EC185" s="224">
        <f>Автовик_разбивка[[#This Row],[Цена, 
юань, без НДС 1]]*EB185</f>
        <v>0</v>
      </c>
    </row>
    <row r="186" spans="1:133">
      <c r="A186" s="260">
        <v>33</v>
      </c>
      <c r="B186" s="172" t="s">
        <v>328</v>
      </c>
      <c r="C186" s="173" t="s">
        <v>298</v>
      </c>
      <c r="D186" s="173" t="s">
        <v>311</v>
      </c>
      <c r="E186" s="174">
        <v>1</v>
      </c>
      <c r="F186" s="174"/>
      <c r="G186" s="174"/>
      <c r="H186" s="175">
        <v>9522010020</v>
      </c>
      <c r="I186" s="176" t="s">
        <v>74</v>
      </c>
      <c r="J186" s="227"/>
      <c r="K186" s="223"/>
      <c r="L186" s="178"/>
      <c r="M186" s="130"/>
      <c r="N186" s="179">
        <v>1</v>
      </c>
      <c r="O186" s="130"/>
      <c r="P186" s="178"/>
      <c r="Q186" s="130"/>
      <c r="R186" s="179"/>
      <c r="S186" s="130"/>
      <c r="T186" s="178"/>
      <c r="U186" s="130"/>
      <c r="V186" s="179"/>
      <c r="W186" s="130"/>
      <c r="X186" s="178"/>
      <c r="Y186" s="130"/>
      <c r="Z186" s="179"/>
      <c r="AA186" s="130"/>
      <c r="AB186" s="178"/>
      <c r="AC186" s="130"/>
      <c r="AD186" s="179"/>
      <c r="AE186" s="130"/>
      <c r="AF186" s="178"/>
      <c r="AG186" s="130"/>
      <c r="AH186" s="179"/>
      <c r="AI186" s="130"/>
      <c r="AJ186" s="178"/>
      <c r="AK186" s="130"/>
      <c r="AL186" s="179"/>
      <c r="AM186" s="130"/>
      <c r="AN186" s="178"/>
      <c r="AO186" s="130"/>
      <c r="AP186" s="179"/>
      <c r="AQ186" s="130"/>
      <c r="AR186" s="178"/>
      <c r="AS186" s="130"/>
      <c r="AT186" s="179"/>
      <c r="AU186" s="130"/>
      <c r="AV186" s="178"/>
      <c r="AW186" s="130"/>
      <c r="AX186" s="179"/>
      <c r="AY186" s="130"/>
      <c r="AZ186" s="178"/>
      <c r="BA186" s="130"/>
      <c r="BB186" s="179"/>
      <c r="BC186" s="130"/>
      <c r="BD186" s="178"/>
      <c r="BE186" s="130"/>
      <c r="BF186" s="109"/>
      <c r="BG186" s="130"/>
      <c r="BH186" s="180">
        <f t="shared" si="215"/>
        <v>0</v>
      </c>
      <c r="BI186" s="181">
        <f>Автовик_разбивка[[#This Row],[Цена, 
юань, без НДС 1]]*BH186</f>
        <v>0</v>
      </c>
      <c r="BJ186" s="130">
        <f t="shared" si="216"/>
        <v>0</v>
      </c>
      <c r="BK186" s="187">
        <f>Автовик_разбивка[[#This Row],[Цена, 
юань, без НДС 1]]*BJ186</f>
        <v>0</v>
      </c>
      <c r="BL186" s="109">
        <f t="shared" si="217"/>
        <v>1</v>
      </c>
      <c r="BM186" s="224">
        <f>Автовик_разбивка[[#This Row],[Цена, 
юань, без НДС 1]]*BL186</f>
        <v>0</v>
      </c>
      <c r="BN186" s="178"/>
      <c r="BO186" s="184"/>
      <c r="BP186" s="130"/>
      <c r="BQ186" s="179"/>
      <c r="BR186" s="130"/>
      <c r="BS186" s="178"/>
      <c r="BT186" s="184"/>
      <c r="BU186" s="130"/>
      <c r="BV186" s="179"/>
      <c r="BW186" s="130"/>
      <c r="BX186" s="178"/>
      <c r="BY186" s="184"/>
      <c r="BZ186" s="130"/>
      <c r="CA186" s="179"/>
      <c r="CB186" s="130"/>
      <c r="CC186" s="178"/>
      <c r="CD186" s="184"/>
      <c r="CE186" s="130"/>
      <c r="CF186" s="179"/>
      <c r="CG186" s="130"/>
      <c r="CH186" s="178"/>
      <c r="CI186" s="184"/>
      <c r="CJ186" s="130"/>
      <c r="CK186" s="179"/>
      <c r="CL186" s="130"/>
      <c r="CM186" s="178"/>
      <c r="CN186" s="184"/>
      <c r="CO186" s="130"/>
      <c r="CP186" s="179"/>
      <c r="CQ186" s="130"/>
      <c r="CR186" s="178"/>
      <c r="CS186" s="184"/>
      <c r="CT186" s="130"/>
      <c r="CU186" s="179"/>
      <c r="CV186" s="130"/>
      <c r="CW186" s="178"/>
      <c r="CX186" s="184"/>
      <c r="CY186" s="130"/>
      <c r="CZ186" s="179"/>
      <c r="DA186" s="130"/>
      <c r="DB186" s="178"/>
      <c r="DC186" s="184"/>
      <c r="DD186" s="130"/>
      <c r="DE186" s="179"/>
      <c r="DF186" s="130"/>
      <c r="DG186" s="178"/>
      <c r="DH186" s="184"/>
      <c r="DI186" s="130"/>
      <c r="DJ186" s="179"/>
      <c r="DK186" s="130"/>
      <c r="DL186" s="178"/>
      <c r="DM186" s="184"/>
      <c r="DN186" s="130"/>
      <c r="DO186" s="179"/>
      <c r="DP186" s="130"/>
      <c r="DQ186" s="178"/>
      <c r="DR186" s="184"/>
      <c r="DS186" s="130"/>
      <c r="DT186" s="109"/>
      <c r="DU186" s="130"/>
      <c r="DV186" s="180">
        <f t="shared" si="218"/>
        <v>0</v>
      </c>
      <c r="DW186" s="181">
        <f>Автовик_разбивка[[#This Row],[Цена, 
юань, без НДС 1]]*DV186</f>
        <v>0</v>
      </c>
      <c r="DX186" s="186">
        <f t="shared" si="219"/>
        <v>0</v>
      </c>
      <c r="DY186" s="186">
        <f>Автовик_разбивка[[#This Row],[Цена, 
юань, без НДС 1]]*DX186</f>
        <v>0</v>
      </c>
      <c r="DZ186" s="130">
        <f t="shared" si="220"/>
        <v>0</v>
      </c>
      <c r="EA186" s="187">
        <f>Автовик_разбивка[[#This Row],[Цена, 
юань, без НДС 1]]*DZ186</f>
        <v>0</v>
      </c>
      <c r="EB186" s="109">
        <f t="shared" si="221"/>
        <v>0</v>
      </c>
      <c r="EC186" s="224">
        <f>Автовик_разбивка[[#This Row],[Цена, 
юань, без НДС 1]]*EB186</f>
        <v>0</v>
      </c>
    </row>
    <row r="187" spans="1:133">
      <c r="A187" s="260">
        <v>33</v>
      </c>
      <c r="B187" s="172" t="s">
        <v>328</v>
      </c>
      <c r="C187" s="173" t="s">
        <v>298</v>
      </c>
      <c r="D187" s="173" t="s">
        <v>311</v>
      </c>
      <c r="E187" s="174">
        <v>1</v>
      </c>
      <c r="F187" s="174"/>
      <c r="G187" s="174"/>
      <c r="H187" s="175">
        <v>9710029000</v>
      </c>
      <c r="I187" s="176" t="s">
        <v>75</v>
      </c>
      <c r="J187" s="227"/>
      <c r="K187" s="223"/>
      <c r="L187" s="178"/>
      <c r="M187" s="130"/>
      <c r="N187" s="179">
        <v>1</v>
      </c>
      <c r="O187" s="130"/>
      <c r="P187" s="178"/>
      <c r="Q187" s="130"/>
      <c r="R187" s="179"/>
      <c r="S187" s="130"/>
      <c r="T187" s="178"/>
      <c r="U187" s="130"/>
      <c r="V187" s="179"/>
      <c r="W187" s="130"/>
      <c r="X187" s="178"/>
      <c r="Y187" s="130"/>
      <c r="Z187" s="179"/>
      <c r="AA187" s="130"/>
      <c r="AB187" s="178"/>
      <c r="AC187" s="130"/>
      <c r="AD187" s="179"/>
      <c r="AE187" s="130"/>
      <c r="AF187" s="178"/>
      <c r="AG187" s="130"/>
      <c r="AH187" s="179"/>
      <c r="AI187" s="130"/>
      <c r="AJ187" s="178"/>
      <c r="AK187" s="130"/>
      <c r="AL187" s="179"/>
      <c r="AM187" s="130"/>
      <c r="AN187" s="178"/>
      <c r="AO187" s="130"/>
      <c r="AP187" s="179"/>
      <c r="AQ187" s="130"/>
      <c r="AR187" s="178"/>
      <c r="AS187" s="130"/>
      <c r="AT187" s="179"/>
      <c r="AU187" s="130"/>
      <c r="AV187" s="178"/>
      <c r="AW187" s="130"/>
      <c r="AX187" s="179"/>
      <c r="AY187" s="130"/>
      <c r="AZ187" s="178"/>
      <c r="BA187" s="130"/>
      <c r="BB187" s="179"/>
      <c r="BC187" s="130"/>
      <c r="BD187" s="178"/>
      <c r="BE187" s="130"/>
      <c r="BF187" s="109"/>
      <c r="BG187" s="130"/>
      <c r="BH187" s="180">
        <f t="shared" si="215"/>
        <v>0</v>
      </c>
      <c r="BI187" s="181">
        <f>Автовик_разбивка[[#This Row],[Цена, 
юань, без НДС 1]]*BH187</f>
        <v>0</v>
      </c>
      <c r="BJ187" s="130">
        <f t="shared" si="216"/>
        <v>0</v>
      </c>
      <c r="BK187" s="187">
        <f>Автовик_разбивка[[#This Row],[Цена, 
юань, без НДС 1]]*BJ187</f>
        <v>0</v>
      </c>
      <c r="BL187" s="109">
        <f t="shared" si="217"/>
        <v>1</v>
      </c>
      <c r="BM187" s="224">
        <f>Автовик_разбивка[[#This Row],[Цена, 
юань, без НДС 1]]*BL187</f>
        <v>0</v>
      </c>
      <c r="BN187" s="178"/>
      <c r="BO187" s="184"/>
      <c r="BP187" s="130"/>
      <c r="BQ187" s="179"/>
      <c r="BR187" s="130"/>
      <c r="BS187" s="178"/>
      <c r="BT187" s="184"/>
      <c r="BU187" s="130"/>
      <c r="BV187" s="179"/>
      <c r="BW187" s="130"/>
      <c r="BX187" s="178"/>
      <c r="BY187" s="184"/>
      <c r="BZ187" s="130"/>
      <c r="CA187" s="179"/>
      <c r="CB187" s="130"/>
      <c r="CC187" s="178"/>
      <c r="CD187" s="184"/>
      <c r="CE187" s="130"/>
      <c r="CF187" s="179"/>
      <c r="CG187" s="130"/>
      <c r="CH187" s="178"/>
      <c r="CI187" s="184"/>
      <c r="CJ187" s="130"/>
      <c r="CK187" s="179"/>
      <c r="CL187" s="130"/>
      <c r="CM187" s="178"/>
      <c r="CN187" s="184"/>
      <c r="CO187" s="130"/>
      <c r="CP187" s="179"/>
      <c r="CQ187" s="130"/>
      <c r="CR187" s="178"/>
      <c r="CS187" s="184"/>
      <c r="CT187" s="130"/>
      <c r="CU187" s="179"/>
      <c r="CV187" s="130"/>
      <c r="CW187" s="178"/>
      <c r="CX187" s="184"/>
      <c r="CY187" s="130"/>
      <c r="CZ187" s="179"/>
      <c r="DA187" s="130"/>
      <c r="DB187" s="178"/>
      <c r="DC187" s="184"/>
      <c r="DD187" s="130"/>
      <c r="DE187" s="179"/>
      <c r="DF187" s="130"/>
      <c r="DG187" s="178"/>
      <c r="DH187" s="184"/>
      <c r="DI187" s="130"/>
      <c r="DJ187" s="179"/>
      <c r="DK187" s="130"/>
      <c r="DL187" s="178"/>
      <c r="DM187" s="184"/>
      <c r="DN187" s="130"/>
      <c r="DO187" s="179"/>
      <c r="DP187" s="130"/>
      <c r="DQ187" s="178"/>
      <c r="DR187" s="184"/>
      <c r="DS187" s="130"/>
      <c r="DT187" s="109"/>
      <c r="DU187" s="130"/>
      <c r="DV187" s="180">
        <f t="shared" si="218"/>
        <v>0</v>
      </c>
      <c r="DW187" s="181">
        <f>Автовик_разбивка[[#This Row],[Цена, 
юань, без НДС 1]]*DV187</f>
        <v>0</v>
      </c>
      <c r="DX187" s="186">
        <f t="shared" si="219"/>
        <v>0</v>
      </c>
      <c r="DY187" s="186">
        <f>Автовик_разбивка[[#This Row],[Цена, 
юань, без НДС 1]]*DX187</f>
        <v>0</v>
      </c>
      <c r="DZ187" s="130">
        <f t="shared" si="220"/>
        <v>0</v>
      </c>
      <c r="EA187" s="187">
        <f>Автовик_разбивка[[#This Row],[Цена, 
юань, без НДС 1]]*DZ187</f>
        <v>0</v>
      </c>
      <c r="EB187" s="109">
        <f t="shared" si="221"/>
        <v>0</v>
      </c>
      <c r="EC187" s="224">
        <f>Автовик_разбивка[[#This Row],[Цена, 
юань, без НДС 1]]*EB187</f>
        <v>0</v>
      </c>
    </row>
    <row r="188" spans="1:133">
      <c r="A188" s="260">
        <v>33</v>
      </c>
      <c r="B188" s="172" t="s">
        <v>328</v>
      </c>
      <c r="C188" s="132"/>
      <c r="D188" s="132"/>
      <c r="E188" s="229"/>
      <c r="F188" s="229"/>
      <c r="G188" s="229"/>
      <c r="H188" s="230"/>
      <c r="I188" s="231" t="s">
        <v>43</v>
      </c>
      <c r="J188" s="232"/>
      <c r="K188" s="232"/>
      <c r="L188" s="233"/>
      <c r="M188" s="234"/>
      <c r="N188" s="235"/>
      <c r="O188" s="234"/>
      <c r="P188" s="233"/>
      <c r="Q188" s="234"/>
      <c r="R188" s="235"/>
      <c r="S188" s="234"/>
      <c r="T188" s="233"/>
      <c r="U188" s="234"/>
      <c r="V188" s="235"/>
      <c r="W188" s="234"/>
      <c r="X188" s="233"/>
      <c r="Y188" s="234"/>
      <c r="Z188" s="235"/>
      <c r="AA188" s="234"/>
      <c r="AB188" s="233"/>
      <c r="AC188" s="234"/>
      <c r="AD188" s="235"/>
      <c r="AE188" s="234"/>
      <c r="AF188" s="233"/>
      <c r="AG188" s="234"/>
      <c r="AH188" s="235"/>
      <c r="AI188" s="234"/>
      <c r="AJ188" s="233"/>
      <c r="AK188" s="234"/>
      <c r="AL188" s="235"/>
      <c r="AM188" s="234"/>
      <c r="AN188" s="233"/>
      <c r="AO188" s="234"/>
      <c r="AP188" s="235"/>
      <c r="AQ188" s="234"/>
      <c r="AR188" s="233"/>
      <c r="AS188" s="234"/>
      <c r="AT188" s="235"/>
      <c r="AU188" s="234"/>
      <c r="AV188" s="233"/>
      <c r="AW188" s="234"/>
      <c r="AX188" s="235"/>
      <c r="AY188" s="234"/>
      <c r="AZ188" s="233"/>
      <c r="BA188" s="234"/>
      <c r="BB188" s="235"/>
      <c r="BC188" s="234"/>
      <c r="BD188" s="233"/>
      <c r="BE188" s="234"/>
      <c r="BF188" s="235"/>
      <c r="BG188" s="234"/>
      <c r="BH188" s="233">
        <f t="shared" si="215"/>
        <v>0</v>
      </c>
      <c r="BI188" s="238">
        <f>Автовик_разбивка[[#This Row],[Цена, 
юань, без НДС 1]]*BH188</f>
        <v>0</v>
      </c>
      <c r="BJ188" s="234">
        <f t="shared" si="216"/>
        <v>0</v>
      </c>
      <c r="BK188" s="253">
        <f>Автовик_разбивка[[#This Row],[Цена, 
юань, без НДС 1]]*BJ188</f>
        <v>0</v>
      </c>
      <c r="BL188" s="235">
        <f t="shared" si="217"/>
        <v>0</v>
      </c>
      <c r="BM188" s="254">
        <f>Автовик_разбивка[[#This Row],[Цена, 
юань, без НДС 1]]*BL188</f>
        <v>0</v>
      </c>
      <c r="BN188" s="233"/>
      <c r="BO188" s="241"/>
      <c r="BP188" s="234"/>
      <c r="BQ188" s="235"/>
      <c r="BR188" s="234"/>
      <c r="BS188" s="233"/>
      <c r="BT188" s="241"/>
      <c r="BU188" s="234"/>
      <c r="BV188" s="235"/>
      <c r="BW188" s="234"/>
      <c r="BX188" s="233"/>
      <c r="BY188" s="241"/>
      <c r="BZ188" s="234"/>
      <c r="CA188" s="235"/>
      <c r="CB188" s="234"/>
      <c r="CC188" s="233"/>
      <c r="CD188" s="241"/>
      <c r="CE188" s="234"/>
      <c r="CF188" s="235"/>
      <c r="CG188" s="234"/>
      <c r="CH188" s="233"/>
      <c r="CI188" s="241"/>
      <c r="CJ188" s="234"/>
      <c r="CK188" s="235"/>
      <c r="CL188" s="234"/>
      <c r="CM188" s="233"/>
      <c r="CN188" s="241"/>
      <c r="CO188" s="234"/>
      <c r="CP188" s="235"/>
      <c r="CQ188" s="234"/>
      <c r="CR188" s="233"/>
      <c r="CS188" s="241"/>
      <c r="CT188" s="234"/>
      <c r="CU188" s="235"/>
      <c r="CV188" s="234"/>
      <c r="CW188" s="233"/>
      <c r="CX188" s="241"/>
      <c r="CY188" s="234"/>
      <c r="CZ188" s="235"/>
      <c r="DA188" s="234"/>
      <c r="DB188" s="233"/>
      <c r="DC188" s="241"/>
      <c r="DD188" s="234"/>
      <c r="DE188" s="235"/>
      <c r="DF188" s="234"/>
      <c r="DG188" s="233"/>
      <c r="DH188" s="241"/>
      <c r="DI188" s="234"/>
      <c r="DJ188" s="235"/>
      <c r="DK188" s="234"/>
      <c r="DL188" s="233"/>
      <c r="DM188" s="241"/>
      <c r="DN188" s="234"/>
      <c r="DO188" s="235"/>
      <c r="DP188" s="234"/>
      <c r="DQ188" s="233"/>
      <c r="DR188" s="241"/>
      <c r="DS188" s="234"/>
      <c r="DT188" s="235"/>
      <c r="DU188" s="234"/>
      <c r="DV188" s="233">
        <f t="shared" si="218"/>
        <v>0</v>
      </c>
      <c r="DW188" s="238">
        <f>Автовик_разбивка[[#This Row],[Цена, 
юань, без НДС 1]]*DV188</f>
        <v>0</v>
      </c>
      <c r="DX188" s="242">
        <f t="shared" si="219"/>
        <v>0</v>
      </c>
      <c r="DY188" s="242">
        <f>Автовик_разбивка[[#This Row],[Цена, 
юань, без НДС 1]]*DX188</f>
        <v>0</v>
      </c>
      <c r="DZ188" s="234">
        <f t="shared" si="220"/>
        <v>0</v>
      </c>
      <c r="EA188" s="253">
        <f>Автовик_разбивка[[#This Row],[Цена, 
юань, без НДС 1]]*DZ188</f>
        <v>0</v>
      </c>
      <c r="EB188" s="235">
        <f t="shared" si="221"/>
        <v>0</v>
      </c>
      <c r="EC188" s="254">
        <f>Автовик_разбивка[[#This Row],[Цена, 
юань, без НДС 1]]*EB188</f>
        <v>0</v>
      </c>
    </row>
    <row r="189" spans="1:133">
      <c r="A189" s="260">
        <v>33</v>
      </c>
      <c r="B189" s="261" t="s">
        <v>328</v>
      </c>
      <c r="C189" s="244"/>
      <c r="D189" s="244"/>
      <c r="E189" s="245"/>
      <c r="F189" s="245"/>
      <c r="G189" s="245"/>
      <c r="H189" s="246"/>
      <c r="I189" s="247"/>
      <c r="J189" s="248"/>
      <c r="K189" s="248"/>
      <c r="L189" s="249"/>
      <c r="M189" s="249"/>
      <c r="N189" s="249"/>
      <c r="O189" s="249"/>
      <c r="P189" s="249"/>
      <c r="Q189" s="249"/>
      <c r="R189" s="249"/>
      <c r="S189" s="249"/>
      <c r="T189" s="249"/>
      <c r="U189" s="249"/>
      <c r="V189" s="249"/>
      <c r="W189" s="249"/>
      <c r="X189" s="249"/>
      <c r="Y189" s="249"/>
      <c r="Z189" s="249"/>
      <c r="AA189" s="249"/>
      <c r="AB189" s="249"/>
      <c r="AC189" s="249"/>
      <c r="AD189" s="249"/>
      <c r="AE189" s="249"/>
      <c r="AF189" s="249"/>
      <c r="AG189" s="249"/>
      <c r="AH189" s="249"/>
      <c r="AI189" s="249"/>
      <c r="AJ189" s="249"/>
      <c r="AK189" s="249"/>
      <c r="AL189" s="249"/>
      <c r="AM189" s="249"/>
      <c r="AN189" s="249"/>
      <c r="AO189" s="249"/>
      <c r="AP189" s="249"/>
      <c r="AQ189" s="249"/>
      <c r="AR189" s="249"/>
      <c r="AS189" s="249"/>
      <c r="AT189" s="249"/>
      <c r="AU189" s="249"/>
      <c r="AV189" s="249"/>
      <c r="AW189" s="249"/>
      <c r="AX189" s="250"/>
      <c r="AY189" s="249"/>
      <c r="AZ189" s="250"/>
      <c r="BA189" s="250"/>
      <c r="BB189" s="250"/>
      <c r="BC189" s="249"/>
      <c r="BD189" s="250"/>
      <c r="BE189" s="250"/>
      <c r="BF189" s="250"/>
      <c r="BG189" s="249"/>
      <c r="BH189" s="250">
        <f t="shared" si="215"/>
        <v>0</v>
      </c>
      <c r="BI189" s="251">
        <f>Автовик_разбивка[[#This Row],[Цена, 
юань, без НДС 1]]*BH189</f>
        <v>0</v>
      </c>
      <c r="BJ189" s="250">
        <f t="shared" si="216"/>
        <v>0</v>
      </c>
      <c r="BK189" s="251">
        <f>Автовик_разбивка[[#This Row],[Цена, 
юань, без НДС 1]]*BJ189</f>
        <v>0</v>
      </c>
      <c r="BL189" s="250">
        <f t="shared" si="217"/>
        <v>0</v>
      </c>
      <c r="BM189" s="251">
        <f>Автовик_разбивка[[#This Row],[Цена, 
юань, без НДС 1]]*BL189</f>
        <v>0</v>
      </c>
      <c r="BN189" s="249"/>
      <c r="BO189" s="249"/>
      <c r="BP189" s="249"/>
      <c r="BQ189" s="249"/>
      <c r="BR189" s="249"/>
      <c r="BS189" s="249"/>
      <c r="BT189" s="249"/>
      <c r="BU189" s="249"/>
      <c r="BV189" s="249"/>
      <c r="BW189" s="249"/>
      <c r="BX189" s="249"/>
      <c r="BY189" s="249"/>
      <c r="BZ189" s="249"/>
      <c r="CA189" s="249"/>
      <c r="CB189" s="249"/>
      <c r="CC189" s="249"/>
      <c r="CD189" s="249"/>
      <c r="CE189" s="249"/>
      <c r="CF189" s="249"/>
      <c r="CG189" s="249"/>
      <c r="CH189" s="249"/>
      <c r="CI189" s="249"/>
      <c r="CJ189" s="249"/>
      <c r="CK189" s="249"/>
      <c r="CL189" s="249"/>
      <c r="CM189" s="249"/>
      <c r="CN189" s="249"/>
      <c r="CO189" s="249"/>
      <c r="CP189" s="249"/>
      <c r="CQ189" s="249"/>
      <c r="CR189" s="249"/>
      <c r="CS189" s="249"/>
      <c r="CT189" s="249"/>
      <c r="CU189" s="249"/>
      <c r="CV189" s="249"/>
      <c r="CW189" s="249"/>
      <c r="CX189" s="249"/>
      <c r="CY189" s="249"/>
      <c r="CZ189" s="249"/>
      <c r="DA189" s="249"/>
      <c r="DB189" s="249"/>
      <c r="DC189" s="249"/>
      <c r="DD189" s="249"/>
      <c r="DE189" s="249"/>
      <c r="DF189" s="249"/>
      <c r="DG189" s="249"/>
      <c r="DH189" s="249"/>
      <c r="DI189" s="249"/>
      <c r="DJ189" s="250"/>
      <c r="DK189" s="249"/>
      <c r="DL189" s="250"/>
      <c r="DM189" s="250"/>
      <c r="DN189" s="250"/>
      <c r="DO189" s="250"/>
      <c r="DP189" s="249"/>
      <c r="DQ189" s="250"/>
      <c r="DR189" s="250"/>
      <c r="DS189" s="250"/>
      <c r="DT189" s="250"/>
      <c r="DU189" s="249"/>
      <c r="DV189" s="250">
        <f t="shared" si="218"/>
        <v>0</v>
      </c>
      <c r="DW189" s="251">
        <f>Автовик_разбивка[[#This Row],[Цена, 
юань, без НДС 1]]*DV189</f>
        <v>0</v>
      </c>
      <c r="DX189" s="251">
        <f t="shared" si="219"/>
        <v>0</v>
      </c>
      <c r="DY189" s="251">
        <f>Автовик_разбивка[[#This Row],[Цена, 
юань, без НДС 1]]*DX189</f>
        <v>0</v>
      </c>
      <c r="DZ189" s="250">
        <f t="shared" si="220"/>
        <v>0</v>
      </c>
      <c r="EA189" s="251">
        <f>Автовик_разбивка[[#This Row],[Цена, 
юань, без НДС 1]]*DZ189</f>
        <v>0</v>
      </c>
      <c r="EB189" s="250">
        <f t="shared" si="221"/>
        <v>0</v>
      </c>
      <c r="EC189" s="251">
        <f>Автовик_разбивка[[#This Row],[Цена, 
юань, без НДС 1]]*EB189</f>
        <v>0</v>
      </c>
    </row>
    <row r="190" spans="1:133">
      <c r="A190" s="260">
        <v>33</v>
      </c>
      <c r="B190" s="172" t="s">
        <v>329</v>
      </c>
      <c r="C190" s="173" t="s">
        <v>298</v>
      </c>
      <c r="D190" s="173" t="s">
        <v>311</v>
      </c>
      <c r="E190" s="174">
        <v>1</v>
      </c>
      <c r="F190" s="174"/>
      <c r="G190" s="174"/>
      <c r="H190" s="175">
        <v>4334010030</v>
      </c>
      <c r="I190" s="176" t="s">
        <v>81</v>
      </c>
      <c r="J190" s="227"/>
      <c r="K190" s="223"/>
      <c r="L190" s="178"/>
      <c r="M190" s="130"/>
      <c r="N190" s="179"/>
      <c r="O190" s="130"/>
      <c r="P190" s="178"/>
      <c r="Q190" s="130"/>
      <c r="R190" s="179"/>
      <c r="S190" s="130"/>
      <c r="T190" s="178"/>
      <c r="U190" s="130"/>
      <c r="V190" s="179"/>
      <c r="W190" s="130"/>
      <c r="X190" s="178"/>
      <c r="Y190" s="130">
        <v>0</v>
      </c>
      <c r="Z190" s="179">
        <v>1</v>
      </c>
      <c r="AA190" s="130"/>
      <c r="AB190" s="178"/>
      <c r="AC190" s="130"/>
      <c r="AD190" s="179"/>
      <c r="AE190" s="130"/>
      <c r="AF190" s="178"/>
      <c r="AG190" s="130"/>
      <c r="AH190" s="179"/>
      <c r="AI190" s="130"/>
      <c r="AJ190" s="178"/>
      <c r="AK190" s="130"/>
      <c r="AL190" s="179"/>
      <c r="AM190" s="130"/>
      <c r="AN190" s="178"/>
      <c r="AO190" s="130"/>
      <c r="AP190" s="179"/>
      <c r="AQ190" s="130"/>
      <c r="AR190" s="178"/>
      <c r="AS190" s="130"/>
      <c r="AT190" s="179"/>
      <c r="AU190" s="130"/>
      <c r="AV190" s="178"/>
      <c r="AW190" s="130"/>
      <c r="AX190" s="179"/>
      <c r="AY190" s="130"/>
      <c r="AZ190" s="178"/>
      <c r="BA190" s="130"/>
      <c r="BB190" s="179"/>
      <c r="BC190" s="130"/>
      <c r="BD190" s="178"/>
      <c r="BE190" s="130"/>
      <c r="BF190" s="109"/>
      <c r="BG190" s="130"/>
      <c r="BH190" s="180">
        <f t="shared" si="215"/>
        <v>0</v>
      </c>
      <c r="BI190" s="181">
        <f>Автовик_разбивка[[#This Row],[Цена, 
юань, без НДС 1]]*BH190</f>
        <v>0</v>
      </c>
      <c r="BJ190" s="130">
        <f t="shared" si="216"/>
        <v>0</v>
      </c>
      <c r="BK190" s="187">
        <f>Автовик_разбивка[[#This Row],[Цена, 
юань, без НДС 1]]*BJ190</f>
        <v>0</v>
      </c>
      <c r="BL190" s="109">
        <f t="shared" si="217"/>
        <v>1</v>
      </c>
      <c r="BM190" s="224">
        <f>Автовик_разбивка[[#This Row],[Цена, 
юань, без НДС 1]]*BL190</f>
        <v>0</v>
      </c>
      <c r="BN190" s="178"/>
      <c r="BO190" s="184"/>
      <c r="BP190" s="130"/>
      <c r="BQ190" s="179"/>
      <c r="BR190" s="130"/>
      <c r="BS190" s="178"/>
      <c r="BT190" s="184"/>
      <c r="BU190" s="130"/>
      <c r="BV190" s="179"/>
      <c r="BW190" s="130"/>
      <c r="BX190" s="178"/>
      <c r="BY190" s="184"/>
      <c r="BZ190" s="130"/>
      <c r="CA190" s="179"/>
      <c r="CB190" s="130"/>
      <c r="CC190" s="178"/>
      <c r="CD190" s="184"/>
      <c r="CE190" s="130"/>
      <c r="CF190" s="179"/>
      <c r="CG190" s="130"/>
      <c r="CH190" s="178"/>
      <c r="CI190" s="184"/>
      <c r="CJ190" s="130"/>
      <c r="CK190" s="179"/>
      <c r="CL190" s="130"/>
      <c r="CM190" s="178"/>
      <c r="CN190" s="184"/>
      <c r="CO190" s="130"/>
      <c r="CP190" s="179"/>
      <c r="CQ190" s="130"/>
      <c r="CR190" s="178"/>
      <c r="CS190" s="184"/>
      <c r="CT190" s="130"/>
      <c r="CU190" s="179"/>
      <c r="CV190" s="130"/>
      <c r="CW190" s="178"/>
      <c r="CX190" s="184"/>
      <c r="CY190" s="130"/>
      <c r="CZ190" s="179"/>
      <c r="DA190" s="130"/>
      <c r="DB190" s="178"/>
      <c r="DC190" s="184"/>
      <c r="DD190" s="130"/>
      <c r="DE190" s="179"/>
      <c r="DF190" s="130"/>
      <c r="DG190" s="178"/>
      <c r="DH190" s="184"/>
      <c r="DI190" s="130"/>
      <c r="DJ190" s="179"/>
      <c r="DK190" s="130"/>
      <c r="DL190" s="178"/>
      <c r="DM190" s="184"/>
      <c r="DN190" s="130"/>
      <c r="DO190" s="179"/>
      <c r="DP190" s="130"/>
      <c r="DQ190" s="178"/>
      <c r="DR190" s="184"/>
      <c r="DS190" s="130"/>
      <c r="DT190" s="109"/>
      <c r="DU190" s="130"/>
      <c r="DV190" s="180">
        <f t="shared" si="218"/>
        <v>0</v>
      </c>
      <c r="DW190" s="181">
        <f>Автовик_разбивка[[#This Row],[Цена, 
юань, без НДС 1]]*DV190</f>
        <v>0</v>
      </c>
      <c r="DX190" s="186">
        <f t="shared" si="219"/>
        <v>0</v>
      </c>
      <c r="DY190" s="186">
        <f>Автовик_разбивка[[#This Row],[Цена, 
юань, без НДС 1]]*DX190</f>
        <v>0</v>
      </c>
      <c r="DZ190" s="130">
        <f t="shared" si="220"/>
        <v>0</v>
      </c>
      <c r="EA190" s="187">
        <f>Автовик_разбивка[[#This Row],[Цена, 
юань, без НДС 1]]*DZ190</f>
        <v>0</v>
      </c>
      <c r="EB190" s="109">
        <f t="shared" si="221"/>
        <v>0</v>
      </c>
      <c r="EC190" s="224">
        <f>Автовик_разбивка[[#This Row],[Цена, 
юань, без НДС 1]]*EB190</f>
        <v>0</v>
      </c>
    </row>
    <row r="191" spans="1:133">
      <c r="A191" s="260">
        <v>33</v>
      </c>
      <c r="B191" s="172" t="s">
        <v>329</v>
      </c>
      <c r="C191" s="173" t="s">
        <v>298</v>
      </c>
      <c r="D191" s="173" t="s">
        <v>311</v>
      </c>
      <c r="E191" s="174">
        <v>1</v>
      </c>
      <c r="F191" s="174"/>
      <c r="G191" s="174"/>
      <c r="H191" s="175">
        <v>4491731500</v>
      </c>
      <c r="I191" s="176" t="s">
        <v>77</v>
      </c>
      <c r="J191" s="227"/>
      <c r="K191" s="223"/>
      <c r="L191" s="178"/>
      <c r="M191" s="130"/>
      <c r="N191" s="179"/>
      <c r="O191" s="130"/>
      <c r="P191" s="178"/>
      <c r="Q191" s="130"/>
      <c r="R191" s="179"/>
      <c r="S191" s="130"/>
      <c r="T191" s="178"/>
      <c r="U191" s="130"/>
      <c r="V191" s="179"/>
      <c r="W191" s="130"/>
      <c r="X191" s="178"/>
      <c r="Y191" s="130">
        <v>0</v>
      </c>
      <c r="Z191" s="179">
        <v>1</v>
      </c>
      <c r="AA191" s="130"/>
      <c r="AB191" s="178"/>
      <c r="AC191" s="130"/>
      <c r="AD191" s="179"/>
      <c r="AE191" s="130"/>
      <c r="AF191" s="178"/>
      <c r="AG191" s="130"/>
      <c r="AH191" s="179"/>
      <c r="AI191" s="130"/>
      <c r="AJ191" s="178"/>
      <c r="AK191" s="130"/>
      <c r="AL191" s="179"/>
      <c r="AM191" s="130"/>
      <c r="AN191" s="178"/>
      <c r="AO191" s="130"/>
      <c r="AP191" s="179"/>
      <c r="AQ191" s="130"/>
      <c r="AR191" s="178"/>
      <c r="AS191" s="130"/>
      <c r="AT191" s="179"/>
      <c r="AU191" s="130"/>
      <c r="AV191" s="178"/>
      <c r="AW191" s="130"/>
      <c r="AX191" s="179"/>
      <c r="AY191" s="130"/>
      <c r="AZ191" s="178"/>
      <c r="BA191" s="130"/>
      <c r="BB191" s="179"/>
      <c r="BC191" s="130"/>
      <c r="BD191" s="178"/>
      <c r="BE191" s="130"/>
      <c r="BF191" s="109"/>
      <c r="BG191" s="130"/>
      <c r="BH191" s="180">
        <f t="shared" si="215"/>
        <v>0</v>
      </c>
      <c r="BI191" s="181">
        <f>Автовик_разбивка[[#This Row],[Цена, 
юань, без НДС 1]]*BH191</f>
        <v>0</v>
      </c>
      <c r="BJ191" s="130">
        <f t="shared" si="216"/>
        <v>0</v>
      </c>
      <c r="BK191" s="187">
        <f>Автовик_разбивка[[#This Row],[Цена, 
юань, без НДС 1]]*BJ191</f>
        <v>0</v>
      </c>
      <c r="BL191" s="109">
        <f t="shared" si="217"/>
        <v>1</v>
      </c>
      <c r="BM191" s="224">
        <f>Автовик_разбивка[[#This Row],[Цена, 
юань, без НДС 1]]*BL191</f>
        <v>0</v>
      </c>
      <c r="BN191" s="178"/>
      <c r="BO191" s="184"/>
      <c r="BP191" s="130"/>
      <c r="BQ191" s="179"/>
      <c r="BR191" s="130"/>
      <c r="BS191" s="178"/>
      <c r="BT191" s="184"/>
      <c r="BU191" s="130"/>
      <c r="BV191" s="179"/>
      <c r="BW191" s="130"/>
      <c r="BX191" s="178"/>
      <c r="BY191" s="184"/>
      <c r="BZ191" s="130"/>
      <c r="CA191" s="179"/>
      <c r="CB191" s="130"/>
      <c r="CC191" s="178"/>
      <c r="CD191" s="184"/>
      <c r="CE191" s="130"/>
      <c r="CF191" s="179"/>
      <c r="CG191" s="130"/>
      <c r="CH191" s="178"/>
      <c r="CI191" s="184"/>
      <c r="CJ191" s="130"/>
      <c r="CK191" s="179"/>
      <c r="CL191" s="130"/>
      <c r="CM191" s="178"/>
      <c r="CN191" s="184"/>
      <c r="CO191" s="130"/>
      <c r="CP191" s="179"/>
      <c r="CQ191" s="130"/>
      <c r="CR191" s="178"/>
      <c r="CS191" s="184"/>
      <c r="CT191" s="130"/>
      <c r="CU191" s="179"/>
      <c r="CV191" s="130"/>
      <c r="CW191" s="178"/>
      <c r="CX191" s="184"/>
      <c r="CY191" s="130"/>
      <c r="CZ191" s="179"/>
      <c r="DA191" s="130"/>
      <c r="DB191" s="178"/>
      <c r="DC191" s="184"/>
      <c r="DD191" s="130"/>
      <c r="DE191" s="179"/>
      <c r="DF191" s="130"/>
      <c r="DG191" s="178"/>
      <c r="DH191" s="184"/>
      <c r="DI191" s="130"/>
      <c r="DJ191" s="179"/>
      <c r="DK191" s="130"/>
      <c r="DL191" s="178"/>
      <c r="DM191" s="184"/>
      <c r="DN191" s="130"/>
      <c r="DO191" s="179"/>
      <c r="DP191" s="130"/>
      <c r="DQ191" s="178"/>
      <c r="DR191" s="184"/>
      <c r="DS191" s="130"/>
      <c r="DT191" s="109"/>
      <c r="DU191" s="130"/>
      <c r="DV191" s="180">
        <f t="shared" si="218"/>
        <v>0</v>
      </c>
      <c r="DW191" s="181">
        <f>Автовик_разбивка[[#This Row],[Цена, 
юань, без НДС 1]]*DV191</f>
        <v>0</v>
      </c>
      <c r="DX191" s="186">
        <f t="shared" si="219"/>
        <v>0</v>
      </c>
      <c r="DY191" s="186">
        <f>Автовик_разбивка[[#This Row],[Цена, 
юань, без НДС 1]]*DX191</f>
        <v>0</v>
      </c>
      <c r="DZ191" s="130">
        <f t="shared" si="220"/>
        <v>0</v>
      </c>
      <c r="EA191" s="187">
        <f>Автовик_разбивка[[#This Row],[Цена, 
юань, без НДС 1]]*DZ191</f>
        <v>0</v>
      </c>
      <c r="EB191" s="109">
        <f t="shared" si="221"/>
        <v>0</v>
      </c>
      <c r="EC191" s="224">
        <f>Автовик_разбивка[[#This Row],[Цена, 
юань, без НДС 1]]*EB191</f>
        <v>0</v>
      </c>
    </row>
    <row r="192" spans="1:133">
      <c r="A192" s="260">
        <v>33</v>
      </c>
      <c r="B192" s="172" t="s">
        <v>329</v>
      </c>
      <c r="C192" s="173" t="s">
        <v>298</v>
      </c>
      <c r="D192" s="173" t="s">
        <v>311</v>
      </c>
      <c r="E192" s="174">
        <v>2</v>
      </c>
      <c r="F192" s="174"/>
      <c r="G192" s="174"/>
      <c r="H192" s="175">
        <v>4497230500</v>
      </c>
      <c r="I192" s="176" t="s">
        <v>78</v>
      </c>
      <c r="J192" s="227"/>
      <c r="K192" s="223"/>
      <c r="L192" s="178"/>
      <c r="M192" s="130"/>
      <c r="N192" s="179"/>
      <c r="O192" s="130"/>
      <c r="P192" s="178"/>
      <c r="Q192" s="130"/>
      <c r="R192" s="179"/>
      <c r="S192" s="130"/>
      <c r="T192" s="178"/>
      <c r="U192" s="130"/>
      <c r="V192" s="179"/>
      <c r="W192" s="130"/>
      <c r="X192" s="178"/>
      <c r="Y192" s="130">
        <v>0</v>
      </c>
      <c r="Z192" s="179">
        <v>2</v>
      </c>
      <c r="AA192" s="130"/>
      <c r="AB192" s="178"/>
      <c r="AC192" s="130"/>
      <c r="AD192" s="179"/>
      <c r="AE192" s="130"/>
      <c r="AF192" s="178"/>
      <c r="AG192" s="130"/>
      <c r="AH192" s="179"/>
      <c r="AI192" s="130"/>
      <c r="AJ192" s="178"/>
      <c r="AK192" s="130"/>
      <c r="AL192" s="179"/>
      <c r="AM192" s="130"/>
      <c r="AN192" s="178"/>
      <c r="AO192" s="130"/>
      <c r="AP192" s="179"/>
      <c r="AQ192" s="130"/>
      <c r="AR192" s="178"/>
      <c r="AS192" s="130"/>
      <c r="AT192" s="179"/>
      <c r="AU192" s="130"/>
      <c r="AV192" s="178"/>
      <c r="AW192" s="130"/>
      <c r="AX192" s="179"/>
      <c r="AY192" s="130"/>
      <c r="AZ192" s="178"/>
      <c r="BA192" s="130"/>
      <c r="BB192" s="179"/>
      <c r="BC192" s="130"/>
      <c r="BD192" s="178"/>
      <c r="BE192" s="130"/>
      <c r="BF192" s="109"/>
      <c r="BG192" s="130"/>
      <c r="BH192" s="180">
        <f t="shared" si="215"/>
        <v>0</v>
      </c>
      <c r="BI192" s="181">
        <f>Автовик_разбивка[[#This Row],[Цена, 
юань, без НДС 1]]*BH192</f>
        <v>0</v>
      </c>
      <c r="BJ192" s="130">
        <f t="shared" si="216"/>
        <v>0</v>
      </c>
      <c r="BK192" s="187">
        <f>Автовик_разбивка[[#This Row],[Цена, 
юань, без НДС 1]]*BJ192</f>
        <v>0</v>
      </c>
      <c r="BL192" s="109">
        <f t="shared" si="217"/>
        <v>2</v>
      </c>
      <c r="BM192" s="224">
        <f>Автовик_разбивка[[#This Row],[Цена, 
юань, без НДС 1]]*BL192</f>
        <v>0</v>
      </c>
      <c r="BN192" s="178"/>
      <c r="BO192" s="184"/>
      <c r="BP192" s="130"/>
      <c r="BQ192" s="179"/>
      <c r="BR192" s="130"/>
      <c r="BS192" s="178"/>
      <c r="BT192" s="184"/>
      <c r="BU192" s="130"/>
      <c r="BV192" s="179"/>
      <c r="BW192" s="130"/>
      <c r="BX192" s="178"/>
      <c r="BY192" s="184"/>
      <c r="BZ192" s="130"/>
      <c r="CA192" s="179"/>
      <c r="CB192" s="130"/>
      <c r="CC192" s="178"/>
      <c r="CD192" s="184"/>
      <c r="CE192" s="130"/>
      <c r="CF192" s="179"/>
      <c r="CG192" s="130"/>
      <c r="CH192" s="178"/>
      <c r="CI192" s="184"/>
      <c r="CJ192" s="130"/>
      <c r="CK192" s="179"/>
      <c r="CL192" s="130"/>
      <c r="CM192" s="178"/>
      <c r="CN192" s="184"/>
      <c r="CO192" s="130"/>
      <c r="CP192" s="179"/>
      <c r="CQ192" s="130"/>
      <c r="CR192" s="178"/>
      <c r="CS192" s="184"/>
      <c r="CT192" s="130"/>
      <c r="CU192" s="179"/>
      <c r="CV192" s="130"/>
      <c r="CW192" s="178"/>
      <c r="CX192" s="184"/>
      <c r="CY192" s="130"/>
      <c r="CZ192" s="179"/>
      <c r="DA192" s="130"/>
      <c r="DB192" s="178"/>
      <c r="DC192" s="184"/>
      <c r="DD192" s="130"/>
      <c r="DE192" s="179"/>
      <c r="DF192" s="130"/>
      <c r="DG192" s="178"/>
      <c r="DH192" s="184"/>
      <c r="DI192" s="130"/>
      <c r="DJ192" s="179"/>
      <c r="DK192" s="130"/>
      <c r="DL192" s="178"/>
      <c r="DM192" s="184"/>
      <c r="DN192" s="130"/>
      <c r="DO192" s="179"/>
      <c r="DP192" s="130"/>
      <c r="DQ192" s="178"/>
      <c r="DR192" s="184"/>
      <c r="DS192" s="130"/>
      <c r="DT192" s="109"/>
      <c r="DU192" s="130"/>
      <c r="DV192" s="180">
        <f t="shared" si="218"/>
        <v>0</v>
      </c>
      <c r="DW192" s="181">
        <f>Автовик_разбивка[[#This Row],[Цена, 
юань, без НДС 1]]*DV192</f>
        <v>0</v>
      </c>
      <c r="DX192" s="186">
        <f t="shared" si="219"/>
        <v>0</v>
      </c>
      <c r="DY192" s="186">
        <f>Автовик_разбивка[[#This Row],[Цена, 
юань, без НДС 1]]*DX192</f>
        <v>0</v>
      </c>
      <c r="DZ192" s="130">
        <f t="shared" si="220"/>
        <v>0</v>
      </c>
      <c r="EA192" s="187">
        <f>Автовик_разбивка[[#This Row],[Цена, 
юань, без НДС 1]]*DZ192</f>
        <v>0</v>
      </c>
      <c r="EB192" s="109">
        <f t="shared" si="221"/>
        <v>0</v>
      </c>
      <c r="EC192" s="224">
        <f>Автовик_разбивка[[#This Row],[Цена, 
юань, без НДС 1]]*EB192</f>
        <v>0</v>
      </c>
    </row>
    <row r="193" spans="1:133">
      <c r="A193" s="260">
        <v>33</v>
      </c>
      <c r="B193" s="172" t="s">
        <v>329</v>
      </c>
      <c r="C193" s="173" t="s">
        <v>298</v>
      </c>
      <c r="D193" s="173" t="s">
        <v>311</v>
      </c>
      <c r="E193" s="174">
        <v>1</v>
      </c>
      <c r="F193" s="174"/>
      <c r="G193" s="174"/>
      <c r="H193" s="175">
        <v>4630320200</v>
      </c>
      <c r="I193" s="176" t="s">
        <v>80</v>
      </c>
      <c r="J193" s="227"/>
      <c r="K193" s="223"/>
      <c r="L193" s="178"/>
      <c r="M193" s="130"/>
      <c r="N193" s="179"/>
      <c r="O193" s="130"/>
      <c r="P193" s="178"/>
      <c r="Q193" s="130"/>
      <c r="R193" s="179"/>
      <c r="S193" s="130"/>
      <c r="T193" s="178"/>
      <c r="U193" s="130"/>
      <c r="V193" s="179"/>
      <c r="W193" s="130"/>
      <c r="X193" s="178"/>
      <c r="Y193" s="130">
        <v>0</v>
      </c>
      <c r="Z193" s="179">
        <v>1</v>
      </c>
      <c r="AA193" s="130"/>
      <c r="AB193" s="178"/>
      <c r="AC193" s="130"/>
      <c r="AD193" s="179"/>
      <c r="AE193" s="130"/>
      <c r="AF193" s="178"/>
      <c r="AG193" s="130"/>
      <c r="AH193" s="179"/>
      <c r="AI193" s="130"/>
      <c r="AJ193" s="178"/>
      <c r="AK193" s="130"/>
      <c r="AL193" s="179"/>
      <c r="AM193" s="130"/>
      <c r="AN193" s="178"/>
      <c r="AO193" s="130"/>
      <c r="AP193" s="179"/>
      <c r="AQ193" s="130"/>
      <c r="AR193" s="178"/>
      <c r="AS193" s="130"/>
      <c r="AT193" s="179"/>
      <c r="AU193" s="130"/>
      <c r="AV193" s="178"/>
      <c r="AW193" s="130"/>
      <c r="AX193" s="179"/>
      <c r="AY193" s="130"/>
      <c r="AZ193" s="178"/>
      <c r="BA193" s="130"/>
      <c r="BB193" s="179"/>
      <c r="BC193" s="130"/>
      <c r="BD193" s="178"/>
      <c r="BE193" s="130"/>
      <c r="BF193" s="109"/>
      <c r="BG193" s="130"/>
      <c r="BH193" s="180">
        <f t="shared" si="215"/>
        <v>0</v>
      </c>
      <c r="BI193" s="181">
        <f>Автовик_разбивка[[#This Row],[Цена, 
юань, без НДС 1]]*BH193</f>
        <v>0</v>
      </c>
      <c r="BJ193" s="130">
        <f t="shared" si="216"/>
        <v>0</v>
      </c>
      <c r="BK193" s="187">
        <f>Автовик_разбивка[[#This Row],[Цена, 
юань, без НДС 1]]*BJ193</f>
        <v>0</v>
      </c>
      <c r="BL193" s="109">
        <f t="shared" si="217"/>
        <v>1</v>
      </c>
      <c r="BM193" s="224">
        <f>Автовик_разбивка[[#This Row],[Цена, 
юань, без НДС 1]]*BL193</f>
        <v>0</v>
      </c>
      <c r="BN193" s="178"/>
      <c r="BO193" s="184"/>
      <c r="BP193" s="130"/>
      <c r="BQ193" s="179"/>
      <c r="BR193" s="130"/>
      <c r="BS193" s="178"/>
      <c r="BT193" s="184"/>
      <c r="BU193" s="130"/>
      <c r="BV193" s="179"/>
      <c r="BW193" s="130"/>
      <c r="BX193" s="178"/>
      <c r="BY193" s="184"/>
      <c r="BZ193" s="130"/>
      <c r="CA193" s="179"/>
      <c r="CB193" s="130"/>
      <c r="CC193" s="178"/>
      <c r="CD193" s="184"/>
      <c r="CE193" s="130"/>
      <c r="CF193" s="179"/>
      <c r="CG193" s="130"/>
      <c r="CH193" s="178"/>
      <c r="CI193" s="184"/>
      <c r="CJ193" s="130"/>
      <c r="CK193" s="179"/>
      <c r="CL193" s="130"/>
      <c r="CM193" s="178"/>
      <c r="CN193" s="184"/>
      <c r="CO193" s="130"/>
      <c r="CP193" s="179"/>
      <c r="CQ193" s="130"/>
      <c r="CR193" s="178"/>
      <c r="CS193" s="184"/>
      <c r="CT193" s="130"/>
      <c r="CU193" s="179"/>
      <c r="CV193" s="130"/>
      <c r="CW193" s="178"/>
      <c r="CX193" s="184"/>
      <c r="CY193" s="130"/>
      <c r="CZ193" s="179"/>
      <c r="DA193" s="130"/>
      <c r="DB193" s="178"/>
      <c r="DC193" s="184"/>
      <c r="DD193" s="130"/>
      <c r="DE193" s="179"/>
      <c r="DF193" s="130"/>
      <c r="DG193" s="178"/>
      <c r="DH193" s="184"/>
      <c r="DI193" s="130"/>
      <c r="DJ193" s="179"/>
      <c r="DK193" s="130"/>
      <c r="DL193" s="178"/>
      <c r="DM193" s="184"/>
      <c r="DN193" s="130"/>
      <c r="DO193" s="179"/>
      <c r="DP193" s="130"/>
      <c r="DQ193" s="178"/>
      <c r="DR193" s="184"/>
      <c r="DS193" s="130"/>
      <c r="DT193" s="109"/>
      <c r="DU193" s="130"/>
      <c r="DV193" s="180">
        <f t="shared" si="218"/>
        <v>0</v>
      </c>
      <c r="DW193" s="181">
        <f>Автовик_разбивка[[#This Row],[Цена, 
юань, без НДС 1]]*DV193</f>
        <v>0</v>
      </c>
      <c r="DX193" s="186">
        <f t="shared" si="219"/>
        <v>0</v>
      </c>
      <c r="DY193" s="186">
        <f>Автовик_разбивка[[#This Row],[Цена, 
юань, без НДС 1]]*DX193</f>
        <v>0</v>
      </c>
      <c r="DZ193" s="130">
        <f t="shared" si="220"/>
        <v>0</v>
      </c>
      <c r="EA193" s="187">
        <f>Автовик_разбивка[[#This Row],[Цена, 
юань, без НДС 1]]*DZ193</f>
        <v>0</v>
      </c>
      <c r="EB193" s="109">
        <f t="shared" si="221"/>
        <v>0</v>
      </c>
      <c r="EC193" s="224">
        <f>Автовик_разбивка[[#This Row],[Цена, 
юань, без НДС 1]]*EB193</f>
        <v>0</v>
      </c>
    </row>
    <row r="194" spans="1:133">
      <c r="A194" s="260">
        <v>33</v>
      </c>
      <c r="B194" s="172" t="s">
        <v>329</v>
      </c>
      <c r="C194" s="173" t="s">
        <v>298</v>
      </c>
      <c r="D194" s="173" t="s">
        <v>311</v>
      </c>
      <c r="E194" s="174">
        <v>1</v>
      </c>
      <c r="F194" s="174"/>
      <c r="G194" s="174"/>
      <c r="H194" s="175">
        <v>4640061000</v>
      </c>
      <c r="I194" s="176" t="s">
        <v>79</v>
      </c>
      <c r="J194" s="227"/>
      <c r="K194" s="223"/>
      <c r="L194" s="178"/>
      <c r="M194" s="130"/>
      <c r="N194" s="179"/>
      <c r="O194" s="130"/>
      <c r="P194" s="178"/>
      <c r="Q194" s="130"/>
      <c r="R194" s="179"/>
      <c r="S194" s="130"/>
      <c r="T194" s="178"/>
      <c r="U194" s="130"/>
      <c r="V194" s="179"/>
      <c r="W194" s="130"/>
      <c r="X194" s="178"/>
      <c r="Y194" s="130">
        <v>0</v>
      </c>
      <c r="Z194" s="179">
        <v>1</v>
      </c>
      <c r="AA194" s="130"/>
      <c r="AB194" s="178"/>
      <c r="AC194" s="130"/>
      <c r="AD194" s="179"/>
      <c r="AE194" s="130"/>
      <c r="AF194" s="178"/>
      <c r="AG194" s="130"/>
      <c r="AH194" s="179"/>
      <c r="AI194" s="130"/>
      <c r="AJ194" s="178"/>
      <c r="AK194" s="130"/>
      <c r="AL194" s="179"/>
      <c r="AM194" s="130"/>
      <c r="AN194" s="178"/>
      <c r="AO194" s="130"/>
      <c r="AP194" s="179"/>
      <c r="AQ194" s="130"/>
      <c r="AR194" s="178"/>
      <c r="AS194" s="130"/>
      <c r="AT194" s="179"/>
      <c r="AU194" s="130"/>
      <c r="AV194" s="178"/>
      <c r="AW194" s="130"/>
      <c r="AX194" s="179"/>
      <c r="AY194" s="130"/>
      <c r="AZ194" s="178"/>
      <c r="BA194" s="130"/>
      <c r="BB194" s="179"/>
      <c r="BC194" s="130"/>
      <c r="BD194" s="178"/>
      <c r="BE194" s="130"/>
      <c r="BF194" s="109"/>
      <c r="BG194" s="130"/>
      <c r="BH194" s="180">
        <f t="shared" si="215"/>
        <v>0</v>
      </c>
      <c r="BI194" s="181">
        <f>Автовик_разбивка[[#This Row],[Цена, 
юань, без НДС 1]]*BH194</f>
        <v>0</v>
      </c>
      <c r="BJ194" s="130">
        <f t="shared" si="216"/>
        <v>0</v>
      </c>
      <c r="BK194" s="187">
        <f>Автовик_разбивка[[#This Row],[Цена, 
юань, без НДС 1]]*BJ194</f>
        <v>0</v>
      </c>
      <c r="BL194" s="109">
        <f t="shared" si="217"/>
        <v>1</v>
      </c>
      <c r="BM194" s="224">
        <f>Автовик_разбивка[[#This Row],[Цена, 
юань, без НДС 1]]*BL194</f>
        <v>0</v>
      </c>
      <c r="BN194" s="178"/>
      <c r="BO194" s="184"/>
      <c r="BP194" s="130"/>
      <c r="BQ194" s="179"/>
      <c r="BR194" s="130"/>
      <c r="BS194" s="178"/>
      <c r="BT194" s="184"/>
      <c r="BU194" s="130"/>
      <c r="BV194" s="179"/>
      <c r="BW194" s="130"/>
      <c r="BX194" s="178"/>
      <c r="BY194" s="184"/>
      <c r="BZ194" s="130"/>
      <c r="CA194" s="179"/>
      <c r="CB194" s="130"/>
      <c r="CC194" s="178"/>
      <c r="CD194" s="184"/>
      <c r="CE194" s="130"/>
      <c r="CF194" s="179"/>
      <c r="CG194" s="130"/>
      <c r="CH194" s="178"/>
      <c r="CI194" s="184"/>
      <c r="CJ194" s="130"/>
      <c r="CK194" s="179"/>
      <c r="CL194" s="130"/>
      <c r="CM194" s="178"/>
      <c r="CN194" s="184"/>
      <c r="CO194" s="130"/>
      <c r="CP194" s="179"/>
      <c r="CQ194" s="130"/>
      <c r="CR194" s="178"/>
      <c r="CS194" s="184"/>
      <c r="CT194" s="130"/>
      <c r="CU194" s="179"/>
      <c r="CV194" s="130"/>
      <c r="CW194" s="178"/>
      <c r="CX194" s="184"/>
      <c r="CY194" s="130"/>
      <c r="CZ194" s="179"/>
      <c r="DA194" s="130"/>
      <c r="DB194" s="178"/>
      <c r="DC194" s="184"/>
      <c r="DD194" s="130"/>
      <c r="DE194" s="179"/>
      <c r="DF194" s="130"/>
      <c r="DG194" s="178"/>
      <c r="DH194" s="184"/>
      <c r="DI194" s="130"/>
      <c r="DJ194" s="179"/>
      <c r="DK194" s="130"/>
      <c r="DL194" s="178"/>
      <c r="DM194" s="184"/>
      <c r="DN194" s="130"/>
      <c r="DO194" s="179"/>
      <c r="DP194" s="130"/>
      <c r="DQ194" s="178"/>
      <c r="DR194" s="184"/>
      <c r="DS194" s="130"/>
      <c r="DT194" s="109"/>
      <c r="DU194" s="130"/>
      <c r="DV194" s="180">
        <f t="shared" si="218"/>
        <v>0</v>
      </c>
      <c r="DW194" s="181">
        <f>Автовик_разбивка[[#This Row],[Цена, 
юань, без НДС 1]]*DV194</f>
        <v>0</v>
      </c>
      <c r="DX194" s="186">
        <f t="shared" si="219"/>
        <v>0</v>
      </c>
      <c r="DY194" s="186">
        <f>Автовик_разбивка[[#This Row],[Цена, 
юань, без НДС 1]]*DX194</f>
        <v>0</v>
      </c>
      <c r="DZ194" s="130">
        <f t="shared" si="220"/>
        <v>0</v>
      </c>
      <c r="EA194" s="187">
        <f>Автовик_разбивка[[#This Row],[Цена, 
юань, без НДС 1]]*DZ194</f>
        <v>0</v>
      </c>
      <c r="EB194" s="109">
        <f t="shared" si="221"/>
        <v>0</v>
      </c>
      <c r="EC194" s="224">
        <f>Автовик_разбивка[[#This Row],[Цена, 
юань, без НДС 1]]*EB194</f>
        <v>0</v>
      </c>
    </row>
    <row r="195" spans="1:133">
      <c r="A195" s="260">
        <v>33</v>
      </c>
      <c r="B195" s="172" t="s">
        <v>329</v>
      </c>
      <c r="C195" s="173" t="s">
        <v>298</v>
      </c>
      <c r="D195" s="173" t="s">
        <v>311</v>
      </c>
      <c r="E195" s="174">
        <v>1</v>
      </c>
      <c r="F195" s="174"/>
      <c r="G195" s="174"/>
      <c r="H195" s="175">
        <v>4801020640</v>
      </c>
      <c r="I195" s="176" t="s">
        <v>76</v>
      </c>
      <c r="J195" s="227"/>
      <c r="K195" s="223"/>
      <c r="L195" s="178"/>
      <c r="M195" s="130"/>
      <c r="N195" s="179"/>
      <c r="O195" s="130"/>
      <c r="P195" s="178"/>
      <c r="Q195" s="130"/>
      <c r="R195" s="179"/>
      <c r="S195" s="130"/>
      <c r="T195" s="178"/>
      <c r="U195" s="130"/>
      <c r="V195" s="179"/>
      <c r="W195" s="130"/>
      <c r="X195" s="178"/>
      <c r="Y195" s="130">
        <v>0</v>
      </c>
      <c r="Z195" s="179">
        <v>1</v>
      </c>
      <c r="AA195" s="130"/>
      <c r="AB195" s="178"/>
      <c r="AC195" s="130"/>
      <c r="AD195" s="179"/>
      <c r="AE195" s="130"/>
      <c r="AF195" s="178"/>
      <c r="AG195" s="130"/>
      <c r="AH195" s="179"/>
      <c r="AI195" s="130"/>
      <c r="AJ195" s="178"/>
      <c r="AK195" s="130"/>
      <c r="AL195" s="179"/>
      <c r="AM195" s="130"/>
      <c r="AN195" s="178"/>
      <c r="AO195" s="130"/>
      <c r="AP195" s="179"/>
      <c r="AQ195" s="130"/>
      <c r="AR195" s="178"/>
      <c r="AS195" s="130"/>
      <c r="AT195" s="179"/>
      <c r="AU195" s="130"/>
      <c r="AV195" s="178"/>
      <c r="AW195" s="130"/>
      <c r="AX195" s="179"/>
      <c r="AY195" s="130"/>
      <c r="AZ195" s="178"/>
      <c r="BA195" s="130"/>
      <c r="BB195" s="179"/>
      <c r="BC195" s="130"/>
      <c r="BD195" s="178"/>
      <c r="BE195" s="130"/>
      <c r="BF195" s="109"/>
      <c r="BG195" s="130"/>
      <c r="BH195" s="180">
        <f t="shared" si="215"/>
        <v>0</v>
      </c>
      <c r="BI195" s="181">
        <f>Автовик_разбивка[[#This Row],[Цена, 
юань, без НДС 1]]*BH195</f>
        <v>0</v>
      </c>
      <c r="BJ195" s="130">
        <f t="shared" si="216"/>
        <v>0</v>
      </c>
      <c r="BK195" s="187">
        <f>Автовик_разбивка[[#This Row],[Цена, 
юань, без НДС 1]]*BJ195</f>
        <v>0</v>
      </c>
      <c r="BL195" s="109">
        <f t="shared" si="217"/>
        <v>1</v>
      </c>
      <c r="BM195" s="224">
        <f>Автовик_разбивка[[#This Row],[Цена, 
юань, без НДС 1]]*BL195</f>
        <v>0</v>
      </c>
      <c r="BN195" s="178"/>
      <c r="BO195" s="184"/>
      <c r="BP195" s="130"/>
      <c r="BQ195" s="179"/>
      <c r="BR195" s="130"/>
      <c r="BS195" s="178"/>
      <c r="BT195" s="184"/>
      <c r="BU195" s="130"/>
      <c r="BV195" s="179"/>
      <c r="BW195" s="130"/>
      <c r="BX195" s="178"/>
      <c r="BY195" s="184"/>
      <c r="BZ195" s="130"/>
      <c r="CA195" s="179"/>
      <c r="CB195" s="130"/>
      <c r="CC195" s="178"/>
      <c r="CD195" s="184"/>
      <c r="CE195" s="130"/>
      <c r="CF195" s="179"/>
      <c r="CG195" s="130"/>
      <c r="CH195" s="178"/>
      <c r="CI195" s="184"/>
      <c r="CJ195" s="130"/>
      <c r="CK195" s="179"/>
      <c r="CL195" s="130"/>
      <c r="CM195" s="178"/>
      <c r="CN195" s="184"/>
      <c r="CO195" s="130"/>
      <c r="CP195" s="179"/>
      <c r="CQ195" s="130"/>
      <c r="CR195" s="178"/>
      <c r="CS195" s="184"/>
      <c r="CT195" s="130"/>
      <c r="CU195" s="179"/>
      <c r="CV195" s="130"/>
      <c r="CW195" s="178"/>
      <c r="CX195" s="184"/>
      <c r="CY195" s="130"/>
      <c r="CZ195" s="179"/>
      <c r="DA195" s="130"/>
      <c r="DB195" s="178"/>
      <c r="DC195" s="184"/>
      <c r="DD195" s="130"/>
      <c r="DE195" s="179"/>
      <c r="DF195" s="130"/>
      <c r="DG195" s="178"/>
      <c r="DH195" s="184"/>
      <c r="DI195" s="130"/>
      <c r="DJ195" s="179"/>
      <c r="DK195" s="130"/>
      <c r="DL195" s="178"/>
      <c r="DM195" s="184"/>
      <c r="DN195" s="130"/>
      <c r="DO195" s="179"/>
      <c r="DP195" s="130"/>
      <c r="DQ195" s="178"/>
      <c r="DR195" s="184"/>
      <c r="DS195" s="130"/>
      <c r="DT195" s="109"/>
      <c r="DU195" s="130"/>
      <c r="DV195" s="180">
        <f t="shared" si="218"/>
        <v>0</v>
      </c>
      <c r="DW195" s="181">
        <f>Автовик_разбивка[[#This Row],[Цена, 
юань, без НДС 1]]*DV195</f>
        <v>0</v>
      </c>
      <c r="DX195" s="186">
        <f t="shared" si="219"/>
        <v>0</v>
      </c>
      <c r="DY195" s="186">
        <f>Автовик_разбивка[[#This Row],[Цена, 
юань, без НДС 1]]*DX195</f>
        <v>0</v>
      </c>
      <c r="DZ195" s="130">
        <f t="shared" si="220"/>
        <v>0</v>
      </c>
      <c r="EA195" s="187">
        <f>Автовик_разбивка[[#This Row],[Цена, 
юань, без НДС 1]]*DZ195</f>
        <v>0</v>
      </c>
      <c r="EB195" s="109">
        <f t="shared" si="221"/>
        <v>0</v>
      </c>
      <c r="EC195" s="224">
        <f>Автовик_разбивка[[#This Row],[Цена, 
юань, без НДС 1]]*EB195</f>
        <v>0</v>
      </c>
    </row>
    <row r="196" spans="1:133">
      <c r="A196" s="260">
        <v>33</v>
      </c>
      <c r="B196" s="172" t="s">
        <v>329</v>
      </c>
      <c r="C196" s="173" t="s">
        <v>298</v>
      </c>
      <c r="D196" s="173" t="s">
        <v>311</v>
      </c>
      <c r="E196" s="174">
        <v>1</v>
      </c>
      <c r="F196" s="174"/>
      <c r="G196" s="174"/>
      <c r="H196" s="175">
        <v>9522010010</v>
      </c>
      <c r="I196" s="176" t="s">
        <v>73</v>
      </c>
      <c r="J196" s="227"/>
      <c r="K196" s="223"/>
      <c r="L196" s="178"/>
      <c r="M196" s="130"/>
      <c r="N196" s="179"/>
      <c r="O196" s="130"/>
      <c r="P196" s="178"/>
      <c r="Q196" s="130"/>
      <c r="R196" s="179"/>
      <c r="S196" s="130"/>
      <c r="T196" s="178"/>
      <c r="U196" s="130"/>
      <c r="V196" s="179"/>
      <c r="W196" s="130"/>
      <c r="X196" s="178"/>
      <c r="Y196" s="130">
        <v>0</v>
      </c>
      <c r="Z196" s="179">
        <v>1</v>
      </c>
      <c r="AA196" s="130"/>
      <c r="AB196" s="178"/>
      <c r="AC196" s="130"/>
      <c r="AD196" s="179"/>
      <c r="AE196" s="130"/>
      <c r="AF196" s="178"/>
      <c r="AG196" s="130"/>
      <c r="AH196" s="179"/>
      <c r="AI196" s="130"/>
      <c r="AJ196" s="178"/>
      <c r="AK196" s="130"/>
      <c r="AL196" s="179"/>
      <c r="AM196" s="130"/>
      <c r="AN196" s="178"/>
      <c r="AO196" s="130"/>
      <c r="AP196" s="179"/>
      <c r="AQ196" s="130"/>
      <c r="AR196" s="178"/>
      <c r="AS196" s="130"/>
      <c r="AT196" s="179"/>
      <c r="AU196" s="130"/>
      <c r="AV196" s="178"/>
      <c r="AW196" s="130"/>
      <c r="AX196" s="179"/>
      <c r="AY196" s="130"/>
      <c r="AZ196" s="178"/>
      <c r="BA196" s="130"/>
      <c r="BB196" s="179"/>
      <c r="BC196" s="130"/>
      <c r="BD196" s="178"/>
      <c r="BE196" s="130"/>
      <c r="BF196" s="109"/>
      <c r="BG196" s="130"/>
      <c r="BH196" s="180">
        <f t="shared" si="215"/>
        <v>0</v>
      </c>
      <c r="BI196" s="181">
        <f>Автовик_разбивка[[#This Row],[Цена, 
юань, без НДС 1]]*BH196</f>
        <v>0</v>
      </c>
      <c r="BJ196" s="130">
        <f t="shared" si="216"/>
        <v>0</v>
      </c>
      <c r="BK196" s="187">
        <f>Автовик_разбивка[[#This Row],[Цена, 
юань, без НДС 1]]*BJ196</f>
        <v>0</v>
      </c>
      <c r="BL196" s="109">
        <f t="shared" si="217"/>
        <v>1</v>
      </c>
      <c r="BM196" s="224">
        <f>Автовик_разбивка[[#This Row],[Цена, 
юань, без НДС 1]]*BL196</f>
        <v>0</v>
      </c>
      <c r="BN196" s="178"/>
      <c r="BO196" s="184"/>
      <c r="BP196" s="130"/>
      <c r="BQ196" s="179"/>
      <c r="BR196" s="130"/>
      <c r="BS196" s="178"/>
      <c r="BT196" s="184"/>
      <c r="BU196" s="130"/>
      <c r="BV196" s="179"/>
      <c r="BW196" s="130"/>
      <c r="BX196" s="178"/>
      <c r="BY196" s="184"/>
      <c r="BZ196" s="130"/>
      <c r="CA196" s="179"/>
      <c r="CB196" s="130"/>
      <c r="CC196" s="178"/>
      <c r="CD196" s="184"/>
      <c r="CE196" s="130"/>
      <c r="CF196" s="179"/>
      <c r="CG196" s="130"/>
      <c r="CH196" s="178"/>
      <c r="CI196" s="184"/>
      <c r="CJ196" s="130"/>
      <c r="CK196" s="179"/>
      <c r="CL196" s="130"/>
      <c r="CM196" s="178"/>
      <c r="CN196" s="184"/>
      <c r="CO196" s="130"/>
      <c r="CP196" s="179"/>
      <c r="CQ196" s="130"/>
      <c r="CR196" s="178"/>
      <c r="CS196" s="184"/>
      <c r="CT196" s="130"/>
      <c r="CU196" s="179"/>
      <c r="CV196" s="130"/>
      <c r="CW196" s="178"/>
      <c r="CX196" s="184"/>
      <c r="CY196" s="130"/>
      <c r="CZ196" s="179"/>
      <c r="DA196" s="130"/>
      <c r="DB196" s="178"/>
      <c r="DC196" s="184"/>
      <c r="DD196" s="130"/>
      <c r="DE196" s="179"/>
      <c r="DF196" s="130"/>
      <c r="DG196" s="178"/>
      <c r="DH196" s="184"/>
      <c r="DI196" s="130"/>
      <c r="DJ196" s="179"/>
      <c r="DK196" s="130"/>
      <c r="DL196" s="178"/>
      <c r="DM196" s="184"/>
      <c r="DN196" s="130"/>
      <c r="DO196" s="179"/>
      <c r="DP196" s="130"/>
      <c r="DQ196" s="178"/>
      <c r="DR196" s="184"/>
      <c r="DS196" s="130"/>
      <c r="DT196" s="109"/>
      <c r="DU196" s="130"/>
      <c r="DV196" s="180">
        <f t="shared" si="218"/>
        <v>0</v>
      </c>
      <c r="DW196" s="181">
        <f>Автовик_разбивка[[#This Row],[Цена, 
юань, без НДС 1]]*DV196</f>
        <v>0</v>
      </c>
      <c r="DX196" s="186">
        <f t="shared" si="219"/>
        <v>0</v>
      </c>
      <c r="DY196" s="186">
        <f>Автовик_разбивка[[#This Row],[Цена, 
юань, без НДС 1]]*DX196</f>
        <v>0</v>
      </c>
      <c r="DZ196" s="130">
        <f t="shared" si="220"/>
        <v>0</v>
      </c>
      <c r="EA196" s="187">
        <f>Автовик_разбивка[[#This Row],[Цена, 
юань, без НДС 1]]*DZ196</f>
        <v>0</v>
      </c>
      <c r="EB196" s="109">
        <f t="shared" si="221"/>
        <v>0</v>
      </c>
      <c r="EC196" s="224">
        <f>Автовик_разбивка[[#This Row],[Цена, 
юань, без НДС 1]]*EB196</f>
        <v>0</v>
      </c>
    </row>
    <row r="197" spans="1:133">
      <c r="A197" s="260">
        <v>33</v>
      </c>
      <c r="B197" s="172" t="s">
        <v>329</v>
      </c>
      <c r="C197" s="173" t="s">
        <v>298</v>
      </c>
      <c r="D197" s="173" t="s">
        <v>311</v>
      </c>
      <c r="E197" s="174">
        <v>1</v>
      </c>
      <c r="F197" s="174"/>
      <c r="G197" s="174"/>
      <c r="H197" s="175">
        <v>9522010020</v>
      </c>
      <c r="I197" s="176" t="s">
        <v>74</v>
      </c>
      <c r="J197" s="227"/>
      <c r="K197" s="223"/>
      <c r="L197" s="178"/>
      <c r="M197" s="130"/>
      <c r="N197" s="179"/>
      <c r="O197" s="130"/>
      <c r="P197" s="178"/>
      <c r="Q197" s="130"/>
      <c r="R197" s="179"/>
      <c r="S197" s="130"/>
      <c r="T197" s="178"/>
      <c r="U197" s="130"/>
      <c r="V197" s="179"/>
      <c r="W197" s="130"/>
      <c r="X197" s="178"/>
      <c r="Y197" s="130">
        <v>0</v>
      </c>
      <c r="Z197" s="179">
        <v>1</v>
      </c>
      <c r="AA197" s="130"/>
      <c r="AB197" s="178"/>
      <c r="AC197" s="130"/>
      <c r="AD197" s="179"/>
      <c r="AE197" s="130"/>
      <c r="AF197" s="178"/>
      <c r="AG197" s="130"/>
      <c r="AH197" s="179"/>
      <c r="AI197" s="130"/>
      <c r="AJ197" s="178"/>
      <c r="AK197" s="130"/>
      <c r="AL197" s="179"/>
      <c r="AM197" s="130"/>
      <c r="AN197" s="178"/>
      <c r="AO197" s="130"/>
      <c r="AP197" s="179"/>
      <c r="AQ197" s="130"/>
      <c r="AR197" s="178"/>
      <c r="AS197" s="130"/>
      <c r="AT197" s="179"/>
      <c r="AU197" s="130"/>
      <c r="AV197" s="178"/>
      <c r="AW197" s="130"/>
      <c r="AX197" s="179"/>
      <c r="AY197" s="130"/>
      <c r="AZ197" s="178"/>
      <c r="BA197" s="130"/>
      <c r="BB197" s="179"/>
      <c r="BC197" s="130"/>
      <c r="BD197" s="178"/>
      <c r="BE197" s="130"/>
      <c r="BF197" s="109"/>
      <c r="BG197" s="130"/>
      <c r="BH197" s="180">
        <f t="shared" ref="BH197:BH254" si="228">SUMPRODUCT(--(MOD(COLUMN($L197:$BG197),4)=MOD(COLUMN($L197),4)),$L197:$BG197)</f>
        <v>0</v>
      </c>
      <c r="BI197" s="181">
        <f>Автовик_разбивка[[#This Row],[Цена, 
юань, без НДС 1]]*BH197</f>
        <v>0</v>
      </c>
      <c r="BJ197" s="130">
        <f t="shared" ref="BJ197:BJ254" si="229">SUMPRODUCT(--(MOD(COLUMN($L197:$BG197),4)=MOD(COLUMN($L197)+1,4)),$L197:$BG197)</f>
        <v>0</v>
      </c>
      <c r="BK197" s="187">
        <f>Автовик_разбивка[[#This Row],[Цена, 
юань, без НДС 1]]*BJ197</f>
        <v>0</v>
      </c>
      <c r="BL197" s="109">
        <f t="shared" ref="BL197:BL254" si="230">SUMPRODUCT(--(MOD(COLUMN($L197:$BG197),4)=MOD(COLUMN($L197)+2,4)),$L197:$BG197)</f>
        <v>1</v>
      </c>
      <c r="BM197" s="224">
        <f>Автовик_разбивка[[#This Row],[Цена, 
юань, без НДС 1]]*BL197</f>
        <v>0</v>
      </c>
      <c r="BN197" s="178"/>
      <c r="BO197" s="184"/>
      <c r="BP197" s="130"/>
      <c r="BQ197" s="179"/>
      <c r="BR197" s="130"/>
      <c r="BS197" s="178"/>
      <c r="BT197" s="184"/>
      <c r="BU197" s="130"/>
      <c r="BV197" s="179"/>
      <c r="BW197" s="130"/>
      <c r="BX197" s="178"/>
      <c r="BY197" s="184"/>
      <c r="BZ197" s="130"/>
      <c r="CA197" s="179"/>
      <c r="CB197" s="130"/>
      <c r="CC197" s="178"/>
      <c r="CD197" s="184"/>
      <c r="CE197" s="130"/>
      <c r="CF197" s="179"/>
      <c r="CG197" s="130"/>
      <c r="CH197" s="178"/>
      <c r="CI197" s="184"/>
      <c r="CJ197" s="130"/>
      <c r="CK197" s="179"/>
      <c r="CL197" s="130"/>
      <c r="CM197" s="178"/>
      <c r="CN197" s="184"/>
      <c r="CO197" s="130"/>
      <c r="CP197" s="179"/>
      <c r="CQ197" s="130"/>
      <c r="CR197" s="178"/>
      <c r="CS197" s="184"/>
      <c r="CT197" s="130"/>
      <c r="CU197" s="179"/>
      <c r="CV197" s="130"/>
      <c r="CW197" s="178"/>
      <c r="CX197" s="184"/>
      <c r="CY197" s="130"/>
      <c r="CZ197" s="179"/>
      <c r="DA197" s="130"/>
      <c r="DB197" s="178"/>
      <c r="DC197" s="184"/>
      <c r="DD197" s="130"/>
      <c r="DE197" s="179"/>
      <c r="DF197" s="130"/>
      <c r="DG197" s="178"/>
      <c r="DH197" s="184"/>
      <c r="DI197" s="130"/>
      <c r="DJ197" s="179"/>
      <c r="DK197" s="130"/>
      <c r="DL197" s="178"/>
      <c r="DM197" s="184"/>
      <c r="DN197" s="130"/>
      <c r="DO197" s="179"/>
      <c r="DP197" s="130"/>
      <c r="DQ197" s="178"/>
      <c r="DR197" s="184"/>
      <c r="DS197" s="130"/>
      <c r="DT197" s="109"/>
      <c r="DU197" s="130"/>
      <c r="DV197" s="180">
        <f t="shared" ref="DV197:DV254" si="231">SUMPRODUCT(--(MOD(COLUMN($BN197:$DU197),5)=MOD(COLUMN($BN197),5)),$BN197:$DU197)</f>
        <v>0</v>
      </c>
      <c r="DW197" s="181">
        <f>Автовик_разбивка[[#This Row],[Цена, 
юань, без НДС 1]]*DV197</f>
        <v>0</v>
      </c>
      <c r="DX197" s="186">
        <f t="shared" ref="DX197:DX254" si="232">SUMPRODUCT(--(MOD(COLUMN($BN197:$DU197),5)=MOD(COLUMN($BN197)+1,5)),$BN197:$DU197)</f>
        <v>0</v>
      </c>
      <c r="DY197" s="186">
        <f>Автовик_разбивка[[#This Row],[Цена, 
юань, без НДС 1]]*DX197</f>
        <v>0</v>
      </c>
      <c r="DZ197" s="130">
        <f t="shared" ref="DZ197:DZ254" si="233">SUMPRODUCT(--(MOD(COLUMN($BN197:$DU197),5)=MOD(COLUMN($BN197)+2,5)),$BN197:$DU197)</f>
        <v>0</v>
      </c>
      <c r="EA197" s="187">
        <f>Автовик_разбивка[[#This Row],[Цена, 
юань, без НДС 1]]*DZ197</f>
        <v>0</v>
      </c>
      <c r="EB197" s="109">
        <f t="shared" ref="EB197:EB254" si="234">SUMPRODUCT(--(MOD(COLUMN($BN197:$DU197),5)=MOD(COLUMN($BN197)+3,5)),$BN197:$DU197)</f>
        <v>0</v>
      </c>
      <c r="EC197" s="224">
        <f>Автовик_разбивка[[#This Row],[Цена, 
юань, без НДС 1]]*EB197</f>
        <v>0</v>
      </c>
    </row>
    <row r="198" spans="1:133">
      <c r="A198" s="260">
        <v>33</v>
      </c>
      <c r="B198" s="172" t="s">
        <v>329</v>
      </c>
      <c r="C198" s="173" t="s">
        <v>298</v>
      </c>
      <c r="D198" s="173" t="s">
        <v>311</v>
      </c>
      <c r="E198" s="174">
        <v>1</v>
      </c>
      <c r="F198" s="174"/>
      <c r="G198" s="174"/>
      <c r="H198" s="175">
        <v>9710029000</v>
      </c>
      <c r="I198" s="176" t="s">
        <v>75</v>
      </c>
      <c r="J198" s="227"/>
      <c r="K198" s="223"/>
      <c r="L198" s="178"/>
      <c r="M198" s="130"/>
      <c r="N198" s="179"/>
      <c r="O198" s="130"/>
      <c r="P198" s="178"/>
      <c r="Q198" s="130"/>
      <c r="R198" s="179"/>
      <c r="S198" s="130"/>
      <c r="T198" s="178"/>
      <c r="U198" s="130"/>
      <c r="V198" s="179"/>
      <c r="W198" s="130"/>
      <c r="X198" s="178"/>
      <c r="Y198" s="130">
        <v>0</v>
      </c>
      <c r="Z198" s="179">
        <v>1</v>
      </c>
      <c r="AA198" s="130"/>
      <c r="AB198" s="178"/>
      <c r="AC198" s="130"/>
      <c r="AD198" s="179"/>
      <c r="AE198" s="130"/>
      <c r="AF198" s="178"/>
      <c r="AG198" s="130"/>
      <c r="AH198" s="179"/>
      <c r="AI198" s="130"/>
      <c r="AJ198" s="178"/>
      <c r="AK198" s="130"/>
      <c r="AL198" s="179"/>
      <c r="AM198" s="130"/>
      <c r="AN198" s="178"/>
      <c r="AO198" s="130"/>
      <c r="AP198" s="179"/>
      <c r="AQ198" s="130"/>
      <c r="AR198" s="178"/>
      <c r="AS198" s="130"/>
      <c r="AT198" s="179"/>
      <c r="AU198" s="130"/>
      <c r="AV198" s="178"/>
      <c r="AW198" s="130"/>
      <c r="AX198" s="179"/>
      <c r="AY198" s="130"/>
      <c r="AZ198" s="178"/>
      <c r="BA198" s="130"/>
      <c r="BB198" s="179"/>
      <c r="BC198" s="130"/>
      <c r="BD198" s="178"/>
      <c r="BE198" s="130"/>
      <c r="BF198" s="109"/>
      <c r="BG198" s="130"/>
      <c r="BH198" s="180">
        <f t="shared" si="228"/>
        <v>0</v>
      </c>
      <c r="BI198" s="181">
        <f>Автовик_разбивка[[#This Row],[Цена, 
юань, без НДС 1]]*BH198</f>
        <v>0</v>
      </c>
      <c r="BJ198" s="130">
        <f t="shared" si="229"/>
        <v>0</v>
      </c>
      <c r="BK198" s="187">
        <f>Автовик_разбивка[[#This Row],[Цена, 
юань, без НДС 1]]*BJ198</f>
        <v>0</v>
      </c>
      <c r="BL198" s="109">
        <f t="shared" si="230"/>
        <v>1</v>
      </c>
      <c r="BM198" s="224">
        <f>Автовик_разбивка[[#This Row],[Цена, 
юань, без НДС 1]]*BL198</f>
        <v>0</v>
      </c>
      <c r="BN198" s="178"/>
      <c r="BO198" s="184"/>
      <c r="BP198" s="130"/>
      <c r="BQ198" s="179"/>
      <c r="BR198" s="130"/>
      <c r="BS198" s="178"/>
      <c r="BT198" s="184"/>
      <c r="BU198" s="130"/>
      <c r="BV198" s="179"/>
      <c r="BW198" s="130"/>
      <c r="BX198" s="178"/>
      <c r="BY198" s="184"/>
      <c r="BZ198" s="130"/>
      <c r="CA198" s="179"/>
      <c r="CB198" s="130"/>
      <c r="CC198" s="178"/>
      <c r="CD198" s="184"/>
      <c r="CE198" s="130"/>
      <c r="CF198" s="179"/>
      <c r="CG198" s="130"/>
      <c r="CH198" s="178"/>
      <c r="CI198" s="184"/>
      <c r="CJ198" s="130"/>
      <c r="CK198" s="179"/>
      <c r="CL198" s="130"/>
      <c r="CM198" s="178"/>
      <c r="CN198" s="184"/>
      <c r="CO198" s="130"/>
      <c r="CP198" s="179"/>
      <c r="CQ198" s="130"/>
      <c r="CR198" s="178"/>
      <c r="CS198" s="184"/>
      <c r="CT198" s="130"/>
      <c r="CU198" s="179"/>
      <c r="CV198" s="130"/>
      <c r="CW198" s="178"/>
      <c r="CX198" s="184"/>
      <c r="CY198" s="130"/>
      <c r="CZ198" s="179"/>
      <c r="DA198" s="130"/>
      <c r="DB198" s="178"/>
      <c r="DC198" s="184"/>
      <c r="DD198" s="130"/>
      <c r="DE198" s="179"/>
      <c r="DF198" s="130"/>
      <c r="DG198" s="178"/>
      <c r="DH198" s="184"/>
      <c r="DI198" s="130"/>
      <c r="DJ198" s="179"/>
      <c r="DK198" s="130"/>
      <c r="DL198" s="178"/>
      <c r="DM198" s="184"/>
      <c r="DN198" s="130"/>
      <c r="DO198" s="179"/>
      <c r="DP198" s="130"/>
      <c r="DQ198" s="178"/>
      <c r="DR198" s="184"/>
      <c r="DS198" s="130"/>
      <c r="DT198" s="109"/>
      <c r="DU198" s="130"/>
      <c r="DV198" s="180">
        <f t="shared" si="231"/>
        <v>0</v>
      </c>
      <c r="DW198" s="181">
        <f>Автовик_разбивка[[#This Row],[Цена, 
юань, без НДС 1]]*DV198</f>
        <v>0</v>
      </c>
      <c r="DX198" s="186">
        <f t="shared" si="232"/>
        <v>0</v>
      </c>
      <c r="DY198" s="186">
        <f>Автовик_разбивка[[#This Row],[Цена, 
юань, без НДС 1]]*DX198</f>
        <v>0</v>
      </c>
      <c r="DZ198" s="130">
        <f t="shared" si="233"/>
        <v>0</v>
      </c>
      <c r="EA198" s="187">
        <f>Автовик_разбивка[[#This Row],[Цена, 
юань, без НДС 1]]*DZ198</f>
        <v>0</v>
      </c>
      <c r="EB198" s="109">
        <f t="shared" si="234"/>
        <v>0</v>
      </c>
      <c r="EC198" s="224">
        <f>Автовик_разбивка[[#This Row],[Цена, 
юань, без НДС 1]]*EB198</f>
        <v>0</v>
      </c>
    </row>
    <row r="199" spans="1:133">
      <c r="A199" s="260">
        <v>33</v>
      </c>
      <c r="B199" s="172" t="s">
        <v>329</v>
      </c>
      <c r="C199" s="132"/>
      <c r="D199" s="132"/>
      <c r="E199" s="229"/>
      <c r="F199" s="229"/>
      <c r="G199" s="229"/>
      <c r="H199" s="230"/>
      <c r="I199" s="231" t="s">
        <v>43</v>
      </c>
      <c r="J199" s="232"/>
      <c r="K199" s="232"/>
      <c r="L199" s="233"/>
      <c r="M199" s="234"/>
      <c r="N199" s="235"/>
      <c r="O199" s="234"/>
      <c r="P199" s="233"/>
      <c r="Q199" s="234"/>
      <c r="R199" s="235"/>
      <c r="S199" s="234"/>
      <c r="T199" s="233"/>
      <c r="U199" s="234"/>
      <c r="V199" s="235"/>
      <c r="W199" s="234"/>
      <c r="X199" s="233"/>
      <c r="Y199" s="234"/>
      <c r="Z199" s="235"/>
      <c r="AA199" s="234"/>
      <c r="AB199" s="233"/>
      <c r="AC199" s="234"/>
      <c r="AD199" s="235"/>
      <c r="AE199" s="234"/>
      <c r="AF199" s="233"/>
      <c r="AG199" s="234"/>
      <c r="AH199" s="235"/>
      <c r="AI199" s="234"/>
      <c r="AJ199" s="233"/>
      <c r="AK199" s="234"/>
      <c r="AL199" s="235"/>
      <c r="AM199" s="234"/>
      <c r="AN199" s="233"/>
      <c r="AO199" s="234"/>
      <c r="AP199" s="235"/>
      <c r="AQ199" s="234"/>
      <c r="AR199" s="233"/>
      <c r="AS199" s="234"/>
      <c r="AT199" s="235"/>
      <c r="AU199" s="234"/>
      <c r="AV199" s="233"/>
      <c r="AW199" s="234"/>
      <c r="AX199" s="235"/>
      <c r="AY199" s="234"/>
      <c r="AZ199" s="233"/>
      <c r="BA199" s="234"/>
      <c r="BB199" s="235"/>
      <c r="BC199" s="234"/>
      <c r="BD199" s="233"/>
      <c r="BE199" s="234"/>
      <c r="BF199" s="235"/>
      <c r="BG199" s="234"/>
      <c r="BH199" s="233">
        <f t="shared" si="228"/>
        <v>0</v>
      </c>
      <c r="BI199" s="238">
        <f>Автовик_разбивка[[#This Row],[Цена, 
юань, без НДС 1]]*BH199</f>
        <v>0</v>
      </c>
      <c r="BJ199" s="234">
        <f t="shared" si="229"/>
        <v>0</v>
      </c>
      <c r="BK199" s="253">
        <f>Автовик_разбивка[[#This Row],[Цена, 
юань, без НДС 1]]*BJ199</f>
        <v>0</v>
      </c>
      <c r="BL199" s="235">
        <f t="shared" si="230"/>
        <v>0</v>
      </c>
      <c r="BM199" s="254">
        <f>Автовик_разбивка[[#This Row],[Цена, 
юань, без НДС 1]]*BL199</f>
        <v>0</v>
      </c>
      <c r="BN199" s="233"/>
      <c r="BO199" s="241"/>
      <c r="BP199" s="234"/>
      <c r="BQ199" s="235"/>
      <c r="BR199" s="234"/>
      <c r="BS199" s="233"/>
      <c r="BT199" s="241"/>
      <c r="BU199" s="234"/>
      <c r="BV199" s="235"/>
      <c r="BW199" s="234"/>
      <c r="BX199" s="233"/>
      <c r="BY199" s="241"/>
      <c r="BZ199" s="234"/>
      <c r="CA199" s="235"/>
      <c r="CB199" s="234"/>
      <c r="CC199" s="233"/>
      <c r="CD199" s="241"/>
      <c r="CE199" s="234"/>
      <c r="CF199" s="235"/>
      <c r="CG199" s="234"/>
      <c r="CH199" s="233"/>
      <c r="CI199" s="241"/>
      <c r="CJ199" s="234"/>
      <c r="CK199" s="235"/>
      <c r="CL199" s="234"/>
      <c r="CM199" s="233"/>
      <c r="CN199" s="241"/>
      <c r="CO199" s="234"/>
      <c r="CP199" s="235"/>
      <c r="CQ199" s="234"/>
      <c r="CR199" s="233"/>
      <c r="CS199" s="241"/>
      <c r="CT199" s="234"/>
      <c r="CU199" s="235"/>
      <c r="CV199" s="234"/>
      <c r="CW199" s="233"/>
      <c r="CX199" s="241"/>
      <c r="CY199" s="234"/>
      <c r="CZ199" s="235"/>
      <c r="DA199" s="234"/>
      <c r="DB199" s="233"/>
      <c r="DC199" s="241"/>
      <c r="DD199" s="234"/>
      <c r="DE199" s="235"/>
      <c r="DF199" s="234"/>
      <c r="DG199" s="233"/>
      <c r="DH199" s="241"/>
      <c r="DI199" s="234"/>
      <c r="DJ199" s="235"/>
      <c r="DK199" s="234"/>
      <c r="DL199" s="233"/>
      <c r="DM199" s="241"/>
      <c r="DN199" s="234"/>
      <c r="DO199" s="235"/>
      <c r="DP199" s="234"/>
      <c r="DQ199" s="233"/>
      <c r="DR199" s="241"/>
      <c r="DS199" s="234"/>
      <c r="DT199" s="235"/>
      <c r="DU199" s="234"/>
      <c r="DV199" s="233">
        <f t="shared" si="231"/>
        <v>0</v>
      </c>
      <c r="DW199" s="238">
        <f>Автовик_разбивка[[#This Row],[Цена, 
юань, без НДС 1]]*DV199</f>
        <v>0</v>
      </c>
      <c r="DX199" s="242">
        <f t="shared" si="232"/>
        <v>0</v>
      </c>
      <c r="DY199" s="242">
        <f>Автовик_разбивка[[#This Row],[Цена, 
юань, без НДС 1]]*DX199</f>
        <v>0</v>
      </c>
      <c r="DZ199" s="234">
        <f t="shared" si="233"/>
        <v>0</v>
      </c>
      <c r="EA199" s="253">
        <f>Автовик_разбивка[[#This Row],[Цена, 
юань, без НДС 1]]*DZ199</f>
        <v>0</v>
      </c>
      <c r="EB199" s="235">
        <f t="shared" si="234"/>
        <v>0</v>
      </c>
      <c r="EC199" s="254">
        <f>Автовик_разбивка[[#This Row],[Цена, 
юань, без НДС 1]]*EB199</f>
        <v>0</v>
      </c>
    </row>
    <row r="200" spans="1:133">
      <c r="A200" s="260">
        <v>33</v>
      </c>
      <c r="B200" s="261" t="s">
        <v>329</v>
      </c>
      <c r="C200" s="244"/>
      <c r="D200" s="244"/>
      <c r="E200" s="245"/>
      <c r="F200" s="245"/>
      <c r="G200" s="245"/>
      <c r="H200" s="246"/>
      <c r="I200" s="247"/>
      <c r="J200" s="248"/>
      <c r="K200" s="248"/>
      <c r="L200" s="249"/>
      <c r="M200" s="249"/>
      <c r="N200" s="249"/>
      <c r="O200" s="249"/>
      <c r="P200" s="249"/>
      <c r="Q200" s="249"/>
      <c r="R200" s="249"/>
      <c r="S200" s="249"/>
      <c r="T200" s="249"/>
      <c r="U200" s="249"/>
      <c r="V200" s="249"/>
      <c r="W200" s="249"/>
      <c r="X200" s="249"/>
      <c r="Y200" s="249"/>
      <c r="Z200" s="249"/>
      <c r="AA200" s="249"/>
      <c r="AB200" s="249"/>
      <c r="AC200" s="249"/>
      <c r="AD200" s="249"/>
      <c r="AE200" s="249"/>
      <c r="AF200" s="249"/>
      <c r="AG200" s="249"/>
      <c r="AH200" s="249"/>
      <c r="AI200" s="249"/>
      <c r="AJ200" s="249"/>
      <c r="AK200" s="249"/>
      <c r="AL200" s="249"/>
      <c r="AM200" s="249"/>
      <c r="AN200" s="249"/>
      <c r="AO200" s="249"/>
      <c r="AP200" s="249"/>
      <c r="AQ200" s="249"/>
      <c r="AR200" s="249"/>
      <c r="AS200" s="249"/>
      <c r="AT200" s="249"/>
      <c r="AU200" s="249"/>
      <c r="AV200" s="249"/>
      <c r="AW200" s="249"/>
      <c r="AX200" s="250"/>
      <c r="AY200" s="249"/>
      <c r="AZ200" s="250"/>
      <c r="BA200" s="250"/>
      <c r="BB200" s="250"/>
      <c r="BC200" s="249"/>
      <c r="BD200" s="250"/>
      <c r="BE200" s="250"/>
      <c r="BF200" s="250"/>
      <c r="BG200" s="249"/>
      <c r="BH200" s="250">
        <f t="shared" si="228"/>
        <v>0</v>
      </c>
      <c r="BI200" s="251">
        <f>Автовик_разбивка[[#This Row],[Цена, 
юань, без НДС 1]]*BH200</f>
        <v>0</v>
      </c>
      <c r="BJ200" s="250">
        <f t="shared" si="229"/>
        <v>0</v>
      </c>
      <c r="BK200" s="251">
        <f>Автовик_разбивка[[#This Row],[Цена, 
юань, без НДС 1]]*BJ200</f>
        <v>0</v>
      </c>
      <c r="BL200" s="250">
        <f t="shared" si="230"/>
        <v>0</v>
      </c>
      <c r="BM200" s="251">
        <f>Автовик_разбивка[[#This Row],[Цена, 
юань, без НДС 1]]*BL200</f>
        <v>0</v>
      </c>
      <c r="BN200" s="249"/>
      <c r="BO200" s="249"/>
      <c r="BP200" s="249"/>
      <c r="BQ200" s="249"/>
      <c r="BR200" s="249"/>
      <c r="BS200" s="249"/>
      <c r="BT200" s="249"/>
      <c r="BU200" s="249"/>
      <c r="BV200" s="249"/>
      <c r="BW200" s="249"/>
      <c r="BX200" s="249"/>
      <c r="BY200" s="249"/>
      <c r="BZ200" s="249"/>
      <c r="CA200" s="249"/>
      <c r="CB200" s="249"/>
      <c r="CC200" s="249"/>
      <c r="CD200" s="249"/>
      <c r="CE200" s="249"/>
      <c r="CF200" s="249"/>
      <c r="CG200" s="249"/>
      <c r="CH200" s="249"/>
      <c r="CI200" s="249"/>
      <c r="CJ200" s="249"/>
      <c r="CK200" s="249"/>
      <c r="CL200" s="249"/>
      <c r="CM200" s="249"/>
      <c r="CN200" s="249"/>
      <c r="CO200" s="249"/>
      <c r="CP200" s="249"/>
      <c r="CQ200" s="249"/>
      <c r="CR200" s="249"/>
      <c r="CS200" s="249"/>
      <c r="CT200" s="249"/>
      <c r="CU200" s="249"/>
      <c r="CV200" s="249"/>
      <c r="CW200" s="249"/>
      <c r="CX200" s="249"/>
      <c r="CY200" s="249"/>
      <c r="CZ200" s="249"/>
      <c r="DA200" s="249"/>
      <c r="DB200" s="249"/>
      <c r="DC200" s="249"/>
      <c r="DD200" s="249"/>
      <c r="DE200" s="249"/>
      <c r="DF200" s="249"/>
      <c r="DG200" s="249"/>
      <c r="DH200" s="249"/>
      <c r="DI200" s="249"/>
      <c r="DJ200" s="250"/>
      <c r="DK200" s="249"/>
      <c r="DL200" s="250"/>
      <c r="DM200" s="250"/>
      <c r="DN200" s="250"/>
      <c r="DO200" s="250"/>
      <c r="DP200" s="249"/>
      <c r="DQ200" s="250"/>
      <c r="DR200" s="250"/>
      <c r="DS200" s="250"/>
      <c r="DT200" s="250"/>
      <c r="DU200" s="249"/>
      <c r="DV200" s="250">
        <f t="shared" si="231"/>
        <v>0</v>
      </c>
      <c r="DW200" s="251">
        <f>Автовик_разбивка[[#This Row],[Цена, 
юань, без НДС 1]]*DV200</f>
        <v>0</v>
      </c>
      <c r="DX200" s="251">
        <f t="shared" si="232"/>
        <v>0</v>
      </c>
      <c r="DY200" s="251">
        <f>Автовик_разбивка[[#This Row],[Цена, 
юань, без НДС 1]]*DX200</f>
        <v>0</v>
      </c>
      <c r="DZ200" s="250">
        <f t="shared" si="233"/>
        <v>0</v>
      </c>
      <c r="EA200" s="251">
        <f>Автовик_разбивка[[#This Row],[Цена, 
юань, без НДС 1]]*DZ200</f>
        <v>0</v>
      </c>
      <c r="EB200" s="250">
        <f t="shared" si="234"/>
        <v>0</v>
      </c>
      <c r="EC200" s="251">
        <f>Автовик_разбивка[[#This Row],[Цена, 
юань, без НДС 1]]*EB200</f>
        <v>0</v>
      </c>
    </row>
    <row r="201" spans="1:133">
      <c r="A201" s="262">
        <v>333</v>
      </c>
      <c r="B201" s="263" t="s">
        <v>330</v>
      </c>
      <c r="C201" s="132"/>
      <c r="D201" s="132"/>
      <c r="E201" s="229"/>
      <c r="F201" s="229"/>
      <c r="G201" s="229"/>
      <c r="H201" s="230"/>
      <c r="I201" s="231" t="s">
        <v>43</v>
      </c>
      <c r="J201" s="232"/>
      <c r="K201" s="232"/>
      <c r="L201" s="233"/>
      <c r="M201" s="234"/>
      <c r="N201" s="235"/>
      <c r="O201" s="234"/>
      <c r="P201" s="233"/>
      <c r="Q201" s="234"/>
      <c r="R201" s="235"/>
      <c r="S201" s="234"/>
      <c r="T201" s="233"/>
      <c r="U201" s="234"/>
      <c r="V201" s="235"/>
      <c r="W201" s="234"/>
      <c r="X201" s="233"/>
      <c r="Y201" s="234"/>
      <c r="Z201" s="235"/>
      <c r="AA201" s="234"/>
      <c r="AB201" s="233"/>
      <c r="AC201" s="234"/>
      <c r="AD201" s="235"/>
      <c r="AE201" s="234"/>
      <c r="AF201" s="233"/>
      <c r="AG201" s="234"/>
      <c r="AH201" s="235"/>
      <c r="AI201" s="234"/>
      <c r="AJ201" s="233"/>
      <c r="AK201" s="234"/>
      <c r="AL201" s="235"/>
      <c r="AM201" s="234"/>
      <c r="AN201" s="233"/>
      <c r="AO201" s="234"/>
      <c r="AP201" s="235"/>
      <c r="AQ201" s="234"/>
      <c r="AR201" s="233"/>
      <c r="AS201" s="234"/>
      <c r="AT201" s="235"/>
      <c r="AU201" s="234"/>
      <c r="AV201" s="233"/>
      <c r="AW201" s="234"/>
      <c r="AX201" s="235"/>
      <c r="AY201" s="234"/>
      <c r="AZ201" s="233"/>
      <c r="BA201" s="234"/>
      <c r="BB201" s="235"/>
      <c r="BC201" s="234"/>
      <c r="BD201" s="233"/>
      <c r="BE201" s="234"/>
      <c r="BF201" s="235"/>
      <c r="BG201" s="234"/>
      <c r="BH201" s="233">
        <f t="shared" si="228"/>
        <v>0</v>
      </c>
      <c r="BI201" s="238">
        <f>Автовик_разбивка[[#This Row],[Цена, 
юань, без НДС 1]]*BH201</f>
        <v>0</v>
      </c>
      <c r="BJ201" s="234">
        <f t="shared" si="229"/>
        <v>0</v>
      </c>
      <c r="BK201" s="253">
        <f>Автовик_разбивка[[#This Row],[Цена, 
юань, без НДС 1]]*BJ201</f>
        <v>0</v>
      </c>
      <c r="BL201" s="235">
        <f t="shared" si="230"/>
        <v>0</v>
      </c>
      <c r="BM201" s="254">
        <f>Автовик_разбивка[[#This Row],[Цена, 
юань, без НДС 1]]*BL201</f>
        <v>0</v>
      </c>
      <c r="BN201" s="233"/>
      <c r="BO201" s="241"/>
      <c r="BP201" s="234"/>
      <c r="BQ201" s="235"/>
      <c r="BR201" s="234"/>
      <c r="BS201" s="233"/>
      <c r="BT201" s="241"/>
      <c r="BU201" s="234"/>
      <c r="BV201" s="235"/>
      <c r="BW201" s="234"/>
      <c r="BX201" s="233"/>
      <c r="BY201" s="241"/>
      <c r="BZ201" s="234"/>
      <c r="CA201" s="235"/>
      <c r="CB201" s="234"/>
      <c r="CC201" s="233"/>
      <c r="CD201" s="241"/>
      <c r="CE201" s="234"/>
      <c r="CF201" s="235"/>
      <c r="CG201" s="234"/>
      <c r="CH201" s="233"/>
      <c r="CI201" s="241"/>
      <c r="CJ201" s="234"/>
      <c r="CK201" s="235"/>
      <c r="CL201" s="234"/>
      <c r="CM201" s="233"/>
      <c r="CN201" s="241"/>
      <c r="CO201" s="234"/>
      <c r="CP201" s="235"/>
      <c r="CQ201" s="234"/>
      <c r="CR201" s="233"/>
      <c r="CS201" s="241"/>
      <c r="CT201" s="234"/>
      <c r="CU201" s="235"/>
      <c r="CV201" s="234"/>
      <c r="CW201" s="233"/>
      <c r="CX201" s="241"/>
      <c r="CY201" s="234"/>
      <c r="CZ201" s="235"/>
      <c r="DA201" s="234"/>
      <c r="DB201" s="233"/>
      <c r="DC201" s="241"/>
      <c r="DD201" s="234"/>
      <c r="DE201" s="235"/>
      <c r="DF201" s="234"/>
      <c r="DG201" s="233"/>
      <c r="DH201" s="241"/>
      <c r="DI201" s="234"/>
      <c r="DJ201" s="235"/>
      <c r="DK201" s="234"/>
      <c r="DL201" s="233"/>
      <c r="DM201" s="241"/>
      <c r="DN201" s="234"/>
      <c r="DO201" s="235"/>
      <c r="DP201" s="234"/>
      <c r="DQ201" s="233"/>
      <c r="DR201" s="241"/>
      <c r="DS201" s="234"/>
      <c r="DT201" s="235"/>
      <c r="DU201" s="234"/>
      <c r="DV201" s="233">
        <f t="shared" si="231"/>
        <v>0</v>
      </c>
      <c r="DW201" s="238">
        <f>Автовик_разбивка[[#This Row],[Цена, 
юань, без НДС 1]]*DV201</f>
        <v>0</v>
      </c>
      <c r="DX201" s="242">
        <f t="shared" si="232"/>
        <v>0</v>
      </c>
      <c r="DY201" s="242">
        <f>Автовик_разбивка[[#This Row],[Цена, 
юань, без НДС 1]]*DX201</f>
        <v>0</v>
      </c>
      <c r="DZ201" s="234">
        <f t="shared" si="233"/>
        <v>0</v>
      </c>
      <c r="EA201" s="253">
        <f>Автовик_разбивка[[#This Row],[Цена, 
юань, без НДС 1]]*DZ201</f>
        <v>0</v>
      </c>
      <c r="EB201" s="235">
        <f t="shared" si="234"/>
        <v>0</v>
      </c>
      <c r="EC201" s="254">
        <f>Автовик_разбивка[[#This Row],[Цена, 
юань, без НДС 1]]*EB201</f>
        <v>0</v>
      </c>
    </row>
    <row r="202" spans="1:133">
      <c r="A202" s="262">
        <v>333</v>
      </c>
      <c r="B202" s="263" t="s">
        <v>330</v>
      </c>
      <c r="C202" s="173"/>
      <c r="D202" s="173"/>
      <c r="E202" s="174"/>
      <c r="F202" s="174"/>
      <c r="G202" s="174"/>
      <c r="H202" s="175"/>
      <c r="I202" s="176"/>
      <c r="J202" s="227"/>
      <c r="K202" s="223"/>
      <c r="L202" s="178"/>
      <c r="M202" s="130"/>
      <c r="N202" s="179"/>
      <c r="O202" s="130"/>
      <c r="P202" s="178"/>
      <c r="Q202" s="130"/>
      <c r="R202" s="179"/>
      <c r="S202" s="130"/>
      <c r="T202" s="178"/>
      <c r="U202" s="130"/>
      <c r="V202" s="179"/>
      <c r="W202" s="130"/>
      <c r="X202" s="178"/>
      <c r="Y202" s="130"/>
      <c r="Z202" s="179"/>
      <c r="AA202" s="130"/>
      <c r="AB202" s="178"/>
      <c r="AC202" s="130"/>
      <c r="AD202" s="179"/>
      <c r="AE202" s="130"/>
      <c r="AF202" s="178"/>
      <c r="AG202" s="130"/>
      <c r="AH202" s="179"/>
      <c r="AI202" s="130"/>
      <c r="AJ202" s="178"/>
      <c r="AK202" s="130"/>
      <c r="AL202" s="179"/>
      <c r="AM202" s="130"/>
      <c r="AN202" s="178"/>
      <c r="AO202" s="130"/>
      <c r="AP202" s="179"/>
      <c r="AQ202" s="130"/>
      <c r="AR202" s="178"/>
      <c r="AS202" s="130"/>
      <c r="AT202" s="179"/>
      <c r="AU202" s="130"/>
      <c r="AV202" s="178"/>
      <c r="AW202" s="130"/>
      <c r="AX202" s="179"/>
      <c r="AY202" s="130"/>
      <c r="AZ202" s="178"/>
      <c r="BA202" s="130"/>
      <c r="BB202" s="179"/>
      <c r="BC202" s="130"/>
      <c r="BD202" s="178"/>
      <c r="BE202" s="130"/>
      <c r="BF202" s="109"/>
      <c r="BG202" s="130"/>
      <c r="BH202" s="180">
        <f t="shared" si="228"/>
        <v>0</v>
      </c>
      <c r="BI202" s="181">
        <f>Автовик_разбивка[[#This Row],[Цена, 
юань, без НДС 1]]*BH202</f>
        <v>0</v>
      </c>
      <c r="BJ202" s="130">
        <f t="shared" si="229"/>
        <v>0</v>
      </c>
      <c r="BK202" s="187">
        <f>Автовик_разбивка[[#This Row],[Цена, 
юань, без НДС 1]]*BJ202</f>
        <v>0</v>
      </c>
      <c r="BL202" s="109">
        <f t="shared" si="230"/>
        <v>0</v>
      </c>
      <c r="BM202" s="224">
        <f>Автовик_разбивка[[#This Row],[Цена, 
юань, без НДС 1]]*BL202</f>
        <v>0</v>
      </c>
      <c r="BN202" s="178"/>
      <c r="BO202" s="184"/>
      <c r="BP202" s="130"/>
      <c r="BQ202" s="179"/>
      <c r="BR202" s="130"/>
      <c r="BS202" s="178"/>
      <c r="BT202" s="184"/>
      <c r="BU202" s="130"/>
      <c r="BV202" s="179"/>
      <c r="BW202" s="130"/>
      <c r="BX202" s="178"/>
      <c r="BY202" s="184"/>
      <c r="BZ202" s="130"/>
      <c r="CA202" s="179"/>
      <c r="CB202" s="130"/>
      <c r="CC202" s="178"/>
      <c r="CD202" s="184"/>
      <c r="CE202" s="130"/>
      <c r="CF202" s="179"/>
      <c r="CG202" s="130"/>
      <c r="CH202" s="178"/>
      <c r="CI202" s="184"/>
      <c r="CJ202" s="130"/>
      <c r="CK202" s="179"/>
      <c r="CL202" s="130"/>
      <c r="CM202" s="178"/>
      <c r="CN202" s="184"/>
      <c r="CO202" s="130"/>
      <c r="CP202" s="179"/>
      <c r="CQ202" s="130"/>
      <c r="CR202" s="178"/>
      <c r="CS202" s="184"/>
      <c r="CT202" s="130"/>
      <c r="CU202" s="179"/>
      <c r="CV202" s="130"/>
      <c r="CW202" s="178"/>
      <c r="CX202" s="184"/>
      <c r="CY202" s="130"/>
      <c r="CZ202" s="179"/>
      <c r="DA202" s="130"/>
      <c r="DB202" s="178"/>
      <c r="DC202" s="184"/>
      <c r="DD202" s="130"/>
      <c r="DE202" s="179"/>
      <c r="DF202" s="130"/>
      <c r="DG202" s="178"/>
      <c r="DH202" s="184"/>
      <c r="DI202" s="130"/>
      <c r="DJ202" s="179"/>
      <c r="DK202" s="130"/>
      <c r="DL202" s="178"/>
      <c r="DM202" s="184"/>
      <c r="DN202" s="130"/>
      <c r="DO202" s="179"/>
      <c r="DP202" s="130"/>
      <c r="DQ202" s="178"/>
      <c r="DR202" s="184"/>
      <c r="DS202" s="130"/>
      <c r="DT202" s="109"/>
      <c r="DU202" s="130"/>
      <c r="DV202" s="180">
        <f t="shared" si="231"/>
        <v>0</v>
      </c>
      <c r="DW202" s="181">
        <f>Автовик_разбивка[[#This Row],[Цена, 
юань, без НДС 1]]*DV202</f>
        <v>0</v>
      </c>
      <c r="DX202" s="186">
        <f t="shared" si="232"/>
        <v>0</v>
      </c>
      <c r="DY202" s="186">
        <f>Автовик_разбивка[[#This Row],[Цена, 
юань, без НДС 1]]*DX202</f>
        <v>0</v>
      </c>
      <c r="DZ202" s="130">
        <f t="shared" si="233"/>
        <v>0</v>
      </c>
      <c r="EA202" s="187">
        <f>Автовик_разбивка[[#This Row],[Цена, 
юань, без НДС 1]]*DZ202</f>
        <v>0</v>
      </c>
      <c r="EB202" s="109">
        <f t="shared" si="234"/>
        <v>0</v>
      </c>
      <c r="EC202" s="224">
        <f>Автовик_разбивка[[#This Row],[Цена, 
юань, без НДС 1]]*EB202</f>
        <v>0</v>
      </c>
    </row>
    <row r="203" spans="1:133">
      <c r="A203" s="262">
        <v>333</v>
      </c>
      <c r="B203" s="261" t="s">
        <v>330</v>
      </c>
      <c r="C203" s="244"/>
      <c r="D203" s="244"/>
      <c r="E203" s="245"/>
      <c r="F203" s="245"/>
      <c r="G203" s="245"/>
      <c r="H203" s="246"/>
      <c r="I203" s="247"/>
      <c r="J203" s="248"/>
      <c r="K203" s="248"/>
      <c r="L203" s="249"/>
      <c r="M203" s="249"/>
      <c r="N203" s="249"/>
      <c r="O203" s="249"/>
      <c r="P203" s="249"/>
      <c r="Q203" s="249"/>
      <c r="R203" s="249"/>
      <c r="S203" s="249"/>
      <c r="T203" s="249"/>
      <c r="U203" s="249"/>
      <c r="V203" s="249"/>
      <c r="W203" s="249"/>
      <c r="X203" s="249"/>
      <c r="Y203" s="249"/>
      <c r="Z203" s="249"/>
      <c r="AA203" s="249"/>
      <c r="AB203" s="249"/>
      <c r="AC203" s="249"/>
      <c r="AD203" s="249"/>
      <c r="AE203" s="249"/>
      <c r="AF203" s="249"/>
      <c r="AG203" s="249"/>
      <c r="AH203" s="249"/>
      <c r="AI203" s="249"/>
      <c r="AJ203" s="249"/>
      <c r="AK203" s="249"/>
      <c r="AL203" s="249"/>
      <c r="AM203" s="249"/>
      <c r="AN203" s="249"/>
      <c r="AO203" s="249"/>
      <c r="AP203" s="249"/>
      <c r="AQ203" s="249"/>
      <c r="AR203" s="249"/>
      <c r="AS203" s="249"/>
      <c r="AT203" s="249"/>
      <c r="AU203" s="249"/>
      <c r="AV203" s="249"/>
      <c r="AW203" s="249"/>
      <c r="AX203" s="250"/>
      <c r="AY203" s="249"/>
      <c r="AZ203" s="250"/>
      <c r="BA203" s="250"/>
      <c r="BB203" s="250"/>
      <c r="BC203" s="249"/>
      <c r="BD203" s="250"/>
      <c r="BE203" s="250"/>
      <c r="BF203" s="250"/>
      <c r="BG203" s="249"/>
      <c r="BH203" s="250">
        <f t="shared" si="228"/>
        <v>0</v>
      </c>
      <c r="BI203" s="251">
        <f>Автовик_разбивка[[#This Row],[Цена, 
юань, без НДС 1]]*BH203</f>
        <v>0</v>
      </c>
      <c r="BJ203" s="250">
        <f t="shared" si="229"/>
        <v>0</v>
      </c>
      <c r="BK203" s="251">
        <f>Автовик_разбивка[[#This Row],[Цена, 
юань, без НДС 1]]*BJ203</f>
        <v>0</v>
      </c>
      <c r="BL203" s="250">
        <f t="shared" si="230"/>
        <v>0</v>
      </c>
      <c r="BM203" s="251">
        <f>Автовик_разбивка[[#This Row],[Цена, 
юань, без НДС 1]]*BL203</f>
        <v>0</v>
      </c>
      <c r="BN203" s="249"/>
      <c r="BO203" s="249"/>
      <c r="BP203" s="249"/>
      <c r="BQ203" s="249"/>
      <c r="BR203" s="249"/>
      <c r="BS203" s="249"/>
      <c r="BT203" s="249"/>
      <c r="BU203" s="249"/>
      <c r="BV203" s="249"/>
      <c r="BW203" s="249"/>
      <c r="BX203" s="249"/>
      <c r="BY203" s="249"/>
      <c r="BZ203" s="249"/>
      <c r="CA203" s="249"/>
      <c r="CB203" s="249"/>
      <c r="CC203" s="249"/>
      <c r="CD203" s="249"/>
      <c r="CE203" s="249"/>
      <c r="CF203" s="249"/>
      <c r="CG203" s="249"/>
      <c r="CH203" s="249"/>
      <c r="CI203" s="249"/>
      <c r="CJ203" s="249"/>
      <c r="CK203" s="249"/>
      <c r="CL203" s="249"/>
      <c r="CM203" s="249"/>
      <c r="CN203" s="249"/>
      <c r="CO203" s="249"/>
      <c r="CP203" s="249"/>
      <c r="CQ203" s="249"/>
      <c r="CR203" s="249"/>
      <c r="CS203" s="249"/>
      <c r="CT203" s="249"/>
      <c r="CU203" s="249"/>
      <c r="CV203" s="249"/>
      <c r="CW203" s="249"/>
      <c r="CX203" s="249"/>
      <c r="CY203" s="249"/>
      <c r="CZ203" s="249"/>
      <c r="DA203" s="249"/>
      <c r="DB203" s="249"/>
      <c r="DC203" s="249"/>
      <c r="DD203" s="249"/>
      <c r="DE203" s="249"/>
      <c r="DF203" s="249"/>
      <c r="DG203" s="249"/>
      <c r="DH203" s="249"/>
      <c r="DI203" s="249"/>
      <c r="DJ203" s="250"/>
      <c r="DK203" s="249"/>
      <c r="DL203" s="250"/>
      <c r="DM203" s="250"/>
      <c r="DN203" s="250"/>
      <c r="DO203" s="250"/>
      <c r="DP203" s="249"/>
      <c r="DQ203" s="250"/>
      <c r="DR203" s="250"/>
      <c r="DS203" s="250"/>
      <c r="DT203" s="250"/>
      <c r="DU203" s="249"/>
      <c r="DV203" s="250">
        <f t="shared" si="231"/>
        <v>0</v>
      </c>
      <c r="DW203" s="251">
        <f>Автовик_разбивка[[#This Row],[Цена, 
юань, без НДС 1]]*DV203</f>
        <v>0</v>
      </c>
      <c r="DX203" s="251">
        <f t="shared" si="232"/>
        <v>0</v>
      </c>
      <c r="DY203" s="251">
        <f>Автовик_разбивка[[#This Row],[Цена, 
юань, без НДС 1]]*DX203</f>
        <v>0</v>
      </c>
      <c r="DZ203" s="250">
        <f t="shared" si="233"/>
        <v>0</v>
      </c>
      <c r="EA203" s="251">
        <f>Автовик_разбивка[[#This Row],[Цена, 
юань, без НДС 1]]*DZ203</f>
        <v>0</v>
      </c>
      <c r="EB203" s="250">
        <f t="shared" si="234"/>
        <v>0</v>
      </c>
      <c r="EC203" s="251">
        <f>Автовик_разбивка[[#This Row],[Цена, 
юань, без НДС 1]]*EB203</f>
        <v>0</v>
      </c>
    </row>
    <row r="204" spans="1:133">
      <c r="A204" s="262">
        <v>333</v>
      </c>
      <c r="B204" s="264" t="s">
        <v>331</v>
      </c>
      <c r="C204" s="132"/>
      <c r="D204" s="132"/>
      <c r="E204" s="229"/>
      <c r="F204" s="229"/>
      <c r="G204" s="229"/>
      <c r="H204" s="230"/>
      <c r="I204" s="231" t="s">
        <v>43</v>
      </c>
      <c r="J204" s="232"/>
      <c r="K204" s="232"/>
      <c r="L204" s="233"/>
      <c r="M204" s="234"/>
      <c r="N204" s="235"/>
      <c r="O204" s="234"/>
      <c r="P204" s="233"/>
      <c r="Q204" s="234"/>
      <c r="R204" s="235"/>
      <c r="S204" s="234"/>
      <c r="T204" s="233"/>
      <c r="U204" s="234"/>
      <c r="V204" s="235"/>
      <c r="W204" s="234"/>
      <c r="X204" s="233"/>
      <c r="Y204" s="234"/>
      <c r="Z204" s="235"/>
      <c r="AA204" s="234"/>
      <c r="AB204" s="233"/>
      <c r="AC204" s="234"/>
      <c r="AD204" s="235"/>
      <c r="AE204" s="234"/>
      <c r="AF204" s="233"/>
      <c r="AG204" s="234"/>
      <c r="AH204" s="235"/>
      <c r="AI204" s="234"/>
      <c r="AJ204" s="233"/>
      <c r="AK204" s="234"/>
      <c r="AL204" s="235"/>
      <c r="AM204" s="234"/>
      <c r="AN204" s="233"/>
      <c r="AO204" s="234"/>
      <c r="AP204" s="235"/>
      <c r="AQ204" s="234"/>
      <c r="AR204" s="233"/>
      <c r="AS204" s="234"/>
      <c r="AT204" s="235"/>
      <c r="AU204" s="234"/>
      <c r="AV204" s="233"/>
      <c r="AW204" s="234"/>
      <c r="AX204" s="235"/>
      <c r="AY204" s="234"/>
      <c r="AZ204" s="233"/>
      <c r="BA204" s="234"/>
      <c r="BB204" s="235"/>
      <c r="BC204" s="234"/>
      <c r="BD204" s="233"/>
      <c r="BE204" s="234"/>
      <c r="BF204" s="235"/>
      <c r="BG204" s="234"/>
      <c r="BH204" s="233">
        <f t="shared" si="228"/>
        <v>0</v>
      </c>
      <c r="BI204" s="238">
        <f>Автовик_разбивка[[#This Row],[Цена, 
юань, без НДС 1]]*BH204</f>
        <v>0</v>
      </c>
      <c r="BJ204" s="234">
        <f t="shared" si="229"/>
        <v>0</v>
      </c>
      <c r="BK204" s="253">
        <f>Автовик_разбивка[[#This Row],[Цена, 
юань, без НДС 1]]*BJ204</f>
        <v>0</v>
      </c>
      <c r="BL204" s="235">
        <f t="shared" si="230"/>
        <v>0</v>
      </c>
      <c r="BM204" s="254">
        <f>Автовик_разбивка[[#This Row],[Цена, 
юань, без НДС 1]]*BL204</f>
        <v>0</v>
      </c>
      <c r="BN204" s="233"/>
      <c r="BO204" s="241"/>
      <c r="BP204" s="234"/>
      <c r="BQ204" s="235"/>
      <c r="BR204" s="234"/>
      <c r="BS204" s="233"/>
      <c r="BT204" s="241"/>
      <c r="BU204" s="234"/>
      <c r="BV204" s="235"/>
      <c r="BW204" s="234"/>
      <c r="BX204" s="233"/>
      <c r="BY204" s="241"/>
      <c r="BZ204" s="234"/>
      <c r="CA204" s="235"/>
      <c r="CB204" s="234"/>
      <c r="CC204" s="233"/>
      <c r="CD204" s="241"/>
      <c r="CE204" s="234"/>
      <c r="CF204" s="235"/>
      <c r="CG204" s="234"/>
      <c r="CH204" s="233"/>
      <c r="CI204" s="241"/>
      <c r="CJ204" s="234"/>
      <c r="CK204" s="235"/>
      <c r="CL204" s="234"/>
      <c r="CM204" s="233"/>
      <c r="CN204" s="241"/>
      <c r="CO204" s="234"/>
      <c r="CP204" s="235"/>
      <c r="CQ204" s="234"/>
      <c r="CR204" s="233"/>
      <c r="CS204" s="241"/>
      <c r="CT204" s="234"/>
      <c r="CU204" s="235"/>
      <c r="CV204" s="234"/>
      <c r="CW204" s="233"/>
      <c r="CX204" s="241"/>
      <c r="CY204" s="234"/>
      <c r="CZ204" s="235"/>
      <c r="DA204" s="234"/>
      <c r="DB204" s="233"/>
      <c r="DC204" s="241"/>
      <c r="DD204" s="234"/>
      <c r="DE204" s="235"/>
      <c r="DF204" s="234"/>
      <c r="DG204" s="233"/>
      <c r="DH204" s="241"/>
      <c r="DI204" s="234"/>
      <c r="DJ204" s="235"/>
      <c r="DK204" s="234"/>
      <c r="DL204" s="233"/>
      <c r="DM204" s="241"/>
      <c r="DN204" s="234"/>
      <c r="DO204" s="235"/>
      <c r="DP204" s="234"/>
      <c r="DQ204" s="233"/>
      <c r="DR204" s="241"/>
      <c r="DS204" s="234"/>
      <c r="DT204" s="235"/>
      <c r="DU204" s="234"/>
      <c r="DV204" s="233">
        <f t="shared" si="231"/>
        <v>0</v>
      </c>
      <c r="DW204" s="238">
        <f>Автовик_разбивка[[#This Row],[Цена, 
юань, без НДС 1]]*DV204</f>
        <v>0</v>
      </c>
      <c r="DX204" s="242">
        <f t="shared" si="232"/>
        <v>0</v>
      </c>
      <c r="DY204" s="242">
        <f>Автовик_разбивка[[#This Row],[Цена, 
юань, без НДС 1]]*DX204</f>
        <v>0</v>
      </c>
      <c r="DZ204" s="234">
        <f t="shared" si="233"/>
        <v>0</v>
      </c>
      <c r="EA204" s="253">
        <f>Автовик_разбивка[[#This Row],[Цена, 
юань, без НДС 1]]*DZ204</f>
        <v>0</v>
      </c>
      <c r="EB204" s="235">
        <f t="shared" si="234"/>
        <v>0</v>
      </c>
      <c r="EC204" s="254">
        <f>Автовик_разбивка[[#This Row],[Цена, 
юань, без НДС 1]]*EB204</f>
        <v>0</v>
      </c>
    </row>
    <row r="205" spans="1:133">
      <c r="A205" s="262">
        <v>333</v>
      </c>
      <c r="B205" s="264" t="s">
        <v>331</v>
      </c>
      <c r="C205" s="173"/>
      <c r="D205" s="173"/>
      <c r="E205" s="174"/>
      <c r="F205" s="174"/>
      <c r="G205" s="174"/>
      <c r="H205" s="175"/>
      <c r="I205" s="176"/>
      <c r="J205" s="227"/>
      <c r="K205" s="223"/>
      <c r="L205" s="178"/>
      <c r="M205" s="130"/>
      <c r="N205" s="179"/>
      <c r="O205" s="130"/>
      <c r="P205" s="178"/>
      <c r="Q205" s="130"/>
      <c r="R205" s="179"/>
      <c r="S205" s="130"/>
      <c r="T205" s="178"/>
      <c r="U205" s="130"/>
      <c r="V205" s="179"/>
      <c r="W205" s="130"/>
      <c r="X205" s="178"/>
      <c r="Y205" s="130"/>
      <c r="Z205" s="179"/>
      <c r="AA205" s="130"/>
      <c r="AB205" s="178"/>
      <c r="AC205" s="130"/>
      <c r="AD205" s="179"/>
      <c r="AE205" s="130"/>
      <c r="AF205" s="178"/>
      <c r="AG205" s="130"/>
      <c r="AH205" s="179"/>
      <c r="AI205" s="130"/>
      <c r="AJ205" s="178"/>
      <c r="AK205" s="130"/>
      <c r="AL205" s="179"/>
      <c r="AM205" s="130"/>
      <c r="AN205" s="178"/>
      <c r="AO205" s="130"/>
      <c r="AP205" s="179"/>
      <c r="AQ205" s="130"/>
      <c r="AR205" s="178"/>
      <c r="AS205" s="130"/>
      <c r="AT205" s="179"/>
      <c r="AU205" s="130"/>
      <c r="AV205" s="178"/>
      <c r="AW205" s="130"/>
      <c r="AX205" s="179"/>
      <c r="AY205" s="130"/>
      <c r="AZ205" s="178"/>
      <c r="BA205" s="130"/>
      <c r="BB205" s="179"/>
      <c r="BC205" s="130"/>
      <c r="BD205" s="178"/>
      <c r="BE205" s="130"/>
      <c r="BF205" s="109"/>
      <c r="BG205" s="130"/>
      <c r="BH205" s="180">
        <f t="shared" si="228"/>
        <v>0</v>
      </c>
      <c r="BI205" s="181">
        <f>Автовик_разбивка[[#This Row],[Цена, 
юань, без НДС 1]]*BH205</f>
        <v>0</v>
      </c>
      <c r="BJ205" s="130">
        <f t="shared" si="229"/>
        <v>0</v>
      </c>
      <c r="BK205" s="187">
        <f>Автовик_разбивка[[#This Row],[Цена, 
юань, без НДС 1]]*BJ205</f>
        <v>0</v>
      </c>
      <c r="BL205" s="109">
        <f t="shared" si="230"/>
        <v>0</v>
      </c>
      <c r="BM205" s="224">
        <f>Автовик_разбивка[[#This Row],[Цена, 
юань, без НДС 1]]*BL205</f>
        <v>0</v>
      </c>
      <c r="BN205" s="178"/>
      <c r="BO205" s="184"/>
      <c r="BP205" s="130"/>
      <c r="BQ205" s="179"/>
      <c r="BR205" s="130"/>
      <c r="BS205" s="178"/>
      <c r="BT205" s="184"/>
      <c r="BU205" s="130"/>
      <c r="BV205" s="179"/>
      <c r="BW205" s="130"/>
      <c r="BX205" s="178"/>
      <c r="BY205" s="184"/>
      <c r="BZ205" s="130"/>
      <c r="CA205" s="179"/>
      <c r="CB205" s="130"/>
      <c r="CC205" s="178"/>
      <c r="CD205" s="184"/>
      <c r="CE205" s="130"/>
      <c r="CF205" s="179"/>
      <c r="CG205" s="130"/>
      <c r="CH205" s="178"/>
      <c r="CI205" s="184"/>
      <c r="CJ205" s="130"/>
      <c r="CK205" s="179"/>
      <c r="CL205" s="130"/>
      <c r="CM205" s="178"/>
      <c r="CN205" s="184"/>
      <c r="CO205" s="130"/>
      <c r="CP205" s="179"/>
      <c r="CQ205" s="130"/>
      <c r="CR205" s="178"/>
      <c r="CS205" s="184"/>
      <c r="CT205" s="130"/>
      <c r="CU205" s="179"/>
      <c r="CV205" s="130"/>
      <c r="CW205" s="178"/>
      <c r="CX205" s="184"/>
      <c r="CY205" s="130"/>
      <c r="CZ205" s="179"/>
      <c r="DA205" s="130"/>
      <c r="DB205" s="178"/>
      <c r="DC205" s="184"/>
      <c r="DD205" s="130"/>
      <c r="DE205" s="179"/>
      <c r="DF205" s="130"/>
      <c r="DG205" s="178"/>
      <c r="DH205" s="184"/>
      <c r="DI205" s="130"/>
      <c r="DJ205" s="179"/>
      <c r="DK205" s="130"/>
      <c r="DL205" s="178"/>
      <c r="DM205" s="184"/>
      <c r="DN205" s="130"/>
      <c r="DO205" s="179"/>
      <c r="DP205" s="130"/>
      <c r="DQ205" s="178"/>
      <c r="DR205" s="184"/>
      <c r="DS205" s="130"/>
      <c r="DT205" s="109"/>
      <c r="DU205" s="130"/>
      <c r="DV205" s="180">
        <f t="shared" si="231"/>
        <v>0</v>
      </c>
      <c r="DW205" s="181">
        <f>Автовик_разбивка[[#This Row],[Цена, 
юань, без НДС 1]]*DV205</f>
        <v>0</v>
      </c>
      <c r="DX205" s="186">
        <f t="shared" si="232"/>
        <v>0</v>
      </c>
      <c r="DY205" s="186">
        <f>Автовик_разбивка[[#This Row],[Цена, 
юань, без НДС 1]]*DX205</f>
        <v>0</v>
      </c>
      <c r="DZ205" s="130">
        <f t="shared" si="233"/>
        <v>0</v>
      </c>
      <c r="EA205" s="187">
        <f>Автовик_разбивка[[#This Row],[Цена, 
юань, без НДС 1]]*DZ205</f>
        <v>0</v>
      </c>
      <c r="EB205" s="109">
        <f t="shared" si="234"/>
        <v>0</v>
      </c>
      <c r="EC205" s="224">
        <f>Автовик_разбивка[[#This Row],[Цена, 
юань, без НДС 1]]*EB205</f>
        <v>0</v>
      </c>
    </row>
    <row r="206" spans="1:133">
      <c r="A206" s="262">
        <v>333</v>
      </c>
      <c r="B206" s="261" t="s">
        <v>331</v>
      </c>
      <c r="C206" s="244"/>
      <c r="D206" s="244"/>
      <c r="E206" s="245"/>
      <c r="F206" s="245"/>
      <c r="G206" s="245"/>
      <c r="H206" s="246"/>
      <c r="I206" s="247"/>
      <c r="J206" s="248"/>
      <c r="K206" s="248"/>
      <c r="L206" s="249"/>
      <c r="M206" s="249"/>
      <c r="N206" s="249"/>
      <c r="O206" s="249"/>
      <c r="P206" s="249"/>
      <c r="Q206" s="249"/>
      <c r="R206" s="249"/>
      <c r="S206" s="249"/>
      <c r="T206" s="249"/>
      <c r="U206" s="249"/>
      <c r="V206" s="249"/>
      <c r="W206" s="249"/>
      <c r="X206" s="249"/>
      <c r="Y206" s="249"/>
      <c r="Z206" s="249"/>
      <c r="AA206" s="249"/>
      <c r="AB206" s="249"/>
      <c r="AC206" s="249"/>
      <c r="AD206" s="249"/>
      <c r="AE206" s="249"/>
      <c r="AF206" s="249"/>
      <c r="AG206" s="249"/>
      <c r="AH206" s="249"/>
      <c r="AI206" s="249"/>
      <c r="AJ206" s="249"/>
      <c r="AK206" s="249"/>
      <c r="AL206" s="249"/>
      <c r="AM206" s="249"/>
      <c r="AN206" s="249"/>
      <c r="AO206" s="249"/>
      <c r="AP206" s="249"/>
      <c r="AQ206" s="249"/>
      <c r="AR206" s="249"/>
      <c r="AS206" s="249"/>
      <c r="AT206" s="249"/>
      <c r="AU206" s="249"/>
      <c r="AV206" s="249"/>
      <c r="AW206" s="249"/>
      <c r="AX206" s="250"/>
      <c r="AY206" s="249"/>
      <c r="AZ206" s="250"/>
      <c r="BA206" s="250"/>
      <c r="BB206" s="250"/>
      <c r="BC206" s="249"/>
      <c r="BD206" s="250"/>
      <c r="BE206" s="250"/>
      <c r="BF206" s="250"/>
      <c r="BG206" s="249"/>
      <c r="BH206" s="250">
        <f t="shared" si="228"/>
        <v>0</v>
      </c>
      <c r="BI206" s="251">
        <f>Автовик_разбивка[[#This Row],[Цена, 
юань, без НДС 1]]*BH206</f>
        <v>0</v>
      </c>
      <c r="BJ206" s="250">
        <f t="shared" si="229"/>
        <v>0</v>
      </c>
      <c r="BK206" s="251">
        <f>Автовик_разбивка[[#This Row],[Цена, 
юань, без НДС 1]]*BJ206</f>
        <v>0</v>
      </c>
      <c r="BL206" s="250">
        <f t="shared" si="230"/>
        <v>0</v>
      </c>
      <c r="BM206" s="251">
        <f>Автовик_разбивка[[#This Row],[Цена, 
юань, без НДС 1]]*BL206</f>
        <v>0</v>
      </c>
      <c r="BN206" s="249"/>
      <c r="BO206" s="249"/>
      <c r="BP206" s="249"/>
      <c r="BQ206" s="249"/>
      <c r="BR206" s="249"/>
      <c r="BS206" s="249"/>
      <c r="BT206" s="249"/>
      <c r="BU206" s="249"/>
      <c r="BV206" s="249"/>
      <c r="BW206" s="249"/>
      <c r="BX206" s="249"/>
      <c r="BY206" s="249"/>
      <c r="BZ206" s="249"/>
      <c r="CA206" s="249"/>
      <c r="CB206" s="249"/>
      <c r="CC206" s="249"/>
      <c r="CD206" s="249"/>
      <c r="CE206" s="249"/>
      <c r="CF206" s="249"/>
      <c r="CG206" s="249"/>
      <c r="CH206" s="249"/>
      <c r="CI206" s="249"/>
      <c r="CJ206" s="249"/>
      <c r="CK206" s="249"/>
      <c r="CL206" s="249"/>
      <c r="CM206" s="249"/>
      <c r="CN206" s="249"/>
      <c r="CO206" s="249"/>
      <c r="CP206" s="249"/>
      <c r="CQ206" s="249"/>
      <c r="CR206" s="249"/>
      <c r="CS206" s="249"/>
      <c r="CT206" s="249"/>
      <c r="CU206" s="249"/>
      <c r="CV206" s="249"/>
      <c r="CW206" s="249"/>
      <c r="CX206" s="249"/>
      <c r="CY206" s="249"/>
      <c r="CZ206" s="249"/>
      <c r="DA206" s="249"/>
      <c r="DB206" s="249"/>
      <c r="DC206" s="249"/>
      <c r="DD206" s="249"/>
      <c r="DE206" s="249"/>
      <c r="DF206" s="249"/>
      <c r="DG206" s="249"/>
      <c r="DH206" s="249"/>
      <c r="DI206" s="249"/>
      <c r="DJ206" s="250"/>
      <c r="DK206" s="249"/>
      <c r="DL206" s="250"/>
      <c r="DM206" s="250"/>
      <c r="DN206" s="250"/>
      <c r="DO206" s="250"/>
      <c r="DP206" s="249"/>
      <c r="DQ206" s="250"/>
      <c r="DR206" s="250"/>
      <c r="DS206" s="250"/>
      <c r="DT206" s="250"/>
      <c r="DU206" s="249"/>
      <c r="DV206" s="250">
        <f t="shared" si="231"/>
        <v>0</v>
      </c>
      <c r="DW206" s="251">
        <f>Автовик_разбивка[[#This Row],[Цена, 
юань, без НДС 1]]*DV206</f>
        <v>0</v>
      </c>
      <c r="DX206" s="251">
        <f t="shared" si="232"/>
        <v>0</v>
      </c>
      <c r="DY206" s="251">
        <f>Автовик_разбивка[[#This Row],[Цена, 
юань, без НДС 1]]*DX206</f>
        <v>0</v>
      </c>
      <c r="DZ206" s="250">
        <f t="shared" si="233"/>
        <v>0</v>
      </c>
      <c r="EA206" s="251">
        <f>Автовик_разбивка[[#This Row],[Цена, 
юань, без НДС 1]]*DZ206</f>
        <v>0</v>
      </c>
      <c r="EB206" s="250">
        <f t="shared" si="234"/>
        <v>0</v>
      </c>
      <c r="EC206" s="251">
        <f>Автовик_разбивка[[#This Row],[Цена, 
юань, без НДС 1]]*EB206</f>
        <v>0</v>
      </c>
    </row>
    <row r="207" spans="1:133">
      <c r="A207" s="262">
        <v>333</v>
      </c>
      <c r="B207" s="263" t="s">
        <v>332</v>
      </c>
      <c r="C207" s="132"/>
      <c r="D207" s="132"/>
      <c r="E207" s="229"/>
      <c r="F207" s="229"/>
      <c r="G207" s="229"/>
      <c r="H207" s="230"/>
      <c r="I207" s="231" t="s">
        <v>43</v>
      </c>
      <c r="J207" s="232"/>
      <c r="K207" s="232"/>
      <c r="L207" s="233"/>
      <c r="M207" s="234"/>
      <c r="N207" s="235"/>
      <c r="O207" s="234"/>
      <c r="P207" s="233"/>
      <c r="Q207" s="234"/>
      <c r="R207" s="235"/>
      <c r="S207" s="234"/>
      <c r="T207" s="233"/>
      <c r="U207" s="234"/>
      <c r="V207" s="235"/>
      <c r="W207" s="234"/>
      <c r="X207" s="233"/>
      <c r="Y207" s="234"/>
      <c r="Z207" s="235"/>
      <c r="AA207" s="234"/>
      <c r="AB207" s="233"/>
      <c r="AC207" s="234"/>
      <c r="AD207" s="235"/>
      <c r="AE207" s="234"/>
      <c r="AF207" s="233"/>
      <c r="AG207" s="234"/>
      <c r="AH207" s="235"/>
      <c r="AI207" s="234"/>
      <c r="AJ207" s="233"/>
      <c r="AK207" s="234"/>
      <c r="AL207" s="235"/>
      <c r="AM207" s="234"/>
      <c r="AN207" s="233"/>
      <c r="AO207" s="234"/>
      <c r="AP207" s="235"/>
      <c r="AQ207" s="234"/>
      <c r="AR207" s="233"/>
      <c r="AS207" s="234"/>
      <c r="AT207" s="235"/>
      <c r="AU207" s="234"/>
      <c r="AV207" s="233"/>
      <c r="AW207" s="234"/>
      <c r="AX207" s="235"/>
      <c r="AY207" s="234"/>
      <c r="AZ207" s="233"/>
      <c r="BA207" s="234"/>
      <c r="BB207" s="235"/>
      <c r="BC207" s="234"/>
      <c r="BD207" s="233"/>
      <c r="BE207" s="234"/>
      <c r="BF207" s="235"/>
      <c r="BG207" s="234"/>
      <c r="BH207" s="233">
        <f t="shared" si="228"/>
        <v>0</v>
      </c>
      <c r="BI207" s="238">
        <f>Автовик_разбивка[[#This Row],[Цена, 
юань, без НДС 1]]*BH207</f>
        <v>0</v>
      </c>
      <c r="BJ207" s="234">
        <f t="shared" si="229"/>
        <v>0</v>
      </c>
      <c r="BK207" s="253">
        <f>Автовик_разбивка[[#This Row],[Цена, 
юань, без НДС 1]]*BJ207</f>
        <v>0</v>
      </c>
      <c r="BL207" s="235">
        <f t="shared" si="230"/>
        <v>0</v>
      </c>
      <c r="BM207" s="254">
        <f>Автовик_разбивка[[#This Row],[Цена, 
юань, без НДС 1]]*BL207</f>
        <v>0</v>
      </c>
      <c r="BN207" s="233"/>
      <c r="BO207" s="241"/>
      <c r="BP207" s="234"/>
      <c r="BQ207" s="235"/>
      <c r="BR207" s="234"/>
      <c r="BS207" s="233"/>
      <c r="BT207" s="241"/>
      <c r="BU207" s="234"/>
      <c r="BV207" s="235"/>
      <c r="BW207" s="234"/>
      <c r="BX207" s="233"/>
      <c r="BY207" s="241"/>
      <c r="BZ207" s="234"/>
      <c r="CA207" s="235"/>
      <c r="CB207" s="234"/>
      <c r="CC207" s="233"/>
      <c r="CD207" s="241"/>
      <c r="CE207" s="234"/>
      <c r="CF207" s="235"/>
      <c r="CG207" s="234"/>
      <c r="CH207" s="233"/>
      <c r="CI207" s="241"/>
      <c r="CJ207" s="234"/>
      <c r="CK207" s="235"/>
      <c r="CL207" s="234"/>
      <c r="CM207" s="233"/>
      <c r="CN207" s="241"/>
      <c r="CO207" s="234"/>
      <c r="CP207" s="235"/>
      <c r="CQ207" s="234"/>
      <c r="CR207" s="233"/>
      <c r="CS207" s="241"/>
      <c r="CT207" s="234"/>
      <c r="CU207" s="235"/>
      <c r="CV207" s="234"/>
      <c r="CW207" s="233"/>
      <c r="CX207" s="241"/>
      <c r="CY207" s="234"/>
      <c r="CZ207" s="235"/>
      <c r="DA207" s="234"/>
      <c r="DB207" s="233"/>
      <c r="DC207" s="241"/>
      <c r="DD207" s="234"/>
      <c r="DE207" s="235"/>
      <c r="DF207" s="234"/>
      <c r="DG207" s="233"/>
      <c r="DH207" s="241"/>
      <c r="DI207" s="234"/>
      <c r="DJ207" s="235"/>
      <c r="DK207" s="234"/>
      <c r="DL207" s="233"/>
      <c r="DM207" s="241"/>
      <c r="DN207" s="234"/>
      <c r="DO207" s="235"/>
      <c r="DP207" s="234"/>
      <c r="DQ207" s="233"/>
      <c r="DR207" s="241"/>
      <c r="DS207" s="234"/>
      <c r="DT207" s="235"/>
      <c r="DU207" s="234"/>
      <c r="DV207" s="233">
        <f t="shared" si="231"/>
        <v>0</v>
      </c>
      <c r="DW207" s="238">
        <f>Автовик_разбивка[[#This Row],[Цена, 
юань, без НДС 1]]*DV207</f>
        <v>0</v>
      </c>
      <c r="DX207" s="242">
        <f t="shared" si="232"/>
        <v>0</v>
      </c>
      <c r="DY207" s="242">
        <f>Автовик_разбивка[[#This Row],[Цена, 
юань, без НДС 1]]*DX207</f>
        <v>0</v>
      </c>
      <c r="DZ207" s="234">
        <f t="shared" si="233"/>
        <v>0</v>
      </c>
      <c r="EA207" s="253">
        <f>Автовик_разбивка[[#This Row],[Цена, 
юань, без НДС 1]]*DZ207</f>
        <v>0</v>
      </c>
      <c r="EB207" s="235">
        <f t="shared" si="234"/>
        <v>0</v>
      </c>
      <c r="EC207" s="254">
        <f>Автовик_разбивка[[#This Row],[Цена, 
юань, без НДС 1]]*EB207</f>
        <v>0</v>
      </c>
    </row>
    <row r="208" spans="1:133">
      <c r="A208" s="262">
        <v>333</v>
      </c>
      <c r="B208" s="263" t="s">
        <v>332</v>
      </c>
      <c r="C208" s="173"/>
      <c r="D208" s="173"/>
      <c r="E208" s="174"/>
      <c r="F208" s="174"/>
      <c r="G208" s="174"/>
      <c r="H208" s="175"/>
      <c r="I208" s="176"/>
      <c r="J208" s="227"/>
      <c r="K208" s="223"/>
      <c r="L208" s="178"/>
      <c r="M208" s="130"/>
      <c r="N208" s="179"/>
      <c r="O208" s="130"/>
      <c r="P208" s="178"/>
      <c r="Q208" s="130"/>
      <c r="R208" s="179"/>
      <c r="S208" s="130"/>
      <c r="T208" s="178"/>
      <c r="U208" s="130"/>
      <c r="V208" s="179"/>
      <c r="W208" s="130"/>
      <c r="X208" s="178"/>
      <c r="Y208" s="130"/>
      <c r="Z208" s="179"/>
      <c r="AA208" s="130"/>
      <c r="AB208" s="178"/>
      <c r="AC208" s="130"/>
      <c r="AD208" s="179"/>
      <c r="AE208" s="130"/>
      <c r="AF208" s="178"/>
      <c r="AG208" s="130"/>
      <c r="AH208" s="179"/>
      <c r="AI208" s="130"/>
      <c r="AJ208" s="178"/>
      <c r="AK208" s="130"/>
      <c r="AL208" s="179"/>
      <c r="AM208" s="130"/>
      <c r="AN208" s="178"/>
      <c r="AO208" s="130"/>
      <c r="AP208" s="179"/>
      <c r="AQ208" s="130"/>
      <c r="AR208" s="178"/>
      <c r="AS208" s="130"/>
      <c r="AT208" s="179"/>
      <c r="AU208" s="130"/>
      <c r="AV208" s="178"/>
      <c r="AW208" s="130"/>
      <c r="AX208" s="179"/>
      <c r="AY208" s="130"/>
      <c r="AZ208" s="178"/>
      <c r="BA208" s="130"/>
      <c r="BB208" s="179"/>
      <c r="BC208" s="130"/>
      <c r="BD208" s="178"/>
      <c r="BE208" s="130"/>
      <c r="BF208" s="109"/>
      <c r="BG208" s="130"/>
      <c r="BH208" s="180">
        <f t="shared" si="228"/>
        <v>0</v>
      </c>
      <c r="BI208" s="181">
        <f>Автовик_разбивка[[#This Row],[Цена, 
юань, без НДС 1]]*BH208</f>
        <v>0</v>
      </c>
      <c r="BJ208" s="130">
        <f t="shared" si="229"/>
        <v>0</v>
      </c>
      <c r="BK208" s="187">
        <f>Автовик_разбивка[[#This Row],[Цена, 
юань, без НДС 1]]*BJ208</f>
        <v>0</v>
      </c>
      <c r="BL208" s="109">
        <f t="shared" si="230"/>
        <v>0</v>
      </c>
      <c r="BM208" s="224">
        <f>Автовик_разбивка[[#This Row],[Цена, 
юань, без НДС 1]]*BL208</f>
        <v>0</v>
      </c>
      <c r="BN208" s="178"/>
      <c r="BO208" s="184"/>
      <c r="BP208" s="130"/>
      <c r="BQ208" s="179"/>
      <c r="BR208" s="130"/>
      <c r="BS208" s="178"/>
      <c r="BT208" s="184"/>
      <c r="BU208" s="130"/>
      <c r="BV208" s="179"/>
      <c r="BW208" s="130"/>
      <c r="BX208" s="178"/>
      <c r="BY208" s="184"/>
      <c r="BZ208" s="130"/>
      <c r="CA208" s="179"/>
      <c r="CB208" s="130"/>
      <c r="CC208" s="178"/>
      <c r="CD208" s="184"/>
      <c r="CE208" s="130"/>
      <c r="CF208" s="179"/>
      <c r="CG208" s="130"/>
      <c r="CH208" s="178"/>
      <c r="CI208" s="184"/>
      <c r="CJ208" s="130"/>
      <c r="CK208" s="179"/>
      <c r="CL208" s="130"/>
      <c r="CM208" s="178"/>
      <c r="CN208" s="184"/>
      <c r="CO208" s="130"/>
      <c r="CP208" s="179"/>
      <c r="CQ208" s="130"/>
      <c r="CR208" s="178"/>
      <c r="CS208" s="184"/>
      <c r="CT208" s="130"/>
      <c r="CU208" s="179"/>
      <c r="CV208" s="130"/>
      <c r="CW208" s="178"/>
      <c r="CX208" s="184"/>
      <c r="CY208" s="130"/>
      <c r="CZ208" s="179"/>
      <c r="DA208" s="130"/>
      <c r="DB208" s="178"/>
      <c r="DC208" s="184"/>
      <c r="DD208" s="130"/>
      <c r="DE208" s="179"/>
      <c r="DF208" s="130"/>
      <c r="DG208" s="178"/>
      <c r="DH208" s="184"/>
      <c r="DI208" s="130"/>
      <c r="DJ208" s="179"/>
      <c r="DK208" s="130"/>
      <c r="DL208" s="178"/>
      <c r="DM208" s="184"/>
      <c r="DN208" s="130"/>
      <c r="DO208" s="179"/>
      <c r="DP208" s="130"/>
      <c r="DQ208" s="178"/>
      <c r="DR208" s="184"/>
      <c r="DS208" s="130"/>
      <c r="DT208" s="109"/>
      <c r="DU208" s="130"/>
      <c r="DV208" s="180">
        <f t="shared" si="231"/>
        <v>0</v>
      </c>
      <c r="DW208" s="181">
        <f>Автовик_разбивка[[#This Row],[Цена, 
юань, без НДС 1]]*DV208</f>
        <v>0</v>
      </c>
      <c r="DX208" s="186">
        <f t="shared" si="232"/>
        <v>0</v>
      </c>
      <c r="DY208" s="186">
        <f>Автовик_разбивка[[#This Row],[Цена, 
юань, без НДС 1]]*DX208</f>
        <v>0</v>
      </c>
      <c r="DZ208" s="130">
        <f t="shared" si="233"/>
        <v>0</v>
      </c>
      <c r="EA208" s="187">
        <f>Автовик_разбивка[[#This Row],[Цена, 
юань, без НДС 1]]*DZ208</f>
        <v>0</v>
      </c>
      <c r="EB208" s="109">
        <f t="shared" si="234"/>
        <v>0</v>
      </c>
      <c r="EC208" s="224">
        <f>Автовик_разбивка[[#This Row],[Цена, 
юань, без НДС 1]]*EB208</f>
        <v>0</v>
      </c>
    </row>
    <row r="209" spans="1:133">
      <c r="A209" s="262">
        <v>333</v>
      </c>
      <c r="B209" s="261" t="s">
        <v>332</v>
      </c>
      <c r="C209" s="244"/>
      <c r="D209" s="244"/>
      <c r="E209" s="245"/>
      <c r="F209" s="245"/>
      <c r="G209" s="245"/>
      <c r="H209" s="246"/>
      <c r="I209" s="247"/>
      <c r="J209" s="248"/>
      <c r="K209" s="248"/>
      <c r="L209" s="249"/>
      <c r="M209" s="249"/>
      <c r="N209" s="249"/>
      <c r="O209" s="249"/>
      <c r="P209" s="249"/>
      <c r="Q209" s="249"/>
      <c r="R209" s="249"/>
      <c r="S209" s="249"/>
      <c r="T209" s="249"/>
      <c r="U209" s="249"/>
      <c r="V209" s="249"/>
      <c r="W209" s="249"/>
      <c r="X209" s="249"/>
      <c r="Y209" s="249"/>
      <c r="Z209" s="249"/>
      <c r="AA209" s="249"/>
      <c r="AB209" s="249"/>
      <c r="AC209" s="249"/>
      <c r="AD209" s="249"/>
      <c r="AE209" s="249"/>
      <c r="AF209" s="249"/>
      <c r="AG209" s="249"/>
      <c r="AH209" s="249"/>
      <c r="AI209" s="249"/>
      <c r="AJ209" s="249"/>
      <c r="AK209" s="249"/>
      <c r="AL209" s="249"/>
      <c r="AM209" s="249"/>
      <c r="AN209" s="249"/>
      <c r="AO209" s="249"/>
      <c r="AP209" s="249"/>
      <c r="AQ209" s="249"/>
      <c r="AR209" s="249"/>
      <c r="AS209" s="249"/>
      <c r="AT209" s="249"/>
      <c r="AU209" s="249"/>
      <c r="AV209" s="249"/>
      <c r="AW209" s="249"/>
      <c r="AX209" s="250"/>
      <c r="AY209" s="249"/>
      <c r="AZ209" s="250"/>
      <c r="BA209" s="250"/>
      <c r="BB209" s="250"/>
      <c r="BC209" s="249"/>
      <c r="BD209" s="250"/>
      <c r="BE209" s="250"/>
      <c r="BF209" s="250"/>
      <c r="BG209" s="249"/>
      <c r="BH209" s="250">
        <f t="shared" si="228"/>
        <v>0</v>
      </c>
      <c r="BI209" s="251">
        <f>Автовик_разбивка[[#This Row],[Цена, 
юань, без НДС 1]]*BH209</f>
        <v>0</v>
      </c>
      <c r="BJ209" s="250">
        <f t="shared" si="229"/>
        <v>0</v>
      </c>
      <c r="BK209" s="251">
        <f>Автовик_разбивка[[#This Row],[Цена, 
юань, без НДС 1]]*BJ209</f>
        <v>0</v>
      </c>
      <c r="BL209" s="250">
        <f t="shared" si="230"/>
        <v>0</v>
      </c>
      <c r="BM209" s="251">
        <f>Автовик_разбивка[[#This Row],[Цена, 
юань, без НДС 1]]*BL209</f>
        <v>0</v>
      </c>
      <c r="BN209" s="249"/>
      <c r="BO209" s="249"/>
      <c r="BP209" s="249"/>
      <c r="BQ209" s="249"/>
      <c r="BR209" s="249"/>
      <c r="BS209" s="249"/>
      <c r="BT209" s="249"/>
      <c r="BU209" s="249"/>
      <c r="BV209" s="249"/>
      <c r="BW209" s="249"/>
      <c r="BX209" s="249"/>
      <c r="BY209" s="249"/>
      <c r="BZ209" s="249"/>
      <c r="CA209" s="249"/>
      <c r="CB209" s="249"/>
      <c r="CC209" s="249"/>
      <c r="CD209" s="249"/>
      <c r="CE209" s="249"/>
      <c r="CF209" s="249"/>
      <c r="CG209" s="249"/>
      <c r="CH209" s="249"/>
      <c r="CI209" s="249"/>
      <c r="CJ209" s="249"/>
      <c r="CK209" s="249"/>
      <c r="CL209" s="249"/>
      <c r="CM209" s="249"/>
      <c r="CN209" s="249"/>
      <c r="CO209" s="249"/>
      <c r="CP209" s="249"/>
      <c r="CQ209" s="249"/>
      <c r="CR209" s="249"/>
      <c r="CS209" s="249"/>
      <c r="CT209" s="249"/>
      <c r="CU209" s="249"/>
      <c r="CV209" s="249"/>
      <c r="CW209" s="249"/>
      <c r="CX209" s="249"/>
      <c r="CY209" s="249"/>
      <c r="CZ209" s="249"/>
      <c r="DA209" s="249"/>
      <c r="DB209" s="249"/>
      <c r="DC209" s="249"/>
      <c r="DD209" s="249"/>
      <c r="DE209" s="249"/>
      <c r="DF209" s="249"/>
      <c r="DG209" s="249"/>
      <c r="DH209" s="249"/>
      <c r="DI209" s="249"/>
      <c r="DJ209" s="250"/>
      <c r="DK209" s="249"/>
      <c r="DL209" s="250"/>
      <c r="DM209" s="250"/>
      <c r="DN209" s="250"/>
      <c r="DO209" s="250"/>
      <c r="DP209" s="249"/>
      <c r="DQ209" s="250"/>
      <c r="DR209" s="250"/>
      <c r="DS209" s="250"/>
      <c r="DT209" s="250"/>
      <c r="DU209" s="249"/>
      <c r="DV209" s="250">
        <f t="shared" si="231"/>
        <v>0</v>
      </c>
      <c r="DW209" s="251">
        <f>Автовик_разбивка[[#This Row],[Цена, 
юань, без НДС 1]]*DV209</f>
        <v>0</v>
      </c>
      <c r="DX209" s="251">
        <f t="shared" si="232"/>
        <v>0</v>
      </c>
      <c r="DY209" s="251">
        <f>Автовик_разбивка[[#This Row],[Цена, 
юань, без НДС 1]]*DX209</f>
        <v>0</v>
      </c>
      <c r="DZ209" s="250">
        <f t="shared" si="233"/>
        <v>0</v>
      </c>
      <c r="EA209" s="251">
        <f>Автовик_разбивка[[#This Row],[Цена, 
юань, без НДС 1]]*DZ209</f>
        <v>0</v>
      </c>
      <c r="EB209" s="250">
        <f t="shared" si="234"/>
        <v>0</v>
      </c>
      <c r="EC209" s="251">
        <f>Автовик_разбивка[[#This Row],[Цена, 
юань, без НДС 1]]*EB209</f>
        <v>0</v>
      </c>
    </row>
    <row r="210" spans="1:133">
      <c r="A210" s="262">
        <v>333</v>
      </c>
      <c r="B210" s="263" t="s">
        <v>146</v>
      </c>
      <c r="C210" s="132"/>
      <c r="D210" s="132"/>
      <c r="E210" s="229"/>
      <c r="F210" s="229"/>
      <c r="G210" s="229"/>
      <c r="H210" s="230"/>
      <c r="I210" s="231" t="s">
        <v>43</v>
      </c>
      <c r="J210" s="232"/>
      <c r="K210" s="232"/>
      <c r="L210" s="233"/>
      <c r="M210" s="234"/>
      <c r="N210" s="235"/>
      <c r="O210" s="234"/>
      <c r="P210" s="233"/>
      <c r="Q210" s="234"/>
      <c r="R210" s="235"/>
      <c r="S210" s="234"/>
      <c r="T210" s="233"/>
      <c r="U210" s="234"/>
      <c r="V210" s="235"/>
      <c r="W210" s="234"/>
      <c r="X210" s="233"/>
      <c r="Y210" s="234"/>
      <c r="Z210" s="235"/>
      <c r="AA210" s="234"/>
      <c r="AB210" s="233"/>
      <c r="AC210" s="234"/>
      <c r="AD210" s="235"/>
      <c r="AE210" s="234"/>
      <c r="AF210" s="233"/>
      <c r="AG210" s="234"/>
      <c r="AH210" s="235"/>
      <c r="AI210" s="234"/>
      <c r="AJ210" s="233"/>
      <c r="AK210" s="234"/>
      <c r="AL210" s="235"/>
      <c r="AM210" s="234"/>
      <c r="AN210" s="233"/>
      <c r="AO210" s="234"/>
      <c r="AP210" s="235"/>
      <c r="AQ210" s="234"/>
      <c r="AR210" s="233"/>
      <c r="AS210" s="234"/>
      <c r="AT210" s="235"/>
      <c r="AU210" s="234"/>
      <c r="AV210" s="233"/>
      <c r="AW210" s="234"/>
      <c r="AX210" s="235"/>
      <c r="AY210" s="234"/>
      <c r="AZ210" s="233"/>
      <c r="BA210" s="234"/>
      <c r="BB210" s="235"/>
      <c r="BC210" s="234"/>
      <c r="BD210" s="233"/>
      <c r="BE210" s="234"/>
      <c r="BF210" s="235"/>
      <c r="BG210" s="234"/>
      <c r="BH210" s="233">
        <f t="shared" si="228"/>
        <v>0</v>
      </c>
      <c r="BI210" s="238">
        <f>Автовик_разбивка[[#This Row],[Цена, 
юань, без НДС 1]]*BH210</f>
        <v>0</v>
      </c>
      <c r="BJ210" s="234">
        <f t="shared" si="229"/>
        <v>0</v>
      </c>
      <c r="BK210" s="253">
        <f>Автовик_разбивка[[#This Row],[Цена, 
юань, без НДС 1]]*BJ210</f>
        <v>0</v>
      </c>
      <c r="BL210" s="235">
        <f t="shared" si="230"/>
        <v>0</v>
      </c>
      <c r="BM210" s="254">
        <f>Автовик_разбивка[[#This Row],[Цена, 
юань, без НДС 1]]*BL210</f>
        <v>0</v>
      </c>
      <c r="BN210" s="233"/>
      <c r="BO210" s="241"/>
      <c r="BP210" s="234"/>
      <c r="BQ210" s="235"/>
      <c r="BR210" s="234"/>
      <c r="BS210" s="233"/>
      <c r="BT210" s="241"/>
      <c r="BU210" s="234"/>
      <c r="BV210" s="235"/>
      <c r="BW210" s="234"/>
      <c r="BX210" s="233"/>
      <c r="BY210" s="241"/>
      <c r="BZ210" s="234"/>
      <c r="CA210" s="235"/>
      <c r="CB210" s="234"/>
      <c r="CC210" s="233"/>
      <c r="CD210" s="241"/>
      <c r="CE210" s="234"/>
      <c r="CF210" s="235"/>
      <c r="CG210" s="234"/>
      <c r="CH210" s="233"/>
      <c r="CI210" s="241"/>
      <c r="CJ210" s="234"/>
      <c r="CK210" s="235"/>
      <c r="CL210" s="234"/>
      <c r="CM210" s="233"/>
      <c r="CN210" s="241"/>
      <c r="CO210" s="234"/>
      <c r="CP210" s="235"/>
      <c r="CQ210" s="234"/>
      <c r="CR210" s="233"/>
      <c r="CS210" s="241"/>
      <c r="CT210" s="234"/>
      <c r="CU210" s="235"/>
      <c r="CV210" s="234"/>
      <c r="CW210" s="233"/>
      <c r="CX210" s="241"/>
      <c r="CY210" s="234"/>
      <c r="CZ210" s="235"/>
      <c r="DA210" s="234"/>
      <c r="DB210" s="233"/>
      <c r="DC210" s="241"/>
      <c r="DD210" s="234"/>
      <c r="DE210" s="235"/>
      <c r="DF210" s="234"/>
      <c r="DG210" s="233"/>
      <c r="DH210" s="241"/>
      <c r="DI210" s="234"/>
      <c r="DJ210" s="235"/>
      <c r="DK210" s="234"/>
      <c r="DL210" s="233"/>
      <c r="DM210" s="241"/>
      <c r="DN210" s="234"/>
      <c r="DO210" s="235"/>
      <c r="DP210" s="234"/>
      <c r="DQ210" s="233"/>
      <c r="DR210" s="241"/>
      <c r="DS210" s="234"/>
      <c r="DT210" s="235"/>
      <c r="DU210" s="234"/>
      <c r="DV210" s="233">
        <f t="shared" si="231"/>
        <v>0</v>
      </c>
      <c r="DW210" s="238">
        <f>Автовик_разбивка[[#This Row],[Цена, 
юань, без НДС 1]]*DV210</f>
        <v>0</v>
      </c>
      <c r="DX210" s="242">
        <f t="shared" si="232"/>
        <v>0</v>
      </c>
      <c r="DY210" s="242">
        <f>Автовик_разбивка[[#This Row],[Цена, 
юань, без НДС 1]]*DX210</f>
        <v>0</v>
      </c>
      <c r="DZ210" s="234">
        <f t="shared" si="233"/>
        <v>0</v>
      </c>
      <c r="EA210" s="253">
        <f>Автовик_разбивка[[#This Row],[Цена, 
юань, без НДС 1]]*DZ210</f>
        <v>0</v>
      </c>
      <c r="EB210" s="235">
        <f t="shared" si="234"/>
        <v>0</v>
      </c>
      <c r="EC210" s="254">
        <f>Автовик_разбивка[[#This Row],[Цена, 
юань, без НДС 1]]*EB210</f>
        <v>0</v>
      </c>
    </row>
    <row r="211" spans="1:133">
      <c r="A211" s="262">
        <v>333</v>
      </c>
      <c r="B211" s="263" t="s">
        <v>146</v>
      </c>
      <c r="C211" s="173"/>
      <c r="D211" s="173"/>
      <c r="E211" s="174"/>
      <c r="F211" s="174"/>
      <c r="G211" s="174"/>
      <c r="H211" s="175"/>
      <c r="I211" s="176"/>
      <c r="J211" s="227"/>
      <c r="K211" s="223"/>
      <c r="L211" s="178"/>
      <c r="M211" s="130"/>
      <c r="N211" s="179"/>
      <c r="O211" s="130"/>
      <c r="P211" s="178"/>
      <c r="Q211" s="130"/>
      <c r="R211" s="179"/>
      <c r="S211" s="130"/>
      <c r="T211" s="178"/>
      <c r="U211" s="130"/>
      <c r="V211" s="179"/>
      <c r="W211" s="130"/>
      <c r="X211" s="178"/>
      <c r="Y211" s="130"/>
      <c r="Z211" s="179"/>
      <c r="AA211" s="130"/>
      <c r="AB211" s="178"/>
      <c r="AC211" s="130"/>
      <c r="AD211" s="179"/>
      <c r="AE211" s="130"/>
      <c r="AF211" s="178"/>
      <c r="AG211" s="130"/>
      <c r="AH211" s="179"/>
      <c r="AI211" s="130"/>
      <c r="AJ211" s="178"/>
      <c r="AK211" s="130"/>
      <c r="AL211" s="179"/>
      <c r="AM211" s="130"/>
      <c r="AN211" s="178"/>
      <c r="AO211" s="130"/>
      <c r="AP211" s="179"/>
      <c r="AQ211" s="130"/>
      <c r="AR211" s="178"/>
      <c r="AS211" s="130"/>
      <c r="AT211" s="179"/>
      <c r="AU211" s="130"/>
      <c r="AV211" s="178"/>
      <c r="AW211" s="130"/>
      <c r="AX211" s="179"/>
      <c r="AY211" s="130"/>
      <c r="AZ211" s="178"/>
      <c r="BA211" s="130"/>
      <c r="BB211" s="179"/>
      <c r="BC211" s="130"/>
      <c r="BD211" s="178"/>
      <c r="BE211" s="130"/>
      <c r="BF211" s="109"/>
      <c r="BG211" s="130"/>
      <c r="BH211" s="180">
        <f t="shared" si="228"/>
        <v>0</v>
      </c>
      <c r="BI211" s="181">
        <f>Автовик_разбивка[[#This Row],[Цена, 
юань, без НДС 1]]*BH211</f>
        <v>0</v>
      </c>
      <c r="BJ211" s="130">
        <f t="shared" si="229"/>
        <v>0</v>
      </c>
      <c r="BK211" s="187">
        <f>Автовик_разбивка[[#This Row],[Цена, 
юань, без НДС 1]]*BJ211</f>
        <v>0</v>
      </c>
      <c r="BL211" s="109">
        <f t="shared" si="230"/>
        <v>0</v>
      </c>
      <c r="BM211" s="224">
        <f>Автовик_разбивка[[#This Row],[Цена, 
юань, без НДС 1]]*BL211</f>
        <v>0</v>
      </c>
      <c r="BN211" s="178"/>
      <c r="BO211" s="184"/>
      <c r="BP211" s="130"/>
      <c r="BQ211" s="179"/>
      <c r="BR211" s="130"/>
      <c r="BS211" s="178"/>
      <c r="BT211" s="184"/>
      <c r="BU211" s="130"/>
      <c r="BV211" s="179"/>
      <c r="BW211" s="130"/>
      <c r="BX211" s="178"/>
      <c r="BY211" s="184"/>
      <c r="BZ211" s="130"/>
      <c r="CA211" s="179"/>
      <c r="CB211" s="130"/>
      <c r="CC211" s="178"/>
      <c r="CD211" s="184"/>
      <c r="CE211" s="130"/>
      <c r="CF211" s="179"/>
      <c r="CG211" s="130"/>
      <c r="CH211" s="178"/>
      <c r="CI211" s="184"/>
      <c r="CJ211" s="130"/>
      <c r="CK211" s="179"/>
      <c r="CL211" s="130"/>
      <c r="CM211" s="178"/>
      <c r="CN211" s="184"/>
      <c r="CO211" s="130"/>
      <c r="CP211" s="179"/>
      <c r="CQ211" s="130"/>
      <c r="CR211" s="178"/>
      <c r="CS211" s="184"/>
      <c r="CT211" s="130"/>
      <c r="CU211" s="179"/>
      <c r="CV211" s="130"/>
      <c r="CW211" s="178"/>
      <c r="CX211" s="184"/>
      <c r="CY211" s="130"/>
      <c r="CZ211" s="179"/>
      <c r="DA211" s="130"/>
      <c r="DB211" s="178"/>
      <c r="DC211" s="184"/>
      <c r="DD211" s="130"/>
      <c r="DE211" s="179"/>
      <c r="DF211" s="130"/>
      <c r="DG211" s="178"/>
      <c r="DH211" s="184"/>
      <c r="DI211" s="130"/>
      <c r="DJ211" s="179"/>
      <c r="DK211" s="130"/>
      <c r="DL211" s="178"/>
      <c r="DM211" s="184"/>
      <c r="DN211" s="130"/>
      <c r="DO211" s="179"/>
      <c r="DP211" s="130"/>
      <c r="DQ211" s="178"/>
      <c r="DR211" s="184"/>
      <c r="DS211" s="130"/>
      <c r="DT211" s="109"/>
      <c r="DU211" s="130"/>
      <c r="DV211" s="180">
        <f t="shared" si="231"/>
        <v>0</v>
      </c>
      <c r="DW211" s="181">
        <f>Автовик_разбивка[[#This Row],[Цена, 
юань, без НДС 1]]*DV211</f>
        <v>0</v>
      </c>
      <c r="DX211" s="186">
        <f t="shared" si="232"/>
        <v>0</v>
      </c>
      <c r="DY211" s="186">
        <f>Автовик_разбивка[[#This Row],[Цена, 
юань, без НДС 1]]*DX211</f>
        <v>0</v>
      </c>
      <c r="DZ211" s="130">
        <f t="shared" si="233"/>
        <v>0</v>
      </c>
      <c r="EA211" s="187">
        <f>Автовик_разбивка[[#This Row],[Цена, 
юань, без НДС 1]]*DZ211</f>
        <v>0</v>
      </c>
      <c r="EB211" s="109">
        <f t="shared" si="234"/>
        <v>0</v>
      </c>
      <c r="EC211" s="224">
        <f>Автовик_разбивка[[#This Row],[Цена, 
юань, без НДС 1]]*EB211</f>
        <v>0</v>
      </c>
    </row>
    <row r="212" spans="1:133">
      <c r="A212" s="262">
        <v>333</v>
      </c>
      <c r="B212" s="261" t="s">
        <v>146</v>
      </c>
      <c r="C212" s="244"/>
      <c r="D212" s="244"/>
      <c r="E212" s="245"/>
      <c r="F212" s="245"/>
      <c r="G212" s="245"/>
      <c r="H212" s="246"/>
      <c r="I212" s="247"/>
      <c r="J212" s="248"/>
      <c r="K212" s="248"/>
      <c r="L212" s="249"/>
      <c r="M212" s="249"/>
      <c r="N212" s="249"/>
      <c r="O212" s="249"/>
      <c r="P212" s="249"/>
      <c r="Q212" s="249"/>
      <c r="R212" s="249"/>
      <c r="S212" s="249"/>
      <c r="T212" s="249"/>
      <c r="U212" s="249"/>
      <c r="V212" s="249"/>
      <c r="W212" s="249"/>
      <c r="X212" s="249"/>
      <c r="Y212" s="249"/>
      <c r="Z212" s="249"/>
      <c r="AA212" s="249"/>
      <c r="AB212" s="249"/>
      <c r="AC212" s="249"/>
      <c r="AD212" s="249"/>
      <c r="AE212" s="249"/>
      <c r="AF212" s="249"/>
      <c r="AG212" s="249"/>
      <c r="AH212" s="249"/>
      <c r="AI212" s="249"/>
      <c r="AJ212" s="249"/>
      <c r="AK212" s="249"/>
      <c r="AL212" s="249"/>
      <c r="AM212" s="249"/>
      <c r="AN212" s="249"/>
      <c r="AO212" s="249"/>
      <c r="AP212" s="249"/>
      <c r="AQ212" s="249"/>
      <c r="AR212" s="249"/>
      <c r="AS212" s="249"/>
      <c r="AT212" s="249"/>
      <c r="AU212" s="249"/>
      <c r="AV212" s="249"/>
      <c r="AW212" s="249"/>
      <c r="AX212" s="250"/>
      <c r="AY212" s="249"/>
      <c r="AZ212" s="250"/>
      <c r="BA212" s="250"/>
      <c r="BB212" s="250"/>
      <c r="BC212" s="249"/>
      <c r="BD212" s="250"/>
      <c r="BE212" s="250"/>
      <c r="BF212" s="250"/>
      <c r="BG212" s="249"/>
      <c r="BH212" s="250">
        <f t="shared" si="228"/>
        <v>0</v>
      </c>
      <c r="BI212" s="251">
        <f>Автовик_разбивка[[#This Row],[Цена, 
юань, без НДС 1]]*BH212</f>
        <v>0</v>
      </c>
      <c r="BJ212" s="250">
        <f t="shared" si="229"/>
        <v>0</v>
      </c>
      <c r="BK212" s="251">
        <f>Автовик_разбивка[[#This Row],[Цена, 
юань, без НДС 1]]*BJ212</f>
        <v>0</v>
      </c>
      <c r="BL212" s="250">
        <f t="shared" si="230"/>
        <v>0</v>
      </c>
      <c r="BM212" s="251">
        <f>Автовик_разбивка[[#This Row],[Цена, 
юань, без НДС 1]]*BL212</f>
        <v>0</v>
      </c>
      <c r="BN212" s="249"/>
      <c r="BO212" s="249"/>
      <c r="BP212" s="249"/>
      <c r="BQ212" s="249"/>
      <c r="BR212" s="249"/>
      <c r="BS212" s="249"/>
      <c r="BT212" s="249"/>
      <c r="BU212" s="249"/>
      <c r="BV212" s="249"/>
      <c r="BW212" s="249"/>
      <c r="BX212" s="249"/>
      <c r="BY212" s="249"/>
      <c r="BZ212" s="249"/>
      <c r="CA212" s="249"/>
      <c r="CB212" s="249"/>
      <c r="CC212" s="249"/>
      <c r="CD212" s="249"/>
      <c r="CE212" s="249"/>
      <c r="CF212" s="249"/>
      <c r="CG212" s="249"/>
      <c r="CH212" s="249"/>
      <c r="CI212" s="249"/>
      <c r="CJ212" s="249"/>
      <c r="CK212" s="249"/>
      <c r="CL212" s="249"/>
      <c r="CM212" s="249"/>
      <c r="CN212" s="249"/>
      <c r="CO212" s="249"/>
      <c r="CP212" s="249"/>
      <c r="CQ212" s="249"/>
      <c r="CR212" s="249"/>
      <c r="CS212" s="249"/>
      <c r="CT212" s="249"/>
      <c r="CU212" s="249"/>
      <c r="CV212" s="249"/>
      <c r="CW212" s="249"/>
      <c r="CX212" s="249"/>
      <c r="CY212" s="249"/>
      <c r="CZ212" s="249"/>
      <c r="DA212" s="249"/>
      <c r="DB212" s="249"/>
      <c r="DC212" s="249"/>
      <c r="DD212" s="249"/>
      <c r="DE212" s="249"/>
      <c r="DF212" s="249"/>
      <c r="DG212" s="249"/>
      <c r="DH212" s="249"/>
      <c r="DI212" s="249"/>
      <c r="DJ212" s="250"/>
      <c r="DK212" s="249"/>
      <c r="DL212" s="250"/>
      <c r="DM212" s="250"/>
      <c r="DN212" s="250"/>
      <c r="DO212" s="250"/>
      <c r="DP212" s="249"/>
      <c r="DQ212" s="250"/>
      <c r="DR212" s="250"/>
      <c r="DS212" s="250"/>
      <c r="DT212" s="250"/>
      <c r="DU212" s="249"/>
      <c r="DV212" s="250">
        <f t="shared" si="231"/>
        <v>0</v>
      </c>
      <c r="DW212" s="251">
        <f>Автовик_разбивка[[#This Row],[Цена, 
юань, без НДС 1]]*DV212</f>
        <v>0</v>
      </c>
      <c r="DX212" s="251">
        <f t="shared" si="232"/>
        <v>0</v>
      </c>
      <c r="DY212" s="251">
        <f>Автовик_разбивка[[#This Row],[Цена, 
юань, без НДС 1]]*DX212</f>
        <v>0</v>
      </c>
      <c r="DZ212" s="250">
        <f t="shared" si="233"/>
        <v>0</v>
      </c>
      <c r="EA212" s="251">
        <f>Автовик_разбивка[[#This Row],[Цена, 
юань, без НДС 1]]*DZ212</f>
        <v>0</v>
      </c>
      <c r="EB212" s="250">
        <f t="shared" si="234"/>
        <v>0</v>
      </c>
      <c r="EC212" s="251">
        <f>Автовик_разбивка[[#This Row],[Цена, 
юань, без НДС 1]]*EB212</f>
        <v>0</v>
      </c>
    </row>
    <row r="213" spans="1:133">
      <c r="A213" s="262">
        <v>333</v>
      </c>
      <c r="B213" s="263" t="s">
        <v>333</v>
      </c>
      <c r="C213" s="132"/>
      <c r="D213" s="132"/>
      <c r="E213" s="229"/>
      <c r="F213" s="229"/>
      <c r="G213" s="229"/>
      <c r="H213" s="230"/>
      <c r="I213" s="231" t="s">
        <v>43</v>
      </c>
      <c r="J213" s="232"/>
      <c r="K213" s="232"/>
      <c r="L213" s="233"/>
      <c r="M213" s="234"/>
      <c r="N213" s="235"/>
      <c r="O213" s="234"/>
      <c r="P213" s="233"/>
      <c r="Q213" s="234"/>
      <c r="R213" s="235"/>
      <c r="S213" s="234"/>
      <c r="T213" s="233"/>
      <c r="U213" s="234"/>
      <c r="V213" s="235"/>
      <c r="W213" s="234"/>
      <c r="X213" s="233"/>
      <c r="Y213" s="234"/>
      <c r="Z213" s="235"/>
      <c r="AA213" s="234"/>
      <c r="AB213" s="233"/>
      <c r="AC213" s="234"/>
      <c r="AD213" s="235"/>
      <c r="AE213" s="234"/>
      <c r="AF213" s="233"/>
      <c r="AG213" s="234"/>
      <c r="AH213" s="235"/>
      <c r="AI213" s="234"/>
      <c r="AJ213" s="233"/>
      <c r="AK213" s="234"/>
      <c r="AL213" s="235"/>
      <c r="AM213" s="234"/>
      <c r="AN213" s="233"/>
      <c r="AO213" s="234"/>
      <c r="AP213" s="235"/>
      <c r="AQ213" s="234"/>
      <c r="AR213" s="233"/>
      <c r="AS213" s="234"/>
      <c r="AT213" s="235"/>
      <c r="AU213" s="234"/>
      <c r="AV213" s="233"/>
      <c r="AW213" s="234"/>
      <c r="AX213" s="235"/>
      <c r="AY213" s="234"/>
      <c r="AZ213" s="233"/>
      <c r="BA213" s="234"/>
      <c r="BB213" s="235"/>
      <c r="BC213" s="234"/>
      <c r="BD213" s="233"/>
      <c r="BE213" s="234"/>
      <c r="BF213" s="235"/>
      <c r="BG213" s="234"/>
      <c r="BH213" s="233">
        <f t="shared" si="228"/>
        <v>0</v>
      </c>
      <c r="BI213" s="238">
        <f>Автовик_разбивка[[#This Row],[Цена, 
юань, без НДС 1]]*BH213</f>
        <v>0</v>
      </c>
      <c r="BJ213" s="234">
        <f t="shared" si="229"/>
        <v>0</v>
      </c>
      <c r="BK213" s="253">
        <f>Автовик_разбивка[[#This Row],[Цена, 
юань, без НДС 1]]*BJ213</f>
        <v>0</v>
      </c>
      <c r="BL213" s="235">
        <f t="shared" si="230"/>
        <v>0</v>
      </c>
      <c r="BM213" s="254">
        <f>Автовик_разбивка[[#This Row],[Цена, 
юань, без НДС 1]]*BL213</f>
        <v>0</v>
      </c>
      <c r="BN213" s="233"/>
      <c r="BO213" s="241"/>
      <c r="BP213" s="234"/>
      <c r="BQ213" s="235"/>
      <c r="BR213" s="234"/>
      <c r="BS213" s="233"/>
      <c r="BT213" s="241"/>
      <c r="BU213" s="234"/>
      <c r="BV213" s="235"/>
      <c r="BW213" s="234"/>
      <c r="BX213" s="233"/>
      <c r="BY213" s="241"/>
      <c r="BZ213" s="234"/>
      <c r="CA213" s="235"/>
      <c r="CB213" s="234"/>
      <c r="CC213" s="233"/>
      <c r="CD213" s="241"/>
      <c r="CE213" s="234"/>
      <c r="CF213" s="235"/>
      <c r="CG213" s="234"/>
      <c r="CH213" s="233"/>
      <c r="CI213" s="241"/>
      <c r="CJ213" s="234"/>
      <c r="CK213" s="235"/>
      <c r="CL213" s="234"/>
      <c r="CM213" s="233"/>
      <c r="CN213" s="241"/>
      <c r="CO213" s="234"/>
      <c r="CP213" s="235"/>
      <c r="CQ213" s="234"/>
      <c r="CR213" s="233"/>
      <c r="CS213" s="241"/>
      <c r="CT213" s="234"/>
      <c r="CU213" s="235"/>
      <c r="CV213" s="234"/>
      <c r="CW213" s="233"/>
      <c r="CX213" s="241"/>
      <c r="CY213" s="234"/>
      <c r="CZ213" s="235"/>
      <c r="DA213" s="234"/>
      <c r="DB213" s="233"/>
      <c r="DC213" s="241"/>
      <c r="DD213" s="234"/>
      <c r="DE213" s="235"/>
      <c r="DF213" s="234"/>
      <c r="DG213" s="233"/>
      <c r="DH213" s="241"/>
      <c r="DI213" s="234"/>
      <c r="DJ213" s="235"/>
      <c r="DK213" s="234"/>
      <c r="DL213" s="233"/>
      <c r="DM213" s="241"/>
      <c r="DN213" s="234"/>
      <c r="DO213" s="235"/>
      <c r="DP213" s="234"/>
      <c r="DQ213" s="233"/>
      <c r="DR213" s="241"/>
      <c r="DS213" s="234"/>
      <c r="DT213" s="235"/>
      <c r="DU213" s="234"/>
      <c r="DV213" s="233">
        <f t="shared" si="231"/>
        <v>0</v>
      </c>
      <c r="DW213" s="238">
        <f>Автовик_разбивка[[#This Row],[Цена, 
юань, без НДС 1]]*DV213</f>
        <v>0</v>
      </c>
      <c r="DX213" s="242">
        <f t="shared" si="232"/>
        <v>0</v>
      </c>
      <c r="DY213" s="242">
        <f>Автовик_разбивка[[#This Row],[Цена, 
юань, без НДС 1]]*DX213</f>
        <v>0</v>
      </c>
      <c r="DZ213" s="234">
        <f t="shared" si="233"/>
        <v>0</v>
      </c>
      <c r="EA213" s="253">
        <f>Автовик_разбивка[[#This Row],[Цена, 
юань, без НДС 1]]*DZ213</f>
        <v>0</v>
      </c>
      <c r="EB213" s="235">
        <f t="shared" si="234"/>
        <v>0</v>
      </c>
      <c r="EC213" s="254">
        <f>Автовик_разбивка[[#This Row],[Цена, 
юань, без НДС 1]]*EB213</f>
        <v>0</v>
      </c>
    </row>
    <row r="214" spans="1:133">
      <c r="A214" s="262">
        <v>333</v>
      </c>
      <c r="B214" s="263" t="s">
        <v>333</v>
      </c>
      <c r="C214" s="173"/>
      <c r="D214" s="173"/>
      <c r="E214" s="174"/>
      <c r="F214" s="174"/>
      <c r="G214" s="174"/>
      <c r="H214" s="175"/>
      <c r="I214" s="176"/>
      <c r="J214" s="227"/>
      <c r="K214" s="223"/>
      <c r="L214" s="178"/>
      <c r="M214" s="130"/>
      <c r="N214" s="179"/>
      <c r="O214" s="130"/>
      <c r="P214" s="178"/>
      <c r="Q214" s="130"/>
      <c r="R214" s="179"/>
      <c r="S214" s="130"/>
      <c r="T214" s="178"/>
      <c r="U214" s="130"/>
      <c r="V214" s="179"/>
      <c r="W214" s="130"/>
      <c r="X214" s="178"/>
      <c r="Y214" s="130"/>
      <c r="Z214" s="179"/>
      <c r="AA214" s="130"/>
      <c r="AB214" s="178"/>
      <c r="AC214" s="130"/>
      <c r="AD214" s="179"/>
      <c r="AE214" s="130"/>
      <c r="AF214" s="178"/>
      <c r="AG214" s="130"/>
      <c r="AH214" s="179"/>
      <c r="AI214" s="130"/>
      <c r="AJ214" s="178"/>
      <c r="AK214" s="130"/>
      <c r="AL214" s="179"/>
      <c r="AM214" s="130"/>
      <c r="AN214" s="178"/>
      <c r="AO214" s="130"/>
      <c r="AP214" s="179"/>
      <c r="AQ214" s="130"/>
      <c r="AR214" s="178"/>
      <c r="AS214" s="130"/>
      <c r="AT214" s="179"/>
      <c r="AU214" s="130"/>
      <c r="AV214" s="178"/>
      <c r="AW214" s="130"/>
      <c r="AX214" s="179"/>
      <c r="AY214" s="130"/>
      <c r="AZ214" s="178"/>
      <c r="BA214" s="130"/>
      <c r="BB214" s="179"/>
      <c r="BC214" s="130"/>
      <c r="BD214" s="178"/>
      <c r="BE214" s="130"/>
      <c r="BF214" s="109"/>
      <c r="BG214" s="130"/>
      <c r="BH214" s="180">
        <f t="shared" si="228"/>
        <v>0</v>
      </c>
      <c r="BI214" s="181">
        <f>Автовик_разбивка[[#This Row],[Цена, 
юань, без НДС 1]]*BH214</f>
        <v>0</v>
      </c>
      <c r="BJ214" s="130">
        <f t="shared" si="229"/>
        <v>0</v>
      </c>
      <c r="BK214" s="187">
        <f>Автовик_разбивка[[#This Row],[Цена, 
юань, без НДС 1]]*BJ214</f>
        <v>0</v>
      </c>
      <c r="BL214" s="109">
        <f t="shared" si="230"/>
        <v>0</v>
      </c>
      <c r="BM214" s="224">
        <f>Автовик_разбивка[[#This Row],[Цена, 
юань, без НДС 1]]*BL214</f>
        <v>0</v>
      </c>
      <c r="BN214" s="178"/>
      <c r="BO214" s="184"/>
      <c r="BP214" s="130"/>
      <c r="BQ214" s="179"/>
      <c r="BR214" s="130"/>
      <c r="BS214" s="178"/>
      <c r="BT214" s="184"/>
      <c r="BU214" s="130"/>
      <c r="BV214" s="179"/>
      <c r="BW214" s="130"/>
      <c r="BX214" s="178"/>
      <c r="BY214" s="184"/>
      <c r="BZ214" s="130"/>
      <c r="CA214" s="179"/>
      <c r="CB214" s="130"/>
      <c r="CC214" s="178"/>
      <c r="CD214" s="184"/>
      <c r="CE214" s="130"/>
      <c r="CF214" s="179"/>
      <c r="CG214" s="130"/>
      <c r="CH214" s="178"/>
      <c r="CI214" s="184"/>
      <c r="CJ214" s="130"/>
      <c r="CK214" s="179"/>
      <c r="CL214" s="130"/>
      <c r="CM214" s="178"/>
      <c r="CN214" s="184"/>
      <c r="CO214" s="130"/>
      <c r="CP214" s="179"/>
      <c r="CQ214" s="130"/>
      <c r="CR214" s="178"/>
      <c r="CS214" s="184"/>
      <c r="CT214" s="130"/>
      <c r="CU214" s="179"/>
      <c r="CV214" s="130"/>
      <c r="CW214" s="178"/>
      <c r="CX214" s="184"/>
      <c r="CY214" s="130"/>
      <c r="CZ214" s="179"/>
      <c r="DA214" s="130"/>
      <c r="DB214" s="178"/>
      <c r="DC214" s="184"/>
      <c r="DD214" s="130"/>
      <c r="DE214" s="179"/>
      <c r="DF214" s="130"/>
      <c r="DG214" s="178"/>
      <c r="DH214" s="184"/>
      <c r="DI214" s="130"/>
      <c r="DJ214" s="179"/>
      <c r="DK214" s="130"/>
      <c r="DL214" s="178"/>
      <c r="DM214" s="184"/>
      <c r="DN214" s="130"/>
      <c r="DO214" s="179"/>
      <c r="DP214" s="130"/>
      <c r="DQ214" s="178"/>
      <c r="DR214" s="184"/>
      <c r="DS214" s="130"/>
      <c r="DT214" s="109"/>
      <c r="DU214" s="130"/>
      <c r="DV214" s="180">
        <f t="shared" si="231"/>
        <v>0</v>
      </c>
      <c r="DW214" s="181">
        <f>Автовик_разбивка[[#This Row],[Цена, 
юань, без НДС 1]]*DV214</f>
        <v>0</v>
      </c>
      <c r="DX214" s="186">
        <f t="shared" si="232"/>
        <v>0</v>
      </c>
      <c r="DY214" s="186">
        <f>Автовик_разбивка[[#This Row],[Цена, 
юань, без НДС 1]]*DX214</f>
        <v>0</v>
      </c>
      <c r="DZ214" s="130">
        <f t="shared" si="233"/>
        <v>0</v>
      </c>
      <c r="EA214" s="187">
        <f>Автовик_разбивка[[#This Row],[Цена, 
юань, без НДС 1]]*DZ214</f>
        <v>0</v>
      </c>
      <c r="EB214" s="109">
        <f t="shared" si="234"/>
        <v>0</v>
      </c>
      <c r="EC214" s="224">
        <f>Автовик_разбивка[[#This Row],[Цена, 
юань, без НДС 1]]*EB214</f>
        <v>0</v>
      </c>
    </row>
    <row r="215" spans="1:133">
      <c r="A215" s="262">
        <v>333</v>
      </c>
      <c r="B215" s="261" t="s">
        <v>333</v>
      </c>
      <c r="C215" s="244"/>
      <c r="D215" s="244"/>
      <c r="E215" s="245"/>
      <c r="F215" s="245"/>
      <c r="G215" s="245"/>
      <c r="H215" s="246"/>
      <c r="I215" s="247"/>
      <c r="J215" s="248"/>
      <c r="K215" s="248"/>
      <c r="L215" s="249"/>
      <c r="M215" s="249"/>
      <c r="N215" s="249"/>
      <c r="O215" s="249"/>
      <c r="P215" s="249"/>
      <c r="Q215" s="249"/>
      <c r="R215" s="249"/>
      <c r="S215" s="249"/>
      <c r="T215" s="249"/>
      <c r="U215" s="249"/>
      <c r="V215" s="249"/>
      <c r="W215" s="249"/>
      <c r="X215" s="249"/>
      <c r="Y215" s="249"/>
      <c r="Z215" s="249"/>
      <c r="AA215" s="249"/>
      <c r="AB215" s="249"/>
      <c r="AC215" s="249"/>
      <c r="AD215" s="249"/>
      <c r="AE215" s="249"/>
      <c r="AF215" s="249"/>
      <c r="AG215" s="249"/>
      <c r="AH215" s="249"/>
      <c r="AI215" s="249"/>
      <c r="AJ215" s="249"/>
      <c r="AK215" s="249"/>
      <c r="AL215" s="249"/>
      <c r="AM215" s="249"/>
      <c r="AN215" s="249"/>
      <c r="AO215" s="249"/>
      <c r="AP215" s="249"/>
      <c r="AQ215" s="249"/>
      <c r="AR215" s="249"/>
      <c r="AS215" s="249"/>
      <c r="AT215" s="249"/>
      <c r="AU215" s="249"/>
      <c r="AV215" s="249"/>
      <c r="AW215" s="249"/>
      <c r="AX215" s="250"/>
      <c r="AY215" s="249"/>
      <c r="AZ215" s="250"/>
      <c r="BA215" s="250"/>
      <c r="BB215" s="250"/>
      <c r="BC215" s="249"/>
      <c r="BD215" s="250"/>
      <c r="BE215" s="250"/>
      <c r="BF215" s="250"/>
      <c r="BG215" s="249"/>
      <c r="BH215" s="250">
        <f t="shared" si="228"/>
        <v>0</v>
      </c>
      <c r="BI215" s="251">
        <f>Автовик_разбивка[[#This Row],[Цена, 
юань, без НДС 1]]*BH215</f>
        <v>0</v>
      </c>
      <c r="BJ215" s="250">
        <f t="shared" si="229"/>
        <v>0</v>
      </c>
      <c r="BK215" s="251">
        <f>Автовик_разбивка[[#This Row],[Цена, 
юань, без НДС 1]]*BJ215</f>
        <v>0</v>
      </c>
      <c r="BL215" s="250">
        <f t="shared" si="230"/>
        <v>0</v>
      </c>
      <c r="BM215" s="251">
        <f>Автовик_разбивка[[#This Row],[Цена, 
юань, без НДС 1]]*BL215</f>
        <v>0</v>
      </c>
      <c r="BN215" s="249"/>
      <c r="BO215" s="249"/>
      <c r="BP215" s="249"/>
      <c r="BQ215" s="249"/>
      <c r="BR215" s="249"/>
      <c r="BS215" s="249"/>
      <c r="BT215" s="249"/>
      <c r="BU215" s="249"/>
      <c r="BV215" s="249"/>
      <c r="BW215" s="249"/>
      <c r="BX215" s="249"/>
      <c r="BY215" s="249"/>
      <c r="BZ215" s="249"/>
      <c r="CA215" s="249"/>
      <c r="CB215" s="249"/>
      <c r="CC215" s="249"/>
      <c r="CD215" s="249"/>
      <c r="CE215" s="249"/>
      <c r="CF215" s="249"/>
      <c r="CG215" s="249"/>
      <c r="CH215" s="249"/>
      <c r="CI215" s="249"/>
      <c r="CJ215" s="249"/>
      <c r="CK215" s="249"/>
      <c r="CL215" s="249"/>
      <c r="CM215" s="249"/>
      <c r="CN215" s="249"/>
      <c r="CO215" s="249"/>
      <c r="CP215" s="249"/>
      <c r="CQ215" s="249"/>
      <c r="CR215" s="249"/>
      <c r="CS215" s="249"/>
      <c r="CT215" s="249"/>
      <c r="CU215" s="249"/>
      <c r="CV215" s="249"/>
      <c r="CW215" s="249"/>
      <c r="CX215" s="249"/>
      <c r="CY215" s="249"/>
      <c r="CZ215" s="249"/>
      <c r="DA215" s="249"/>
      <c r="DB215" s="249"/>
      <c r="DC215" s="249"/>
      <c r="DD215" s="249"/>
      <c r="DE215" s="249"/>
      <c r="DF215" s="249"/>
      <c r="DG215" s="249"/>
      <c r="DH215" s="249"/>
      <c r="DI215" s="249"/>
      <c r="DJ215" s="250"/>
      <c r="DK215" s="249"/>
      <c r="DL215" s="250"/>
      <c r="DM215" s="250"/>
      <c r="DN215" s="250"/>
      <c r="DO215" s="250"/>
      <c r="DP215" s="249"/>
      <c r="DQ215" s="250"/>
      <c r="DR215" s="250"/>
      <c r="DS215" s="250"/>
      <c r="DT215" s="250"/>
      <c r="DU215" s="249"/>
      <c r="DV215" s="250">
        <f t="shared" si="231"/>
        <v>0</v>
      </c>
      <c r="DW215" s="251">
        <f>Автовик_разбивка[[#This Row],[Цена, 
юань, без НДС 1]]*DV215</f>
        <v>0</v>
      </c>
      <c r="DX215" s="251">
        <f t="shared" si="232"/>
        <v>0</v>
      </c>
      <c r="DY215" s="251">
        <f>Автовик_разбивка[[#This Row],[Цена, 
юань, без НДС 1]]*DX215</f>
        <v>0</v>
      </c>
      <c r="DZ215" s="250">
        <f t="shared" si="233"/>
        <v>0</v>
      </c>
      <c r="EA215" s="251">
        <f>Автовик_разбивка[[#This Row],[Цена, 
юань, без НДС 1]]*DZ215</f>
        <v>0</v>
      </c>
      <c r="EB215" s="250">
        <f t="shared" si="234"/>
        <v>0</v>
      </c>
      <c r="EC215" s="251">
        <f>Автовик_разбивка[[#This Row],[Цена, 
юань, без НДС 1]]*EB215</f>
        <v>0</v>
      </c>
    </row>
    <row r="216" spans="1:133">
      <c r="A216" s="262">
        <v>333</v>
      </c>
      <c r="B216" s="263" t="s">
        <v>334</v>
      </c>
      <c r="C216" s="132"/>
      <c r="D216" s="132"/>
      <c r="E216" s="229"/>
      <c r="F216" s="229"/>
      <c r="G216" s="229"/>
      <c r="H216" s="230"/>
      <c r="I216" s="231" t="s">
        <v>43</v>
      </c>
      <c r="J216" s="232"/>
      <c r="K216" s="232"/>
      <c r="L216" s="233"/>
      <c r="M216" s="234"/>
      <c r="N216" s="235"/>
      <c r="O216" s="234"/>
      <c r="P216" s="233"/>
      <c r="Q216" s="234"/>
      <c r="R216" s="235"/>
      <c r="S216" s="234"/>
      <c r="T216" s="233"/>
      <c r="U216" s="234"/>
      <c r="V216" s="235"/>
      <c r="W216" s="234"/>
      <c r="X216" s="233"/>
      <c r="Y216" s="234"/>
      <c r="Z216" s="235"/>
      <c r="AA216" s="234"/>
      <c r="AB216" s="233"/>
      <c r="AC216" s="234"/>
      <c r="AD216" s="235"/>
      <c r="AE216" s="234"/>
      <c r="AF216" s="233"/>
      <c r="AG216" s="234"/>
      <c r="AH216" s="235"/>
      <c r="AI216" s="234"/>
      <c r="AJ216" s="233"/>
      <c r="AK216" s="234"/>
      <c r="AL216" s="235"/>
      <c r="AM216" s="234"/>
      <c r="AN216" s="233"/>
      <c r="AO216" s="234"/>
      <c r="AP216" s="235"/>
      <c r="AQ216" s="234"/>
      <c r="AR216" s="233"/>
      <c r="AS216" s="234"/>
      <c r="AT216" s="235"/>
      <c r="AU216" s="234"/>
      <c r="AV216" s="233"/>
      <c r="AW216" s="234"/>
      <c r="AX216" s="235"/>
      <c r="AY216" s="234"/>
      <c r="AZ216" s="233"/>
      <c r="BA216" s="234"/>
      <c r="BB216" s="235"/>
      <c r="BC216" s="234"/>
      <c r="BD216" s="233"/>
      <c r="BE216" s="234"/>
      <c r="BF216" s="235"/>
      <c r="BG216" s="234"/>
      <c r="BH216" s="233">
        <f t="shared" si="228"/>
        <v>0</v>
      </c>
      <c r="BI216" s="238">
        <f>Автовик_разбивка[[#This Row],[Цена, 
юань, без НДС 1]]*BH216</f>
        <v>0</v>
      </c>
      <c r="BJ216" s="234">
        <f t="shared" si="229"/>
        <v>0</v>
      </c>
      <c r="BK216" s="253">
        <f>Автовик_разбивка[[#This Row],[Цена, 
юань, без НДС 1]]*BJ216</f>
        <v>0</v>
      </c>
      <c r="BL216" s="235">
        <f t="shared" si="230"/>
        <v>0</v>
      </c>
      <c r="BM216" s="254">
        <f>Автовик_разбивка[[#This Row],[Цена, 
юань, без НДС 1]]*BL216</f>
        <v>0</v>
      </c>
      <c r="BN216" s="233"/>
      <c r="BO216" s="241"/>
      <c r="BP216" s="234"/>
      <c r="BQ216" s="235"/>
      <c r="BR216" s="234"/>
      <c r="BS216" s="233"/>
      <c r="BT216" s="241"/>
      <c r="BU216" s="234"/>
      <c r="BV216" s="235"/>
      <c r="BW216" s="234"/>
      <c r="BX216" s="233"/>
      <c r="BY216" s="241"/>
      <c r="BZ216" s="234"/>
      <c r="CA216" s="235"/>
      <c r="CB216" s="234"/>
      <c r="CC216" s="233"/>
      <c r="CD216" s="241"/>
      <c r="CE216" s="234"/>
      <c r="CF216" s="235"/>
      <c r="CG216" s="234"/>
      <c r="CH216" s="233"/>
      <c r="CI216" s="241"/>
      <c r="CJ216" s="234"/>
      <c r="CK216" s="235"/>
      <c r="CL216" s="234"/>
      <c r="CM216" s="233"/>
      <c r="CN216" s="241"/>
      <c r="CO216" s="234"/>
      <c r="CP216" s="235"/>
      <c r="CQ216" s="234"/>
      <c r="CR216" s="233"/>
      <c r="CS216" s="241"/>
      <c r="CT216" s="234"/>
      <c r="CU216" s="235"/>
      <c r="CV216" s="234"/>
      <c r="CW216" s="233"/>
      <c r="CX216" s="241"/>
      <c r="CY216" s="234"/>
      <c r="CZ216" s="235"/>
      <c r="DA216" s="234"/>
      <c r="DB216" s="233"/>
      <c r="DC216" s="241"/>
      <c r="DD216" s="234"/>
      <c r="DE216" s="235"/>
      <c r="DF216" s="234"/>
      <c r="DG216" s="233"/>
      <c r="DH216" s="241"/>
      <c r="DI216" s="234"/>
      <c r="DJ216" s="235"/>
      <c r="DK216" s="234"/>
      <c r="DL216" s="233"/>
      <c r="DM216" s="241"/>
      <c r="DN216" s="234"/>
      <c r="DO216" s="235"/>
      <c r="DP216" s="234"/>
      <c r="DQ216" s="233"/>
      <c r="DR216" s="241"/>
      <c r="DS216" s="234"/>
      <c r="DT216" s="235"/>
      <c r="DU216" s="234"/>
      <c r="DV216" s="233">
        <f t="shared" si="231"/>
        <v>0</v>
      </c>
      <c r="DW216" s="238">
        <f>Автовик_разбивка[[#This Row],[Цена, 
юань, без НДС 1]]*DV216</f>
        <v>0</v>
      </c>
      <c r="DX216" s="242">
        <f t="shared" si="232"/>
        <v>0</v>
      </c>
      <c r="DY216" s="242">
        <f>Автовик_разбивка[[#This Row],[Цена, 
юань, без НДС 1]]*DX216</f>
        <v>0</v>
      </c>
      <c r="DZ216" s="234">
        <f t="shared" si="233"/>
        <v>0</v>
      </c>
      <c r="EA216" s="253">
        <f>Автовик_разбивка[[#This Row],[Цена, 
юань, без НДС 1]]*DZ216</f>
        <v>0</v>
      </c>
      <c r="EB216" s="235">
        <f t="shared" si="234"/>
        <v>0</v>
      </c>
      <c r="EC216" s="254">
        <f>Автовик_разбивка[[#This Row],[Цена, 
юань, без НДС 1]]*EB216</f>
        <v>0</v>
      </c>
    </row>
    <row r="217" spans="1:133">
      <c r="A217" s="262">
        <v>333</v>
      </c>
      <c r="B217" s="263" t="s">
        <v>334</v>
      </c>
      <c r="C217" s="173"/>
      <c r="D217" s="173"/>
      <c r="E217" s="174"/>
      <c r="F217" s="174"/>
      <c r="G217" s="174"/>
      <c r="H217" s="175"/>
      <c r="I217" s="176"/>
      <c r="J217" s="227"/>
      <c r="K217" s="223"/>
      <c r="L217" s="178"/>
      <c r="M217" s="130"/>
      <c r="N217" s="179"/>
      <c r="O217" s="130"/>
      <c r="P217" s="178"/>
      <c r="Q217" s="130"/>
      <c r="R217" s="179"/>
      <c r="S217" s="130"/>
      <c r="T217" s="178"/>
      <c r="U217" s="130"/>
      <c r="V217" s="179"/>
      <c r="W217" s="130"/>
      <c r="X217" s="178"/>
      <c r="Y217" s="130"/>
      <c r="Z217" s="179"/>
      <c r="AA217" s="130"/>
      <c r="AB217" s="178"/>
      <c r="AC217" s="130"/>
      <c r="AD217" s="179"/>
      <c r="AE217" s="130"/>
      <c r="AF217" s="178"/>
      <c r="AG217" s="130"/>
      <c r="AH217" s="179"/>
      <c r="AI217" s="130"/>
      <c r="AJ217" s="178"/>
      <c r="AK217" s="130"/>
      <c r="AL217" s="179"/>
      <c r="AM217" s="130"/>
      <c r="AN217" s="178"/>
      <c r="AO217" s="130"/>
      <c r="AP217" s="179"/>
      <c r="AQ217" s="130"/>
      <c r="AR217" s="178"/>
      <c r="AS217" s="130"/>
      <c r="AT217" s="179"/>
      <c r="AU217" s="130"/>
      <c r="AV217" s="178"/>
      <c r="AW217" s="130"/>
      <c r="AX217" s="179"/>
      <c r="AY217" s="130"/>
      <c r="AZ217" s="178"/>
      <c r="BA217" s="130"/>
      <c r="BB217" s="179"/>
      <c r="BC217" s="130"/>
      <c r="BD217" s="178"/>
      <c r="BE217" s="130"/>
      <c r="BF217" s="109"/>
      <c r="BG217" s="130"/>
      <c r="BH217" s="180">
        <f t="shared" si="228"/>
        <v>0</v>
      </c>
      <c r="BI217" s="181">
        <f>Автовик_разбивка[[#This Row],[Цена, 
юань, без НДС 1]]*BH217</f>
        <v>0</v>
      </c>
      <c r="BJ217" s="130">
        <f t="shared" si="229"/>
        <v>0</v>
      </c>
      <c r="BK217" s="187">
        <f>Автовик_разбивка[[#This Row],[Цена, 
юань, без НДС 1]]*BJ217</f>
        <v>0</v>
      </c>
      <c r="BL217" s="109">
        <f t="shared" si="230"/>
        <v>0</v>
      </c>
      <c r="BM217" s="224">
        <f>Автовик_разбивка[[#This Row],[Цена, 
юань, без НДС 1]]*BL217</f>
        <v>0</v>
      </c>
      <c r="BN217" s="178"/>
      <c r="BO217" s="184"/>
      <c r="BP217" s="130"/>
      <c r="BQ217" s="179"/>
      <c r="BR217" s="130"/>
      <c r="BS217" s="178"/>
      <c r="BT217" s="184"/>
      <c r="BU217" s="130"/>
      <c r="BV217" s="179"/>
      <c r="BW217" s="130"/>
      <c r="BX217" s="178"/>
      <c r="BY217" s="184"/>
      <c r="BZ217" s="130"/>
      <c r="CA217" s="179"/>
      <c r="CB217" s="130"/>
      <c r="CC217" s="178"/>
      <c r="CD217" s="184"/>
      <c r="CE217" s="130"/>
      <c r="CF217" s="179"/>
      <c r="CG217" s="130"/>
      <c r="CH217" s="178"/>
      <c r="CI217" s="184"/>
      <c r="CJ217" s="130"/>
      <c r="CK217" s="179"/>
      <c r="CL217" s="130"/>
      <c r="CM217" s="178"/>
      <c r="CN217" s="184"/>
      <c r="CO217" s="130"/>
      <c r="CP217" s="179"/>
      <c r="CQ217" s="130"/>
      <c r="CR217" s="178"/>
      <c r="CS217" s="184"/>
      <c r="CT217" s="130"/>
      <c r="CU217" s="179"/>
      <c r="CV217" s="130"/>
      <c r="CW217" s="178"/>
      <c r="CX217" s="184"/>
      <c r="CY217" s="130"/>
      <c r="CZ217" s="179"/>
      <c r="DA217" s="130"/>
      <c r="DB217" s="178"/>
      <c r="DC217" s="184"/>
      <c r="DD217" s="130"/>
      <c r="DE217" s="179"/>
      <c r="DF217" s="130"/>
      <c r="DG217" s="178"/>
      <c r="DH217" s="184"/>
      <c r="DI217" s="130"/>
      <c r="DJ217" s="179"/>
      <c r="DK217" s="130"/>
      <c r="DL217" s="178"/>
      <c r="DM217" s="184"/>
      <c r="DN217" s="130"/>
      <c r="DO217" s="179"/>
      <c r="DP217" s="130"/>
      <c r="DQ217" s="178"/>
      <c r="DR217" s="184"/>
      <c r="DS217" s="130"/>
      <c r="DT217" s="109"/>
      <c r="DU217" s="130"/>
      <c r="DV217" s="180">
        <f t="shared" si="231"/>
        <v>0</v>
      </c>
      <c r="DW217" s="181">
        <f>Автовик_разбивка[[#This Row],[Цена, 
юань, без НДС 1]]*DV217</f>
        <v>0</v>
      </c>
      <c r="DX217" s="186">
        <f t="shared" si="232"/>
        <v>0</v>
      </c>
      <c r="DY217" s="186">
        <f>Автовик_разбивка[[#This Row],[Цена, 
юань, без НДС 1]]*DX217</f>
        <v>0</v>
      </c>
      <c r="DZ217" s="130">
        <f t="shared" si="233"/>
        <v>0</v>
      </c>
      <c r="EA217" s="187">
        <f>Автовик_разбивка[[#This Row],[Цена, 
юань, без НДС 1]]*DZ217</f>
        <v>0</v>
      </c>
      <c r="EB217" s="109">
        <f t="shared" si="234"/>
        <v>0</v>
      </c>
      <c r="EC217" s="224">
        <f>Автовик_разбивка[[#This Row],[Цена, 
юань, без НДС 1]]*EB217</f>
        <v>0</v>
      </c>
    </row>
    <row r="218" spans="1:133">
      <c r="A218" s="262">
        <v>333</v>
      </c>
      <c r="B218" s="261" t="s">
        <v>334</v>
      </c>
      <c r="C218" s="244"/>
      <c r="D218" s="244"/>
      <c r="E218" s="245"/>
      <c r="F218" s="245"/>
      <c r="G218" s="245"/>
      <c r="H218" s="246"/>
      <c r="I218" s="247"/>
      <c r="J218" s="248"/>
      <c r="K218" s="248"/>
      <c r="L218" s="249"/>
      <c r="M218" s="249"/>
      <c r="N218" s="249"/>
      <c r="O218" s="249"/>
      <c r="P218" s="249"/>
      <c r="Q218" s="249"/>
      <c r="R218" s="249"/>
      <c r="S218" s="249"/>
      <c r="T218" s="249"/>
      <c r="U218" s="249"/>
      <c r="V218" s="249"/>
      <c r="W218" s="249"/>
      <c r="X218" s="249"/>
      <c r="Y218" s="249"/>
      <c r="Z218" s="249"/>
      <c r="AA218" s="249"/>
      <c r="AB218" s="249"/>
      <c r="AC218" s="249"/>
      <c r="AD218" s="249"/>
      <c r="AE218" s="249"/>
      <c r="AF218" s="249"/>
      <c r="AG218" s="249"/>
      <c r="AH218" s="249"/>
      <c r="AI218" s="249"/>
      <c r="AJ218" s="249"/>
      <c r="AK218" s="249"/>
      <c r="AL218" s="249"/>
      <c r="AM218" s="249"/>
      <c r="AN218" s="249"/>
      <c r="AO218" s="249"/>
      <c r="AP218" s="249"/>
      <c r="AQ218" s="249"/>
      <c r="AR218" s="249"/>
      <c r="AS218" s="249"/>
      <c r="AT218" s="249"/>
      <c r="AU218" s="249"/>
      <c r="AV218" s="249"/>
      <c r="AW218" s="249"/>
      <c r="AX218" s="250"/>
      <c r="AY218" s="249"/>
      <c r="AZ218" s="250"/>
      <c r="BA218" s="250"/>
      <c r="BB218" s="250"/>
      <c r="BC218" s="249"/>
      <c r="BD218" s="250"/>
      <c r="BE218" s="250"/>
      <c r="BF218" s="250"/>
      <c r="BG218" s="249"/>
      <c r="BH218" s="250">
        <f t="shared" si="228"/>
        <v>0</v>
      </c>
      <c r="BI218" s="251">
        <f>Автовик_разбивка[[#This Row],[Цена, 
юань, без НДС 1]]*BH218</f>
        <v>0</v>
      </c>
      <c r="BJ218" s="250">
        <f t="shared" si="229"/>
        <v>0</v>
      </c>
      <c r="BK218" s="251">
        <f>Автовик_разбивка[[#This Row],[Цена, 
юань, без НДС 1]]*BJ218</f>
        <v>0</v>
      </c>
      <c r="BL218" s="250">
        <f t="shared" si="230"/>
        <v>0</v>
      </c>
      <c r="BM218" s="251">
        <f>Автовик_разбивка[[#This Row],[Цена, 
юань, без НДС 1]]*BL218</f>
        <v>0</v>
      </c>
      <c r="BN218" s="249"/>
      <c r="BO218" s="249"/>
      <c r="BP218" s="249"/>
      <c r="BQ218" s="249"/>
      <c r="BR218" s="249"/>
      <c r="BS218" s="249"/>
      <c r="BT218" s="249"/>
      <c r="BU218" s="249"/>
      <c r="BV218" s="249"/>
      <c r="BW218" s="249"/>
      <c r="BX218" s="249"/>
      <c r="BY218" s="249"/>
      <c r="BZ218" s="249"/>
      <c r="CA218" s="249"/>
      <c r="CB218" s="249"/>
      <c r="CC218" s="249"/>
      <c r="CD218" s="249"/>
      <c r="CE218" s="249"/>
      <c r="CF218" s="249"/>
      <c r="CG218" s="249"/>
      <c r="CH218" s="249"/>
      <c r="CI218" s="249"/>
      <c r="CJ218" s="249"/>
      <c r="CK218" s="249"/>
      <c r="CL218" s="249"/>
      <c r="CM218" s="249"/>
      <c r="CN218" s="249"/>
      <c r="CO218" s="249"/>
      <c r="CP218" s="249"/>
      <c r="CQ218" s="249"/>
      <c r="CR218" s="249"/>
      <c r="CS218" s="249"/>
      <c r="CT218" s="249"/>
      <c r="CU218" s="249"/>
      <c r="CV218" s="249"/>
      <c r="CW218" s="249"/>
      <c r="CX218" s="249"/>
      <c r="CY218" s="249"/>
      <c r="CZ218" s="249"/>
      <c r="DA218" s="249"/>
      <c r="DB218" s="249"/>
      <c r="DC218" s="249"/>
      <c r="DD218" s="249"/>
      <c r="DE218" s="249"/>
      <c r="DF218" s="249"/>
      <c r="DG218" s="249"/>
      <c r="DH218" s="249"/>
      <c r="DI218" s="249"/>
      <c r="DJ218" s="250"/>
      <c r="DK218" s="249"/>
      <c r="DL218" s="250"/>
      <c r="DM218" s="250"/>
      <c r="DN218" s="250"/>
      <c r="DO218" s="250"/>
      <c r="DP218" s="249"/>
      <c r="DQ218" s="250"/>
      <c r="DR218" s="250"/>
      <c r="DS218" s="250"/>
      <c r="DT218" s="250"/>
      <c r="DU218" s="249"/>
      <c r="DV218" s="250">
        <f t="shared" si="231"/>
        <v>0</v>
      </c>
      <c r="DW218" s="251">
        <f>Автовик_разбивка[[#This Row],[Цена, 
юань, без НДС 1]]*DV218</f>
        <v>0</v>
      </c>
      <c r="DX218" s="251">
        <f t="shared" si="232"/>
        <v>0</v>
      </c>
      <c r="DY218" s="251">
        <f>Автовик_разбивка[[#This Row],[Цена, 
юань, без НДС 1]]*DX218</f>
        <v>0</v>
      </c>
      <c r="DZ218" s="250">
        <f t="shared" si="233"/>
        <v>0</v>
      </c>
      <c r="EA218" s="251">
        <f>Автовик_разбивка[[#This Row],[Цена, 
юань, без НДС 1]]*DZ218</f>
        <v>0</v>
      </c>
      <c r="EB218" s="250">
        <f t="shared" si="234"/>
        <v>0</v>
      </c>
      <c r="EC218" s="251">
        <f>Автовик_разбивка[[#This Row],[Цена, 
юань, без НДС 1]]*EB218</f>
        <v>0</v>
      </c>
    </row>
    <row r="219" spans="1:133">
      <c r="A219" s="262">
        <v>333</v>
      </c>
      <c r="B219" s="263" t="s">
        <v>335</v>
      </c>
      <c r="C219" s="132"/>
      <c r="D219" s="132"/>
      <c r="E219" s="229"/>
      <c r="F219" s="229"/>
      <c r="G219" s="229"/>
      <c r="H219" s="230"/>
      <c r="I219" s="231" t="s">
        <v>43</v>
      </c>
      <c r="J219" s="232"/>
      <c r="K219" s="232"/>
      <c r="L219" s="233"/>
      <c r="M219" s="234"/>
      <c r="N219" s="235"/>
      <c r="O219" s="234"/>
      <c r="P219" s="233"/>
      <c r="Q219" s="234"/>
      <c r="R219" s="235"/>
      <c r="S219" s="234"/>
      <c r="T219" s="233"/>
      <c r="U219" s="234"/>
      <c r="V219" s="235"/>
      <c r="W219" s="234"/>
      <c r="X219" s="233"/>
      <c r="Y219" s="234"/>
      <c r="Z219" s="235"/>
      <c r="AA219" s="234"/>
      <c r="AB219" s="233"/>
      <c r="AC219" s="234"/>
      <c r="AD219" s="235"/>
      <c r="AE219" s="234"/>
      <c r="AF219" s="233"/>
      <c r="AG219" s="234"/>
      <c r="AH219" s="235"/>
      <c r="AI219" s="234"/>
      <c r="AJ219" s="233"/>
      <c r="AK219" s="234"/>
      <c r="AL219" s="235"/>
      <c r="AM219" s="234"/>
      <c r="AN219" s="233"/>
      <c r="AO219" s="234"/>
      <c r="AP219" s="235"/>
      <c r="AQ219" s="234"/>
      <c r="AR219" s="233"/>
      <c r="AS219" s="234"/>
      <c r="AT219" s="235"/>
      <c r="AU219" s="234"/>
      <c r="AV219" s="233"/>
      <c r="AW219" s="234"/>
      <c r="AX219" s="235"/>
      <c r="AY219" s="234"/>
      <c r="AZ219" s="233"/>
      <c r="BA219" s="234"/>
      <c r="BB219" s="235"/>
      <c r="BC219" s="234"/>
      <c r="BD219" s="233"/>
      <c r="BE219" s="234"/>
      <c r="BF219" s="235"/>
      <c r="BG219" s="234"/>
      <c r="BH219" s="233">
        <f t="shared" si="228"/>
        <v>0</v>
      </c>
      <c r="BI219" s="238">
        <f>Автовик_разбивка[[#This Row],[Цена, 
юань, без НДС 1]]*BH219</f>
        <v>0</v>
      </c>
      <c r="BJ219" s="234">
        <f t="shared" si="229"/>
        <v>0</v>
      </c>
      <c r="BK219" s="253">
        <f>Автовик_разбивка[[#This Row],[Цена, 
юань, без НДС 1]]*BJ219</f>
        <v>0</v>
      </c>
      <c r="BL219" s="235">
        <f t="shared" si="230"/>
        <v>0</v>
      </c>
      <c r="BM219" s="254">
        <f>Автовик_разбивка[[#This Row],[Цена, 
юань, без НДС 1]]*BL219</f>
        <v>0</v>
      </c>
      <c r="BN219" s="233"/>
      <c r="BO219" s="241"/>
      <c r="BP219" s="234"/>
      <c r="BQ219" s="235"/>
      <c r="BR219" s="234"/>
      <c r="BS219" s="233"/>
      <c r="BT219" s="241"/>
      <c r="BU219" s="234"/>
      <c r="BV219" s="235"/>
      <c r="BW219" s="234"/>
      <c r="BX219" s="233"/>
      <c r="BY219" s="241"/>
      <c r="BZ219" s="234"/>
      <c r="CA219" s="235"/>
      <c r="CB219" s="234"/>
      <c r="CC219" s="233"/>
      <c r="CD219" s="241"/>
      <c r="CE219" s="234"/>
      <c r="CF219" s="235"/>
      <c r="CG219" s="234"/>
      <c r="CH219" s="233"/>
      <c r="CI219" s="241"/>
      <c r="CJ219" s="234"/>
      <c r="CK219" s="235"/>
      <c r="CL219" s="234"/>
      <c r="CM219" s="233"/>
      <c r="CN219" s="241"/>
      <c r="CO219" s="234"/>
      <c r="CP219" s="235"/>
      <c r="CQ219" s="234"/>
      <c r="CR219" s="233"/>
      <c r="CS219" s="241"/>
      <c r="CT219" s="234"/>
      <c r="CU219" s="235"/>
      <c r="CV219" s="234"/>
      <c r="CW219" s="233"/>
      <c r="CX219" s="241"/>
      <c r="CY219" s="234"/>
      <c r="CZ219" s="235"/>
      <c r="DA219" s="234"/>
      <c r="DB219" s="233"/>
      <c r="DC219" s="241"/>
      <c r="DD219" s="234"/>
      <c r="DE219" s="235"/>
      <c r="DF219" s="234"/>
      <c r="DG219" s="233"/>
      <c r="DH219" s="241"/>
      <c r="DI219" s="234"/>
      <c r="DJ219" s="235"/>
      <c r="DK219" s="234"/>
      <c r="DL219" s="233"/>
      <c r="DM219" s="241"/>
      <c r="DN219" s="234"/>
      <c r="DO219" s="235"/>
      <c r="DP219" s="234"/>
      <c r="DQ219" s="233"/>
      <c r="DR219" s="241"/>
      <c r="DS219" s="234"/>
      <c r="DT219" s="235"/>
      <c r="DU219" s="234"/>
      <c r="DV219" s="233">
        <f t="shared" si="231"/>
        <v>0</v>
      </c>
      <c r="DW219" s="238">
        <f>Автовик_разбивка[[#This Row],[Цена, 
юань, без НДС 1]]*DV219</f>
        <v>0</v>
      </c>
      <c r="DX219" s="242">
        <f t="shared" si="232"/>
        <v>0</v>
      </c>
      <c r="DY219" s="242">
        <f>Автовик_разбивка[[#This Row],[Цена, 
юань, без НДС 1]]*DX219</f>
        <v>0</v>
      </c>
      <c r="DZ219" s="234">
        <f t="shared" si="233"/>
        <v>0</v>
      </c>
      <c r="EA219" s="253">
        <f>Автовик_разбивка[[#This Row],[Цена, 
юань, без НДС 1]]*DZ219</f>
        <v>0</v>
      </c>
      <c r="EB219" s="235">
        <f t="shared" si="234"/>
        <v>0</v>
      </c>
      <c r="EC219" s="254">
        <f>Автовик_разбивка[[#This Row],[Цена, 
юань, без НДС 1]]*EB219</f>
        <v>0</v>
      </c>
    </row>
    <row r="220" spans="1:133">
      <c r="A220" s="262">
        <v>333</v>
      </c>
      <c r="B220" s="263" t="s">
        <v>335</v>
      </c>
      <c r="C220" s="173"/>
      <c r="D220" s="173"/>
      <c r="E220" s="174"/>
      <c r="F220" s="174"/>
      <c r="G220" s="174"/>
      <c r="H220" s="175"/>
      <c r="I220" s="176"/>
      <c r="J220" s="227"/>
      <c r="K220" s="223"/>
      <c r="L220" s="178"/>
      <c r="M220" s="130"/>
      <c r="N220" s="179"/>
      <c r="O220" s="130"/>
      <c r="P220" s="178"/>
      <c r="Q220" s="130"/>
      <c r="R220" s="179"/>
      <c r="S220" s="130"/>
      <c r="T220" s="178"/>
      <c r="U220" s="130"/>
      <c r="V220" s="179"/>
      <c r="W220" s="130"/>
      <c r="X220" s="178"/>
      <c r="Y220" s="130"/>
      <c r="Z220" s="179"/>
      <c r="AA220" s="130"/>
      <c r="AB220" s="178"/>
      <c r="AC220" s="130"/>
      <c r="AD220" s="179"/>
      <c r="AE220" s="130"/>
      <c r="AF220" s="178"/>
      <c r="AG220" s="130"/>
      <c r="AH220" s="179"/>
      <c r="AI220" s="130"/>
      <c r="AJ220" s="178"/>
      <c r="AK220" s="130"/>
      <c r="AL220" s="179"/>
      <c r="AM220" s="130"/>
      <c r="AN220" s="178"/>
      <c r="AO220" s="130"/>
      <c r="AP220" s="179"/>
      <c r="AQ220" s="130"/>
      <c r="AR220" s="178"/>
      <c r="AS220" s="130"/>
      <c r="AT220" s="179"/>
      <c r="AU220" s="130"/>
      <c r="AV220" s="178"/>
      <c r="AW220" s="130"/>
      <c r="AX220" s="179"/>
      <c r="AY220" s="130"/>
      <c r="AZ220" s="178"/>
      <c r="BA220" s="130"/>
      <c r="BB220" s="179"/>
      <c r="BC220" s="130"/>
      <c r="BD220" s="178"/>
      <c r="BE220" s="130"/>
      <c r="BF220" s="109"/>
      <c r="BG220" s="130"/>
      <c r="BH220" s="180">
        <f t="shared" si="228"/>
        <v>0</v>
      </c>
      <c r="BI220" s="181">
        <f>Автовик_разбивка[[#This Row],[Цена, 
юань, без НДС 1]]*BH220</f>
        <v>0</v>
      </c>
      <c r="BJ220" s="130">
        <f t="shared" si="229"/>
        <v>0</v>
      </c>
      <c r="BK220" s="187">
        <f>Автовик_разбивка[[#This Row],[Цена, 
юань, без НДС 1]]*BJ220</f>
        <v>0</v>
      </c>
      <c r="BL220" s="109">
        <f t="shared" si="230"/>
        <v>0</v>
      </c>
      <c r="BM220" s="224">
        <f>Автовик_разбивка[[#This Row],[Цена, 
юань, без НДС 1]]*BL220</f>
        <v>0</v>
      </c>
      <c r="BN220" s="178"/>
      <c r="BO220" s="184"/>
      <c r="BP220" s="130"/>
      <c r="BQ220" s="179"/>
      <c r="BR220" s="130"/>
      <c r="BS220" s="178"/>
      <c r="BT220" s="184"/>
      <c r="BU220" s="130"/>
      <c r="BV220" s="179"/>
      <c r="BW220" s="130"/>
      <c r="BX220" s="178"/>
      <c r="BY220" s="184"/>
      <c r="BZ220" s="130"/>
      <c r="CA220" s="179"/>
      <c r="CB220" s="130"/>
      <c r="CC220" s="178"/>
      <c r="CD220" s="184"/>
      <c r="CE220" s="130"/>
      <c r="CF220" s="179"/>
      <c r="CG220" s="130"/>
      <c r="CH220" s="178"/>
      <c r="CI220" s="184"/>
      <c r="CJ220" s="130"/>
      <c r="CK220" s="179"/>
      <c r="CL220" s="130"/>
      <c r="CM220" s="178"/>
      <c r="CN220" s="184"/>
      <c r="CO220" s="130"/>
      <c r="CP220" s="179"/>
      <c r="CQ220" s="130"/>
      <c r="CR220" s="178"/>
      <c r="CS220" s="184"/>
      <c r="CT220" s="130"/>
      <c r="CU220" s="179"/>
      <c r="CV220" s="130"/>
      <c r="CW220" s="178"/>
      <c r="CX220" s="184"/>
      <c r="CY220" s="130"/>
      <c r="CZ220" s="179"/>
      <c r="DA220" s="130"/>
      <c r="DB220" s="178"/>
      <c r="DC220" s="184"/>
      <c r="DD220" s="130"/>
      <c r="DE220" s="179"/>
      <c r="DF220" s="130"/>
      <c r="DG220" s="178"/>
      <c r="DH220" s="184"/>
      <c r="DI220" s="130"/>
      <c r="DJ220" s="179"/>
      <c r="DK220" s="130"/>
      <c r="DL220" s="178"/>
      <c r="DM220" s="184"/>
      <c r="DN220" s="130"/>
      <c r="DO220" s="179"/>
      <c r="DP220" s="130"/>
      <c r="DQ220" s="178"/>
      <c r="DR220" s="184"/>
      <c r="DS220" s="130"/>
      <c r="DT220" s="109"/>
      <c r="DU220" s="130"/>
      <c r="DV220" s="180">
        <f t="shared" si="231"/>
        <v>0</v>
      </c>
      <c r="DW220" s="181">
        <f>Автовик_разбивка[[#This Row],[Цена, 
юань, без НДС 1]]*DV220</f>
        <v>0</v>
      </c>
      <c r="DX220" s="186">
        <f t="shared" si="232"/>
        <v>0</v>
      </c>
      <c r="DY220" s="186">
        <f>Автовик_разбивка[[#This Row],[Цена, 
юань, без НДС 1]]*DX220</f>
        <v>0</v>
      </c>
      <c r="DZ220" s="130">
        <f t="shared" si="233"/>
        <v>0</v>
      </c>
      <c r="EA220" s="187">
        <f>Автовик_разбивка[[#This Row],[Цена, 
юань, без НДС 1]]*DZ220</f>
        <v>0</v>
      </c>
      <c r="EB220" s="109">
        <f t="shared" si="234"/>
        <v>0</v>
      </c>
      <c r="EC220" s="224">
        <f>Автовик_разбивка[[#This Row],[Цена, 
юань, без НДС 1]]*EB220</f>
        <v>0</v>
      </c>
    </row>
    <row r="221" spans="1:133">
      <c r="A221" s="262">
        <v>333</v>
      </c>
      <c r="B221" s="243" t="s">
        <v>335</v>
      </c>
      <c r="C221" s="244"/>
      <c r="D221" s="244"/>
      <c r="E221" s="245"/>
      <c r="F221" s="245"/>
      <c r="G221" s="245"/>
      <c r="H221" s="246"/>
      <c r="I221" s="247"/>
      <c r="J221" s="248"/>
      <c r="K221" s="248"/>
      <c r="L221" s="249"/>
      <c r="M221" s="249"/>
      <c r="N221" s="249"/>
      <c r="O221" s="249"/>
      <c r="P221" s="249"/>
      <c r="Q221" s="249"/>
      <c r="R221" s="249"/>
      <c r="S221" s="249"/>
      <c r="T221" s="249"/>
      <c r="U221" s="249"/>
      <c r="V221" s="249"/>
      <c r="W221" s="249"/>
      <c r="X221" s="249"/>
      <c r="Y221" s="249"/>
      <c r="Z221" s="249"/>
      <c r="AA221" s="249"/>
      <c r="AB221" s="249"/>
      <c r="AC221" s="249"/>
      <c r="AD221" s="249"/>
      <c r="AE221" s="249"/>
      <c r="AF221" s="249"/>
      <c r="AG221" s="249"/>
      <c r="AH221" s="249"/>
      <c r="AI221" s="249"/>
      <c r="AJ221" s="249"/>
      <c r="AK221" s="249"/>
      <c r="AL221" s="249"/>
      <c r="AM221" s="249"/>
      <c r="AN221" s="249"/>
      <c r="AO221" s="249"/>
      <c r="AP221" s="249"/>
      <c r="AQ221" s="249"/>
      <c r="AR221" s="249"/>
      <c r="AS221" s="249"/>
      <c r="AT221" s="249"/>
      <c r="AU221" s="249"/>
      <c r="AV221" s="249"/>
      <c r="AW221" s="249"/>
      <c r="AX221" s="250"/>
      <c r="AY221" s="249"/>
      <c r="AZ221" s="250"/>
      <c r="BA221" s="250"/>
      <c r="BB221" s="250"/>
      <c r="BC221" s="249"/>
      <c r="BD221" s="250"/>
      <c r="BE221" s="250"/>
      <c r="BF221" s="250"/>
      <c r="BG221" s="249"/>
      <c r="BH221" s="250">
        <f t="shared" si="228"/>
        <v>0</v>
      </c>
      <c r="BI221" s="251">
        <f>Автовик_разбивка[[#This Row],[Цена, 
юань, без НДС 1]]*BH221</f>
        <v>0</v>
      </c>
      <c r="BJ221" s="250">
        <f t="shared" si="229"/>
        <v>0</v>
      </c>
      <c r="BK221" s="251">
        <f>Автовик_разбивка[[#This Row],[Цена, 
юань, без НДС 1]]*BJ221</f>
        <v>0</v>
      </c>
      <c r="BL221" s="250">
        <f t="shared" si="230"/>
        <v>0</v>
      </c>
      <c r="BM221" s="251">
        <f>Автовик_разбивка[[#This Row],[Цена, 
юань, без НДС 1]]*BL221</f>
        <v>0</v>
      </c>
      <c r="BN221" s="249"/>
      <c r="BO221" s="249"/>
      <c r="BP221" s="249"/>
      <c r="BQ221" s="249"/>
      <c r="BR221" s="249"/>
      <c r="BS221" s="249"/>
      <c r="BT221" s="249"/>
      <c r="BU221" s="249"/>
      <c r="BV221" s="249"/>
      <c r="BW221" s="249"/>
      <c r="BX221" s="249"/>
      <c r="BY221" s="249"/>
      <c r="BZ221" s="249"/>
      <c r="CA221" s="249"/>
      <c r="CB221" s="249"/>
      <c r="CC221" s="249"/>
      <c r="CD221" s="249"/>
      <c r="CE221" s="249"/>
      <c r="CF221" s="249"/>
      <c r="CG221" s="249"/>
      <c r="CH221" s="249"/>
      <c r="CI221" s="249"/>
      <c r="CJ221" s="249"/>
      <c r="CK221" s="249"/>
      <c r="CL221" s="249"/>
      <c r="CM221" s="249"/>
      <c r="CN221" s="249"/>
      <c r="CO221" s="249"/>
      <c r="CP221" s="249"/>
      <c r="CQ221" s="249"/>
      <c r="CR221" s="249"/>
      <c r="CS221" s="249"/>
      <c r="CT221" s="249"/>
      <c r="CU221" s="249"/>
      <c r="CV221" s="249"/>
      <c r="CW221" s="249"/>
      <c r="CX221" s="249"/>
      <c r="CY221" s="249"/>
      <c r="CZ221" s="249"/>
      <c r="DA221" s="249"/>
      <c r="DB221" s="249"/>
      <c r="DC221" s="249"/>
      <c r="DD221" s="249"/>
      <c r="DE221" s="249"/>
      <c r="DF221" s="249"/>
      <c r="DG221" s="249"/>
      <c r="DH221" s="249"/>
      <c r="DI221" s="249"/>
      <c r="DJ221" s="250"/>
      <c r="DK221" s="249"/>
      <c r="DL221" s="250"/>
      <c r="DM221" s="250"/>
      <c r="DN221" s="250"/>
      <c r="DO221" s="250"/>
      <c r="DP221" s="249"/>
      <c r="DQ221" s="250"/>
      <c r="DR221" s="250"/>
      <c r="DS221" s="250"/>
      <c r="DT221" s="250"/>
      <c r="DU221" s="249"/>
      <c r="DV221" s="250">
        <f t="shared" si="231"/>
        <v>0</v>
      </c>
      <c r="DW221" s="251">
        <f>Автовик_разбивка[[#This Row],[Цена, 
юань, без НДС 1]]*DV221</f>
        <v>0</v>
      </c>
      <c r="DX221" s="251">
        <f t="shared" si="232"/>
        <v>0</v>
      </c>
      <c r="DY221" s="251">
        <f>Автовик_разбивка[[#This Row],[Цена, 
юань, без НДС 1]]*DX221</f>
        <v>0</v>
      </c>
      <c r="DZ221" s="250">
        <f t="shared" si="233"/>
        <v>0</v>
      </c>
      <c r="EA221" s="251">
        <f>Автовик_разбивка[[#This Row],[Цена, 
юань, без НДС 1]]*DZ221</f>
        <v>0</v>
      </c>
      <c r="EB221" s="250">
        <f t="shared" si="234"/>
        <v>0</v>
      </c>
      <c r="EC221" s="251">
        <f>Автовик_разбивка[[#This Row],[Цена, 
юань, без НДС 1]]*EB221</f>
        <v>0</v>
      </c>
    </row>
    <row r="222" spans="1:133">
      <c r="A222" s="265">
        <v>999</v>
      </c>
      <c r="B222" s="266" t="s">
        <v>336</v>
      </c>
      <c r="C222" s="173" t="s">
        <v>303</v>
      </c>
      <c r="D222" s="173" t="s">
        <v>303</v>
      </c>
      <c r="E222" s="174">
        <v>1</v>
      </c>
      <c r="F222" s="174"/>
      <c r="G222" s="195"/>
      <c r="H222" s="196">
        <v>4496161560</v>
      </c>
      <c r="I222" s="197" t="s">
        <v>103</v>
      </c>
      <c r="J222" s="222"/>
      <c r="K222" s="223"/>
      <c r="L222" s="178">
        <v>10</v>
      </c>
      <c r="M222" s="130">
        <v>10</v>
      </c>
      <c r="N222" s="179"/>
      <c r="O222" s="130"/>
      <c r="P222" s="178">
        <v>10</v>
      </c>
      <c r="Q222" s="130"/>
      <c r="R222" s="179"/>
      <c r="S222" s="130"/>
      <c r="T222" s="178">
        <v>10</v>
      </c>
      <c r="U222" s="130"/>
      <c r="V222" s="179"/>
      <c r="W222" s="130"/>
      <c r="X222" s="178">
        <v>10</v>
      </c>
      <c r="Y222" s="130"/>
      <c r="Z222" s="179"/>
      <c r="AA222" s="130"/>
      <c r="AB222" s="178">
        <v>10</v>
      </c>
      <c r="AC222" s="130"/>
      <c r="AD222" s="179"/>
      <c r="AE222" s="130"/>
      <c r="AF222" s="178">
        <v>10</v>
      </c>
      <c r="AG222" s="130"/>
      <c r="AH222" s="179"/>
      <c r="AI222" s="130"/>
      <c r="AJ222" s="178">
        <v>10</v>
      </c>
      <c r="AK222" s="130"/>
      <c r="AL222" s="179"/>
      <c r="AM222" s="130"/>
      <c r="AN222" s="178">
        <v>10</v>
      </c>
      <c r="AO222" s="130"/>
      <c r="AP222" s="179"/>
      <c r="AQ222" s="130"/>
      <c r="AR222" s="178">
        <v>10</v>
      </c>
      <c r="AS222" s="130"/>
      <c r="AT222" s="179"/>
      <c r="AU222" s="130"/>
      <c r="AV222" s="178">
        <v>10</v>
      </c>
      <c r="AW222" s="130"/>
      <c r="AX222" s="179"/>
      <c r="AY222" s="130"/>
      <c r="AZ222" s="178">
        <v>10</v>
      </c>
      <c r="BA222" s="130"/>
      <c r="BB222" s="194"/>
      <c r="BC222" s="130"/>
      <c r="BD222" s="178">
        <v>10</v>
      </c>
      <c r="BE222" s="130"/>
      <c r="BF222" s="109"/>
      <c r="BG222" s="130"/>
      <c r="BH222" s="180">
        <f t="shared" si="228"/>
        <v>120</v>
      </c>
      <c r="BI222" s="181">
        <f>Автовик_разбивка[[#This Row],[Цена, 
юань, без НДС 1]]*BH222</f>
        <v>0</v>
      </c>
      <c r="BJ222" s="130">
        <f t="shared" si="229"/>
        <v>10</v>
      </c>
      <c r="BK222" s="187">
        <f>Автовик_разбивка[[#This Row],[Цена, 
юань, без НДС 1]]*BJ222</f>
        <v>0</v>
      </c>
      <c r="BL222" s="109">
        <f t="shared" si="230"/>
        <v>0</v>
      </c>
      <c r="BM222" s="224">
        <f>Автовик_разбивка[[#This Row],[Цена, 
юань, без НДС 1]]*BL222</f>
        <v>0</v>
      </c>
      <c r="BN222" s="178"/>
      <c r="BO222" s="184"/>
      <c r="BP222" s="130"/>
      <c r="BQ222" s="179"/>
      <c r="BR222" s="130"/>
      <c r="BS222" s="178"/>
      <c r="BT222" s="184"/>
      <c r="BU222" s="130"/>
      <c r="BV222" s="179"/>
      <c r="BW222" s="130"/>
      <c r="BX222" s="178"/>
      <c r="BY222" s="184"/>
      <c r="BZ222" s="130"/>
      <c r="CA222" s="179"/>
      <c r="CB222" s="130"/>
      <c r="CC222" s="178"/>
      <c r="CD222" s="184"/>
      <c r="CE222" s="130"/>
      <c r="CF222" s="179"/>
      <c r="CG222" s="130"/>
      <c r="CH222" s="178"/>
      <c r="CI222" s="184"/>
      <c r="CJ222" s="130"/>
      <c r="CK222" s="179"/>
      <c r="CL222" s="130"/>
      <c r="CM222" s="178"/>
      <c r="CN222" s="184"/>
      <c r="CO222" s="130"/>
      <c r="CP222" s="179"/>
      <c r="CQ222" s="130"/>
      <c r="CR222" s="178"/>
      <c r="CS222" s="184"/>
      <c r="CT222" s="130"/>
      <c r="CU222" s="179"/>
      <c r="CV222" s="130"/>
      <c r="CW222" s="178"/>
      <c r="CX222" s="184"/>
      <c r="CY222" s="130"/>
      <c r="CZ222" s="179"/>
      <c r="DA222" s="130"/>
      <c r="DB222" s="178"/>
      <c r="DC222" s="184"/>
      <c r="DD222" s="130"/>
      <c r="DE222" s="179"/>
      <c r="DF222" s="130"/>
      <c r="DG222" s="178"/>
      <c r="DH222" s="184"/>
      <c r="DI222" s="130"/>
      <c r="DJ222" s="179"/>
      <c r="DK222" s="130"/>
      <c r="DL222" s="178"/>
      <c r="DM222" s="184"/>
      <c r="DN222" s="130"/>
      <c r="DO222" s="194"/>
      <c r="DP222" s="130"/>
      <c r="DQ222" s="178"/>
      <c r="DR222" s="184"/>
      <c r="DS222" s="130"/>
      <c r="DT222" s="109"/>
      <c r="DU222" s="130"/>
      <c r="DV222" s="180">
        <f t="shared" si="231"/>
        <v>0</v>
      </c>
      <c r="DW222" s="181">
        <f>Автовик_разбивка[[#This Row],[Цена, 
юань, без НДС 1]]*DV222</f>
        <v>0</v>
      </c>
      <c r="DX222" s="186">
        <f t="shared" si="232"/>
        <v>0</v>
      </c>
      <c r="DY222" s="186">
        <f>Автовик_разбивка[[#This Row],[Цена, 
юань, без НДС 1]]*DX222</f>
        <v>0</v>
      </c>
      <c r="DZ222" s="130">
        <f t="shared" si="233"/>
        <v>0</v>
      </c>
      <c r="EA222" s="187">
        <f>Автовик_разбивка[[#This Row],[Цена, 
юань, без НДС 1]]*DZ222</f>
        <v>0</v>
      </c>
      <c r="EB222" s="109">
        <f t="shared" si="234"/>
        <v>0</v>
      </c>
      <c r="EC222" s="224">
        <f>Автовик_разбивка[[#This Row],[Цена, 
юань, без НДС 1]]*EB222</f>
        <v>0</v>
      </c>
    </row>
    <row r="223" spans="1:133">
      <c r="A223" s="265">
        <v>999</v>
      </c>
      <c r="B223" s="266" t="s">
        <v>336</v>
      </c>
      <c r="C223" s="173" t="s">
        <v>303</v>
      </c>
      <c r="D223" s="173" t="s">
        <v>303</v>
      </c>
      <c r="E223" s="174">
        <v>2</v>
      </c>
      <c r="F223" s="174"/>
      <c r="G223" s="195">
        <v>2</v>
      </c>
      <c r="H223" s="196">
        <v>4497120300</v>
      </c>
      <c r="I223" s="197" t="s">
        <v>100</v>
      </c>
      <c r="J223" s="222"/>
      <c r="K223" s="223"/>
      <c r="L223" s="178"/>
      <c r="M223" s="130"/>
      <c r="N223" s="179"/>
      <c r="O223" s="130"/>
      <c r="P223" s="178"/>
      <c r="Q223" s="130"/>
      <c r="R223" s="179"/>
      <c r="S223" s="130"/>
      <c r="T223" s="178"/>
      <c r="U223" s="130"/>
      <c r="V223" s="179"/>
      <c r="W223" s="130"/>
      <c r="X223" s="178"/>
      <c r="Y223" s="130"/>
      <c r="Z223" s="179"/>
      <c r="AA223" s="130"/>
      <c r="AB223" s="178"/>
      <c r="AC223" s="130"/>
      <c r="AD223" s="179"/>
      <c r="AE223" s="130"/>
      <c r="AF223" s="178"/>
      <c r="AG223" s="130"/>
      <c r="AH223" s="179"/>
      <c r="AI223" s="130"/>
      <c r="AJ223" s="178"/>
      <c r="AK223" s="130"/>
      <c r="AL223" s="179"/>
      <c r="AM223" s="130"/>
      <c r="AN223" s="178"/>
      <c r="AO223" s="130"/>
      <c r="AP223" s="179"/>
      <c r="AQ223" s="130"/>
      <c r="AR223" s="178"/>
      <c r="AS223" s="130"/>
      <c r="AT223" s="179"/>
      <c r="AU223" s="130"/>
      <c r="AV223" s="178"/>
      <c r="AW223" s="130"/>
      <c r="AX223" s="179"/>
      <c r="AY223" s="130"/>
      <c r="AZ223" s="178"/>
      <c r="BA223" s="130"/>
      <c r="BB223" s="194"/>
      <c r="BC223" s="130"/>
      <c r="BD223" s="178"/>
      <c r="BE223" s="130"/>
      <c r="BF223" s="109"/>
      <c r="BG223" s="130"/>
      <c r="BH223" s="180">
        <f t="shared" si="228"/>
        <v>0</v>
      </c>
      <c r="BI223" s="181">
        <f>Автовик_разбивка[[#This Row],[Цена, 
юань, без НДС 1]]*BH223</f>
        <v>0</v>
      </c>
      <c r="BJ223" s="130">
        <f t="shared" si="229"/>
        <v>0</v>
      </c>
      <c r="BK223" s="187">
        <f>Автовик_разбивка[[#This Row],[Цена, 
юань, без НДС 1]]*BJ223</f>
        <v>0</v>
      </c>
      <c r="BL223" s="109">
        <f t="shared" si="230"/>
        <v>0</v>
      </c>
      <c r="BM223" s="224">
        <f>Автовик_разбивка[[#This Row],[Цена, 
юань, без НДС 1]]*BL223</f>
        <v>0</v>
      </c>
      <c r="BN223" s="178"/>
      <c r="BO223" s="184"/>
      <c r="BP223" s="130"/>
      <c r="BQ223" s="179"/>
      <c r="BR223" s="130"/>
      <c r="BS223" s="178"/>
      <c r="BT223" s="184"/>
      <c r="BU223" s="130"/>
      <c r="BV223" s="179"/>
      <c r="BW223" s="130"/>
      <c r="BX223" s="178"/>
      <c r="BY223" s="184"/>
      <c r="BZ223" s="130"/>
      <c r="CA223" s="179"/>
      <c r="CB223" s="130"/>
      <c r="CC223" s="178"/>
      <c r="CD223" s="184"/>
      <c r="CE223" s="130"/>
      <c r="CF223" s="179"/>
      <c r="CG223" s="130"/>
      <c r="CH223" s="178"/>
      <c r="CI223" s="184"/>
      <c r="CJ223" s="130"/>
      <c r="CK223" s="179"/>
      <c r="CL223" s="130"/>
      <c r="CM223" s="178"/>
      <c r="CN223" s="184"/>
      <c r="CO223" s="130"/>
      <c r="CP223" s="179"/>
      <c r="CQ223" s="130"/>
      <c r="CR223" s="178"/>
      <c r="CS223" s="184"/>
      <c r="CT223" s="130"/>
      <c r="CU223" s="179"/>
      <c r="CV223" s="130"/>
      <c r="CW223" s="178"/>
      <c r="CX223" s="184"/>
      <c r="CY223" s="130"/>
      <c r="CZ223" s="179"/>
      <c r="DA223" s="130"/>
      <c r="DB223" s="178"/>
      <c r="DC223" s="184"/>
      <c r="DD223" s="130"/>
      <c r="DE223" s="179"/>
      <c r="DF223" s="130"/>
      <c r="DG223" s="178"/>
      <c r="DH223" s="184"/>
      <c r="DI223" s="130"/>
      <c r="DJ223" s="179"/>
      <c r="DK223" s="130"/>
      <c r="DL223" s="178"/>
      <c r="DM223" s="184"/>
      <c r="DN223" s="130"/>
      <c r="DO223" s="194"/>
      <c r="DP223" s="130"/>
      <c r="DQ223" s="178"/>
      <c r="DR223" s="184"/>
      <c r="DS223" s="130"/>
      <c r="DT223" s="109"/>
      <c r="DU223" s="130"/>
      <c r="DV223" s="180">
        <f t="shared" si="231"/>
        <v>0</v>
      </c>
      <c r="DW223" s="181">
        <f>Автовик_разбивка[[#This Row],[Цена, 
юань, без НДС 1]]*DV223</f>
        <v>0</v>
      </c>
      <c r="DX223" s="186">
        <f t="shared" si="232"/>
        <v>0</v>
      </c>
      <c r="DY223" s="186">
        <f>Автовик_разбивка[[#This Row],[Цена, 
юань, без НДС 1]]*DX223</f>
        <v>0</v>
      </c>
      <c r="DZ223" s="130">
        <f t="shared" si="233"/>
        <v>0</v>
      </c>
      <c r="EA223" s="187">
        <f>Автовик_разбивка[[#This Row],[Цена, 
юань, без НДС 1]]*DZ223</f>
        <v>0</v>
      </c>
      <c r="EB223" s="109">
        <f t="shared" si="234"/>
        <v>0</v>
      </c>
      <c r="EC223" s="224">
        <f>Автовик_разбивка[[#This Row],[Цена, 
юань, без НДС 1]]*EB223</f>
        <v>0</v>
      </c>
    </row>
    <row r="224" spans="1:133">
      <c r="A224" s="265">
        <v>999</v>
      </c>
      <c r="B224" s="266" t="s">
        <v>336</v>
      </c>
      <c r="C224" s="173" t="s">
        <v>303</v>
      </c>
      <c r="D224" s="173" t="s">
        <v>303</v>
      </c>
      <c r="E224" s="174"/>
      <c r="F224" s="174"/>
      <c r="G224" s="195">
        <v>2</v>
      </c>
      <c r="H224" s="196">
        <v>4497490300</v>
      </c>
      <c r="I224" s="197" t="s">
        <v>100</v>
      </c>
      <c r="J224" s="222"/>
      <c r="K224" s="223"/>
      <c r="L224" s="178">
        <v>20</v>
      </c>
      <c r="M224" s="130">
        <v>20</v>
      </c>
      <c r="N224" s="179"/>
      <c r="O224" s="130"/>
      <c r="P224" s="178">
        <v>20</v>
      </c>
      <c r="Q224" s="130"/>
      <c r="R224" s="179"/>
      <c r="S224" s="130"/>
      <c r="T224" s="178">
        <v>20</v>
      </c>
      <c r="U224" s="130"/>
      <c r="V224" s="179"/>
      <c r="W224" s="130"/>
      <c r="X224" s="178">
        <v>20</v>
      </c>
      <c r="Y224" s="130"/>
      <c r="Z224" s="179"/>
      <c r="AA224" s="130"/>
      <c r="AB224" s="178">
        <v>20</v>
      </c>
      <c r="AC224" s="130"/>
      <c r="AD224" s="179"/>
      <c r="AE224" s="130"/>
      <c r="AF224" s="178">
        <v>20</v>
      </c>
      <c r="AG224" s="130"/>
      <c r="AH224" s="179"/>
      <c r="AI224" s="130"/>
      <c r="AJ224" s="178">
        <v>20</v>
      </c>
      <c r="AK224" s="130"/>
      <c r="AL224" s="179"/>
      <c r="AM224" s="130"/>
      <c r="AN224" s="178">
        <v>20</v>
      </c>
      <c r="AO224" s="130"/>
      <c r="AP224" s="179"/>
      <c r="AQ224" s="130"/>
      <c r="AR224" s="178">
        <v>20</v>
      </c>
      <c r="AS224" s="130"/>
      <c r="AT224" s="179"/>
      <c r="AU224" s="130"/>
      <c r="AV224" s="178">
        <v>20</v>
      </c>
      <c r="AW224" s="130"/>
      <c r="AX224" s="179"/>
      <c r="AY224" s="130"/>
      <c r="AZ224" s="178">
        <v>20</v>
      </c>
      <c r="BA224" s="130"/>
      <c r="BB224" s="194"/>
      <c r="BC224" s="130"/>
      <c r="BD224" s="178">
        <v>20</v>
      </c>
      <c r="BE224" s="130"/>
      <c r="BF224" s="109"/>
      <c r="BG224" s="130"/>
      <c r="BH224" s="180">
        <f t="shared" si="228"/>
        <v>240</v>
      </c>
      <c r="BI224" s="181">
        <f>Автовик_разбивка[[#This Row],[Цена, 
юань, без НДС 1]]*BH224</f>
        <v>0</v>
      </c>
      <c r="BJ224" s="130">
        <f t="shared" si="229"/>
        <v>20</v>
      </c>
      <c r="BK224" s="187">
        <f>Автовик_разбивка[[#This Row],[Цена, 
юань, без НДС 1]]*BJ224</f>
        <v>0</v>
      </c>
      <c r="BL224" s="109">
        <f t="shared" si="230"/>
        <v>0</v>
      </c>
      <c r="BM224" s="224">
        <f>Автовик_разбивка[[#This Row],[Цена, 
юань, без НДС 1]]*BL224</f>
        <v>0</v>
      </c>
      <c r="BN224" s="178"/>
      <c r="BO224" s="184"/>
      <c r="BP224" s="130"/>
      <c r="BQ224" s="179"/>
      <c r="BR224" s="130"/>
      <c r="BS224" s="178"/>
      <c r="BT224" s="184"/>
      <c r="BU224" s="130"/>
      <c r="BV224" s="179"/>
      <c r="BW224" s="130"/>
      <c r="BX224" s="178"/>
      <c r="BY224" s="184"/>
      <c r="BZ224" s="130"/>
      <c r="CA224" s="179"/>
      <c r="CB224" s="130"/>
      <c r="CC224" s="178"/>
      <c r="CD224" s="184"/>
      <c r="CE224" s="130"/>
      <c r="CF224" s="179"/>
      <c r="CG224" s="130"/>
      <c r="CH224" s="178"/>
      <c r="CI224" s="184"/>
      <c r="CJ224" s="130"/>
      <c r="CK224" s="179"/>
      <c r="CL224" s="130"/>
      <c r="CM224" s="178"/>
      <c r="CN224" s="184"/>
      <c r="CO224" s="130"/>
      <c r="CP224" s="179"/>
      <c r="CQ224" s="130"/>
      <c r="CR224" s="178"/>
      <c r="CS224" s="184"/>
      <c r="CT224" s="130"/>
      <c r="CU224" s="179"/>
      <c r="CV224" s="130"/>
      <c r="CW224" s="178"/>
      <c r="CX224" s="184"/>
      <c r="CY224" s="130"/>
      <c r="CZ224" s="179"/>
      <c r="DA224" s="130"/>
      <c r="DB224" s="178"/>
      <c r="DC224" s="184"/>
      <c r="DD224" s="130"/>
      <c r="DE224" s="179"/>
      <c r="DF224" s="130"/>
      <c r="DG224" s="178"/>
      <c r="DH224" s="184"/>
      <c r="DI224" s="130"/>
      <c r="DJ224" s="179"/>
      <c r="DK224" s="130"/>
      <c r="DL224" s="178"/>
      <c r="DM224" s="184"/>
      <c r="DN224" s="130"/>
      <c r="DO224" s="194"/>
      <c r="DP224" s="130"/>
      <c r="DQ224" s="178"/>
      <c r="DR224" s="184"/>
      <c r="DS224" s="130"/>
      <c r="DT224" s="109"/>
      <c r="DU224" s="130"/>
      <c r="DV224" s="180">
        <f t="shared" si="231"/>
        <v>0</v>
      </c>
      <c r="DW224" s="181">
        <f>Автовик_разбивка[[#This Row],[Цена, 
юань, без НДС 1]]*DV224</f>
        <v>0</v>
      </c>
      <c r="DX224" s="186">
        <f t="shared" si="232"/>
        <v>0</v>
      </c>
      <c r="DY224" s="186">
        <f>Автовик_разбивка[[#This Row],[Цена, 
юань, без НДС 1]]*DX224</f>
        <v>0</v>
      </c>
      <c r="DZ224" s="130">
        <f t="shared" si="233"/>
        <v>0</v>
      </c>
      <c r="EA224" s="187">
        <f>Автовик_разбивка[[#This Row],[Цена, 
юань, без НДС 1]]*DZ224</f>
        <v>0</v>
      </c>
      <c r="EB224" s="109">
        <f t="shared" si="234"/>
        <v>0</v>
      </c>
      <c r="EC224" s="224">
        <f>Автовик_разбивка[[#This Row],[Цена, 
юань, без НДС 1]]*EB224</f>
        <v>0</v>
      </c>
    </row>
    <row r="225" spans="1:133">
      <c r="A225" s="265">
        <v>999</v>
      </c>
      <c r="B225" s="266" t="s">
        <v>336</v>
      </c>
      <c r="C225" s="173" t="s">
        <v>303</v>
      </c>
      <c r="D225" s="173" t="s">
        <v>303</v>
      </c>
      <c r="E225" s="174">
        <v>1</v>
      </c>
      <c r="F225" s="174"/>
      <c r="G225" s="195"/>
      <c r="H225" s="196">
        <v>4721950310</v>
      </c>
      <c r="I225" s="197" t="s">
        <v>102</v>
      </c>
      <c r="J225" s="222"/>
      <c r="K225" s="223"/>
      <c r="L225" s="178">
        <v>10</v>
      </c>
      <c r="M225" s="130">
        <v>10</v>
      </c>
      <c r="N225" s="179"/>
      <c r="O225" s="130"/>
      <c r="P225" s="178">
        <v>10</v>
      </c>
      <c r="Q225" s="130"/>
      <c r="R225" s="179"/>
      <c r="S225" s="130"/>
      <c r="T225" s="178">
        <v>10</v>
      </c>
      <c r="U225" s="130"/>
      <c r="V225" s="179"/>
      <c r="W225" s="130"/>
      <c r="X225" s="178">
        <v>10</v>
      </c>
      <c r="Y225" s="130"/>
      <c r="Z225" s="179"/>
      <c r="AA225" s="130"/>
      <c r="AB225" s="178">
        <v>10</v>
      </c>
      <c r="AC225" s="130"/>
      <c r="AD225" s="179"/>
      <c r="AE225" s="130"/>
      <c r="AF225" s="178">
        <v>10</v>
      </c>
      <c r="AG225" s="130"/>
      <c r="AH225" s="179"/>
      <c r="AI225" s="130"/>
      <c r="AJ225" s="178">
        <v>10</v>
      </c>
      <c r="AK225" s="130"/>
      <c r="AL225" s="179"/>
      <c r="AM225" s="130"/>
      <c r="AN225" s="178">
        <v>10</v>
      </c>
      <c r="AO225" s="130"/>
      <c r="AP225" s="179"/>
      <c r="AQ225" s="130"/>
      <c r="AR225" s="178">
        <v>10</v>
      </c>
      <c r="AS225" s="130"/>
      <c r="AT225" s="179"/>
      <c r="AU225" s="130"/>
      <c r="AV225" s="178">
        <v>10</v>
      </c>
      <c r="AW225" s="130"/>
      <c r="AX225" s="179"/>
      <c r="AY225" s="130"/>
      <c r="AZ225" s="178">
        <v>10</v>
      </c>
      <c r="BA225" s="130"/>
      <c r="BB225" s="194"/>
      <c r="BC225" s="130"/>
      <c r="BD225" s="178">
        <v>10</v>
      </c>
      <c r="BE225" s="130"/>
      <c r="BF225" s="109"/>
      <c r="BG225" s="130"/>
      <c r="BH225" s="180">
        <f t="shared" si="228"/>
        <v>120</v>
      </c>
      <c r="BI225" s="181">
        <f>Автовик_разбивка[[#This Row],[Цена, 
юань, без НДС 1]]*BH225</f>
        <v>0</v>
      </c>
      <c r="BJ225" s="130">
        <f t="shared" si="229"/>
        <v>10</v>
      </c>
      <c r="BK225" s="187">
        <f>Автовик_разбивка[[#This Row],[Цена, 
юань, без НДС 1]]*BJ225</f>
        <v>0</v>
      </c>
      <c r="BL225" s="109">
        <f t="shared" si="230"/>
        <v>0</v>
      </c>
      <c r="BM225" s="224">
        <f>Автовик_разбивка[[#This Row],[Цена, 
юань, без НДС 1]]*BL225</f>
        <v>0</v>
      </c>
      <c r="BN225" s="178"/>
      <c r="BO225" s="184"/>
      <c r="BP225" s="130"/>
      <c r="BQ225" s="179"/>
      <c r="BR225" s="130"/>
      <c r="BS225" s="178"/>
      <c r="BT225" s="184"/>
      <c r="BU225" s="130"/>
      <c r="BV225" s="179"/>
      <c r="BW225" s="130"/>
      <c r="BX225" s="178"/>
      <c r="BY225" s="184"/>
      <c r="BZ225" s="130"/>
      <c r="CA225" s="179"/>
      <c r="CB225" s="130"/>
      <c r="CC225" s="178"/>
      <c r="CD225" s="184"/>
      <c r="CE225" s="130"/>
      <c r="CF225" s="179"/>
      <c r="CG225" s="130"/>
      <c r="CH225" s="178"/>
      <c r="CI225" s="184"/>
      <c r="CJ225" s="130"/>
      <c r="CK225" s="179"/>
      <c r="CL225" s="130"/>
      <c r="CM225" s="178"/>
      <c r="CN225" s="184"/>
      <c r="CO225" s="130"/>
      <c r="CP225" s="179"/>
      <c r="CQ225" s="130"/>
      <c r="CR225" s="178"/>
      <c r="CS225" s="184"/>
      <c r="CT225" s="130"/>
      <c r="CU225" s="179"/>
      <c r="CV225" s="130"/>
      <c r="CW225" s="178"/>
      <c r="CX225" s="184"/>
      <c r="CY225" s="130"/>
      <c r="CZ225" s="179"/>
      <c r="DA225" s="130"/>
      <c r="DB225" s="178"/>
      <c r="DC225" s="184"/>
      <c r="DD225" s="130"/>
      <c r="DE225" s="179"/>
      <c r="DF225" s="130"/>
      <c r="DG225" s="178"/>
      <c r="DH225" s="184"/>
      <c r="DI225" s="130"/>
      <c r="DJ225" s="179"/>
      <c r="DK225" s="130"/>
      <c r="DL225" s="178"/>
      <c r="DM225" s="184"/>
      <c r="DN225" s="130"/>
      <c r="DO225" s="194"/>
      <c r="DP225" s="130"/>
      <c r="DQ225" s="178"/>
      <c r="DR225" s="184"/>
      <c r="DS225" s="130"/>
      <c r="DT225" s="109"/>
      <c r="DU225" s="130"/>
      <c r="DV225" s="180">
        <f t="shared" si="231"/>
        <v>0</v>
      </c>
      <c r="DW225" s="181">
        <f>Автовик_разбивка[[#This Row],[Цена, 
юань, без НДС 1]]*DV225</f>
        <v>0</v>
      </c>
      <c r="DX225" s="186">
        <f t="shared" si="232"/>
        <v>0</v>
      </c>
      <c r="DY225" s="186">
        <f>Автовик_разбивка[[#This Row],[Цена, 
юань, без НДС 1]]*DX225</f>
        <v>0</v>
      </c>
      <c r="DZ225" s="130">
        <f t="shared" si="233"/>
        <v>0</v>
      </c>
      <c r="EA225" s="187">
        <f>Автовик_разбивка[[#This Row],[Цена, 
юань, без НДС 1]]*DZ225</f>
        <v>0</v>
      </c>
      <c r="EB225" s="109">
        <f t="shared" si="234"/>
        <v>0</v>
      </c>
      <c r="EC225" s="224">
        <f>Автовик_разбивка[[#This Row],[Цена, 
юань, без НДС 1]]*EB225</f>
        <v>0</v>
      </c>
    </row>
    <row r="226" spans="1:133">
      <c r="A226" s="265">
        <v>999</v>
      </c>
      <c r="B226" s="266" t="s">
        <v>336</v>
      </c>
      <c r="C226" s="173" t="s">
        <v>301</v>
      </c>
      <c r="D226" s="173" t="s">
        <v>302</v>
      </c>
      <c r="E226" s="174">
        <v>1</v>
      </c>
      <c r="F226" s="174"/>
      <c r="G226" s="190">
        <v>2</v>
      </c>
      <c r="H226" s="191">
        <v>4005000880</v>
      </c>
      <c r="I226" s="192" t="s">
        <v>96</v>
      </c>
      <c r="J226" s="222"/>
      <c r="K226" s="223"/>
      <c r="L226" s="178">
        <v>50</v>
      </c>
      <c r="M226" s="130">
        <v>50</v>
      </c>
      <c r="N226" s="179"/>
      <c r="O226" s="130"/>
      <c r="P226" s="178">
        <v>50</v>
      </c>
      <c r="Q226" s="130"/>
      <c r="R226" s="179"/>
      <c r="S226" s="130"/>
      <c r="T226" s="178">
        <v>50</v>
      </c>
      <c r="U226" s="130"/>
      <c r="V226" s="179"/>
      <c r="W226" s="130"/>
      <c r="X226" s="178">
        <v>50</v>
      </c>
      <c r="Y226" s="130"/>
      <c r="Z226" s="179"/>
      <c r="AA226" s="130"/>
      <c r="AB226" s="178">
        <v>50</v>
      </c>
      <c r="AC226" s="130"/>
      <c r="AD226" s="179"/>
      <c r="AE226" s="130"/>
      <c r="AF226" s="178">
        <v>50</v>
      </c>
      <c r="AG226" s="130"/>
      <c r="AH226" s="179"/>
      <c r="AI226" s="130"/>
      <c r="AJ226" s="178">
        <v>50</v>
      </c>
      <c r="AK226" s="130"/>
      <c r="AL226" s="179"/>
      <c r="AM226" s="130"/>
      <c r="AN226" s="178">
        <v>50</v>
      </c>
      <c r="AO226" s="130"/>
      <c r="AP226" s="179"/>
      <c r="AQ226" s="130"/>
      <c r="AR226" s="178">
        <v>50</v>
      </c>
      <c r="AS226" s="130"/>
      <c r="AT226" s="179"/>
      <c r="AU226" s="130"/>
      <c r="AV226" s="178">
        <v>50</v>
      </c>
      <c r="AW226" s="130"/>
      <c r="AX226" s="179"/>
      <c r="AY226" s="130"/>
      <c r="AZ226" s="178">
        <v>50</v>
      </c>
      <c r="BA226" s="130"/>
      <c r="BB226" s="194"/>
      <c r="BC226" s="130"/>
      <c r="BD226" s="178">
        <v>50</v>
      </c>
      <c r="BE226" s="130"/>
      <c r="BF226" s="109"/>
      <c r="BG226" s="130"/>
      <c r="BH226" s="180">
        <f t="shared" si="228"/>
        <v>600</v>
      </c>
      <c r="BI226" s="181">
        <f>Автовик_разбивка[[#This Row],[Цена, 
юань, без НДС 1]]*BH226</f>
        <v>0</v>
      </c>
      <c r="BJ226" s="130">
        <f t="shared" si="229"/>
        <v>50</v>
      </c>
      <c r="BK226" s="187">
        <f>Автовик_разбивка[[#This Row],[Цена, 
юань, без НДС 1]]*BJ226</f>
        <v>0</v>
      </c>
      <c r="BL226" s="109">
        <f t="shared" si="230"/>
        <v>0</v>
      </c>
      <c r="BM226" s="224">
        <f>Автовик_разбивка[[#This Row],[Цена, 
юань, без НДС 1]]*BL226</f>
        <v>0</v>
      </c>
      <c r="BN226" s="178"/>
      <c r="BO226" s="184"/>
      <c r="BP226" s="130"/>
      <c r="BQ226" s="179"/>
      <c r="BR226" s="130"/>
      <c r="BS226" s="178"/>
      <c r="BT226" s="184"/>
      <c r="BU226" s="130"/>
      <c r="BV226" s="179"/>
      <c r="BW226" s="130"/>
      <c r="BX226" s="178"/>
      <c r="BY226" s="184"/>
      <c r="BZ226" s="130"/>
      <c r="CA226" s="179"/>
      <c r="CB226" s="130"/>
      <c r="CC226" s="178"/>
      <c r="CD226" s="184"/>
      <c r="CE226" s="130"/>
      <c r="CF226" s="179"/>
      <c r="CG226" s="130"/>
      <c r="CH226" s="178"/>
      <c r="CI226" s="184"/>
      <c r="CJ226" s="130"/>
      <c r="CK226" s="179"/>
      <c r="CL226" s="130"/>
      <c r="CM226" s="178"/>
      <c r="CN226" s="184"/>
      <c r="CO226" s="130"/>
      <c r="CP226" s="179"/>
      <c r="CQ226" s="130"/>
      <c r="CR226" s="178"/>
      <c r="CS226" s="184"/>
      <c r="CT226" s="130"/>
      <c r="CU226" s="179"/>
      <c r="CV226" s="130"/>
      <c r="CW226" s="178"/>
      <c r="CX226" s="184"/>
      <c r="CY226" s="130"/>
      <c r="CZ226" s="179"/>
      <c r="DA226" s="130"/>
      <c r="DB226" s="178"/>
      <c r="DC226" s="184"/>
      <c r="DD226" s="130"/>
      <c r="DE226" s="179"/>
      <c r="DF226" s="130"/>
      <c r="DG226" s="178"/>
      <c r="DH226" s="184"/>
      <c r="DI226" s="130"/>
      <c r="DJ226" s="179"/>
      <c r="DK226" s="130"/>
      <c r="DL226" s="178"/>
      <c r="DM226" s="184"/>
      <c r="DN226" s="130"/>
      <c r="DO226" s="194"/>
      <c r="DP226" s="130"/>
      <c r="DQ226" s="178"/>
      <c r="DR226" s="184"/>
      <c r="DS226" s="130"/>
      <c r="DT226" s="109"/>
      <c r="DU226" s="130"/>
      <c r="DV226" s="180">
        <f t="shared" si="231"/>
        <v>0</v>
      </c>
      <c r="DW226" s="181">
        <f>Автовик_разбивка[[#This Row],[Цена, 
юань, без НДС 1]]*DV226</f>
        <v>0</v>
      </c>
      <c r="DX226" s="186">
        <f t="shared" si="232"/>
        <v>0</v>
      </c>
      <c r="DY226" s="186">
        <f>Автовик_разбивка[[#This Row],[Цена, 
юань, без НДС 1]]*DX226</f>
        <v>0</v>
      </c>
      <c r="DZ226" s="130">
        <f t="shared" si="233"/>
        <v>0</v>
      </c>
      <c r="EA226" s="187">
        <f>Автовик_разбивка[[#This Row],[Цена, 
юань, без НДС 1]]*DZ226</f>
        <v>0</v>
      </c>
      <c r="EB226" s="109">
        <f t="shared" si="234"/>
        <v>0</v>
      </c>
      <c r="EC226" s="224">
        <f>Автовик_разбивка[[#This Row],[Цена, 
юань, без НДС 1]]*EB226</f>
        <v>0</v>
      </c>
    </row>
    <row r="227" spans="1:133">
      <c r="A227" s="265">
        <v>999</v>
      </c>
      <c r="B227" s="266" t="s">
        <v>336</v>
      </c>
      <c r="C227" s="173" t="s">
        <v>301</v>
      </c>
      <c r="D227" s="173" t="s">
        <v>302</v>
      </c>
      <c r="E227" s="174">
        <v>1</v>
      </c>
      <c r="F227" s="174"/>
      <c r="G227" s="190">
        <v>2</v>
      </c>
      <c r="H227" s="191">
        <v>4491301200</v>
      </c>
      <c r="I227" s="192" t="s">
        <v>98</v>
      </c>
      <c r="J227" s="222"/>
      <c r="K227" s="223"/>
      <c r="L227" s="178">
        <v>50</v>
      </c>
      <c r="M227" s="130">
        <v>50</v>
      </c>
      <c r="N227" s="179"/>
      <c r="O227" s="130"/>
      <c r="P227" s="178">
        <v>50</v>
      </c>
      <c r="Q227" s="130"/>
      <c r="R227" s="179"/>
      <c r="S227" s="130"/>
      <c r="T227" s="178">
        <v>50</v>
      </c>
      <c r="U227" s="130"/>
      <c r="V227" s="179"/>
      <c r="W227" s="130"/>
      <c r="X227" s="178">
        <v>50</v>
      </c>
      <c r="Y227" s="130"/>
      <c r="Z227" s="179"/>
      <c r="AA227" s="130"/>
      <c r="AB227" s="178">
        <v>50</v>
      </c>
      <c r="AC227" s="130"/>
      <c r="AD227" s="179"/>
      <c r="AE227" s="130"/>
      <c r="AF227" s="178">
        <v>50</v>
      </c>
      <c r="AG227" s="130"/>
      <c r="AH227" s="179"/>
      <c r="AI227" s="130"/>
      <c r="AJ227" s="178">
        <v>50</v>
      </c>
      <c r="AK227" s="130"/>
      <c r="AL227" s="179"/>
      <c r="AM227" s="130"/>
      <c r="AN227" s="178">
        <v>50</v>
      </c>
      <c r="AO227" s="130"/>
      <c r="AP227" s="179"/>
      <c r="AQ227" s="130"/>
      <c r="AR227" s="178">
        <v>50</v>
      </c>
      <c r="AS227" s="130"/>
      <c r="AT227" s="179"/>
      <c r="AU227" s="130"/>
      <c r="AV227" s="178">
        <v>50</v>
      </c>
      <c r="AW227" s="130"/>
      <c r="AX227" s="179"/>
      <c r="AY227" s="130"/>
      <c r="AZ227" s="178">
        <v>50</v>
      </c>
      <c r="BA227" s="130"/>
      <c r="BB227" s="194"/>
      <c r="BC227" s="130"/>
      <c r="BD227" s="178">
        <v>50</v>
      </c>
      <c r="BE227" s="130"/>
      <c r="BF227" s="109"/>
      <c r="BG227" s="130"/>
      <c r="BH227" s="180">
        <f t="shared" si="228"/>
        <v>600</v>
      </c>
      <c r="BI227" s="181">
        <f>Автовик_разбивка[[#This Row],[Цена, 
юань, без НДС 1]]*BH227</f>
        <v>0</v>
      </c>
      <c r="BJ227" s="130">
        <f t="shared" si="229"/>
        <v>50</v>
      </c>
      <c r="BK227" s="187">
        <f>Автовик_разбивка[[#This Row],[Цена, 
юань, без НДС 1]]*BJ227</f>
        <v>0</v>
      </c>
      <c r="BL227" s="109">
        <f t="shared" si="230"/>
        <v>0</v>
      </c>
      <c r="BM227" s="224">
        <f>Автовик_разбивка[[#This Row],[Цена, 
юань, без НДС 1]]*BL227</f>
        <v>0</v>
      </c>
      <c r="BN227" s="178"/>
      <c r="BO227" s="184"/>
      <c r="BP227" s="130"/>
      <c r="BQ227" s="179"/>
      <c r="BR227" s="130"/>
      <c r="BS227" s="178"/>
      <c r="BT227" s="184"/>
      <c r="BU227" s="130"/>
      <c r="BV227" s="179"/>
      <c r="BW227" s="130"/>
      <c r="BX227" s="178"/>
      <c r="BY227" s="184"/>
      <c r="BZ227" s="130"/>
      <c r="CA227" s="179"/>
      <c r="CB227" s="130"/>
      <c r="CC227" s="178"/>
      <c r="CD227" s="184"/>
      <c r="CE227" s="130"/>
      <c r="CF227" s="179"/>
      <c r="CG227" s="130"/>
      <c r="CH227" s="178"/>
      <c r="CI227" s="184"/>
      <c r="CJ227" s="130"/>
      <c r="CK227" s="179"/>
      <c r="CL227" s="130"/>
      <c r="CM227" s="178"/>
      <c r="CN227" s="184"/>
      <c r="CO227" s="130"/>
      <c r="CP227" s="179"/>
      <c r="CQ227" s="130"/>
      <c r="CR227" s="178"/>
      <c r="CS227" s="184"/>
      <c r="CT227" s="130"/>
      <c r="CU227" s="179"/>
      <c r="CV227" s="130"/>
      <c r="CW227" s="178"/>
      <c r="CX227" s="184"/>
      <c r="CY227" s="130"/>
      <c r="CZ227" s="179"/>
      <c r="DA227" s="130"/>
      <c r="DB227" s="178"/>
      <c r="DC227" s="184"/>
      <c r="DD227" s="130"/>
      <c r="DE227" s="179"/>
      <c r="DF227" s="130"/>
      <c r="DG227" s="178"/>
      <c r="DH227" s="184"/>
      <c r="DI227" s="130"/>
      <c r="DJ227" s="179"/>
      <c r="DK227" s="130"/>
      <c r="DL227" s="178"/>
      <c r="DM227" s="184"/>
      <c r="DN227" s="130"/>
      <c r="DO227" s="194"/>
      <c r="DP227" s="130"/>
      <c r="DQ227" s="178"/>
      <c r="DR227" s="184"/>
      <c r="DS227" s="130"/>
      <c r="DT227" s="109"/>
      <c r="DU227" s="130"/>
      <c r="DV227" s="180">
        <f t="shared" si="231"/>
        <v>0</v>
      </c>
      <c r="DW227" s="181">
        <f>Автовик_разбивка[[#This Row],[Цена, 
юань, без НДС 1]]*DV227</f>
        <v>0</v>
      </c>
      <c r="DX227" s="186">
        <f t="shared" si="232"/>
        <v>0</v>
      </c>
      <c r="DY227" s="186">
        <f>Автовик_разбивка[[#This Row],[Цена, 
юань, без НДС 1]]*DX227</f>
        <v>0</v>
      </c>
      <c r="DZ227" s="130">
        <f t="shared" si="233"/>
        <v>0</v>
      </c>
      <c r="EA227" s="187">
        <f>Автовик_разбивка[[#This Row],[Цена, 
юань, без НДС 1]]*DZ227</f>
        <v>0</v>
      </c>
      <c r="EB227" s="109">
        <f t="shared" si="234"/>
        <v>0</v>
      </c>
      <c r="EC227" s="224">
        <f>Автовик_разбивка[[#This Row],[Цена, 
юань, без НДС 1]]*EB227</f>
        <v>0</v>
      </c>
    </row>
    <row r="228" spans="1:133">
      <c r="A228" s="265">
        <v>999</v>
      </c>
      <c r="B228" s="266" t="s">
        <v>336</v>
      </c>
      <c r="C228" s="173" t="s">
        <v>301</v>
      </c>
      <c r="D228" s="173" t="s">
        <v>302</v>
      </c>
      <c r="E228" s="174">
        <v>1</v>
      </c>
      <c r="F228" s="174"/>
      <c r="G228" s="190">
        <v>2</v>
      </c>
      <c r="H228" s="191">
        <v>4493702820</v>
      </c>
      <c r="I228" s="192" t="s">
        <v>97</v>
      </c>
      <c r="J228" s="222"/>
      <c r="K228" s="223"/>
      <c r="L228" s="178">
        <v>50</v>
      </c>
      <c r="M228" s="130">
        <v>50</v>
      </c>
      <c r="N228" s="179"/>
      <c r="O228" s="130"/>
      <c r="P228" s="178">
        <v>50</v>
      </c>
      <c r="Q228" s="130"/>
      <c r="R228" s="179"/>
      <c r="S228" s="130"/>
      <c r="T228" s="178">
        <v>50</v>
      </c>
      <c r="U228" s="130"/>
      <c r="V228" s="179"/>
      <c r="W228" s="130"/>
      <c r="X228" s="178">
        <v>50</v>
      </c>
      <c r="Y228" s="130"/>
      <c r="Z228" s="179"/>
      <c r="AA228" s="130"/>
      <c r="AB228" s="178">
        <v>50</v>
      </c>
      <c r="AC228" s="130"/>
      <c r="AD228" s="179"/>
      <c r="AE228" s="130"/>
      <c r="AF228" s="178">
        <v>50</v>
      </c>
      <c r="AG228" s="130"/>
      <c r="AH228" s="179"/>
      <c r="AI228" s="130"/>
      <c r="AJ228" s="178">
        <v>50</v>
      </c>
      <c r="AK228" s="130"/>
      <c r="AL228" s="179"/>
      <c r="AM228" s="130"/>
      <c r="AN228" s="178">
        <v>50</v>
      </c>
      <c r="AO228" s="130"/>
      <c r="AP228" s="179"/>
      <c r="AQ228" s="130"/>
      <c r="AR228" s="178">
        <v>50</v>
      </c>
      <c r="AS228" s="130"/>
      <c r="AT228" s="179"/>
      <c r="AU228" s="130"/>
      <c r="AV228" s="178">
        <v>50</v>
      </c>
      <c r="AW228" s="130"/>
      <c r="AX228" s="179"/>
      <c r="AY228" s="130"/>
      <c r="AZ228" s="178">
        <v>50</v>
      </c>
      <c r="BA228" s="130"/>
      <c r="BB228" s="194"/>
      <c r="BC228" s="130"/>
      <c r="BD228" s="178">
        <v>50</v>
      </c>
      <c r="BE228" s="130"/>
      <c r="BF228" s="109"/>
      <c r="BG228" s="130"/>
      <c r="BH228" s="180">
        <f t="shared" si="228"/>
        <v>600</v>
      </c>
      <c r="BI228" s="181">
        <f>Автовик_разбивка[[#This Row],[Цена, 
юань, без НДС 1]]*BH228</f>
        <v>0</v>
      </c>
      <c r="BJ228" s="130">
        <f t="shared" si="229"/>
        <v>50</v>
      </c>
      <c r="BK228" s="187">
        <f>Автовик_разбивка[[#This Row],[Цена, 
юань, без НДС 1]]*BJ228</f>
        <v>0</v>
      </c>
      <c r="BL228" s="109">
        <f t="shared" si="230"/>
        <v>0</v>
      </c>
      <c r="BM228" s="224">
        <f>Автовик_разбивка[[#This Row],[Цена, 
юань, без НДС 1]]*BL228</f>
        <v>0</v>
      </c>
      <c r="BN228" s="178"/>
      <c r="BO228" s="184"/>
      <c r="BP228" s="130"/>
      <c r="BQ228" s="179"/>
      <c r="BR228" s="130"/>
      <c r="BS228" s="178"/>
      <c r="BT228" s="184"/>
      <c r="BU228" s="130"/>
      <c r="BV228" s="179"/>
      <c r="BW228" s="130"/>
      <c r="BX228" s="178"/>
      <c r="BY228" s="184"/>
      <c r="BZ228" s="130"/>
      <c r="CA228" s="179"/>
      <c r="CB228" s="130"/>
      <c r="CC228" s="178"/>
      <c r="CD228" s="184"/>
      <c r="CE228" s="130"/>
      <c r="CF228" s="179"/>
      <c r="CG228" s="130"/>
      <c r="CH228" s="178"/>
      <c r="CI228" s="184"/>
      <c r="CJ228" s="130"/>
      <c r="CK228" s="179"/>
      <c r="CL228" s="130"/>
      <c r="CM228" s="178"/>
      <c r="CN228" s="184"/>
      <c r="CO228" s="130"/>
      <c r="CP228" s="179"/>
      <c r="CQ228" s="130"/>
      <c r="CR228" s="178"/>
      <c r="CS228" s="184"/>
      <c r="CT228" s="130"/>
      <c r="CU228" s="179"/>
      <c r="CV228" s="130"/>
      <c r="CW228" s="178"/>
      <c r="CX228" s="184"/>
      <c r="CY228" s="130"/>
      <c r="CZ228" s="179"/>
      <c r="DA228" s="130"/>
      <c r="DB228" s="178"/>
      <c r="DC228" s="184"/>
      <c r="DD228" s="130"/>
      <c r="DE228" s="179"/>
      <c r="DF228" s="130"/>
      <c r="DG228" s="178"/>
      <c r="DH228" s="184"/>
      <c r="DI228" s="130"/>
      <c r="DJ228" s="179"/>
      <c r="DK228" s="130"/>
      <c r="DL228" s="178"/>
      <c r="DM228" s="184"/>
      <c r="DN228" s="130"/>
      <c r="DO228" s="194"/>
      <c r="DP228" s="130"/>
      <c r="DQ228" s="178"/>
      <c r="DR228" s="184"/>
      <c r="DS228" s="130"/>
      <c r="DT228" s="109"/>
      <c r="DU228" s="130"/>
      <c r="DV228" s="180">
        <f t="shared" si="231"/>
        <v>0</v>
      </c>
      <c r="DW228" s="181">
        <f>Автовик_разбивка[[#This Row],[Цена, 
юань, без НДС 1]]*DV228</f>
        <v>0</v>
      </c>
      <c r="DX228" s="186">
        <f t="shared" si="232"/>
        <v>0</v>
      </c>
      <c r="DY228" s="186">
        <f>Автовик_разбивка[[#This Row],[Цена, 
юань, без НДС 1]]*DX228</f>
        <v>0</v>
      </c>
      <c r="DZ228" s="130">
        <f t="shared" si="233"/>
        <v>0</v>
      </c>
      <c r="EA228" s="187">
        <f>Автовик_разбивка[[#This Row],[Цена, 
юань, без НДС 1]]*DZ228</f>
        <v>0</v>
      </c>
      <c r="EB228" s="109">
        <f t="shared" si="234"/>
        <v>0</v>
      </c>
      <c r="EC228" s="224">
        <f>Автовик_разбивка[[#This Row],[Цена, 
юань, без НДС 1]]*EB228</f>
        <v>0</v>
      </c>
    </row>
    <row r="229" spans="1:133">
      <c r="A229" s="265">
        <v>999</v>
      </c>
      <c r="B229" s="266" t="s">
        <v>336</v>
      </c>
      <c r="C229" s="173" t="s">
        <v>301</v>
      </c>
      <c r="D229" s="173" t="s">
        <v>302</v>
      </c>
      <c r="E229" s="174"/>
      <c r="F229" s="174"/>
      <c r="G229" s="190">
        <v>2</v>
      </c>
      <c r="H229" s="191">
        <v>4497120300</v>
      </c>
      <c r="I229" s="192" t="s">
        <v>100</v>
      </c>
      <c r="J229" s="222"/>
      <c r="K229" s="223"/>
      <c r="L229" s="178">
        <v>200</v>
      </c>
      <c r="M229" s="130">
        <v>200</v>
      </c>
      <c r="N229" s="179"/>
      <c r="O229" s="130"/>
      <c r="P229" s="178">
        <v>200</v>
      </c>
      <c r="Q229" s="130"/>
      <c r="R229" s="179"/>
      <c r="S229" s="130"/>
      <c r="T229" s="178">
        <v>200</v>
      </c>
      <c r="U229" s="130"/>
      <c r="V229" s="179"/>
      <c r="W229" s="130"/>
      <c r="X229" s="178">
        <v>200</v>
      </c>
      <c r="Y229" s="130"/>
      <c r="Z229" s="179"/>
      <c r="AA229" s="130"/>
      <c r="AB229" s="178">
        <v>200</v>
      </c>
      <c r="AC229" s="130"/>
      <c r="AD229" s="179"/>
      <c r="AE229" s="130"/>
      <c r="AF229" s="178">
        <v>200</v>
      </c>
      <c r="AG229" s="130"/>
      <c r="AH229" s="179"/>
      <c r="AI229" s="130"/>
      <c r="AJ229" s="178">
        <v>200</v>
      </c>
      <c r="AK229" s="130"/>
      <c r="AL229" s="179"/>
      <c r="AM229" s="130"/>
      <c r="AN229" s="178">
        <v>200</v>
      </c>
      <c r="AO229" s="130"/>
      <c r="AP229" s="179"/>
      <c r="AQ229" s="130"/>
      <c r="AR229" s="178">
        <v>200</v>
      </c>
      <c r="AS229" s="130"/>
      <c r="AT229" s="179"/>
      <c r="AU229" s="130"/>
      <c r="AV229" s="178">
        <v>200</v>
      </c>
      <c r="AW229" s="130"/>
      <c r="AX229" s="179"/>
      <c r="AY229" s="130"/>
      <c r="AZ229" s="178">
        <v>200</v>
      </c>
      <c r="BA229" s="130"/>
      <c r="BB229" s="194"/>
      <c r="BC229" s="130"/>
      <c r="BD229" s="178">
        <v>200</v>
      </c>
      <c r="BE229" s="130"/>
      <c r="BF229" s="109"/>
      <c r="BG229" s="130"/>
      <c r="BH229" s="180">
        <f t="shared" si="228"/>
        <v>2400</v>
      </c>
      <c r="BI229" s="181">
        <f>Автовик_разбивка[[#This Row],[Цена, 
юань, без НДС 1]]*BH229</f>
        <v>0</v>
      </c>
      <c r="BJ229" s="130">
        <f t="shared" si="229"/>
        <v>200</v>
      </c>
      <c r="BK229" s="187">
        <f>Автовик_разбивка[[#This Row],[Цена, 
юань, без НДС 1]]*BJ229</f>
        <v>0</v>
      </c>
      <c r="BL229" s="109">
        <f t="shared" si="230"/>
        <v>0</v>
      </c>
      <c r="BM229" s="224">
        <f>Автовик_разбивка[[#This Row],[Цена, 
юань, без НДС 1]]*BL229</f>
        <v>0</v>
      </c>
      <c r="BN229" s="178"/>
      <c r="BO229" s="184"/>
      <c r="BP229" s="130"/>
      <c r="BQ229" s="179"/>
      <c r="BR229" s="130"/>
      <c r="BS229" s="178"/>
      <c r="BT229" s="184"/>
      <c r="BU229" s="130"/>
      <c r="BV229" s="179"/>
      <c r="BW229" s="130"/>
      <c r="BX229" s="178"/>
      <c r="BY229" s="184"/>
      <c r="BZ229" s="130"/>
      <c r="CA229" s="179"/>
      <c r="CB229" s="130"/>
      <c r="CC229" s="178"/>
      <c r="CD229" s="184"/>
      <c r="CE229" s="130"/>
      <c r="CF229" s="179"/>
      <c r="CG229" s="130"/>
      <c r="CH229" s="178"/>
      <c r="CI229" s="184"/>
      <c r="CJ229" s="130"/>
      <c r="CK229" s="179"/>
      <c r="CL229" s="130"/>
      <c r="CM229" s="178"/>
      <c r="CN229" s="184"/>
      <c r="CO229" s="130"/>
      <c r="CP229" s="179"/>
      <c r="CQ229" s="130"/>
      <c r="CR229" s="178"/>
      <c r="CS229" s="184"/>
      <c r="CT229" s="130"/>
      <c r="CU229" s="179"/>
      <c r="CV229" s="130"/>
      <c r="CW229" s="178"/>
      <c r="CX229" s="184"/>
      <c r="CY229" s="130"/>
      <c r="CZ229" s="179"/>
      <c r="DA229" s="130"/>
      <c r="DB229" s="178"/>
      <c r="DC229" s="184"/>
      <c r="DD229" s="130"/>
      <c r="DE229" s="179"/>
      <c r="DF229" s="130"/>
      <c r="DG229" s="178"/>
      <c r="DH229" s="184"/>
      <c r="DI229" s="130"/>
      <c r="DJ229" s="179"/>
      <c r="DK229" s="130"/>
      <c r="DL229" s="178"/>
      <c r="DM229" s="184"/>
      <c r="DN229" s="130"/>
      <c r="DO229" s="194"/>
      <c r="DP229" s="130"/>
      <c r="DQ229" s="178"/>
      <c r="DR229" s="184"/>
      <c r="DS229" s="130"/>
      <c r="DT229" s="109"/>
      <c r="DU229" s="130"/>
      <c r="DV229" s="180">
        <f t="shared" si="231"/>
        <v>0</v>
      </c>
      <c r="DW229" s="181">
        <f>Автовик_разбивка[[#This Row],[Цена, 
юань, без НДС 1]]*DV229</f>
        <v>0</v>
      </c>
      <c r="DX229" s="186">
        <f t="shared" si="232"/>
        <v>0</v>
      </c>
      <c r="DY229" s="186">
        <f>Автовик_разбивка[[#This Row],[Цена, 
юань, без НДС 1]]*DX229</f>
        <v>0</v>
      </c>
      <c r="DZ229" s="130">
        <f t="shared" si="233"/>
        <v>0</v>
      </c>
      <c r="EA229" s="187">
        <f>Автовик_разбивка[[#This Row],[Цена, 
юань, без НДС 1]]*DZ229</f>
        <v>0</v>
      </c>
      <c r="EB229" s="109">
        <f t="shared" si="234"/>
        <v>0</v>
      </c>
      <c r="EC229" s="224">
        <f>Автовик_разбивка[[#This Row],[Цена, 
юань, без НДС 1]]*EB229</f>
        <v>0</v>
      </c>
    </row>
    <row r="230" spans="1:133">
      <c r="A230" s="265">
        <v>999</v>
      </c>
      <c r="B230" s="266" t="s">
        <v>336</v>
      </c>
      <c r="C230" s="173" t="s">
        <v>301</v>
      </c>
      <c r="D230" s="173" t="s">
        <v>302</v>
      </c>
      <c r="E230" s="174">
        <v>2</v>
      </c>
      <c r="F230" s="174"/>
      <c r="G230" s="190">
        <v>2</v>
      </c>
      <c r="H230" s="191">
        <v>4497490300</v>
      </c>
      <c r="I230" s="192" t="s">
        <v>100</v>
      </c>
      <c r="J230" s="222"/>
      <c r="K230" s="223"/>
      <c r="L230" s="178"/>
      <c r="M230" s="130"/>
      <c r="N230" s="179"/>
      <c r="O230" s="130"/>
      <c r="P230" s="178"/>
      <c r="Q230" s="130"/>
      <c r="R230" s="179"/>
      <c r="S230" s="130"/>
      <c r="T230" s="178"/>
      <c r="U230" s="130"/>
      <c r="V230" s="179"/>
      <c r="W230" s="130"/>
      <c r="X230" s="178"/>
      <c r="Y230" s="130"/>
      <c r="Z230" s="179"/>
      <c r="AA230" s="130"/>
      <c r="AB230" s="178"/>
      <c r="AC230" s="130"/>
      <c r="AD230" s="179"/>
      <c r="AE230" s="130"/>
      <c r="AF230" s="178"/>
      <c r="AG230" s="130"/>
      <c r="AH230" s="179"/>
      <c r="AI230" s="130"/>
      <c r="AJ230" s="178"/>
      <c r="AK230" s="130"/>
      <c r="AL230" s="179"/>
      <c r="AM230" s="130"/>
      <c r="AN230" s="178"/>
      <c r="AO230" s="130"/>
      <c r="AP230" s="179"/>
      <c r="AQ230" s="130"/>
      <c r="AR230" s="178"/>
      <c r="AS230" s="130"/>
      <c r="AT230" s="179"/>
      <c r="AU230" s="130"/>
      <c r="AV230" s="178"/>
      <c r="AW230" s="130"/>
      <c r="AX230" s="179"/>
      <c r="AY230" s="130"/>
      <c r="AZ230" s="178"/>
      <c r="BA230" s="130"/>
      <c r="BB230" s="194"/>
      <c r="BC230" s="130"/>
      <c r="BD230" s="178"/>
      <c r="BE230" s="130"/>
      <c r="BF230" s="109"/>
      <c r="BG230" s="130"/>
      <c r="BH230" s="180">
        <f t="shared" si="228"/>
        <v>0</v>
      </c>
      <c r="BI230" s="181">
        <f>Автовик_разбивка[[#This Row],[Цена, 
юань, без НДС 1]]*BH230</f>
        <v>0</v>
      </c>
      <c r="BJ230" s="130">
        <f t="shared" si="229"/>
        <v>0</v>
      </c>
      <c r="BK230" s="187">
        <f>Автовик_разбивка[[#This Row],[Цена, 
юань, без НДС 1]]*BJ230</f>
        <v>0</v>
      </c>
      <c r="BL230" s="109">
        <f t="shared" si="230"/>
        <v>0</v>
      </c>
      <c r="BM230" s="224">
        <f>Автовик_разбивка[[#This Row],[Цена, 
юань, без НДС 1]]*BL230</f>
        <v>0</v>
      </c>
      <c r="BN230" s="178"/>
      <c r="BO230" s="184"/>
      <c r="BP230" s="130"/>
      <c r="BQ230" s="179"/>
      <c r="BR230" s="130"/>
      <c r="BS230" s="178"/>
      <c r="BT230" s="184"/>
      <c r="BU230" s="130"/>
      <c r="BV230" s="179"/>
      <c r="BW230" s="130"/>
      <c r="BX230" s="178"/>
      <c r="BY230" s="184"/>
      <c r="BZ230" s="130"/>
      <c r="CA230" s="179"/>
      <c r="CB230" s="130"/>
      <c r="CC230" s="178"/>
      <c r="CD230" s="184"/>
      <c r="CE230" s="130"/>
      <c r="CF230" s="179"/>
      <c r="CG230" s="130"/>
      <c r="CH230" s="178"/>
      <c r="CI230" s="184"/>
      <c r="CJ230" s="130"/>
      <c r="CK230" s="179"/>
      <c r="CL230" s="130"/>
      <c r="CM230" s="178"/>
      <c r="CN230" s="184"/>
      <c r="CO230" s="130"/>
      <c r="CP230" s="179"/>
      <c r="CQ230" s="130"/>
      <c r="CR230" s="178"/>
      <c r="CS230" s="184"/>
      <c r="CT230" s="130"/>
      <c r="CU230" s="179"/>
      <c r="CV230" s="130"/>
      <c r="CW230" s="178"/>
      <c r="CX230" s="184"/>
      <c r="CY230" s="130"/>
      <c r="CZ230" s="179"/>
      <c r="DA230" s="130"/>
      <c r="DB230" s="178"/>
      <c r="DC230" s="184"/>
      <c r="DD230" s="130"/>
      <c r="DE230" s="179"/>
      <c r="DF230" s="130"/>
      <c r="DG230" s="178"/>
      <c r="DH230" s="184"/>
      <c r="DI230" s="130"/>
      <c r="DJ230" s="179"/>
      <c r="DK230" s="130"/>
      <c r="DL230" s="178"/>
      <c r="DM230" s="184"/>
      <c r="DN230" s="130"/>
      <c r="DO230" s="194"/>
      <c r="DP230" s="130"/>
      <c r="DQ230" s="178"/>
      <c r="DR230" s="184"/>
      <c r="DS230" s="130"/>
      <c r="DT230" s="109"/>
      <c r="DU230" s="130"/>
      <c r="DV230" s="180">
        <f t="shared" si="231"/>
        <v>0</v>
      </c>
      <c r="DW230" s="181">
        <f>Автовик_разбивка[[#This Row],[Цена, 
юань, без НДС 1]]*DV230</f>
        <v>0</v>
      </c>
      <c r="DX230" s="186">
        <f t="shared" si="232"/>
        <v>0</v>
      </c>
      <c r="DY230" s="186">
        <f>Автовик_разбивка[[#This Row],[Цена, 
юань, без НДС 1]]*DX230</f>
        <v>0</v>
      </c>
      <c r="DZ230" s="130">
        <f t="shared" si="233"/>
        <v>0</v>
      </c>
      <c r="EA230" s="187">
        <f>Автовик_разбивка[[#This Row],[Цена, 
юань, без НДС 1]]*DZ230</f>
        <v>0</v>
      </c>
      <c r="EB230" s="109">
        <f t="shared" si="234"/>
        <v>0</v>
      </c>
      <c r="EC230" s="224">
        <f>Автовик_разбивка[[#This Row],[Цена, 
юань, без НДС 1]]*EB230</f>
        <v>0</v>
      </c>
    </row>
    <row r="231" spans="1:133">
      <c r="A231" s="265">
        <v>999</v>
      </c>
      <c r="B231" s="266" t="s">
        <v>336</v>
      </c>
      <c r="C231" s="173" t="s">
        <v>301</v>
      </c>
      <c r="D231" s="173" t="s">
        <v>302</v>
      </c>
      <c r="E231" s="174">
        <v>1</v>
      </c>
      <c r="F231" s="174"/>
      <c r="G231" s="190">
        <v>2</v>
      </c>
      <c r="H231" s="191">
        <v>9522010010</v>
      </c>
      <c r="I231" s="192" t="s">
        <v>73</v>
      </c>
      <c r="J231" s="222"/>
      <c r="K231" s="223"/>
      <c r="L231" s="178">
        <v>50</v>
      </c>
      <c r="M231" s="130">
        <v>50</v>
      </c>
      <c r="N231" s="179"/>
      <c r="O231" s="130"/>
      <c r="P231" s="178">
        <v>50</v>
      </c>
      <c r="Q231" s="130"/>
      <c r="R231" s="179"/>
      <c r="S231" s="130"/>
      <c r="T231" s="178">
        <v>50</v>
      </c>
      <c r="U231" s="130"/>
      <c r="V231" s="179"/>
      <c r="W231" s="130"/>
      <c r="X231" s="178">
        <v>50</v>
      </c>
      <c r="Y231" s="130"/>
      <c r="Z231" s="179"/>
      <c r="AA231" s="130"/>
      <c r="AB231" s="178">
        <v>50</v>
      </c>
      <c r="AC231" s="130"/>
      <c r="AD231" s="179"/>
      <c r="AE231" s="130"/>
      <c r="AF231" s="178">
        <v>50</v>
      </c>
      <c r="AG231" s="130"/>
      <c r="AH231" s="179"/>
      <c r="AI231" s="130"/>
      <c r="AJ231" s="178">
        <v>50</v>
      </c>
      <c r="AK231" s="130"/>
      <c r="AL231" s="179"/>
      <c r="AM231" s="130"/>
      <c r="AN231" s="178">
        <v>50</v>
      </c>
      <c r="AO231" s="130"/>
      <c r="AP231" s="179"/>
      <c r="AQ231" s="130"/>
      <c r="AR231" s="178">
        <v>50</v>
      </c>
      <c r="AS231" s="130"/>
      <c r="AT231" s="179"/>
      <c r="AU231" s="130"/>
      <c r="AV231" s="178">
        <v>50</v>
      </c>
      <c r="AW231" s="130"/>
      <c r="AX231" s="179"/>
      <c r="AY231" s="130"/>
      <c r="AZ231" s="178">
        <v>50</v>
      </c>
      <c r="BA231" s="130"/>
      <c r="BB231" s="194"/>
      <c r="BC231" s="130"/>
      <c r="BD231" s="178">
        <v>50</v>
      </c>
      <c r="BE231" s="130"/>
      <c r="BF231" s="109"/>
      <c r="BG231" s="130"/>
      <c r="BH231" s="180">
        <f t="shared" si="228"/>
        <v>600</v>
      </c>
      <c r="BI231" s="181">
        <f>Автовик_разбивка[[#This Row],[Цена, 
юань, без НДС 1]]*BH231</f>
        <v>0</v>
      </c>
      <c r="BJ231" s="130">
        <f t="shared" si="229"/>
        <v>50</v>
      </c>
      <c r="BK231" s="187">
        <f>Автовик_разбивка[[#This Row],[Цена, 
юань, без НДС 1]]*BJ231</f>
        <v>0</v>
      </c>
      <c r="BL231" s="109">
        <f t="shared" si="230"/>
        <v>0</v>
      </c>
      <c r="BM231" s="224">
        <f>Автовик_разбивка[[#This Row],[Цена, 
юань, без НДС 1]]*BL231</f>
        <v>0</v>
      </c>
      <c r="BN231" s="178"/>
      <c r="BO231" s="184"/>
      <c r="BP231" s="130"/>
      <c r="BQ231" s="179"/>
      <c r="BR231" s="130"/>
      <c r="BS231" s="178"/>
      <c r="BT231" s="184"/>
      <c r="BU231" s="130"/>
      <c r="BV231" s="179"/>
      <c r="BW231" s="130"/>
      <c r="BX231" s="178"/>
      <c r="BY231" s="184"/>
      <c r="BZ231" s="130"/>
      <c r="CA231" s="179"/>
      <c r="CB231" s="130"/>
      <c r="CC231" s="178"/>
      <c r="CD231" s="184"/>
      <c r="CE231" s="130"/>
      <c r="CF231" s="179"/>
      <c r="CG231" s="130"/>
      <c r="CH231" s="178"/>
      <c r="CI231" s="184"/>
      <c r="CJ231" s="130"/>
      <c r="CK231" s="179"/>
      <c r="CL231" s="130"/>
      <c r="CM231" s="178"/>
      <c r="CN231" s="184"/>
      <c r="CO231" s="130"/>
      <c r="CP231" s="179"/>
      <c r="CQ231" s="130"/>
      <c r="CR231" s="178"/>
      <c r="CS231" s="184"/>
      <c r="CT231" s="130"/>
      <c r="CU231" s="179"/>
      <c r="CV231" s="130"/>
      <c r="CW231" s="178"/>
      <c r="CX231" s="184"/>
      <c r="CY231" s="130"/>
      <c r="CZ231" s="179"/>
      <c r="DA231" s="130"/>
      <c r="DB231" s="178"/>
      <c r="DC231" s="184"/>
      <c r="DD231" s="130"/>
      <c r="DE231" s="179"/>
      <c r="DF231" s="130"/>
      <c r="DG231" s="178"/>
      <c r="DH231" s="184"/>
      <c r="DI231" s="130"/>
      <c r="DJ231" s="179"/>
      <c r="DK231" s="130"/>
      <c r="DL231" s="178"/>
      <c r="DM231" s="184"/>
      <c r="DN231" s="130"/>
      <c r="DO231" s="194"/>
      <c r="DP231" s="130"/>
      <c r="DQ231" s="178"/>
      <c r="DR231" s="184"/>
      <c r="DS231" s="130"/>
      <c r="DT231" s="109"/>
      <c r="DU231" s="130"/>
      <c r="DV231" s="180">
        <f t="shared" si="231"/>
        <v>0</v>
      </c>
      <c r="DW231" s="181">
        <f>Автовик_разбивка[[#This Row],[Цена, 
юань, без НДС 1]]*DV231</f>
        <v>0</v>
      </c>
      <c r="DX231" s="186">
        <f t="shared" si="232"/>
        <v>0</v>
      </c>
      <c r="DY231" s="186">
        <f>Автовик_разбивка[[#This Row],[Цена, 
юань, без НДС 1]]*DX231</f>
        <v>0</v>
      </c>
      <c r="DZ231" s="130">
        <f t="shared" si="233"/>
        <v>0</v>
      </c>
      <c r="EA231" s="187">
        <f>Автовик_разбивка[[#This Row],[Цена, 
юань, без НДС 1]]*DZ231</f>
        <v>0</v>
      </c>
      <c r="EB231" s="109">
        <f t="shared" si="234"/>
        <v>0</v>
      </c>
      <c r="EC231" s="224">
        <f>Автовик_разбивка[[#This Row],[Цена, 
юань, без НДС 1]]*EB231</f>
        <v>0</v>
      </c>
    </row>
    <row r="232" spans="1:133">
      <c r="A232" s="265">
        <v>999</v>
      </c>
      <c r="B232" s="266" t="s">
        <v>336</v>
      </c>
      <c r="C232" s="173" t="s">
        <v>301</v>
      </c>
      <c r="D232" s="173" t="s">
        <v>302</v>
      </c>
      <c r="E232" s="174">
        <v>1</v>
      </c>
      <c r="F232" s="174"/>
      <c r="G232" s="190">
        <v>2</v>
      </c>
      <c r="H232" s="191">
        <v>9522010020</v>
      </c>
      <c r="I232" s="192" t="s">
        <v>74</v>
      </c>
      <c r="J232" s="222"/>
      <c r="K232" s="223"/>
      <c r="L232" s="178">
        <v>50</v>
      </c>
      <c r="M232" s="130">
        <v>50</v>
      </c>
      <c r="N232" s="179"/>
      <c r="O232" s="130"/>
      <c r="P232" s="178">
        <v>50</v>
      </c>
      <c r="Q232" s="130"/>
      <c r="R232" s="179"/>
      <c r="S232" s="130"/>
      <c r="T232" s="178">
        <v>50</v>
      </c>
      <c r="U232" s="130"/>
      <c r="V232" s="179"/>
      <c r="W232" s="130"/>
      <c r="X232" s="178">
        <v>50</v>
      </c>
      <c r="Y232" s="130"/>
      <c r="Z232" s="179"/>
      <c r="AA232" s="130"/>
      <c r="AB232" s="178">
        <v>50</v>
      </c>
      <c r="AC232" s="130"/>
      <c r="AD232" s="179"/>
      <c r="AE232" s="130"/>
      <c r="AF232" s="178">
        <v>50</v>
      </c>
      <c r="AG232" s="130"/>
      <c r="AH232" s="179"/>
      <c r="AI232" s="130"/>
      <c r="AJ232" s="178">
        <v>50</v>
      </c>
      <c r="AK232" s="130"/>
      <c r="AL232" s="179"/>
      <c r="AM232" s="130"/>
      <c r="AN232" s="178">
        <v>50</v>
      </c>
      <c r="AO232" s="130"/>
      <c r="AP232" s="179"/>
      <c r="AQ232" s="130"/>
      <c r="AR232" s="178">
        <v>50</v>
      </c>
      <c r="AS232" s="130"/>
      <c r="AT232" s="179"/>
      <c r="AU232" s="130"/>
      <c r="AV232" s="178">
        <v>50</v>
      </c>
      <c r="AW232" s="130"/>
      <c r="AX232" s="179"/>
      <c r="AY232" s="130"/>
      <c r="AZ232" s="178">
        <v>50</v>
      </c>
      <c r="BA232" s="130"/>
      <c r="BB232" s="194"/>
      <c r="BC232" s="130"/>
      <c r="BD232" s="178">
        <v>50</v>
      </c>
      <c r="BE232" s="130"/>
      <c r="BF232" s="109"/>
      <c r="BG232" s="130"/>
      <c r="BH232" s="180">
        <f t="shared" si="228"/>
        <v>600</v>
      </c>
      <c r="BI232" s="181">
        <f>Автовик_разбивка[[#This Row],[Цена, 
юань, без НДС 1]]*BH232</f>
        <v>0</v>
      </c>
      <c r="BJ232" s="130">
        <f t="shared" si="229"/>
        <v>50</v>
      </c>
      <c r="BK232" s="187">
        <f>Автовик_разбивка[[#This Row],[Цена, 
юань, без НДС 1]]*BJ232</f>
        <v>0</v>
      </c>
      <c r="BL232" s="109">
        <f t="shared" si="230"/>
        <v>0</v>
      </c>
      <c r="BM232" s="224">
        <f>Автовик_разбивка[[#This Row],[Цена, 
юань, без НДС 1]]*BL232</f>
        <v>0</v>
      </c>
      <c r="BN232" s="178"/>
      <c r="BO232" s="184"/>
      <c r="BP232" s="130"/>
      <c r="BQ232" s="179"/>
      <c r="BR232" s="130"/>
      <c r="BS232" s="178"/>
      <c r="BT232" s="184"/>
      <c r="BU232" s="130"/>
      <c r="BV232" s="179"/>
      <c r="BW232" s="130"/>
      <c r="BX232" s="178"/>
      <c r="BY232" s="184"/>
      <c r="BZ232" s="130"/>
      <c r="CA232" s="179"/>
      <c r="CB232" s="130"/>
      <c r="CC232" s="178"/>
      <c r="CD232" s="184"/>
      <c r="CE232" s="130"/>
      <c r="CF232" s="179"/>
      <c r="CG232" s="130"/>
      <c r="CH232" s="178"/>
      <c r="CI232" s="184"/>
      <c r="CJ232" s="130"/>
      <c r="CK232" s="179"/>
      <c r="CL232" s="130"/>
      <c r="CM232" s="178"/>
      <c r="CN232" s="184"/>
      <c r="CO232" s="130"/>
      <c r="CP232" s="179"/>
      <c r="CQ232" s="130"/>
      <c r="CR232" s="178"/>
      <c r="CS232" s="184"/>
      <c r="CT232" s="130"/>
      <c r="CU232" s="179"/>
      <c r="CV232" s="130"/>
      <c r="CW232" s="178"/>
      <c r="CX232" s="184"/>
      <c r="CY232" s="130"/>
      <c r="CZ232" s="179"/>
      <c r="DA232" s="130"/>
      <c r="DB232" s="178"/>
      <c r="DC232" s="184"/>
      <c r="DD232" s="130"/>
      <c r="DE232" s="179"/>
      <c r="DF232" s="130"/>
      <c r="DG232" s="178"/>
      <c r="DH232" s="184"/>
      <c r="DI232" s="130"/>
      <c r="DJ232" s="179"/>
      <c r="DK232" s="130"/>
      <c r="DL232" s="178"/>
      <c r="DM232" s="184"/>
      <c r="DN232" s="130"/>
      <c r="DO232" s="194"/>
      <c r="DP232" s="130"/>
      <c r="DQ232" s="178"/>
      <c r="DR232" s="184"/>
      <c r="DS232" s="130"/>
      <c r="DT232" s="109"/>
      <c r="DU232" s="130"/>
      <c r="DV232" s="180">
        <f t="shared" si="231"/>
        <v>0</v>
      </c>
      <c r="DW232" s="181">
        <f>Автовик_разбивка[[#This Row],[Цена, 
юань, без НДС 1]]*DV232</f>
        <v>0</v>
      </c>
      <c r="DX232" s="186">
        <f t="shared" si="232"/>
        <v>0</v>
      </c>
      <c r="DY232" s="186">
        <f>Автовик_разбивка[[#This Row],[Цена, 
юань, без НДС 1]]*DX232</f>
        <v>0</v>
      </c>
      <c r="DZ232" s="130">
        <f t="shared" si="233"/>
        <v>0</v>
      </c>
      <c r="EA232" s="187">
        <f>Автовик_разбивка[[#This Row],[Цена, 
юань, без НДС 1]]*DZ232</f>
        <v>0</v>
      </c>
      <c r="EB232" s="109">
        <f t="shared" si="234"/>
        <v>0</v>
      </c>
      <c r="EC232" s="224">
        <f>Автовик_разбивка[[#This Row],[Цена, 
юань, без НДС 1]]*EB232</f>
        <v>0</v>
      </c>
    </row>
    <row r="233" spans="1:133">
      <c r="A233" s="265">
        <v>999</v>
      </c>
      <c r="B233" s="266" t="s">
        <v>336</v>
      </c>
      <c r="C233" s="173" t="s">
        <v>301</v>
      </c>
      <c r="D233" s="173" t="s">
        <v>302</v>
      </c>
      <c r="E233" s="174">
        <v>1</v>
      </c>
      <c r="F233" s="174"/>
      <c r="G233" s="190">
        <v>2</v>
      </c>
      <c r="H233" s="191">
        <v>9710020400</v>
      </c>
      <c r="I233" s="192" t="s">
        <v>101</v>
      </c>
      <c r="J233" s="222"/>
      <c r="K233" s="223"/>
      <c r="L233" s="178">
        <v>50</v>
      </c>
      <c r="M233" s="130">
        <v>50</v>
      </c>
      <c r="N233" s="179"/>
      <c r="O233" s="130"/>
      <c r="P233" s="178">
        <v>50</v>
      </c>
      <c r="Q233" s="130"/>
      <c r="R233" s="179"/>
      <c r="S233" s="130"/>
      <c r="T233" s="178">
        <v>50</v>
      </c>
      <c r="U233" s="130"/>
      <c r="V233" s="179"/>
      <c r="W233" s="130"/>
      <c r="X233" s="178">
        <v>50</v>
      </c>
      <c r="Y233" s="130"/>
      <c r="Z233" s="179"/>
      <c r="AA233" s="130"/>
      <c r="AB233" s="178">
        <v>50</v>
      </c>
      <c r="AC233" s="130"/>
      <c r="AD233" s="179"/>
      <c r="AE233" s="130"/>
      <c r="AF233" s="178">
        <v>50</v>
      </c>
      <c r="AG233" s="130"/>
      <c r="AH233" s="179"/>
      <c r="AI233" s="130"/>
      <c r="AJ233" s="178">
        <v>50</v>
      </c>
      <c r="AK233" s="130"/>
      <c r="AL233" s="179"/>
      <c r="AM233" s="130"/>
      <c r="AN233" s="178">
        <v>50</v>
      </c>
      <c r="AO233" s="130"/>
      <c r="AP233" s="179"/>
      <c r="AQ233" s="130"/>
      <c r="AR233" s="178">
        <v>50</v>
      </c>
      <c r="AS233" s="130"/>
      <c r="AT233" s="179"/>
      <c r="AU233" s="130"/>
      <c r="AV233" s="178">
        <v>50</v>
      </c>
      <c r="AW233" s="130"/>
      <c r="AX233" s="179"/>
      <c r="AY233" s="130"/>
      <c r="AZ233" s="178">
        <v>50</v>
      </c>
      <c r="BA233" s="130"/>
      <c r="BB233" s="194"/>
      <c r="BC233" s="130"/>
      <c r="BD233" s="178">
        <v>50</v>
      </c>
      <c r="BE233" s="130"/>
      <c r="BF233" s="109"/>
      <c r="BG233" s="130"/>
      <c r="BH233" s="180">
        <f t="shared" si="228"/>
        <v>600</v>
      </c>
      <c r="BI233" s="181">
        <f>Автовик_разбивка[[#This Row],[Цена, 
юань, без НДС 1]]*BH233</f>
        <v>0</v>
      </c>
      <c r="BJ233" s="130">
        <f t="shared" si="229"/>
        <v>50</v>
      </c>
      <c r="BK233" s="187">
        <f>Автовик_разбивка[[#This Row],[Цена, 
юань, без НДС 1]]*BJ233</f>
        <v>0</v>
      </c>
      <c r="BL233" s="109">
        <f t="shared" si="230"/>
        <v>0</v>
      </c>
      <c r="BM233" s="224">
        <f>Автовик_разбивка[[#This Row],[Цена, 
юань, без НДС 1]]*BL233</f>
        <v>0</v>
      </c>
      <c r="BN233" s="178"/>
      <c r="BO233" s="184"/>
      <c r="BP233" s="130"/>
      <c r="BQ233" s="179"/>
      <c r="BR233" s="130"/>
      <c r="BS233" s="178"/>
      <c r="BT233" s="184"/>
      <c r="BU233" s="130"/>
      <c r="BV233" s="179"/>
      <c r="BW233" s="130"/>
      <c r="BX233" s="178"/>
      <c r="BY233" s="184"/>
      <c r="BZ233" s="130"/>
      <c r="CA233" s="179"/>
      <c r="CB233" s="130"/>
      <c r="CC233" s="178"/>
      <c r="CD233" s="184"/>
      <c r="CE233" s="130"/>
      <c r="CF233" s="179"/>
      <c r="CG233" s="130"/>
      <c r="CH233" s="178"/>
      <c r="CI233" s="184"/>
      <c r="CJ233" s="130"/>
      <c r="CK233" s="179"/>
      <c r="CL233" s="130"/>
      <c r="CM233" s="178"/>
      <c r="CN233" s="184"/>
      <c r="CO233" s="130"/>
      <c r="CP233" s="179"/>
      <c r="CQ233" s="130"/>
      <c r="CR233" s="178"/>
      <c r="CS233" s="184"/>
      <c r="CT233" s="130"/>
      <c r="CU233" s="179"/>
      <c r="CV233" s="130"/>
      <c r="CW233" s="178"/>
      <c r="CX233" s="184"/>
      <c r="CY233" s="130"/>
      <c r="CZ233" s="179"/>
      <c r="DA233" s="130"/>
      <c r="DB233" s="178"/>
      <c r="DC233" s="184"/>
      <c r="DD233" s="130"/>
      <c r="DE233" s="179"/>
      <c r="DF233" s="130"/>
      <c r="DG233" s="178"/>
      <c r="DH233" s="184"/>
      <c r="DI233" s="130"/>
      <c r="DJ233" s="179"/>
      <c r="DK233" s="130"/>
      <c r="DL233" s="178"/>
      <c r="DM233" s="184"/>
      <c r="DN233" s="130"/>
      <c r="DO233" s="194"/>
      <c r="DP233" s="130"/>
      <c r="DQ233" s="178"/>
      <c r="DR233" s="184"/>
      <c r="DS233" s="130"/>
      <c r="DT233" s="109"/>
      <c r="DU233" s="130"/>
      <c r="DV233" s="180">
        <f t="shared" si="231"/>
        <v>0</v>
      </c>
      <c r="DW233" s="181">
        <f>Автовик_разбивка[[#This Row],[Цена, 
юань, без НДС 1]]*DV233</f>
        <v>0</v>
      </c>
      <c r="DX233" s="186">
        <f t="shared" si="232"/>
        <v>0</v>
      </c>
      <c r="DY233" s="186">
        <f>Автовик_разбивка[[#This Row],[Цена, 
юань, без НДС 1]]*DX233</f>
        <v>0</v>
      </c>
      <c r="DZ233" s="130">
        <f t="shared" si="233"/>
        <v>0</v>
      </c>
      <c r="EA233" s="187">
        <f>Автовик_разбивка[[#This Row],[Цена, 
юань, без НДС 1]]*DZ233</f>
        <v>0</v>
      </c>
      <c r="EB233" s="109">
        <f t="shared" si="234"/>
        <v>0</v>
      </c>
      <c r="EC233" s="224">
        <f>Автовик_разбивка[[#This Row],[Цена, 
юань, без НДС 1]]*EB233</f>
        <v>0</v>
      </c>
    </row>
    <row r="234" spans="1:133">
      <c r="A234" s="265">
        <v>999</v>
      </c>
      <c r="B234" s="266" t="s">
        <v>336</v>
      </c>
      <c r="C234" s="173" t="s">
        <v>298</v>
      </c>
      <c r="D234" s="173" t="s">
        <v>300</v>
      </c>
      <c r="E234" s="174">
        <v>1</v>
      </c>
      <c r="F234" s="174"/>
      <c r="G234" s="174"/>
      <c r="H234" s="175">
        <v>4494430600</v>
      </c>
      <c r="I234" s="176" t="s">
        <v>136</v>
      </c>
      <c r="J234" s="222"/>
      <c r="K234" s="223"/>
      <c r="L234" s="178"/>
      <c r="M234" s="130"/>
      <c r="N234" s="179"/>
      <c r="O234" s="130"/>
      <c r="P234" s="178"/>
      <c r="Q234" s="130"/>
      <c r="R234" s="179"/>
      <c r="S234" s="130"/>
      <c r="T234" s="178"/>
      <c r="U234" s="130"/>
      <c r="V234" s="179"/>
      <c r="W234" s="130"/>
      <c r="X234" s="178"/>
      <c r="Y234" s="130"/>
      <c r="Z234" s="179"/>
      <c r="AA234" s="130"/>
      <c r="AB234" s="178"/>
      <c r="AC234" s="130"/>
      <c r="AD234" s="179"/>
      <c r="AE234" s="130"/>
      <c r="AF234" s="178"/>
      <c r="AG234" s="130"/>
      <c r="AH234" s="179"/>
      <c r="AI234" s="130"/>
      <c r="AJ234" s="178"/>
      <c r="AK234" s="130"/>
      <c r="AL234" s="179"/>
      <c r="AM234" s="130"/>
      <c r="AN234" s="178"/>
      <c r="AO234" s="130">
        <v>-16</v>
      </c>
      <c r="AP234" s="179"/>
      <c r="AQ234" s="130"/>
      <c r="AR234" s="178"/>
      <c r="AS234" s="130">
        <v>20</v>
      </c>
      <c r="AT234" s="179"/>
      <c r="AU234" s="130"/>
      <c r="AV234" s="178"/>
      <c r="AW234" s="130">
        <v>25</v>
      </c>
      <c r="AX234" s="179"/>
      <c r="AY234" s="130"/>
      <c r="AZ234" s="178"/>
      <c r="BA234" s="130">
        <v>30</v>
      </c>
      <c r="BB234" s="194"/>
      <c r="BC234" s="130"/>
      <c r="BD234" s="178"/>
      <c r="BE234" s="130">
        <v>36</v>
      </c>
      <c r="BF234" s="109"/>
      <c r="BG234" s="130"/>
      <c r="BH234" s="180">
        <f t="shared" si="228"/>
        <v>0</v>
      </c>
      <c r="BI234" s="181">
        <f>Автовик_разбивка[[#This Row],[Цена, 
юань, без НДС 1]]*BH234</f>
        <v>0</v>
      </c>
      <c r="BJ234" s="130">
        <f t="shared" si="229"/>
        <v>95</v>
      </c>
      <c r="BK234" s="187">
        <f>Автовик_разбивка[[#This Row],[Цена, 
юань, без НДС 1]]*BJ234</f>
        <v>0</v>
      </c>
      <c r="BL234" s="109">
        <f t="shared" si="230"/>
        <v>0</v>
      </c>
      <c r="BM234" s="224">
        <f>Автовик_разбивка[[#This Row],[Цена, 
юань, без НДС 1]]*BL234</f>
        <v>0</v>
      </c>
      <c r="BN234" s="178"/>
      <c r="BO234" s="184"/>
      <c r="BP234" s="130"/>
      <c r="BQ234" s="179"/>
      <c r="BR234" s="130"/>
      <c r="BS234" s="178"/>
      <c r="BT234" s="184"/>
      <c r="BU234" s="130"/>
      <c r="BV234" s="179"/>
      <c r="BW234" s="130"/>
      <c r="BX234" s="178"/>
      <c r="BY234" s="184"/>
      <c r="BZ234" s="130"/>
      <c r="CA234" s="179"/>
      <c r="CB234" s="130"/>
      <c r="CC234" s="178"/>
      <c r="CD234" s="184"/>
      <c r="CE234" s="130"/>
      <c r="CF234" s="179"/>
      <c r="CG234" s="130"/>
      <c r="CH234" s="178"/>
      <c r="CI234" s="184"/>
      <c r="CJ234" s="130"/>
      <c r="CK234" s="179"/>
      <c r="CL234" s="130"/>
      <c r="CM234" s="178"/>
      <c r="CN234" s="184"/>
      <c r="CO234" s="130"/>
      <c r="CP234" s="179"/>
      <c r="CQ234" s="130"/>
      <c r="CR234" s="178"/>
      <c r="CS234" s="184"/>
      <c r="CT234" s="130"/>
      <c r="CU234" s="179"/>
      <c r="CV234" s="130"/>
      <c r="CW234" s="178"/>
      <c r="CX234" s="184"/>
      <c r="CY234" s="130"/>
      <c r="CZ234" s="179"/>
      <c r="DA234" s="130"/>
      <c r="DB234" s="178"/>
      <c r="DC234" s="184"/>
      <c r="DD234" s="130"/>
      <c r="DE234" s="179"/>
      <c r="DF234" s="130"/>
      <c r="DG234" s="178"/>
      <c r="DH234" s="184"/>
      <c r="DI234" s="130"/>
      <c r="DJ234" s="179"/>
      <c r="DK234" s="130"/>
      <c r="DL234" s="178"/>
      <c r="DM234" s="184"/>
      <c r="DN234" s="130"/>
      <c r="DO234" s="194"/>
      <c r="DP234" s="130"/>
      <c r="DQ234" s="178"/>
      <c r="DR234" s="184"/>
      <c r="DS234" s="130">
        <f t="shared" ref="DS234:DS244" si="235">$E234*20</f>
        <v>20</v>
      </c>
      <c r="DT234" s="109"/>
      <c r="DU234" s="130"/>
      <c r="DV234" s="180">
        <f t="shared" si="231"/>
        <v>0</v>
      </c>
      <c r="DW234" s="181">
        <f>Автовик_разбивка[[#This Row],[Цена, 
юань, без НДС 1]]*DV234</f>
        <v>0</v>
      </c>
      <c r="DX234" s="186">
        <f t="shared" si="232"/>
        <v>0</v>
      </c>
      <c r="DY234" s="186">
        <f>Автовик_разбивка[[#This Row],[Цена, 
юань, без НДС 1]]*DX234</f>
        <v>0</v>
      </c>
      <c r="DZ234" s="130">
        <f t="shared" si="233"/>
        <v>20</v>
      </c>
      <c r="EA234" s="187">
        <f>Автовик_разбивка[[#This Row],[Цена, 
юань, без НДС 1]]*DZ234</f>
        <v>0</v>
      </c>
      <c r="EB234" s="109">
        <f t="shared" si="234"/>
        <v>0</v>
      </c>
      <c r="EC234" s="224">
        <f>Автовик_разбивка[[#This Row],[Цена, 
юань, без НДС 1]]*EB234</f>
        <v>0</v>
      </c>
    </row>
    <row r="235" spans="1:133">
      <c r="A235" s="265">
        <v>999</v>
      </c>
      <c r="B235" s="266" t="s">
        <v>336</v>
      </c>
      <c r="C235" s="173" t="s">
        <v>298</v>
      </c>
      <c r="D235" s="173" t="s">
        <v>300</v>
      </c>
      <c r="E235" s="174">
        <v>1</v>
      </c>
      <c r="F235" s="174"/>
      <c r="G235" s="174"/>
      <c r="H235" s="175">
        <v>4630840310</v>
      </c>
      <c r="I235" s="176" t="s">
        <v>135</v>
      </c>
      <c r="J235" s="222"/>
      <c r="K235" s="223"/>
      <c r="L235" s="178"/>
      <c r="M235" s="130"/>
      <c r="N235" s="179"/>
      <c r="O235" s="130"/>
      <c r="P235" s="178"/>
      <c r="Q235" s="130"/>
      <c r="R235" s="179"/>
      <c r="S235" s="130"/>
      <c r="T235" s="178"/>
      <c r="U235" s="130"/>
      <c r="V235" s="179"/>
      <c r="W235" s="130"/>
      <c r="X235" s="178"/>
      <c r="Y235" s="130"/>
      <c r="Z235" s="179"/>
      <c r="AA235" s="130"/>
      <c r="AB235" s="178"/>
      <c r="AC235" s="130"/>
      <c r="AD235" s="179"/>
      <c r="AE235" s="130"/>
      <c r="AF235" s="178"/>
      <c r="AG235" s="130"/>
      <c r="AH235" s="179"/>
      <c r="AI235" s="130"/>
      <c r="AJ235" s="178"/>
      <c r="AK235" s="130"/>
      <c r="AL235" s="179"/>
      <c r="AM235" s="130"/>
      <c r="AN235" s="178"/>
      <c r="AO235" s="130">
        <v>-16</v>
      </c>
      <c r="AP235" s="179"/>
      <c r="AQ235" s="130"/>
      <c r="AR235" s="178"/>
      <c r="AS235" s="130">
        <v>20</v>
      </c>
      <c r="AT235" s="179"/>
      <c r="AU235" s="130"/>
      <c r="AV235" s="178"/>
      <c r="AW235" s="130">
        <v>25</v>
      </c>
      <c r="AX235" s="179"/>
      <c r="AY235" s="130"/>
      <c r="AZ235" s="178"/>
      <c r="BA235" s="130">
        <v>30</v>
      </c>
      <c r="BB235" s="194"/>
      <c r="BC235" s="130"/>
      <c r="BD235" s="178"/>
      <c r="BE235" s="130">
        <v>36</v>
      </c>
      <c r="BF235" s="109"/>
      <c r="BG235" s="130"/>
      <c r="BH235" s="180">
        <f t="shared" si="228"/>
        <v>0</v>
      </c>
      <c r="BI235" s="181">
        <f>Автовик_разбивка[[#This Row],[Цена, 
юань, без НДС 1]]*BH235</f>
        <v>0</v>
      </c>
      <c r="BJ235" s="130">
        <f t="shared" si="229"/>
        <v>95</v>
      </c>
      <c r="BK235" s="187">
        <f>Автовик_разбивка[[#This Row],[Цена, 
юань, без НДС 1]]*BJ235</f>
        <v>0</v>
      </c>
      <c r="BL235" s="109">
        <f t="shared" si="230"/>
        <v>0</v>
      </c>
      <c r="BM235" s="224">
        <f>Автовик_разбивка[[#This Row],[Цена, 
юань, без НДС 1]]*BL235</f>
        <v>0</v>
      </c>
      <c r="BN235" s="178"/>
      <c r="BO235" s="184"/>
      <c r="BP235" s="130"/>
      <c r="BQ235" s="179"/>
      <c r="BR235" s="130"/>
      <c r="BS235" s="178"/>
      <c r="BT235" s="184"/>
      <c r="BU235" s="130"/>
      <c r="BV235" s="179"/>
      <c r="BW235" s="130"/>
      <c r="BX235" s="178"/>
      <c r="BY235" s="184"/>
      <c r="BZ235" s="130"/>
      <c r="CA235" s="179"/>
      <c r="CB235" s="130"/>
      <c r="CC235" s="178"/>
      <c r="CD235" s="184"/>
      <c r="CE235" s="130"/>
      <c r="CF235" s="179"/>
      <c r="CG235" s="130"/>
      <c r="CH235" s="178"/>
      <c r="CI235" s="184"/>
      <c r="CJ235" s="130"/>
      <c r="CK235" s="179"/>
      <c r="CL235" s="130"/>
      <c r="CM235" s="178"/>
      <c r="CN235" s="184"/>
      <c r="CO235" s="130"/>
      <c r="CP235" s="179"/>
      <c r="CQ235" s="130"/>
      <c r="CR235" s="178"/>
      <c r="CS235" s="184"/>
      <c r="CT235" s="130"/>
      <c r="CU235" s="179"/>
      <c r="CV235" s="130"/>
      <c r="CW235" s="178"/>
      <c r="CX235" s="184"/>
      <c r="CY235" s="130"/>
      <c r="CZ235" s="179"/>
      <c r="DA235" s="130"/>
      <c r="DB235" s="178"/>
      <c r="DC235" s="184"/>
      <c r="DD235" s="130"/>
      <c r="DE235" s="179"/>
      <c r="DF235" s="130"/>
      <c r="DG235" s="178"/>
      <c r="DH235" s="184"/>
      <c r="DI235" s="130"/>
      <c r="DJ235" s="179"/>
      <c r="DK235" s="130"/>
      <c r="DL235" s="178"/>
      <c r="DM235" s="184"/>
      <c r="DN235" s="130"/>
      <c r="DO235" s="194"/>
      <c r="DP235" s="130"/>
      <c r="DQ235" s="178"/>
      <c r="DR235" s="184"/>
      <c r="DS235" s="130">
        <f t="shared" si="235"/>
        <v>20</v>
      </c>
      <c r="DT235" s="109"/>
      <c r="DU235" s="130"/>
      <c r="DV235" s="180">
        <f t="shared" si="231"/>
        <v>0</v>
      </c>
      <c r="DW235" s="181">
        <f>Автовик_разбивка[[#This Row],[Цена, 
юань, без НДС 1]]*DV235</f>
        <v>0</v>
      </c>
      <c r="DX235" s="186">
        <f t="shared" si="232"/>
        <v>0</v>
      </c>
      <c r="DY235" s="186">
        <f>Автовик_разбивка[[#This Row],[Цена, 
юань, без НДС 1]]*DX235</f>
        <v>0</v>
      </c>
      <c r="DZ235" s="130">
        <f t="shared" si="233"/>
        <v>20</v>
      </c>
      <c r="EA235" s="187">
        <f>Автовик_разбивка[[#This Row],[Цена, 
юань, без НДС 1]]*DZ235</f>
        <v>0</v>
      </c>
      <c r="EB235" s="109">
        <f t="shared" si="234"/>
        <v>0</v>
      </c>
      <c r="EC235" s="224">
        <f>Автовик_разбивка[[#This Row],[Цена, 
юань, без НДС 1]]*EB235</f>
        <v>0</v>
      </c>
    </row>
    <row r="236" spans="1:133">
      <c r="A236" s="265">
        <v>999</v>
      </c>
      <c r="B236" s="266" t="s">
        <v>336</v>
      </c>
      <c r="C236" s="173" t="s">
        <v>298</v>
      </c>
      <c r="D236" s="173" t="s">
        <v>311</v>
      </c>
      <c r="E236" s="174">
        <v>1</v>
      </c>
      <c r="F236" s="174"/>
      <c r="G236" s="174"/>
      <c r="H236" s="175">
        <v>4334010030</v>
      </c>
      <c r="I236" s="176" t="s">
        <v>81</v>
      </c>
      <c r="J236" s="222"/>
      <c r="K236" s="223"/>
      <c r="L236" s="178"/>
      <c r="M236" s="130"/>
      <c r="N236" s="179"/>
      <c r="O236" s="130"/>
      <c r="P236" s="178"/>
      <c r="Q236" s="130"/>
      <c r="R236" s="179"/>
      <c r="S236" s="130"/>
      <c r="T236" s="178"/>
      <c r="U236" s="130"/>
      <c r="V236" s="179"/>
      <c r="W236" s="130"/>
      <c r="X236" s="178"/>
      <c r="Y236" s="130"/>
      <c r="Z236" s="179"/>
      <c r="AA236" s="130"/>
      <c r="AB236" s="178"/>
      <c r="AC236" s="130"/>
      <c r="AD236" s="179"/>
      <c r="AE236" s="130"/>
      <c r="AF236" s="178"/>
      <c r="AG236" s="130"/>
      <c r="AH236" s="179"/>
      <c r="AI236" s="130"/>
      <c r="AJ236" s="178"/>
      <c r="AK236" s="130"/>
      <c r="AL236" s="179"/>
      <c r="AM236" s="130"/>
      <c r="AN236" s="178"/>
      <c r="AO236" s="130">
        <f t="shared" ref="AO236:AO237" si="236">$E236*-34</f>
        <v>-34</v>
      </c>
      <c r="AP236" s="179"/>
      <c r="AQ236" s="130"/>
      <c r="AR236" s="178"/>
      <c r="AS236" s="130"/>
      <c r="AT236" s="179"/>
      <c r="AU236" s="130"/>
      <c r="AV236" s="178"/>
      <c r="AW236" s="130"/>
      <c r="AX236" s="179"/>
      <c r="AY236" s="130"/>
      <c r="AZ236" s="178"/>
      <c r="BA236" s="130"/>
      <c r="BB236" s="194"/>
      <c r="BC236" s="130"/>
      <c r="BD236" s="178"/>
      <c r="BE236" s="130">
        <f t="shared" ref="BE236:BE244" si="237">$E236*46</f>
        <v>46</v>
      </c>
      <c r="BF236" s="109"/>
      <c r="BG236" s="130"/>
      <c r="BH236" s="180">
        <f t="shared" si="228"/>
        <v>0</v>
      </c>
      <c r="BI236" s="181">
        <f>Автовик_разбивка[[#This Row],[Цена, 
юань, без НДС 1]]*BH236</f>
        <v>0</v>
      </c>
      <c r="BJ236" s="130">
        <f t="shared" si="229"/>
        <v>12</v>
      </c>
      <c r="BK236" s="187">
        <f>Автовик_разбивка[[#This Row],[Цена, 
юань, без НДС 1]]*BJ236</f>
        <v>0</v>
      </c>
      <c r="BL236" s="109">
        <f t="shared" si="230"/>
        <v>0</v>
      </c>
      <c r="BM236" s="224">
        <f>Автовик_разбивка[[#This Row],[Цена, 
юань, без НДС 1]]*BL236</f>
        <v>0</v>
      </c>
      <c r="BN236" s="178"/>
      <c r="BO236" s="184"/>
      <c r="BP236" s="130"/>
      <c r="BQ236" s="179"/>
      <c r="BR236" s="130"/>
      <c r="BS236" s="178"/>
      <c r="BT236" s="184"/>
      <c r="BU236" s="130"/>
      <c r="BV236" s="179"/>
      <c r="BW236" s="130"/>
      <c r="BX236" s="178"/>
      <c r="BY236" s="184"/>
      <c r="BZ236" s="130"/>
      <c r="CA236" s="179"/>
      <c r="CB236" s="130"/>
      <c r="CC236" s="178"/>
      <c r="CD236" s="184"/>
      <c r="CE236" s="130"/>
      <c r="CF236" s="179"/>
      <c r="CG236" s="130"/>
      <c r="CH236" s="178"/>
      <c r="CI236" s="184"/>
      <c r="CJ236" s="130"/>
      <c r="CK236" s="179"/>
      <c r="CL236" s="130"/>
      <c r="CM236" s="178"/>
      <c r="CN236" s="184"/>
      <c r="CO236" s="130"/>
      <c r="CP236" s="179"/>
      <c r="CQ236" s="130"/>
      <c r="CR236" s="178"/>
      <c r="CS236" s="184"/>
      <c r="CT236" s="130"/>
      <c r="CU236" s="179"/>
      <c r="CV236" s="130"/>
      <c r="CW236" s="178"/>
      <c r="CX236" s="184"/>
      <c r="CY236" s="130"/>
      <c r="CZ236" s="179"/>
      <c r="DA236" s="130"/>
      <c r="DB236" s="178"/>
      <c r="DC236" s="184"/>
      <c r="DD236" s="130"/>
      <c r="DE236" s="179"/>
      <c r="DF236" s="130"/>
      <c r="DG236" s="178"/>
      <c r="DH236" s="184"/>
      <c r="DI236" s="130"/>
      <c r="DJ236" s="179"/>
      <c r="DK236" s="130"/>
      <c r="DL236" s="178"/>
      <c r="DM236" s="184"/>
      <c r="DN236" s="130"/>
      <c r="DO236" s="194"/>
      <c r="DP236" s="130"/>
      <c r="DQ236" s="178"/>
      <c r="DR236" s="184"/>
      <c r="DS236" s="130">
        <f t="shared" si="235"/>
        <v>20</v>
      </c>
      <c r="DT236" s="109"/>
      <c r="DU236" s="130"/>
      <c r="DV236" s="180">
        <f t="shared" si="231"/>
        <v>0</v>
      </c>
      <c r="DW236" s="181">
        <f>Автовик_разбивка[[#This Row],[Цена, 
юань, без НДС 1]]*DV236</f>
        <v>0</v>
      </c>
      <c r="DX236" s="186">
        <f t="shared" si="232"/>
        <v>0</v>
      </c>
      <c r="DY236" s="186">
        <f>Автовик_разбивка[[#This Row],[Цена, 
юань, без НДС 1]]*DX236</f>
        <v>0</v>
      </c>
      <c r="DZ236" s="130">
        <f t="shared" si="233"/>
        <v>20</v>
      </c>
      <c r="EA236" s="187">
        <f>Автовик_разбивка[[#This Row],[Цена, 
юань, без НДС 1]]*DZ236</f>
        <v>0</v>
      </c>
      <c r="EB236" s="109">
        <f t="shared" si="234"/>
        <v>0</v>
      </c>
      <c r="EC236" s="224">
        <f>Автовик_разбивка[[#This Row],[Цена, 
юань, без НДС 1]]*EB236</f>
        <v>0</v>
      </c>
    </row>
    <row r="237" spans="1:133">
      <c r="A237" s="265">
        <v>999</v>
      </c>
      <c r="B237" s="266" t="s">
        <v>336</v>
      </c>
      <c r="C237" s="173" t="s">
        <v>298</v>
      </c>
      <c r="D237" s="173" t="s">
        <v>311</v>
      </c>
      <c r="E237" s="174">
        <v>1</v>
      </c>
      <c r="F237" s="174"/>
      <c r="G237" s="174"/>
      <c r="H237" s="175">
        <v>4491731500</v>
      </c>
      <c r="I237" s="176" t="s">
        <v>77</v>
      </c>
      <c r="J237" s="222"/>
      <c r="K237" s="223"/>
      <c r="L237" s="178"/>
      <c r="M237" s="130"/>
      <c r="N237" s="179"/>
      <c r="O237" s="130"/>
      <c r="P237" s="178"/>
      <c r="Q237" s="130"/>
      <c r="R237" s="179"/>
      <c r="S237" s="130"/>
      <c r="T237" s="178"/>
      <c r="U237" s="130"/>
      <c r="V237" s="179"/>
      <c r="W237" s="130"/>
      <c r="X237" s="178"/>
      <c r="Y237" s="130"/>
      <c r="Z237" s="179"/>
      <c r="AA237" s="130"/>
      <c r="AB237" s="178"/>
      <c r="AC237" s="130"/>
      <c r="AD237" s="179"/>
      <c r="AE237" s="130"/>
      <c r="AF237" s="178"/>
      <c r="AG237" s="130"/>
      <c r="AH237" s="179"/>
      <c r="AI237" s="130"/>
      <c r="AJ237" s="178"/>
      <c r="AK237" s="130"/>
      <c r="AL237" s="179"/>
      <c r="AM237" s="130"/>
      <c r="AN237" s="178"/>
      <c r="AO237" s="130">
        <f t="shared" si="236"/>
        <v>-34</v>
      </c>
      <c r="AP237" s="179"/>
      <c r="AQ237" s="130"/>
      <c r="AR237" s="178"/>
      <c r="AS237" s="130"/>
      <c r="AT237" s="179"/>
      <c r="AU237" s="130"/>
      <c r="AV237" s="178"/>
      <c r="AW237" s="130"/>
      <c r="AX237" s="179"/>
      <c r="AY237" s="130"/>
      <c r="AZ237" s="178"/>
      <c r="BA237" s="130"/>
      <c r="BB237" s="194"/>
      <c r="BC237" s="130"/>
      <c r="BD237" s="178"/>
      <c r="BE237" s="130">
        <f t="shared" si="237"/>
        <v>46</v>
      </c>
      <c r="BF237" s="109"/>
      <c r="BG237" s="130"/>
      <c r="BH237" s="180">
        <f t="shared" si="228"/>
        <v>0</v>
      </c>
      <c r="BI237" s="181">
        <f>Автовик_разбивка[[#This Row],[Цена, 
юань, без НДС 1]]*BH237</f>
        <v>0</v>
      </c>
      <c r="BJ237" s="130">
        <f t="shared" si="229"/>
        <v>12</v>
      </c>
      <c r="BK237" s="187">
        <f>Автовик_разбивка[[#This Row],[Цена, 
юань, без НДС 1]]*BJ237</f>
        <v>0</v>
      </c>
      <c r="BL237" s="109">
        <f t="shared" si="230"/>
        <v>0</v>
      </c>
      <c r="BM237" s="224">
        <f>Автовик_разбивка[[#This Row],[Цена, 
юань, без НДС 1]]*BL237</f>
        <v>0</v>
      </c>
      <c r="BN237" s="178"/>
      <c r="BO237" s="184"/>
      <c r="BP237" s="130"/>
      <c r="BQ237" s="179"/>
      <c r="BR237" s="130"/>
      <c r="BS237" s="178"/>
      <c r="BT237" s="184"/>
      <c r="BU237" s="130"/>
      <c r="BV237" s="179"/>
      <c r="BW237" s="130"/>
      <c r="BX237" s="178"/>
      <c r="BY237" s="184"/>
      <c r="BZ237" s="130"/>
      <c r="CA237" s="179"/>
      <c r="CB237" s="130"/>
      <c r="CC237" s="178"/>
      <c r="CD237" s="184"/>
      <c r="CE237" s="130"/>
      <c r="CF237" s="179"/>
      <c r="CG237" s="130"/>
      <c r="CH237" s="178"/>
      <c r="CI237" s="184"/>
      <c r="CJ237" s="130"/>
      <c r="CK237" s="179"/>
      <c r="CL237" s="130"/>
      <c r="CM237" s="178"/>
      <c r="CN237" s="184"/>
      <c r="CO237" s="130"/>
      <c r="CP237" s="179"/>
      <c r="CQ237" s="130"/>
      <c r="CR237" s="178"/>
      <c r="CS237" s="184"/>
      <c r="CT237" s="130"/>
      <c r="CU237" s="179"/>
      <c r="CV237" s="130"/>
      <c r="CW237" s="178"/>
      <c r="CX237" s="184"/>
      <c r="CY237" s="130"/>
      <c r="CZ237" s="179"/>
      <c r="DA237" s="130"/>
      <c r="DB237" s="178"/>
      <c r="DC237" s="184"/>
      <c r="DD237" s="130"/>
      <c r="DE237" s="179"/>
      <c r="DF237" s="130"/>
      <c r="DG237" s="178"/>
      <c r="DH237" s="184"/>
      <c r="DI237" s="130"/>
      <c r="DJ237" s="179"/>
      <c r="DK237" s="130"/>
      <c r="DL237" s="178"/>
      <c r="DM237" s="184"/>
      <c r="DN237" s="130"/>
      <c r="DO237" s="194"/>
      <c r="DP237" s="130"/>
      <c r="DQ237" s="178"/>
      <c r="DR237" s="184"/>
      <c r="DS237" s="130">
        <f t="shared" si="235"/>
        <v>20</v>
      </c>
      <c r="DT237" s="109"/>
      <c r="DU237" s="130"/>
      <c r="DV237" s="180">
        <f t="shared" si="231"/>
        <v>0</v>
      </c>
      <c r="DW237" s="181">
        <f>Автовик_разбивка[[#This Row],[Цена, 
юань, без НДС 1]]*DV237</f>
        <v>0</v>
      </c>
      <c r="DX237" s="186">
        <f t="shared" si="232"/>
        <v>0</v>
      </c>
      <c r="DY237" s="186">
        <f>Автовик_разбивка[[#This Row],[Цена, 
юань, без НДС 1]]*DX237</f>
        <v>0</v>
      </c>
      <c r="DZ237" s="130">
        <f t="shared" si="233"/>
        <v>20</v>
      </c>
      <c r="EA237" s="187">
        <f>Автовик_разбивка[[#This Row],[Цена, 
юань, без НДС 1]]*DZ237</f>
        <v>0</v>
      </c>
      <c r="EB237" s="109">
        <f t="shared" si="234"/>
        <v>0</v>
      </c>
      <c r="EC237" s="224">
        <f>Автовик_разбивка[[#This Row],[Цена, 
юань, без НДС 1]]*EB237</f>
        <v>0</v>
      </c>
    </row>
    <row r="238" spans="1:133">
      <c r="A238" s="265">
        <v>999</v>
      </c>
      <c r="B238" s="266" t="s">
        <v>336</v>
      </c>
      <c r="C238" s="173" t="s">
        <v>298</v>
      </c>
      <c r="D238" s="173" t="s">
        <v>311</v>
      </c>
      <c r="E238" s="174">
        <v>2</v>
      </c>
      <c r="F238" s="174"/>
      <c r="G238" s="174"/>
      <c r="H238" s="175">
        <v>4497230500</v>
      </c>
      <c r="I238" s="176" t="s">
        <v>78</v>
      </c>
      <c r="J238" s="222"/>
      <c r="K238" s="223"/>
      <c r="L238" s="178"/>
      <c r="M238" s="130"/>
      <c r="N238" s="179"/>
      <c r="O238" s="130"/>
      <c r="P238" s="178"/>
      <c r="Q238" s="130"/>
      <c r="R238" s="179"/>
      <c r="S238" s="130"/>
      <c r="T238" s="178"/>
      <c r="U238" s="130"/>
      <c r="V238" s="179"/>
      <c r="W238" s="130"/>
      <c r="X238" s="178"/>
      <c r="Y238" s="130"/>
      <c r="Z238" s="179"/>
      <c r="AA238" s="130"/>
      <c r="AB238" s="178"/>
      <c r="AC238" s="130"/>
      <c r="AD238" s="179"/>
      <c r="AE238" s="130"/>
      <c r="AF238" s="178"/>
      <c r="AG238" s="130"/>
      <c r="AH238" s="179"/>
      <c r="AI238" s="130"/>
      <c r="AJ238" s="178"/>
      <c r="AK238" s="130"/>
      <c r="AL238" s="179"/>
      <c r="AM238" s="130"/>
      <c r="AN238" s="178"/>
      <c r="AO238" s="130">
        <f>$E238*-34-50</f>
        <v>-118</v>
      </c>
      <c r="AP238" s="179"/>
      <c r="AQ238" s="130"/>
      <c r="AR238" s="178"/>
      <c r="AS238" s="130"/>
      <c r="AT238" s="179"/>
      <c r="AU238" s="130"/>
      <c r="AV238" s="178"/>
      <c r="AW238" s="130"/>
      <c r="AX238" s="179"/>
      <c r="AY238" s="130"/>
      <c r="AZ238" s="178"/>
      <c r="BA238" s="130"/>
      <c r="BB238" s="194"/>
      <c r="BC238" s="130"/>
      <c r="BD238" s="178"/>
      <c r="BE238" s="130">
        <f t="shared" si="237"/>
        <v>92</v>
      </c>
      <c r="BF238" s="109"/>
      <c r="BG238" s="130"/>
      <c r="BH238" s="180">
        <f t="shared" si="228"/>
        <v>0</v>
      </c>
      <c r="BI238" s="181">
        <f>Автовик_разбивка[[#This Row],[Цена, 
юань, без НДС 1]]*BH238</f>
        <v>0</v>
      </c>
      <c r="BJ238" s="130">
        <f t="shared" si="229"/>
        <v>-26</v>
      </c>
      <c r="BK238" s="187">
        <f>Автовик_разбивка[[#This Row],[Цена, 
юань, без НДС 1]]*BJ238</f>
        <v>0</v>
      </c>
      <c r="BL238" s="109">
        <f t="shared" si="230"/>
        <v>0</v>
      </c>
      <c r="BM238" s="224">
        <f>Автовик_разбивка[[#This Row],[Цена, 
юань, без НДС 1]]*BL238</f>
        <v>0</v>
      </c>
      <c r="BN238" s="178"/>
      <c r="BO238" s="184"/>
      <c r="BP238" s="130"/>
      <c r="BQ238" s="179"/>
      <c r="BR238" s="130"/>
      <c r="BS238" s="178"/>
      <c r="BT238" s="184"/>
      <c r="BU238" s="130"/>
      <c r="BV238" s="179"/>
      <c r="BW238" s="130"/>
      <c r="BX238" s="178"/>
      <c r="BY238" s="184"/>
      <c r="BZ238" s="130"/>
      <c r="CA238" s="179"/>
      <c r="CB238" s="130"/>
      <c r="CC238" s="178"/>
      <c r="CD238" s="184"/>
      <c r="CE238" s="130"/>
      <c r="CF238" s="179"/>
      <c r="CG238" s="130"/>
      <c r="CH238" s="178"/>
      <c r="CI238" s="184"/>
      <c r="CJ238" s="130"/>
      <c r="CK238" s="179"/>
      <c r="CL238" s="130"/>
      <c r="CM238" s="178"/>
      <c r="CN238" s="184"/>
      <c r="CO238" s="130"/>
      <c r="CP238" s="179"/>
      <c r="CQ238" s="130"/>
      <c r="CR238" s="178"/>
      <c r="CS238" s="184"/>
      <c r="CT238" s="130"/>
      <c r="CU238" s="179"/>
      <c r="CV238" s="130"/>
      <c r="CW238" s="178"/>
      <c r="CX238" s="184"/>
      <c r="CY238" s="130"/>
      <c r="CZ238" s="179"/>
      <c r="DA238" s="130"/>
      <c r="DB238" s="178"/>
      <c r="DC238" s="184"/>
      <c r="DD238" s="130"/>
      <c r="DE238" s="179"/>
      <c r="DF238" s="130"/>
      <c r="DG238" s="178"/>
      <c r="DH238" s="184"/>
      <c r="DI238" s="130"/>
      <c r="DJ238" s="179"/>
      <c r="DK238" s="130"/>
      <c r="DL238" s="178"/>
      <c r="DM238" s="184"/>
      <c r="DN238" s="130"/>
      <c r="DO238" s="194"/>
      <c r="DP238" s="130"/>
      <c r="DQ238" s="178"/>
      <c r="DR238" s="184"/>
      <c r="DS238" s="130">
        <f t="shared" si="235"/>
        <v>40</v>
      </c>
      <c r="DT238" s="109"/>
      <c r="DU238" s="130"/>
      <c r="DV238" s="180">
        <f t="shared" si="231"/>
        <v>0</v>
      </c>
      <c r="DW238" s="181">
        <f>Автовик_разбивка[[#This Row],[Цена, 
юань, без НДС 1]]*DV238</f>
        <v>0</v>
      </c>
      <c r="DX238" s="186">
        <f t="shared" si="232"/>
        <v>0</v>
      </c>
      <c r="DY238" s="186">
        <f>Автовик_разбивка[[#This Row],[Цена, 
юань, без НДС 1]]*DX238</f>
        <v>0</v>
      </c>
      <c r="DZ238" s="130">
        <f t="shared" si="233"/>
        <v>40</v>
      </c>
      <c r="EA238" s="187">
        <f>Автовик_разбивка[[#This Row],[Цена, 
юань, без НДС 1]]*DZ238</f>
        <v>0</v>
      </c>
      <c r="EB238" s="109">
        <f t="shared" si="234"/>
        <v>0</v>
      </c>
      <c r="EC238" s="224">
        <f>Автовик_разбивка[[#This Row],[Цена, 
юань, без НДС 1]]*EB238</f>
        <v>0</v>
      </c>
    </row>
    <row r="239" spans="1:133">
      <c r="A239" s="265">
        <v>999</v>
      </c>
      <c r="B239" s="266" t="s">
        <v>336</v>
      </c>
      <c r="C239" s="173" t="s">
        <v>298</v>
      </c>
      <c r="D239" s="173" t="s">
        <v>311</v>
      </c>
      <c r="E239" s="174">
        <v>1</v>
      </c>
      <c r="F239" s="174"/>
      <c r="G239" s="174"/>
      <c r="H239" s="175">
        <v>4630320200</v>
      </c>
      <c r="I239" s="176" t="s">
        <v>80</v>
      </c>
      <c r="J239" s="222"/>
      <c r="K239" s="223"/>
      <c r="L239" s="178"/>
      <c r="M239" s="130"/>
      <c r="N239" s="179"/>
      <c r="O239" s="130"/>
      <c r="P239" s="178"/>
      <c r="Q239" s="130"/>
      <c r="R239" s="179"/>
      <c r="S239" s="130"/>
      <c r="T239" s="178"/>
      <c r="U239" s="130"/>
      <c r="V239" s="179"/>
      <c r="W239" s="130"/>
      <c r="X239" s="178"/>
      <c r="Y239" s="130"/>
      <c r="Z239" s="179"/>
      <c r="AA239" s="130"/>
      <c r="AB239" s="178"/>
      <c r="AC239" s="130"/>
      <c r="AD239" s="179"/>
      <c r="AE239" s="130"/>
      <c r="AF239" s="178"/>
      <c r="AG239" s="130"/>
      <c r="AH239" s="179"/>
      <c r="AI239" s="130"/>
      <c r="AJ239" s="178"/>
      <c r="AK239" s="130"/>
      <c r="AL239" s="179"/>
      <c r="AM239" s="130"/>
      <c r="AN239" s="178"/>
      <c r="AO239" s="130">
        <f t="shared" ref="AO239:AO244" si="238">$E239*-34</f>
        <v>-34</v>
      </c>
      <c r="AP239" s="179"/>
      <c r="AQ239" s="130"/>
      <c r="AR239" s="178"/>
      <c r="AS239" s="130"/>
      <c r="AT239" s="179"/>
      <c r="AU239" s="130"/>
      <c r="AV239" s="178"/>
      <c r="AW239" s="130"/>
      <c r="AX239" s="179"/>
      <c r="AY239" s="130"/>
      <c r="AZ239" s="178"/>
      <c r="BA239" s="130"/>
      <c r="BB239" s="194"/>
      <c r="BC239" s="130"/>
      <c r="BD239" s="178"/>
      <c r="BE239" s="130">
        <f t="shared" si="237"/>
        <v>46</v>
      </c>
      <c r="BF239" s="109"/>
      <c r="BG239" s="130"/>
      <c r="BH239" s="180">
        <f t="shared" si="228"/>
        <v>0</v>
      </c>
      <c r="BI239" s="181">
        <f>Автовик_разбивка[[#This Row],[Цена, 
юань, без НДС 1]]*BH239</f>
        <v>0</v>
      </c>
      <c r="BJ239" s="130">
        <f t="shared" si="229"/>
        <v>12</v>
      </c>
      <c r="BK239" s="187">
        <f>Автовик_разбивка[[#This Row],[Цена, 
юань, без НДС 1]]*BJ239</f>
        <v>0</v>
      </c>
      <c r="BL239" s="109">
        <f t="shared" si="230"/>
        <v>0</v>
      </c>
      <c r="BM239" s="224">
        <f>Автовик_разбивка[[#This Row],[Цена, 
юань, без НДС 1]]*BL239</f>
        <v>0</v>
      </c>
      <c r="BN239" s="178"/>
      <c r="BO239" s="184"/>
      <c r="BP239" s="130"/>
      <c r="BQ239" s="179"/>
      <c r="BR239" s="130"/>
      <c r="BS239" s="178"/>
      <c r="BT239" s="184"/>
      <c r="BU239" s="130"/>
      <c r="BV239" s="179"/>
      <c r="BW239" s="130"/>
      <c r="BX239" s="178"/>
      <c r="BY239" s="184"/>
      <c r="BZ239" s="130"/>
      <c r="CA239" s="179"/>
      <c r="CB239" s="130"/>
      <c r="CC239" s="178"/>
      <c r="CD239" s="184"/>
      <c r="CE239" s="130"/>
      <c r="CF239" s="179"/>
      <c r="CG239" s="130"/>
      <c r="CH239" s="178"/>
      <c r="CI239" s="184"/>
      <c r="CJ239" s="130"/>
      <c r="CK239" s="179"/>
      <c r="CL239" s="130"/>
      <c r="CM239" s="178"/>
      <c r="CN239" s="184"/>
      <c r="CO239" s="130"/>
      <c r="CP239" s="179"/>
      <c r="CQ239" s="130"/>
      <c r="CR239" s="178"/>
      <c r="CS239" s="184"/>
      <c r="CT239" s="130"/>
      <c r="CU239" s="179"/>
      <c r="CV239" s="130"/>
      <c r="CW239" s="178"/>
      <c r="CX239" s="184"/>
      <c r="CY239" s="130"/>
      <c r="CZ239" s="179"/>
      <c r="DA239" s="130"/>
      <c r="DB239" s="178"/>
      <c r="DC239" s="184"/>
      <c r="DD239" s="130"/>
      <c r="DE239" s="179"/>
      <c r="DF239" s="130"/>
      <c r="DG239" s="178"/>
      <c r="DH239" s="184"/>
      <c r="DI239" s="130"/>
      <c r="DJ239" s="179"/>
      <c r="DK239" s="130"/>
      <c r="DL239" s="178"/>
      <c r="DM239" s="184"/>
      <c r="DN239" s="130"/>
      <c r="DO239" s="194"/>
      <c r="DP239" s="130"/>
      <c r="DQ239" s="178"/>
      <c r="DR239" s="184"/>
      <c r="DS239" s="130">
        <f t="shared" si="235"/>
        <v>20</v>
      </c>
      <c r="DT239" s="109"/>
      <c r="DU239" s="130"/>
      <c r="DV239" s="180">
        <f t="shared" si="231"/>
        <v>0</v>
      </c>
      <c r="DW239" s="181">
        <f>Автовик_разбивка[[#This Row],[Цена, 
юань, без НДС 1]]*DV239</f>
        <v>0</v>
      </c>
      <c r="DX239" s="186">
        <f t="shared" si="232"/>
        <v>0</v>
      </c>
      <c r="DY239" s="186">
        <f>Автовик_разбивка[[#This Row],[Цена, 
юань, без НДС 1]]*DX239</f>
        <v>0</v>
      </c>
      <c r="DZ239" s="130">
        <f t="shared" si="233"/>
        <v>20</v>
      </c>
      <c r="EA239" s="187">
        <f>Автовик_разбивка[[#This Row],[Цена, 
юань, без НДС 1]]*DZ239</f>
        <v>0</v>
      </c>
      <c r="EB239" s="109">
        <f t="shared" si="234"/>
        <v>0</v>
      </c>
      <c r="EC239" s="224">
        <f>Автовик_разбивка[[#This Row],[Цена, 
юань, без НДС 1]]*EB239</f>
        <v>0</v>
      </c>
    </row>
    <row r="240" spans="1:133">
      <c r="A240" s="265">
        <v>999</v>
      </c>
      <c r="B240" s="266" t="s">
        <v>336</v>
      </c>
      <c r="C240" s="173" t="s">
        <v>298</v>
      </c>
      <c r="D240" s="173" t="s">
        <v>311</v>
      </c>
      <c r="E240" s="174">
        <v>1</v>
      </c>
      <c r="F240" s="174"/>
      <c r="G240" s="174"/>
      <c r="H240" s="175">
        <v>4640061000</v>
      </c>
      <c r="I240" s="176" t="s">
        <v>79</v>
      </c>
      <c r="J240" s="222"/>
      <c r="K240" s="223"/>
      <c r="L240" s="178"/>
      <c r="M240" s="130"/>
      <c r="N240" s="179"/>
      <c r="O240" s="130"/>
      <c r="P240" s="178"/>
      <c r="Q240" s="130"/>
      <c r="R240" s="179"/>
      <c r="S240" s="130"/>
      <c r="T240" s="178"/>
      <c r="U240" s="130"/>
      <c r="V240" s="179"/>
      <c r="W240" s="130"/>
      <c r="X240" s="178"/>
      <c r="Y240" s="130"/>
      <c r="Z240" s="179"/>
      <c r="AA240" s="130"/>
      <c r="AB240" s="178"/>
      <c r="AC240" s="130"/>
      <c r="AD240" s="179"/>
      <c r="AE240" s="130"/>
      <c r="AF240" s="178"/>
      <c r="AG240" s="130"/>
      <c r="AH240" s="179"/>
      <c r="AI240" s="130"/>
      <c r="AJ240" s="178"/>
      <c r="AK240" s="130"/>
      <c r="AL240" s="179"/>
      <c r="AM240" s="130"/>
      <c r="AN240" s="178"/>
      <c r="AO240" s="130">
        <f t="shared" si="238"/>
        <v>-34</v>
      </c>
      <c r="AP240" s="179"/>
      <c r="AQ240" s="130"/>
      <c r="AR240" s="178"/>
      <c r="AS240" s="130"/>
      <c r="AT240" s="179"/>
      <c r="AU240" s="130"/>
      <c r="AV240" s="178"/>
      <c r="AW240" s="130"/>
      <c r="AX240" s="179"/>
      <c r="AY240" s="130"/>
      <c r="AZ240" s="178"/>
      <c r="BA240" s="130"/>
      <c r="BB240" s="194"/>
      <c r="BC240" s="130"/>
      <c r="BD240" s="178"/>
      <c r="BE240" s="130">
        <f t="shared" si="237"/>
        <v>46</v>
      </c>
      <c r="BF240" s="109"/>
      <c r="BG240" s="130"/>
      <c r="BH240" s="180">
        <f t="shared" si="228"/>
        <v>0</v>
      </c>
      <c r="BI240" s="181">
        <f>Автовик_разбивка[[#This Row],[Цена, 
юань, без НДС 1]]*BH240</f>
        <v>0</v>
      </c>
      <c r="BJ240" s="130">
        <f t="shared" si="229"/>
        <v>12</v>
      </c>
      <c r="BK240" s="187">
        <f>Автовик_разбивка[[#This Row],[Цена, 
юань, без НДС 1]]*BJ240</f>
        <v>0</v>
      </c>
      <c r="BL240" s="109">
        <f t="shared" si="230"/>
        <v>0</v>
      </c>
      <c r="BM240" s="224">
        <f>Автовик_разбивка[[#This Row],[Цена, 
юань, без НДС 1]]*BL240</f>
        <v>0</v>
      </c>
      <c r="BN240" s="178"/>
      <c r="BO240" s="184"/>
      <c r="BP240" s="130"/>
      <c r="BQ240" s="179"/>
      <c r="BR240" s="130"/>
      <c r="BS240" s="178"/>
      <c r="BT240" s="184"/>
      <c r="BU240" s="130"/>
      <c r="BV240" s="179"/>
      <c r="BW240" s="130"/>
      <c r="BX240" s="178"/>
      <c r="BY240" s="184"/>
      <c r="BZ240" s="130"/>
      <c r="CA240" s="179"/>
      <c r="CB240" s="130"/>
      <c r="CC240" s="178"/>
      <c r="CD240" s="184"/>
      <c r="CE240" s="130"/>
      <c r="CF240" s="179"/>
      <c r="CG240" s="130"/>
      <c r="CH240" s="178"/>
      <c r="CI240" s="184"/>
      <c r="CJ240" s="130"/>
      <c r="CK240" s="179"/>
      <c r="CL240" s="130"/>
      <c r="CM240" s="178"/>
      <c r="CN240" s="184"/>
      <c r="CO240" s="130"/>
      <c r="CP240" s="179"/>
      <c r="CQ240" s="130"/>
      <c r="CR240" s="178"/>
      <c r="CS240" s="184"/>
      <c r="CT240" s="130"/>
      <c r="CU240" s="179"/>
      <c r="CV240" s="130"/>
      <c r="CW240" s="178"/>
      <c r="CX240" s="184"/>
      <c r="CY240" s="130"/>
      <c r="CZ240" s="179"/>
      <c r="DA240" s="130"/>
      <c r="DB240" s="178"/>
      <c r="DC240" s="184"/>
      <c r="DD240" s="130"/>
      <c r="DE240" s="179"/>
      <c r="DF240" s="130"/>
      <c r="DG240" s="178"/>
      <c r="DH240" s="184"/>
      <c r="DI240" s="130"/>
      <c r="DJ240" s="179"/>
      <c r="DK240" s="130"/>
      <c r="DL240" s="178"/>
      <c r="DM240" s="184"/>
      <c r="DN240" s="130"/>
      <c r="DO240" s="194"/>
      <c r="DP240" s="130"/>
      <c r="DQ240" s="178"/>
      <c r="DR240" s="184"/>
      <c r="DS240" s="130">
        <f t="shared" si="235"/>
        <v>20</v>
      </c>
      <c r="DT240" s="109"/>
      <c r="DU240" s="130"/>
      <c r="DV240" s="180">
        <f t="shared" si="231"/>
        <v>0</v>
      </c>
      <c r="DW240" s="181">
        <f>Автовик_разбивка[[#This Row],[Цена, 
юань, без НДС 1]]*DV240</f>
        <v>0</v>
      </c>
      <c r="DX240" s="186">
        <f t="shared" si="232"/>
        <v>0</v>
      </c>
      <c r="DY240" s="186">
        <f>Автовик_разбивка[[#This Row],[Цена, 
юань, без НДС 1]]*DX240</f>
        <v>0</v>
      </c>
      <c r="DZ240" s="130">
        <f t="shared" si="233"/>
        <v>20</v>
      </c>
      <c r="EA240" s="187">
        <f>Автовик_разбивка[[#This Row],[Цена, 
юань, без НДС 1]]*DZ240</f>
        <v>0</v>
      </c>
      <c r="EB240" s="109">
        <f t="shared" si="234"/>
        <v>0</v>
      </c>
      <c r="EC240" s="224">
        <f>Автовик_разбивка[[#This Row],[Цена, 
юань, без НДС 1]]*EB240</f>
        <v>0</v>
      </c>
    </row>
    <row r="241" spans="1:133">
      <c r="A241" s="265">
        <v>999</v>
      </c>
      <c r="B241" s="266" t="s">
        <v>336</v>
      </c>
      <c r="C241" s="173" t="s">
        <v>298</v>
      </c>
      <c r="D241" s="173" t="s">
        <v>311</v>
      </c>
      <c r="E241" s="174">
        <v>1</v>
      </c>
      <c r="F241" s="174"/>
      <c r="G241" s="174"/>
      <c r="H241" s="175">
        <v>4801020640</v>
      </c>
      <c r="I241" s="176" t="s">
        <v>76</v>
      </c>
      <c r="J241" s="222"/>
      <c r="K241" s="223"/>
      <c r="L241" s="178"/>
      <c r="M241" s="130"/>
      <c r="N241" s="179"/>
      <c r="O241" s="130"/>
      <c r="P241" s="178"/>
      <c r="Q241" s="130"/>
      <c r="R241" s="179"/>
      <c r="S241" s="130"/>
      <c r="T241" s="178"/>
      <c r="U241" s="130"/>
      <c r="V241" s="179"/>
      <c r="W241" s="130"/>
      <c r="X241" s="178"/>
      <c r="Y241" s="130"/>
      <c r="Z241" s="179"/>
      <c r="AA241" s="130"/>
      <c r="AB241" s="178"/>
      <c r="AC241" s="130"/>
      <c r="AD241" s="179"/>
      <c r="AE241" s="130"/>
      <c r="AF241" s="178"/>
      <c r="AG241" s="130"/>
      <c r="AH241" s="179"/>
      <c r="AI241" s="130"/>
      <c r="AJ241" s="178"/>
      <c r="AK241" s="130"/>
      <c r="AL241" s="179"/>
      <c r="AM241" s="130"/>
      <c r="AN241" s="178"/>
      <c r="AO241" s="130">
        <f t="shared" si="238"/>
        <v>-34</v>
      </c>
      <c r="AP241" s="179"/>
      <c r="AQ241" s="130"/>
      <c r="AR241" s="178"/>
      <c r="AS241" s="130"/>
      <c r="AT241" s="179"/>
      <c r="AU241" s="130"/>
      <c r="AV241" s="178"/>
      <c r="AW241" s="130"/>
      <c r="AX241" s="179"/>
      <c r="AY241" s="130"/>
      <c r="AZ241" s="178"/>
      <c r="BA241" s="130"/>
      <c r="BB241" s="194"/>
      <c r="BC241" s="130"/>
      <c r="BD241" s="178"/>
      <c r="BE241" s="130">
        <f t="shared" si="237"/>
        <v>46</v>
      </c>
      <c r="BF241" s="109"/>
      <c r="BG241" s="130"/>
      <c r="BH241" s="180">
        <f t="shared" si="228"/>
        <v>0</v>
      </c>
      <c r="BI241" s="181">
        <f>Автовик_разбивка[[#This Row],[Цена, 
юань, без НДС 1]]*BH241</f>
        <v>0</v>
      </c>
      <c r="BJ241" s="130">
        <f t="shared" si="229"/>
        <v>12</v>
      </c>
      <c r="BK241" s="187">
        <f>Автовик_разбивка[[#This Row],[Цена, 
юань, без НДС 1]]*BJ241</f>
        <v>0</v>
      </c>
      <c r="BL241" s="109">
        <f t="shared" si="230"/>
        <v>0</v>
      </c>
      <c r="BM241" s="224">
        <f>Автовик_разбивка[[#This Row],[Цена, 
юань, без НДС 1]]*BL241</f>
        <v>0</v>
      </c>
      <c r="BN241" s="178"/>
      <c r="BO241" s="184"/>
      <c r="BP241" s="130"/>
      <c r="BQ241" s="179"/>
      <c r="BR241" s="130"/>
      <c r="BS241" s="178"/>
      <c r="BT241" s="184"/>
      <c r="BU241" s="130"/>
      <c r="BV241" s="179"/>
      <c r="BW241" s="130"/>
      <c r="BX241" s="178"/>
      <c r="BY241" s="184"/>
      <c r="BZ241" s="130"/>
      <c r="CA241" s="179"/>
      <c r="CB241" s="130"/>
      <c r="CC241" s="178"/>
      <c r="CD241" s="184"/>
      <c r="CE241" s="130"/>
      <c r="CF241" s="179"/>
      <c r="CG241" s="130"/>
      <c r="CH241" s="178"/>
      <c r="CI241" s="184"/>
      <c r="CJ241" s="130"/>
      <c r="CK241" s="179"/>
      <c r="CL241" s="130"/>
      <c r="CM241" s="178"/>
      <c r="CN241" s="184"/>
      <c r="CO241" s="130"/>
      <c r="CP241" s="179"/>
      <c r="CQ241" s="130"/>
      <c r="CR241" s="178"/>
      <c r="CS241" s="184"/>
      <c r="CT241" s="130"/>
      <c r="CU241" s="179"/>
      <c r="CV241" s="130"/>
      <c r="CW241" s="178"/>
      <c r="CX241" s="184"/>
      <c r="CY241" s="130"/>
      <c r="CZ241" s="179"/>
      <c r="DA241" s="130"/>
      <c r="DB241" s="178"/>
      <c r="DC241" s="184"/>
      <c r="DD241" s="130"/>
      <c r="DE241" s="179"/>
      <c r="DF241" s="130"/>
      <c r="DG241" s="178"/>
      <c r="DH241" s="184"/>
      <c r="DI241" s="130"/>
      <c r="DJ241" s="179"/>
      <c r="DK241" s="130"/>
      <c r="DL241" s="178"/>
      <c r="DM241" s="184"/>
      <c r="DN241" s="130"/>
      <c r="DO241" s="194"/>
      <c r="DP241" s="130"/>
      <c r="DQ241" s="178"/>
      <c r="DR241" s="184"/>
      <c r="DS241" s="130">
        <f t="shared" si="235"/>
        <v>20</v>
      </c>
      <c r="DT241" s="109"/>
      <c r="DU241" s="130"/>
      <c r="DV241" s="180">
        <f t="shared" si="231"/>
        <v>0</v>
      </c>
      <c r="DW241" s="181">
        <f>Автовик_разбивка[[#This Row],[Цена, 
юань, без НДС 1]]*DV241</f>
        <v>0</v>
      </c>
      <c r="DX241" s="186">
        <f t="shared" si="232"/>
        <v>0</v>
      </c>
      <c r="DY241" s="186">
        <f>Автовик_разбивка[[#This Row],[Цена, 
юань, без НДС 1]]*DX241</f>
        <v>0</v>
      </c>
      <c r="DZ241" s="130">
        <f t="shared" si="233"/>
        <v>20</v>
      </c>
      <c r="EA241" s="187">
        <f>Автовик_разбивка[[#This Row],[Цена, 
юань, без НДС 1]]*DZ241</f>
        <v>0</v>
      </c>
      <c r="EB241" s="109">
        <f t="shared" si="234"/>
        <v>0</v>
      </c>
      <c r="EC241" s="224">
        <f>Автовик_разбивка[[#This Row],[Цена, 
юань, без НДС 1]]*EB241</f>
        <v>0</v>
      </c>
    </row>
    <row r="242" spans="1:133">
      <c r="A242" s="265">
        <v>999</v>
      </c>
      <c r="B242" s="266" t="s">
        <v>336</v>
      </c>
      <c r="C242" s="173" t="s">
        <v>298</v>
      </c>
      <c r="D242" s="173" t="s">
        <v>311</v>
      </c>
      <c r="E242" s="174">
        <v>1</v>
      </c>
      <c r="F242" s="174"/>
      <c r="G242" s="174"/>
      <c r="H242" s="175">
        <v>9522010010</v>
      </c>
      <c r="I242" s="176" t="s">
        <v>73</v>
      </c>
      <c r="J242" s="222"/>
      <c r="K242" s="223"/>
      <c r="L242" s="178"/>
      <c r="M242" s="130"/>
      <c r="N242" s="179"/>
      <c r="O242" s="130"/>
      <c r="P242" s="178"/>
      <c r="Q242" s="130"/>
      <c r="R242" s="179"/>
      <c r="S242" s="130"/>
      <c r="T242" s="178"/>
      <c r="U242" s="130"/>
      <c r="V242" s="179"/>
      <c r="W242" s="130"/>
      <c r="X242" s="178"/>
      <c r="Y242" s="130"/>
      <c r="Z242" s="179"/>
      <c r="AA242" s="130"/>
      <c r="AB242" s="178"/>
      <c r="AC242" s="130"/>
      <c r="AD242" s="179"/>
      <c r="AE242" s="130"/>
      <c r="AF242" s="178"/>
      <c r="AG242" s="130"/>
      <c r="AH242" s="179"/>
      <c r="AI242" s="130"/>
      <c r="AJ242" s="178"/>
      <c r="AK242" s="130"/>
      <c r="AL242" s="179"/>
      <c r="AM242" s="130"/>
      <c r="AN242" s="178"/>
      <c r="AO242" s="130">
        <f t="shared" si="238"/>
        <v>-34</v>
      </c>
      <c r="AP242" s="179"/>
      <c r="AQ242" s="130"/>
      <c r="AR242" s="178"/>
      <c r="AS242" s="130"/>
      <c r="AT242" s="179"/>
      <c r="AU242" s="130"/>
      <c r="AV242" s="178"/>
      <c r="AW242" s="130"/>
      <c r="AX242" s="179"/>
      <c r="AY242" s="130"/>
      <c r="AZ242" s="178"/>
      <c r="BA242" s="130"/>
      <c r="BB242" s="194"/>
      <c r="BC242" s="130"/>
      <c r="BD242" s="178"/>
      <c r="BE242" s="130">
        <f t="shared" si="237"/>
        <v>46</v>
      </c>
      <c r="BF242" s="109"/>
      <c r="BG242" s="130"/>
      <c r="BH242" s="180">
        <f t="shared" si="228"/>
        <v>0</v>
      </c>
      <c r="BI242" s="181">
        <f>Автовик_разбивка[[#This Row],[Цена, 
юань, без НДС 1]]*BH242</f>
        <v>0</v>
      </c>
      <c r="BJ242" s="130">
        <f t="shared" si="229"/>
        <v>12</v>
      </c>
      <c r="BK242" s="187">
        <f>Автовик_разбивка[[#This Row],[Цена, 
юань, без НДС 1]]*BJ242</f>
        <v>0</v>
      </c>
      <c r="BL242" s="109">
        <f t="shared" si="230"/>
        <v>0</v>
      </c>
      <c r="BM242" s="224">
        <f>Автовик_разбивка[[#This Row],[Цена, 
юань, без НДС 1]]*BL242</f>
        <v>0</v>
      </c>
      <c r="BN242" s="178"/>
      <c r="BO242" s="184"/>
      <c r="BP242" s="130"/>
      <c r="BQ242" s="179"/>
      <c r="BR242" s="130"/>
      <c r="BS242" s="178"/>
      <c r="BT242" s="184"/>
      <c r="BU242" s="130"/>
      <c r="BV242" s="179"/>
      <c r="BW242" s="130"/>
      <c r="BX242" s="178"/>
      <c r="BY242" s="184"/>
      <c r="BZ242" s="130"/>
      <c r="CA242" s="179"/>
      <c r="CB242" s="130"/>
      <c r="CC242" s="178"/>
      <c r="CD242" s="184"/>
      <c r="CE242" s="130"/>
      <c r="CF242" s="179"/>
      <c r="CG242" s="130"/>
      <c r="CH242" s="178"/>
      <c r="CI242" s="184"/>
      <c r="CJ242" s="130"/>
      <c r="CK242" s="179"/>
      <c r="CL242" s="130"/>
      <c r="CM242" s="178"/>
      <c r="CN242" s="184"/>
      <c r="CO242" s="130"/>
      <c r="CP242" s="179"/>
      <c r="CQ242" s="130"/>
      <c r="CR242" s="178"/>
      <c r="CS242" s="184"/>
      <c r="CT242" s="130"/>
      <c r="CU242" s="179"/>
      <c r="CV242" s="130"/>
      <c r="CW242" s="178"/>
      <c r="CX242" s="184"/>
      <c r="CY242" s="130"/>
      <c r="CZ242" s="179"/>
      <c r="DA242" s="130"/>
      <c r="DB242" s="178"/>
      <c r="DC242" s="184"/>
      <c r="DD242" s="130"/>
      <c r="DE242" s="179"/>
      <c r="DF242" s="130"/>
      <c r="DG242" s="178"/>
      <c r="DH242" s="184"/>
      <c r="DI242" s="130"/>
      <c r="DJ242" s="179"/>
      <c r="DK242" s="130"/>
      <c r="DL242" s="178"/>
      <c r="DM242" s="184"/>
      <c r="DN242" s="130"/>
      <c r="DO242" s="194"/>
      <c r="DP242" s="130"/>
      <c r="DQ242" s="178"/>
      <c r="DR242" s="184"/>
      <c r="DS242" s="130">
        <f t="shared" si="235"/>
        <v>20</v>
      </c>
      <c r="DT242" s="109"/>
      <c r="DU242" s="130"/>
      <c r="DV242" s="180">
        <f t="shared" si="231"/>
        <v>0</v>
      </c>
      <c r="DW242" s="181">
        <f>Автовик_разбивка[[#This Row],[Цена, 
юань, без НДС 1]]*DV242</f>
        <v>0</v>
      </c>
      <c r="DX242" s="186">
        <f t="shared" si="232"/>
        <v>0</v>
      </c>
      <c r="DY242" s="186">
        <f>Автовик_разбивка[[#This Row],[Цена, 
юань, без НДС 1]]*DX242</f>
        <v>0</v>
      </c>
      <c r="DZ242" s="130">
        <f t="shared" si="233"/>
        <v>20</v>
      </c>
      <c r="EA242" s="187">
        <f>Автовик_разбивка[[#This Row],[Цена, 
юань, без НДС 1]]*DZ242</f>
        <v>0</v>
      </c>
      <c r="EB242" s="109">
        <f t="shared" si="234"/>
        <v>0</v>
      </c>
      <c r="EC242" s="224">
        <f>Автовик_разбивка[[#This Row],[Цена, 
юань, без НДС 1]]*EB242</f>
        <v>0</v>
      </c>
    </row>
    <row r="243" spans="1:133">
      <c r="A243" s="265">
        <v>999</v>
      </c>
      <c r="B243" s="266" t="s">
        <v>336</v>
      </c>
      <c r="C243" s="173" t="s">
        <v>298</v>
      </c>
      <c r="D243" s="173" t="s">
        <v>311</v>
      </c>
      <c r="E243" s="174">
        <v>1</v>
      </c>
      <c r="F243" s="174"/>
      <c r="G243" s="174"/>
      <c r="H243" s="175">
        <v>9522010020</v>
      </c>
      <c r="I243" s="176" t="s">
        <v>74</v>
      </c>
      <c r="J243" s="222"/>
      <c r="K243" s="223"/>
      <c r="L243" s="178"/>
      <c r="M243" s="130"/>
      <c r="N243" s="179"/>
      <c r="O243" s="130"/>
      <c r="P243" s="178"/>
      <c r="Q243" s="130"/>
      <c r="R243" s="179"/>
      <c r="S243" s="130"/>
      <c r="T243" s="178"/>
      <c r="U243" s="130"/>
      <c r="V243" s="179"/>
      <c r="W243" s="130"/>
      <c r="X243" s="178"/>
      <c r="Y243" s="130"/>
      <c r="Z243" s="179"/>
      <c r="AA243" s="130"/>
      <c r="AB243" s="178"/>
      <c r="AC243" s="130"/>
      <c r="AD243" s="179"/>
      <c r="AE243" s="130"/>
      <c r="AF243" s="178"/>
      <c r="AG243" s="130"/>
      <c r="AH243" s="179"/>
      <c r="AI243" s="130"/>
      <c r="AJ243" s="178"/>
      <c r="AK243" s="130"/>
      <c r="AL243" s="179"/>
      <c r="AM243" s="130"/>
      <c r="AN243" s="178"/>
      <c r="AO243" s="130">
        <f t="shared" si="238"/>
        <v>-34</v>
      </c>
      <c r="AP243" s="179"/>
      <c r="AQ243" s="130"/>
      <c r="AR243" s="178"/>
      <c r="AS243" s="130"/>
      <c r="AT243" s="179"/>
      <c r="AU243" s="130"/>
      <c r="AV243" s="178"/>
      <c r="AW243" s="130"/>
      <c r="AX243" s="179"/>
      <c r="AY243" s="130"/>
      <c r="AZ243" s="178"/>
      <c r="BA243" s="130"/>
      <c r="BB243" s="194"/>
      <c r="BC243" s="130"/>
      <c r="BD243" s="178"/>
      <c r="BE243" s="130">
        <f t="shared" si="237"/>
        <v>46</v>
      </c>
      <c r="BF243" s="109"/>
      <c r="BG243" s="130"/>
      <c r="BH243" s="180">
        <f t="shared" si="228"/>
        <v>0</v>
      </c>
      <c r="BI243" s="181">
        <f>Автовик_разбивка[[#This Row],[Цена, 
юань, без НДС 1]]*BH243</f>
        <v>0</v>
      </c>
      <c r="BJ243" s="130">
        <f t="shared" si="229"/>
        <v>12</v>
      </c>
      <c r="BK243" s="187">
        <f>Автовик_разбивка[[#This Row],[Цена, 
юань, без НДС 1]]*BJ243</f>
        <v>0</v>
      </c>
      <c r="BL243" s="109">
        <f t="shared" si="230"/>
        <v>0</v>
      </c>
      <c r="BM243" s="224">
        <f>Автовик_разбивка[[#This Row],[Цена, 
юань, без НДС 1]]*BL243</f>
        <v>0</v>
      </c>
      <c r="BN243" s="178"/>
      <c r="BO243" s="184"/>
      <c r="BP243" s="130"/>
      <c r="BQ243" s="179"/>
      <c r="BR243" s="130"/>
      <c r="BS243" s="178"/>
      <c r="BT243" s="184"/>
      <c r="BU243" s="130"/>
      <c r="BV243" s="179"/>
      <c r="BW243" s="130"/>
      <c r="BX243" s="178"/>
      <c r="BY243" s="184"/>
      <c r="BZ243" s="130"/>
      <c r="CA243" s="179"/>
      <c r="CB243" s="130"/>
      <c r="CC243" s="178"/>
      <c r="CD243" s="184"/>
      <c r="CE243" s="130"/>
      <c r="CF243" s="179"/>
      <c r="CG243" s="130"/>
      <c r="CH243" s="178"/>
      <c r="CI243" s="184"/>
      <c r="CJ243" s="130"/>
      <c r="CK243" s="179"/>
      <c r="CL243" s="130"/>
      <c r="CM243" s="178"/>
      <c r="CN243" s="184"/>
      <c r="CO243" s="130"/>
      <c r="CP243" s="179"/>
      <c r="CQ243" s="130"/>
      <c r="CR243" s="178"/>
      <c r="CS243" s="184"/>
      <c r="CT243" s="130"/>
      <c r="CU243" s="179"/>
      <c r="CV243" s="130"/>
      <c r="CW243" s="178"/>
      <c r="CX243" s="184"/>
      <c r="CY243" s="130"/>
      <c r="CZ243" s="179"/>
      <c r="DA243" s="130"/>
      <c r="DB243" s="178"/>
      <c r="DC243" s="184"/>
      <c r="DD243" s="130"/>
      <c r="DE243" s="179"/>
      <c r="DF243" s="130"/>
      <c r="DG243" s="178"/>
      <c r="DH243" s="184"/>
      <c r="DI243" s="130"/>
      <c r="DJ243" s="179"/>
      <c r="DK243" s="130"/>
      <c r="DL243" s="178"/>
      <c r="DM243" s="184"/>
      <c r="DN243" s="130"/>
      <c r="DO243" s="194"/>
      <c r="DP243" s="130"/>
      <c r="DQ243" s="178"/>
      <c r="DR243" s="184"/>
      <c r="DS243" s="130">
        <f t="shared" si="235"/>
        <v>20</v>
      </c>
      <c r="DT243" s="109"/>
      <c r="DU243" s="130"/>
      <c r="DV243" s="180">
        <f t="shared" si="231"/>
        <v>0</v>
      </c>
      <c r="DW243" s="181">
        <f>Автовик_разбивка[[#This Row],[Цена, 
юань, без НДС 1]]*DV243</f>
        <v>0</v>
      </c>
      <c r="DX243" s="186">
        <f t="shared" si="232"/>
        <v>0</v>
      </c>
      <c r="DY243" s="186">
        <f>Автовик_разбивка[[#This Row],[Цена, 
юань, без НДС 1]]*DX243</f>
        <v>0</v>
      </c>
      <c r="DZ243" s="130">
        <f t="shared" si="233"/>
        <v>20</v>
      </c>
      <c r="EA243" s="187">
        <f>Автовик_разбивка[[#This Row],[Цена, 
юань, без НДС 1]]*DZ243</f>
        <v>0</v>
      </c>
      <c r="EB243" s="109">
        <f t="shared" si="234"/>
        <v>0</v>
      </c>
      <c r="EC243" s="224">
        <f>Автовик_разбивка[[#This Row],[Цена, 
юань, без НДС 1]]*EB243</f>
        <v>0</v>
      </c>
    </row>
    <row r="244" spans="1:133">
      <c r="A244" s="265">
        <v>999</v>
      </c>
      <c r="B244" s="266" t="s">
        <v>336</v>
      </c>
      <c r="C244" s="173" t="s">
        <v>298</v>
      </c>
      <c r="D244" s="173" t="s">
        <v>311</v>
      </c>
      <c r="E244" s="174">
        <v>1</v>
      </c>
      <c r="F244" s="174"/>
      <c r="G244" s="174"/>
      <c r="H244" s="175">
        <v>9710029000</v>
      </c>
      <c r="I244" s="176" t="s">
        <v>75</v>
      </c>
      <c r="J244" s="222"/>
      <c r="K244" s="223"/>
      <c r="L244" s="178"/>
      <c r="M244" s="130"/>
      <c r="N244" s="179"/>
      <c r="O244" s="130"/>
      <c r="P244" s="178"/>
      <c r="Q244" s="130"/>
      <c r="R244" s="179"/>
      <c r="S244" s="130"/>
      <c r="T244" s="178"/>
      <c r="U244" s="130"/>
      <c r="V244" s="179"/>
      <c r="W244" s="130"/>
      <c r="X244" s="178"/>
      <c r="Y244" s="130"/>
      <c r="Z244" s="179"/>
      <c r="AA244" s="130"/>
      <c r="AB244" s="178"/>
      <c r="AC244" s="130"/>
      <c r="AD244" s="179"/>
      <c r="AE244" s="130"/>
      <c r="AF244" s="178"/>
      <c r="AG244" s="130"/>
      <c r="AH244" s="179"/>
      <c r="AI244" s="130"/>
      <c r="AJ244" s="178"/>
      <c r="AK244" s="130"/>
      <c r="AL244" s="179"/>
      <c r="AM244" s="130"/>
      <c r="AN244" s="178"/>
      <c r="AO244" s="130">
        <f t="shared" si="238"/>
        <v>-34</v>
      </c>
      <c r="AP244" s="179"/>
      <c r="AQ244" s="130"/>
      <c r="AR244" s="178"/>
      <c r="AS244" s="130"/>
      <c r="AT244" s="179"/>
      <c r="AU244" s="130"/>
      <c r="AV244" s="178"/>
      <c r="AW244" s="130"/>
      <c r="AX244" s="179"/>
      <c r="AY244" s="130"/>
      <c r="AZ244" s="178"/>
      <c r="BA244" s="130"/>
      <c r="BB244" s="194"/>
      <c r="BC244" s="130"/>
      <c r="BD244" s="178"/>
      <c r="BE244" s="130">
        <f t="shared" si="237"/>
        <v>46</v>
      </c>
      <c r="BF244" s="109"/>
      <c r="BG244" s="130"/>
      <c r="BH244" s="180">
        <f t="shared" si="228"/>
        <v>0</v>
      </c>
      <c r="BI244" s="181">
        <f>Автовик_разбивка[[#This Row],[Цена, 
юань, без НДС 1]]*BH244</f>
        <v>0</v>
      </c>
      <c r="BJ244" s="130">
        <f t="shared" si="229"/>
        <v>12</v>
      </c>
      <c r="BK244" s="187">
        <f>Автовик_разбивка[[#This Row],[Цена, 
юань, без НДС 1]]*BJ244</f>
        <v>0</v>
      </c>
      <c r="BL244" s="109">
        <f t="shared" si="230"/>
        <v>0</v>
      </c>
      <c r="BM244" s="224">
        <f>Автовик_разбивка[[#This Row],[Цена, 
юань, без НДС 1]]*BL244</f>
        <v>0</v>
      </c>
      <c r="BN244" s="178"/>
      <c r="BO244" s="184"/>
      <c r="BP244" s="130"/>
      <c r="BQ244" s="179"/>
      <c r="BR244" s="130"/>
      <c r="BS244" s="178"/>
      <c r="BT244" s="184"/>
      <c r="BU244" s="130"/>
      <c r="BV244" s="179"/>
      <c r="BW244" s="130"/>
      <c r="BX244" s="178"/>
      <c r="BY244" s="184"/>
      <c r="BZ244" s="130"/>
      <c r="CA244" s="179"/>
      <c r="CB244" s="130"/>
      <c r="CC244" s="178"/>
      <c r="CD244" s="184"/>
      <c r="CE244" s="130"/>
      <c r="CF244" s="179"/>
      <c r="CG244" s="130"/>
      <c r="CH244" s="178"/>
      <c r="CI244" s="184"/>
      <c r="CJ244" s="130"/>
      <c r="CK244" s="179"/>
      <c r="CL244" s="130"/>
      <c r="CM244" s="178"/>
      <c r="CN244" s="184"/>
      <c r="CO244" s="130"/>
      <c r="CP244" s="179"/>
      <c r="CQ244" s="130"/>
      <c r="CR244" s="178"/>
      <c r="CS244" s="184"/>
      <c r="CT244" s="130"/>
      <c r="CU244" s="179"/>
      <c r="CV244" s="130"/>
      <c r="CW244" s="178"/>
      <c r="CX244" s="184"/>
      <c r="CY244" s="130"/>
      <c r="CZ244" s="179"/>
      <c r="DA244" s="130"/>
      <c r="DB244" s="178"/>
      <c r="DC244" s="184"/>
      <c r="DD244" s="130"/>
      <c r="DE244" s="179"/>
      <c r="DF244" s="130"/>
      <c r="DG244" s="178"/>
      <c r="DH244" s="184"/>
      <c r="DI244" s="130"/>
      <c r="DJ244" s="179"/>
      <c r="DK244" s="130"/>
      <c r="DL244" s="178"/>
      <c r="DM244" s="184"/>
      <c r="DN244" s="130"/>
      <c r="DO244" s="194"/>
      <c r="DP244" s="130"/>
      <c r="DQ244" s="178"/>
      <c r="DR244" s="184"/>
      <c r="DS244" s="130">
        <f t="shared" si="235"/>
        <v>20</v>
      </c>
      <c r="DT244" s="109"/>
      <c r="DU244" s="130"/>
      <c r="DV244" s="180">
        <f t="shared" si="231"/>
        <v>0</v>
      </c>
      <c r="DW244" s="181">
        <f>Автовик_разбивка[[#This Row],[Цена, 
юань, без НДС 1]]*DV244</f>
        <v>0</v>
      </c>
      <c r="DX244" s="186">
        <f t="shared" si="232"/>
        <v>0</v>
      </c>
      <c r="DY244" s="186">
        <f>Автовик_разбивка[[#This Row],[Цена, 
юань, без НДС 1]]*DX244</f>
        <v>0</v>
      </c>
      <c r="DZ244" s="130">
        <f t="shared" si="233"/>
        <v>20</v>
      </c>
      <c r="EA244" s="187">
        <f>Автовик_разбивка[[#This Row],[Цена, 
юань, без НДС 1]]*DZ244</f>
        <v>0</v>
      </c>
      <c r="EB244" s="109">
        <f t="shared" si="234"/>
        <v>0</v>
      </c>
      <c r="EC244" s="224">
        <f>Автовик_разбивка[[#This Row],[Цена, 
юань, без НДС 1]]*EB244</f>
        <v>0</v>
      </c>
    </row>
    <row r="245" spans="1:133">
      <c r="A245" s="265">
        <v>999</v>
      </c>
      <c r="B245" s="266" t="s">
        <v>336</v>
      </c>
      <c r="C245" s="173" t="s">
        <v>298</v>
      </c>
      <c r="D245" s="173" t="s">
        <v>311</v>
      </c>
      <c r="E245" s="174"/>
      <c r="F245" s="174"/>
      <c r="G245" s="174"/>
      <c r="H245" s="175">
        <v>4491731200</v>
      </c>
      <c r="I245" s="176" t="s">
        <v>83</v>
      </c>
      <c r="J245" s="222"/>
      <c r="K245" s="223"/>
      <c r="L245" s="178"/>
      <c r="M245" s="130"/>
      <c r="N245" s="179"/>
      <c r="O245" s="130"/>
      <c r="P245" s="178"/>
      <c r="Q245" s="130"/>
      <c r="R245" s="179"/>
      <c r="S245" s="130"/>
      <c r="T245" s="178"/>
      <c r="U245" s="130"/>
      <c r="V245" s="179"/>
      <c r="W245" s="130"/>
      <c r="X245" s="178"/>
      <c r="Y245" s="130"/>
      <c r="Z245" s="179"/>
      <c r="AA245" s="130"/>
      <c r="AB245" s="178"/>
      <c r="AC245" s="130"/>
      <c r="AD245" s="179"/>
      <c r="AE245" s="130"/>
      <c r="AF245" s="178"/>
      <c r="AG245" s="130"/>
      <c r="AH245" s="179"/>
      <c r="AI245" s="130"/>
      <c r="AJ245" s="178"/>
      <c r="AK245" s="130"/>
      <c r="AL245" s="179"/>
      <c r="AM245" s="130"/>
      <c r="AN245" s="178"/>
      <c r="AO245" s="130"/>
      <c r="AP245" s="179"/>
      <c r="AQ245" s="130"/>
      <c r="AR245" s="178"/>
      <c r="AS245" s="130"/>
      <c r="AT245" s="179"/>
      <c r="AU245" s="130"/>
      <c r="AV245" s="178"/>
      <c r="AW245" s="130"/>
      <c r="AX245" s="179"/>
      <c r="AY245" s="130"/>
      <c r="AZ245" s="178"/>
      <c r="BA245" s="130"/>
      <c r="BB245" s="194"/>
      <c r="BC245" s="130"/>
      <c r="BD245" s="178"/>
      <c r="BE245" s="130"/>
      <c r="BF245" s="109"/>
      <c r="BG245" s="130"/>
      <c r="BH245" s="180">
        <f t="shared" si="228"/>
        <v>0</v>
      </c>
      <c r="BI245" s="181">
        <f>Автовик_разбивка[[#This Row],[Цена, 
юань, без НДС 1]]*BH245</f>
        <v>0</v>
      </c>
      <c r="BJ245" s="130">
        <f t="shared" si="229"/>
        <v>0</v>
      </c>
      <c r="BK245" s="187">
        <f>Автовик_разбивка[[#This Row],[Цена, 
юань, без НДС 1]]*BJ245</f>
        <v>0</v>
      </c>
      <c r="BL245" s="109">
        <f t="shared" si="230"/>
        <v>0</v>
      </c>
      <c r="BM245" s="224">
        <f>Автовик_разбивка[[#This Row],[Цена, 
юань, без НДС 1]]*BL245</f>
        <v>0</v>
      </c>
      <c r="BN245" s="178"/>
      <c r="BO245" s="184"/>
      <c r="BP245" s="130"/>
      <c r="BQ245" s="179"/>
      <c r="BR245" s="130"/>
      <c r="BS245" s="178"/>
      <c r="BT245" s="184"/>
      <c r="BU245" s="130"/>
      <c r="BV245" s="179"/>
      <c r="BW245" s="130"/>
      <c r="BX245" s="178"/>
      <c r="BY245" s="184"/>
      <c r="BZ245" s="130"/>
      <c r="CA245" s="179"/>
      <c r="CB245" s="130"/>
      <c r="CC245" s="178"/>
      <c r="CD245" s="184"/>
      <c r="CE245" s="130"/>
      <c r="CF245" s="179"/>
      <c r="CG245" s="130"/>
      <c r="CH245" s="178"/>
      <c r="CI245" s="184"/>
      <c r="CJ245" s="130"/>
      <c r="CK245" s="179"/>
      <c r="CL245" s="130"/>
      <c r="CM245" s="178"/>
      <c r="CN245" s="184"/>
      <c r="CO245" s="130"/>
      <c r="CP245" s="179"/>
      <c r="CQ245" s="130"/>
      <c r="CR245" s="178"/>
      <c r="CS245" s="184"/>
      <c r="CT245" s="130"/>
      <c r="CU245" s="179"/>
      <c r="CV245" s="130"/>
      <c r="CW245" s="178"/>
      <c r="CX245" s="184"/>
      <c r="CY245" s="130"/>
      <c r="CZ245" s="179"/>
      <c r="DA245" s="130"/>
      <c r="DB245" s="178"/>
      <c r="DC245" s="184"/>
      <c r="DD245" s="130"/>
      <c r="DE245" s="179"/>
      <c r="DF245" s="130"/>
      <c r="DG245" s="178"/>
      <c r="DH245" s="184"/>
      <c r="DI245" s="130"/>
      <c r="DJ245" s="179"/>
      <c r="DK245" s="130"/>
      <c r="DL245" s="178"/>
      <c r="DM245" s="184"/>
      <c r="DN245" s="130"/>
      <c r="DO245" s="194"/>
      <c r="DP245" s="130"/>
      <c r="DQ245" s="178"/>
      <c r="DR245" s="184"/>
      <c r="DS245" s="130"/>
      <c r="DT245" s="109"/>
      <c r="DU245" s="130"/>
      <c r="DV245" s="180">
        <f t="shared" si="231"/>
        <v>0</v>
      </c>
      <c r="DW245" s="181">
        <f>Автовик_разбивка[[#This Row],[Цена, 
юань, без НДС 1]]*DV245</f>
        <v>0</v>
      </c>
      <c r="DX245" s="186">
        <f t="shared" si="232"/>
        <v>0</v>
      </c>
      <c r="DY245" s="186">
        <f>Автовик_разбивка[[#This Row],[Цена, 
юань, без НДС 1]]*DX245</f>
        <v>0</v>
      </c>
      <c r="DZ245" s="130">
        <f t="shared" si="233"/>
        <v>0</v>
      </c>
      <c r="EA245" s="187">
        <f>Автовик_разбивка[[#This Row],[Цена, 
юань, без НДС 1]]*DZ245</f>
        <v>0</v>
      </c>
      <c r="EB245" s="109">
        <f t="shared" si="234"/>
        <v>0</v>
      </c>
      <c r="EC245" s="224">
        <f>Автовик_разбивка[[#This Row],[Цена, 
юань, без НДС 1]]*EB245</f>
        <v>0</v>
      </c>
    </row>
    <row r="246" spans="1:133">
      <c r="A246" s="265">
        <v>999</v>
      </c>
      <c r="B246" s="266" t="s">
        <v>336</v>
      </c>
      <c r="C246" s="173" t="s">
        <v>304</v>
      </c>
      <c r="D246" s="173"/>
      <c r="E246" s="174"/>
      <c r="F246" s="174"/>
      <c r="G246" s="198"/>
      <c r="H246" s="199">
        <v>4334010030</v>
      </c>
      <c r="I246" s="200" t="s">
        <v>81</v>
      </c>
      <c r="J246" s="222"/>
      <c r="K246" s="223"/>
      <c r="L246" s="178">
        <v>70</v>
      </c>
      <c r="M246" s="130">
        <v>70</v>
      </c>
      <c r="N246" s="179"/>
      <c r="O246" s="130"/>
      <c r="P246" s="178">
        <v>70</v>
      </c>
      <c r="Q246" s="130"/>
      <c r="R246" s="179"/>
      <c r="S246" s="130"/>
      <c r="T246" s="178">
        <v>70</v>
      </c>
      <c r="U246" s="130"/>
      <c r="V246" s="179"/>
      <c r="W246" s="130"/>
      <c r="X246" s="178">
        <v>70</v>
      </c>
      <c r="Y246" s="130"/>
      <c r="Z246" s="179"/>
      <c r="AA246" s="130"/>
      <c r="AB246" s="178">
        <v>70</v>
      </c>
      <c r="AC246" s="130"/>
      <c r="AD246" s="179"/>
      <c r="AE246" s="130"/>
      <c r="AF246" s="178">
        <v>70</v>
      </c>
      <c r="AG246" s="130"/>
      <c r="AH246" s="179"/>
      <c r="AI246" s="130"/>
      <c r="AJ246" s="178">
        <v>70</v>
      </c>
      <c r="AK246" s="130"/>
      <c r="AL246" s="179"/>
      <c r="AM246" s="130"/>
      <c r="AN246" s="178">
        <v>70</v>
      </c>
      <c r="AO246" s="130"/>
      <c r="AP246" s="179"/>
      <c r="AQ246" s="130"/>
      <c r="AR246" s="178">
        <v>70</v>
      </c>
      <c r="AS246" s="130"/>
      <c r="AT246" s="179"/>
      <c r="AU246" s="130"/>
      <c r="AV246" s="178">
        <v>70</v>
      </c>
      <c r="AW246" s="130"/>
      <c r="AX246" s="179"/>
      <c r="AY246" s="130"/>
      <c r="AZ246" s="178">
        <v>70</v>
      </c>
      <c r="BA246" s="130"/>
      <c r="BB246" s="194"/>
      <c r="BC246" s="130"/>
      <c r="BD246" s="178">
        <v>70</v>
      </c>
      <c r="BE246" s="130"/>
      <c r="BF246" s="109"/>
      <c r="BG246" s="130"/>
      <c r="BH246" s="180">
        <f t="shared" si="228"/>
        <v>840</v>
      </c>
      <c r="BI246" s="181">
        <f>Автовик_разбивка[[#This Row],[Цена, 
юань, без НДС 1]]*BH246</f>
        <v>0</v>
      </c>
      <c r="BJ246" s="130">
        <f t="shared" si="229"/>
        <v>70</v>
      </c>
      <c r="BK246" s="187">
        <f>Автовик_разбивка[[#This Row],[Цена, 
юань, без НДС 1]]*BJ246</f>
        <v>0</v>
      </c>
      <c r="BL246" s="109">
        <f t="shared" si="230"/>
        <v>0</v>
      </c>
      <c r="BM246" s="224">
        <f>Автовик_разбивка[[#This Row],[Цена, 
юань, без НДС 1]]*BL246</f>
        <v>0</v>
      </c>
      <c r="BN246" s="178"/>
      <c r="BO246" s="184"/>
      <c r="BP246" s="130"/>
      <c r="BQ246" s="179"/>
      <c r="BR246" s="130"/>
      <c r="BS246" s="178"/>
      <c r="BT246" s="184"/>
      <c r="BU246" s="130"/>
      <c r="BV246" s="179"/>
      <c r="BW246" s="130"/>
      <c r="BX246" s="178"/>
      <c r="BY246" s="184"/>
      <c r="BZ246" s="130"/>
      <c r="CA246" s="179"/>
      <c r="CB246" s="130"/>
      <c r="CC246" s="178"/>
      <c r="CD246" s="184"/>
      <c r="CE246" s="130"/>
      <c r="CF246" s="179"/>
      <c r="CG246" s="130"/>
      <c r="CH246" s="178"/>
      <c r="CI246" s="184"/>
      <c r="CJ246" s="130"/>
      <c r="CK246" s="179"/>
      <c r="CL246" s="130"/>
      <c r="CM246" s="178"/>
      <c r="CN246" s="184"/>
      <c r="CO246" s="130"/>
      <c r="CP246" s="179"/>
      <c r="CQ246" s="130"/>
      <c r="CR246" s="178"/>
      <c r="CS246" s="184"/>
      <c r="CT246" s="130"/>
      <c r="CU246" s="179"/>
      <c r="CV246" s="130"/>
      <c r="CW246" s="178"/>
      <c r="CX246" s="184"/>
      <c r="CY246" s="130"/>
      <c r="CZ246" s="179"/>
      <c r="DA246" s="130"/>
      <c r="DB246" s="178"/>
      <c r="DC246" s="184"/>
      <c r="DD246" s="130"/>
      <c r="DE246" s="179"/>
      <c r="DF246" s="130"/>
      <c r="DG246" s="178"/>
      <c r="DH246" s="184"/>
      <c r="DI246" s="130"/>
      <c r="DJ246" s="179"/>
      <c r="DK246" s="130"/>
      <c r="DL246" s="178"/>
      <c r="DM246" s="184"/>
      <c r="DN246" s="130"/>
      <c r="DO246" s="194"/>
      <c r="DP246" s="130"/>
      <c r="DQ246" s="178"/>
      <c r="DR246" s="184"/>
      <c r="DS246" s="130"/>
      <c r="DT246" s="109"/>
      <c r="DU246" s="130"/>
      <c r="DV246" s="180">
        <f t="shared" si="231"/>
        <v>0</v>
      </c>
      <c r="DW246" s="181">
        <f>Автовик_разбивка[[#This Row],[Цена, 
юань, без НДС 1]]*DV246</f>
        <v>0</v>
      </c>
      <c r="DX246" s="186">
        <f t="shared" si="232"/>
        <v>0</v>
      </c>
      <c r="DY246" s="186">
        <f>Автовик_разбивка[[#This Row],[Цена, 
юань, без НДС 1]]*DX246</f>
        <v>0</v>
      </c>
      <c r="DZ246" s="130">
        <f t="shared" si="233"/>
        <v>0</v>
      </c>
      <c r="EA246" s="187">
        <f>Автовик_разбивка[[#This Row],[Цена, 
юань, без НДС 1]]*DZ246</f>
        <v>0</v>
      </c>
      <c r="EB246" s="109">
        <f t="shared" si="234"/>
        <v>0</v>
      </c>
      <c r="EC246" s="224">
        <f>Автовик_разбивка[[#This Row],[Цена, 
юань, без НДС 1]]*EB246</f>
        <v>0</v>
      </c>
    </row>
    <row r="247" spans="1:133">
      <c r="A247" s="265">
        <v>999</v>
      </c>
      <c r="B247" s="266" t="s">
        <v>336</v>
      </c>
      <c r="C247" s="173" t="s">
        <v>304</v>
      </c>
      <c r="D247" s="173"/>
      <c r="E247" s="174"/>
      <c r="F247" s="174"/>
      <c r="G247" s="198"/>
      <c r="H247" s="199">
        <v>4341001250</v>
      </c>
      <c r="I247" s="200" t="s">
        <v>92</v>
      </c>
      <c r="J247" s="222"/>
      <c r="K247" s="223"/>
      <c r="L247" s="178">
        <v>70</v>
      </c>
      <c r="M247" s="130">
        <v>70</v>
      </c>
      <c r="N247" s="179"/>
      <c r="O247" s="130"/>
      <c r="P247" s="178">
        <v>70</v>
      </c>
      <c r="Q247" s="130"/>
      <c r="R247" s="179"/>
      <c r="S247" s="130"/>
      <c r="T247" s="178">
        <v>70</v>
      </c>
      <c r="U247" s="130"/>
      <c r="V247" s="179"/>
      <c r="W247" s="130"/>
      <c r="X247" s="178">
        <v>70</v>
      </c>
      <c r="Y247" s="130"/>
      <c r="Z247" s="179"/>
      <c r="AA247" s="130"/>
      <c r="AB247" s="178">
        <v>70</v>
      </c>
      <c r="AC247" s="130"/>
      <c r="AD247" s="179"/>
      <c r="AE247" s="130"/>
      <c r="AF247" s="178">
        <v>70</v>
      </c>
      <c r="AG247" s="130"/>
      <c r="AH247" s="179"/>
      <c r="AI247" s="130"/>
      <c r="AJ247" s="178">
        <v>70</v>
      </c>
      <c r="AK247" s="130"/>
      <c r="AL247" s="179"/>
      <c r="AM247" s="130"/>
      <c r="AN247" s="178">
        <v>70</v>
      </c>
      <c r="AO247" s="130"/>
      <c r="AP247" s="179"/>
      <c r="AQ247" s="130"/>
      <c r="AR247" s="178">
        <v>70</v>
      </c>
      <c r="AS247" s="130"/>
      <c r="AT247" s="179"/>
      <c r="AU247" s="130"/>
      <c r="AV247" s="178">
        <v>70</v>
      </c>
      <c r="AW247" s="130"/>
      <c r="AX247" s="179"/>
      <c r="AY247" s="130"/>
      <c r="AZ247" s="178">
        <v>70</v>
      </c>
      <c r="BA247" s="130"/>
      <c r="BB247" s="194"/>
      <c r="BC247" s="130"/>
      <c r="BD247" s="178">
        <v>70</v>
      </c>
      <c r="BE247" s="130"/>
      <c r="BF247" s="109"/>
      <c r="BG247" s="130"/>
      <c r="BH247" s="180">
        <f t="shared" si="228"/>
        <v>840</v>
      </c>
      <c r="BI247" s="181">
        <f>Автовик_разбивка[[#This Row],[Цена, 
юань, без НДС 1]]*BH247</f>
        <v>0</v>
      </c>
      <c r="BJ247" s="130">
        <f t="shared" si="229"/>
        <v>70</v>
      </c>
      <c r="BK247" s="187">
        <f>Автовик_разбивка[[#This Row],[Цена, 
юань, без НДС 1]]*BJ247</f>
        <v>0</v>
      </c>
      <c r="BL247" s="109">
        <f t="shared" si="230"/>
        <v>0</v>
      </c>
      <c r="BM247" s="224">
        <f>Автовик_разбивка[[#This Row],[Цена, 
юань, без НДС 1]]*BL247</f>
        <v>0</v>
      </c>
      <c r="BN247" s="178"/>
      <c r="BO247" s="184"/>
      <c r="BP247" s="130"/>
      <c r="BQ247" s="179"/>
      <c r="BR247" s="130"/>
      <c r="BS247" s="178"/>
      <c r="BT247" s="184"/>
      <c r="BU247" s="130"/>
      <c r="BV247" s="179"/>
      <c r="BW247" s="130"/>
      <c r="BX247" s="178"/>
      <c r="BY247" s="184"/>
      <c r="BZ247" s="130"/>
      <c r="CA247" s="179"/>
      <c r="CB247" s="130"/>
      <c r="CC247" s="178"/>
      <c r="CD247" s="184"/>
      <c r="CE247" s="130"/>
      <c r="CF247" s="179"/>
      <c r="CG247" s="130"/>
      <c r="CH247" s="178"/>
      <c r="CI247" s="184"/>
      <c r="CJ247" s="130"/>
      <c r="CK247" s="179"/>
      <c r="CL247" s="130"/>
      <c r="CM247" s="178"/>
      <c r="CN247" s="184"/>
      <c r="CO247" s="130"/>
      <c r="CP247" s="179"/>
      <c r="CQ247" s="130"/>
      <c r="CR247" s="178"/>
      <c r="CS247" s="184"/>
      <c r="CT247" s="130"/>
      <c r="CU247" s="179"/>
      <c r="CV247" s="130"/>
      <c r="CW247" s="178"/>
      <c r="CX247" s="184"/>
      <c r="CY247" s="130"/>
      <c r="CZ247" s="179"/>
      <c r="DA247" s="130"/>
      <c r="DB247" s="178"/>
      <c r="DC247" s="184"/>
      <c r="DD247" s="130"/>
      <c r="DE247" s="179"/>
      <c r="DF247" s="130"/>
      <c r="DG247" s="178"/>
      <c r="DH247" s="184"/>
      <c r="DI247" s="130"/>
      <c r="DJ247" s="179"/>
      <c r="DK247" s="130"/>
      <c r="DL247" s="178"/>
      <c r="DM247" s="184"/>
      <c r="DN247" s="130"/>
      <c r="DO247" s="194"/>
      <c r="DP247" s="130"/>
      <c r="DQ247" s="178"/>
      <c r="DR247" s="184"/>
      <c r="DS247" s="130"/>
      <c r="DT247" s="109"/>
      <c r="DU247" s="130"/>
      <c r="DV247" s="180">
        <f t="shared" si="231"/>
        <v>0</v>
      </c>
      <c r="DW247" s="181">
        <f>Автовик_разбивка[[#This Row],[Цена, 
юань, без НДС 1]]*DV247</f>
        <v>0</v>
      </c>
      <c r="DX247" s="186">
        <f t="shared" si="232"/>
        <v>0</v>
      </c>
      <c r="DY247" s="186">
        <f>Автовик_разбивка[[#This Row],[Цена, 
юань, без НДС 1]]*DX247</f>
        <v>0</v>
      </c>
      <c r="DZ247" s="130">
        <f t="shared" si="233"/>
        <v>0</v>
      </c>
      <c r="EA247" s="187">
        <f>Автовик_разбивка[[#This Row],[Цена, 
юань, без НДС 1]]*DZ247</f>
        <v>0</v>
      </c>
      <c r="EB247" s="109">
        <f t="shared" si="234"/>
        <v>0</v>
      </c>
      <c r="EC247" s="224">
        <f>Автовик_разбивка[[#This Row],[Цена, 
юань, без НДС 1]]*EB247</f>
        <v>0</v>
      </c>
    </row>
    <row r="248" spans="1:133">
      <c r="A248" s="265">
        <v>999</v>
      </c>
      <c r="B248" s="266" t="s">
        <v>336</v>
      </c>
      <c r="C248" s="173" t="s">
        <v>304</v>
      </c>
      <c r="D248" s="173"/>
      <c r="E248" s="174"/>
      <c r="F248" s="174"/>
      <c r="G248" s="198"/>
      <c r="H248" s="199">
        <v>4630320200</v>
      </c>
      <c r="I248" s="200" t="s">
        <v>80</v>
      </c>
      <c r="J248" s="222"/>
      <c r="K248" s="223"/>
      <c r="L248" s="178">
        <v>70</v>
      </c>
      <c r="M248" s="130">
        <v>70</v>
      </c>
      <c r="N248" s="179"/>
      <c r="O248" s="130"/>
      <c r="P248" s="178">
        <v>70</v>
      </c>
      <c r="Q248" s="130"/>
      <c r="R248" s="179"/>
      <c r="S248" s="130"/>
      <c r="T248" s="178">
        <v>70</v>
      </c>
      <c r="U248" s="130"/>
      <c r="V248" s="179"/>
      <c r="W248" s="130"/>
      <c r="X248" s="178">
        <v>70</v>
      </c>
      <c r="Y248" s="130"/>
      <c r="Z248" s="179"/>
      <c r="AA248" s="130"/>
      <c r="AB248" s="178">
        <v>70</v>
      </c>
      <c r="AC248" s="130"/>
      <c r="AD248" s="179"/>
      <c r="AE248" s="130"/>
      <c r="AF248" s="178">
        <v>70</v>
      </c>
      <c r="AG248" s="130"/>
      <c r="AH248" s="179"/>
      <c r="AI248" s="130"/>
      <c r="AJ248" s="178">
        <v>70</v>
      </c>
      <c r="AK248" s="130"/>
      <c r="AL248" s="179"/>
      <c r="AM248" s="130"/>
      <c r="AN248" s="178">
        <v>70</v>
      </c>
      <c r="AO248" s="130"/>
      <c r="AP248" s="179"/>
      <c r="AQ248" s="130"/>
      <c r="AR248" s="178">
        <v>70</v>
      </c>
      <c r="AS248" s="130"/>
      <c r="AT248" s="179"/>
      <c r="AU248" s="130"/>
      <c r="AV248" s="178">
        <v>70</v>
      </c>
      <c r="AW248" s="130"/>
      <c r="AX248" s="179"/>
      <c r="AY248" s="130"/>
      <c r="AZ248" s="178">
        <v>70</v>
      </c>
      <c r="BA248" s="130"/>
      <c r="BB248" s="194"/>
      <c r="BC248" s="130"/>
      <c r="BD248" s="178">
        <v>70</v>
      </c>
      <c r="BE248" s="130"/>
      <c r="BF248" s="109"/>
      <c r="BG248" s="130"/>
      <c r="BH248" s="180">
        <f t="shared" si="228"/>
        <v>840</v>
      </c>
      <c r="BI248" s="181">
        <f>Автовик_разбивка[[#This Row],[Цена, 
юань, без НДС 1]]*BH248</f>
        <v>0</v>
      </c>
      <c r="BJ248" s="130">
        <f t="shared" si="229"/>
        <v>70</v>
      </c>
      <c r="BK248" s="187">
        <f>Автовик_разбивка[[#This Row],[Цена, 
юань, без НДС 1]]*BJ248</f>
        <v>0</v>
      </c>
      <c r="BL248" s="109">
        <f t="shared" si="230"/>
        <v>0</v>
      </c>
      <c r="BM248" s="224">
        <f>Автовик_разбивка[[#This Row],[Цена, 
юань, без НДС 1]]*BL248</f>
        <v>0</v>
      </c>
      <c r="BN248" s="178"/>
      <c r="BO248" s="184"/>
      <c r="BP248" s="130"/>
      <c r="BQ248" s="179"/>
      <c r="BR248" s="130"/>
      <c r="BS248" s="178"/>
      <c r="BT248" s="184"/>
      <c r="BU248" s="130"/>
      <c r="BV248" s="179"/>
      <c r="BW248" s="130"/>
      <c r="BX248" s="178"/>
      <c r="BY248" s="184"/>
      <c r="BZ248" s="130"/>
      <c r="CA248" s="179"/>
      <c r="CB248" s="130"/>
      <c r="CC248" s="178"/>
      <c r="CD248" s="184"/>
      <c r="CE248" s="130"/>
      <c r="CF248" s="179"/>
      <c r="CG248" s="130"/>
      <c r="CH248" s="178"/>
      <c r="CI248" s="184"/>
      <c r="CJ248" s="130"/>
      <c r="CK248" s="179"/>
      <c r="CL248" s="130"/>
      <c r="CM248" s="178"/>
      <c r="CN248" s="184"/>
      <c r="CO248" s="130"/>
      <c r="CP248" s="179"/>
      <c r="CQ248" s="130"/>
      <c r="CR248" s="178"/>
      <c r="CS248" s="184"/>
      <c r="CT248" s="130"/>
      <c r="CU248" s="179"/>
      <c r="CV248" s="130"/>
      <c r="CW248" s="178"/>
      <c r="CX248" s="184"/>
      <c r="CY248" s="130"/>
      <c r="CZ248" s="179"/>
      <c r="DA248" s="130"/>
      <c r="DB248" s="178"/>
      <c r="DC248" s="184"/>
      <c r="DD248" s="130"/>
      <c r="DE248" s="179"/>
      <c r="DF248" s="130"/>
      <c r="DG248" s="178"/>
      <c r="DH248" s="184"/>
      <c r="DI248" s="130"/>
      <c r="DJ248" s="179"/>
      <c r="DK248" s="130"/>
      <c r="DL248" s="178"/>
      <c r="DM248" s="184"/>
      <c r="DN248" s="130"/>
      <c r="DO248" s="194"/>
      <c r="DP248" s="130"/>
      <c r="DQ248" s="178"/>
      <c r="DR248" s="184"/>
      <c r="DS248" s="130"/>
      <c r="DT248" s="109"/>
      <c r="DU248" s="130"/>
      <c r="DV248" s="180">
        <f t="shared" si="231"/>
        <v>0</v>
      </c>
      <c r="DW248" s="181">
        <f>Автовик_разбивка[[#This Row],[Цена, 
юань, без НДС 1]]*DV248</f>
        <v>0</v>
      </c>
      <c r="DX248" s="186">
        <f t="shared" si="232"/>
        <v>0</v>
      </c>
      <c r="DY248" s="186">
        <f>Автовик_разбивка[[#This Row],[Цена, 
юань, без НДС 1]]*DX248</f>
        <v>0</v>
      </c>
      <c r="DZ248" s="130">
        <f t="shared" si="233"/>
        <v>0</v>
      </c>
      <c r="EA248" s="187">
        <f>Автовик_разбивка[[#This Row],[Цена, 
юань, без НДС 1]]*DZ248</f>
        <v>0</v>
      </c>
      <c r="EB248" s="109">
        <f t="shared" si="234"/>
        <v>0</v>
      </c>
      <c r="EC248" s="224">
        <f>Автовик_разбивка[[#This Row],[Цена, 
юань, без НДС 1]]*EB248</f>
        <v>0</v>
      </c>
    </row>
    <row r="249" spans="1:133">
      <c r="A249" s="265">
        <v>999</v>
      </c>
      <c r="B249" s="266" t="s">
        <v>336</v>
      </c>
      <c r="C249" s="173" t="s">
        <v>304</v>
      </c>
      <c r="D249" s="173"/>
      <c r="E249" s="174"/>
      <c r="F249" s="174"/>
      <c r="G249" s="198"/>
      <c r="H249" s="199">
        <v>4640061000</v>
      </c>
      <c r="I249" s="200" t="s">
        <v>93</v>
      </c>
      <c r="J249" s="222"/>
      <c r="K249" s="223"/>
      <c r="L249" s="178">
        <v>70</v>
      </c>
      <c r="M249" s="130">
        <v>70</v>
      </c>
      <c r="N249" s="179"/>
      <c r="O249" s="130"/>
      <c r="P249" s="178">
        <v>70</v>
      </c>
      <c r="Q249" s="130"/>
      <c r="R249" s="179"/>
      <c r="S249" s="130"/>
      <c r="T249" s="178">
        <v>70</v>
      </c>
      <c r="U249" s="130"/>
      <c r="V249" s="179"/>
      <c r="W249" s="130"/>
      <c r="X249" s="178">
        <v>70</v>
      </c>
      <c r="Y249" s="130"/>
      <c r="Z249" s="179"/>
      <c r="AA249" s="130"/>
      <c r="AB249" s="178">
        <v>70</v>
      </c>
      <c r="AC249" s="130"/>
      <c r="AD249" s="179"/>
      <c r="AE249" s="130"/>
      <c r="AF249" s="178">
        <v>70</v>
      </c>
      <c r="AG249" s="130"/>
      <c r="AH249" s="179"/>
      <c r="AI249" s="130"/>
      <c r="AJ249" s="178">
        <v>70</v>
      </c>
      <c r="AK249" s="130"/>
      <c r="AL249" s="179"/>
      <c r="AM249" s="130"/>
      <c r="AN249" s="178">
        <v>70</v>
      </c>
      <c r="AO249" s="130"/>
      <c r="AP249" s="179"/>
      <c r="AQ249" s="130"/>
      <c r="AR249" s="178">
        <v>70</v>
      </c>
      <c r="AS249" s="130"/>
      <c r="AT249" s="179"/>
      <c r="AU249" s="130"/>
      <c r="AV249" s="178">
        <v>70</v>
      </c>
      <c r="AW249" s="130"/>
      <c r="AX249" s="179"/>
      <c r="AY249" s="130"/>
      <c r="AZ249" s="178">
        <v>70</v>
      </c>
      <c r="BA249" s="130"/>
      <c r="BB249" s="194"/>
      <c r="BC249" s="130"/>
      <c r="BD249" s="178">
        <v>70</v>
      </c>
      <c r="BE249" s="130"/>
      <c r="BF249" s="109"/>
      <c r="BG249" s="130"/>
      <c r="BH249" s="180">
        <f t="shared" si="228"/>
        <v>840</v>
      </c>
      <c r="BI249" s="181">
        <f>Автовик_разбивка[[#This Row],[Цена, 
юань, без НДС 1]]*BH249</f>
        <v>0</v>
      </c>
      <c r="BJ249" s="130">
        <f t="shared" si="229"/>
        <v>70</v>
      </c>
      <c r="BK249" s="187">
        <f>Автовик_разбивка[[#This Row],[Цена, 
юань, без НДС 1]]*BJ249</f>
        <v>0</v>
      </c>
      <c r="BL249" s="109">
        <f t="shared" si="230"/>
        <v>0</v>
      </c>
      <c r="BM249" s="224">
        <f>Автовик_разбивка[[#This Row],[Цена, 
юань, без НДС 1]]*BL249</f>
        <v>0</v>
      </c>
      <c r="BN249" s="178"/>
      <c r="BO249" s="184"/>
      <c r="BP249" s="130"/>
      <c r="BQ249" s="179"/>
      <c r="BR249" s="130"/>
      <c r="BS249" s="178"/>
      <c r="BT249" s="184"/>
      <c r="BU249" s="130"/>
      <c r="BV249" s="179"/>
      <c r="BW249" s="130"/>
      <c r="BX249" s="178"/>
      <c r="BY249" s="184"/>
      <c r="BZ249" s="130"/>
      <c r="CA249" s="179"/>
      <c r="CB249" s="130"/>
      <c r="CC249" s="178"/>
      <c r="CD249" s="184"/>
      <c r="CE249" s="130"/>
      <c r="CF249" s="179"/>
      <c r="CG249" s="130"/>
      <c r="CH249" s="178"/>
      <c r="CI249" s="184"/>
      <c r="CJ249" s="130"/>
      <c r="CK249" s="179"/>
      <c r="CL249" s="130"/>
      <c r="CM249" s="178"/>
      <c r="CN249" s="184"/>
      <c r="CO249" s="130"/>
      <c r="CP249" s="179"/>
      <c r="CQ249" s="130"/>
      <c r="CR249" s="178"/>
      <c r="CS249" s="184"/>
      <c r="CT249" s="130"/>
      <c r="CU249" s="179"/>
      <c r="CV249" s="130"/>
      <c r="CW249" s="178"/>
      <c r="CX249" s="184"/>
      <c r="CY249" s="130"/>
      <c r="CZ249" s="179"/>
      <c r="DA249" s="130"/>
      <c r="DB249" s="178"/>
      <c r="DC249" s="184"/>
      <c r="DD249" s="130"/>
      <c r="DE249" s="179"/>
      <c r="DF249" s="130"/>
      <c r="DG249" s="178"/>
      <c r="DH249" s="184"/>
      <c r="DI249" s="130"/>
      <c r="DJ249" s="179"/>
      <c r="DK249" s="130"/>
      <c r="DL249" s="178"/>
      <c r="DM249" s="184"/>
      <c r="DN249" s="130"/>
      <c r="DO249" s="194"/>
      <c r="DP249" s="130"/>
      <c r="DQ249" s="178"/>
      <c r="DR249" s="184"/>
      <c r="DS249" s="130"/>
      <c r="DT249" s="109"/>
      <c r="DU249" s="130"/>
      <c r="DV249" s="180">
        <f t="shared" si="231"/>
        <v>0</v>
      </c>
      <c r="DW249" s="181">
        <f>Автовик_разбивка[[#This Row],[Цена, 
юань, без НДС 1]]*DV249</f>
        <v>0</v>
      </c>
      <c r="DX249" s="186">
        <f t="shared" si="232"/>
        <v>0</v>
      </c>
      <c r="DY249" s="186">
        <f>Автовик_разбивка[[#This Row],[Цена, 
юань, без НДС 1]]*DX249</f>
        <v>0</v>
      </c>
      <c r="DZ249" s="130">
        <f t="shared" si="233"/>
        <v>0</v>
      </c>
      <c r="EA249" s="187">
        <f>Автовик_разбивка[[#This Row],[Цена, 
юань, без НДС 1]]*DZ249</f>
        <v>0</v>
      </c>
      <c r="EB249" s="109">
        <f t="shared" si="234"/>
        <v>0</v>
      </c>
      <c r="EC249" s="224">
        <f>Автовик_разбивка[[#This Row],[Цена, 
юань, без НДС 1]]*EB249</f>
        <v>0</v>
      </c>
    </row>
    <row r="250" spans="1:133">
      <c r="A250" s="265">
        <v>999</v>
      </c>
      <c r="B250" s="266" t="s">
        <v>336</v>
      </c>
      <c r="C250" s="173" t="s">
        <v>304</v>
      </c>
      <c r="D250" s="173"/>
      <c r="E250" s="174"/>
      <c r="F250" s="174"/>
      <c r="G250" s="198"/>
      <c r="H250" s="199">
        <v>4757145000</v>
      </c>
      <c r="I250" s="200" t="s">
        <v>94</v>
      </c>
      <c r="J250" s="222"/>
      <c r="K250" s="223"/>
      <c r="L250" s="178">
        <v>70</v>
      </c>
      <c r="M250" s="130">
        <v>70</v>
      </c>
      <c r="N250" s="179"/>
      <c r="O250" s="130"/>
      <c r="P250" s="178">
        <v>70</v>
      </c>
      <c r="Q250" s="130"/>
      <c r="R250" s="179"/>
      <c r="S250" s="130"/>
      <c r="T250" s="178">
        <v>70</v>
      </c>
      <c r="U250" s="130"/>
      <c r="V250" s="179"/>
      <c r="W250" s="130"/>
      <c r="X250" s="178">
        <v>70</v>
      </c>
      <c r="Y250" s="130"/>
      <c r="Z250" s="179"/>
      <c r="AA250" s="130"/>
      <c r="AB250" s="178">
        <v>70</v>
      </c>
      <c r="AC250" s="130"/>
      <c r="AD250" s="179"/>
      <c r="AE250" s="130"/>
      <c r="AF250" s="178">
        <v>70</v>
      </c>
      <c r="AG250" s="130"/>
      <c r="AH250" s="179"/>
      <c r="AI250" s="130"/>
      <c r="AJ250" s="178">
        <v>70</v>
      </c>
      <c r="AK250" s="130"/>
      <c r="AL250" s="179"/>
      <c r="AM250" s="130"/>
      <c r="AN250" s="178">
        <v>70</v>
      </c>
      <c r="AO250" s="130"/>
      <c r="AP250" s="179"/>
      <c r="AQ250" s="130"/>
      <c r="AR250" s="178">
        <v>70</v>
      </c>
      <c r="AS250" s="130"/>
      <c r="AT250" s="179"/>
      <c r="AU250" s="130"/>
      <c r="AV250" s="178">
        <v>70</v>
      </c>
      <c r="AW250" s="130"/>
      <c r="AX250" s="179"/>
      <c r="AY250" s="130"/>
      <c r="AZ250" s="178">
        <v>70</v>
      </c>
      <c r="BA250" s="130"/>
      <c r="BB250" s="194"/>
      <c r="BC250" s="130"/>
      <c r="BD250" s="178">
        <v>70</v>
      </c>
      <c r="BE250" s="130"/>
      <c r="BF250" s="109"/>
      <c r="BG250" s="130"/>
      <c r="BH250" s="180">
        <f t="shared" si="228"/>
        <v>840</v>
      </c>
      <c r="BI250" s="181">
        <f>Автовик_разбивка[[#This Row],[Цена, 
юань, без НДС 1]]*BH250</f>
        <v>0</v>
      </c>
      <c r="BJ250" s="130">
        <f t="shared" si="229"/>
        <v>70</v>
      </c>
      <c r="BK250" s="187">
        <f>Автовик_разбивка[[#This Row],[Цена, 
юань, без НДС 1]]*BJ250</f>
        <v>0</v>
      </c>
      <c r="BL250" s="109">
        <f t="shared" si="230"/>
        <v>0</v>
      </c>
      <c r="BM250" s="224">
        <f>Автовик_разбивка[[#This Row],[Цена, 
юань, без НДС 1]]*BL250</f>
        <v>0</v>
      </c>
      <c r="BN250" s="178"/>
      <c r="BO250" s="184"/>
      <c r="BP250" s="130"/>
      <c r="BQ250" s="179"/>
      <c r="BR250" s="130"/>
      <c r="BS250" s="178"/>
      <c r="BT250" s="184"/>
      <c r="BU250" s="130"/>
      <c r="BV250" s="179"/>
      <c r="BW250" s="130"/>
      <c r="BX250" s="178"/>
      <c r="BY250" s="184"/>
      <c r="BZ250" s="130"/>
      <c r="CA250" s="179"/>
      <c r="CB250" s="130"/>
      <c r="CC250" s="178"/>
      <c r="CD250" s="184"/>
      <c r="CE250" s="130"/>
      <c r="CF250" s="179"/>
      <c r="CG250" s="130"/>
      <c r="CH250" s="178"/>
      <c r="CI250" s="184"/>
      <c r="CJ250" s="130"/>
      <c r="CK250" s="179"/>
      <c r="CL250" s="130"/>
      <c r="CM250" s="178"/>
      <c r="CN250" s="184"/>
      <c r="CO250" s="130"/>
      <c r="CP250" s="179"/>
      <c r="CQ250" s="130"/>
      <c r="CR250" s="178"/>
      <c r="CS250" s="184"/>
      <c r="CT250" s="130"/>
      <c r="CU250" s="179"/>
      <c r="CV250" s="130"/>
      <c r="CW250" s="178"/>
      <c r="CX250" s="184"/>
      <c r="CY250" s="130"/>
      <c r="CZ250" s="179"/>
      <c r="DA250" s="130"/>
      <c r="DB250" s="178"/>
      <c r="DC250" s="184"/>
      <c r="DD250" s="130"/>
      <c r="DE250" s="179"/>
      <c r="DF250" s="130"/>
      <c r="DG250" s="178"/>
      <c r="DH250" s="184"/>
      <c r="DI250" s="130"/>
      <c r="DJ250" s="179"/>
      <c r="DK250" s="130"/>
      <c r="DL250" s="178"/>
      <c r="DM250" s="184"/>
      <c r="DN250" s="130"/>
      <c r="DO250" s="194"/>
      <c r="DP250" s="130"/>
      <c r="DQ250" s="178"/>
      <c r="DR250" s="184"/>
      <c r="DS250" s="130"/>
      <c r="DT250" s="109"/>
      <c r="DU250" s="130"/>
      <c r="DV250" s="180">
        <f t="shared" si="231"/>
        <v>0</v>
      </c>
      <c r="DW250" s="181">
        <f>Автовик_разбивка[[#This Row],[Цена, 
юань, без НДС 1]]*DV250</f>
        <v>0</v>
      </c>
      <c r="DX250" s="186">
        <f t="shared" si="232"/>
        <v>0</v>
      </c>
      <c r="DY250" s="186">
        <f>Автовик_разбивка[[#This Row],[Цена, 
юань, без НДС 1]]*DX250</f>
        <v>0</v>
      </c>
      <c r="DZ250" s="130">
        <f t="shared" si="233"/>
        <v>0</v>
      </c>
      <c r="EA250" s="187">
        <f>Автовик_разбивка[[#This Row],[Цена, 
юань, без НДС 1]]*DZ250</f>
        <v>0</v>
      </c>
      <c r="EB250" s="109">
        <f t="shared" si="234"/>
        <v>0</v>
      </c>
      <c r="EC250" s="224">
        <f>Автовик_разбивка[[#This Row],[Цена, 
юань, без НДС 1]]*EB250</f>
        <v>0</v>
      </c>
    </row>
    <row r="251" spans="1:133">
      <c r="A251" s="265">
        <v>999</v>
      </c>
      <c r="B251" s="266" t="s">
        <v>336</v>
      </c>
      <c r="C251" s="173" t="s">
        <v>304</v>
      </c>
      <c r="D251" s="173"/>
      <c r="E251" s="174"/>
      <c r="F251" s="174"/>
      <c r="G251" s="198"/>
      <c r="H251" s="199">
        <v>9630010510</v>
      </c>
      <c r="I251" s="200" t="s">
        <v>91</v>
      </c>
      <c r="J251" s="222"/>
      <c r="K251" s="223"/>
      <c r="L251" s="178">
        <v>70</v>
      </c>
      <c r="M251" s="130">
        <v>70</v>
      </c>
      <c r="N251" s="179"/>
      <c r="O251" s="130"/>
      <c r="P251" s="178">
        <v>70</v>
      </c>
      <c r="Q251" s="130"/>
      <c r="R251" s="179"/>
      <c r="S251" s="130"/>
      <c r="T251" s="178">
        <v>70</v>
      </c>
      <c r="U251" s="130"/>
      <c r="V251" s="179"/>
      <c r="W251" s="130"/>
      <c r="X251" s="178">
        <v>70</v>
      </c>
      <c r="Y251" s="130"/>
      <c r="Z251" s="179"/>
      <c r="AA251" s="130"/>
      <c r="AB251" s="178">
        <v>70</v>
      </c>
      <c r="AC251" s="130"/>
      <c r="AD251" s="179"/>
      <c r="AE251" s="130"/>
      <c r="AF251" s="178">
        <v>70</v>
      </c>
      <c r="AG251" s="130"/>
      <c r="AH251" s="179"/>
      <c r="AI251" s="130"/>
      <c r="AJ251" s="178">
        <v>70</v>
      </c>
      <c r="AK251" s="130"/>
      <c r="AL251" s="179"/>
      <c r="AM251" s="130"/>
      <c r="AN251" s="178">
        <v>70</v>
      </c>
      <c r="AO251" s="130"/>
      <c r="AP251" s="179"/>
      <c r="AQ251" s="130"/>
      <c r="AR251" s="178">
        <v>70</v>
      </c>
      <c r="AS251" s="130"/>
      <c r="AT251" s="179"/>
      <c r="AU251" s="130"/>
      <c r="AV251" s="178">
        <v>70</v>
      </c>
      <c r="AW251" s="130"/>
      <c r="AX251" s="179"/>
      <c r="AY251" s="130"/>
      <c r="AZ251" s="178">
        <v>70</v>
      </c>
      <c r="BA251" s="130"/>
      <c r="BB251" s="194"/>
      <c r="BC251" s="130"/>
      <c r="BD251" s="178">
        <v>70</v>
      </c>
      <c r="BE251" s="130"/>
      <c r="BF251" s="109"/>
      <c r="BG251" s="130"/>
      <c r="BH251" s="180">
        <f t="shared" si="228"/>
        <v>840</v>
      </c>
      <c r="BI251" s="181">
        <f>Автовик_разбивка[[#This Row],[Цена, 
юань, без НДС 1]]*BH251</f>
        <v>0</v>
      </c>
      <c r="BJ251" s="130">
        <f t="shared" si="229"/>
        <v>70</v>
      </c>
      <c r="BK251" s="187">
        <f>Автовик_разбивка[[#This Row],[Цена, 
юань, без НДС 1]]*BJ251</f>
        <v>0</v>
      </c>
      <c r="BL251" s="109">
        <f t="shared" si="230"/>
        <v>0</v>
      </c>
      <c r="BM251" s="224">
        <f>Автовик_разбивка[[#This Row],[Цена, 
юань, без НДС 1]]*BL251</f>
        <v>0</v>
      </c>
      <c r="BN251" s="178"/>
      <c r="BO251" s="184"/>
      <c r="BP251" s="130"/>
      <c r="BQ251" s="179"/>
      <c r="BR251" s="130"/>
      <c r="BS251" s="178"/>
      <c r="BT251" s="184"/>
      <c r="BU251" s="130"/>
      <c r="BV251" s="179"/>
      <c r="BW251" s="130"/>
      <c r="BX251" s="178"/>
      <c r="BY251" s="184"/>
      <c r="BZ251" s="130"/>
      <c r="CA251" s="179"/>
      <c r="CB251" s="130"/>
      <c r="CC251" s="178"/>
      <c r="CD251" s="184"/>
      <c r="CE251" s="130"/>
      <c r="CF251" s="179"/>
      <c r="CG251" s="130"/>
      <c r="CH251" s="178"/>
      <c r="CI251" s="184"/>
      <c r="CJ251" s="130"/>
      <c r="CK251" s="179"/>
      <c r="CL251" s="130"/>
      <c r="CM251" s="178"/>
      <c r="CN251" s="184"/>
      <c r="CO251" s="130"/>
      <c r="CP251" s="179"/>
      <c r="CQ251" s="130"/>
      <c r="CR251" s="178"/>
      <c r="CS251" s="184"/>
      <c r="CT251" s="130"/>
      <c r="CU251" s="179"/>
      <c r="CV251" s="130"/>
      <c r="CW251" s="178"/>
      <c r="CX251" s="184"/>
      <c r="CY251" s="130"/>
      <c r="CZ251" s="179"/>
      <c r="DA251" s="130"/>
      <c r="DB251" s="178"/>
      <c r="DC251" s="184"/>
      <c r="DD251" s="130"/>
      <c r="DE251" s="179"/>
      <c r="DF251" s="130"/>
      <c r="DG251" s="178"/>
      <c r="DH251" s="184"/>
      <c r="DI251" s="130"/>
      <c r="DJ251" s="179"/>
      <c r="DK251" s="130"/>
      <c r="DL251" s="178"/>
      <c r="DM251" s="184"/>
      <c r="DN251" s="130"/>
      <c r="DO251" s="194"/>
      <c r="DP251" s="130"/>
      <c r="DQ251" s="178"/>
      <c r="DR251" s="184"/>
      <c r="DS251" s="130"/>
      <c r="DT251" s="109"/>
      <c r="DU251" s="130"/>
      <c r="DV251" s="180">
        <f t="shared" si="231"/>
        <v>0</v>
      </c>
      <c r="DW251" s="181">
        <f>Автовик_разбивка[[#This Row],[Цена, 
юань, без НДС 1]]*DV251</f>
        <v>0</v>
      </c>
      <c r="DX251" s="186">
        <f t="shared" si="232"/>
        <v>0</v>
      </c>
      <c r="DY251" s="186">
        <f>Автовик_разбивка[[#This Row],[Цена, 
юань, без НДС 1]]*DX251</f>
        <v>0</v>
      </c>
      <c r="DZ251" s="130">
        <f t="shared" si="233"/>
        <v>0</v>
      </c>
      <c r="EA251" s="187">
        <f>Автовик_разбивка[[#This Row],[Цена, 
юань, без НДС 1]]*DZ251</f>
        <v>0</v>
      </c>
      <c r="EB251" s="109">
        <f t="shared" si="234"/>
        <v>0</v>
      </c>
      <c r="EC251" s="224">
        <f>Автовик_разбивка[[#This Row],[Цена, 
юань, без НДС 1]]*EB251</f>
        <v>0</v>
      </c>
    </row>
    <row r="252" spans="1:133">
      <c r="A252" s="265">
        <v>999</v>
      </c>
      <c r="B252" s="266" t="s">
        <v>336</v>
      </c>
      <c r="C252" s="173" t="s">
        <v>304</v>
      </c>
      <c r="D252" s="173"/>
      <c r="E252" s="174"/>
      <c r="F252" s="174"/>
      <c r="G252" s="198"/>
      <c r="H252" s="199">
        <v>9735000510</v>
      </c>
      <c r="I252" s="200" t="s">
        <v>87</v>
      </c>
      <c r="J252" s="222"/>
      <c r="K252" s="223"/>
      <c r="L252" s="178">
        <v>70</v>
      </c>
      <c r="M252" s="130">
        <v>70</v>
      </c>
      <c r="N252" s="179"/>
      <c r="O252" s="130"/>
      <c r="P252" s="178">
        <v>70</v>
      </c>
      <c r="Q252" s="130"/>
      <c r="R252" s="179"/>
      <c r="S252" s="130"/>
      <c r="T252" s="178">
        <v>70</v>
      </c>
      <c r="U252" s="130"/>
      <c r="V252" s="179"/>
      <c r="W252" s="130"/>
      <c r="X252" s="178">
        <v>70</v>
      </c>
      <c r="Y252" s="130"/>
      <c r="Z252" s="179"/>
      <c r="AA252" s="130"/>
      <c r="AB252" s="178">
        <v>70</v>
      </c>
      <c r="AC252" s="130"/>
      <c r="AD252" s="179"/>
      <c r="AE252" s="130"/>
      <c r="AF252" s="178">
        <v>70</v>
      </c>
      <c r="AG252" s="130"/>
      <c r="AH252" s="179"/>
      <c r="AI252" s="130"/>
      <c r="AJ252" s="178">
        <v>70</v>
      </c>
      <c r="AK252" s="130"/>
      <c r="AL252" s="179"/>
      <c r="AM252" s="130"/>
      <c r="AN252" s="178">
        <v>70</v>
      </c>
      <c r="AO252" s="130"/>
      <c r="AP252" s="179"/>
      <c r="AQ252" s="130"/>
      <c r="AR252" s="178">
        <v>70</v>
      </c>
      <c r="AS252" s="130"/>
      <c r="AT252" s="179"/>
      <c r="AU252" s="130"/>
      <c r="AV252" s="178">
        <v>70</v>
      </c>
      <c r="AW252" s="130"/>
      <c r="AX252" s="179"/>
      <c r="AY252" s="130"/>
      <c r="AZ252" s="178">
        <v>70</v>
      </c>
      <c r="BA252" s="130"/>
      <c r="BB252" s="194"/>
      <c r="BC252" s="130"/>
      <c r="BD252" s="178">
        <v>70</v>
      </c>
      <c r="BE252" s="130"/>
      <c r="BF252" s="109"/>
      <c r="BG252" s="130"/>
      <c r="BH252" s="180">
        <f t="shared" si="228"/>
        <v>840</v>
      </c>
      <c r="BI252" s="181">
        <f>Автовик_разбивка[[#This Row],[Цена, 
юань, без НДС 1]]*BH252</f>
        <v>0</v>
      </c>
      <c r="BJ252" s="130">
        <f t="shared" si="229"/>
        <v>70</v>
      </c>
      <c r="BK252" s="187">
        <f>Автовик_разбивка[[#This Row],[Цена, 
юань, без НДС 1]]*BJ252</f>
        <v>0</v>
      </c>
      <c r="BL252" s="109">
        <f t="shared" si="230"/>
        <v>0</v>
      </c>
      <c r="BM252" s="224">
        <f>Автовик_разбивка[[#This Row],[Цена, 
юань, без НДС 1]]*BL252</f>
        <v>0</v>
      </c>
      <c r="BN252" s="178"/>
      <c r="BO252" s="184"/>
      <c r="BP252" s="130"/>
      <c r="BQ252" s="179"/>
      <c r="BR252" s="130"/>
      <c r="BS252" s="178"/>
      <c r="BT252" s="184"/>
      <c r="BU252" s="130"/>
      <c r="BV252" s="179"/>
      <c r="BW252" s="130"/>
      <c r="BX252" s="178"/>
      <c r="BY252" s="184"/>
      <c r="BZ252" s="130"/>
      <c r="CA252" s="179"/>
      <c r="CB252" s="130"/>
      <c r="CC252" s="178"/>
      <c r="CD252" s="184"/>
      <c r="CE252" s="130"/>
      <c r="CF252" s="179"/>
      <c r="CG252" s="130"/>
      <c r="CH252" s="178"/>
      <c r="CI252" s="184"/>
      <c r="CJ252" s="130"/>
      <c r="CK252" s="179"/>
      <c r="CL252" s="130"/>
      <c r="CM252" s="178"/>
      <c r="CN252" s="184"/>
      <c r="CO252" s="130"/>
      <c r="CP252" s="179"/>
      <c r="CQ252" s="130"/>
      <c r="CR252" s="178"/>
      <c r="CS252" s="184"/>
      <c r="CT252" s="130"/>
      <c r="CU252" s="179"/>
      <c r="CV252" s="130"/>
      <c r="CW252" s="178"/>
      <c r="CX252" s="184"/>
      <c r="CY252" s="130"/>
      <c r="CZ252" s="179"/>
      <c r="DA252" s="130"/>
      <c r="DB252" s="178"/>
      <c r="DC252" s="184"/>
      <c r="DD252" s="130"/>
      <c r="DE252" s="179"/>
      <c r="DF252" s="130"/>
      <c r="DG252" s="178"/>
      <c r="DH252" s="184"/>
      <c r="DI252" s="130"/>
      <c r="DJ252" s="179"/>
      <c r="DK252" s="130"/>
      <c r="DL252" s="178"/>
      <c r="DM252" s="184"/>
      <c r="DN252" s="130"/>
      <c r="DO252" s="194"/>
      <c r="DP252" s="130"/>
      <c r="DQ252" s="178"/>
      <c r="DR252" s="184"/>
      <c r="DS252" s="130"/>
      <c r="DT252" s="109"/>
      <c r="DU252" s="130"/>
      <c r="DV252" s="180">
        <f t="shared" si="231"/>
        <v>0</v>
      </c>
      <c r="DW252" s="181">
        <f>Автовик_разбивка[[#This Row],[Цена, 
юань, без НДС 1]]*DV252</f>
        <v>0</v>
      </c>
      <c r="DX252" s="186">
        <f t="shared" si="232"/>
        <v>0</v>
      </c>
      <c r="DY252" s="186">
        <f>Автовик_разбивка[[#This Row],[Цена, 
юань, без НДС 1]]*DX252</f>
        <v>0</v>
      </c>
      <c r="DZ252" s="130">
        <f t="shared" si="233"/>
        <v>0</v>
      </c>
      <c r="EA252" s="187">
        <f>Автовик_разбивка[[#This Row],[Цена, 
юань, без НДС 1]]*DZ252</f>
        <v>0</v>
      </c>
      <c r="EB252" s="109">
        <f t="shared" si="234"/>
        <v>0</v>
      </c>
      <c r="EC252" s="224">
        <f>Автовик_разбивка[[#This Row],[Цена, 
юань, без НДС 1]]*EB252</f>
        <v>0</v>
      </c>
    </row>
    <row r="253" spans="1:133">
      <c r="A253" s="265">
        <v>999</v>
      </c>
      <c r="B253" s="267" t="s">
        <v>336</v>
      </c>
      <c r="C253" s="132"/>
      <c r="D253" s="132"/>
      <c r="E253" s="229"/>
      <c r="F253" s="229"/>
      <c r="G253" s="229"/>
      <c r="H253" s="230"/>
      <c r="I253" s="231" t="s">
        <v>43</v>
      </c>
      <c r="J253" s="232"/>
      <c r="K253" s="232"/>
      <c r="L253" s="233"/>
      <c r="M253" s="234"/>
      <c r="N253" s="235"/>
      <c r="O253" s="234"/>
      <c r="P253" s="233"/>
      <c r="Q253" s="234"/>
      <c r="R253" s="235"/>
      <c r="S253" s="234"/>
      <c r="T253" s="233"/>
      <c r="U253" s="234"/>
      <c r="V253" s="235"/>
      <c r="W253" s="234"/>
      <c r="X253" s="233"/>
      <c r="Y253" s="234"/>
      <c r="Z253" s="235"/>
      <c r="AA253" s="234"/>
      <c r="AB253" s="233"/>
      <c r="AC253" s="234"/>
      <c r="AD253" s="235"/>
      <c r="AE253" s="234"/>
      <c r="AF253" s="233"/>
      <c r="AG253" s="234"/>
      <c r="AH253" s="235"/>
      <c r="AI253" s="234"/>
      <c r="AJ253" s="233"/>
      <c r="AK253" s="234"/>
      <c r="AL253" s="235"/>
      <c r="AM253" s="234"/>
      <c r="AN253" s="233"/>
      <c r="AO253" s="234"/>
      <c r="AP253" s="235"/>
      <c r="AQ253" s="234"/>
      <c r="AR253" s="233"/>
      <c r="AS253" s="234"/>
      <c r="AT253" s="235"/>
      <c r="AU253" s="234"/>
      <c r="AV253" s="233"/>
      <c r="AW253" s="234"/>
      <c r="AX253" s="235"/>
      <c r="AY253" s="234"/>
      <c r="AZ253" s="233"/>
      <c r="BA253" s="234"/>
      <c r="BB253" s="235"/>
      <c r="BC253" s="234"/>
      <c r="BD253" s="233"/>
      <c r="BE253" s="234"/>
      <c r="BF253" s="235"/>
      <c r="BG253" s="234"/>
      <c r="BH253" s="233">
        <f t="shared" si="228"/>
        <v>0</v>
      </c>
      <c r="BI253" s="238">
        <f>Автовик_разбивка[[#This Row],[Цена, 
юань, без НДС 1]]*BH253</f>
        <v>0</v>
      </c>
      <c r="BJ253" s="234">
        <f t="shared" si="229"/>
        <v>0</v>
      </c>
      <c r="BK253" s="253">
        <f>Автовик_разбивка[[#This Row],[Цена, 
юань, без НДС 1]]*BJ253</f>
        <v>0</v>
      </c>
      <c r="BL253" s="235">
        <f t="shared" si="230"/>
        <v>0</v>
      </c>
      <c r="BM253" s="254">
        <f>Автовик_разбивка[[#This Row],[Цена, 
юань, без НДС 1]]*BL253</f>
        <v>0</v>
      </c>
      <c r="BN253" s="233"/>
      <c r="BO253" s="241"/>
      <c r="BP253" s="234"/>
      <c r="BQ253" s="235"/>
      <c r="BR253" s="234"/>
      <c r="BS253" s="233"/>
      <c r="BT253" s="241"/>
      <c r="BU253" s="234"/>
      <c r="BV253" s="235"/>
      <c r="BW253" s="234"/>
      <c r="BX253" s="233"/>
      <c r="BY253" s="241"/>
      <c r="BZ253" s="234"/>
      <c r="CA253" s="235"/>
      <c r="CB253" s="234"/>
      <c r="CC253" s="233"/>
      <c r="CD253" s="241"/>
      <c r="CE253" s="234"/>
      <c r="CF253" s="235"/>
      <c r="CG253" s="234"/>
      <c r="CH253" s="233"/>
      <c r="CI253" s="241"/>
      <c r="CJ253" s="234"/>
      <c r="CK253" s="235"/>
      <c r="CL253" s="234"/>
      <c r="CM253" s="233"/>
      <c r="CN253" s="241"/>
      <c r="CO253" s="234"/>
      <c r="CP253" s="235"/>
      <c r="CQ253" s="234"/>
      <c r="CR253" s="233"/>
      <c r="CS253" s="241"/>
      <c r="CT253" s="234"/>
      <c r="CU253" s="235"/>
      <c r="CV253" s="234"/>
      <c r="CW253" s="233"/>
      <c r="CX253" s="241"/>
      <c r="CY253" s="234"/>
      <c r="CZ253" s="235"/>
      <c r="DA253" s="234"/>
      <c r="DB253" s="233"/>
      <c r="DC253" s="241"/>
      <c r="DD253" s="234"/>
      <c r="DE253" s="235"/>
      <c r="DF253" s="234"/>
      <c r="DG253" s="233"/>
      <c r="DH253" s="241"/>
      <c r="DI253" s="234"/>
      <c r="DJ253" s="235"/>
      <c r="DK253" s="234"/>
      <c r="DL253" s="233"/>
      <c r="DM253" s="241"/>
      <c r="DN253" s="234"/>
      <c r="DO253" s="235"/>
      <c r="DP253" s="234"/>
      <c r="DQ253" s="233"/>
      <c r="DR253" s="241"/>
      <c r="DS253" s="234"/>
      <c r="DT253" s="235"/>
      <c r="DU253" s="234"/>
      <c r="DV253" s="233">
        <f t="shared" si="231"/>
        <v>0</v>
      </c>
      <c r="DW253" s="238">
        <f>Автовик_разбивка[[#This Row],[Цена, 
юань, без НДС 1]]*DV253</f>
        <v>0</v>
      </c>
      <c r="DX253" s="242">
        <f t="shared" si="232"/>
        <v>0</v>
      </c>
      <c r="DY253" s="242">
        <f>Автовик_разбивка[[#This Row],[Цена, 
юань, без НДС 1]]*DX253</f>
        <v>0</v>
      </c>
      <c r="DZ253" s="234">
        <f t="shared" si="233"/>
        <v>0</v>
      </c>
      <c r="EA253" s="253">
        <f>Автовик_разбивка[[#This Row],[Цена, 
юань, без НДС 1]]*DZ253</f>
        <v>0</v>
      </c>
      <c r="EB253" s="235">
        <f t="shared" si="234"/>
        <v>0</v>
      </c>
      <c r="EC253" s="254">
        <f>Автовик_разбивка[[#This Row],[Цена, 
юань, без НДС 1]]*EB253</f>
        <v>0</v>
      </c>
    </row>
    <row r="254" spans="1:133">
      <c r="A254" s="265">
        <v>999</v>
      </c>
      <c r="B254" s="243" t="s">
        <v>336</v>
      </c>
      <c r="C254" s="244"/>
      <c r="D254" s="244"/>
      <c r="E254" s="245"/>
      <c r="F254" s="245"/>
      <c r="G254" s="245"/>
      <c r="H254" s="246"/>
      <c r="I254" s="247"/>
      <c r="J254" s="248"/>
      <c r="K254" s="248"/>
      <c r="L254" s="249"/>
      <c r="M254" s="249"/>
      <c r="N254" s="249"/>
      <c r="O254" s="249"/>
      <c r="P254" s="249"/>
      <c r="Q254" s="249"/>
      <c r="R254" s="249"/>
      <c r="S254" s="249"/>
      <c r="T254" s="249"/>
      <c r="U254" s="249"/>
      <c r="V254" s="249"/>
      <c r="W254" s="249"/>
      <c r="X254" s="249"/>
      <c r="Y254" s="249"/>
      <c r="Z254" s="249"/>
      <c r="AA254" s="249"/>
      <c r="AB254" s="249"/>
      <c r="AC254" s="249"/>
      <c r="AD254" s="249"/>
      <c r="AE254" s="249"/>
      <c r="AF254" s="249"/>
      <c r="AG254" s="249"/>
      <c r="AH254" s="249"/>
      <c r="AI254" s="249"/>
      <c r="AJ254" s="249"/>
      <c r="AK254" s="249"/>
      <c r="AL254" s="249"/>
      <c r="AM254" s="249"/>
      <c r="AN254" s="249"/>
      <c r="AO254" s="249"/>
      <c r="AP254" s="249"/>
      <c r="AQ254" s="249"/>
      <c r="AR254" s="249"/>
      <c r="AS254" s="249"/>
      <c r="AT254" s="249"/>
      <c r="AU254" s="249"/>
      <c r="AV254" s="249"/>
      <c r="AW254" s="249"/>
      <c r="AX254" s="250"/>
      <c r="AY254" s="249"/>
      <c r="AZ254" s="250"/>
      <c r="BA254" s="250"/>
      <c r="BB254" s="250"/>
      <c r="BC254" s="249"/>
      <c r="BD254" s="250"/>
      <c r="BE254" s="250"/>
      <c r="BF254" s="250"/>
      <c r="BG254" s="249"/>
      <c r="BH254" s="250">
        <f t="shared" si="228"/>
        <v>0</v>
      </c>
      <c r="BI254" s="251">
        <f>Автовик_разбивка[[#This Row],[Цена, 
юань, без НДС 1]]*BH254</f>
        <v>0</v>
      </c>
      <c r="BJ254" s="250">
        <f t="shared" si="229"/>
        <v>0</v>
      </c>
      <c r="BK254" s="251">
        <f>Автовик_разбивка[[#This Row],[Цена, 
юань, без НДС 1]]*BJ254</f>
        <v>0</v>
      </c>
      <c r="BL254" s="250">
        <f t="shared" si="230"/>
        <v>0</v>
      </c>
      <c r="BM254" s="251">
        <f>Автовик_разбивка[[#This Row],[Цена, 
юань, без НДС 1]]*BL254</f>
        <v>0</v>
      </c>
      <c r="BN254" s="249"/>
      <c r="BO254" s="249"/>
      <c r="BP254" s="249"/>
      <c r="BQ254" s="249"/>
      <c r="BR254" s="249"/>
      <c r="BS254" s="249"/>
      <c r="BT254" s="249"/>
      <c r="BU254" s="249"/>
      <c r="BV254" s="249"/>
      <c r="BW254" s="249"/>
      <c r="BX254" s="249"/>
      <c r="BY254" s="249"/>
      <c r="BZ254" s="249"/>
      <c r="CA254" s="249"/>
      <c r="CB254" s="249"/>
      <c r="CC254" s="249"/>
      <c r="CD254" s="249"/>
      <c r="CE254" s="249"/>
      <c r="CF254" s="249"/>
      <c r="CG254" s="249"/>
      <c r="CH254" s="249"/>
      <c r="CI254" s="249"/>
      <c r="CJ254" s="249"/>
      <c r="CK254" s="249"/>
      <c r="CL254" s="249"/>
      <c r="CM254" s="249"/>
      <c r="CN254" s="249"/>
      <c r="CO254" s="249"/>
      <c r="CP254" s="249"/>
      <c r="CQ254" s="249"/>
      <c r="CR254" s="249"/>
      <c r="CS254" s="249"/>
      <c r="CT254" s="249"/>
      <c r="CU254" s="249"/>
      <c r="CV254" s="249"/>
      <c r="CW254" s="249"/>
      <c r="CX254" s="249"/>
      <c r="CY254" s="249"/>
      <c r="CZ254" s="249"/>
      <c r="DA254" s="249"/>
      <c r="DB254" s="249"/>
      <c r="DC254" s="249"/>
      <c r="DD254" s="249"/>
      <c r="DE254" s="249"/>
      <c r="DF254" s="249"/>
      <c r="DG254" s="249"/>
      <c r="DH254" s="249"/>
      <c r="DI254" s="249"/>
      <c r="DJ254" s="250"/>
      <c r="DK254" s="249"/>
      <c r="DL254" s="250"/>
      <c r="DM254" s="250"/>
      <c r="DN254" s="250"/>
      <c r="DO254" s="250"/>
      <c r="DP254" s="249"/>
      <c r="DQ254" s="250"/>
      <c r="DR254" s="250"/>
      <c r="DS254" s="250"/>
      <c r="DT254" s="250"/>
      <c r="DU254" s="249"/>
      <c r="DV254" s="250">
        <f t="shared" si="231"/>
        <v>0</v>
      </c>
      <c r="DW254" s="251">
        <f>Автовик_разбивка[[#This Row],[Цена, 
юань, без НДС 1]]*DV254</f>
        <v>0</v>
      </c>
      <c r="DX254" s="251">
        <f t="shared" si="232"/>
        <v>0</v>
      </c>
      <c r="DY254" s="251">
        <f>Автовик_разбивка[[#This Row],[Цена, 
юань, без НДС 1]]*DX254</f>
        <v>0</v>
      </c>
      <c r="DZ254" s="250">
        <f t="shared" si="233"/>
        <v>0</v>
      </c>
      <c r="EA254" s="251">
        <f>Автовик_разбивка[[#This Row],[Цена, 
юань, без НДС 1]]*DZ254</f>
        <v>0</v>
      </c>
      <c r="EB254" s="250">
        <f t="shared" si="234"/>
        <v>0</v>
      </c>
      <c r="EC254" s="251">
        <f>Автовик_разбивка[[#This Row],[Цена, 
юань, без НДС 1]]*EB254</f>
        <v>0</v>
      </c>
    </row>
    <row r="255" spans="1:133">
      <c r="BL255" s="147"/>
      <c r="BM255" s="147"/>
      <c r="BN255" s="147"/>
      <c r="BO255" s="147"/>
      <c r="BP255" s="147"/>
      <c r="BQ255" s="147"/>
      <c r="BR255" s="147"/>
      <c r="BS255" s="147"/>
      <c r="BT255" s="147"/>
      <c r="BU255" s="147"/>
      <c r="BV255" s="147"/>
      <c r="BW255" s="147"/>
      <c r="BX255" s="147"/>
      <c r="BY255" s="147"/>
      <c r="BZ255" s="147"/>
    </row>
    <row r="256" spans="1:133">
      <c r="BL256" s="147"/>
      <c r="BM256" s="147"/>
      <c r="BN256" s="147"/>
      <c r="BO256" s="147"/>
      <c r="BP256" s="147"/>
      <c r="BQ256" s="147"/>
      <c r="BR256" s="147"/>
      <c r="BS256" s="147"/>
      <c r="BT256" s="147"/>
      <c r="BU256" s="147"/>
      <c r="BV256" s="147"/>
      <c r="BW256" s="147"/>
      <c r="BX256" s="147"/>
      <c r="BY256" s="147"/>
      <c r="BZ256" s="147"/>
    </row>
    <row r="257" s="145" customFormat="1"/>
    <row r="258" s="145" customFormat="1"/>
    <row r="259" s="145" customFormat="1"/>
    <row r="260" s="145" customFormat="1"/>
    <row r="261" s="145" customFormat="1"/>
    <row r="262" s="145" customFormat="1"/>
    <row r="263" s="145" customFormat="1"/>
    <row r="264" s="145" customFormat="1"/>
    <row r="265" s="145" customFormat="1"/>
    <row r="266" s="145" customFormat="1"/>
    <row r="267" s="145" customFormat="1"/>
    <row r="268" s="145" customFormat="1"/>
    <row r="269" s="145" customFormat="1"/>
    <row r="270" s="145" customFormat="1"/>
    <row r="271" s="145" customFormat="1"/>
    <row r="272" s="145" customFormat="1"/>
    <row r="273" s="145" customFormat="1"/>
    <row r="274" s="145" customFormat="1"/>
    <row r="275" s="145" customFormat="1"/>
    <row r="276" s="145" customFormat="1"/>
    <row r="277" s="145" customFormat="1"/>
    <row r="278" s="145" customFormat="1"/>
    <row r="279" s="145" customFormat="1"/>
    <row r="280" s="145" customFormat="1"/>
    <row r="281" s="145" customFormat="1"/>
    <row r="282" s="145" customFormat="1"/>
    <row r="283" s="145" customFormat="1"/>
    <row r="284" s="145" customFormat="1"/>
    <row r="285" s="145" customFormat="1"/>
    <row r="286" s="145" customFormat="1"/>
    <row r="287" s="145" customFormat="1"/>
    <row r="288" s="145" customFormat="1"/>
    <row r="289" s="145" customFormat="1"/>
    <row r="290" s="145" customFormat="1"/>
    <row r="291" s="145" customFormat="1"/>
    <row r="292" s="145" customFormat="1"/>
    <row r="293" s="145" customFormat="1"/>
    <row r="294" s="145" customFormat="1"/>
    <row r="295" s="145" customFormat="1"/>
    <row r="296" s="145" customFormat="1"/>
    <row r="297" s="145" customFormat="1"/>
    <row r="298" s="145" customFormat="1"/>
    <row r="299" s="145" customFormat="1"/>
    <row r="300" s="145" customFormat="1"/>
    <row r="301" s="145" customFormat="1"/>
    <row r="302" s="145" customFormat="1"/>
    <row r="303" s="145" customFormat="1"/>
    <row r="304" s="145" customFormat="1"/>
    <row r="305" s="145" customFormat="1"/>
    <row r="306" s="145" customFormat="1"/>
    <row r="307" s="145" customFormat="1"/>
    <row r="308" s="145" customFormat="1"/>
    <row r="309" s="145" customFormat="1"/>
    <row r="310" s="145" customFormat="1"/>
    <row r="311" s="145" customFormat="1"/>
    <row r="312" s="145" customFormat="1"/>
    <row r="313" s="145" customFormat="1"/>
    <row r="314" s="145" customFormat="1"/>
    <row r="315" s="145" customFormat="1"/>
    <row r="316" s="145" customFormat="1"/>
    <row r="317" s="145" customFormat="1"/>
    <row r="318" s="145" customFormat="1"/>
    <row r="319" s="145" customFormat="1"/>
    <row r="320" s="145" customFormat="1"/>
    <row r="321" s="145" customFormat="1"/>
    <row r="322" s="145" customFormat="1"/>
    <row r="323" s="145" customFormat="1"/>
    <row r="324" s="145" customFormat="1"/>
    <row r="326" s="145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90:B299">
    <sortCondition ref="B290"/>
  </sortState>
  <mergeCells count="29">
    <mergeCell ref="J2:BM2"/>
    <mergeCell ref="BN2:EC2"/>
    <mergeCell ref="A3:G3"/>
    <mergeCell ref="L3:O3"/>
    <mergeCell ref="P3:S3"/>
    <mergeCell ref="T3:W3"/>
    <mergeCell ref="X3:AA3"/>
    <mergeCell ref="AB3:AE3"/>
    <mergeCell ref="AF3:AI3"/>
    <mergeCell ref="AJ3:AM3"/>
    <mergeCell ref="AN3:AQ3"/>
    <mergeCell ref="AR3:AU3"/>
    <mergeCell ref="AV3:AY3"/>
    <mergeCell ref="AZ3:BC3"/>
    <mergeCell ref="BD3:BG3"/>
    <mergeCell ref="BH3:BM3"/>
    <mergeCell ref="BN3:BR3"/>
    <mergeCell ref="BS3:BW3"/>
    <mergeCell ref="BX3:CB3"/>
    <mergeCell ref="CC3:CG3"/>
    <mergeCell ref="CH3:CL3"/>
    <mergeCell ref="DL3:DP3"/>
    <mergeCell ref="DQ3:DU3"/>
    <mergeCell ref="DV3:EC3"/>
    <mergeCell ref="CM3:CQ3"/>
    <mergeCell ref="CR3:CV3"/>
    <mergeCell ref="CW3:DA3"/>
    <mergeCell ref="DB3:DF3"/>
    <mergeCell ref="DG3:DK3"/>
  </mergeCells>
  <pageMargins left="0.7" right="0.7" top="0.75" bottom="0.75" header="0.3" footer="0.3"/>
  <pageSetup paperSize="9" orientation="portrait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3" operator="containsText" id="{00A600A2-0002-47F9-A468-00CA00FF00BE}">
            <xm:f>NOT(ISERROR(SEARCH($H$3,H3)))</xm:f>
            <xm:f>$H$3</xm:f>
            <x14:dxf>
              <fill>
                <patternFill patternType="solid">
                  <fgColor theme="4" tint="0.59996337778862885"/>
                  <bgColor theme="4" tint="0.59996337778862885"/>
                </patternFill>
              </fill>
            </x14:dxf>
          </x14:cfRule>
          <xm:sqref>H3 H5:H254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79998168889431442"/>
  </sheetPr>
  <dimension ref="A1:I155"/>
  <sheetViews>
    <sheetView workbookViewId="0">
      <pane xSplit="1" ySplit="1" topLeftCell="B53" activePane="bottomRight" state="frozen"/>
      <selection activeCell="C115" sqref="C115"/>
      <selection pane="topRight"/>
      <selection pane="bottomLeft"/>
      <selection pane="bottomRight" activeCell="D71" sqref="D71:D72"/>
    </sheetView>
  </sheetViews>
  <sheetFormatPr defaultColWidth="12.6640625" defaultRowHeight="14.4"/>
  <cols>
    <col min="1" max="1" width="3.6640625" style="145" customWidth="1"/>
    <col min="2" max="2" width="19.88671875" style="145" bestFit="1" customWidth="1"/>
    <col min="3" max="3" width="22.109375" style="145" bestFit="1" customWidth="1"/>
    <col min="4" max="4" width="47.44140625" style="145" customWidth="1"/>
    <col min="5" max="5" width="49.5546875" style="145" customWidth="1"/>
    <col min="6" max="7" width="12.6640625" style="145"/>
    <col min="8" max="8" width="18.109375" style="145" bestFit="1" customWidth="1"/>
    <col min="9" max="9" width="15.109375" style="145" customWidth="1"/>
    <col min="10" max="16384" width="12.6640625" style="145"/>
  </cols>
  <sheetData>
    <row r="1" spans="1:9" ht="43.2">
      <c r="A1" s="272" t="s">
        <v>170</v>
      </c>
      <c r="B1" s="160" t="s">
        <v>345</v>
      </c>
      <c r="C1" s="160" t="s">
        <v>346</v>
      </c>
      <c r="D1" s="160" t="s">
        <v>14</v>
      </c>
      <c r="E1" s="160" t="s">
        <v>439</v>
      </c>
      <c r="F1" s="160" t="s">
        <v>347</v>
      </c>
      <c r="G1" s="160" t="s">
        <v>451</v>
      </c>
      <c r="H1" s="160" t="s">
        <v>348</v>
      </c>
      <c r="I1" s="436" t="s">
        <v>349</v>
      </c>
    </row>
    <row r="2" spans="1:9">
      <c r="A2" s="302">
        <f>ROW()-ROW(База[[#Headers],[№]])</f>
        <v>1</v>
      </c>
      <c r="B2" s="311" t="s">
        <v>350</v>
      </c>
      <c r="C2" s="399">
        <v>4410328080</v>
      </c>
      <c r="D2" s="378" t="s">
        <v>45</v>
      </c>
      <c r="E2" s="311"/>
      <c r="F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2" s="312" t="str">
        <f>IF(База[[#This Row],[Тип]]=0,IF(SUMPRODUCT((База[[#This Row],[Артикул]]=Комплекты[Комплект])*1)=0,"НЕТ","ОК"),"ОК")</f>
        <v>ОК</v>
      </c>
      <c r="H2" s="312" t="str">
        <f>IF(SUMPRODUCT((База[[#This Row],[Артикул]]=ПНЕВМАТИКА!$G$6:$G$330)*1)=0,"НЕТ","ОК")</f>
        <v>ОК</v>
      </c>
      <c r="I2" s="312" t="str">
        <f>IF(SUMPRODUCT((База[[#This Row],[Артикул]]=ТОРМОЗ!$G$6:$G$64)*1)=0,"НЕТ","ОК")</f>
        <v>ОК</v>
      </c>
    </row>
    <row r="3" spans="1:9">
      <c r="A3" s="302">
        <f>ROW()-ROW(База[[#Headers],[№]])</f>
        <v>2</v>
      </c>
      <c r="B3" s="311" t="s">
        <v>350</v>
      </c>
      <c r="C3" s="399">
        <v>4410328790</v>
      </c>
      <c r="D3" s="378" t="s">
        <v>39</v>
      </c>
      <c r="E3" s="311"/>
      <c r="F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3" s="312" t="str">
        <f>IF(База[[#This Row],[Тип]]=0,IF(SUMPRODUCT((База[[#This Row],[Артикул]]=Комплекты[Комплект])*1)=0,"НЕТ","ОК"),"ОК")</f>
        <v>ОК</v>
      </c>
      <c r="H3" s="312" t="str">
        <f>IF(SUMPRODUCT((База[[#This Row],[Артикул]]=ПНЕВМАТИКА!$G$6:$G$330)*1)=0,"НЕТ","ОК")</f>
        <v>НЕТ</v>
      </c>
      <c r="I3" s="312" t="str">
        <f>IF(SUMPRODUCT((База[[#This Row],[Артикул]]=ТОРМОЗ!$G$6:$G$64)*1)=0,"НЕТ","ОК")</f>
        <v>ОК</v>
      </c>
    </row>
    <row r="4" spans="1:9">
      <c r="A4" s="302">
        <f>ROW()-ROW(База[[#Headers],[№]])</f>
        <v>3</v>
      </c>
      <c r="B4" s="311" t="s">
        <v>350</v>
      </c>
      <c r="C4" s="399">
        <v>4460087000</v>
      </c>
      <c r="D4" s="378" t="s">
        <v>140</v>
      </c>
      <c r="E4" s="311"/>
      <c r="F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4" s="312" t="str">
        <f>IF(База[[#This Row],[Тип]]=0,IF(SUMPRODUCT((База[[#This Row],[Артикул]]=Комплекты[Комплект])*1)=0,"НЕТ","ОК"),"ОК")</f>
        <v>ОК</v>
      </c>
      <c r="H4" s="312" t="str">
        <f>IF(SUMPRODUCT((База[[#This Row],[Артикул]]=ПНЕВМАТИКА!$G$6:$G$330)*1)=0,"НЕТ","ОК")</f>
        <v>ОК</v>
      </c>
      <c r="I4" s="312" t="str">
        <f>IF(SUMPRODUCT((База[[#This Row],[Артикул]]=ТОРМОЗ!$G$6:$G$64)*1)=0,"НЕТ","ОК")</f>
        <v>НЕТ</v>
      </c>
    </row>
    <row r="5" spans="1:9">
      <c r="A5" s="302">
        <f>ROW()-ROW(База[[#Headers],[№]])</f>
        <v>4</v>
      </c>
      <c r="B5" s="311" t="s">
        <v>350</v>
      </c>
      <c r="C5" s="399">
        <v>4497120000</v>
      </c>
      <c r="D5" s="378" t="s">
        <v>100</v>
      </c>
      <c r="E5" s="311"/>
      <c r="F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5" s="312" t="str">
        <f>IF(База[[#This Row],[Тип]]=0,IF(SUMPRODUCT((База[[#This Row],[Артикул]]=Комплекты[Комплект])*1)=0,"НЕТ","ОК"),"ОК")</f>
        <v>ОК</v>
      </c>
      <c r="H5" s="312" t="str">
        <f>IF(SUMPRODUCT((База[[#This Row],[Артикул]]=ПНЕВМАТИКА!$G$6:$G$330)*1)=0,"НЕТ","ОК")</f>
        <v>ОК</v>
      </c>
      <c r="I5" s="312" t="str">
        <f>IF(SUMPRODUCT((База[[#This Row],[Артикул]]=ТОРМОЗ!$G$6:$G$64)*1)=0,"НЕТ","ОК")</f>
        <v>НЕТ</v>
      </c>
    </row>
    <row r="6" spans="1:9">
      <c r="A6" s="302">
        <f>ROW()-ROW(База[[#Headers],[№]])</f>
        <v>5</v>
      </c>
      <c r="B6" s="311" t="s">
        <v>350</v>
      </c>
      <c r="C6" s="399">
        <v>4497120300</v>
      </c>
      <c r="D6" s="378" t="s">
        <v>100</v>
      </c>
      <c r="E6" s="311"/>
      <c r="F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6" s="312" t="str">
        <f>IF(База[[#This Row],[Тип]]=0,IF(SUMPRODUCT((База[[#This Row],[Артикул]]=Комплекты[Комплект])*1)=0,"НЕТ","ОК"),"ОК")</f>
        <v>ОК</v>
      </c>
      <c r="H6" s="312" t="str">
        <f>IF(SUMPRODUCT((База[[#This Row],[Артикул]]=ПНЕВМАТИКА!$G$6:$G$330)*1)=0,"НЕТ","ОК")</f>
        <v>ОК</v>
      </c>
      <c r="I6" s="312" t="str">
        <f>IF(SUMPRODUCT((База[[#This Row],[Артикул]]=ТОРМОЗ!$G$6:$G$64)*1)=0,"НЕТ","ОК")</f>
        <v>НЕТ</v>
      </c>
    </row>
    <row r="7" spans="1:9">
      <c r="A7" s="302">
        <f>ROW()-ROW(База[[#Headers],[№]])</f>
        <v>6</v>
      </c>
      <c r="B7" s="311" t="s">
        <v>350</v>
      </c>
      <c r="C7" s="399">
        <v>4497490300</v>
      </c>
      <c r="D7" s="378" t="s">
        <v>100</v>
      </c>
      <c r="E7" s="311"/>
      <c r="F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7" s="312" t="str">
        <f>IF(База[[#This Row],[Тип]]=0,IF(SUMPRODUCT((База[[#This Row],[Артикул]]=Комплекты[Комплект])*1)=0,"НЕТ","ОК"),"ОК")</f>
        <v>ОК</v>
      </c>
      <c r="H7" s="312" t="str">
        <f>IF(SUMPRODUCT((База[[#This Row],[Артикул]]=ПНЕВМАТИКА!$G$6:$G$330)*1)=0,"НЕТ","ОК")</f>
        <v>ОК</v>
      </c>
      <c r="I7" s="312" t="str">
        <f>IF(SUMPRODUCT((База[[#This Row],[Артикул]]=ТОРМОЗ!$G$6:$G$64)*1)=0,"НЕТ","ОК")</f>
        <v>НЕТ</v>
      </c>
    </row>
    <row r="8" spans="1:9">
      <c r="A8" s="302">
        <f>ROW()-ROW(База[[#Headers],[№]])</f>
        <v>7</v>
      </c>
      <c r="B8" s="311" t="s">
        <v>350</v>
      </c>
      <c r="C8" s="399">
        <v>8997598154</v>
      </c>
      <c r="D8" s="378" t="s">
        <v>46</v>
      </c>
      <c r="E8" s="311"/>
      <c r="F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8" s="312" t="str">
        <f>IF(База[[#This Row],[Тип]]=0,IF(SUMPRODUCT((База[[#This Row],[Артикул]]=Комплекты[Комплект])*1)=0,"НЕТ","ОК"),"ОК")</f>
        <v>ОК</v>
      </c>
      <c r="H8" s="312" t="str">
        <f>IF(SUMPRODUCT((База[[#This Row],[Артикул]]=ПНЕВМАТИКА!$G$6:$G$330)*1)=0,"НЕТ","ОК")</f>
        <v>ОК</v>
      </c>
      <c r="I8" s="312" t="str">
        <f>IF(SUMPRODUCT((База[[#This Row],[Артикул]]=ТОРМОЗ!$G$6:$G$64)*1)=0,"НЕТ","ОК")</f>
        <v>ОК</v>
      </c>
    </row>
    <row r="9" spans="1:9">
      <c r="A9" s="400">
        <f>ROW()-ROW(База[[#Headers],[№]])</f>
        <v>8</v>
      </c>
      <c r="B9" s="401" t="s">
        <v>350</v>
      </c>
      <c r="C9" s="377">
        <v>8997605104</v>
      </c>
      <c r="D9" s="378" t="s">
        <v>40</v>
      </c>
      <c r="E9" s="401"/>
      <c r="F9" s="40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9" s="402" t="str">
        <f>IF(База[[#This Row],[Тип]]=0,IF(SUMPRODUCT((База[[#This Row],[Артикул]]=Комплекты[Комплект])*1)=0,"НЕТ","ОК"),"ОК")</f>
        <v>ОК</v>
      </c>
      <c r="H9" s="402" t="str">
        <f>IF(SUMPRODUCT((База[[#This Row],[Артикул]]=ПНЕВМАТИКА!$G$6:$G$330)*1)=0,"НЕТ","ОК")</f>
        <v>НЕТ</v>
      </c>
      <c r="I9" s="402" t="str">
        <f>IF(SUMPRODUCT((База[[#This Row],[Артикул]]=ТОРМОЗ!$G$6:$G$64)*1)=0,"НЕТ","ОК")</f>
        <v>ОК</v>
      </c>
    </row>
    <row r="10" spans="1:9">
      <c r="A10" s="302">
        <f>ROW()-ROW(База[[#Headers],[№]])</f>
        <v>9</v>
      </c>
      <c r="B10" s="311" t="s">
        <v>351</v>
      </c>
      <c r="C10" s="399">
        <v>6402250340</v>
      </c>
      <c r="D10" s="378" t="s">
        <v>34</v>
      </c>
      <c r="E10" s="311"/>
      <c r="F1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0" s="312" t="str">
        <f>IF(База[[#This Row],[Тип]]=0,IF(SUMPRODUCT((База[[#This Row],[Артикул]]=Комплекты[Комплект])*1)=0,"НЕТ","ОК"),"ОК")</f>
        <v>ОК</v>
      </c>
      <c r="H10" s="312" t="str">
        <f>IF(SUMPRODUCT((База[[#This Row],[Артикул]]=ПНЕВМАТИКА!$G$6:$G$330)*1)=0,"НЕТ","ОК")</f>
        <v>НЕТ</v>
      </c>
      <c r="I10" s="312" t="str">
        <f>IF(SUMPRODUCT((База[[#This Row],[Артикул]]=ТОРМОЗ!$G$6:$G$64)*1)=0,"НЕТ","ОК")</f>
        <v>ОК</v>
      </c>
    </row>
    <row r="11" spans="1:9">
      <c r="A11" s="302">
        <f>ROW()-ROW(База[[#Headers],[№]])</f>
        <v>10</v>
      </c>
      <c r="B11" s="311" t="s">
        <v>351</v>
      </c>
      <c r="C11" s="399">
        <v>6402250350</v>
      </c>
      <c r="D11" s="378" t="s">
        <v>36</v>
      </c>
      <c r="E11" s="311"/>
      <c r="F1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1" s="312" t="str">
        <f>IF(База[[#This Row],[Тип]]=0,IF(SUMPRODUCT((База[[#This Row],[Артикул]]=Комплекты[Комплект])*1)=0,"НЕТ","ОК"),"ОК")</f>
        <v>ОК</v>
      </c>
      <c r="H11" s="312" t="str">
        <f>IF(SUMPRODUCT((База[[#This Row],[Артикул]]=ПНЕВМАТИКА!$G$6:$G$330)*1)=0,"НЕТ","ОК")</f>
        <v>НЕТ</v>
      </c>
      <c r="I11" s="312" t="str">
        <f>IF(SUMPRODUCT((База[[#This Row],[Артикул]]=ТОРМОЗ!$G$6:$G$64)*1)=0,"НЕТ","ОК")</f>
        <v>ОК</v>
      </c>
    </row>
    <row r="12" spans="1:9">
      <c r="A12" s="302">
        <f>ROW()-ROW(База[[#Headers],[№]])</f>
        <v>11</v>
      </c>
      <c r="B12" s="311" t="s">
        <v>351</v>
      </c>
      <c r="C12" s="399">
        <v>6402250560</v>
      </c>
      <c r="D12" s="378" t="s">
        <v>34</v>
      </c>
      <c r="E12" s="311"/>
      <c r="F1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2" s="312" t="str">
        <f>IF(База[[#This Row],[Тип]]=0,IF(SUMPRODUCT((База[[#This Row],[Артикул]]=Комплекты[Комплект])*1)=0,"НЕТ","ОК"),"ОК")</f>
        <v>ОК</v>
      </c>
      <c r="H12" s="312" t="str">
        <f>IF(SUMPRODUCT((База[[#This Row],[Артикул]]=ПНЕВМАТИКА!$G$6:$G$330)*1)=0,"НЕТ","ОК")</f>
        <v>ОК</v>
      </c>
      <c r="I12" s="312" t="str">
        <f>IF(SUMPRODUCT((База[[#This Row],[Артикул]]=ТОРМОЗ!$G$6:$G$64)*1)=0,"НЕТ","ОК")</f>
        <v>ОК</v>
      </c>
    </row>
    <row r="13" spans="1:9">
      <c r="A13" s="302">
        <f>ROW()-ROW(База[[#Headers],[№]])</f>
        <v>12</v>
      </c>
      <c r="B13" s="311" t="s">
        <v>351</v>
      </c>
      <c r="C13" s="399">
        <v>6402250570</v>
      </c>
      <c r="D13" s="378" t="s">
        <v>36</v>
      </c>
      <c r="E13" s="311"/>
      <c r="F1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3" s="312" t="str">
        <f>IF(База[[#This Row],[Тип]]=0,IF(SUMPRODUCT((База[[#This Row],[Артикул]]=Комплекты[Комплект])*1)=0,"НЕТ","ОК"),"ОК")</f>
        <v>ОК</v>
      </c>
      <c r="H13" s="312" t="str">
        <f>IF(SUMPRODUCT((База[[#This Row],[Артикул]]=ПНЕВМАТИКА!$G$6:$G$330)*1)=0,"НЕТ","ОК")</f>
        <v>ОК</v>
      </c>
      <c r="I13" s="312" t="str">
        <f>IF(SUMPRODUCT((База[[#This Row],[Артикул]]=ТОРМОЗ!$G$6:$G$64)*1)=0,"НЕТ","ОК")</f>
        <v>ОК</v>
      </c>
    </row>
    <row r="14" spans="1:9">
      <c r="A14" s="302">
        <f>ROW()-ROW(База[[#Headers],[№]])</f>
        <v>13</v>
      </c>
      <c r="B14" s="311" t="s">
        <v>351</v>
      </c>
      <c r="C14" s="399" t="s">
        <v>33</v>
      </c>
      <c r="D14" s="378" t="s">
        <v>34</v>
      </c>
      <c r="E14" s="311"/>
      <c r="F1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4" s="312" t="str">
        <f>IF(База[[#This Row],[Тип]]=0,IF(SUMPRODUCT((База[[#This Row],[Артикул]]=Комплекты[Комплект])*1)=0,"НЕТ","ОК"),"ОК")</f>
        <v>ОК</v>
      </c>
      <c r="H14" s="312" t="str">
        <f>IF(SUMPRODUCT((База[[#This Row],[Артикул]]=ПНЕВМАТИКА!$G$6:$G$330)*1)=0,"НЕТ","ОК")</f>
        <v>НЕТ</v>
      </c>
      <c r="I14" s="312" t="str">
        <f>IF(SUMPRODUCT((База[[#This Row],[Артикул]]=ТОРМОЗ!$G$6:$G$64)*1)=0,"НЕТ","ОК")</f>
        <v>НЕТ</v>
      </c>
    </row>
    <row r="15" spans="1:9">
      <c r="A15" s="302">
        <f>ROW()-ROW(База[[#Headers],[№]])</f>
        <v>14</v>
      </c>
      <c r="B15" s="311" t="s">
        <v>351</v>
      </c>
      <c r="C15" s="399" t="s">
        <v>35</v>
      </c>
      <c r="D15" s="378" t="s">
        <v>36</v>
      </c>
      <c r="E15" s="311"/>
      <c r="F1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5" s="312" t="str">
        <f>IF(База[[#This Row],[Тип]]=0,IF(SUMPRODUCT((База[[#This Row],[Артикул]]=Комплекты[Комплект])*1)=0,"НЕТ","ОК"),"ОК")</f>
        <v>ОК</v>
      </c>
      <c r="H15" s="312" t="str">
        <f>IF(SUMPRODUCT((База[[#This Row],[Артикул]]=ПНЕВМАТИКА!$G$6:$G$330)*1)=0,"НЕТ","ОК")</f>
        <v>НЕТ</v>
      </c>
      <c r="I15" s="312" t="str">
        <f>IF(SUMPRODUCT((База[[#This Row],[Артикул]]=ТОРМОЗ!$G$6:$G$64)*1)=0,"НЕТ","ОК")</f>
        <v>НЕТ</v>
      </c>
    </row>
    <row r="16" spans="1:9">
      <c r="A16" s="302">
        <f>ROW()-ROW(База[[#Headers],[№]])</f>
        <v>15</v>
      </c>
      <c r="B16" s="311" t="s">
        <v>352</v>
      </c>
      <c r="C16" s="399">
        <v>4005000810</v>
      </c>
      <c r="D16" s="378" t="s">
        <v>96</v>
      </c>
      <c r="E16" s="311"/>
      <c r="F1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6" s="312" t="str">
        <f>IF(База[[#This Row],[Тип]]=0,IF(SUMPRODUCT((База[[#This Row],[Артикул]]=Комплекты[Комплект])*1)=0,"НЕТ","ОК"),"ОК")</f>
        <v>ОК</v>
      </c>
      <c r="H16" s="312" t="str">
        <f>IF(SUMPRODUCT((База[[#This Row],[Артикул]]=ПНЕВМАТИКА!$G$6:$G$330)*1)=0,"НЕТ","ОК")</f>
        <v>ОК</v>
      </c>
      <c r="I16" s="312" t="str">
        <f>IF(SUMPRODUCT((База[[#This Row],[Артикул]]=ТОРМОЗ!$G$6:$G$64)*1)=0,"НЕТ","ОК")</f>
        <v>НЕТ</v>
      </c>
    </row>
    <row r="17" spans="1:9">
      <c r="A17" s="302">
        <f>ROW()-ROW(База[[#Headers],[№]])</f>
        <v>16</v>
      </c>
      <c r="B17" s="311" t="s">
        <v>352</v>
      </c>
      <c r="C17" s="399">
        <v>4005000880</v>
      </c>
      <c r="D17" s="378" t="s">
        <v>96</v>
      </c>
      <c r="E17" s="311"/>
      <c r="F1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7" s="312" t="str">
        <f>IF(База[[#This Row],[Тип]]=0,IF(SUMPRODUCT((База[[#This Row],[Артикул]]=Комплекты[Комплект])*1)=0,"НЕТ","ОК"),"ОК")</f>
        <v>ОК</v>
      </c>
      <c r="H17" s="312" t="str">
        <f>IF(SUMPRODUCT((База[[#This Row],[Артикул]]=ПНЕВМАТИКА!$G$6:$G$330)*1)=0,"НЕТ","ОК")</f>
        <v>ОК</v>
      </c>
      <c r="I17" s="312" t="str">
        <f>IF(SUMPRODUCT((База[[#This Row],[Артикул]]=ТОРМОЗ!$G$6:$G$64)*1)=0,"НЕТ","ОК")</f>
        <v>НЕТ</v>
      </c>
    </row>
    <row r="18" spans="1:9">
      <c r="A18" s="302">
        <f>ROW()-ROW(База[[#Headers],[№]])</f>
        <v>17</v>
      </c>
      <c r="B18" s="311" t="s">
        <v>352</v>
      </c>
      <c r="C18" s="399">
        <v>4491301200</v>
      </c>
      <c r="D18" s="378" t="s">
        <v>98</v>
      </c>
      <c r="E18" s="311"/>
      <c r="F1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8" s="312" t="str">
        <f>IF(База[[#This Row],[Тип]]=0,IF(SUMPRODUCT((База[[#This Row],[Артикул]]=Комплекты[Комплект])*1)=0,"НЕТ","ОК"),"ОК")</f>
        <v>ОК</v>
      </c>
      <c r="H18" s="312" t="str">
        <f>IF(SUMPRODUCT((База[[#This Row],[Артикул]]=ПНЕВМАТИКА!$G$6:$G$330)*1)=0,"НЕТ","ОК")</f>
        <v>ОК</v>
      </c>
      <c r="I18" s="312" t="str">
        <f>IF(SUMPRODUCT((База[[#This Row],[Артикул]]=ТОРМОЗ!$G$6:$G$64)*1)=0,"НЕТ","ОК")</f>
        <v>НЕТ</v>
      </c>
    </row>
    <row r="19" spans="1:9">
      <c r="A19" s="302">
        <f>ROW()-ROW(База[[#Headers],[№]])</f>
        <v>18</v>
      </c>
      <c r="B19" s="311" t="s">
        <v>352</v>
      </c>
      <c r="C19" s="399">
        <v>4491301500</v>
      </c>
      <c r="D19" s="378" t="s">
        <v>99</v>
      </c>
      <c r="E19" s="311"/>
      <c r="F1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9" s="312" t="str">
        <f>IF(База[[#This Row],[Тип]]=0,IF(SUMPRODUCT((База[[#This Row],[Артикул]]=Комплекты[Комплект])*1)=0,"НЕТ","ОК"),"ОК")</f>
        <v>ОК</v>
      </c>
      <c r="H19" s="312" t="str">
        <f>IF(SUMPRODUCT((База[[#This Row],[Артикул]]=ПНЕВМАТИКА!$G$6:$G$330)*1)=0,"НЕТ","ОК")</f>
        <v>ОК</v>
      </c>
      <c r="I19" s="312" t="str">
        <f>IF(SUMPRODUCT((База[[#This Row],[Артикул]]=ТОРМОЗ!$G$6:$G$64)*1)=0,"НЕТ","ОК")</f>
        <v>НЕТ</v>
      </c>
    </row>
    <row r="20" spans="1:9">
      <c r="A20" s="302">
        <f>ROW()-ROW(База[[#Headers],[№]])</f>
        <v>19</v>
      </c>
      <c r="B20" s="311" t="s">
        <v>352</v>
      </c>
      <c r="C20" s="399">
        <v>4492251200</v>
      </c>
      <c r="D20" s="378" t="s">
        <v>159</v>
      </c>
      <c r="E20" s="311"/>
      <c r="F2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20" s="312" t="str">
        <f>IF(База[[#This Row],[Тип]]=0,IF(SUMPRODUCT((База[[#This Row],[Артикул]]=Комплекты[Комплект])*1)=0,"НЕТ","ОК"),"ОК")</f>
        <v>ОК</v>
      </c>
      <c r="H20" s="312" t="str">
        <f>IF(SUMPRODUCT((База[[#This Row],[Артикул]]=ПНЕВМАТИКА!$G$6:$G$330)*1)=0,"НЕТ","ОК")</f>
        <v>НЕТ</v>
      </c>
      <c r="I20" s="312" t="str">
        <f>IF(SUMPRODUCT((База[[#This Row],[Артикул]]=ТОРМОЗ!$G$6:$G$64)*1)=0,"НЕТ","ОК")</f>
        <v>НЕТ</v>
      </c>
    </row>
    <row r="21" spans="1:9">
      <c r="A21" s="302">
        <f>ROW()-ROW(База[[#Headers],[№]])</f>
        <v>20</v>
      </c>
      <c r="B21" s="311" t="s">
        <v>352</v>
      </c>
      <c r="C21" s="399">
        <v>4493702820</v>
      </c>
      <c r="D21" s="378" t="s">
        <v>97</v>
      </c>
      <c r="E21" s="311"/>
      <c r="F2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21" s="312" t="str">
        <f>IF(База[[#This Row],[Тип]]=0,IF(SUMPRODUCT((База[[#This Row],[Артикул]]=Комплекты[Комплект])*1)=0,"НЕТ","ОК"),"ОК")</f>
        <v>ОК</v>
      </c>
      <c r="H21" s="312" t="str">
        <f>IF(SUMPRODUCT((База[[#This Row],[Артикул]]=ПНЕВМАТИКА!$G$6:$G$330)*1)=0,"НЕТ","ОК")</f>
        <v>ОК</v>
      </c>
      <c r="I21" s="312" t="str">
        <f>IF(SUMPRODUCT((База[[#This Row],[Артикул]]=ТОРМОЗ!$G$6:$G$64)*1)=0,"НЕТ","ОК")</f>
        <v>НЕТ</v>
      </c>
    </row>
    <row r="22" spans="1:9">
      <c r="A22" s="302">
        <f>ROW()-ROW(База[[#Headers],[№]])</f>
        <v>21</v>
      </c>
      <c r="B22" s="311" t="s">
        <v>352</v>
      </c>
      <c r="C22" s="399">
        <v>4493792810</v>
      </c>
      <c r="D22" s="378" t="s">
        <v>97</v>
      </c>
      <c r="E22" s="311"/>
      <c r="F2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22" s="312" t="str">
        <f>IF(База[[#This Row],[Тип]]=0,IF(SUMPRODUCT((База[[#This Row],[Артикул]]=Комплекты[Комплект])*1)=0,"НЕТ","ОК"),"ОК")</f>
        <v>ОК</v>
      </c>
      <c r="H22" s="312" t="str">
        <f>IF(SUMPRODUCT((База[[#This Row],[Артикул]]=ПНЕВМАТИКА!$G$6:$G$330)*1)=0,"НЕТ","ОК")</f>
        <v>ОК</v>
      </c>
      <c r="I22" s="312" t="str">
        <f>IF(SUMPRODUCT((База[[#This Row],[Артикул]]=ТОРМОЗ!$G$6:$G$64)*1)=0,"НЕТ","ОК")</f>
        <v>НЕТ</v>
      </c>
    </row>
    <row r="23" spans="1:9" ht="28.8">
      <c r="A23" s="302">
        <f>ROW()-ROW(База[[#Headers],[№]])</f>
        <v>22</v>
      </c>
      <c r="B23" s="311" t="s">
        <v>352</v>
      </c>
      <c r="C23" s="399">
        <v>4496161560</v>
      </c>
      <c r="D23" s="378" t="s">
        <v>103</v>
      </c>
      <c r="E23" s="311"/>
      <c r="F2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23" s="312" t="str">
        <f>IF(База[[#This Row],[Тип]]=0,IF(SUMPRODUCT((База[[#This Row],[Артикул]]=Комплекты[Комплект])*1)=0,"НЕТ","ОК"),"ОК")</f>
        <v>ОК</v>
      </c>
      <c r="H23" s="312" t="str">
        <f>IF(SUMPRODUCT((База[[#This Row],[Артикул]]=ПНЕВМАТИКА!$G$6:$G$330)*1)=0,"НЕТ","ОК")</f>
        <v>ОК</v>
      </c>
      <c r="I23" s="312" t="str">
        <f>IF(SUMPRODUCT((База[[#This Row],[Артикул]]=ТОРМОЗ!$G$6:$G$64)*1)=0,"НЕТ","ОК")</f>
        <v>НЕТ</v>
      </c>
    </row>
    <row r="24" spans="1:9">
      <c r="A24" s="302">
        <f>ROW()-ROW(База[[#Headers],[№]])</f>
        <v>23</v>
      </c>
      <c r="B24" s="311" t="s">
        <v>352</v>
      </c>
      <c r="C24" s="399">
        <v>4721950310</v>
      </c>
      <c r="D24" s="378" t="s">
        <v>102</v>
      </c>
      <c r="E24" s="311"/>
      <c r="F2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24" s="312" t="str">
        <f>IF(База[[#This Row],[Тип]]=0,IF(SUMPRODUCT((База[[#This Row],[Артикул]]=Комплекты[Комплект])*1)=0,"НЕТ","ОК"),"ОК")</f>
        <v>ОК</v>
      </c>
      <c r="H24" s="312" t="str">
        <f>IF(SUMPRODUCT((База[[#This Row],[Артикул]]=ПНЕВМАТИКА!$G$6:$G$330)*1)=0,"НЕТ","ОК")</f>
        <v>ОК</v>
      </c>
      <c r="I24" s="312" t="str">
        <f>IF(SUMPRODUCT((База[[#This Row],[Артикул]]=ТОРМОЗ!$G$6:$G$64)*1)=0,"НЕТ","ОК")</f>
        <v>НЕТ</v>
      </c>
    </row>
    <row r="25" spans="1:9">
      <c r="A25" s="302">
        <f>ROW()-ROW(База[[#Headers],[№]])</f>
        <v>24</v>
      </c>
      <c r="B25" s="311" t="s">
        <v>352</v>
      </c>
      <c r="C25" s="399">
        <v>4757145000</v>
      </c>
      <c r="D25" s="378" t="s">
        <v>94</v>
      </c>
      <c r="E25" s="311"/>
      <c r="F2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25" s="312" t="str">
        <f>IF(База[[#This Row],[Тип]]=0,IF(SUMPRODUCT((База[[#This Row],[Артикул]]=Комплекты[Комплект])*1)=0,"НЕТ","ОК"),"ОК")</f>
        <v>ОК</v>
      </c>
      <c r="H25" s="312" t="str">
        <f>IF(SUMPRODUCT((База[[#This Row],[Артикул]]=ПНЕВМАТИКА!$G$6:$G$330)*1)=0,"НЕТ","ОК")</f>
        <v>ОК</v>
      </c>
      <c r="I25" s="312" t="str">
        <f>IF(SUMPRODUCT((База[[#This Row],[Артикул]]=ТОРМОЗ!$G$6:$G$64)*1)=0,"НЕТ","ОК")</f>
        <v>НЕТ</v>
      </c>
    </row>
    <row r="26" spans="1:9">
      <c r="A26" s="302">
        <f>ROW()-ROW(База[[#Headers],[№]])</f>
        <v>25</v>
      </c>
      <c r="B26" s="311" t="s">
        <v>353</v>
      </c>
      <c r="C26" s="399">
        <v>4463003700</v>
      </c>
      <c r="D26" s="378" t="s">
        <v>162</v>
      </c>
      <c r="E26" s="311"/>
      <c r="F2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26" s="312" t="str">
        <f>IF(База[[#This Row],[Тип]]=0,IF(SUMPRODUCT((База[[#This Row],[Артикул]]=Комплекты[Комплект])*1)=0,"НЕТ","ОК"),"ОК")</f>
        <v>ОК</v>
      </c>
      <c r="H26" s="312" t="str">
        <f>IF(SUMPRODUCT((База[[#This Row],[Артикул]]=ПНЕВМАТИКА!$G$6:$G$330)*1)=0,"НЕТ","ОК")</f>
        <v>ОК</v>
      </c>
      <c r="I26" s="312" t="str">
        <f>IF(SUMPRODUCT((База[[#This Row],[Артикул]]=ТОРМОЗ!$G$6:$G$64)*1)=0,"НЕТ","ОК")</f>
        <v>НЕТ</v>
      </c>
    </row>
    <row r="27" spans="1:9">
      <c r="A27" s="302">
        <f>ROW()-ROW(База[[#Headers],[№]])</f>
        <v>26</v>
      </c>
      <c r="B27" s="311" t="s">
        <v>353</v>
      </c>
      <c r="C27" s="399" t="s">
        <v>160</v>
      </c>
      <c r="D27" s="378" t="s">
        <v>161</v>
      </c>
      <c r="E27" s="311"/>
      <c r="F2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27" s="312" t="str">
        <f>IF(База[[#This Row],[Тип]]=0,IF(SUMPRODUCT((База[[#This Row],[Артикул]]=Комплекты[Комплект])*1)=0,"НЕТ","ОК"),"ОК")</f>
        <v>ОК</v>
      </c>
      <c r="H27" s="312" t="str">
        <f>IF(SUMPRODUCT((База[[#This Row],[Артикул]]=ПНЕВМАТИКА!$G$6:$G$330)*1)=0,"НЕТ","ОК")</f>
        <v>ОК</v>
      </c>
      <c r="I27" s="312" t="str">
        <f>IF(SUMPRODUCT((База[[#This Row],[Артикул]]=ТОРМОЗ!$G$6:$G$64)*1)=0,"НЕТ","ОК")</f>
        <v>НЕТ</v>
      </c>
    </row>
    <row r="28" spans="1:9">
      <c r="A28" s="302">
        <f>ROW()-ROW(База[[#Headers],[№]])</f>
        <v>27</v>
      </c>
      <c r="B28" s="311" t="s">
        <v>354</v>
      </c>
      <c r="C28" s="399">
        <v>4410441020</v>
      </c>
      <c r="D28" s="378" t="s">
        <v>121</v>
      </c>
      <c r="E28" s="311"/>
      <c r="F2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28" s="312" t="str">
        <f>IF(База[[#This Row],[Тип]]=0,IF(SUMPRODUCT((База[[#This Row],[Артикул]]=Комплекты[Комплект])*1)=0,"НЕТ","ОК"),"ОК")</f>
        <v>ОК</v>
      </c>
      <c r="H28" s="312" t="str">
        <f>IF(SUMPRODUCT((База[[#This Row],[Артикул]]=ПНЕВМАТИКА!$G$6:$G$330)*1)=0,"НЕТ","ОК")</f>
        <v>ОК</v>
      </c>
      <c r="I28" s="312" t="str">
        <f>IF(SUMPRODUCT((База[[#This Row],[Артикул]]=ТОРМОЗ!$G$6:$G$64)*1)=0,"НЕТ","ОК")</f>
        <v>НЕТ</v>
      </c>
    </row>
    <row r="29" spans="1:9">
      <c r="A29" s="302">
        <f>ROW()-ROW(База[[#Headers],[№]])</f>
        <v>28</v>
      </c>
      <c r="B29" s="311" t="s">
        <v>354</v>
      </c>
      <c r="C29" s="399">
        <v>4460084042</v>
      </c>
      <c r="D29" s="378" t="s">
        <v>86</v>
      </c>
      <c r="E29" s="311"/>
      <c r="F2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29" s="312" t="str">
        <f>IF(База[[#This Row],[Тип]]=0,IF(SUMPRODUCT((База[[#This Row],[Артикул]]=Комплекты[Комплект])*1)=0,"НЕТ","ОК"),"ОК")</f>
        <v>ОК</v>
      </c>
      <c r="H29" s="312" t="str">
        <f>IF(SUMPRODUCT((База[[#This Row],[Артикул]]=ПНЕВМАТИКА!$G$6:$G$330)*1)=0,"НЕТ","ОК")</f>
        <v>ОК</v>
      </c>
      <c r="I29" s="312" t="str">
        <f>IF(SUMPRODUCT((База[[#This Row],[Артикул]]=ТОРМОЗ!$G$6:$G$64)*1)=0,"НЕТ","ОК")</f>
        <v>НЕТ</v>
      </c>
    </row>
    <row r="30" spans="1:9">
      <c r="A30" s="302">
        <f>ROW()-ROW(База[[#Headers],[№]])</f>
        <v>29</v>
      </c>
      <c r="B30" s="311" t="s">
        <v>354</v>
      </c>
      <c r="C30" s="399">
        <v>4461220530</v>
      </c>
      <c r="D30" s="378" t="s">
        <v>114</v>
      </c>
      <c r="E30" s="311"/>
      <c r="F3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30" s="312" t="str">
        <f>IF(База[[#This Row],[Тип]]=0,IF(SUMPRODUCT((База[[#This Row],[Артикул]]=Комплекты[Комплект])*1)=0,"НЕТ","ОК"),"ОК")</f>
        <v>ОК</v>
      </c>
      <c r="H30" s="312" t="str">
        <f>IF(SUMPRODUCT((База[[#This Row],[Артикул]]=ПНЕВМАТИКА!$G$6:$G$330)*1)=0,"НЕТ","ОК")</f>
        <v>ОК</v>
      </c>
      <c r="I30" s="312" t="str">
        <f>IF(SUMPRODUCT((База[[#This Row],[Артикул]]=ТОРМОЗ!$G$6:$G$64)*1)=0,"НЕТ","ОК")</f>
        <v>НЕТ</v>
      </c>
    </row>
    <row r="31" spans="1:9">
      <c r="A31" s="302">
        <f>ROW()-ROW(База[[#Headers],[№]])</f>
        <v>30</v>
      </c>
      <c r="B31" s="311" t="s">
        <v>354</v>
      </c>
      <c r="C31" s="399">
        <v>4462907000</v>
      </c>
      <c r="D31" s="435" t="s">
        <v>459</v>
      </c>
      <c r="E31" s="311"/>
      <c r="F3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31" s="312" t="str">
        <f>IF(База[[#This Row],[Тип]]=0,IF(SUMPRODUCT((База[[#This Row],[Артикул]]=Комплекты[Комплект])*1)=0,"НЕТ","ОК"),"ОК")</f>
        <v>ОК</v>
      </c>
      <c r="H31" s="312" t="str">
        <f>IF(SUMPRODUCT((База[[#This Row],[Артикул]]=ПНЕВМАТИКА!$G$6:$G$330)*1)=0,"НЕТ","ОК")</f>
        <v>ОК</v>
      </c>
      <c r="I31" s="312" t="str">
        <f>IF(SUMPRODUCT((База[[#This Row],[Артикул]]=ТОРМОЗ!$G$6:$G$64)*1)=0,"НЕТ","ОК")</f>
        <v>НЕТ</v>
      </c>
    </row>
    <row r="32" spans="1:9">
      <c r="A32" s="302">
        <f>ROW()-ROW(База[[#Headers],[№]])</f>
        <v>31</v>
      </c>
      <c r="B32" s="311" t="s">
        <v>354</v>
      </c>
      <c r="C32" s="399">
        <v>4491350250</v>
      </c>
      <c r="D32" s="378" t="s">
        <v>116</v>
      </c>
      <c r="E32" s="311"/>
      <c r="F3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32" s="312" t="str">
        <f>IF(База[[#This Row],[Тип]]=0,IF(SUMPRODUCT((База[[#This Row],[Артикул]]=Комплекты[Комплект])*1)=0,"НЕТ","ОК"),"ОК")</f>
        <v>ОК</v>
      </c>
      <c r="H32" s="312" t="str">
        <f>IF(SUMPRODUCT((База[[#This Row],[Артикул]]=ПНЕВМАТИКА!$G$6:$G$330)*1)=0,"НЕТ","ОК")</f>
        <v>НЕТ</v>
      </c>
      <c r="I32" s="312" t="str">
        <f>IF(SUMPRODUCT((База[[#This Row],[Артикул]]=ТОРМОЗ!$G$6:$G$64)*1)=0,"НЕТ","ОК")</f>
        <v>НЕТ</v>
      </c>
    </row>
    <row r="33" spans="1:9">
      <c r="A33" s="302">
        <f>ROW()-ROW(База[[#Headers],[№]])</f>
        <v>32</v>
      </c>
      <c r="B33" s="311" t="s">
        <v>354</v>
      </c>
      <c r="C33" s="399">
        <v>4491350600</v>
      </c>
      <c r="D33" s="378" t="s">
        <v>125</v>
      </c>
      <c r="E33" s="311"/>
      <c r="F3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33" s="312" t="str">
        <f>IF(База[[#This Row],[Тип]]=0,IF(SUMPRODUCT((База[[#This Row],[Артикул]]=Комплекты[Комплект])*1)=0,"НЕТ","ОК"),"ОК")</f>
        <v>ОК</v>
      </c>
      <c r="H33" s="312" t="str">
        <f>IF(SUMPRODUCT((База[[#This Row],[Артикул]]=ПНЕВМАТИКА!$G$6:$G$330)*1)=0,"НЕТ","ОК")</f>
        <v>ОК</v>
      </c>
      <c r="I33" s="312" t="str">
        <f>IF(SUMPRODUCT((База[[#This Row],[Артикул]]=ТОРМОЗ!$G$6:$G$64)*1)=0,"НЕТ","ОК")</f>
        <v>НЕТ</v>
      </c>
    </row>
    <row r="34" spans="1:9">
      <c r="A34" s="302">
        <f>ROW()-ROW(База[[#Headers],[№]])</f>
        <v>33</v>
      </c>
      <c r="B34" s="311" t="s">
        <v>354</v>
      </c>
      <c r="C34" s="399">
        <v>4491351400</v>
      </c>
      <c r="D34" s="378" t="s">
        <v>117</v>
      </c>
      <c r="E34" s="311"/>
      <c r="F3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34" s="312" t="str">
        <f>IF(База[[#This Row],[Тип]]=0,IF(SUMPRODUCT((База[[#This Row],[Артикул]]=Комплекты[Комплект])*1)=0,"НЕТ","ОК"),"ОК")</f>
        <v>ОК</v>
      </c>
      <c r="H34" s="312" t="str">
        <f>IF(SUMPRODUCT((База[[#This Row],[Артикул]]=ПНЕВМАТИКА!$G$6:$G$330)*1)=0,"НЕТ","ОК")</f>
        <v>НЕТ</v>
      </c>
      <c r="I34" s="312" t="str">
        <f>IF(SUMPRODUCT((База[[#This Row],[Артикул]]=ТОРМОЗ!$G$6:$G$64)*1)=0,"НЕТ","ОК")</f>
        <v>НЕТ</v>
      </c>
    </row>
    <row r="35" spans="1:9">
      <c r="A35" s="302">
        <f>ROW()-ROW(База[[#Headers],[№]])</f>
        <v>34</v>
      </c>
      <c r="B35" s="311" t="s">
        <v>354</v>
      </c>
      <c r="C35" s="399">
        <v>4491731200</v>
      </c>
      <c r="D35" s="378" t="s">
        <v>83</v>
      </c>
      <c r="E35" s="311"/>
      <c r="F3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35" s="312" t="str">
        <f>IF(База[[#This Row],[Тип]]=0,IF(SUMPRODUCT((База[[#This Row],[Артикул]]=Комплекты[Комплект])*1)=0,"НЕТ","ОК"),"ОК")</f>
        <v>ОК</v>
      </c>
      <c r="H35" s="312" t="str">
        <f>IF(SUMPRODUCT((База[[#This Row],[Артикул]]=ПНЕВМАТИКА!$G$6:$G$330)*1)=0,"НЕТ","ОК")</f>
        <v>ОК</v>
      </c>
      <c r="I35" s="312" t="str">
        <f>IF(SUMPRODUCT((База[[#This Row],[Артикул]]=ТОРМОЗ!$G$6:$G$64)*1)=0,"НЕТ","ОК")</f>
        <v>НЕТ</v>
      </c>
    </row>
    <row r="36" spans="1:9">
      <c r="A36" s="302">
        <f>ROW()-ROW(База[[#Headers],[№]])</f>
        <v>35</v>
      </c>
      <c r="B36" s="311" t="s">
        <v>354</v>
      </c>
      <c r="C36" s="399">
        <v>4491731500</v>
      </c>
      <c r="D36" s="378" t="s">
        <v>77</v>
      </c>
      <c r="E36" s="311"/>
      <c r="F3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36" s="312" t="str">
        <f>IF(База[[#This Row],[Тип]]=0,IF(SUMPRODUCT((База[[#This Row],[Артикул]]=Комплекты[Комплект])*1)=0,"НЕТ","ОК"),"ОК")</f>
        <v>ОК</v>
      </c>
      <c r="H36" s="312" t="str">
        <f>IF(SUMPRODUCT((База[[#This Row],[Артикул]]=ПНЕВМАТИКА!$G$6:$G$330)*1)=0,"НЕТ","ОК")</f>
        <v>ОК</v>
      </c>
      <c r="I36" s="312" t="str">
        <f>IF(SUMPRODUCT((База[[#This Row],[Артикул]]=ТОРМОЗ!$G$6:$G$64)*1)=0,"НЕТ","ОК")</f>
        <v>НЕТ</v>
      </c>
    </row>
    <row r="37" spans="1:9">
      <c r="A37" s="302">
        <f>ROW()-ROW(База[[#Headers],[№]])</f>
        <v>36</v>
      </c>
      <c r="B37" s="311" t="s">
        <v>354</v>
      </c>
      <c r="C37" s="399">
        <v>4491731800</v>
      </c>
      <c r="D37" s="378" t="s">
        <v>85</v>
      </c>
      <c r="E37" s="311"/>
      <c r="F3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37" s="312" t="str">
        <f>IF(База[[#This Row],[Тип]]=0,IF(SUMPRODUCT((База[[#This Row],[Артикул]]=Комплекты[Комплект])*1)=0,"НЕТ","ОК"),"ОК")</f>
        <v>ОК</v>
      </c>
      <c r="H37" s="312" t="str">
        <f>IF(SUMPRODUCT((База[[#This Row],[Артикул]]=ПНЕВМАТИКА!$G$6:$G$330)*1)=0,"НЕТ","ОК")</f>
        <v>НЕТ</v>
      </c>
      <c r="I37" s="312" t="str">
        <f>IF(SUMPRODUCT((База[[#This Row],[Артикул]]=ТОРМОЗ!$G$6:$G$64)*1)=0,"НЕТ","ОК")</f>
        <v>НЕТ</v>
      </c>
    </row>
    <row r="38" spans="1:9">
      <c r="A38" s="302">
        <f>ROW()-ROW(База[[#Headers],[№]])</f>
        <v>37</v>
      </c>
      <c r="B38" s="311" t="s">
        <v>354</v>
      </c>
      <c r="C38" s="399">
        <v>4492331400</v>
      </c>
      <c r="D38" s="378" t="s">
        <v>117</v>
      </c>
      <c r="E38" s="311"/>
      <c r="F3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38" s="312" t="str">
        <f>IF(База[[#This Row],[Тип]]=0,IF(SUMPRODUCT((База[[#This Row],[Артикул]]=Комплекты[Комплект])*1)=0,"НЕТ","ОК"),"ОК")</f>
        <v>ОК</v>
      </c>
      <c r="H38" s="312" t="str">
        <f>IF(SUMPRODUCT((База[[#This Row],[Артикул]]=ПНЕВМАТИКА!$G$6:$G$330)*1)=0,"НЕТ","ОК")</f>
        <v>НЕТ</v>
      </c>
      <c r="I38" s="312" t="str">
        <f>IF(SUMPRODUCT((База[[#This Row],[Артикул]]=ТОРМОЗ!$G$6:$G$64)*1)=0,"НЕТ","ОК")</f>
        <v>НЕТ</v>
      </c>
    </row>
    <row r="39" spans="1:9">
      <c r="A39" s="302">
        <f>ROW()-ROW(База[[#Headers],[№]])</f>
        <v>38</v>
      </c>
      <c r="B39" s="311" t="s">
        <v>354</v>
      </c>
      <c r="C39" s="399">
        <v>4492331800</v>
      </c>
      <c r="D39" s="378" t="s">
        <v>118</v>
      </c>
      <c r="E39" s="311"/>
      <c r="F3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39" s="312" t="str">
        <f>IF(База[[#This Row],[Тип]]=0,IF(SUMPRODUCT((База[[#This Row],[Артикул]]=Комплекты[Комплект])*1)=0,"НЕТ","ОК"),"ОК")</f>
        <v>ОК</v>
      </c>
      <c r="H39" s="312" t="str">
        <f>IF(SUMPRODUCT((База[[#This Row],[Артикул]]=ПНЕВМАТИКА!$G$6:$G$330)*1)=0,"НЕТ","ОК")</f>
        <v>НЕТ</v>
      </c>
      <c r="I39" s="312" t="str">
        <f>IF(SUMPRODUCT((База[[#This Row],[Артикул]]=ТОРМОЗ!$G$6:$G$64)*1)=0,"НЕТ","ОК")</f>
        <v>НЕТ</v>
      </c>
    </row>
    <row r="40" spans="1:9">
      <c r="A40" s="302">
        <f>ROW()-ROW(База[[#Headers],[№]])</f>
        <v>39</v>
      </c>
      <c r="B40" s="311" t="s">
        <v>354</v>
      </c>
      <c r="C40" s="399">
        <v>4492731200</v>
      </c>
      <c r="D40" s="378" t="s">
        <v>159</v>
      </c>
      <c r="E40" s="311"/>
      <c r="F4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40" s="312" t="str">
        <f>IF(База[[#This Row],[Тип]]=0,IF(SUMPRODUCT((База[[#This Row],[Артикул]]=Комплекты[Комплект])*1)=0,"НЕТ","ОК"),"ОК")</f>
        <v>ОК</v>
      </c>
      <c r="H40" s="312" t="str">
        <f>IF(SUMPRODUCT((База[[#This Row],[Артикул]]=ПНЕВМАТИКА!$G$6:$G$330)*1)=0,"НЕТ","ОК")</f>
        <v>НЕТ</v>
      </c>
      <c r="I40" s="312" t="str">
        <f>IF(SUMPRODUCT((База[[#This Row],[Артикул]]=ТОРМОЗ!$G$6:$G$64)*1)=0,"НЕТ","ОК")</f>
        <v>НЕТ</v>
      </c>
    </row>
    <row r="41" spans="1:9">
      <c r="A41" s="302">
        <f>ROW()-ROW(База[[#Headers],[№]])</f>
        <v>40</v>
      </c>
      <c r="B41" s="311" t="s">
        <v>354</v>
      </c>
      <c r="C41" s="399">
        <v>4493470800</v>
      </c>
      <c r="D41" s="378" t="s">
        <v>119</v>
      </c>
      <c r="E41" s="311"/>
      <c r="F4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41" s="312" t="str">
        <f>IF(База[[#This Row],[Тип]]=0,IF(SUMPRODUCT((База[[#This Row],[Артикул]]=Комплекты[Комплект])*1)=0,"НЕТ","ОК"),"ОК")</f>
        <v>ОК</v>
      </c>
      <c r="H41" s="312" t="str">
        <f>IF(SUMPRODUCT((База[[#This Row],[Артикул]]=ПНЕВМАТИКА!$G$6:$G$330)*1)=0,"НЕТ","ОК")</f>
        <v>ОК</v>
      </c>
      <c r="I41" s="312" t="str">
        <f>IF(SUMPRODUCT((База[[#This Row],[Артикул]]=ТОРМОЗ!$G$6:$G$64)*1)=0,"НЕТ","ОК")</f>
        <v>НЕТ</v>
      </c>
    </row>
    <row r="42" spans="1:9">
      <c r="A42" s="302">
        <f>ROW()-ROW(База[[#Headers],[№]])</f>
        <v>41</v>
      </c>
      <c r="B42" s="311" t="s">
        <v>354</v>
      </c>
      <c r="C42" s="399">
        <v>4493711800</v>
      </c>
      <c r="D42" s="378" t="s">
        <v>85</v>
      </c>
      <c r="E42" s="311"/>
      <c r="F4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42" s="312" t="str">
        <f>IF(База[[#This Row],[Тип]]=0,IF(SUMPRODUCT((База[[#This Row],[Артикул]]=Комплекты[Комплект])*1)=0,"НЕТ","ОК"),"ОК")</f>
        <v>ОК</v>
      </c>
      <c r="H42" s="312" t="str">
        <f>IF(SUMPRODUCT((База[[#This Row],[Артикул]]=ПНЕВМАТИКА!$G$6:$G$330)*1)=0,"НЕТ","ОК")</f>
        <v>ОК</v>
      </c>
      <c r="I42" s="312" t="str">
        <f>IF(SUMPRODUCT((База[[#This Row],[Артикул]]=ТОРМОЗ!$G$6:$G$64)*1)=0,"НЕТ","ОК")</f>
        <v>НЕТ</v>
      </c>
    </row>
    <row r="43" spans="1:9">
      <c r="A43" s="302">
        <f>ROW()-ROW(База[[#Headers],[№]])</f>
        <v>42</v>
      </c>
      <c r="B43" s="311" t="s">
        <v>354</v>
      </c>
      <c r="C43" s="399">
        <v>4494250300</v>
      </c>
      <c r="D43" s="378" t="s">
        <v>120</v>
      </c>
      <c r="E43" s="311"/>
      <c r="F4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43" s="312" t="str">
        <f>IF(База[[#This Row],[Тип]]=0,IF(SUMPRODUCT((База[[#This Row],[Артикул]]=Комплекты[Комплект])*1)=0,"НЕТ","ОК"),"ОК")</f>
        <v>ОК</v>
      </c>
      <c r="H43" s="312" t="str">
        <f>IF(SUMPRODUCT((База[[#This Row],[Артикул]]=ПНЕВМАТИКА!$G$6:$G$330)*1)=0,"НЕТ","ОК")</f>
        <v>НЕТ</v>
      </c>
      <c r="I43" s="312" t="str">
        <f>IF(SUMPRODUCT((База[[#This Row],[Артикул]]=ТОРМОЗ!$G$6:$G$64)*1)=0,"НЕТ","ОК")</f>
        <v>НЕТ</v>
      </c>
    </row>
    <row r="44" spans="1:9">
      <c r="A44" s="302">
        <f>ROW()-ROW(База[[#Headers],[№]])</f>
        <v>43</v>
      </c>
      <c r="B44" s="311" t="s">
        <v>354</v>
      </c>
      <c r="C44" s="399">
        <v>4494250600</v>
      </c>
      <c r="D44" s="378" t="s">
        <v>127</v>
      </c>
      <c r="E44" s="311"/>
      <c r="F4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44" s="312" t="str">
        <f>IF(База[[#This Row],[Тип]]=0,IF(SUMPRODUCT((База[[#This Row],[Артикул]]=Комплекты[Комплект])*1)=0,"НЕТ","ОК"),"ОК")</f>
        <v>ОК</v>
      </c>
      <c r="H44" s="312" t="str">
        <f>IF(SUMPRODUCT((База[[#This Row],[Артикул]]=ПНЕВМАТИКА!$G$6:$G$330)*1)=0,"НЕТ","ОК")</f>
        <v>ОК</v>
      </c>
      <c r="I44" s="312" t="str">
        <f>IF(SUMPRODUCT((База[[#This Row],[Артикул]]=ТОРМОЗ!$G$6:$G$64)*1)=0,"НЕТ","ОК")</f>
        <v>НЕТ</v>
      </c>
    </row>
    <row r="45" spans="1:9">
      <c r="A45" s="302">
        <f>ROW()-ROW(База[[#Headers],[№]])</f>
        <v>44</v>
      </c>
      <c r="B45" s="311" t="s">
        <v>354</v>
      </c>
      <c r="C45" s="399">
        <v>4494290100</v>
      </c>
      <c r="D45" s="378" t="s">
        <v>355</v>
      </c>
      <c r="E45" s="311"/>
      <c r="F4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45" s="312" t="str">
        <f>IF(База[[#This Row],[Тип]]=0,IF(SUMPRODUCT((База[[#This Row],[Артикул]]=Комплекты[Комплект])*1)=0,"НЕТ","ОК"),"ОК")</f>
        <v>ОК</v>
      </c>
      <c r="H45" s="312" t="str">
        <f>IF(SUMPRODUCT((База[[#This Row],[Артикул]]=ПНЕВМАТИКА!$G$6:$G$330)*1)=0,"НЕТ","ОК")</f>
        <v>НЕТ</v>
      </c>
      <c r="I45" s="312" t="str">
        <f>IF(SUMPRODUCT((База[[#This Row],[Артикул]]=ТОРМОЗ!$G$6:$G$64)*1)=0,"НЕТ","ОК")</f>
        <v>НЕТ</v>
      </c>
    </row>
    <row r="46" spans="1:9">
      <c r="A46" s="302">
        <f>ROW()-ROW(База[[#Headers],[№]])</f>
        <v>45</v>
      </c>
      <c r="B46" s="311" t="s">
        <v>354</v>
      </c>
      <c r="C46" s="399">
        <v>4494290800</v>
      </c>
      <c r="D46" s="378" t="s">
        <v>113</v>
      </c>
      <c r="E46" s="311"/>
      <c r="F4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46" s="312" t="str">
        <f>IF(База[[#This Row],[Тип]]=0,IF(SUMPRODUCT((База[[#This Row],[Артикул]]=Комплекты[Комплект])*1)=0,"НЕТ","ОК"),"ОК")</f>
        <v>ОК</v>
      </c>
      <c r="H46" s="312" t="str">
        <f>IF(SUMPRODUCT((База[[#This Row],[Артикул]]=ПНЕВМАТИКА!$G$6:$G$330)*1)=0,"НЕТ","ОК")</f>
        <v>НЕТ</v>
      </c>
      <c r="I46" s="312" t="str">
        <f>IF(SUMPRODUCT((База[[#This Row],[Артикул]]=ТОРМОЗ!$G$6:$G$64)*1)=0,"НЕТ","ОК")</f>
        <v>НЕТ</v>
      </c>
    </row>
    <row r="47" spans="1:9">
      <c r="A47" s="302">
        <f>ROW()-ROW(База[[#Headers],[№]])</f>
        <v>46</v>
      </c>
      <c r="B47" s="311" t="s">
        <v>354</v>
      </c>
      <c r="C47" s="399">
        <v>4494291300</v>
      </c>
      <c r="D47" s="378" t="s">
        <v>122</v>
      </c>
      <c r="E47" s="311"/>
      <c r="F4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47" s="312" t="str">
        <f>IF(База[[#This Row],[Тип]]=0,IF(SUMPRODUCT((База[[#This Row],[Артикул]]=Комплекты[Комплект])*1)=0,"НЕТ","ОК"),"ОК")</f>
        <v>ОК</v>
      </c>
      <c r="H47" s="312" t="str">
        <f>IF(SUMPRODUCT((База[[#This Row],[Артикул]]=ПНЕВМАТИКА!$G$6:$G$330)*1)=0,"НЕТ","ОК")</f>
        <v>НЕТ</v>
      </c>
      <c r="I47" s="312" t="str">
        <f>IF(SUMPRODUCT((База[[#This Row],[Артикул]]=ТОРМОЗ!$G$6:$G$64)*1)=0,"НЕТ","ОК")</f>
        <v>НЕТ</v>
      </c>
    </row>
    <row r="48" spans="1:9">
      <c r="A48" s="302">
        <f>ROW()-ROW(База[[#Headers],[№]])</f>
        <v>47</v>
      </c>
      <c r="B48" s="311" t="s">
        <v>354</v>
      </c>
      <c r="C48" s="399">
        <v>4494300600</v>
      </c>
      <c r="D48" s="435" t="s">
        <v>418</v>
      </c>
      <c r="E48" s="311"/>
      <c r="F4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48" s="312" t="str">
        <f>IF(База[[#This Row],[Тип]]=0,IF(SUMPRODUCT((База[[#This Row],[Артикул]]=Комплекты[Комплект])*1)=0,"НЕТ","ОК"),"ОК")</f>
        <v>ОК</v>
      </c>
      <c r="H48" s="312" t="str">
        <f>IF(SUMPRODUCT((База[[#This Row],[Артикул]]=ПНЕВМАТИКА!$G$6:$G$330)*1)=0,"НЕТ","ОК")</f>
        <v>ОК</v>
      </c>
      <c r="I48" s="312" t="str">
        <f>IF(SUMPRODUCT((База[[#This Row],[Артикул]]=ТОРМОЗ!$G$6:$G$64)*1)=0,"НЕТ","ОК")</f>
        <v>НЕТ</v>
      </c>
    </row>
    <row r="49" spans="1:9">
      <c r="A49" s="302">
        <f>ROW()-ROW(База[[#Headers],[№]])</f>
        <v>48</v>
      </c>
      <c r="B49" s="311" t="s">
        <v>354</v>
      </c>
      <c r="C49" s="399">
        <v>4494301200</v>
      </c>
      <c r="D49" s="435" t="s">
        <v>419</v>
      </c>
      <c r="E49" s="311"/>
      <c r="F4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49" s="312" t="str">
        <f>IF(База[[#This Row],[Тип]]=0,IF(SUMPRODUCT((База[[#This Row],[Артикул]]=Комплекты[Комплект])*1)=0,"НЕТ","ОК"),"ОК")</f>
        <v>ОК</v>
      </c>
      <c r="H49" s="312" t="str">
        <f>IF(SUMPRODUCT((База[[#This Row],[Артикул]]=ПНЕВМАТИКА!$G$6:$G$330)*1)=0,"НЕТ","ОК")</f>
        <v>НЕТ</v>
      </c>
      <c r="I49" s="312" t="str">
        <f>IF(SUMPRODUCT((База[[#This Row],[Артикул]]=ТОРМОЗ!$G$6:$G$64)*1)=0,"НЕТ","ОК")</f>
        <v>НЕТ</v>
      </c>
    </row>
    <row r="50" spans="1:9">
      <c r="A50" s="302">
        <f>ROW()-ROW(База[[#Headers],[№]])</f>
        <v>49</v>
      </c>
      <c r="B50" s="311" t="s">
        <v>354</v>
      </c>
      <c r="C50" s="399">
        <v>4494430400</v>
      </c>
      <c r="D50" s="378" t="s">
        <v>150</v>
      </c>
      <c r="E50" s="311"/>
      <c r="F5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50" s="312" t="str">
        <f>IF(База[[#This Row],[Тип]]=0,IF(SUMPRODUCT((База[[#This Row],[Артикул]]=Комплекты[Комплект])*1)=0,"НЕТ","ОК"),"ОК")</f>
        <v>ОК</v>
      </c>
      <c r="H50" s="312" t="str">
        <f>IF(SUMPRODUCT((База[[#This Row],[Артикул]]=ПНЕВМАТИКА!$G$6:$G$330)*1)=0,"НЕТ","ОК")</f>
        <v>ОК</v>
      </c>
      <c r="I50" s="312" t="str">
        <f>IF(SUMPRODUCT((База[[#This Row],[Артикул]]=ТОРМОЗ!$G$6:$G$64)*1)=0,"НЕТ","ОК")</f>
        <v>НЕТ</v>
      </c>
    </row>
    <row r="51" spans="1:9">
      <c r="A51" s="302">
        <f>ROW()-ROW(База[[#Headers],[№]])</f>
        <v>50</v>
      </c>
      <c r="B51" s="311" t="s">
        <v>354</v>
      </c>
      <c r="C51" s="399">
        <v>4494430600</v>
      </c>
      <c r="D51" s="378" t="s">
        <v>136</v>
      </c>
      <c r="E51" s="311"/>
      <c r="F5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51" s="312" t="str">
        <f>IF(База[[#This Row],[Тип]]=0,IF(SUMPRODUCT((База[[#This Row],[Артикул]]=Комплекты[Комплект])*1)=0,"НЕТ","ОК"),"ОК")</f>
        <v>ОК</v>
      </c>
      <c r="H51" s="312" t="str">
        <f>IF(SUMPRODUCT((База[[#This Row],[Артикул]]=ПНЕВМАТИКА!$G$6:$G$330)*1)=0,"НЕТ","ОК")</f>
        <v>ОК</v>
      </c>
      <c r="I51" s="312" t="str">
        <f>IF(SUMPRODUCT((База[[#This Row],[Артикул]]=ТОРМОЗ!$G$6:$G$64)*1)=0,"НЕТ","ОК")</f>
        <v>НЕТ</v>
      </c>
    </row>
    <row r="52" spans="1:9">
      <c r="A52" s="302">
        <f>ROW()-ROW(База[[#Headers],[№]])</f>
        <v>51</v>
      </c>
      <c r="B52" s="311" t="s">
        <v>354</v>
      </c>
      <c r="C52" s="399">
        <v>4495351500</v>
      </c>
      <c r="D52" s="378" t="s">
        <v>158</v>
      </c>
      <c r="E52" s="311"/>
      <c r="F5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52" s="312" t="str">
        <f>IF(База[[#This Row],[Тип]]=0,IF(SUMPRODUCT((База[[#This Row],[Артикул]]=Комплекты[Комплект])*1)=0,"НЕТ","ОК"),"ОК")</f>
        <v>ОК</v>
      </c>
      <c r="H52" s="312" t="str">
        <f>IF(SUMPRODUCT((База[[#This Row],[Артикул]]=ПНЕВМАТИКА!$G$6:$G$330)*1)=0,"НЕТ","ОК")</f>
        <v>НЕТ</v>
      </c>
      <c r="I52" s="312" t="str">
        <f>IF(SUMPRODUCT((База[[#This Row],[Артикул]]=ТОРМОЗ!$G$6:$G$64)*1)=0,"НЕТ","ОК")</f>
        <v>НЕТ</v>
      </c>
    </row>
    <row r="53" spans="1:9">
      <c r="A53" s="302">
        <f>ROW()-ROW(База[[#Headers],[№]])</f>
        <v>52</v>
      </c>
      <c r="B53" s="311" t="s">
        <v>354</v>
      </c>
      <c r="C53" s="399">
        <v>4497230300</v>
      </c>
      <c r="D53" s="378" t="s">
        <v>108</v>
      </c>
      <c r="E53" s="311"/>
      <c r="F5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53" s="312" t="str">
        <f>IF(База[[#This Row],[Тип]]=0,IF(SUMPRODUCT((База[[#This Row],[Артикул]]=Комплекты[Комплект])*1)=0,"НЕТ","ОК"),"ОК")</f>
        <v>ОК</v>
      </c>
      <c r="H53" s="312" t="str">
        <f>IF(SUMPRODUCT((База[[#This Row],[Артикул]]=ПНЕВМАТИКА!$G$6:$G$330)*1)=0,"НЕТ","ОК")</f>
        <v>ОК</v>
      </c>
      <c r="I53" s="312" t="str">
        <f>IF(SUMPRODUCT((База[[#This Row],[Артикул]]=ТОРМОЗ!$G$6:$G$64)*1)=0,"НЕТ","ОК")</f>
        <v>НЕТ</v>
      </c>
    </row>
    <row r="54" spans="1:9">
      <c r="A54" s="302">
        <f>ROW()-ROW(База[[#Headers],[№]])</f>
        <v>53</v>
      </c>
      <c r="B54" s="311" t="s">
        <v>354</v>
      </c>
      <c r="C54" s="399">
        <v>4497230400</v>
      </c>
      <c r="D54" s="378" t="s">
        <v>356</v>
      </c>
      <c r="E54" s="311"/>
      <c r="F5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54" s="312" t="str">
        <f>IF(База[[#This Row],[Тип]]=0,IF(SUMPRODUCT((База[[#This Row],[Артикул]]=Комплекты[Комплект])*1)=0,"НЕТ","ОК"),"ОК")</f>
        <v>ОК</v>
      </c>
      <c r="H54" s="312" t="str">
        <f>IF(SUMPRODUCT((База[[#This Row],[Артикул]]=ПНЕВМАТИКА!$G$6:$G$330)*1)=0,"НЕТ","ОК")</f>
        <v>НЕТ</v>
      </c>
      <c r="I54" s="312" t="str">
        <f>IF(SUMPRODUCT((База[[#This Row],[Артикул]]=ТОРМОЗ!$G$6:$G$64)*1)=0,"НЕТ","ОК")</f>
        <v>НЕТ</v>
      </c>
    </row>
    <row r="55" spans="1:9">
      <c r="A55" s="302">
        <f>ROW()-ROW(База[[#Headers],[№]])</f>
        <v>54</v>
      </c>
      <c r="B55" s="311" t="s">
        <v>354</v>
      </c>
      <c r="C55" s="399">
        <v>4497230500</v>
      </c>
      <c r="D55" s="378" t="s">
        <v>357</v>
      </c>
      <c r="E55" s="311"/>
      <c r="F5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55" s="312" t="str">
        <f>IF(База[[#This Row],[Тип]]=0,IF(SUMPRODUCT((База[[#This Row],[Артикул]]=Комплекты[Комплект])*1)=0,"НЕТ","ОК"),"ОК")</f>
        <v>ОК</v>
      </c>
      <c r="H55" s="312" t="str">
        <f>IF(SUMPRODUCT((База[[#This Row],[Артикул]]=ПНЕВМАТИКА!$G$6:$G$330)*1)=0,"НЕТ","ОК")</f>
        <v>ОК</v>
      </c>
      <c r="I55" s="312" t="str">
        <f>IF(SUMPRODUCT((База[[#This Row],[Артикул]]=ТОРМОЗ!$G$6:$G$64)*1)=0,"НЕТ","ОК")</f>
        <v>НЕТ</v>
      </c>
    </row>
    <row r="56" spans="1:9">
      <c r="A56" s="302">
        <f>ROW()-ROW(База[[#Headers],[№]])</f>
        <v>55</v>
      </c>
      <c r="B56" s="311" t="s">
        <v>354</v>
      </c>
      <c r="C56" s="399">
        <v>4497230800</v>
      </c>
      <c r="D56" s="378" t="s">
        <v>141</v>
      </c>
      <c r="E56" s="311"/>
      <c r="F5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56" s="312" t="str">
        <f>IF(База[[#This Row],[Тип]]=0,IF(SUMPRODUCT((База[[#This Row],[Артикул]]=Комплекты[Комплект])*1)=0,"НЕТ","ОК"),"ОК")</f>
        <v>ОК</v>
      </c>
      <c r="H56" s="312" t="str">
        <f>IF(SUMPRODUCT((База[[#This Row],[Артикул]]=ПНЕВМАТИКА!$G$6:$G$330)*1)=0,"НЕТ","ОК")</f>
        <v>ОК</v>
      </c>
      <c r="I56" s="312" t="str">
        <f>IF(SUMPRODUCT((База[[#This Row],[Артикул]]=ТОРМОЗ!$G$6:$G$64)*1)=0,"НЕТ","ОК")</f>
        <v>НЕТ</v>
      </c>
    </row>
    <row r="57" spans="1:9">
      <c r="A57" s="302">
        <f>ROW()-ROW(База[[#Headers],[№]])</f>
        <v>56</v>
      </c>
      <c r="B57" s="311" t="s">
        <v>354</v>
      </c>
      <c r="C57" s="399">
        <v>4498120300</v>
      </c>
      <c r="D57" s="378" t="s">
        <v>120</v>
      </c>
      <c r="E57" s="311"/>
      <c r="F5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57" s="312" t="str">
        <f>IF(База[[#This Row],[Тип]]=0,IF(SUMPRODUCT((База[[#This Row],[Артикул]]=Комплекты[Комплект])*1)=0,"НЕТ","ОК"),"ОК")</f>
        <v>ОК</v>
      </c>
      <c r="H57" s="312" t="str">
        <f>IF(SUMPRODUCT((База[[#This Row],[Артикул]]=ПНЕВМАТИКА!$G$6:$G$330)*1)=0,"НЕТ","ОК")</f>
        <v>НЕТ</v>
      </c>
      <c r="I57" s="312" t="str">
        <f>IF(SUMPRODUCT((База[[#This Row],[Артикул]]=ТОРМОЗ!$G$6:$G$64)*1)=0,"НЕТ","ОК")</f>
        <v>НЕТ</v>
      </c>
    </row>
    <row r="58" spans="1:9">
      <c r="A58" s="302">
        <f>ROW()-ROW(База[[#Headers],[№]])</f>
        <v>57</v>
      </c>
      <c r="B58" s="311" t="s">
        <v>354</v>
      </c>
      <c r="C58" s="399">
        <v>4498121800</v>
      </c>
      <c r="D58" s="378" t="s">
        <v>128</v>
      </c>
      <c r="E58" s="311"/>
      <c r="F5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58" s="312" t="str">
        <f>IF(База[[#This Row],[Тип]]=0,IF(SUMPRODUCT((База[[#This Row],[Артикул]]=Комплекты[Комплект])*1)=0,"НЕТ","ОК"),"ОК")</f>
        <v>ОК</v>
      </c>
      <c r="H58" s="312" t="str">
        <f>IF(SUMPRODUCT((База[[#This Row],[Артикул]]=ПНЕВМАТИКА!$G$6:$G$330)*1)=0,"НЕТ","ОК")</f>
        <v>НЕТ</v>
      </c>
      <c r="I58" s="312" t="str">
        <f>IF(SUMPRODUCT((База[[#This Row],[Артикул]]=ТОРМОЗ!$G$6:$G$64)*1)=0,"НЕТ","ОК")</f>
        <v>НЕТ</v>
      </c>
    </row>
    <row r="59" spans="1:9">
      <c r="A59" s="302">
        <f>ROW()-ROW(База[[#Headers],[№]])</f>
        <v>58</v>
      </c>
      <c r="B59" s="311" t="s">
        <v>354</v>
      </c>
      <c r="C59" s="399">
        <v>4499271200</v>
      </c>
      <c r="D59" s="435" t="s">
        <v>460</v>
      </c>
      <c r="E59" s="311"/>
      <c r="F5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59" s="312" t="str">
        <f>IF(База[[#This Row],[Тип]]=0,IF(SUMPRODUCT((База[[#This Row],[Артикул]]=Комплекты[Комплект])*1)=0,"НЕТ","ОК"),"ОК")</f>
        <v>ОК</v>
      </c>
      <c r="H59" s="312" t="str">
        <f>IF(SUMPRODUCT((База[[#This Row],[Артикул]]=ПНЕВМАТИКА!$G$6:$G$330)*1)=0,"НЕТ","ОК")</f>
        <v>ОК</v>
      </c>
      <c r="I59" s="312" t="str">
        <f>IF(SUMPRODUCT((База[[#This Row],[Артикул]]=ТОРМОЗ!$G$6:$G$64)*1)=0,"НЕТ","ОК")</f>
        <v>НЕТ</v>
      </c>
    </row>
    <row r="60" spans="1:9">
      <c r="A60" s="302">
        <f>ROW()-ROW(База[[#Headers],[№]])</f>
        <v>59</v>
      </c>
      <c r="B60" s="311" t="s">
        <v>354</v>
      </c>
      <c r="C60" s="399">
        <v>4615130020</v>
      </c>
      <c r="D60" s="378" t="s">
        <v>145</v>
      </c>
      <c r="E60" s="311"/>
      <c r="F6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60" s="312" t="str">
        <f>IF(База[[#This Row],[Тип]]=0,IF(SUMPRODUCT((База[[#This Row],[Артикул]]=Комплекты[Комплект])*1)=0,"НЕТ","ОК"),"ОК")</f>
        <v>ОК</v>
      </c>
      <c r="H60" s="312" t="str">
        <f>IF(SUMPRODUCT((База[[#This Row],[Артикул]]=ПНЕВМАТИКА!$G$6:$G$330)*1)=0,"НЕТ","ОК")</f>
        <v>НЕТ</v>
      </c>
      <c r="I60" s="312" t="str">
        <f>IF(SUMPRODUCT((База[[#This Row],[Артикул]]=ТОРМОЗ!$G$6:$G$64)*1)=0,"НЕТ","ОК")</f>
        <v>НЕТ</v>
      </c>
    </row>
    <row r="61" spans="1:9">
      <c r="A61" s="302">
        <f>ROW()-ROW(База[[#Headers],[№]])</f>
        <v>60</v>
      </c>
      <c r="B61" s="311" t="s">
        <v>354</v>
      </c>
      <c r="C61" s="399">
        <v>4630840310</v>
      </c>
      <c r="D61" s="378" t="s">
        <v>135</v>
      </c>
      <c r="E61" s="311"/>
      <c r="F6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61" s="312" t="str">
        <f>IF(База[[#This Row],[Тип]]=0,IF(SUMPRODUCT((База[[#This Row],[Артикул]]=Комплекты[Комплект])*1)=0,"НЕТ","ОК"),"ОК")</f>
        <v>ОК</v>
      </c>
      <c r="H61" s="312" t="str">
        <f>IF(SUMPRODUCT((База[[#This Row],[Артикул]]=ПНЕВМАТИКА!$G$6:$G$330)*1)=0,"НЕТ","ОК")</f>
        <v>ОК</v>
      </c>
      <c r="I61" s="312" t="str">
        <f>IF(SUMPRODUCT((База[[#This Row],[Артикул]]=ТОРМОЗ!$G$6:$G$64)*1)=0,"НЕТ","ОК")</f>
        <v>НЕТ</v>
      </c>
    </row>
    <row r="62" spans="1:9" ht="28.8">
      <c r="A62" s="302">
        <f>ROW()-ROW(База[[#Headers],[№]])</f>
        <v>61</v>
      </c>
      <c r="B62" s="311" t="s">
        <v>354</v>
      </c>
      <c r="C62" s="399">
        <v>4801020640</v>
      </c>
      <c r="D62" s="378" t="s">
        <v>124</v>
      </c>
      <c r="E62" s="311"/>
      <c r="F6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62" s="312" t="str">
        <f>IF(База[[#This Row],[Тип]]=0,IF(SUMPRODUCT((База[[#This Row],[Артикул]]=Комплекты[Комплект])*1)=0,"НЕТ","ОК"),"ОК")</f>
        <v>ОК</v>
      </c>
      <c r="H62" s="312" t="str">
        <f>IF(SUMPRODUCT((База[[#This Row],[Артикул]]=ПНЕВМАТИКА!$G$6:$G$330)*1)=0,"НЕТ","ОК")</f>
        <v>ОК</v>
      </c>
      <c r="I62" s="312" t="str">
        <f>IF(SUMPRODUCT((База[[#This Row],[Артикул]]=ТОРМОЗ!$G$6:$G$64)*1)=0,"НЕТ","ОК")</f>
        <v>НЕТ</v>
      </c>
    </row>
    <row r="63" spans="1:9">
      <c r="A63" s="302">
        <f>ROW()-ROW(База[[#Headers],[№]])</f>
        <v>62</v>
      </c>
      <c r="B63" s="311" t="s">
        <v>354</v>
      </c>
      <c r="C63" s="399">
        <v>4802070010</v>
      </c>
      <c r="D63" s="378" t="s">
        <v>112</v>
      </c>
      <c r="E63" s="311"/>
      <c r="F6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63" s="312" t="str">
        <f>IF(База[[#This Row],[Тип]]=0,IF(SUMPRODUCT((База[[#This Row],[Артикул]]=Комплекты[Комплект])*1)=0,"НЕТ","ОК"),"ОК")</f>
        <v>ОК</v>
      </c>
      <c r="H63" s="312" t="str">
        <f>IF(SUMPRODUCT((База[[#This Row],[Артикул]]=ПНЕВМАТИКА!$G$6:$G$330)*1)=0,"НЕТ","ОК")</f>
        <v>НЕТ</v>
      </c>
      <c r="I63" s="312" t="str">
        <f>IF(SUMPRODUCT((База[[#This Row],[Артикул]]=ТОРМОЗ!$G$6:$G$64)*1)=0,"НЕТ","ОК")</f>
        <v>НЕТ</v>
      </c>
    </row>
    <row r="64" spans="1:9">
      <c r="A64" s="302">
        <f>ROW()-ROW(База[[#Headers],[№]])</f>
        <v>63</v>
      </c>
      <c r="B64" s="311" t="s">
        <v>354</v>
      </c>
      <c r="C64" s="399">
        <v>4802070600</v>
      </c>
      <c r="D64" s="435" t="s">
        <v>420</v>
      </c>
      <c r="E64" s="311"/>
      <c r="F6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64" s="312" t="str">
        <f>IF(База[[#This Row],[Тип]]=0,IF(SUMPRODUCT((База[[#This Row],[Артикул]]=Комплекты[Комплект])*1)=0,"НЕТ","ОК"),"ОК")</f>
        <v>ОК</v>
      </c>
      <c r="H64" s="312" t="str">
        <f>IF(SUMPRODUCT((База[[#This Row],[Артикул]]=ПНЕВМАТИКА!$G$6:$G$330)*1)=0,"НЕТ","ОК")</f>
        <v>ОК</v>
      </c>
      <c r="I64" s="312" t="str">
        <f>IF(SUMPRODUCT((База[[#This Row],[Артикул]]=ТОРМОЗ!$G$6:$G$64)*1)=0,"НЕТ","ОК")</f>
        <v>НЕТ</v>
      </c>
    </row>
    <row r="65" spans="1:9">
      <c r="A65" s="302">
        <f>ROW()-ROW(База[[#Headers],[№]])</f>
        <v>64</v>
      </c>
      <c r="B65" s="311" t="s">
        <v>354</v>
      </c>
      <c r="C65" s="399">
        <v>8946000320</v>
      </c>
      <c r="D65" s="378" t="s">
        <v>126</v>
      </c>
      <c r="E65" s="311"/>
      <c r="F6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65" s="312" t="str">
        <f>IF(База[[#This Row],[Тип]]=0,IF(SUMPRODUCT((База[[#This Row],[Артикул]]=Комплекты[Комплект])*1)=0,"НЕТ","ОК"),"ОК")</f>
        <v>ОК</v>
      </c>
      <c r="H65" s="312" t="str">
        <f>IF(SUMPRODUCT((База[[#This Row],[Артикул]]=ПНЕВМАТИКА!$G$6:$G$330)*1)=0,"НЕТ","ОК")</f>
        <v>ОК</v>
      </c>
      <c r="I65" s="312" t="str">
        <f>IF(SUMPRODUCT((База[[#This Row],[Артикул]]=ТОРМОЗ!$G$6:$G$64)*1)=0,"НЕТ","ОК")</f>
        <v>НЕТ</v>
      </c>
    </row>
    <row r="66" spans="1:9" ht="28.8">
      <c r="A66" s="302">
        <f>ROW()-ROW(База[[#Headers],[№]])</f>
        <v>65</v>
      </c>
      <c r="B66" s="311" t="s">
        <v>354</v>
      </c>
      <c r="C66" s="399">
        <v>9710029000</v>
      </c>
      <c r="D66" s="378" t="s">
        <v>75</v>
      </c>
      <c r="E66" s="311"/>
      <c r="F6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66" s="312" t="str">
        <f>IF(База[[#This Row],[Тип]]=0,IF(SUMPRODUCT((База[[#This Row],[Артикул]]=Комплекты[Комплект])*1)=0,"НЕТ","ОК"),"ОК")</f>
        <v>ОК</v>
      </c>
      <c r="H66" s="312" t="str">
        <f>IF(SUMPRODUCT((База[[#This Row],[Артикул]]=ПНЕВМАТИКА!$G$6:$G$330)*1)=0,"НЕТ","ОК")</f>
        <v>ОК</v>
      </c>
      <c r="I66" s="312" t="str">
        <f>IF(SUMPRODUCT((База[[#This Row],[Артикул]]=ТОРМОЗ!$G$6:$G$64)*1)=0,"НЕТ","ОК")</f>
        <v>НЕТ</v>
      </c>
    </row>
    <row r="67" spans="1:9">
      <c r="A67" s="302">
        <f>ROW()-ROW(База[[#Headers],[№]])</f>
        <v>66</v>
      </c>
      <c r="B67" s="311" t="s">
        <v>354</v>
      </c>
      <c r="C67" s="399" t="s">
        <v>142</v>
      </c>
      <c r="D67" s="378" t="s">
        <v>143</v>
      </c>
      <c r="E67" s="311"/>
      <c r="F6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67" s="312" t="str">
        <f>IF(База[[#This Row],[Тип]]=0,IF(SUMPRODUCT((База[[#This Row],[Артикул]]=Комплекты[Комплект])*1)=0,"НЕТ","ОК"),"ОК")</f>
        <v>ОК</v>
      </c>
      <c r="H67" s="312" t="str">
        <f>IF(SUMPRODUCT((База[[#This Row],[Артикул]]=ПНЕВМАТИКА!$G$6:$G$330)*1)=0,"НЕТ","ОК")</f>
        <v>НЕТ</v>
      </c>
      <c r="I67" s="312" t="str">
        <f>IF(SUMPRODUCT((База[[#This Row],[Артикул]]=ТОРМОЗ!$G$6:$G$64)*1)=0,"НЕТ","ОК")</f>
        <v>НЕТ</v>
      </c>
    </row>
    <row r="68" spans="1:9">
      <c r="A68" s="302">
        <f>ROW()-ROW(База[[#Headers],[№]])</f>
        <v>67</v>
      </c>
      <c r="B68" s="311" t="s">
        <v>354</v>
      </c>
      <c r="C68" s="399" t="s">
        <v>144</v>
      </c>
      <c r="D68" s="378" t="s">
        <v>143</v>
      </c>
      <c r="E68" s="311"/>
      <c r="F6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68" s="312" t="str">
        <f>IF(База[[#This Row],[Тип]]=0,IF(SUMPRODUCT((База[[#This Row],[Артикул]]=Комплекты[Комплект])*1)=0,"НЕТ","ОК"),"ОК")</f>
        <v>ОК</v>
      </c>
      <c r="H68" s="312" t="str">
        <f>IF(SUMPRODUCT((База[[#This Row],[Артикул]]=ПНЕВМАТИКА!$G$6:$G$330)*1)=0,"НЕТ","ОК")</f>
        <v>НЕТ</v>
      </c>
      <c r="I68" s="312" t="str">
        <f>IF(SUMPRODUCT((База[[#This Row],[Артикул]]=ТОРМОЗ!$G$6:$G$64)*1)=0,"НЕТ","ОК")</f>
        <v>НЕТ</v>
      </c>
    </row>
    <row r="69" spans="1:9" ht="28.8">
      <c r="A69" s="427">
        <f>ROW()-ROW(База[[#Headers],[№]])</f>
        <v>68</v>
      </c>
      <c r="B69" s="423" t="s">
        <v>358</v>
      </c>
      <c r="C69" s="600">
        <v>4006043270</v>
      </c>
      <c r="D69" s="378" t="s">
        <v>492</v>
      </c>
      <c r="E69" s="311"/>
      <c r="F6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69" s="312" t="str">
        <f>IF(База[[#This Row],[Тип]]=0,IF(SUMPRODUCT((База[[#This Row],[Артикул]]=Комплекты[Комплект])*1)=0,"НЕТ","ОК"),"ОК")</f>
        <v>ОК</v>
      </c>
      <c r="H69" s="312" t="str">
        <f>IF(SUMPRODUCT((База[[#This Row],[Артикул]]=ПНЕВМАТИКА!$G$6:$G$330)*1)=0,"НЕТ","ОК")</f>
        <v>ОК</v>
      </c>
      <c r="I69" s="312" t="str">
        <f>IF(SUMPRODUCT((База[[#This Row],[Артикул]]=ТОРМОЗ!$G$6:$G$64)*1)=0,"НЕТ","ОК")</f>
        <v>НЕТ</v>
      </c>
    </row>
    <row r="70" spans="1:9" ht="28.8">
      <c r="A70" s="427">
        <f>ROW()-ROW(База[[#Headers],[№]])</f>
        <v>69</v>
      </c>
      <c r="B70" s="423" t="s">
        <v>358</v>
      </c>
      <c r="C70" s="600">
        <v>4006043280</v>
      </c>
      <c r="D70" s="378" t="s">
        <v>493</v>
      </c>
      <c r="E70" s="311"/>
      <c r="F7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70" s="312" t="str">
        <f>IF(База[[#This Row],[Тип]]=0,IF(SUMPRODUCT((База[[#This Row],[Артикул]]=Комплекты[Комплект])*1)=0,"НЕТ","ОК"),"ОК")</f>
        <v>ОК</v>
      </c>
      <c r="H70" s="312" t="str">
        <f>IF(SUMPRODUCT((База[[#This Row],[Артикул]]=ПНЕВМАТИКА!$G$6:$G$330)*1)=0,"НЕТ","ОК")</f>
        <v>ОК</v>
      </c>
      <c r="I70" s="312" t="str">
        <f>IF(SUMPRODUCT((База[[#This Row],[Артикул]]=ТОРМОЗ!$G$6:$G$64)*1)=0,"НЕТ","ОК")</f>
        <v>НЕТ</v>
      </c>
    </row>
    <row r="71" spans="1:9" ht="28.8">
      <c r="A71" s="302">
        <f>ROW()-ROW(База[[#Headers],[№]])</f>
        <v>70</v>
      </c>
      <c r="B71" s="311" t="s">
        <v>358</v>
      </c>
      <c r="C71" s="399">
        <v>4006043290</v>
      </c>
      <c r="D71" s="378" t="s">
        <v>494</v>
      </c>
      <c r="E71" s="724"/>
      <c r="F7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71" s="312" t="str">
        <f>IF(База[[#This Row],[Тип]]=0,IF(SUMPRODUCT((База[[#This Row],[Артикул]]=Комплекты[Комплект])*1)=0,"НЕТ","ОК"),"ОК")</f>
        <v>ОК</v>
      </c>
      <c r="H71" s="312" t="str">
        <f>IF(SUMPRODUCT((База[[#This Row],[Артикул]]=ПНЕВМАТИКА!$G$6:$G$330)*1)=0,"НЕТ","ОК")</f>
        <v>ОК</v>
      </c>
      <c r="I71" s="312" t="str">
        <f>IF(SUMPRODUCT((База[[#This Row],[Артикул]]=ТОРМОЗ!$G$6:$G$64)*1)=0,"НЕТ","ОК")</f>
        <v>НЕТ</v>
      </c>
    </row>
    <row r="72" spans="1:9" ht="28.8">
      <c r="A72" s="302">
        <f>ROW()-ROW(База[[#Headers],[№]])</f>
        <v>71</v>
      </c>
      <c r="B72" s="311" t="s">
        <v>358</v>
      </c>
      <c r="C72" s="399">
        <v>4006043300</v>
      </c>
      <c r="D72" s="378" t="s">
        <v>495</v>
      </c>
      <c r="E72" s="724"/>
      <c r="F7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72" s="312" t="str">
        <f>IF(База[[#This Row],[Тип]]=0,IF(SUMPRODUCT((База[[#This Row],[Артикул]]=Комплекты[Комплект])*1)=0,"НЕТ","ОК"),"ОК")</f>
        <v>ОК</v>
      </c>
      <c r="H72" s="312" t="str">
        <f>IF(SUMPRODUCT((База[[#This Row],[Артикул]]=ПНЕВМАТИКА!$G$6:$G$330)*1)=0,"НЕТ","ОК")</f>
        <v>ОК</v>
      </c>
      <c r="I72" s="312" t="str">
        <f>IF(SUMPRODUCT((База[[#This Row],[Артикул]]=ТОРМОЗ!$G$6:$G$64)*1)=0,"НЕТ","ОК")</f>
        <v>НЕТ</v>
      </c>
    </row>
    <row r="73" spans="1:9">
      <c r="A73" s="302">
        <f>ROW()-ROW(База[[#Headers],[№]])</f>
        <v>72</v>
      </c>
      <c r="B73" s="311" t="s">
        <v>358</v>
      </c>
      <c r="C73" s="399">
        <v>4527110560</v>
      </c>
      <c r="D73" s="378" t="s">
        <v>138</v>
      </c>
      <c r="E73" s="311"/>
      <c r="F7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73" s="312" t="str">
        <f>IF(База[[#This Row],[Тип]]=0,IF(SUMPRODUCT((База[[#This Row],[Артикул]]=Комплекты[Комплект])*1)=0,"НЕТ","ОК"),"ОК")</f>
        <v>ОК</v>
      </c>
      <c r="H73" s="312" t="str">
        <f>IF(SUMPRODUCT((База[[#This Row],[Артикул]]=ПНЕВМАТИКА!$G$6:$G$330)*1)=0,"НЕТ","ОК")</f>
        <v>ОК</v>
      </c>
      <c r="I73" s="312" t="str">
        <f>IF(SUMPRODUCT((База[[#This Row],[Артикул]]=ТОРМОЗ!$G$6:$G$64)*1)=0,"НЕТ","ОК")</f>
        <v>НЕТ</v>
      </c>
    </row>
    <row r="74" spans="1:9">
      <c r="A74" s="302">
        <f>ROW()-ROW(База[[#Headers],[№]])</f>
        <v>73</v>
      </c>
      <c r="B74" s="311" t="s">
        <v>358</v>
      </c>
      <c r="C74" s="399">
        <v>4527110570</v>
      </c>
      <c r="D74" s="378" t="s">
        <v>139</v>
      </c>
      <c r="E74" s="311"/>
      <c r="F7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74" s="312" t="str">
        <f>IF(База[[#This Row],[Тип]]=0,IF(SUMPRODUCT((База[[#This Row],[Артикул]]=Комплекты[Комплект])*1)=0,"НЕТ","ОК"),"ОК")</f>
        <v>ОК</v>
      </c>
      <c r="H74" s="312" t="str">
        <f>IF(SUMPRODUCT((База[[#This Row],[Артикул]]=ПНЕВМАТИКА!$G$6:$G$330)*1)=0,"НЕТ","ОК")</f>
        <v>ОК</v>
      </c>
      <c r="I74" s="312" t="str">
        <f>IF(SUMPRODUCT((База[[#This Row],[Артикул]]=ТОРМОЗ!$G$6:$G$64)*1)=0,"НЕТ","ОК")</f>
        <v>НЕТ</v>
      </c>
    </row>
    <row r="75" spans="1:9">
      <c r="A75" s="302">
        <f>ROW()-ROW(База[[#Headers],[№]])</f>
        <v>74</v>
      </c>
      <c r="B75" s="311" t="s">
        <v>358</v>
      </c>
      <c r="C75" s="399">
        <v>9522010010</v>
      </c>
      <c r="D75" s="378" t="s">
        <v>73</v>
      </c>
      <c r="E75" s="311"/>
      <c r="F7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75" s="312" t="str">
        <f>IF(База[[#This Row],[Тип]]=0,IF(SUMPRODUCT((База[[#This Row],[Артикул]]=Комплекты[Комплект])*1)=0,"НЕТ","ОК"),"ОК")</f>
        <v>ОК</v>
      </c>
      <c r="H75" s="312" t="str">
        <f>IF(SUMPRODUCT((База[[#This Row],[Артикул]]=ПНЕВМАТИКА!$G$6:$G$330)*1)=0,"НЕТ","ОК")</f>
        <v>ОК</v>
      </c>
      <c r="I75" s="312" t="str">
        <f>IF(SUMPRODUCT((База[[#This Row],[Артикул]]=ТОРМОЗ!$G$6:$G$64)*1)=0,"НЕТ","ОК")</f>
        <v>НЕТ</v>
      </c>
    </row>
    <row r="76" spans="1:9">
      <c r="A76" s="302">
        <f>ROW()-ROW(База[[#Headers],[№]])</f>
        <v>75</v>
      </c>
      <c r="B76" s="311" t="s">
        <v>358</v>
      </c>
      <c r="C76" s="399">
        <v>9522010020</v>
      </c>
      <c r="D76" s="378" t="s">
        <v>74</v>
      </c>
      <c r="E76" s="311"/>
      <c r="F7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76" s="312" t="str">
        <f>IF(База[[#This Row],[Тип]]=0,IF(SUMPRODUCT((База[[#This Row],[Артикул]]=Комплекты[Комплект])*1)=0,"НЕТ","ОК"),"ОК")</f>
        <v>ОК</v>
      </c>
      <c r="H76" s="312" t="str">
        <f>IF(SUMPRODUCT((База[[#This Row],[Артикул]]=ПНЕВМАТИКА!$G$6:$G$330)*1)=0,"НЕТ","ОК")</f>
        <v>ОК</v>
      </c>
      <c r="I76" s="312" t="str">
        <f>IF(SUMPRODUCT((База[[#This Row],[Артикул]]=ТОРМОЗ!$G$6:$G$64)*1)=0,"НЕТ","ОК")</f>
        <v>НЕТ</v>
      </c>
    </row>
    <row r="77" spans="1:9">
      <c r="A77" s="302">
        <f>ROW()-ROW(База[[#Headers],[№]])</f>
        <v>76</v>
      </c>
      <c r="B77" s="311" t="s">
        <v>358</v>
      </c>
      <c r="C77" s="399">
        <v>9630010510</v>
      </c>
      <c r="D77" s="378" t="s">
        <v>91</v>
      </c>
      <c r="E77" s="311"/>
      <c r="F7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77" s="312" t="str">
        <f>IF(База[[#This Row],[Тип]]=0,IF(SUMPRODUCT((База[[#This Row],[Артикул]]=Комплекты[Комплект])*1)=0,"НЕТ","ОК"),"ОК")</f>
        <v>ОК</v>
      </c>
      <c r="H77" s="312" t="str">
        <f>IF(SUMPRODUCT((База[[#This Row],[Артикул]]=ПНЕВМАТИКА!$G$6:$G$330)*1)=0,"НЕТ","ОК")</f>
        <v>ОК</v>
      </c>
      <c r="I77" s="312" t="str">
        <f>IF(SUMPRODUCT((База[[#This Row],[Артикул]]=ТОРМОЗ!$G$6:$G$64)*1)=0,"НЕТ","ОК")</f>
        <v>НЕТ</v>
      </c>
    </row>
    <row r="78" spans="1:9">
      <c r="A78" s="302">
        <f>ROW()-ROW(База[[#Headers],[№]])</f>
        <v>77</v>
      </c>
      <c r="B78" s="311" t="s">
        <v>358</v>
      </c>
      <c r="C78" s="399">
        <v>9710020400</v>
      </c>
      <c r="D78" s="378" t="s">
        <v>101</v>
      </c>
      <c r="E78" s="311"/>
      <c r="F7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78" s="312" t="str">
        <f>IF(База[[#This Row],[Тип]]=0,IF(SUMPRODUCT((База[[#This Row],[Артикул]]=Комплекты[Комплект])*1)=0,"НЕТ","ОК"),"ОК")</f>
        <v>ОК</v>
      </c>
      <c r="H78" s="312" t="str">
        <f>IF(SUMPRODUCT((База[[#This Row],[Артикул]]=ПНЕВМАТИКА!$G$6:$G$330)*1)=0,"НЕТ","ОК")</f>
        <v>ОК</v>
      </c>
      <c r="I78" s="312" t="str">
        <f>IF(SUMPRODUCT((База[[#This Row],[Артикул]]=ТОРМОЗ!$G$6:$G$64)*1)=0,"НЕТ","ОК")</f>
        <v>НЕТ</v>
      </c>
    </row>
    <row r="79" spans="1:9">
      <c r="A79" s="302">
        <f>ROW()-ROW(База[[#Headers],[№]])</f>
        <v>78</v>
      </c>
      <c r="B79" s="311" t="s">
        <v>358</v>
      </c>
      <c r="C79" s="399">
        <v>9730010100</v>
      </c>
      <c r="D79" s="378" t="s">
        <v>129</v>
      </c>
      <c r="E79" s="311"/>
      <c r="F7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79" s="312" t="str">
        <f>IF(База[[#This Row],[Тип]]=0,IF(SUMPRODUCT((База[[#This Row],[Артикул]]=Комплекты[Комплект])*1)=0,"НЕТ","ОК"),"ОК")</f>
        <v>ОК</v>
      </c>
      <c r="H79" s="312" t="str">
        <f>IF(SUMPRODUCT((База[[#This Row],[Артикул]]=ПНЕВМАТИКА!$G$6:$G$330)*1)=0,"НЕТ","ОК")</f>
        <v>ОК</v>
      </c>
      <c r="I79" s="312" t="str">
        <f>IF(SUMPRODUCT((База[[#This Row],[Артикул]]=ТОРМОЗ!$G$6:$G$64)*1)=0,"НЕТ","ОК")</f>
        <v>НЕТ</v>
      </c>
    </row>
    <row r="80" spans="1:9">
      <c r="A80" s="397">
        <f>ROW()-ROW(База[[#Headers],[№]])</f>
        <v>79</v>
      </c>
      <c r="B80" s="392" t="s">
        <v>358</v>
      </c>
      <c r="C80" s="393">
        <v>9730110000</v>
      </c>
      <c r="D80" s="394" t="s">
        <v>129</v>
      </c>
      <c r="E80" s="311"/>
      <c r="F80" s="395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80" s="395" t="str">
        <f>IF(База[[#This Row],[Тип]]=0,IF(SUMPRODUCT((База[[#This Row],[Артикул]]=Комплекты[Комплект])*1)=0,"НЕТ","ОК"),"ОК")</f>
        <v>ОК</v>
      </c>
      <c r="H80" s="395" t="str">
        <f>IF(SUMPRODUCT((База[[#This Row],[Артикул]]=ПНЕВМАТИКА!$G$6:$G$330)*1)=0,"НЕТ","ОК")</f>
        <v>ОК</v>
      </c>
      <c r="I80" s="395" t="str">
        <f>IF(SUMPRODUCT((База[[#This Row],[Артикул]]=ТОРМОЗ!$G$6:$G$64)*1)=0,"НЕТ","ОК")</f>
        <v>НЕТ</v>
      </c>
    </row>
    <row r="81" spans="1:9" ht="28.8">
      <c r="A81" s="302">
        <f>ROW()-ROW(База[[#Headers],[№]])</f>
        <v>80</v>
      </c>
      <c r="B81" s="311" t="s">
        <v>358</v>
      </c>
      <c r="C81" s="399">
        <v>9735000510</v>
      </c>
      <c r="D81" s="378" t="s">
        <v>359</v>
      </c>
      <c r="E81" s="311"/>
      <c r="F8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81" s="312" t="str">
        <f>IF(База[[#This Row],[Тип]]=0,IF(SUMPRODUCT((База[[#This Row],[Артикул]]=Комплекты[Комплект])*1)=0,"НЕТ","ОК"),"ОК")</f>
        <v>ОК</v>
      </c>
      <c r="H81" s="312" t="str">
        <f>IF(SUMPRODUCT((База[[#This Row],[Артикул]]=ПНЕВМАТИКА!$G$6:$G$330)*1)=0,"НЕТ","ОК")</f>
        <v>ОК</v>
      </c>
      <c r="I81" s="312" t="str">
        <f>IF(SUMPRODUCT((База[[#This Row],[Артикул]]=ТОРМОЗ!$G$6:$G$64)*1)=0,"НЕТ","ОК")</f>
        <v>НЕТ</v>
      </c>
    </row>
    <row r="82" spans="1:9">
      <c r="A82" s="302">
        <f>ROW()-ROW(База[[#Headers],[№]])</f>
        <v>81</v>
      </c>
      <c r="B82" s="311" t="s">
        <v>360</v>
      </c>
      <c r="C82" s="399">
        <v>4334010030</v>
      </c>
      <c r="D82" s="378" t="s">
        <v>81</v>
      </c>
      <c r="E82" s="311"/>
      <c r="F8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82" s="312" t="str">
        <f>IF(База[[#This Row],[Тип]]=0,IF(SUMPRODUCT((База[[#This Row],[Артикул]]=Комплекты[Комплект])*1)=0,"НЕТ","ОК"),"ОК")</f>
        <v>ОК</v>
      </c>
      <c r="H82" s="312" t="str">
        <f>IF(SUMPRODUCT((База[[#This Row],[Артикул]]=ПНЕВМАТИКА!$G$6:$G$330)*1)=0,"НЕТ","ОК")</f>
        <v>ОК</v>
      </c>
      <c r="I82" s="312" t="str">
        <f>IF(SUMPRODUCT((База[[#This Row],[Артикул]]=ТОРМОЗ!$G$6:$G$64)*1)=0,"НЕТ","ОК")</f>
        <v>НЕТ</v>
      </c>
    </row>
    <row r="83" spans="1:9">
      <c r="A83" s="302">
        <f>ROW()-ROW(База[[#Headers],[№]])</f>
        <v>82</v>
      </c>
      <c r="B83" s="311" t="s">
        <v>360</v>
      </c>
      <c r="C83" s="399">
        <v>4630320200</v>
      </c>
      <c r="D83" s="378" t="s">
        <v>80</v>
      </c>
      <c r="E83" s="311"/>
      <c r="F8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83" s="312" t="str">
        <f>IF(База[[#This Row],[Тип]]=0,IF(SUMPRODUCT((База[[#This Row],[Артикул]]=Комплекты[Комплект])*1)=0,"НЕТ","ОК"),"ОК")</f>
        <v>ОК</v>
      </c>
      <c r="H83" s="312" t="str">
        <f>IF(SUMPRODUCT((База[[#This Row],[Артикул]]=ПНЕВМАТИКА!$G$6:$G$330)*1)=0,"НЕТ","ОК")</f>
        <v>ОК</v>
      </c>
      <c r="I83" s="312" t="str">
        <f>IF(SUMPRODUCT((База[[#This Row],[Артикул]]=ТОРМОЗ!$G$6:$G$64)*1)=0,"НЕТ","ОК")</f>
        <v>НЕТ</v>
      </c>
    </row>
    <row r="84" spans="1:9">
      <c r="A84" s="302">
        <f>ROW()-ROW(База[[#Headers],[№]])</f>
        <v>83</v>
      </c>
      <c r="B84" s="311" t="s">
        <v>360</v>
      </c>
      <c r="C84" s="399">
        <v>4640060020</v>
      </c>
      <c r="D84" s="435" t="s">
        <v>93</v>
      </c>
      <c r="E84" s="311"/>
      <c r="F8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84" s="312" t="str">
        <f>IF(База[[#This Row],[Тип]]=0,IF(SUMPRODUCT((База[[#This Row],[Артикул]]=Комплекты[Комплект])*1)=0,"НЕТ","ОК"),"ОК")</f>
        <v>ОК</v>
      </c>
      <c r="H84" s="312" t="str">
        <f>IF(SUMPRODUCT((База[[#This Row],[Артикул]]=ПНЕВМАТИКА!$G$6:$G$330)*1)=0,"НЕТ","ОК")</f>
        <v>ОК</v>
      </c>
      <c r="I84" s="312" t="str">
        <f>IF(SUMPRODUCT((База[[#This Row],[Артикул]]=ТОРМОЗ!$G$6:$G$64)*1)=0,"НЕТ","ОК")</f>
        <v>НЕТ</v>
      </c>
    </row>
    <row r="85" spans="1:9">
      <c r="A85" s="302">
        <f>ROW()-ROW(База[[#Headers],[№]])</f>
        <v>84</v>
      </c>
      <c r="B85" s="311" t="s">
        <v>360</v>
      </c>
      <c r="C85" s="399">
        <v>4640061000</v>
      </c>
      <c r="D85" s="435" t="s">
        <v>93</v>
      </c>
      <c r="E85" s="311"/>
      <c r="F8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85" s="312" t="str">
        <f>IF(База[[#This Row],[Тип]]=0,IF(SUMPRODUCT((База[[#This Row],[Артикул]]=Комплекты[Комплект])*1)=0,"НЕТ","ОК"),"ОК")</f>
        <v>ОК</v>
      </c>
      <c r="H85" s="312" t="str">
        <f>IF(SUMPRODUCT((База[[#This Row],[Артикул]]=ПНЕВМАТИКА!$G$6:$G$330)*1)=0,"НЕТ","ОК")</f>
        <v>ОК</v>
      </c>
      <c r="I85" s="312" t="str">
        <f>IF(SUMPRODUCT((База[[#This Row],[Артикул]]=ТОРМОЗ!$G$6:$G$64)*1)=0,"НЕТ","ОК")</f>
        <v>НЕТ</v>
      </c>
    </row>
    <row r="86" spans="1:9">
      <c r="A86" s="302">
        <f>ROW()-ROW(База[[#Headers],[№]])</f>
        <v>85</v>
      </c>
      <c r="B86" s="311" t="s">
        <v>360</v>
      </c>
      <c r="C86" s="399" t="s">
        <v>149</v>
      </c>
      <c r="D86" s="378" t="s">
        <v>80</v>
      </c>
      <c r="E86" s="311"/>
      <c r="F8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86" s="312" t="str">
        <f>IF(База[[#This Row],[Тип]]=0,IF(SUMPRODUCT((База[[#This Row],[Артикул]]=Комплекты[Комплект])*1)=0,"НЕТ","ОК"),"ОК")</f>
        <v>ОК</v>
      </c>
      <c r="H86" s="312" t="str">
        <f>IF(SUMPRODUCT((База[[#This Row],[Артикул]]=ПНЕВМАТИКА!$G$6:$G$330)*1)=0,"НЕТ","ОК")</f>
        <v>НЕТ</v>
      </c>
      <c r="I86" s="312" t="str">
        <f>IF(SUMPRODUCT((База[[#This Row],[Артикул]]=ТОРМОЗ!$G$6:$G$64)*1)=0,"НЕТ","ОК")</f>
        <v>НЕТ</v>
      </c>
    </row>
    <row r="87" spans="1:9">
      <c r="A87" s="302">
        <f>ROW()-ROW(База[[#Headers],[№]])</f>
        <v>86</v>
      </c>
      <c r="B87" s="311" t="s">
        <v>361</v>
      </c>
      <c r="C87" s="399">
        <v>4231069000</v>
      </c>
      <c r="D87" s="378" t="s">
        <v>52</v>
      </c>
      <c r="E87" s="311"/>
      <c r="F8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87" s="312" t="str">
        <f>IF(База[[#This Row],[Тип]]=0,IF(SUMPRODUCT((База[[#This Row],[Артикул]]=Комплекты[Комплект])*1)=0,"НЕТ","ОК"),"ОК")</f>
        <v>ОК</v>
      </c>
      <c r="H87" s="312" t="str">
        <f>IF(SUMPRODUCT((База[[#This Row],[Артикул]]=ПНЕВМАТИКА!$G$6:$G$330)*1)=0,"НЕТ","ОК")</f>
        <v>ОК</v>
      </c>
      <c r="I87" s="312" t="str">
        <f>IF(SUMPRODUCT((База[[#This Row],[Артикул]]=ТОРМОЗ!$G$6:$G$64)*1)=0,"НЕТ","ОК")</f>
        <v>ОК</v>
      </c>
    </row>
    <row r="88" spans="1:9">
      <c r="A88" s="302">
        <f>ROW()-ROW(База[[#Headers],[№]])</f>
        <v>87</v>
      </c>
      <c r="B88" s="311" t="s">
        <v>361</v>
      </c>
      <c r="C88" s="399">
        <v>4231079000</v>
      </c>
      <c r="D88" s="378" t="s">
        <v>53</v>
      </c>
      <c r="E88" s="311"/>
      <c r="F8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88" s="312" t="str">
        <f>IF(База[[#This Row],[Тип]]=0,IF(SUMPRODUCT((База[[#This Row],[Артикул]]=Комплекты[Комплект])*1)=0,"НЕТ","ОК"),"ОК")</f>
        <v>ОК</v>
      </c>
      <c r="H88" s="312" t="str">
        <f>IF(SUMPRODUCT((База[[#This Row],[Артикул]]=ПНЕВМАТИКА!$G$6:$G$330)*1)=0,"НЕТ","ОК")</f>
        <v>ОК</v>
      </c>
      <c r="I88" s="312" t="str">
        <f>IF(SUMPRODUCT((База[[#This Row],[Артикул]]=ТОРМОЗ!$G$6:$G$64)*1)=0,"НЕТ","ОК")</f>
        <v>ОК</v>
      </c>
    </row>
    <row r="89" spans="1:9">
      <c r="A89" s="302">
        <f>ROW()-ROW(База[[#Headers],[№]])</f>
        <v>88</v>
      </c>
      <c r="B89" s="311" t="s">
        <v>361</v>
      </c>
      <c r="C89" s="399">
        <v>4235041001</v>
      </c>
      <c r="D89" s="378" t="s">
        <v>37</v>
      </c>
      <c r="E89" s="311"/>
      <c r="F8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89" s="312" t="str">
        <f>IF(База[[#This Row],[Тип]]=0,IF(SUMPRODUCT((База[[#This Row],[Артикул]]=Комплекты[Комплект])*1)=0,"НЕТ","ОК"),"ОК")</f>
        <v>ОК</v>
      </c>
      <c r="H89" s="312" t="str">
        <f>IF(SUMPRODUCT((База[[#This Row],[Артикул]]=ПНЕВМАТИКА!$G$6:$G$330)*1)=0,"НЕТ","ОК")</f>
        <v>ОК</v>
      </c>
      <c r="I89" s="312" t="str">
        <f>IF(SUMPRODUCT((База[[#This Row],[Артикул]]=ТОРМОЗ!$G$6:$G$64)*1)=0,"НЕТ","ОК")</f>
        <v>ОК</v>
      </c>
    </row>
    <row r="90" spans="1:9">
      <c r="A90" s="302">
        <f>ROW()-ROW(База[[#Headers],[№]])</f>
        <v>89</v>
      </c>
      <c r="B90" s="311" t="s">
        <v>361</v>
      </c>
      <c r="C90" s="399">
        <v>4235041050</v>
      </c>
      <c r="D90" s="378" t="s">
        <v>47</v>
      </c>
      <c r="E90" s="311"/>
      <c r="F9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90" s="312" t="str">
        <f>IF(База[[#This Row],[Тип]]=0,IF(SUMPRODUCT((База[[#This Row],[Артикул]]=Комплекты[Комплект])*1)=0,"НЕТ","ОК"),"ОК")</f>
        <v>ОК</v>
      </c>
      <c r="H90" s="312" t="str">
        <f>IF(SUMPRODUCT((База[[#This Row],[Артикул]]=ПНЕВМАТИКА!$G$6:$G$330)*1)=0,"НЕТ","ОК")</f>
        <v>НЕТ</v>
      </c>
      <c r="I90" s="312" t="str">
        <f>IF(SUMPRODUCT((База[[#This Row],[Артикул]]=ТОРМОЗ!$G$6:$G$64)*1)=0,"НЕТ","ОК")</f>
        <v>ОК</v>
      </c>
    </row>
    <row r="91" spans="1:9">
      <c r="A91" s="302">
        <f>ROW()-ROW(База[[#Headers],[№]])</f>
        <v>90</v>
      </c>
      <c r="B91" s="311" t="s">
        <v>361</v>
      </c>
      <c r="C91" s="399">
        <v>4235041060</v>
      </c>
      <c r="D91" s="378" t="s">
        <v>49</v>
      </c>
      <c r="E91" s="311"/>
      <c r="F9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91" s="312" t="str">
        <f>IF(База[[#This Row],[Тип]]=0,IF(SUMPRODUCT((База[[#This Row],[Артикул]]=Комплекты[Комплект])*1)=0,"НЕТ","ОК"),"ОК")</f>
        <v>ОК</v>
      </c>
      <c r="H91" s="312" t="str">
        <f>IF(SUMPRODUCT((База[[#This Row],[Артикул]]=ПНЕВМАТИКА!$G$6:$G$330)*1)=0,"НЕТ","ОК")</f>
        <v>НЕТ</v>
      </c>
      <c r="I91" s="312" t="str">
        <f>IF(SUMPRODUCT((База[[#This Row],[Артикул]]=ТОРМОЗ!$G$6:$G$64)*1)=0,"НЕТ","ОК")</f>
        <v>ОК</v>
      </c>
    </row>
    <row r="92" spans="1:9">
      <c r="A92" s="302">
        <f>ROW()-ROW(База[[#Headers],[№]])</f>
        <v>91</v>
      </c>
      <c r="B92" s="311" t="s">
        <v>361</v>
      </c>
      <c r="C92" s="399">
        <v>4235050030</v>
      </c>
      <c r="D92" s="378" t="s">
        <v>37</v>
      </c>
      <c r="E92" s="311"/>
      <c r="F9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92" s="312" t="str">
        <f>IF(База[[#This Row],[Тип]]=0,IF(SUMPRODUCT((База[[#This Row],[Артикул]]=Комплекты[Комплект])*1)=0,"НЕТ","ОК"),"ОК")</f>
        <v>ОК</v>
      </c>
      <c r="H92" s="312" t="str">
        <f>IF(SUMPRODUCT((База[[#This Row],[Артикул]]=ПНЕВМАТИКА!$G$6:$G$330)*1)=0,"НЕТ","ОК")</f>
        <v>НЕТ</v>
      </c>
      <c r="I92" s="312" t="str">
        <f>IF(SUMPRODUCT((База[[#This Row],[Артикул]]=ТОРМОЗ!$G$6:$G$64)*1)=0,"НЕТ","ОК")</f>
        <v>ОК</v>
      </c>
    </row>
    <row r="93" spans="1:9">
      <c r="A93" s="302">
        <f>ROW()-ROW(База[[#Headers],[№]])</f>
        <v>92</v>
      </c>
      <c r="B93" s="311" t="s">
        <v>361</v>
      </c>
      <c r="C93" s="399">
        <v>9253761210</v>
      </c>
      <c r="D93" s="378" t="s">
        <v>54</v>
      </c>
      <c r="E93" s="311"/>
      <c r="F9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93" s="312" t="str">
        <f>IF(База[[#This Row],[Тип]]=0,IF(SUMPRODUCT((База[[#This Row],[Артикул]]=Комплекты[Комплект])*1)=0,"НЕТ","ОК"),"ОК")</f>
        <v>ОК</v>
      </c>
      <c r="H93" s="312" t="str">
        <f>IF(SUMPRODUCT((База[[#This Row],[Артикул]]=ПНЕВМАТИКА!$G$6:$G$330)*1)=0,"НЕТ","ОК")</f>
        <v>ОК</v>
      </c>
      <c r="I93" s="312" t="str">
        <f>IF(SUMPRODUCT((База[[#This Row],[Артикул]]=ТОРМОЗ!$G$6:$G$64)*1)=0,"НЕТ","ОК")</f>
        <v>ОК</v>
      </c>
    </row>
    <row r="94" spans="1:9">
      <c r="A94" s="302">
        <f>ROW()-ROW(База[[#Headers],[№]])</f>
        <v>93</v>
      </c>
      <c r="B94" s="311" t="s">
        <v>361</v>
      </c>
      <c r="C94" s="399">
        <v>9253771100</v>
      </c>
      <c r="D94" s="378" t="s">
        <v>55</v>
      </c>
      <c r="E94" s="311"/>
      <c r="F9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94" s="312" t="str">
        <f>IF(База[[#This Row],[Тип]]=0,IF(SUMPRODUCT((База[[#This Row],[Артикул]]=Комплекты[Комплект])*1)=0,"НЕТ","ОК"),"ОК")</f>
        <v>ОК</v>
      </c>
      <c r="H94" s="312" t="str">
        <f>IF(SUMPRODUCT((База[[#This Row],[Артикул]]=ПНЕВМАТИКА!$G$6:$G$330)*1)=0,"НЕТ","ОК")</f>
        <v>ОК</v>
      </c>
      <c r="I94" s="312" t="str">
        <f>IF(SUMPRODUCT((База[[#This Row],[Артикул]]=ТОРМОЗ!$G$6:$G$64)*1)=0,"НЕТ","ОК")</f>
        <v>ОК</v>
      </c>
    </row>
    <row r="95" spans="1:9">
      <c r="A95" s="302">
        <f>ROW()-ROW(База[[#Headers],[№]])</f>
        <v>94</v>
      </c>
      <c r="B95" s="311" t="s">
        <v>361</v>
      </c>
      <c r="C95" s="399">
        <v>9254800504</v>
      </c>
      <c r="D95" s="378" t="s">
        <v>38</v>
      </c>
      <c r="E95" s="311"/>
      <c r="F9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95" s="312" t="str">
        <f>IF(База[[#This Row],[Тип]]=0,IF(SUMPRODUCT((База[[#This Row],[Артикул]]=Комплекты[Комплект])*1)=0,"НЕТ","ОК"),"ОК")</f>
        <v>ОК</v>
      </c>
      <c r="H95" s="312" t="str">
        <f>IF(SUMPRODUCT((База[[#This Row],[Артикул]]=ПНЕВМАТИКА!$G$6:$G$330)*1)=0,"НЕТ","ОК")</f>
        <v>ОК</v>
      </c>
      <c r="I95" s="312" t="str">
        <f>IF(SUMPRODUCT((База[[#This Row],[Артикул]]=ТОРМОЗ!$G$6:$G$64)*1)=0,"НЕТ","ОК")</f>
        <v>ОК</v>
      </c>
    </row>
    <row r="96" spans="1:9">
      <c r="A96" s="302">
        <f>ROW()-ROW(База[[#Headers],[№]])</f>
        <v>95</v>
      </c>
      <c r="B96" s="311" t="s">
        <v>361</v>
      </c>
      <c r="C96" s="399">
        <v>9254800506</v>
      </c>
      <c r="D96" s="378" t="s">
        <v>38</v>
      </c>
      <c r="E96" s="311"/>
      <c r="F9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96" s="312" t="str">
        <f>IF(База[[#This Row],[Тип]]=0,IF(SUMPRODUCT((База[[#This Row],[Артикул]]=Комплекты[Комплект])*1)=0,"НЕТ","ОК"),"ОК")</f>
        <v>ОК</v>
      </c>
      <c r="H96" s="312" t="str">
        <f>IF(SUMPRODUCT((База[[#This Row],[Артикул]]=ПНЕВМАТИКА!$G$6:$G$330)*1)=0,"НЕТ","ОК")</f>
        <v>НЕТ</v>
      </c>
      <c r="I96" s="312" t="str">
        <f>IF(SUMPRODUCT((База[[#This Row],[Артикул]]=ТОРМОЗ!$G$6:$G$64)*1)=0,"НЕТ","ОК")</f>
        <v>ОК</v>
      </c>
    </row>
    <row r="97" spans="1:9">
      <c r="A97" s="302">
        <f>ROW()-ROW(База[[#Headers],[№]])</f>
        <v>96</v>
      </c>
      <c r="B97" s="311" t="s">
        <v>361</v>
      </c>
      <c r="C97" s="399">
        <v>9254800620</v>
      </c>
      <c r="D97" s="378" t="s">
        <v>48</v>
      </c>
      <c r="E97" s="311"/>
      <c r="F9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97" s="312" t="str">
        <f>IF(База[[#This Row],[Тип]]=0,IF(SUMPRODUCT((База[[#This Row],[Артикул]]=Комплекты[Комплект])*1)=0,"НЕТ","ОК"),"ОК")</f>
        <v>ОК</v>
      </c>
      <c r="H97" s="312" t="str">
        <f>IF(SUMPRODUCT((База[[#This Row],[Артикул]]=ПНЕВМАТИКА!$G$6:$G$330)*1)=0,"НЕТ","ОК")</f>
        <v>НЕТ</v>
      </c>
      <c r="I97" s="312" t="str">
        <f>IF(SUMPRODUCT((База[[#This Row],[Артикул]]=ТОРМОЗ!$G$6:$G$64)*1)=0,"НЕТ","ОК")</f>
        <v>ОК</v>
      </c>
    </row>
    <row r="98" spans="1:9">
      <c r="A98" s="302">
        <f>ROW()-ROW(База[[#Headers],[№]])</f>
        <v>97</v>
      </c>
      <c r="B98" s="311" t="s">
        <v>361</v>
      </c>
      <c r="C98" s="399">
        <v>9254849611</v>
      </c>
      <c r="D98" s="378" t="s">
        <v>48</v>
      </c>
      <c r="E98" s="311"/>
      <c r="F9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98" s="312" t="str">
        <f>IF(База[[#This Row],[Тип]]=0,IF(SUMPRODUCT((База[[#This Row],[Артикул]]=Комплекты[Комплект])*1)=0,"НЕТ","ОК"),"ОК")</f>
        <v>ОК</v>
      </c>
      <c r="H98" s="312" t="str">
        <f>IF(SUMPRODUCT((База[[#This Row],[Артикул]]=ПНЕВМАТИКА!$G$6:$G$330)*1)=0,"НЕТ","ОК")</f>
        <v>НЕТ</v>
      </c>
      <c r="I98" s="312" t="str">
        <f>IF(SUMPRODUCT((База[[#This Row],[Артикул]]=ТОРМОЗ!$G$6:$G$64)*1)=0,"НЕТ","ОК")</f>
        <v>ОК</v>
      </c>
    </row>
    <row r="99" spans="1:9">
      <c r="A99" s="302">
        <f>ROW()-ROW(База[[#Headers],[№]])</f>
        <v>98</v>
      </c>
      <c r="B99" s="311" t="s">
        <v>361</v>
      </c>
      <c r="C99" s="399" t="s">
        <v>41</v>
      </c>
      <c r="D99" s="378" t="s">
        <v>42</v>
      </c>
      <c r="E99" s="311"/>
      <c r="F9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99" s="312" t="str">
        <f>IF(База[[#This Row],[Тип]]=0,IF(SUMPRODUCT((База[[#This Row],[Артикул]]=Комплекты[Комплект])*1)=0,"НЕТ","ОК"),"ОК")</f>
        <v>ОК</v>
      </c>
      <c r="H99" s="312" t="str">
        <f>IF(SUMPRODUCT((База[[#This Row],[Артикул]]=ПНЕВМАТИКА!$G$6:$G$330)*1)=0,"НЕТ","ОК")</f>
        <v>НЕТ</v>
      </c>
      <c r="I99" s="312" t="str">
        <f>IF(SUMPRODUCT((База[[#This Row],[Артикул]]=ТОРМОЗ!$G$6:$G$64)*1)=0,"НЕТ","ОК")</f>
        <v>ОК</v>
      </c>
    </row>
    <row r="100" spans="1:9">
      <c r="A100" s="302">
        <f>ROW()-ROW(База[[#Headers],[№]])</f>
        <v>99</v>
      </c>
      <c r="B100" s="311" t="s">
        <v>362</v>
      </c>
      <c r="C100" s="399">
        <v>8282510086</v>
      </c>
      <c r="D100" s="378" t="s">
        <v>152</v>
      </c>
      <c r="E100" s="311"/>
      <c r="F10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00" s="312" t="str">
        <f>IF(База[[#This Row],[Тип]]=0,IF(SUMPRODUCT((База[[#This Row],[Артикул]]=Комплекты[Комплект])*1)=0,"НЕТ","ОК"),"ОК")</f>
        <v>ОК</v>
      </c>
      <c r="H100" s="312" t="str">
        <f>IF(SUMPRODUCT((База[[#This Row],[Артикул]]=ПНЕВМАТИКА!$G$6:$G$330)*1)=0,"НЕТ","ОК")</f>
        <v>ОК</v>
      </c>
      <c r="I100" s="312" t="str">
        <f>IF(SUMPRODUCT((База[[#This Row],[Артикул]]=ТОРМОЗ!$G$6:$G$64)*1)=0,"НЕТ","ОК")</f>
        <v>НЕТ</v>
      </c>
    </row>
    <row r="101" spans="1:9">
      <c r="A101" s="302">
        <f>ROW()-ROW(База[[#Headers],[№]])</f>
        <v>100</v>
      </c>
      <c r="B101" s="311" t="s">
        <v>362</v>
      </c>
      <c r="C101" s="399">
        <v>8282510106</v>
      </c>
      <c r="D101" s="378" t="s">
        <v>153</v>
      </c>
      <c r="E101" s="311"/>
      <c r="F10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01" s="312" t="str">
        <f>IF(База[[#This Row],[Тип]]=0,IF(SUMPRODUCT((База[[#This Row],[Артикул]]=Комплекты[Комплект])*1)=0,"НЕТ","ОК"),"ОК")</f>
        <v>ОК</v>
      </c>
      <c r="H101" s="312" t="str">
        <f>IF(SUMPRODUCT((База[[#This Row],[Артикул]]=ПНЕВМАТИКА!$G$6:$G$330)*1)=0,"НЕТ","ОК")</f>
        <v>ОК</v>
      </c>
      <c r="I101" s="312" t="str">
        <f>IF(SUMPRODUCT((База[[#This Row],[Артикул]]=ТОРМОЗ!$G$6:$G$64)*1)=0,"НЕТ","ОК")</f>
        <v>НЕТ</v>
      </c>
    </row>
    <row r="102" spans="1:9">
      <c r="A102" s="302">
        <f>ROW()-ROW(База[[#Headers],[№]])</f>
        <v>101</v>
      </c>
      <c r="B102" s="311" t="s">
        <v>362</v>
      </c>
      <c r="C102" s="399">
        <v>8282510126</v>
      </c>
      <c r="D102" s="378" t="s">
        <v>154</v>
      </c>
      <c r="E102" s="311"/>
      <c r="F10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02" s="312" t="str">
        <f>IF(База[[#This Row],[Тип]]=0,IF(SUMPRODUCT((База[[#This Row],[Артикул]]=Комплекты[Комплект])*1)=0,"НЕТ","ОК"),"ОК")</f>
        <v>ОК</v>
      </c>
      <c r="H102" s="312" t="str">
        <f>IF(SUMPRODUCT((База[[#This Row],[Артикул]]=ПНЕВМАТИКА!$G$6:$G$330)*1)=0,"НЕТ","ОК")</f>
        <v>ОК</v>
      </c>
      <c r="I102" s="312" t="str">
        <f>IF(SUMPRODUCT((База[[#This Row],[Артикул]]=ТОРМОЗ!$G$6:$G$64)*1)=0,"НЕТ","ОК")</f>
        <v>НЕТ</v>
      </c>
    </row>
    <row r="103" spans="1:9">
      <c r="A103" s="302">
        <f>ROW()-ROW(База[[#Headers],[№]])</f>
        <v>102</v>
      </c>
      <c r="B103" s="311" t="s">
        <v>362</v>
      </c>
      <c r="C103" s="399">
        <v>8282519676</v>
      </c>
      <c r="D103" s="378" t="s">
        <v>151</v>
      </c>
      <c r="E103" s="311"/>
      <c r="F10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03" s="312" t="str">
        <f>IF(База[[#This Row],[Тип]]=0,IF(SUMPRODUCT((База[[#This Row],[Артикул]]=Комплекты[Комплект])*1)=0,"НЕТ","ОК"),"ОК")</f>
        <v>ОК</v>
      </c>
      <c r="H103" s="312" t="str">
        <f>IF(SUMPRODUCT((База[[#This Row],[Артикул]]=ПНЕВМАТИКА!$G$6:$G$330)*1)=0,"НЕТ","ОК")</f>
        <v>ОК</v>
      </c>
      <c r="I103" s="312" t="str">
        <f>IF(SUMPRODUCT((База[[#This Row],[Артикул]]=ТОРМОЗ!$G$6:$G$64)*1)=0,"НЕТ","ОК")</f>
        <v>НЕТ</v>
      </c>
    </row>
    <row r="104" spans="1:9">
      <c r="A104" s="302">
        <f>ROW()-ROW(База[[#Headers],[№]])</f>
        <v>103</v>
      </c>
      <c r="B104" s="311" t="s">
        <v>362</v>
      </c>
      <c r="C104" s="399">
        <v>8282519726</v>
      </c>
      <c r="D104" s="378" t="s">
        <v>155</v>
      </c>
      <c r="E104" s="311"/>
      <c r="F10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04" s="312" t="str">
        <f>IF(База[[#This Row],[Тип]]=0,IF(SUMPRODUCT((База[[#This Row],[Артикул]]=Комплекты[Комплект])*1)=0,"НЕТ","ОК"),"ОК")</f>
        <v>ОК</v>
      </c>
      <c r="H104" s="312" t="str">
        <f>IF(SUMPRODUCT((База[[#This Row],[Артикул]]=ПНЕВМАТИКА!$G$6:$G$330)*1)=0,"НЕТ","ОК")</f>
        <v>ОК</v>
      </c>
      <c r="I104" s="312" t="str">
        <f>IF(SUMPRODUCT((База[[#This Row],[Артикул]]=ТОРМОЗ!$G$6:$G$64)*1)=0,"НЕТ","ОК")</f>
        <v>НЕТ</v>
      </c>
    </row>
    <row r="105" spans="1:9">
      <c r="A105" s="302">
        <f>ROW()-ROW(База[[#Headers],[№]])</f>
        <v>104</v>
      </c>
      <c r="B105" s="311" t="s">
        <v>362</v>
      </c>
      <c r="C105" s="399">
        <v>8282520016</v>
      </c>
      <c r="D105" s="378" t="s">
        <v>156</v>
      </c>
      <c r="E105" s="311"/>
      <c r="F10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05" s="312" t="str">
        <f>IF(База[[#This Row],[Тип]]=0,IF(SUMPRODUCT((База[[#This Row],[Артикул]]=Комплекты[Комплект])*1)=0,"НЕТ","ОК"),"ОК")</f>
        <v>ОК</v>
      </c>
      <c r="H105" s="312" t="str">
        <f>IF(SUMPRODUCT((База[[#This Row],[Артикул]]=ПНЕВМАТИКА!$G$6:$G$330)*1)=0,"НЕТ","ОК")</f>
        <v>НЕТ</v>
      </c>
      <c r="I105" s="312" t="str">
        <f>IF(SUMPRODUCT((База[[#This Row],[Артикул]]=ТОРМОЗ!$G$6:$G$64)*1)=0,"НЕТ","ОК")</f>
        <v>НЕТ</v>
      </c>
    </row>
    <row r="106" spans="1:9">
      <c r="A106" s="302">
        <f>ROW()-ROW(База[[#Headers],[№]])</f>
        <v>105</v>
      </c>
      <c r="B106" s="311" t="s">
        <v>363</v>
      </c>
      <c r="C106" s="399">
        <v>4341000270</v>
      </c>
      <c r="D106" s="378" t="s">
        <v>92</v>
      </c>
      <c r="E106" s="311"/>
      <c r="F10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06" s="312" t="str">
        <f>IF(База[[#This Row],[Тип]]=0,IF(SUMPRODUCT((База[[#This Row],[Артикул]]=Комплекты[Комплект])*1)=0,"НЕТ","ОК"),"ОК")</f>
        <v>ОК</v>
      </c>
      <c r="H106" s="312" t="str">
        <f>IF(SUMPRODUCT((База[[#This Row],[Артикул]]=ПНЕВМАТИКА!$G$6:$G$330)*1)=0,"НЕТ","ОК")</f>
        <v>НЕТ</v>
      </c>
      <c r="I106" s="312" t="str">
        <f>IF(SUMPRODUCT((База[[#This Row],[Артикул]]=ТОРМОЗ!$G$6:$G$64)*1)=0,"НЕТ","ОК")</f>
        <v>НЕТ</v>
      </c>
    </row>
    <row r="107" spans="1:9">
      <c r="A107" s="302">
        <f>ROW()-ROW(База[[#Headers],[№]])</f>
        <v>106</v>
      </c>
      <c r="B107" s="311" t="s">
        <v>363</v>
      </c>
      <c r="C107" s="399">
        <v>4341001250</v>
      </c>
      <c r="D107" s="378" t="s">
        <v>92</v>
      </c>
      <c r="E107" s="311"/>
      <c r="F10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07" s="312" t="str">
        <f>IF(База[[#This Row],[Тип]]=0,IF(SUMPRODUCT((База[[#This Row],[Артикул]]=Комплекты[Комплект])*1)=0,"НЕТ","ОК"),"ОК")</f>
        <v>ОК</v>
      </c>
      <c r="H107" s="312" t="str">
        <f>IF(SUMPRODUCT((База[[#This Row],[Артикул]]=ПНЕВМАТИКА!$G$6:$G$330)*1)=0,"НЕТ","ОК")</f>
        <v>ОК</v>
      </c>
      <c r="I107" s="312" t="str">
        <f>IF(SUMPRODUCT((База[[#This Row],[Артикул]]=ТОРМОЗ!$G$6:$G$64)*1)=0,"НЕТ","ОК")</f>
        <v>НЕТ</v>
      </c>
    </row>
    <row r="108" spans="1:9">
      <c r="A108" s="302">
        <f>ROW()-ROW(База[[#Headers],[№]])</f>
        <v>107</v>
      </c>
      <c r="B108" s="311" t="s">
        <v>363</v>
      </c>
      <c r="C108" s="399">
        <v>4750103050</v>
      </c>
      <c r="D108" s="378" t="s">
        <v>88</v>
      </c>
      <c r="E108" s="311"/>
      <c r="F10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08" s="312" t="str">
        <f>IF(База[[#This Row],[Тип]]=0,IF(SUMPRODUCT((База[[#This Row],[Артикул]]=Комплекты[Комплект])*1)=0,"НЕТ","ОК"),"ОК")</f>
        <v>ОК</v>
      </c>
      <c r="H108" s="312" t="str">
        <f>IF(SUMPRODUCT((База[[#This Row],[Артикул]]=ПНЕВМАТИКА!$G$6:$G$330)*1)=0,"НЕТ","ОК")</f>
        <v>ОК</v>
      </c>
      <c r="I108" s="312" t="str">
        <f>IF(SUMPRODUCT((База[[#This Row],[Артикул]]=ТОРМОЗ!$G$6:$G$64)*1)=0,"НЕТ","ОК")</f>
        <v>НЕТ</v>
      </c>
    </row>
    <row r="109" spans="1:9">
      <c r="A109" s="302">
        <f>ROW()-ROW(База[[#Headers],[№]])</f>
        <v>108</v>
      </c>
      <c r="B109" s="311" t="s">
        <v>364</v>
      </c>
      <c r="C109" s="399">
        <v>828877016</v>
      </c>
      <c r="D109" s="378" t="s">
        <v>123</v>
      </c>
      <c r="E109" s="311"/>
      <c r="F10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09" s="312" t="str">
        <f>IF(База[[#This Row],[Тип]]=0,IF(SUMPRODUCT((База[[#This Row],[Артикул]]=Комплекты[Комплект])*1)=0,"НЕТ","ОК"),"ОК")</f>
        <v>ОК</v>
      </c>
      <c r="H109" s="312" t="str">
        <f>IF(SUMPRODUCT((База[[#This Row],[Артикул]]=ПНЕВМАТИКА!$G$6:$G$330)*1)=0,"НЕТ","ОК")</f>
        <v>ОК</v>
      </c>
      <c r="I109" s="312" t="str">
        <f>IF(SUMPRODUCT((База[[#This Row],[Артикул]]=ТОРМОЗ!$G$6:$G$64)*1)=0,"НЕТ","ОК")</f>
        <v>НЕТ</v>
      </c>
    </row>
    <row r="110" spans="1:9">
      <c r="A110" s="302">
        <f>ROW()-ROW(База[[#Headers],[№]])</f>
        <v>109</v>
      </c>
      <c r="B110" s="311"/>
      <c r="C110" s="399">
        <v>4441000010</v>
      </c>
      <c r="D110" s="435" t="s">
        <v>453</v>
      </c>
      <c r="E110" s="311"/>
      <c r="F11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10" s="312" t="str">
        <f>IF(База[[#This Row],[Тип]]=0,IF(SUMPRODUCT((База[[#This Row],[Артикул]]=Комплекты[Комплект])*1)=0,"НЕТ","ОК"),"ОК")</f>
        <v>НЕТ</v>
      </c>
      <c r="H110" s="312" t="str">
        <f>IF(SUMPRODUCT((База[[#This Row],[Артикул]]=ПНЕВМАТИКА!$G$6:$G$330)*1)=0,"НЕТ","ОК")</f>
        <v>НЕТ</v>
      </c>
      <c r="I110" s="312" t="str">
        <f>IF(SUMPRODUCT((База[[#This Row],[Артикул]]=ТОРМОЗ!$G$6:$G$64)*1)=0,"НЕТ","ОК")</f>
        <v>НЕТ</v>
      </c>
    </row>
    <row r="111" spans="1:9">
      <c r="A111" s="302">
        <f>ROW()-ROW(База[[#Headers],[№]])</f>
        <v>110</v>
      </c>
      <c r="B111" s="311"/>
      <c r="C111" s="399">
        <v>4441000020</v>
      </c>
      <c r="D111" s="435" t="s">
        <v>445</v>
      </c>
      <c r="E111" s="311"/>
      <c r="F11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11" s="312" t="str">
        <f>IF(База[[#This Row],[Тип]]=0,IF(SUMPRODUCT((База[[#This Row],[Артикул]]=Комплекты[Комплект])*1)=0,"НЕТ","ОК"),"ОК")</f>
        <v>ОК</v>
      </c>
      <c r="H111" s="312" t="str">
        <f>IF(SUMPRODUCT((База[[#This Row],[Артикул]]=ПНЕВМАТИКА!$G$6:$G$330)*1)=0,"НЕТ","ОК")</f>
        <v>ОК</v>
      </c>
      <c r="I111" s="312" t="str">
        <f>IF(SUMPRODUCT((База[[#This Row],[Артикул]]=ТОРМОЗ!$G$6:$G$64)*1)=0,"НЕТ","ОК")</f>
        <v>НЕТ</v>
      </c>
    </row>
    <row r="112" spans="1:9">
      <c r="A112" s="302">
        <f>ROW()-ROW(База[[#Headers],[№]])</f>
        <v>111</v>
      </c>
      <c r="B112" s="311"/>
      <c r="C112" s="399">
        <v>4441000040</v>
      </c>
      <c r="D112" s="435" t="s">
        <v>421</v>
      </c>
      <c r="E112" s="311"/>
      <c r="F11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12" s="312" t="str">
        <f>IF(База[[#This Row],[Тип]]=0,IF(SUMPRODUCT((База[[#This Row],[Артикул]]=Комплекты[Комплект])*1)=0,"НЕТ","ОК"),"ОК")</f>
        <v>ОК</v>
      </c>
      <c r="H112" s="312" t="str">
        <f>IF(SUMPRODUCT((База[[#This Row],[Артикул]]=ПНЕВМАТИКА!$G$6:$G$330)*1)=0,"НЕТ","ОК")</f>
        <v>ОК</v>
      </c>
      <c r="I112" s="312" t="str">
        <f>IF(SUMPRODUCT((База[[#This Row],[Артикул]]=ТОРМОЗ!$G$6:$G$64)*1)=0,"НЕТ","ОК")</f>
        <v>НЕТ</v>
      </c>
    </row>
    <row r="113" spans="1:9">
      <c r="A113" s="302">
        <f>ROW()-ROW(База[[#Headers],[№]])</f>
        <v>112</v>
      </c>
      <c r="B113" s="311"/>
      <c r="C113" s="399">
        <v>4441000050</v>
      </c>
      <c r="D113" s="435" t="s">
        <v>432</v>
      </c>
      <c r="E113" s="311" t="s">
        <v>485</v>
      </c>
      <c r="F11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13" s="312" t="str">
        <f>IF(База[[#This Row],[Тип]]=0,IF(SUMPRODUCT((База[[#This Row],[Артикул]]=Комплекты[Комплект])*1)=0,"НЕТ","ОК"),"ОК")</f>
        <v>ОК</v>
      </c>
      <c r="H113" s="312" t="str">
        <f>IF(SUMPRODUCT((База[[#This Row],[Артикул]]=ПНЕВМАТИКА!$G$6:$G$330)*1)=0,"НЕТ","ОК")</f>
        <v>ОК</v>
      </c>
      <c r="I113" s="312" t="str">
        <f>IF(SUMPRODUCT((База[[#This Row],[Артикул]]=ТОРМОЗ!$G$6:$G$64)*1)=0,"НЕТ","ОК")</f>
        <v>НЕТ</v>
      </c>
    </row>
    <row r="114" spans="1:9">
      <c r="A114" s="302">
        <f>ROW()-ROW(База[[#Headers],[№]])</f>
        <v>113</v>
      </c>
      <c r="B114" s="311"/>
      <c r="C114" s="399">
        <v>4441000060</v>
      </c>
      <c r="D114" s="435" t="s">
        <v>432</v>
      </c>
      <c r="E114" s="311" t="s">
        <v>486</v>
      </c>
      <c r="F11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14" s="312" t="str">
        <f>IF(База[[#This Row],[Тип]]=0,IF(SUMPRODUCT((База[[#This Row],[Артикул]]=Комплекты[Комплект])*1)=0,"НЕТ","ОК"),"ОК")</f>
        <v>ОК</v>
      </c>
      <c r="H114" s="312" t="str">
        <f>IF(SUMPRODUCT((База[[#This Row],[Артикул]]=ПНЕВМАТИКА!$G$6:$G$330)*1)=0,"НЕТ","ОК")</f>
        <v>ОК</v>
      </c>
      <c r="I114" s="312" t="str">
        <f>IF(SUMPRODUCT((База[[#This Row],[Артикул]]=ТОРМОЗ!$G$6:$G$64)*1)=0,"НЕТ","ОК")</f>
        <v>НЕТ</v>
      </c>
    </row>
    <row r="115" spans="1:9">
      <c r="A115" s="302">
        <f>ROW()-ROW(База[[#Headers],[№]])</f>
        <v>114</v>
      </c>
      <c r="B115" s="311"/>
      <c r="C115" s="399">
        <v>4441000070</v>
      </c>
      <c r="D115" s="435" t="s">
        <v>433</v>
      </c>
      <c r="E115" s="311" t="s">
        <v>485</v>
      </c>
      <c r="F11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15" s="312" t="str">
        <f>IF(База[[#This Row],[Тип]]=0,IF(SUMPRODUCT((База[[#This Row],[Артикул]]=Комплекты[Комплект])*1)=0,"НЕТ","ОК"),"ОК")</f>
        <v>ОК</v>
      </c>
      <c r="H115" s="312" t="str">
        <f>IF(SUMPRODUCT((База[[#This Row],[Артикул]]=ПНЕВМАТИКА!$G$6:$G$330)*1)=0,"НЕТ","ОК")</f>
        <v>НЕТ</v>
      </c>
      <c r="I115" s="312" t="str">
        <f>IF(SUMPRODUCT((База[[#This Row],[Артикул]]=ТОРМОЗ!$G$6:$G$64)*1)=0,"НЕТ","ОК")</f>
        <v>НЕТ</v>
      </c>
    </row>
    <row r="116" spans="1:9">
      <c r="A116" s="302">
        <f>ROW()-ROW(База[[#Headers],[№]])</f>
        <v>115</v>
      </c>
      <c r="B116" s="311"/>
      <c r="C116" s="399">
        <v>4441000080</v>
      </c>
      <c r="D116" s="435" t="s">
        <v>433</v>
      </c>
      <c r="E116" s="311" t="s">
        <v>486</v>
      </c>
      <c r="F11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16" s="312" t="str">
        <f>IF(База[[#This Row],[Тип]]=0,IF(SUMPRODUCT((База[[#This Row],[Артикул]]=Комплекты[Комплект])*1)=0,"НЕТ","ОК"),"ОК")</f>
        <v>ОК</v>
      </c>
      <c r="H116" s="312" t="str">
        <f>IF(SUMPRODUCT((База[[#This Row],[Артикул]]=ПНЕВМАТИКА!$G$6:$G$330)*1)=0,"НЕТ","ОК")</f>
        <v>НЕТ</v>
      </c>
      <c r="I116" s="312" t="str">
        <f>IF(SUMPRODUCT((База[[#This Row],[Артикул]]=ТОРМОЗ!$G$6:$G$64)*1)=0,"НЕТ","ОК")</f>
        <v>НЕТ</v>
      </c>
    </row>
    <row r="117" spans="1:9">
      <c r="A117" s="302">
        <f>ROW()-ROW(База[[#Headers],[№]])</f>
        <v>116</v>
      </c>
      <c r="B117" s="311"/>
      <c r="C117" s="399">
        <v>4441000090</v>
      </c>
      <c r="D117" s="435" t="s">
        <v>434</v>
      </c>
      <c r="E117" s="311" t="s">
        <v>485</v>
      </c>
      <c r="F11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17" s="312" t="str">
        <f>IF(База[[#This Row],[Тип]]=0,IF(SUMPRODUCT((База[[#This Row],[Артикул]]=Комплекты[Комплект])*1)=0,"НЕТ","ОК"),"ОК")</f>
        <v>ОК</v>
      </c>
      <c r="H117" s="312" t="str">
        <f>IF(SUMPRODUCT((База[[#This Row],[Артикул]]=ПНЕВМАТИКА!$G$6:$G$330)*1)=0,"НЕТ","ОК")</f>
        <v>ОК</v>
      </c>
      <c r="I117" s="312" t="str">
        <f>IF(SUMPRODUCT((База[[#This Row],[Артикул]]=ТОРМОЗ!$G$6:$G$64)*1)=0,"НЕТ","ОК")</f>
        <v>НЕТ</v>
      </c>
    </row>
    <row r="118" spans="1:9">
      <c r="A118" s="302">
        <f>ROW()-ROW(База[[#Headers],[№]])</f>
        <v>117</v>
      </c>
      <c r="B118" s="311"/>
      <c r="C118" s="399">
        <v>4441000100</v>
      </c>
      <c r="D118" s="435" t="s">
        <v>434</v>
      </c>
      <c r="E118" s="311" t="s">
        <v>486</v>
      </c>
      <c r="F11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18" s="312" t="str">
        <f>IF(База[[#This Row],[Тип]]=0,IF(SUMPRODUCT((База[[#This Row],[Артикул]]=Комплекты[Комплект])*1)=0,"НЕТ","ОК"),"ОК")</f>
        <v>ОК</v>
      </c>
      <c r="H118" s="312" t="str">
        <f>IF(SUMPRODUCT((База[[#This Row],[Артикул]]=ПНЕВМАТИКА!$G$6:$G$330)*1)=0,"НЕТ","ОК")</f>
        <v>ОК</v>
      </c>
      <c r="I118" s="312" t="str">
        <f>IF(SUMPRODUCT((База[[#This Row],[Артикул]]=ТОРМОЗ!$G$6:$G$64)*1)=0,"НЕТ","ОК")</f>
        <v>НЕТ</v>
      </c>
    </row>
    <row r="119" spans="1:9">
      <c r="A119" s="302">
        <f>ROW()-ROW(База[[#Headers],[№]])</f>
        <v>118</v>
      </c>
      <c r="B119" s="311"/>
      <c r="C119" s="399">
        <v>4441000110</v>
      </c>
      <c r="D119" s="435" t="s">
        <v>435</v>
      </c>
      <c r="E119" s="404" t="s">
        <v>442</v>
      </c>
      <c r="F11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19" s="312" t="str">
        <f>IF(База[[#This Row],[Тип]]=0,IF(SUMPRODUCT((База[[#This Row],[Артикул]]=Комплекты[Комплект])*1)=0,"НЕТ","ОК"),"ОК")</f>
        <v>НЕТ</v>
      </c>
      <c r="H119" s="312" t="str">
        <f>IF(SUMPRODUCT((База[[#This Row],[Артикул]]=ПНЕВМАТИКА!$G$6:$G$330)*1)=0,"НЕТ","ОК")</f>
        <v>НЕТ</v>
      </c>
      <c r="I119" s="312" t="str">
        <f>IF(SUMPRODUCT((База[[#This Row],[Артикул]]=ТОРМОЗ!$G$6:$G$64)*1)=0,"НЕТ","ОК")</f>
        <v>НЕТ</v>
      </c>
    </row>
    <row r="120" spans="1:9">
      <c r="A120" s="302">
        <f>ROW()-ROW(База[[#Headers],[№]])</f>
        <v>119</v>
      </c>
      <c r="B120" s="311"/>
      <c r="C120" s="399">
        <v>4441000120</v>
      </c>
      <c r="D120" s="435" t="s">
        <v>435</v>
      </c>
      <c r="E120" s="311" t="s">
        <v>486</v>
      </c>
      <c r="F12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20" s="312" t="str">
        <f>IF(База[[#This Row],[Тип]]=0,IF(SUMPRODUCT((База[[#This Row],[Артикул]]=Комплекты[Комплект])*1)=0,"НЕТ","ОК"),"ОК")</f>
        <v>ОК</v>
      </c>
      <c r="H120" s="312" t="str">
        <f>IF(SUMPRODUCT((База[[#This Row],[Артикул]]=ПНЕВМАТИКА!$G$6:$G$330)*1)=0,"НЕТ","ОК")</f>
        <v>ОК</v>
      </c>
      <c r="I120" s="312" t="str">
        <f>IF(SUMPRODUCT((База[[#This Row],[Артикул]]=ТОРМОЗ!$G$6:$G$64)*1)=0,"НЕТ","ОК")</f>
        <v>НЕТ</v>
      </c>
    </row>
    <row r="121" spans="1:9">
      <c r="A121" s="302">
        <f>ROW()-ROW(База[[#Headers],[№]])</f>
        <v>120</v>
      </c>
      <c r="B121" s="311"/>
      <c r="C121" s="399">
        <v>4441000130</v>
      </c>
      <c r="D121" s="435" t="s">
        <v>436</v>
      </c>
      <c r="E121" s="404" t="s">
        <v>441</v>
      </c>
      <c r="F12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21" s="312" t="str">
        <f>IF(База[[#This Row],[Тип]]=0,IF(SUMPRODUCT((База[[#This Row],[Артикул]]=Комплекты[Комплект])*1)=0,"НЕТ","ОК"),"ОК")</f>
        <v>НЕТ</v>
      </c>
      <c r="H121" s="312" t="str">
        <f>IF(SUMPRODUCT((База[[#This Row],[Артикул]]=ПНЕВМАТИКА!$G$6:$G$330)*1)=0,"НЕТ","ОК")</f>
        <v>НЕТ</v>
      </c>
      <c r="I121" s="312" t="str">
        <f>IF(SUMPRODUCT((База[[#This Row],[Артикул]]=ТОРМОЗ!$G$6:$G$64)*1)=0,"НЕТ","ОК")</f>
        <v>НЕТ</v>
      </c>
    </row>
    <row r="122" spans="1:9">
      <c r="A122" s="302">
        <f>ROW()-ROW(База[[#Headers],[№]])</f>
        <v>121</v>
      </c>
      <c r="B122" s="311"/>
      <c r="C122" s="399">
        <v>4441000140</v>
      </c>
      <c r="D122" s="435" t="s">
        <v>436</v>
      </c>
      <c r="E122" s="311" t="s">
        <v>486</v>
      </c>
      <c r="F12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22" s="312" t="str">
        <f>IF(База[[#This Row],[Тип]]=0,IF(SUMPRODUCT((База[[#This Row],[Артикул]]=Комплекты[Комплект])*1)=0,"НЕТ","ОК"),"ОК")</f>
        <v>ОК</v>
      </c>
      <c r="H122" s="312" t="str">
        <f>IF(SUMPRODUCT((База[[#This Row],[Артикул]]=ПНЕВМАТИКА!$G$6:$G$330)*1)=0,"НЕТ","ОК")</f>
        <v>НЕТ</v>
      </c>
      <c r="I122" s="312" t="str">
        <f>IF(SUMPRODUCT((База[[#This Row],[Артикул]]=ТОРМОЗ!$G$6:$G$64)*1)=0,"НЕТ","ОК")</f>
        <v>НЕТ</v>
      </c>
    </row>
    <row r="123" spans="1:9">
      <c r="A123" s="302">
        <f>ROW()-ROW(База[[#Headers],[№]])</f>
        <v>122</v>
      </c>
      <c r="B123" s="311"/>
      <c r="C123" s="399">
        <v>4441000150</v>
      </c>
      <c r="D123" s="435" t="s">
        <v>437</v>
      </c>
      <c r="E123" s="404" t="s">
        <v>440</v>
      </c>
      <c r="F12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23" s="312" t="str">
        <f>IF(База[[#This Row],[Тип]]=0,IF(SUMPRODUCT((База[[#This Row],[Артикул]]=Комплекты[Комплект])*1)=0,"НЕТ","ОК"),"ОК")</f>
        <v>НЕТ</v>
      </c>
      <c r="H123" s="312" t="str">
        <f>IF(SUMPRODUCT((База[[#This Row],[Артикул]]=ПНЕВМАТИКА!$G$6:$G$330)*1)=0,"НЕТ","ОК")</f>
        <v>НЕТ</v>
      </c>
      <c r="I123" s="312" t="str">
        <f>IF(SUMPRODUCT((База[[#This Row],[Артикул]]=ТОРМОЗ!$G$6:$G$64)*1)=0,"НЕТ","ОК")</f>
        <v>НЕТ</v>
      </c>
    </row>
    <row r="124" spans="1:9">
      <c r="A124" s="302">
        <f>ROW()-ROW(База[[#Headers],[№]])</f>
        <v>123</v>
      </c>
      <c r="B124" s="311"/>
      <c r="C124" s="399">
        <v>4441000160</v>
      </c>
      <c r="D124" s="435" t="s">
        <v>437</v>
      </c>
      <c r="E124" s="311" t="s">
        <v>486</v>
      </c>
      <c r="F12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24" s="312" t="str">
        <f>IF(База[[#This Row],[Тип]]=0,IF(SUMPRODUCT((База[[#This Row],[Артикул]]=Комплекты[Комплект])*1)=0,"НЕТ","ОК"),"ОК")</f>
        <v>ОК</v>
      </c>
      <c r="H124" s="312" t="str">
        <f>IF(SUMPRODUCT((База[[#This Row],[Артикул]]=ПНЕВМАТИКА!$G$6:$G$330)*1)=0,"НЕТ","ОК")</f>
        <v>ОК</v>
      </c>
      <c r="I124" s="312" t="str">
        <f>IF(SUMPRODUCT((База[[#This Row],[Артикул]]=ТОРМОЗ!$G$6:$G$64)*1)=0,"НЕТ","ОК")</f>
        <v>НЕТ</v>
      </c>
    </row>
    <row r="125" spans="1:9">
      <c r="A125" s="302">
        <f>ROW()-ROW(База[[#Headers],[№]])</f>
        <v>124</v>
      </c>
      <c r="B125" s="311"/>
      <c r="C125" s="399">
        <v>4441000170</v>
      </c>
      <c r="D125" s="435" t="s">
        <v>484</v>
      </c>
      <c r="E125" s="311" t="s">
        <v>487</v>
      </c>
      <c r="F12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25" s="312" t="str">
        <f>IF(База[[#This Row],[Тип]]=0,IF(SUMPRODUCT((База[[#This Row],[Артикул]]=Комплекты[Комплект])*1)=0,"НЕТ","ОК"),"ОК")</f>
        <v>НЕТ</v>
      </c>
      <c r="H125" s="312" t="str">
        <f>IF(SUMPRODUCT((База[[#This Row],[Артикул]]=ПНЕВМАТИКА!$G$6:$G$330)*1)=0,"НЕТ","ОК")</f>
        <v>НЕТ</v>
      </c>
      <c r="I125" s="312" t="str">
        <f>IF(SUMPRODUCT((База[[#This Row],[Артикул]]=ТОРМОЗ!$G$6:$G$64)*1)=0,"НЕТ","ОК")</f>
        <v>НЕТ</v>
      </c>
    </row>
    <row r="126" spans="1:9">
      <c r="A126" s="302">
        <f>ROW()-ROW(База[[#Headers],[№]])</f>
        <v>125</v>
      </c>
      <c r="B126" s="311"/>
      <c r="C126" s="399">
        <v>4441000180</v>
      </c>
      <c r="D126" s="435" t="s">
        <v>483</v>
      </c>
      <c r="E126" s="311" t="s">
        <v>488</v>
      </c>
      <c r="F12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26" s="312" t="str">
        <f>IF(База[[#This Row],[Тип]]=0,IF(SUMPRODUCT((База[[#This Row],[Артикул]]=Комплекты[Комплект])*1)=0,"НЕТ","ОК"),"ОК")</f>
        <v>ОК</v>
      </c>
      <c r="H126" s="312" t="str">
        <f>IF(SUMPRODUCT((База[[#This Row],[Артикул]]=ПНЕВМАТИКА!$G$6:$G$330)*1)=0,"НЕТ","ОК")</f>
        <v>ОК</v>
      </c>
      <c r="I126" s="312" t="str">
        <f>IF(SUMPRODUCT((База[[#This Row],[Артикул]]=ТОРМОЗ!$G$6:$G$64)*1)=0,"НЕТ","ОК")</f>
        <v>НЕТ</v>
      </c>
    </row>
    <row r="127" spans="1:9">
      <c r="A127" s="302">
        <f>ROW()-ROW(База[[#Headers],[№]])</f>
        <v>126</v>
      </c>
      <c r="B127" s="311"/>
      <c r="C127" s="399">
        <v>4441000200</v>
      </c>
      <c r="D127" s="435" t="s">
        <v>446</v>
      </c>
      <c r="E127" s="311"/>
      <c r="F12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27" s="312" t="str">
        <f>IF(База[[#This Row],[Тип]]=0,IF(SUMPRODUCT((База[[#This Row],[Артикул]]=Комплекты[Комплект])*1)=0,"НЕТ","ОК"),"ОК")</f>
        <v>ОК</v>
      </c>
      <c r="H127" s="312" t="str">
        <f>IF(SUMPRODUCT((База[[#This Row],[Артикул]]=ПНЕВМАТИКА!$G$6:$G$330)*1)=0,"НЕТ","ОК")</f>
        <v>ОК</v>
      </c>
      <c r="I127" s="312" t="str">
        <f>IF(SUMPRODUCT((База[[#This Row],[Артикул]]=ТОРМОЗ!$G$6:$G$64)*1)=0,"НЕТ","ОК")</f>
        <v>НЕТ</v>
      </c>
    </row>
    <row r="128" spans="1:9">
      <c r="A128" s="302">
        <f>ROW()-ROW(База[[#Headers],[№]])</f>
        <v>127</v>
      </c>
      <c r="B128" s="311"/>
      <c r="C128" s="399">
        <v>4441000210</v>
      </c>
      <c r="D128" s="435" t="s">
        <v>443</v>
      </c>
      <c r="E128" s="311"/>
      <c r="F12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28" s="312" t="str">
        <f>IF(База[[#This Row],[Тип]]=0,IF(SUMPRODUCT((База[[#This Row],[Артикул]]=Комплекты[Комплект])*1)=0,"НЕТ","ОК"),"ОК")</f>
        <v>ОК</v>
      </c>
      <c r="H128" s="312" t="str">
        <f>IF(SUMPRODUCT((База[[#This Row],[Артикул]]=ПНЕВМАТИКА!$G$6:$G$330)*1)=0,"НЕТ","ОК")</f>
        <v>ОК</v>
      </c>
      <c r="I128" s="312" t="str">
        <f>IF(SUMPRODUCT((База[[#This Row],[Артикул]]=ТОРМОЗ!$G$6:$G$64)*1)=0,"НЕТ","ОК")</f>
        <v>НЕТ</v>
      </c>
    </row>
    <row r="129" spans="1:9">
      <c r="A129" s="302">
        <f>ROW()-ROW(База[[#Headers],[№]])</f>
        <v>128</v>
      </c>
      <c r="B129" s="311"/>
      <c r="C129" s="399">
        <v>4441000220</v>
      </c>
      <c r="D129" s="435" t="s">
        <v>415</v>
      </c>
      <c r="E129" s="311"/>
      <c r="F12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29" s="312" t="str">
        <f>IF(База[[#This Row],[Тип]]=0,IF(SUMPRODUCT((База[[#This Row],[Артикул]]=Комплекты[Комплект])*1)=0,"НЕТ","ОК"),"ОК")</f>
        <v>ОК</v>
      </c>
      <c r="H129" s="312" t="str">
        <f>IF(SUMPRODUCT((База[[#This Row],[Артикул]]=ПНЕВМАТИКА!$G$6:$G$330)*1)=0,"НЕТ","ОК")</f>
        <v>ОК</v>
      </c>
      <c r="I129" s="312" t="str">
        <f>IF(SUMPRODUCT((База[[#This Row],[Артикул]]=ТОРМОЗ!$G$6:$G$64)*1)=0,"НЕТ","ОК")</f>
        <v>НЕТ</v>
      </c>
    </row>
    <row r="130" spans="1:9">
      <c r="A130" s="302">
        <f>ROW()-ROW(База[[#Headers],[№]])</f>
        <v>129</v>
      </c>
      <c r="B130" s="311"/>
      <c r="C130" s="399">
        <v>4441000230</v>
      </c>
      <c r="D130" s="435" t="s">
        <v>491</v>
      </c>
      <c r="E130" s="311"/>
      <c r="F13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30" s="312" t="str">
        <f>IF(База[[#This Row],[Тип]]=0,IF(SUMPRODUCT((База[[#This Row],[Артикул]]=Комплекты[Комплект])*1)=0,"НЕТ","ОК"),"ОК")</f>
        <v>ОК</v>
      </c>
      <c r="H130" s="312" t="str">
        <f>IF(SUMPRODUCT((База[[#This Row],[Артикул]]=ПНЕВМАТИКА!$G$6:$G$330)*1)=0,"НЕТ","ОК")</f>
        <v>ОК</v>
      </c>
      <c r="I130" s="312" t="str">
        <f>IF(SUMPRODUCT((База[[#This Row],[Артикул]]=ТОРМОЗ!$G$6:$G$64)*1)=0,"НЕТ","ОК")</f>
        <v>НЕТ</v>
      </c>
    </row>
    <row r="131" spans="1:9">
      <c r="A131" s="302">
        <f>ROW()-ROW(База[[#Headers],[№]])</f>
        <v>130</v>
      </c>
      <c r="B131" s="311"/>
      <c r="C131" s="399">
        <v>4441000240</v>
      </c>
      <c r="D131" s="435" t="s">
        <v>447</v>
      </c>
      <c r="E131" s="311"/>
      <c r="F13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31" s="312" t="str">
        <f>IF(База[[#This Row],[Тип]]=0,IF(SUMPRODUCT((База[[#This Row],[Артикул]]=Комплекты[Комплект])*1)=0,"НЕТ","ОК"),"ОК")</f>
        <v>НЕТ</v>
      </c>
      <c r="H131" s="312" t="str">
        <f>IF(SUMPRODUCT((База[[#This Row],[Артикул]]=ПНЕВМАТИКА!$G$6:$G$330)*1)=0,"НЕТ","ОК")</f>
        <v>НЕТ</v>
      </c>
      <c r="I131" s="312" t="str">
        <f>IF(SUMPRODUCT((База[[#This Row],[Артикул]]=ТОРМОЗ!$G$6:$G$64)*1)=0,"НЕТ","ОК")</f>
        <v>НЕТ</v>
      </c>
    </row>
    <row r="132" spans="1:9">
      <c r="A132" s="302">
        <f>ROW()-ROW(База[[#Headers],[№]])</f>
        <v>131</v>
      </c>
      <c r="B132" s="311"/>
      <c r="C132" s="399">
        <v>4441000260</v>
      </c>
      <c r="D132" s="435" t="s">
        <v>448</v>
      </c>
      <c r="E132" s="311"/>
      <c r="F13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32" s="312" t="str">
        <f>IF(База[[#This Row],[Тип]]=0,IF(SUMPRODUCT((База[[#This Row],[Артикул]]=Комплекты[Комплект])*1)=0,"НЕТ","ОК"),"ОК")</f>
        <v>ОК</v>
      </c>
      <c r="H132" s="312" t="str">
        <f>IF(SUMPRODUCT((База[[#This Row],[Артикул]]=ПНЕВМАТИКА!$G$6:$G$330)*1)=0,"НЕТ","ОК")</f>
        <v>ОК</v>
      </c>
      <c r="I132" s="312" t="str">
        <f>IF(SUMPRODUCT((База[[#This Row],[Артикул]]=ТОРМОЗ!$G$6:$G$64)*1)=0,"НЕТ","ОК")</f>
        <v>НЕТ</v>
      </c>
    </row>
    <row r="133" spans="1:9">
      <c r="A133" s="302">
        <f>ROW()-ROW(База[[#Headers],[№]])</f>
        <v>132</v>
      </c>
      <c r="B133" s="311"/>
      <c r="C133" s="399">
        <v>4441000350</v>
      </c>
      <c r="D133" s="435" t="s">
        <v>449</v>
      </c>
      <c r="E133" s="311"/>
      <c r="F13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33" s="312" t="str">
        <f>IF(База[[#This Row],[Тип]]=0,IF(SUMPRODUCT((База[[#This Row],[Артикул]]=Комплекты[Комплект])*1)=0,"НЕТ","ОК"),"ОК")</f>
        <v>НЕТ</v>
      </c>
      <c r="H133" s="312" t="str">
        <f>IF(SUMPRODUCT((База[[#This Row],[Артикул]]=ПНЕВМАТИКА!$G$6:$G$330)*1)=0,"НЕТ","ОК")</f>
        <v>НЕТ</v>
      </c>
      <c r="I133" s="312" t="str">
        <f>IF(SUMPRODUCT((База[[#This Row],[Артикул]]=ТОРМОЗ!$G$6:$G$64)*1)=0,"НЕТ","ОК")</f>
        <v>НЕТ</v>
      </c>
    </row>
    <row r="134" spans="1:9">
      <c r="A134" s="302">
        <f>ROW()-ROW(База[[#Headers],[№]])</f>
        <v>133</v>
      </c>
      <c r="B134" s="311"/>
      <c r="C134" s="399">
        <v>4441000380</v>
      </c>
      <c r="D134" s="435" t="s">
        <v>450</v>
      </c>
      <c r="E134" s="311"/>
      <c r="F13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34" s="312" t="str">
        <f>IF(База[[#This Row],[Тип]]=0,IF(SUMPRODUCT((База[[#This Row],[Артикул]]=Комплекты[Комплект])*1)=0,"НЕТ","ОК"),"ОК")</f>
        <v>ОК</v>
      </c>
      <c r="H134" s="312" t="str">
        <f>IF(SUMPRODUCT((База[[#This Row],[Артикул]]=ПНЕВМАТИКА!$G$6:$G$330)*1)=0,"НЕТ","ОК")</f>
        <v>ОК</v>
      </c>
      <c r="I134" s="312" t="str">
        <f>IF(SUMPRODUCT((База[[#This Row],[Артикул]]=ТОРМОЗ!$G$6:$G$64)*1)=0,"НЕТ","ОК")</f>
        <v>НЕТ</v>
      </c>
    </row>
    <row r="135" spans="1:9">
      <c r="A135" s="302">
        <f>ROW()-ROW(База[[#Headers],[№]])</f>
        <v>134</v>
      </c>
      <c r="B135" s="311"/>
      <c r="C135" s="399">
        <v>4441000400</v>
      </c>
      <c r="D135" s="435" t="s">
        <v>465</v>
      </c>
      <c r="E135" s="311"/>
      <c r="F13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35" s="312" t="str">
        <f>IF(База[[#This Row],[Тип]]=0,IF(SUMPRODUCT((База[[#This Row],[Артикул]]=Комплекты[Комплект])*1)=0,"НЕТ","ОК"),"ОК")</f>
        <v>ОК</v>
      </c>
      <c r="H135" s="312" t="str">
        <f>IF(SUMPRODUCT((База[[#This Row],[Артикул]]=ПНЕВМАТИКА!$G$6:$G$330)*1)=0,"НЕТ","ОК")</f>
        <v>ОК</v>
      </c>
      <c r="I135" s="312" t="str">
        <f>IF(SUMPRODUCT((База[[#This Row],[Артикул]]=ТОРМОЗ!$G$6:$G$64)*1)=0,"НЕТ","ОК")</f>
        <v>НЕТ</v>
      </c>
    </row>
    <row r="136" spans="1:9" ht="28.8">
      <c r="A136" s="302">
        <f>ROW()-ROW(База[[#Headers],[№]])</f>
        <v>135</v>
      </c>
      <c r="B136" s="311"/>
      <c r="C136" s="399">
        <v>4441000410</v>
      </c>
      <c r="D136" s="715" t="s">
        <v>163</v>
      </c>
      <c r="E136" s="716" t="s">
        <v>482</v>
      </c>
      <c r="F136" s="699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36" s="699" t="str">
        <f>IF(База[[#This Row],[Тип]]=0,IF(SUMPRODUCT((База[[#This Row],[Артикул]]=Комплекты[Комплект])*1)=0,"НЕТ","ОК"),"ОК")</f>
        <v>ОК</v>
      </c>
      <c r="H136" s="699" t="str">
        <f>IF(SUMPRODUCT((База[[#This Row],[Артикул]]=ПНЕВМАТИКА!$G$6:$G$330)*1)=0,"НЕТ","ОК")</f>
        <v>ОК</v>
      </c>
      <c r="I136" s="699" t="str">
        <f>IF(SUMPRODUCT((База[[#This Row],[Артикул]]=ТОРМОЗ!$G$6:$G$64)*1)=0,"НЕТ","ОК")</f>
        <v>НЕТ</v>
      </c>
    </row>
    <row r="137" spans="1:9">
      <c r="A137" s="302">
        <f>ROW()-ROW(База[[#Headers],[№]])</f>
        <v>136</v>
      </c>
      <c r="B137" s="311"/>
      <c r="C137" s="399">
        <v>4441000440</v>
      </c>
      <c r="D137" s="435" t="s">
        <v>456</v>
      </c>
      <c r="E137" s="311"/>
      <c r="F13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37" s="312" t="str">
        <f>IF(База[[#This Row],[Тип]]=0,IF(SUMPRODUCT((База[[#This Row],[Артикул]]=Комплекты[Комплект])*1)=0,"НЕТ","ОК"),"ОК")</f>
        <v>ОК</v>
      </c>
      <c r="H137" s="312" t="str">
        <f>IF(SUMPRODUCT((База[[#This Row],[Артикул]]=ПНЕВМАТИКА!$G$6:$G$330)*1)=0,"НЕТ","ОК")</f>
        <v>ОК</v>
      </c>
      <c r="I137" s="312" t="str">
        <f>IF(SUMPRODUCT((База[[#This Row],[Артикул]]=ТОРМОЗ!$G$6:$G$64)*1)=0,"НЕТ","ОК")</f>
        <v>НЕТ</v>
      </c>
    </row>
    <row r="138" spans="1:9">
      <c r="A138" s="302">
        <f>ROW()-ROW(База[[#Headers],[№]])</f>
        <v>137</v>
      </c>
      <c r="B138" s="311"/>
      <c r="C138" s="399">
        <v>4441000450</v>
      </c>
      <c r="D138" s="435" t="s">
        <v>432</v>
      </c>
      <c r="E138" s="311" t="s">
        <v>490</v>
      </c>
      <c r="F13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38" s="312" t="str">
        <f>IF(База[[#This Row],[Тип]]=0,IF(SUMPRODUCT((База[[#This Row],[Артикул]]=Комплекты[Комплект])*1)=0,"НЕТ","ОК"),"ОК")</f>
        <v>ОК</v>
      </c>
      <c r="H138" s="312" t="str">
        <f>IF(SUMPRODUCT((База[[#This Row],[Артикул]]=ПНЕВМАТИКА!$G$6:$G$330)*1)=0,"НЕТ","ОК")</f>
        <v>ОК</v>
      </c>
      <c r="I138" s="312" t="str">
        <f>IF(SUMPRODUCT((База[[#This Row],[Артикул]]=ТОРМОЗ!$G$6:$G$64)*1)=0,"НЕТ","ОК")</f>
        <v>НЕТ</v>
      </c>
    </row>
    <row r="139" spans="1:9">
      <c r="A139" s="302">
        <f>ROW()-ROW(База[[#Headers],[№]])</f>
        <v>138</v>
      </c>
      <c r="B139" s="311"/>
      <c r="C139" s="399">
        <v>4441000460</v>
      </c>
      <c r="D139" s="435" t="s">
        <v>433</v>
      </c>
      <c r="E139" s="311" t="s">
        <v>490</v>
      </c>
      <c r="F13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39" s="312" t="str">
        <f>IF(База[[#This Row],[Тип]]=0,IF(SUMPRODUCT((База[[#This Row],[Артикул]]=Комплекты[Комплект])*1)=0,"НЕТ","ОК"),"ОК")</f>
        <v>ОК</v>
      </c>
      <c r="H139" s="312" t="str">
        <f>IF(SUMPRODUCT((База[[#This Row],[Артикул]]=ПНЕВМАТИКА!$G$6:$G$330)*1)=0,"НЕТ","ОК")</f>
        <v>НЕТ</v>
      </c>
      <c r="I139" s="312" t="str">
        <f>IF(SUMPRODUCT((База[[#This Row],[Артикул]]=ТОРМОЗ!$G$6:$G$64)*1)=0,"НЕТ","ОК")</f>
        <v>НЕТ</v>
      </c>
    </row>
    <row r="140" spans="1:9">
      <c r="A140" s="302">
        <f>ROW()-ROW(База[[#Headers],[№]])</f>
        <v>139</v>
      </c>
      <c r="B140" s="311"/>
      <c r="C140" s="399">
        <v>4441000470</v>
      </c>
      <c r="D140" s="435" t="s">
        <v>434</v>
      </c>
      <c r="E140" s="311" t="s">
        <v>490</v>
      </c>
      <c r="F14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40" s="312" t="str">
        <f>IF(База[[#This Row],[Тип]]=0,IF(SUMPRODUCT((База[[#This Row],[Артикул]]=Комплекты[Комплект])*1)=0,"НЕТ","ОК"),"ОК")</f>
        <v>ОК</v>
      </c>
      <c r="H140" s="312" t="str">
        <f>IF(SUMPRODUCT((База[[#This Row],[Артикул]]=ПНЕВМАТИКА!$G$6:$G$330)*1)=0,"НЕТ","ОК")</f>
        <v>ОК</v>
      </c>
      <c r="I140" s="312" t="str">
        <f>IF(SUMPRODUCT((База[[#This Row],[Артикул]]=ТОРМОЗ!$G$6:$G$64)*1)=0,"НЕТ","ОК")</f>
        <v>НЕТ</v>
      </c>
    </row>
    <row r="141" spans="1:9">
      <c r="A141" s="302">
        <f>ROW()-ROW(База[[#Headers],[№]])</f>
        <v>140</v>
      </c>
      <c r="B141" s="311"/>
      <c r="C141" s="399">
        <v>4441000480</v>
      </c>
      <c r="D141" s="435" t="s">
        <v>435</v>
      </c>
      <c r="E141" s="311" t="s">
        <v>490</v>
      </c>
      <c r="F14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41" s="312" t="str">
        <f>IF(База[[#This Row],[Тип]]=0,IF(SUMPRODUCT((База[[#This Row],[Артикул]]=Комплекты[Комплект])*1)=0,"НЕТ","ОК"),"ОК")</f>
        <v>ОК</v>
      </c>
      <c r="H141" s="312" t="str">
        <f>IF(SUMPRODUCT((База[[#This Row],[Артикул]]=ПНЕВМАТИКА!$G$6:$G$330)*1)=0,"НЕТ","ОК")</f>
        <v>ОК</v>
      </c>
      <c r="I141" s="312" t="str">
        <f>IF(SUMPRODUCT((База[[#This Row],[Артикул]]=ТОРМОЗ!$G$6:$G$64)*1)=0,"НЕТ","ОК")</f>
        <v>НЕТ</v>
      </c>
    </row>
    <row r="142" spans="1:9">
      <c r="A142" s="302">
        <f>ROW()-ROW(База[[#Headers],[№]])</f>
        <v>141</v>
      </c>
      <c r="B142" s="311"/>
      <c r="C142" s="399">
        <v>4441000490</v>
      </c>
      <c r="D142" s="435" t="s">
        <v>436</v>
      </c>
      <c r="E142" s="311" t="s">
        <v>490</v>
      </c>
      <c r="F14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42" s="312" t="str">
        <f>IF(База[[#This Row],[Тип]]=0,IF(SUMPRODUCT((База[[#This Row],[Артикул]]=Комплекты[Комплект])*1)=0,"НЕТ","ОК"),"ОК")</f>
        <v>ОК</v>
      </c>
      <c r="H142" s="312" t="str">
        <f>IF(SUMPRODUCT((База[[#This Row],[Артикул]]=ПНЕВМАТИКА!$G$6:$G$330)*1)=0,"НЕТ","ОК")</f>
        <v>НЕТ</v>
      </c>
      <c r="I142" s="312" t="str">
        <f>IF(SUMPRODUCT((База[[#This Row],[Артикул]]=ТОРМОЗ!$G$6:$G$64)*1)=0,"НЕТ","ОК")</f>
        <v>НЕТ</v>
      </c>
    </row>
    <row r="143" spans="1:9">
      <c r="A143" s="302">
        <f>ROW()-ROW(База[[#Headers],[№]])</f>
        <v>142</v>
      </c>
      <c r="B143" s="311"/>
      <c r="C143" s="399">
        <v>4441000500</v>
      </c>
      <c r="D143" s="435" t="s">
        <v>437</v>
      </c>
      <c r="E143" s="311" t="s">
        <v>490</v>
      </c>
      <c r="F14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43" s="312" t="str">
        <f>IF(База[[#This Row],[Тип]]=0,IF(SUMPRODUCT((База[[#This Row],[Артикул]]=Комплекты[Комплект])*1)=0,"НЕТ","ОК"),"ОК")</f>
        <v>ОК</v>
      </c>
      <c r="H143" s="312" t="str">
        <f>IF(SUMPRODUCT((База[[#This Row],[Артикул]]=ПНЕВМАТИКА!$G$6:$G$330)*1)=0,"НЕТ","ОК")</f>
        <v>ОК</v>
      </c>
      <c r="I143" s="312" t="str">
        <f>IF(SUMPRODUCT((База[[#This Row],[Артикул]]=ТОРМОЗ!$G$6:$G$64)*1)=0,"НЕТ","ОК")</f>
        <v>НЕТ</v>
      </c>
    </row>
    <row r="144" spans="1:9">
      <c r="A144" s="302">
        <f>ROW()-ROW(База[[#Headers],[№]])</f>
        <v>143</v>
      </c>
      <c r="B144" s="311"/>
      <c r="C144" s="399">
        <v>4441000530</v>
      </c>
      <c r="D144" s="435" t="s">
        <v>444</v>
      </c>
      <c r="E144" s="311" t="s">
        <v>489</v>
      </c>
      <c r="F144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44" s="312" t="str">
        <f>IF(База[[#This Row],[Тип]]=0,IF(SUMPRODUCT((База[[#This Row],[Артикул]]=Комплекты[Комплект])*1)=0,"НЕТ","ОК"),"ОК")</f>
        <v>ОК</v>
      </c>
      <c r="H144" s="312" t="str">
        <f>IF(SUMPRODUCT((База[[#This Row],[Артикул]]=ПНЕВМАТИКА!$G$6:$G$330)*1)=0,"НЕТ","ОК")</f>
        <v>ОК</v>
      </c>
      <c r="I144" s="312" t="str">
        <f>IF(SUMPRODUCT((База[[#This Row],[Артикул]]=ТОРМОЗ!$G$6:$G$64)*1)=0,"НЕТ","ОК")</f>
        <v>НЕТ</v>
      </c>
    </row>
    <row r="145" spans="1:9">
      <c r="A145" s="302">
        <f>ROW()-ROW(База[[#Headers],[№]])</f>
        <v>144</v>
      </c>
      <c r="B145" s="311"/>
      <c r="C145" s="399">
        <v>4441000550</v>
      </c>
      <c r="D145" s="435" t="s">
        <v>458</v>
      </c>
      <c r="E145" s="311"/>
      <c r="F145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45" s="312" t="str">
        <f>IF(База[[#This Row],[Тип]]=0,IF(SUMPRODUCT((База[[#This Row],[Артикул]]=Комплекты[Комплект])*1)=0,"НЕТ","ОК"),"ОК")</f>
        <v>ОК</v>
      </c>
      <c r="H145" s="312" t="str">
        <f>IF(SUMPRODUCT((База[[#This Row],[Артикул]]=ПНЕВМАТИКА!$G$6:$G$330)*1)=0,"НЕТ","ОК")</f>
        <v>ОК</v>
      </c>
      <c r="I145" s="312" t="str">
        <f>IF(SUMPRODUCT((База[[#This Row],[Артикул]]=ТОРМОЗ!$G$6:$G$64)*1)=0,"НЕТ","ОК")</f>
        <v>НЕТ</v>
      </c>
    </row>
    <row r="146" spans="1:9">
      <c r="A146" s="427">
        <f>ROW()-ROW(База[[#Headers],[№]])</f>
        <v>145</v>
      </c>
      <c r="B146" s="423"/>
      <c r="C146" s="600">
        <v>4441000570</v>
      </c>
      <c r="D146" s="601" t="s">
        <v>448</v>
      </c>
      <c r="E146" s="311"/>
      <c r="F146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46" s="312" t="str">
        <f>IF(База[[#This Row],[Тип]]=0,IF(SUMPRODUCT((База[[#This Row],[Артикул]]=Комплекты[Комплект])*1)=0,"НЕТ","ОК"),"ОК")</f>
        <v>НЕТ</v>
      </c>
      <c r="H146" s="312" t="str">
        <f>IF(SUMPRODUCT((База[[#This Row],[Артикул]]=ПНЕВМАТИКА!$G$6:$G$330)*1)=0,"НЕТ","ОК")</f>
        <v>НЕТ</v>
      </c>
      <c r="I146" s="312" t="str">
        <f>IF(SUMPRODUCT((База[[#This Row],[Артикул]]=ТОРМОЗ!$G$6:$G$64)*1)=0,"НЕТ","ОК")</f>
        <v>НЕТ</v>
      </c>
    </row>
    <row r="147" spans="1:9">
      <c r="A147" s="427">
        <f>ROW()-ROW(База[[#Headers],[№]])</f>
        <v>146</v>
      </c>
      <c r="B147" s="423"/>
      <c r="C147" s="600">
        <v>4441000580</v>
      </c>
      <c r="D147" s="601" t="s">
        <v>455</v>
      </c>
      <c r="E147" s="311"/>
      <c r="F147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47" s="312" t="str">
        <f>IF(База[[#This Row],[Тип]]=0,IF(SUMPRODUCT((База[[#This Row],[Артикул]]=Комплекты[Комплект])*1)=0,"НЕТ","ОК"),"ОК")</f>
        <v>НЕТ</v>
      </c>
      <c r="H147" s="312" t="str">
        <f>IF(SUMPRODUCT((База[[#This Row],[Артикул]]=ПНЕВМАТИКА!$G$6:$G$330)*1)=0,"НЕТ","ОК")</f>
        <v>НЕТ</v>
      </c>
      <c r="I147" s="312" t="str">
        <f>IF(SUMPRODUCT((База[[#This Row],[Артикул]]=ТОРМОЗ!$G$6:$G$64)*1)=0,"НЕТ","ОК")</f>
        <v>НЕТ</v>
      </c>
    </row>
    <row r="148" spans="1:9">
      <c r="A148" s="427">
        <f>ROW()-ROW(База[[#Headers],[№]])</f>
        <v>147</v>
      </c>
      <c r="B148" s="423"/>
      <c r="C148" s="600">
        <v>4441000590</v>
      </c>
      <c r="D148" s="601" t="s">
        <v>454</v>
      </c>
      <c r="E148" s="311" t="s">
        <v>489</v>
      </c>
      <c r="F148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48" s="312" t="str">
        <f>IF(База[[#This Row],[Тип]]=0,IF(SUMPRODUCT((База[[#This Row],[Артикул]]=Комплекты[Комплект])*1)=0,"НЕТ","ОК"),"ОК")</f>
        <v>ОК</v>
      </c>
      <c r="H148" s="312" t="str">
        <f>IF(SUMPRODUCT((База[[#This Row],[Артикул]]=ПНЕВМАТИКА!$G$6:$G$330)*1)=0,"НЕТ","ОК")</f>
        <v>ОК</v>
      </c>
      <c r="I148" s="312" t="str">
        <f>IF(SUMPRODUCT((База[[#This Row],[Артикул]]=ТОРМОЗ!$G$6:$G$64)*1)=0,"НЕТ","ОК")</f>
        <v>НЕТ</v>
      </c>
    </row>
    <row r="149" spans="1:9">
      <c r="A149" s="302">
        <f>ROW()-ROW(База[[#Headers],[№]])</f>
        <v>148</v>
      </c>
      <c r="B149" s="311"/>
      <c r="C149" s="399">
        <v>4441000600</v>
      </c>
      <c r="D149" s="435" t="s">
        <v>462</v>
      </c>
      <c r="E149" s="311"/>
      <c r="F149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49" s="312" t="str">
        <f>IF(База[[#This Row],[Тип]]=0,IF(SUMPRODUCT((База[[#This Row],[Артикул]]=Комплекты[Комплект])*1)=0,"НЕТ","ОК"),"ОК")</f>
        <v>ОК</v>
      </c>
      <c r="H149" s="312" t="str">
        <f>IF(SUMPRODUCT((База[[#This Row],[Артикул]]=ПНЕВМАТИКА!$G$6:$G$330)*1)=0,"НЕТ","ОК")</f>
        <v>ОК</v>
      </c>
      <c r="I149" s="312" t="str">
        <f>IF(SUMPRODUCT((База[[#This Row],[Артикул]]=ТОРМОЗ!$G$6:$G$64)*1)=0,"НЕТ","ОК")</f>
        <v>НЕТ</v>
      </c>
    </row>
    <row r="150" spans="1:9">
      <c r="A150" s="302">
        <f>ROW()-ROW(База[[#Headers],[№]])</f>
        <v>149</v>
      </c>
      <c r="B150" s="311"/>
      <c r="C150" s="399">
        <v>4441000700</v>
      </c>
      <c r="D150" s="435" t="s">
        <v>466</v>
      </c>
      <c r="E150" s="311"/>
      <c r="F150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50" s="312" t="str">
        <f>IF(База[[#This Row],[Тип]]=0,IF(SUMPRODUCT((База[[#This Row],[Артикул]]=Комплекты[Комплект])*1)=0,"НЕТ","ОК"),"ОК")</f>
        <v>ОК</v>
      </c>
      <c r="H150" s="312" t="str">
        <f>IF(SUMPRODUCT((База[[#This Row],[Артикул]]=ПНЕВМАТИКА!$G$6:$G$330)*1)=0,"НЕТ","ОК")</f>
        <v>ОК</v>
      </c>
      <c r="I150" s="312" t="str">
        <f>IF(SUMPRODUCT((База[[#This Row],[Артикул]]=ТОРМОЗ!$G$6:$G$64)*1)=0,"НЕТ","ОК")</f>
        <v>НЕТ</v>
      </c>
    </row>
    <row r="151" spans="1:9">
      <c r="A151" s="302">
        <f>ROW()-ROW(База[[#Headers],[№]])</f>
        <v>150</v>
      </c>
      <c r="B151" s="311"/>
      <c r="C151" s="399">
        <v>4441000710</v>
      </c>
      <c r="D151" s="435" t="s">
        <v>467</v>
      </c>
      <c r="E151" s="311"/>
      <c r="F151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НЕТ</v>
      </c>
      <c r="G151" s="312" t="str">
        <f>IF(База[[#This Row],[Тип]]=0,IF(SUMPRODUCT((База[[#This Row],[Артикул]]=Комплекты[Комплект])*1)=0,"НЕТ","ОК"),"ОК")</f>
        <v>ОК</v>
      </c>
      <c r="H151" s="312" t="str">
        <f>IF(SUMPRODUCT((База[[#This Row],[Артикул]]=ПНЕВМАТИКА!$G$6:$G$330)*1)=0,"НЕТ","ОК")</f>
        <v>НЕТ</v>
      </c>
      <c r="I151" s="312" t="str">
        <f>IF(SUMPRODUCT((База[[#This Row],[Артикул]]=ТОРМОЗ!$G$6:$G$64)*1)=0,"НЕТ","ОК")</f>
        <v>НЕТ</v>
      </c>
    </row>
    <row r="152" spans="1:9">
      <c r="A152" s="302">
        <f>ROW()-ROW(База[[#Headers],[№]])</f>
        <v>151</v>
      </c>
      <c r="B152" s="311"/>
      <c r="C152" s="405" t="s">
        <v>407</v>
      </c>
      <c r="D152" s="546" t="s">
        <v>132</v>
      </c>
      <c r="E152" s="404">
        <v>4441000150</v>
      </c>
      <c r="F152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52" s="312" t="str">
        <f>IF(База[[#This Row],[Тип]]=0,IF(SUMPRODUCT((База[[#This Row],[Артикул]]=Комплекты[Комплект])*1)=0,"НЕТ","ОК"),"ОК")</f>
        <v>ОК</v>
      </c>
      <c r="H152" s="312" t="str">
        <f>IF(SUMPRODUCT((База[[#This Row],[Артикул]]=ПНЕВМАТИКА!$G$6:$G$330)*1)=0,"НЕТ","ОК")</f>
        <v>ОК</v>
      </c>
      <c r="I152" s="312" t="str">
        <f>IF(SUMPRODUCT((База[[#This Row],[Артикул]]=ТОРМОЗ!$G$6:$G$64)*1)=0,"НЕТ","ОК")</f>
        <v>НЕТ</v>
      </c>
    </row>
    <row r="153" spans="1:9">
      <c r="A153" s="302">
        <f>ROW()-ROW(База[[#Headers],[№]])</f>
        <v>152</v>
      </c>
      <c r="B153" s="311"/>
      <c r="C153" s="405" t="s">
        <v>130</v>
      </c>
      <c r="D153" s="546" t="s">
        <v>131</v>
      </c>
      <c r="E153" s="404">
        <v>4441000110</v>
      </c>
      <c r="F153" s="312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53" s="312" t="str">
        <f>IF(База[[#This Row],[Тип]]=0,IF(SUMPRODUCT((База[[#This Row],[Артикул]]=Комплекты[Комплект])*1)=0,"НЕТ","ОК"),"ОК")</f>
        <v>ОК</v>
      </c>
      <c r="H153" s="312" t="str">
        <f>IF(SUMPRODUCT((База[[#This Row],[Артикул]]=ПНЕВМАТИКА!$G$6:$G$330)*1)=0,"НЕТ","ОК")</f>
        <v>ОК</v>
      </c>
      <c r="I153" s="312" t="str">
        <f>IF(SUMPRODUCT((База[[#This Row],[Артикул]]=ТОРМОЗ!$G$6:$G$64)*1)=0,"НЕТ","ОК")</f>
        <v>НЕТ</v>
      </c>
    </row>
    <row r="154" spans="1:9" ht="28.8">
      <c r="A154" s="687">
        <f>ROW()-ROW(База[[#Headers],[№]])</f>
        <v>153</v>
      </c>
      <c r="B154" s="686"/>
      <c r="C154" s="691" t="s">
        <v>104</v>
      </c>
      <c r="D154" s="692" t="s">
        <v>105</v>
      </c>
      <c r="E154" s="686">
        <v>4441000170</v>
      </c>
      <c r="F154" s="689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54" s="689" t="str">
        <f>IF(База[[#This Row],[Тип]]=0,IF(SUMPRODUCT((База[[#This Row],[Артикул]]=Комплекты[Комплект])*1)=0,"НЕТ","ОК"),"ОК")</f>
        <v>ОК</v>
      </c>
      <c r="H154" s="689" t="str">
        <f>IF(SUMPRODUCT((База[[#This Row],[Артикул]]=ПНЕВМАТИКА!$G$6:$G$330)*1)=0,"НЕТ","ОК")</f>
        <v>ОК</v>
      </c>
      <c r="I154" s="689" t="str">
        <f>IF(SUMPRODUCT((База[[#This Row],[Артикул]]=ТОРМОЗ!$G$6:$G$64)*1)=0,"НЕТ","ОК")</f>
        <v>НЕТ</v>
      </c>
    </row>
    <row r="155" spans="1:9">
      <c r="A155" s="648">
        <f>ROW()-ROW(База[[#Headers],[№]])</f>
        <v>154</v>
      </c>
      <c r="B155" s="647"/>
      <c r="C155" s="725" t="s">
        <v>405</v>
      </c>
      <c r="D155" s="596" t="s">
        <v>406</v>
      </c>
      <c r="E155" s="726">
        <v>4441000010</v>
      </c>
      <c r="F155" s="727" t="str">
        <f>IF(IFERROR(AND(MATCH("нет",База[[#This Row],[Проверка наличия в ТОРМОЗЕ]],0)&gt;0,MATCH("нет",База[[#This Row],[Проверка наличия в ПНЕВМАТИКЕ]],0)&gt;0),),"НЕТ",IF(IFERROR(MATCH("нет",База[[#This Row],[Проверка наличия в Комплектах]],0),)&gt;0,"НЕТ","ОК"))</f>
        <v>ОК</v>
      </c>
      <c r="G155" s="727" t="str">
        <f>IF(База[[#This Row],[Тип]]=0,IF(SUMPRODUCT((База[[#This Row],[Артикул]]=Комплекты[Комплект])*1)=0,"НЕТ","ОК"),"ОК")</f>
        <v>ОК</v>
      </c>
      <c r="H155" s="727" t="str">
        <f>IF(SUMPRODUCT((База[[#This Row],[Артикул]]=ПНЕВМАТИКА!$G$6:$G$330)*1)=0,"НЕТ","ОК")</f>
        <v>ОК</v>
      </c>
      <c r="I155" s="727" t="str">
        <f>IF(SUMPRODUCT((База[[#This Row],[Артикул]]=ТОРМОЗ!$G$6:$G$64)*1)=0,"НЕТ","ОК")</f>
        <v>НЕТ</v>
      </c>
    </row>
  </sheetData>
  <sheetProtection formatCells="0" formatColumns="0" formatRows="0" insertColumns="0" insertRows="0" insertHyperlinks="0" deleteColumns="0" deleteRows="0" sort="0" autoFilter="0" pivotTables="0"/>
  <conditionalFormatting sqref="A2:G155">
    <cfRule type="expression" dxfId="27" priority="878">
      <formula>IF($F2="нет",1,0)</formula>
    </cfRule>
  </conditionalFormatting>
  <conditionalFormatting sqref="C2:C155">
    <cfRule type="duplicateValues" dxfId="26" priority="2806"/>
  </conditionalFormatting>
  <conditionalFormatting sqref="H2:I155">
    <cfRule type="containsText" dxfId="25" priority="3" operator="containsText" text="НЕТ">
      <formula>NOT(ISERROR(SEARCH("НЕТ",H2)))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79998168889431442"/>
  </sheetPr>
  <dimension ref="A1:W249"/>
  <sheetViews>
    <sheetView workbookViewId="0">
      <pane xSplit="8" ySplit="2" topLeftCell="I225" activePane="bottomRight" state="frozen"/>
      <selection activeCell="E80" sqref="E80"/>
      <selection pane="topRight"/>
      <selection pane="bottomLeft"/>
      <selection pane="bottomRight" activeCell="E247" sqref="E247"/>
    </sheetView>
  </sheetViews>
  <sheetFormatPr defaultColWidth="12.6640625" defaultRowHeight="14.4" outlineLevelCol="1"/>
  <cols>
    <col min="1" max="1" width="3.6640625" style="145" customWidth="1"/>
    <col min="2" max="2" width="13.109375" style="145" hidden="1" customWidth="1"/>
    <col min="3" max="3" width="4.6640625" style="145" customWidth="1"/>
    <col min="4" max="4" width="10.109375" style="145" bestFit="1" customWidth="1"/>
    <col min="5" max="5" width="22.109375" style="145" bestFit="1" customWidth="1"/>
    <col min="6" max="6" width="6.5546875" style="145" customWidth="1"/>
    <col min="7" max="7" width="18" style="145" bestFit="1" customWidth="1"/>
    <col min="8" max="8" width="7.5546875" style="145" customWidth="1"/>
    <col min="9" max="9" width="41" style="145" customWidth="1" outlineLevel="1"/>
    <col min="10" max="10" width="50.6640625" style="145" customWidth="1" outlineLevel="1"/>
    <col min="11" max="11" width="2.6640625" style="145" customWidth="1"/>
    <col min="12" max="14" width="8.6640625" style="145" customWidth="1" outlineLevel="1"/>
    <col min="15" max="15" width="2.6640625" style="145" customWidth="1" outlineLevel="1"/>
    <col min="16" max="23" width="8.6640625" style="145" customWidth="1" outlineLevel="1"/>
    <col min="24" max="16384" width="12.6640625" style="145"/>
  </cols>
  <sheetData>
    <row r="1" spans="1:23">
      <c r="F1" s="432"/>
      <c r="G1" s="432">
        <v>400500088</v>
      </c>
      <c r="H1" s="432"/>
    </row>
    <row r="2" spans="1:23" ht="30.6">
      <c r="A2" s="268" t="s">
        <v>170</v>
      </c>
      <c r="B2" s="268" t="s">
        <v>393</v>
      </c>
      <c r="C2" s="268" t="s">
        <v>452</v>
      </c>
      <c r="D2" s="269" t="s">
        <v>1</v>
      </c>
      <c r="E2" s="269" t="s">
        <v>337</v>
      </c>
      <c r="F2" s="269" t="s">
        <v>338</v>
      </c>
      <c r="G2" s="269" t="s">
        <v>339</v>
      </c>
      <c r="H2" s="269" t="s">
        <v>340</v>
      </c>
      <c r="I2" s="701" t="s">
        <v>14</v>
      </c>
      <c r="J2" s="701" t="s">
        <v>341</v>
      </c>
      <c r="K2" s="701" t="s">
        <v>431</v>
      </c>
      <c r="L2" s="702" t="s">
        <v>342</v>
      </c>
      <c r="M2" s="702" t="s">
        <v>343</v>
      </c>
      <c r="N2" s="702" t="s">
        <v>344</v>
      </c>
      <c r="O2" s="270" t="s">
        <v>438</v>
      </c>
      <c r="P2" s="270" t="s">
        <v>84</v>
      </c>
      <c r="Q2" s="270" t="s">
        <v>90</v>
      </c>
      <c r="R2" s="270" t="s">
        <v>427</v>
      </c>
      <c r="S2" s="270" t="s">
        <v>414</v>
      </c>
      <c r="T2" s="270" t="s">
        <v>109</v>
      </c>
      <c r="U2" s="270" t="s">
        <v>50</v>
      </c>
      <c r="V2" s="270" t="s">
        <v>133</v>
      </c>
      <c r="W2" s="271" t="s">
        <v>147</v>
      </c>
    </row>
    <row r="3" spans="1:23">
      <c r="A3" s="309">
        <f>ROW()-ROW(Комплекты[[#Headers],[№]])</f>
        <v>1</v>
      </c>
      <c r="B3" s="309" t="str">
        <f>Комплекты[[#This Row],[Пр]]&amp;"_"&amp;Комплекты[[#This Row],[Обозначение]]</f>
        <v>1_4334010030</v>
      </c>
      <c r="C3" s="309">
        <f>COUNTIFS($E$3:Комплекты[[#This Row],[Комплект]],Комплекты[[#This Row],[Комплект]])</f>
        <v>1</v>
      </c>
      <c r="D3" s="310">
        <v>45884</v>
      </c>
      <c r="E3" s="311">
        <v>4441000020</v>
      </c>
      <c r="F3" s="302">
        <v>1</v>
      </c>
      <c r="G3" s="313">
        <v>4334010030</v>
      </c>
      <c r="H3" s="302">
        <v>1</v>
      </c>
      <c r="I3" s="399" t="str">
        <f>INDEX(База[],MATCH(Комплекты[[#This Row],[Обозначение]],База[Артикул],0),MATCH(I$2,База[#Headers],0))</f>
        <v>Упругий элемент</v>
      </c>
      <c r="J3" s="399" t="str">
        <f>INDEX(База[],MATCH(Комплекты[[#This Row],[Комплект]],База[Артикул],0),MATCH("наименование",База[#Headers],0))</f>
        <v>Комплект "Пневматическая подвеска с АРТС"</v>
      </c>
      <c r="K3" s="399"/>
      <c r="L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3" s="699" t="str">
        <f>IF(IFERROR(MATCH("нет",Комплекты[[#This Row],[   ]:[АВТОВИК]],0)&gt;0,),"НЕТ","ОК")</f>
        <v>ОК</v>
      </c>
      <c r="O3" s="699"/>
      <c r="P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4" spans="1:23">
      <c r="A4" s="309">
        <f>ROW()-ROW(Комплекты[[#Headers],[№]])</f>
        <v>2</v>
      </c>
      <c r="B4" s="309" t="str">
        <f>Комплекты[[#This Row],[Пр]]&amp;"_"&amp;Комплекты[[#This Row],[Обозначение]]</f>
        <v>1_4341001250</v>
      </c>
      <c r="C4" s="309">
        <f>COUNTIFS($E$3:Комплекты[[#This Row],[Комплект]],Комплекты[[#This Row],[Комплект]])</f>
        <v>2</v>
      </c>
      <c r="D4" s="310">
        <v>45884</v>
      </c>
      <c r="E4" s="311">
        <v>4441000020</v>
      </c>
      <c r="F4" s="302">
        <v>1</v>
      </c>
      <c r="G4" s="313">
        <v>4341001250</v>
      </c>
      <c r="H4" s="302">
        <v>1</v>
      </c>
      <c r="I4" s="399" t="str">
        <f>INDEX(База[],MATCH(Комплекты[[#This Row],[Обозначение]],База[Артикул],0),MATCH(I$2,База[#Headers],0))</f>
        <v>Клапан перепускной</v>
      </c>
      <c r="J4" s="399" t="str">
        <f>INDEX(База[],MATCH(Комплекты[[#This Row],[Комплект]],База[Артикул],0),MATCH("наименование",База[#Headers],0))</f>
        <v>Комплект "Пневматическая подвеска с АРТС"</v>
      </c>
      <c r="K4" s="399"/>
      <c r="L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4" s="699" t="str">
        <f>IF(IFERROR(MATCH("нет",Комплекты[[#This Row],[   ]:[АВТОВИК]],0)&gt;0,),"НЕТ","ОК")</f>
        <v>ОК</v>
      </c>
      <c r="O4" s="699"/>
      <c r="P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5" spans="1:23">
      <c r="A5" s="309">
        <f>ROW()-ROW(Комплекты[[#Headers],[№]])</f>
        <v>3</v>
      </c>
      <c r="B5" s="309" t="str">
        <f>Комплекты[[#This Row],[Пр]]&amp;"_"&amp;Комплекты[[#This Row],[Обозначение]]</f>
        <v>1_4630320200</v>
      </c>
      <c r="C5" s="309">
        <f>COUNTIFS($E$3:Комплекты[[#This Row],[Комплект]],Комплекты[[#This Row],[Комплект]])</f>
        <v>3</v>
      </c>
      <c r="D5" s="310">
        <v>45884</v>
      </c>
      <c r="E5" s="311">
        <v>4441000020</v>
      </c>
      <c r="F5" s="302">
        <v>1</v>
      </c>
      <c r="G5" s="313">
        <v>4630320200</v>
      </c>
      <c r="H5" s="302">
        <v>1</v>
      </c>
      <c r="I5" s="399" t="str">
        <f>INDEX(База[],MATCH(Комплекты[[#This Row],[Обозначение]],База[Артикул],0),MATCH(I$2,База[#Headers],0))</f>
        <v>Кран ручного управления</v>
      </c>
      <c r="J5" s="399" t="str">
        <f>INDEX(База[],MATCH(Комплекты[[#This Row],[Комплект]],База[Артикул],0),MATCH("наименование",База[#Headers],0))</f>
        <v>Комплект "Пневматическая подвеска с АРТС"</v>
      </c>
      <c r="K5" s="399"/>
      <c r="L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5" s="699" t="str">
        <f>IF(IFERROR(MATCH("нет",Комплекты[[#This Row],[   ]:[АВТОВИК]],0)&gt;0,),"НЕТ","ОК")</f>
        <v>ОК</v>
      </c>
      <c r="O5" s="699"/>
      <c r="P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6" spans="1:23">
      <c r="A6" s="309">
        <f>ROW()-ROW(Комплекты[[#Headers],[№]])</f>
        <v>4</v>
      </c>
      <c r="B6" s="309" t="str">
        <f>Комплекты[[#This Row],[Пр]]&amp;"_"&amp;Комплекты[[#This Row],[Обозначение]]</f>
        <v>1_4640061000</v>
      </c>
      <c r="C6" s="309">
        <f>COUNTIFS($E$3:Комплекты[[#This Row],[Комплект]],Комплекты[[#This Row],[Комплект]])</f>
        <v>4</v>
      </c>
      <c r="D6" s="310">
        <v>45884</v>
      </c>
      <c r="E6" s="311">
        <v>4441000020</v>
      </c>
      <c r="F6" s="302">
        <v>1</v>
      </c>
      <c r="G6" s="313">
        <v>4640061000</v>
      </c>
      <c r="H6" s="302">
        <v>1</v>
      </c>
      <c r="I6" s="399" t="str">
        <f>INDEX(База[],MATCH(Комплекты[[#This Row],[Обозначение]],База[Артикул],0),MATCH(I$2,База[#Headers],0))</f>
        <v>Кран уровня пола</v>
      </c>
      <c r="J6" s="399" t="str">
        <f>INDEX(База[],MATCH(Комплекты[[#This Row],[Комплект]],База[Артикул],0),MATCH("наименование",База[#Headers],0))</f>
        <v>Комплект "Пневматическая подвеска с АРТС"</v>
      </c>
      <c r="K6" s="399"/>
      <c r="L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6" s="699" t="str">
        <f>IF(IFERROR(MATCH("нет",Комплекты[[#This Row],[   ]:[АВТОВИК]],0)&gt;0,),"НЕТ","ОК")</f>
        <v>ОК</v>
      </c>
      <c r="O6" s="699"/>
      <c r="P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7" spans="1:23">
      <c r="A7" s="309">
        <f>ROW()-ROW(Комплекты[[#Headers],[№]])</f>
        <v>5</v>
      </c>
      <c r="B7" s="309" t="str">
        <f>Комплекты[[#This Row],[Пр]]&amp;"_"&amp;Комплекты[[#This Row],[Обозначение]]</f>
        <v>1_4757145000</v>
      </c>
      <c r="C7" s="309">
        <f>COUNTIFS($E$3:Комплекты[[#This Row],[Комплект]],Комплекты[[#This Row],[Комплект]])</f>
        <v>5</v>
      </c>
      <c r="D7" s="310">
        <v>45884</v>
      </c>
      <c r="E7" s="311">
        <v>4441000020</v>
      </c>
      <c r="F7" s="302">
        <v>1</v>
      </c>
      <c r="G7" s="313">
        <v>4757145000</v>
      </c>
      <c r="H7" s="302">
        <v>1</v>
      </c>
      <c r="I7" s="399" t="str">
        <f>INDEX(База[],MATCH(Комплекты[[#This Row],[Обозначение]],База[Артикул],0),MATCH(I$2,База[#Headers],0))</f>
        <v>Регулятор тормозных сил</v>
      </c>
      <c r="J7" s="399" t="str">
        <f>INDEX(База[],MATCH(Комплекты[[#This Row],[Комплект]],База[Артикул],0),MATCH("наименование",База[#Headers],0))</f>
        <v>Комплект "Пневматическая подвеска с АРТС"</v>
      </c>
      <c r="K7" s="399"/>
      <c r="L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7" s="699" t="str">
        <f>IF(IFERROR(MATCH("нет",Комплекты[[#This Row],[   ]:[АВТОВИК]],0)&gt;0,),"НЕТ","ОК")</f>
        <v>ОК</v>
      </c>
      <c r="O7" s="699"/>
      <c r="P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8" spans="1:23">
      <c r="A8" s="309">
        <f>ROW()-ROW(Комплекты[[#Headers],[№]])</f>
        <v>6</v>
      </c>
      <c r="B8" s="309" t="str">
        <f>Комплекты[[#This Row],[Пр]]&amp;"_"&amp;Комплекты[[#This Row],[Обозначение]]</f>
        <v>1_9630010510</v>
      </c>
      <c r="C8" s="309">
        <f>COUNTIFS($E$3:Комплекты[[#This Row],[Комплект]],Комплекты[[#This Row],[Комплект]])</f>
        <v>6</v>
      </c>
      <c r="D8" s="310">
        <v>45884</v>
      </c>
      <c r="E8" s="311">
        <v>4441000020</v>
      </c>
      <c r="F8" s="302">
        <v>1</v>
      </c>
      <c r="G8" s="313">
        <v>9630010510</v>
      </c>
      <c r="H8" s="302">
        <v>1</v>
      </c>
      <c r="I8" s="399" t="str">
        <f>INDEX(База[],MATCH(Комплекты[[#This Row],[Обозначение]],База[Артикул],0),MATCH(I$2,База[#Headers],0))</f>
        <v>Клапан растормаживания сдвоенный</v>
      </c>
      <c r="J8" s="399" t="str">
        <f>INDEX(База[],MATCH(Комплекты[[#This Row],[Комплект]],База[Артикул],0),MATCH("наименование",База[#Headers],0))</f>
        <v>Комплект "Пневматическая подвеска с АРТС"</v>
      </c>
      <c r="K8" s="399"/>
      <c r="L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8" s="699" t="str">
        <f>IF(IFERROR(MATCH("нет",Комплекты[[#This Row],[   ]:[АВТОВИК]],0)&gt;0,),"НЕТ","ОК")</f>
        <v>ОК</v>
      </c>
      <c r="O8" s="699"/>
      <c r="P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9" spans="1:23">
      <c r="A9" s="309">
        <f>ROW()-ROW(Комплекты[[#Headers],[№]])</f>
        <v>7</v>
      </c>
      <c r="B9" s="309" t="str">
        <f>Комплекты[[#This Row],[Пр]]&amp;"_"&amp;Комплекты[[#This Row],[Обозначение]]</f>
        <v>1_9735000510</v>
      </c>
      <c r="C9" s="309">
        <f>COUNTIFS($E$3:Комплекты[[#This Row],[Комплект]],Комплекты[[#This Row],[Комплект]])</f>
        <v>7</v>
      </c>
      <c r="D9" s="310">
        <v>45884</v>
      </c>
      <c r="E9" s="311">
        <v>4441000020</v>
      </c>
      <c r="F9" s="302">
        <v>1</v>
      </c>
      <c r="G9" s="313">
        <v>9735000510</v>
      </c>
      <c r="H9" s="302">
        <v>1</v>
      </c>
      <c r="I9" s="399" t="str">
        <f>INDEX(База[],MATCH(Комплекты[[#This Row],[Обозначение]],База[Артикул],0),MATCH(I$2,База[#Headers],0))</f>
        <v>Клапан быстрого растормаживания энергоаккумуляторов</v>
      </c>
      <c r="J9" s="399" t="str">
        <f>INDEX(База[],MATCH(Комплекты[[#This Row],[Комплект]],База[Артикул],0),MATCH("наименование",База[#Headers],0))</f>
        <v>Комплект "Пневматическая подвеска с АРТС"</v>
      </c>
      <c r="K9" s="399"/>
      <c r="L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9" s="699" t="str">
        <f>IF(IFERROR(MATCH("нет",Комплекты[[#This Row],[   ]:[АВТОВИК]],0)&gt;0,),"НЕТ","ОК")</f>
        <v>ОК</v>
      </c>
      <c r="O9" s="699"/>
      <c r="P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0" spans="1:23">
      <c r="A10" s="425">
        <f>ROW()-ROW(Комплекты[[#Headers],[№]])</f>
        <v>8</v>
      </c>
      <c r="B10" s="425" t="str">
        <f>Комплекты[[#This Row],[Пр]]&amp;"_"&amp;Комплекты[[#This Row],[Обозначение]]</f>
        <v>1_4496161560</v>
      </c>
      <c r="C10" s="425">
        <f>COUNTIFS($E$3:Комплекты[[#This Row],[Комплект]],Комплекты[[#This Row],[Комплект]])</f>
        <v>1</v>
      </c>
      <c r="D10" s="426">
        <v>45990</v>
      </c>
      <c r="E10" s="423">
        <v>4441000040</v>
      </c>
      <c r="F10" s="427">
        <v>1</v>
      </c>
      <c r="G10" s="428">
        <v>4496161560</v>
      </c>
      <c r="H10" s="427">
        <v>1</v>
      </c>
      <c r="I10" s="600" t="str">
        <f>INDEX(База[],MATCH(Комплекты[[#This Row],[Обозначение]],База[Артикул],0),MATCH(I$2,База[#Headers],0))</f>
        <v>Кабель ускорительного клапана ABS / диа., 10 м / 3 м</v>
      </c>
      <c r="J10" s="399" t="str">
        <f>INDEX(База[],MATCH(Комплекты[[#This Row],[Комплект]],База[Артикул],0),MATCH("наименование",База[#Headers],0))</f>
        <v>Комплект расширения "ABS 3M (10 / 3 м)"</v>
      </c>
      <c r="K10" s="399"/>
      <c r="L10" s="70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0" s="70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0" s="703" t="str">
        <f>IF(IFERROR(MATCH("нет",Комплекты[[#This Row],[   ]:[АВТОВИК]],0)&gt;0,),"НЕТ","ОК")</f>
        <v>ОК</v>
      </c>
      <c r="O10" s="699"/>
      <c r="P1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1" spans="1:23">
      <c r="A11" s="425">
        <f>ROW()-ROW(Комплекты[[#Headers],[№]])</f>
        <v>9</v>
      </c>
      <c r="B11" s="425" t="str">
        <f>Комплекты[[#This Row],[Пр]]&amp;"_"&amp;Комплекты[[#This Row],[Обозначение]]</f>
        <v>1_4721950310</v>
      </c>
      <c r="C11" s="425">
        <f>COUNTIFS($E$3:Комплекты[[#This Row],[Комплект]],Комплекты[[#This Row],[Комплект]])</f>
        <v>2</v>
      </c>
      <c r="D11" s="426">
        <v>45990</v>
      </c>
      <c r="E11" s="423">
        <v>4441000040</v>
      </c>
      <c r="F11" s="427">
        <v>1</v>
      </c>
      <c r="G11" s="428">
        <v>4721950310</v>
      </c>
      <c r="H11" s="427">
        <v>1</v>
      </c>
      <c r="I11" s="600" t="str">
        <f>INDEX(База[],MATCH(Комплекты[[#This Row],[Обозначение]],База[Артикул],0),MATCH(I$2,База[#Headers],0))</f>
        <v>Ускорительный клапан ABS</v>
      </c>
      <c r="J11" s="399" t="str">
        <f>INDEX(База[],MATCH(Комплекты[[#This Row],[Комплект]],База[Артикул],0),MATCH("наименование",База[#Headers],0))</f>
        <v>Комплект расширения "ABS 3M (10 / 3 м)"</v>
      </c>
      <c r="K11" s="399"/>
      <c r="L11" s="70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1" s="70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1" s="703" t="str">
        <f>IF(IFERROR(MATCH("нет",Комплекты[[#This Row],[   ]:[АВТОВИК]],0)&gt;0,),"НЕТ","ОК")</f>
        <v>ОК</v>
      </c>
      <c r="O11" s="699"/>
      <c r="P1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2" spans="1:23">
      <c r="A12" s="309">
        <f>ROW()-ROW(Комплекты[[#Headers],[№]])</f>
        <v>10</v>
      </c>
      <c r="B12" s="309" t="str">
        <f>Комплекты[[#This Row],[Пр]]&amp;"_"&amp;Комплекты[[#This Row],[Обозначение]]</f>
        <v>2_4005000880</v>
      </c>
      <c r="C12" s="309">
        <f>COUNTIFS($E$3:Комплекты[[#This Row],[Комплект]],Комплекты[[#This Row],[Комплект]])</f>
        <v>1</v>
      </c>
      <c r="D12" s="310">
        <v>46043</v>
      </c>
      <c r="E12" s="311">
        <v>4441000050</v>
      </c>
      <c r="F12" s="302">
        <v>2</v>
      </c>
      <c r="G12" s="313">
        <v>4005000880</v>
      </c>
      <c r="H12" s="302">
        <v>1</v>
      </c>
      <c r="I12" s="399" t="str">
        <f>INDEX(База[],MATCH(Комплекты[[#This Row],[Обозначение]],База[Артикул],0),MATCH(I$2,База[#Headers],0))</f>
        <v>Модулятор ABS</v>
      </c>
      <c r="J12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2" s="399"/>
      <c r="L1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2" s="699" t="str">
        <f>IF(IFERROR(MATCH("нет",Комплекты[[#This Row],[   ]:[АВТОВИК]],0)&gt;0,),"НЕТ","ОК")</f>
        <v>ОК</v>
      </c>
      <c r="O12" s="699"/>
      <c r="P1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3" spans="1:23">
      <c r="A13" s="309">
        <f>ROW()-ROW(Комплекты[[#Headers],[№]])</f>
        <v>11</v>
      </c>
      <c r="B13" s="309" t="str">
        <f>Комплекты[[#This Row],[Пр]]&amp;"_"&amp;Комплекты[[#This Row],[Обозначение]]</f>
        <v>2_4491301200</v>
      </c>
      <c r="C13" s="309">
        <f>COUNTIFS($E$3:Комплекты[[#This Row],[Комплект]],Комплекты[[#This Row],[Комплект]])</f>
        <v>2</v>
      </c>
      <c r="D13" s="310">
        <v>46043</v>
      </c>
      <c r="E13" s="311">
        <v>4441000050</v>
      </c>
      <c r="F13" s="302">
        <v>2</v>
      </c>
      <c r="G13" s="313">
        <v>4491301200</v>
      </c>
      <c r="H13" s="302">
        <v>1</v>
      </c>
      <c r="I13" s="399" t="str">
        <f>INDEX(База[],MATCH(Комплекты[[#This Row],[Обозначение]],База[Артикул],0),MATCH(I$2,База[#Headers],0))</f>
        <v>Кабель питания ABS, часть 2, 12 м</v>
      </c>
      <c r="J13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3" s="399"/>
      <c r="L1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3" s="699" t="str">
        <f>IF(IFERROR(MATCH("нет",Комплекты[[#This Row],[   ]:[АВТОВИК]],0)&gt;0,),"НЕТ","ОК")</f>
        <v>ОК</v>
      </c>
      <c r="O13" s="699"/>
      <c r="P1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4" spans="1:23">
      <c r="A14" s="309">
        <f>ROW()-ROW(Комплекты[[#Headers],[№]])</f>
        <v>12</v>
      </c>
      <c r="B14" s="309" t="str">
        <f>Комплекты[[#This Row],[Пр]]&amp;"_"&amp;Комплекты[[#This Row],[Обозначение]]</f>
        <v>2_4493702820</v>
      </c>
      <c r="C14" s="309">
        <f>COUNTIFS($E$3:Комплекты[[#This Row],[Комплект]],Комплекты[[#This Row],[Комплект]])</f>
        <v>3</v>
      </c>
      <c r="D14" s="310">
        <v>46043</v>
      </c>
      <c r="E14" s="311">
        <v>4441000050</v>
      </c>
      <c r="F14" s="302">
        <v>2</v>
      </c>
      <c r="G14" s="313">
        <v>4493702820</v>
      </c>
      <c r="H14" s="302">
        <v>1</v>
      </c>
      <c r="I14" s="399" t="str">
        <f>INDEX(База[],MATCH(Комплекты[[#This Row],[Обозначение]],База[Артикул],0),MATCH(I$2,База[#Headers],0))</f>
        <v>Кабель питания ABS, часть 1</v>
      </c>
      <c r="J14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4" s="399"/>
      <c r="L1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4" s="699" t="str">
        <f>IF(IFERROR(MATCH("нет",Комплекты[[#This Row],[   ]:[АВТОВИК]],0)&gt;0,),"НЕТ","ОК")</f>
        <v>ОК</v>
      </c>
      <c r="O14" s="699"/>
      <c r="P1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5" spans="1:23">
      <c r="A15" s="309">
        <f>ROW()-ROW(Комплекты[[#Headers],[№]])</f>
        <v>13</v>
      </c>
      <c r="B15" s="309" t="str">
        <f>Комплекты[[#This Row],[Пр]]&amp;"_"&amp;Комплекты[[#This Row],[Обозначение]]</f>
        <v>2_4497490300</v>
      </c>
      <c r="C15" s="309">
        <f>COUNTIFS($E$3:Комплекты[[#This Row],[Комплект]],Комплекты[[#This Row],[Комплект]])</f>
        <v>4</v>
      </c>
      <c r="D15" s="310">
        <v>46043</v>
      </c>
      <c r="E15" s="311">
        <v>4441000050</v>
      </c>
      <c r="F15" s="302">
        <v>2</v>
      </c>
      <c r="G15" s="313">
        <v>4497490300</v>
      </c>
      <c r="H15" s="302">
        <v>2</v>
      </c>
      <c r="I15" s="399" t="str">
        <f>INDEX(База[],MATCH(Комплекты[[#This Row],[Обозначение]],База[Артикул],0),MATCH(I$2,База[#Headers],0))</f>
        <v>Кабель-удлинитель датчика ABS, 3 м</v>
      </c>
      <c r="J15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5" s="399"/>
      <c r="L1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5" s="699" t="str">
        <f>IF(IFERROR(MATCH("нет",Комплекты[[#This Row],[   ]:[АВТОВИК]],0)&gt;0,),"НЕТ","ОК")</f>
        <v>ОК</v>
      </c>
      <c r="O15" s="699"/>
      <c r="P1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6" spans="1:23">
      <c r="A16" s="309">
        <f>ROW()-ROW(Комплекты[[#Headers],[№]])</f>
        <v>14</v>
      </c>
      <c r="B16" s="309" t="str">
        <f>Комплекты[[#This Row],[Пр]]&amp;"_"&amp;Комплекты[[#This Row],[Обозначение]]</f>
        <v>2_9522010010</v>
      </c>
      <c r="C16" s="309">
        <f>COUNTIFS($E$3:Комплекты[[#This Row],[Комплект]],Комплекты[[#This Row],[Комплект]])</f>
        <v>5</v>
      </c>
      <c r="D16" s="310">
        <v>46043</v>
      </c>
      <c r="E16" s="311">
        <v>4441000050</v>
      </c>
      <c r="F16" s="302">
        <v>2</v>
      </c>
      <c r="G16" s="313">
        <v>9522010010</v>
      </c>
      <c r="H16" s="302">
        <v>1</v>
      </c>
      <c r="I16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16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6" s="399"/>
      <c r="L1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6" s="699" t="str">
        <f>IF(IFERROR(MATCH("нет",Комплекты[[#This Row],[   ]:[АВТОВИК]],0)&gt;0,),"НЕТ","ОК")</f>
        <v>ОК</v>
      </c>
      <c r="O16" s="699"/>
      <c r="P1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7" spans="1:23">
      <c r="A17" s="309">
        <f>ROW()-ROW(Комплекты[[#Headers],[№]])</f>
        <v>15</v>
      </c>
      <c r="B17" s="309" t="str">
        <f>Комплекты[[#This Row],[Пр]]&amp;"_"&amp;Комплекты[[#This Row],[Обозначение]]</f>
        <v>2_9522010020</v>
      </c>
      <c r="C17" s="309">
        <f>COUNTIFS($E$3:Комплекты[[#This Row],[Комплект]],Комплекты[[#This Row],[Комплект]])</f>
        <v>6</v>
      </c>
      <c r="D17" s="310">
        <v>46043</v>
      </c>
      <c r="E17" s="311">
        <v>4441000050</v>
      </c>
      <c r="F17" s="302">
        <v>2</v>
      </c>
      <c r="G17" s="313">
        <v>9522010020</v>
      </c>
      <c r="H17" s="302">
        <v>1</v>
      </c>
      <c r="I17" s="399" t="str">
        <f>INDEX(База[],MATCH(Комплекты[[#This Row],[Обозначение]],База[Артикул],0),MATCH(I$2,База[#Headers],0))</f>
        <v>Головка соединительная (питающая)</v>
      </c>
      <c r="J17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7" s="399"/>
      <c r="L1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7" s="699" t="str">
        <f>IF(IFERROR(MATCH("нет",Комплекты[[#This Row],[   ]:[АВТОВИК]],0)&gt;0,),"НЕТ","ОК")</f>
        <v>ОК</v>
      </c>
      <c r="O17" s="699"/>
      <c r="P1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8" spans="1:23">
      <c r="A18" s="309">
        <f>ROW()-ROW(Комплекты[[#Headers],[№]])</f>
        <v>16</v>
      </c>
      <c r="B18" s="309" t="str">
        <f>Комплекты[[#This Row],[Пр]]&amp;"_"&amp;Комплекты[[#This Row],[Обозначение]]</f>
        <v>2_9710020400</v>
      </c>
      <c r="C18" s="309">
        <f>COUNTIFS($E$3:Комплекты[[#This Row],[Комплект]],Комплекты[[#This Row],[Комплект]])</f>
        <v>7</v>
      </c>
      <c r="D18" s="310">
        <v>46043</v>
      </c>
      <c r="E18" s="311">
        <v>4441000050</v>
      </c>
      <c r="F18" s="302">
        <v>2</v>
      </c>
      <c r="G18" s="313">
        <v>9710020400</v>
      </c>
      <c r="H18" s="302">
        <v>1</v>
      </c>
      <c r="I18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18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8" s="399"/>
      <c r="L1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8" s="699" t="str">
        <f>IF(IFERROR(MATCH("нет",Комплекты[[#This Row],[   ]:[АВТОВИК]],0)&gt;0,),"НЕТ","ОК")</f>
        <v>ОК</v>
      </c>
      <c r="O18" s="699"/>
      <c r="P1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9" spans="1:23">
      <c r="A19" s="309">
        <f>ROW()-ROW(Комплекты[[#Headers],[№]])</f>
        <v>17</v>
      </c>
      <c r="B19" s="309" t="str">
        <f>Комплекты[[#This Row],[Пр]]&amp;"_"&amp;Комплекты[[#This Row],[Обозначение]]</f>
        <v>2_4005000810</v>
      </c>
      <c r="C19" s="309">
        <f>COUNTIFS($E$3:Комплекты[[#This Row],[Комплект]],Комплекты[[#This Row],[Комплект]])</f>
        <v>1</v>
      </c>
      <c r="D19" s="310">
        <v>46043</v>
      </c>
      <c r="E19" s="311">
        <v>4441000060</v>
      </c>
      <c r="F19" s="302">
        <v>2</v>
      </c>
      <c r="G19" s="313">
        <v>4005000810</v>
      </c>
      <c r="H19" s="302">
        <v>1</v>
      </c>
      <c r="I19" s="399" t="str">
        <f>INDEX(База[],MATCH(Комплекты[[#This Row],[Обозначение]],База[Артикул],0),MATCH(I$2,База[#Headers],0))</f>
        <v>Модулятор ABS</v>
      </c>
      <c r="J19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9" s="399"/>
      <c r="L1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9" s="699" t="str">
        <f>IF(IFERROR(MATCH("нет",Комплекты[[#This Row],[   ]:[АВТОВИК]],0)&gt;0,),"НЕТ","ОК")</f>
        <v>ОК</v>
      </c>
      <c r="O19" s="699"/>
      <c r="P1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0" spans="1:23">
      <c r="A20" s="309">
        <f>ROW()-ROW(Комплекты[[#Headers],[№]])</f>
        <v>18</v>
      </c>
      <c r="B20" s="309" t="str">
        <f>Комплекты[[#This Row],[Пр]]&amp;"_"&amp;Комплекты[[#This Row],[Обозначение]]</f>
        <v>2_4491301200</v>
      </c>
      <c r="C20" s="309">
        <f>COUNTIFS($E$3:Комплекты[[#This Row],[Комплект]],Комплекты[[#This Row],[Комплект]])</f>
        <v>2</v>
      </c>
      <c r="D20" s="310">
        <v>46043</v>
      </c>
      <c r="E20" s="311">
        <v>4441000060</v>
      </c>
      <c r="F20" s="302">
        <v>2</v>
      </c>
      <c r="G20" s="313">
        <v>4491301200</v>
      </c>
      <c r="H20" s="302">
        <v>1</v>
      </c>
      <c r="I20" s="399" t="str">
        <f>INDEX(База[],MATCH(Комплекты[[#This Row],[Обозначение]],База[Артикул],0),MATCH(I$2,База[#Headers],0))</f>
        <v>Кабель питания ABS, часть 2, 12 м</v>
      </c>
      <c r="J20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20" s="399"/>
      <c r="L2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0" s="699" t="str">
        <f>IF(IFERROR(MATCH("нет",Комплекты[[#This Row],[   ]:[АВТОВИК]],0)&gt;0,),"НЕТ","ОК")</f>
        <v>ОК</v>
      </c>
      <c r="O20" s="699"/>
      <c r="P2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1" spans="1:23">
      <c r="A21" s="309">
        <f>ROW()-ROW(Комплекты[[#Headers],[№]])</f>
        <v>19</v>
      </c>
      <c r="B21" s="309" t="str">
        <f>Комплекты[[#This Row],[Пр]]&amp;"_"&amp;Комплекты[[#This Row],[Обозначение]]</f>
        <v>2_4493792810</v>
      </c>
      <c r="C21" s="309">
        <f>COUNTIFS($E$3:Комплекты[[#This Row],[Комплект]],Комплекты[[#This Row],[Комплект]])</f>
        <v>3</v>
      </c>
      <c r="D21" s="310">
        <v>46043</v>
      </c>
      <c r="E21" s="311">
        <v>4441000060</v>
      </c>
      <c r="F21" s="302">
        <v>2</v>
      </c>
      <c r="G21" s="313">
        <v>4493792810</v>
      </c>
      <c r="H21" s="302">
        <v>1</v>
      </c>
      <c r="I21" s="399" t="str">
        <f>INDEX(База[],MATCH(Комплекты[[#This Row],[Обозначение]],База[Артикул],0),MATCH(I$2,База[#Headers],0))</f>
        <v>Кабель питания ABS, часть 1</v>
      </c>
      <c r="J21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21" s="399"/>
      <c r="L2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1" s="699" t="str">
        <f>IF(IFERROR(MATCH("нет",Комплекты[[#This Row],[   ]:[АВТОВИК]],0)&gt;0,),"НЕТ","ОК")</f>
        <v>ОК</v>
      </c>
      <c r="O21" s="699"/>
      <c r="P2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2" spans="1:23">
      <c r="A22" s="309">
        <f>ROW()-ROW(Комплекты[[#Headers],[№]])</f>
        <v>20</v>
      </c>
      <c r="B22" s="309" t="str">
        <f>Комплекты[[#This Row],[Пр]]&amp;"_"&amp;Комплекты[[#This Row],[Обозначение]]</f>
        <v>2_4497490300</v>
      </c>
      <c r="C22" s="309">
        <f>COUNTIFS($E$3:Комплекты[[#This Row],[Комплект]],Комплекты[[#This Row],[Комплект]])</f>
        <v>4</v>
      </c>
      <c r="D22" s="310">
        <v>46043</v>
      </c>
      <c r="E22" s="311">
        <v>4441000060</v>
      </c>
      <c r="F22" s="302">
        <v>2</v>
      </c>
      <c r="G22" s="313">
        <v>4497490300</v>
      </c>
      <c r="H22" s="302">
        <v>2</v>
      </c>
      <c r="I22" s="399" t="str">
        <f>INDEX(База[],MATCH(Комплекты[[#This Row],[Обозначение]],База[Артикул],0),MATCH(I$2,База[#Headers],0))</f>
        <v>Кабель-удлинитель датчика ABS, 3 м</v>
      </c>
      <c r="J22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22" s="399"/>
      <c r="L2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2" s="699" t="str">
        <f>IF(IFERROR(MATCH("нет",Комплекты[[#This Row],[   ]:[АВТОВИК]],0)&gt;0,),"НЕТ","ОК")</f>
        <v>ОК</v>
      </c>
      <c r="O22" s="699"/>
      <c r="P2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3" spans="1:23">
      <c r="A23" s="309">
        <f>ROW()-ROW(Комплекты[[#Headers],[№]])</f>
        <v>21</v>
      </c>
      <c r="B23" s="309" t="str">
        <f>Комплекты[[#This Row],[Пр]]&amp;"_"&amp;Комплекты[[#This Row],[Обозначение]]</f>
        <v>2_9522010010</v>
      </c>
      <c r="C23" s="309">
        <f>COUNTIFS($E$3:Комплекты[[#This Row],[Комплект]],Комплекты[[#This Row],[Комплект]])</f>
        <v>5</v>
      </c>
      <c r="D23" s="310">
        <v>46043</v>
      </c>
      <c r="E23" s="311">
        <v>4441000060</v>
      </c>
      <c r="F23" s="302">
        <v>2</v>
      </c>
      <c r="G23" s="313">
        <v>9522010010</v>
      </c>
      <c r="H23" s="302">
        <v>1</v>
      </c>
      <c r="I23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23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23" s="399"/>
      <c r="L2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3" s="699" t="str">
        <f>IF(IFERROR(MATCH("нет",Комплекты[[#This Row],[   ]:[АВТОВИК]],0)&gt;0,),"НЕТ","ОК")</f>
        <v>ОК</v>
      </c>
      <c r="O23" s="699"/>
      <c r="P2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4" spans="1:23">
      <c r="A24" s="309">
        <f>ROW()-ROW(Комплекты[[#Headers],[№]])</f>
        <v>22</v>
      </c>
      <c r="B24" s="309" t="str">
        <f>Комплекты[[#This Row],[Пр]]&amp;"_"&amp;Комплекты[[#This Row],[Обозначение]]</f>
        <v>2_9522010020</v>
      </c>
      <c r="C24" s="309">
        <f>COUNTIFS($E$3:Комплекты[[#This Row],[Комплект]],Комплекты[[#This Row],[Комплект]])</f>
        <v>6</v>
      </c>
      <c r="D24" s="310">
        <v>46043</v>
      </c>
      <c r="E24" s="311">
        <v>4441000060</v>
      </c>
      <c r="F24" s="302">
        <v>2</v>
      </c>
      <c r="G24" s="313">
        <v>9522010020</v>
      </c>
      <c r="H24" s="302">
        <v>1</v>
      </c>
      <c r="I24" s="399" t="str">
        <f>INDEX(База[],MATCH(Комплекты[[#This Row],[Обозначение]],База[Артикул],0),MATCH(I$2,База[#Headers],0))</f>
        <v>Головка соединительная (питающая)</v>
      </c>
      <c r="J24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24" s="399"/>
      <c r="L2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4" s="699" t="str">
        <f>IF(IFERROR(MATCH("нет",Комплекты[[#This Row],[   ]:[АВТОВИК]],0)&gt;0,),"НЕТ","ОК")</f>
        <v>ОК</v>
      </c>
      <c r="O24" s="699"/>
      <c r="P2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5" spans="1:23">
      <c r="A25" s="309">
        <f>ROW()-ROW(Комплекты[[#Headers],[№]])</f>
        <v>23</v>
      </c>
      <c r="B25" s="309" t="str">
        <f>Комплекты[[#This Row],[Пр]]&amp;"_"&amp;Комплекты[[#This Row],[Обозначение]]</f>
        <v>2_9710020400</v>
      </c>
      <c r="C25" s="309">
        <f>COUNTIFS($E$3:Комплекты[[#This Row],[Комплект]],Комплекты[[#This Row],[Комплект]])</f>
        <v>7</v>
      </c>
      <c r="D25" s="310">
        <v>46043</v>
      </c>
      <c r="E25" s="311">
        <v>4441000060</v>
      </c>
      <c r="F25" s="302">
        <v>2</v>
      </c>
      <c r="G25" s="313">
        <v>9710020400</v>
      </c>
      <c r="H25" s="302">
        <v>1</v>
      </c>
      <c r="I25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25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25" s="399"/>
      <c r="L2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5" s="699" t="str">
        <f>IF(IFERROR(MATCH("нет",Комплекты[[#This Row],[   ]:[АВТОВИК]],0)&gt;0,),"НЕТ","ОК")</f>
        <v>ОК</v>
      </c>
      <c r="O25" s="699"/>
      <c r="P2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6" spans="1:23">
      <c r="A26" s="309">
        <f>ROW()-ROW(Комплекты[[#Headers],[№]])</f>
        <v>24</v>
      </c>
      <c r="B26" s="309" t="str">
        <f>Комплекты[[#This Row],[Пр]]&amp;"_"&amp;Комплекты[[#This Row],[Обозначение]]</f>
        <v>2_4005000880</v>
      </c>
      <c r="C26" s="309">
        <f>COUNTIFS($E$3:Комплекты[[#This Row],[Комплект]],Комплекты[[#This Row],[Комплект]])</f>
        <v>1</v>
      </c>
      <c r="D26" s="310">
        <v>46043</v>
      </c>
      <c r="E26" s="311">
        <v>4441000070</v>
      </c>
      <c r="F26" s="302">
        <v>2</v>
      </c>
      <c r="G26" s="313">
        <v>4005000880</v>
      </c>
      <c r="H26" s="302">
        <v>1</v>
      </c>
      <c r="I26" s="399" t="str">
        <f>INDEX(База[],MATCH(Комплекты[[#This Row],[Обозначение]],База[Артикул],0),MATCH(I$2,База[#Headers],0))</f>
        <v>Модулятор ABS</v>
      </c>
      <c r="J26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26" s="399"/>
      <c r="L2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6" s="699" t="str">
        <f>IF(IFERROR(MATCH("нет",Комплекты[[#This Row],[   ]:[АВТОВИК]],0)&gt;0,),"НЕТ","ОК")</f>
        <v>ОК</v>
      </c>
      <c r="O26" s="699"/>
      <c r="P2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7" spans="1:23">
      <c r="A27" s="309">
        <f>ROW()-ROW(Комплекты[[#Headers],[№]])</f>
        <v>25</v>
      </c>
      <c r="B27" s="309" t="str">
        <f>Комплекты[[#This Row],[Пр]]&amp;"_"&amp;Комплекты[[#This Row],[Обозначение]]</f>
        <v>2_4491301200</v>
      </c>
      <c r="C27" s="309">
        <f>COUNTIFS($E$3:Комплекты[[#This Row],[Комплект]],Комплекты[[#This Row],[Комплект]])</f>
        <v>2</v>
      </c>
      <c r="D27" s="310">
        <v>46043</v>
      </c>
      <c r="E27" s="311">
        <v>4441000070</v>
      </c>
      <c r="F27" s="302">
        <v>2</v>
      </c>
      <c r="G27" s="313">
        <v>4491301200</v>
      </c>
      <c r="H27" s="302">
        <v>1</v>
      </c>
      <c r="I27" s="399" t="str">
        <f>INDEX(База[],MATCH(Комплекты[[#This Row],[Обозначение]],База[Артикул],0),MATCH(I$2,База[#Headers],0))</f>
        <v>Кабель питания ABS, часть 2, 12 м</v>
      </c>
      <c r="J27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27" s="399"/>
      <c r="L2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7" s="699" t="str">
        <f>IF(IFERROR(MATCH("нет",Комплекты[[#This Row],[   ]:[АВТОВИК]],0)&gt;0,),"НЕТ","ОК")</f>
        <v>ОК</v>
      </c>
      <c r="O27" s="699"/>
      <c r="P2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8" spans="1:23">
      <c r="A28" s="309">
        <f>ROW()-ROW(Комплекты[[#Headers],[№]])</f>
        <v>26</v>
      </c>
      <c r="B28" s="309" t="str">
        <f>Комплекты[[#This Row],[Пр]]&amp;"_"&amp;Комплекты[[#This Row],[Обозначение]]</f>
        <v>2_4493702820</v>
      </c>
      <c r="C28" s="309">
        <f>COUNTIFS($E$3:Комплекты[[#This Row],[Комплект]],Комплекты[[#This Row],[Комплект]])</f>
        <v>3</v>
      </c>
      <c r="D28" s="310">
        <v>46043</v>
      </c>
      <c r="E28" s="311">
        <v>4441000070</v>
      </c>
      <c r="F28" s="302">
        <v>2</v>
      </c>
      <c r="G28" s="313">
        <v>4493702820</v>
      </c>
      <c r="H28" s="302">
        <v>1</v>
      </c>
      <c r="I28" s="399" t="str">
        <f>INDEX(База[],MATCH(Комплекты[[#This Row],[Обозначение]],База[Артикул],0),MATCH(I$2,База[#Headers],0))</f>
        <v>Кабель питания ABS, часть 1</v>
      </c>
      <c r="J28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28" s="399"/>
      <c r="L2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8" s="699" t="str">
        <f>IF(IFERROR(MATCH("нет",Комплекты[[#This Row],[   ]:[АВТОВИК]],0)&gt;0,),"НЕТ","ОК")</f>
        <v>ОК</v>
      </c>
      <c r="O28" s="699"/>
      <c r="P2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9" spans="1:23">
      <c r="A29" s="309">
        <f>ROW()-ROW(Комплекты[[#Headers],[№]])</f>
        <v>27</v>
      </c>
      <c r="B29" s="309" t="str">
        <f>Комплекты[[#This Row],[Пр]]&amp;"_"&amp;Комплекты[[#This Row],[Обозначение]]</f>
        <v>2_4497490300</v>
      </c>
      <c r="C29" s="309">
        <f>COUNTIFS($E$3:Комплекты[[#This Row],[Комплект]],Комплекты[[#This Row],[Комплект]])</f>
        <v>4</v>
      </c>
      <c r="D29" s="310">
        <v>46043</v>
      </c>
      <c r="E29" s="311">
        <v>4441000070</v>
      </c>
      <c r="F29" s="302">
        <v>2</v>
      </c>
      <c r="G29" s="313">
        <v>4497490300</v>
      </c>
      <c r="H29" s="302">
        <v>4</v>
      </c>
      <c r="I29" s="399" t="str">
        <f>INDEX(База[],MATCH(Комплекты[[#This Row],[Обозначение]],База[Артикул],0),MATCH(I$2,База[#Headers],0))</f>
        <v>Кабель-удлинитель датчика ABS, 3 м</v>
      </c>
      <c r="J29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29" s="399"/>
      <c r="L2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9" s="699" t="str">
        <f>IF(IFERROR(MATCH("нет",Комплекты[[#This Row],[   ]:[АВТОВИК]],0)&gt;0,),"НЕТ","ОК")</f>
        <v>ОК</v>
      </c>
      <c r="O29" s="699"/>
      <c r="P2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30" spans="1:23">
      <c r="A30" s="309">
        <f>ROW()-ROW(Комплекты[[#Headers],[№]])</f>
        <v>28</v>
      </c>
      <c r="B30" s="309" t="str">
        <f>Комплекты[[#This Row],[Пр]]&amp;"_"&amp;Комплекты[[#This Row],[Обозначение]]</f>
        <v>2_9522010010</v>
      </c>
      <c r="C30" s="309">
        <f>COUNTIFS($E$3:Комплекты[[#This Row],[Комплект]],Комплекты[[#This Row],[Комплект]])</f>
        <v>5</v>
      </c>
      <c r="D30" s="310">
        <v>46043</v>
      </c>
      <c r="E30" s="311">
        <v>4441000070</v>
      </c>
      <c r="F30" s="302">
        <v>2</v>
      </c>
      <c r="G30" s="313">
        <v>9522010010</v>
      </c>
      <c r="H30" s="302">
        <v>1</v>
      </c>
      <c r="I30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30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30" s="399"/>
      <c r="L3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3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30" s="699" t="str">
        <f>IF(IFERROR(MATCH("нет",Комплекты[[#This Row],[   ]:[АВТОВИК]],0)&gt;0,),"НЕТ","ОК")</f>
        <v>ОК</v>
      </c>
      <c r="O30" s="699"/>
      <c r="P3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3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3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3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3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3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3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3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31" spans="1:23">
      <c r="A31" s="309">
        <f>ROW()-ROW(Комплекты[[#Headers],[№]])</f>
        <v>29</v>
      </c>
      <c r="B31" s="309" t="str">
        <f>Комплекты[[#This Row],[Пр]]&amp;"_"&amp;Комплекты[[#This Row],[Обозначение]]</f>
        <v>2_9522010020</v>
      </c>
      <c r="C31" s="309">
        <f>COUNTIFS($E$3:Комплекты[[#This Row],[Комплект]],Комплекты[[#This Row],[Комплект]])</f>
        <v>6</v>
      </c>
      <c r="D31" s="310">
        <v>46043</v>
      </c>
      <c r="E31" s="311">
        <v>4441000070</v>
      </c>
      <c r="F31" s="302">
        <v>2</v>
      </c>
      <c r="G31" s="313">
        <v>9522010020</v>
      </c>
      <c r="H31" s="302">
        <v>1</v>
      </c>
      <c r="I31" s="399" t="str">
        <f>INDEX(База[],MATCH(Комплекты[[#This Row],[Обозначение]],База[Артикул],0),MATCH(I$2,База[#Headers],0))</f>
        <v>Головка соединительная (питающая)</v>
      </c>
      <c r="J31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31" s="399"/>
      <c r="L3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3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31" s="699" t="str">
        <f>IF(IFERROR(MATCH("нет",Комплекты[[#This Row],[   ]:[АВТОВИК]],0)&gt;0,),"НЕТ","ОК")</f>
        <v>ОК</v>
      </c>
      <c r="O31" s="699"/>
      <c r="P3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3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3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3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3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3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3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3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32" spans="1:23">
      <c r="A32" s="309">
        <f>ROW()-ROW(Комплекты[[#Headers],[№]])</f>
        <v>30</v>
      </c>
      <c r="B32" s="309" t="str">
        <f>Комплекты[[#This Row],[Пр]]&amp;"_"&amp;Комплекты[[#This Row],[Обозначение]]</f>
        <v>2_9710020400</v>
      </c>
      <c r="C32" s="309">
        <f>COUNTIFS($E$3:Комплекты[[#This Row],[Комплект]],Комплекты[[#This Row],[Комплект]])</f>
        <v>7</v>
      </c>
      <c r="D32" s="310">
        <v>46043</v>
      </c>
      <c r="E32" s="311">
        <v>4441000070</v>
      </c>
      <c r="F32" s="302">
        <v>2</v>
      </c>
      <c r="G32" s="313">
        <v>9710020400</v>
      </c>
      <c r="H32" s="302">
        <v>1</v>
      </c>
      <c r="I32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32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32" s="399"/>
      <c r="L3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3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32" s="699" t="str">
        <f>IF(IFERROR(MATCH("нет",Комплекты[[#This Row],[   ]:[АВТОВИК]],0)&gt;0,),"НЕТ","ОК")</f>
        <v>ОК</v>
      </c>
      <c r="O32" s="699"/>
      <c r="P3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3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3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3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3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3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3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3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33" spans="1:23">
      <c r="A33" s="309">
        <f>ROW()-ROW(Комплекты[[#Headers],[№]])</f>
        <v>31</v>
      </c>
      <c r="B33" s="309" t="str">
        <f>Комплекты[[#This Row],[Пр]]&amp;"_"&amp;Комплекты[[#This Row],[Обозначение]]</f>
        <v>2_4005000810</v>
      </c>
      <c r="C33" s="309">
        <f>COUNTIFS($E$3:Комплекты[[#This Row],[Комплект]],Комплекты[[#This Row],[Комплект]])</f>
        <v>1</v>
      </c>
      <c r="D33" s="310">
        <v>46043</v>
      </c>
      <c r="E33" s="311">
        <v>4441000080</v>
      </c>
      <c r="F33" s="302">
        <v>2</v>
      </c>
      <c r="G33" s="313">
        <v>4005000810</v>
      </c>
      <c r="H33" s="302">
        <v>1</v>
      </c>
      <c r="I33" s="399" t="str">
        <f>INDEX(База[],MATCH(Комплекты[[#This Row],[Обозначение]],База[Артикул],0),MATCH(I$2,База[#Headers],0))</f>
        <v>Модулятор ABS</v>
      </c>
      <c r="J33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33" s="399"/>
      <c r="L3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3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33" s="699" t="str">
        <f>IF(IFERROR(MATCH("нет",Комплекты[[#This Row],[   ]:[АВТОВИК]],0)&gt;0,),"НЕТ","ОК")</f>
        <v>ОК</v>
      </c>
      <c r="O33" s="699"/>
      <c r="P3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3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3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3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3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3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3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3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34" spans="1:23">
      <c r="A34" s="309">
        <f>ROW()-ROW(Комплекты[[#Headers],[№]])</f>
        <v>32</v>
      </c>
      <c r="B34" s="309" t="str">
        <f>Комплекты[[#This Row],[Пр]]&amp;"_"&amp;Комплекты[[#This Row],[Обозначение]]</f>
        <v>2_4491301200</v>
      </c>
      <c r="C34" s="309">
        <f>COUNTIFS($E$3:Комплекты[[#This Row],[Комплект]],Комплекты[[#This Row],[Комплект]])</f>
        <v>2</v>
      </c>
      <c r="D34" s="310">
        <v>46043</v>
      </c>
      <c r="E34" s="311">
        <v>4441000080</v>
      </c>
      <c r="F34" s="302">
        <v>2</v>
      </c>
      <c r="G34" s="313">
        <v>4491301200</v>
      </c>
      <c r="H34" s="302">
        <v>1</v>
      </c>
      <c r="I34" s="399" t="str">
        <f>INDEX(База[],MATCH(Комплекты[[#This Row],[Обозначение]],База[Артикул],0),MATCH(I$2,База[#Headers],0))</f>
        <v>Кабель питания ABS, часть 2, 12 м</v>
      </c>
      <c r="J34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34" s="399"/>
      <c r="L3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3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34" s="699" t="str">
        <f>IF(IFERROR(MATCH("нет",Комплекты[[#This Row],[   ]:[АВТОВИК]],0)&gt;0,),"НЕТ","ОК")</f>
        <v>ОК</v>
      </c>
      <c r="O34" s="699"/>
      <c r="P3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3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3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3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3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3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3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3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35" spans="1:23">
      <c r="A35" s="309">
        <f>ROW()-ROW(Комплекты[[#Headers],[№]])</f>
        <v>33</v>
      </c>
      <c r="B35" s="309" t="str">
        <f>Комплекты[[#This Row],[Пр]]&amp;"_"&amp;Комплекты[[#This Row],[Обозначение]]</f>
        <v>2_4493792810</v>
      </c>
      <c r="C35" s="309">
        <f>COUNTIFS($E$3:Комплекты[[#This Row],[Комплект]],Комплекты[[#This Row],[Комплект]])</f>
        <v>3</v>
      </c>
      <c r="D35" s="310">
        <v>46043</v>
      </c>
      <c r="E35" s="311">
        <v>4441000080</v>
      </c>
      <c r="F35" s="302">
        <v>2</v>
      </c>
      <c r="G35" s="313">
        <v>4493792810</v>
      </c>
      <c r="H35" s="302">
        <v>1</v>
      </c>
      <c r="I35" s="399" t="str">
        <f>INDEX(База[],MATCH(Комплекты[[#This Row],[Обозначение]],База[Артикул],0),MATCH(I$2,База[#Headers],0))</f>
        <v>Кабель питания ABS, часть 1</v>
      </c>
      <c r="J35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35" s="399"/>
      <c r="L3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3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35" s="699" t="str">
        <f>IF(IFERROR(MATCH("нет",Комплекты[[#This Row],[   ]:[АВТОВИК]],0)&gt;0,),"НЕТ","ОК")</f>
        <v>ОК</v>
      </c>
      <c r="O35" s="699"/>
      <c r="P3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3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3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3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3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3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3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3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36" spans="1:23">
      <c r="A36" s="309">
        <f>ROW()-ROW(Комплекты[[#Headers],[№]])</f>
        <v>34</v>
      </c>
      <c r="B36" s="309" t="str">
        <f>Комплекты[[#This Row],[Пр]]&amp;"_"&amp;Комплекты[[#This Row],[Обозначение]]</f>
        <v>2_4497490300</v>
      </c>
      <c r="C36" s="309">
        <f>COUNTIFS($E$3:Комплекты[[#This Row],[Комплект]],Комплекты[[#This Row],[Комплект]])</f>
        <v>4</v>
      </c>
      <c r="D36" s="310">
        <v>46043</v>
      </c>
      <c r="E36" s="311">
        <v>4441000080</v>
      </c>
      <c r="F36" s="302">
        <v>2</v>
      </c>
      <c r="G36" s="313">
        <v>4497490300</v>
      </c>
      <c r="H36" s="302">
        <v>4</v>
      </c>
      <c r="I36" s="399" t="str">
        <f>INDEX(База[],MATCH(Комплекты[[#This Row],[Обозначение]],База[Артикул],0),MATCH(I$2,База[#Headers],0))</f>
        <v>Кабель-удлинитель датчика ABS, 3 м</v>
      </c>
      <c r="J36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36" s="399"/>
      <c r="L3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3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36" s="699" t="str">
        <f>IF(IFERROR(MATCH("нет",Комплекты[[#This Row],[   ]:[АВТОВИК]],0)&gt;0,),"НЕТ","ОК")</f>
        <v>ОК</v>
      </c>
      <c r="O36" s="699"/>
      <c r="P3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3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3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3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3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3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3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3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37" spans="1:23">
      <c r="A37" s="309">
        <f>ROW()-ROW(Комплекты[[#Headers],[№]])</f>
        <v>35</v>
      </c>
      <c r="B37" s="309" t="str">
        <f>Комплекты[[#This Row],[Пр]]&amp;"_"&amp;Комплекты[[#This Row],[Обозначение]]</f>
        <v>2_9522010010</v>
      </c>
      <c r="C37" s="309">
        <f>COUNTIFS($E$3:Комплекты[[#This Row],[Комплект]],Комплекты[[#This Row],[Комплект]])</f>
        <v>5</v>
      </c>
      <c r="D37" s="310">
        <v>46043</v>
      </c>
      <c r="E37" s="311">
        <v>4441000080</v>
      </c>
      <c r="F37" s="302">
        <v>2</v>
      </c>
      <c r="G37" s="313">
        <v>9522010010</v>
      </c>
      <c r="H37" s="302">
        <v>1</v>
      </c>
      <c r="I37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37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37" s="399"/>
      <c r="L3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3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37" s="699" t="str">
        <f>IF(IFERROR(MATCH("нет",Комплекты[[#This Row],[   ]:[АВТОВИК]],0)&gt;0,),"НЕТ","ОК")</f>
        <v>ОК</v>
      </c>
      <c r="O37" s="699"/>
      <c r="P3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3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3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3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3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3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3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3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38" spans="1:23">
      <c r="A38" s="309">
        <f>ROW()-ROW(Комплекты[[#Headers],[№]])</f>
        <v>36</v>
      </c>
      <c r="B38" s="309" t="str">
        <f>Комплекты[[#This Row],[Пр]]&amp;"_"&amp;Комплекты[[#This Row],[Обозначение]]</f>
        <v>2_9522010020</v>
      </c>
      <c r="C38" s="309">
        <f>COUNTIFS($E$3:Комплекты[[#This Row],[Комплект]],Комплекты[[#This Row],[Комплект]])</f>
        <v>6</v>
      </c>
      <c r="D38" s="310">
        <v>46043</v>
      </c>
      <c r="E38" s="311">
        <v>4441000080</v>
      </c>
      <c r="F38" s="302">
        <v>2</v>
      </c>
      <c r="G38" s="313">
        <v>9522010020</v>
      </c>
      <c r="H38" s="302">
        <v>1</v>
      </c>
      <c r="I38" s="399" t="str">
        <f>INDEX(База[],MATCH(Комплекты[[#This Row],[Обозначение]],База[Артикул],0),MATCH(I$2,База[#Headers],0))</f>
        <v>Головка соединительная (питающая)</v>
      </c>
      <c r="J38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38" s="399"/>
      <c r="L3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3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38" s="699" t="str">
        <f>IF(IFERROR(MATCH("нет",Комплекты[[#This Row],[   ]:[АВТОВИК]],0)&gt;0,),"НЕТ","ОК")</f>
        <v>ОК</v>
      </c>
      <c r="O38" s="699"/>
      <c r="P3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3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3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3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3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3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3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3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39" spans="1:23">
      <c r="A39" s="309">
        <f>ROW()-ROW(Комплекты[[#Headers],[№]])</f>
        <v>37</v>
      </c>
      <c r="B39" s="309" t="str">
        <f>Комплекты[[#This Row],[Пр]]&amp;"_"&amp;Комплекты[[#This Row],[Обозначение]]</f>
        <v>2_9710020400</v>
      </c>
      <c r="C39" s="309">
        <f>COUNTIFS($E$3:Комплекты[[#This Row],[Комплект]],Комплекты[[#This Row],[Комплект]])</f>
        <v>7</v>
      </c>
      <c r="D39" s="310">
        <v>46043</v>
      </c>
      <c r="E39" s="311">
        <v>4441000080</v>
      </c>
      <c r="F39" s="302">
        <v>2</v>
      </c>
      <c r="G39" s="313">
        <v>9710020400</v>
      </c>
      <c r="H39" s="302">
        <v>1</v>
      </c>
      <c r="I39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39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39" s="399"/>
      <c r="L3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3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39" s="699" t="str">
        <f>IF(IFERROR(MATCH("нет",Комплекты[[#This Row],[   ]:[АВТОВИК]],0)&gt;0,),"НЕТ","ОК")</f>
        <v>ОК</v>
      </c>
      <c r="O39" s="699"/>
      <c r="P3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3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3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3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3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3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3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3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40" spans="1:23">
      <c r="A40" s="309">
        <f>ROW()-ROW(Комплекты[[#Headers],[№]])</f>
        <v>38</v>
      </c>
      <c r="B40" s="309" t="str">
        <f>Комплекты[[#This Row],[Пр]]&amp;"_"&amp;Комплекты[[#This Row],[Обозначение]]</f>
        <v>1_4496161560</v>
      </c>
      <c r="C40" s="309">
        <f>COUNTIFS($E$3:Комплекты[[#This Row],[Комплект]],Комплекты[[#This Row],[Комплект]])</f>
        <v>1</v>
      </c>
      <c r="D40" s="310">
        <v>46043</v>
      </c>
      <c r="E40" s="311">
        <v>4441000090</v>
      </c>
      <c r="F40" s="302">
        <v>1</v>
      </c>
      <c r="G40" s="313">
        <v>4496161560</v>
      </c>
      <c r="H40" s="302">
        <v>1</v>
      </c>
      <c r="I40" s="399" t="str">
        <f>INDEX(База[],MATCH(Комплекты[[#This Row],[Обозначение]],База[Артикул],0),MATCH(I$2,База[#Headers],0))</f>
        <v>Кабель ускорительного клапана ABS / диа., 10 м / 3 м</v>
      </c>
      <c r="J40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40" s="399"/>
      <c r="L4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4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40" s="699" t="str">
        <f>IF(IFERROR(MATCH("нет",Комплекты[[#This Row],[   ]:[АВТОВИК]],0)&gt;0,),"НЕТ","ОК")</f>
        <v>ОК</v>
      </c>
      <c r="O40" s="699"/>
      <c r="P4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4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4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4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4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4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4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4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41" spans="1:23">
      <c r="A41" s="309">
        <f>ROW()-ROW(Комплекты[[#Headers],[№]])</f>
        <v>39</v>
      </c>
      <c r="B41" s="309" t="str">
        <f>Комплекты[[#This Row],[Пр]]&amp;"_"&amp;Комплекты[[#This Row],[Обозначение]]</f>
        <v>1_4721950310</v>
      </c>
      <c r="C41" s="309">
        <f>COUNTIFS($E$3:Комплекты[[#This Row],[Комплект]],Комплекты[[#This Row],[Комплект]])</f>
        <v>2</v>
      </c>
      <c r="D41" s="310">
        <v>46043</v>
      </c>
      <c r="E41" s="311">
        <v>4441000090</v>
      </c>
      <c r="F41" s="302">
        <v>1</v>
      </c>
      <c r="G41" s="313">
        <v>4721950310</v>
      </c>
      <c r="H41" s="302">
        <v>1</v>
      </c>
      <c r="I41" s="399" t="str">
        <f>INDEX(База[],MATCH(Комплекты[[#This Row],[Обозначение]],База[Артикул],0),MATCH(I$2,База[#Headers],0))</f>
        <v>Ускорительный клапан ABS</v>
      </c>
      <c r="J41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41" s="399"/>
      <c r="L4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4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41" s="699" t="str">
        <f>IF(IFERROR(MATCH("нет",Комплекты[[#This Row],[   ]:[АВТОВИК]],0)&gt;0,),"НЕТ","ОК")</f>
        <v>ОК</v>
      </c>
      <c r="O41" s="699"/>
      <c r="P4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4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4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4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4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4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4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4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42" spans="1:23">
      <c r="A42" s="309">
        <f>ROW()-ROW(Комплекты[[#Headers],[№]])</f>
        <v>40</v>
      </c>
      <c r="B42" s="309" t="str">
        <f>Комплекты[[#This Row],[Пр]]&amp;"_"&amp;Комплекты[[#This Row],[Обозначение]]</f>
        <v>2_4005000880</v>
      </c>
      <c r="C42" s="309">
        <f>COUNTIFS($E$3:Комплекты[[#This Row],[Комплект]],Комплекты[[#This Row],[Комплект]])</f>
        <v>3</v>
      </c>
      <c r="D42" s="310">
        <v>46043</v>
      </c>
      <c r="E42" s="311">
        <v>4441000090</v>
      </c>
      <c r="F42" s="302">
        <v>2</v>
      </c>
      <c r="G42" s="313">
        <v>4005000880</v>
      </c>
      <c r="H42" s="302">
        <v>1</v>
      </c>
      <c r="I42" s="399" t="str">
        <f>INDEX(База[],MATCH(Комплекты[[#This Row],[Обозначение]],База[Артикул],0),MATCH(I$2,База[#Headers],0))</f>
        <v>Модулятор ABS</v>
      </c>
      <c r="J42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42" s="399"/>
      <c r="L4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4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42" s="699" t="str">
        <f>IF(IFERROR(MATCH("нет",Комплекты[[#This Row],[   ]:[АВТОВИК]],0)&gt;0,),"НЕТ","ОК")</f>
        <v>ОК</v>
      </c>
      <c r="O42" s="699"/>
      <c r="P4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4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4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4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4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4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4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4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43" spans="1:23">
      <c r="A43" s="309">
        <f>ROW()-ROW(Комплекты[[#Headers],[№]])</f>
        <v>41</v>
      </c>
      <c r="B43" s="309" t="str">
        <f>Комплекты[[#This Row],[Пр]]&amp;"_"&amp;Комплекты[[#This Row],[Обозначение]]</f>
        <v>2_4491301200</v>
      </c>
      <c r="C43" s="309">
        <f>COUNTIFS($E$3:Комплекты[[#This Row],[Комплект]],Комплекты[[#This Row],[Комплект]])</f>
        <v>4</v>
      </c>
      <c r="D43" s="310">
        <v>46043</v>
      </c>
      <c r="E43" s="311">
        <v>4441000090</v>
      </c>
      <c r="F43" s="302">
        <v>2</v>
      </c>
      <c r="G43" s="313">
        <v>4491301200</v>
      </c>
      <c r="H43" s="302">
        <v>1</v>
      </c>
      <c r="I43" s="399" t="str">
        <f>INDEX(База[],MATCH(Комплекты[[#This Row],[Обозначение]],База[Артикул],0),MATCH(I$2,База[#Headers],0))</f>
        <v>Кабель питания ABS, часть 2, 12 м</v>
      </c>
      <c r="J43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43" s="399"/>
      <c r="L4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4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43" s="699" t="str">
        <f>IF(IFERROR(MATCH("нет",Комплекты[[#This Row],[   ]:[АВТОВИК]],0)&gt;0,),"НЕТ","ОК")</f>
        <v>ОК</v>
      </c>
      <c r="O43" s="699"/>
      <c r="P4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4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4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4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4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4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4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4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44" spans="1:23">
      <c r="A44" s="309">
        <f>ROW()-ROW(Комплекты[[#Headers],[№]])</f>
        <v>42</v>
      </c>
      <c r="B44" s="309" t="str">
        <f>Комплекты[[#This Row],[Пр]]&amp;"_"&amp;Комплекты[[#This Row],[Обозначение]]</f>
        <v>2_4493702820</v>
      </c>
      <c r="C44" s="309">
        <f>COUNTIFS($E$3:Комплекты[[#This Row],[Комплект]],Комплекты[[#This Row],[Комплект]])</f>
        <v>5</v>
      </c>
      <c r="D44" s="310">
        <v>46043</v>
      </c>
      <c r="E44" s="311">
        <v>4441000090</v>
      </c>
      <c r="F44" s="302">
        <v>2</v>
      </c>
      <c r="G44" s="313">
        <v>4493702820</v>
      </c>
      <c r="H44" s="302">
        <v>1</v>
      </c>
      <c r="I44" s="399" t="str">
        <f>INDEX(База[],MATCH(Комплекты[[#This Row],[Обозначение]],База[Артикул],0),MATCH(I$2,База[#Headers],0))</f>
        <v>Кабель питания ABS, часть 1</v>
      </c>
      <c r="J44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44" s="399"/>
      <c r="L4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4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44" s="699" t="str">
        <f>IF(IFERROR(MATCH("нет",Комплекты[[#This Row],[   ]:[АВТОВИК]],0)&gt;0,),"НЕТ","ОК")</f>
        <v>ОК</v>
      </c>
      <c r="O44" s="699"/>
      <c r="P4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4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4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4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4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4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4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4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45" spans="1:23">
      <c r="A45" s="309">
        <f>ROW()-ROW(Комплекты[[#Headers],[№]])</f>
        <v>43</v>
      </c>
      <c r="B45" s="309" t="str">
        <f>Комплекты[[#This Row],[Пр]]&amp;"_"&amp;Комплекты[[#This Row],[Обозначение]]</f>
        <v>2_4497490300</v>
      </c>
      <c r="C45" s="309">
        <f>COUNTIFS($E$3:Комплекты[[#This Row],[Комплект]],Комплекты[[#This Row],[Комплект]])</f>
        <v>6</v>
      </c>
      <c r="D45" s="310">
        <v>46043</v>
      </c>
      <c r="E45" s="311">
        <v>4441000090</v>
      </c>
      <c r="F45" s="302">
        <v>2</v>
      </c>
      <c r="G45" s="313">
        <v>4497490300</v>
      </c>
      <c r="H45" s="302">
        <v>4</v>
      </c>
      <c r="I45" s="399" t="str">
        <f>INDEX(База[],MATCH(Комплекты[[#This Row],[Обозначение]],База[Артикул],0),MATCH(I$2,База[#Headers],0))</f>
        <v>Кабель-удлинитель датчика ABS, 3 м</v>
      </c>
      <c r="J45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45" s="399"/>
      <c r="L4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4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45" s="699" t="str">
        <f>IF(IFERROR(MATCH("нет",Комплекты[[#This Row],[   ]:[АВТОВИК]],0)&gt;0,),"НЕТ","ОК")</f>
        <v>ОК</v>
      </c>
      <c r="O45" s="699"/>
      <c r="P4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4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4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4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4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4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4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4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46" spans="1:23">
      <c r="A46" s="309">
        <f>ROW()-ROW(Комплекты[[#Headers],[№]])</f>
        <v>44</v>
      </c>
      <c r="B46" s="309" t="str">
        <f>Комплекты[[#This Row],[Пр]]&amp;"_"&amp;Комплекты[[#This Row],[Обозначение]]</f>
        <v>2_9522010010</v>
      </c>
      <c r="C46" s="309">
        <f>COUNTIFS($E$3:Комплекты[[#This Row],[Комплект]],Комплекты[[#This Row],[Комплект]])</f>
        <v>7</v>
      </c>
      <c r="D46" s="310">
        <v>46043</v>
      </c>
      <c r="E46" s="311">
        <v>4441000090</v>
      </c>
      <c r="F46" s="302">
        <v>2</v>
      </c>
      <c r="G46" s="313">
        <v>9522010010</v>
      </c>
      <c r="H46" s="302">
        <v>1</v>
      </c>
      <c r="I46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46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46" s="399"/>
      <c r="L4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4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46" s="699" t="str">
        <f>IF(IFERROR(MATCH("нет",Комплекты[[#This Row],[   ]:[АВТОВИК]],0)&gt;0,),"НЕТ","ОК")</f>
        <v>ОК</v>
      </c>
      <c r="O46" s="699"/>
      <c r="P4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4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4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4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4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4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4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4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47" spans="1:23">
      <c r="A47" s="309">
        <f>ROW()-ROW(Комплекты[[#Headers],[№]])</f>
        <v>45</v>
      </c>
      <c r="B47" s="309" t="str">
        <f>Комплекты[[#This Row],[Пр]]&amp;"_"&amp;Комплекты[[#This Row],[Обозначение]]</f>
        <v>2_9522010020</v>
      </c>
      <c r="C47" s="309">
        <f>COUNTIFS($E$3:Комплекты[[#This Row],[Комплект]],Комплекты[[#This Row],[Комплект]])</f>
        <v>8</v>
      </c>
      <c r="D47" s="310">
        <v>46043</v>
      </c>
      <c r="E47" s="311">
        <v>4441000090</v>
      </c>
      <c r="F47" s="302">
        <v>2</v>
      </c>
      <c r="G47" s="313">
        <v>9522010020</v>
      </c>
      <c r="H47" s="302">
        <v>1</v>
      </c>
      <c r="I47" s="399" t="str">
        <f>INDEX(База[],MATCH(Комплекты[[#This Row],[Обозначение]],База[Артикул],0),MATCH(I$2,База[#Headers],0))</f>
        <v>Головка соединительная (питающая)</v>
      </c>
      <c r="J47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47" s="399"/>
      <c r="L4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4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47" s="699" t="str">
        <f>IF(IFERROR(MATCH("нет",Комплекты[[#This Row],[   ]:[АВТОВИК]],0)&gt;0,),"НЕТ","ОК")</f>
        <v>ОК</v>
      </c>
      <c r="O47" s="699"/>
      <c r="P4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4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4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4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4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4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4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4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48" spans="1:23">
      <c r="A48" s="309">
        <f>ROW()-ROW(Комплекты[[#Headers],[№]])</f>
        <v>46</v>
      </c>
      <c r="B48" s="309" t="str">
        <f>Комплекты[[#This Row],[Пр]]&amp;"_"&amp;Комплекты[[#This Row],[Обозначение]]</f>
        <v>2_9710020400</v>
      </c>
      <c r="C48" s="309">
        <f>COUNTIFS($E$3:Комплекты[[#This Row],[Комплект]],Комплекты[[#This Row],[Комплект]])</f>
        <v>9</v>
      </c>
      <c r="D48" s="310">
        <v>46043</v>
      </c>
      <c r="E48" s="311">
        <v>4441000090</v>
      </c>
      <c r="F48" s="302">
        <v>2</v>
      </c>
      <c r="G48" s="313">
        <v>9710020400</v>
      </c>
      <c r="H48" s="302">
        <v>1</v>
      </c>
      <c r="I48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48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48" s="399"/>
      <c r="L4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4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48" s="699" t="str">
        <f>IF(IFERROR(MATCH("нет",Комплекты[[#This Row],[   ]:[АВТОВИК]],0)&gt;0,),"НЕТ","ОК")</f>
        <v>ОК</v>
      </c>
      <c r="O48" s="699"/>
      <c r="P4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4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4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4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4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4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4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4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49" spans="1:23">
      <c r="A49" s="309">
        <f>ROW()-ROW(Комплекты[[#Headers],[№]])</f>
        <v>47</v>
      </c>
      <c r="B49" s="309" t="str">
        <f>Комплекты[[#This Row],[Пр]]&amp;"_"&amp;Комплекты[[#This Row],[Обозначение]]</f>
        <v>1_4496161560</v>
      </c>
      <c r="C49" s="309">
        <f>COUNTIFS($E$3:Комплекты[[#This Row],[Комплект]],Комплекты[[#This Row],[Комплект]])</f>
        <v>1</v>
      </c>
      <c r="D49" s="310">
        <v>46043</v>
      </c>
      <c r="E49" s="311">
        <v>4441000100</v>
      </c>
      <c r="F49" s="302">
        <v>1</v>
      </c>
      <c r="G49" s="313">
        <v>4496161560</v>
      </c>
      <c r="H49" s="302">
        <v>1</v>
      </c>
      <c r="I49" s="399" t="str">
        <f>INDEX(База[],MATCH(Комплекты[[#This Row],[Обозначение]],База[Артикул],0),MATCH(I$2,База[#Headers],0))</f>
        <v>Кабель ускорительного клапана ABS / диа., 10 м / 3 м</v>
      </c>
      <c r="J49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49" s="399"/>
      <c r="L4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4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49" s="699" t="str">
        <f>IF(IFERROR(MATCH("нет",Комплекты[[#This Row],[   ]:[АВТОВИК]],0)&gt;0,),"НЕТ","ОК")</f>
        <v>ОК</v>
      </c>
      <c r="O49" s="699"/>
      <c r="P4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4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4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4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4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4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4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4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50" spans="1:23">
      <c r="A50" s="309">
        <f>ROW()-ROW(Комплекты[[#Headers],[№]])</f>
        <v>48</v>
      </c>
      <c r="B50" s="309" t="str">
        <f>Комплекты[[#This Row],[Пр]]&amp;"_"&amp;Комплекты[[#This Row],[Обозначение]]</f>
        <v>1_4721950310</v>
      </c>
      <c r="C50" s="309">
        <f>COUNTIFS($E$3:Комплекты[[#This Row],[Комплект]],Комплекты[[#This Row],[Комплект]])</f>
        <v>2</v>
      </c>
      <c r="D50" s="310">
        <v>46043</v>
      </c>
      <c r="E50" s="311">
        <v>4441000100</v>
      </c>
      <c r="F50" s="302">
        <v>1</v>
      </c>
      <c r="G50" s="313">
        <v>4721950310</v>
      </c>
      <c r="H50" s="302">
        <v>1</v>
      </c>
      <c r="I50" s="399" t="str">
        <f>INDEX(База[],MATCH(Комплекты[[#This Row],[Обозначение]],База[Артикул],0),MATCH(I$2,База[#Headers],0))</f>
        <v>Ускорительный клапан ABS</v>
      </c>
      <c r="J50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50" s="399"/>
      <c r="L5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5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50" s="699" t="str">
        <f>IF(IFERROR(MATCH("нет",Комплекты[[#This Row],[   ]:[АВТОВИК]],0)&gt;0,),"НЕТ","ОК")</f>
        <v>ОК</v>
      </c>
      <c r="O50" s="699"/>
      <c r="P5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5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5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5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5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5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5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5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51" spans="1:23">
      <c r="A51" s="309">
        <f>ROW()-ROW(Комплекты[[#Headers],[№]])</f>
        <v>49</v>
      </c>
      <c r="B51" s="309" t="str">
        <f>Комплекты[[#This Row],[Пр]]&amp;"_"&amp;Комплекты[[#This Row],[Обозначение]]</f>
        <v>2_4005000810</v>
      </c>
      <c r="C51" s="309">
        <f>COUNTIFS($E$3:Комплекты[[#This Row],[Комплект]],Комплекты[[#This Row],[Комплект]])</f>
        <v>3</v>
      </c>
      <c r="D51" s="310">
        <v>46043</v>
      </c>
      <c r="E51" s="311">
        <v>4441000100</v>
      </c>
      <c r="F51" s="302">
        <v>2</v>
      </c>
      <c r="G51" s="313">
        <v>4005000810</v>
      </c>
      <c r="H51" s="302">
        <v>1</v>
      </c>
      <c r="I51" s="399" t="str">
        <f>INDEX(База[],MATCH(Комплекты[[#This Row],[Обозначение]],База[Артикул],0),MATCH(I$2,База[#Headers],0))</f>
        <v>Модулятор ABS</v>
      </c>
      <c r="J51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51" s="399"/>
      <c r="L5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5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51" s="699" t="str">
        <f>IF(IFERROR(MATCH("нет",Комплекты[[#This Row],[   ]:[АВТОВИК]],0)&gt;0,),"НЕТ","ОК")</f>
        <v>ОК</v>
      </c>
      <c r="O51" s="699"/>
      <c r="P5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5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5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5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5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5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5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5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52" spans="1:23">
      <c r="A52" s="309">
        <f>ROW()-ROW(Комплекты[[#Headers],[№]])</f>
        <v>50</v>
      </c>
      <c r="B52" s="309" t="str">
        <f>Комплекты[[#This Row],[Пр]]&amp;"_"&amp;Комплекты[[#This Row],[Обозначение]]</f>
        <v>2_4491301200</v>
      </c>
      <c r="C52" s="309">
        <f>COUNTIFS($E$3:Комплекты[[#This Row],[Комплект]],Комплекты[[#This Row],[Комплект]])</f>
        <v>4</v>
      </c>
      <c r="D52" s="310">
        <v>46043</v>
      </c>
      <c r="E52" s="311">
        <v>4441000100</v>
      </c>
      <c r="F52" s="302">
        <v>2</v>
      </c>
      <c r="G52" s="313">
        <v>4491301200</v>
      </c>
      <c r="H52" s="302">
        <v>1</v>
      </c>
      <c r="I52" s="399" t="str">
        <f>INDEX(База[],MATCH(Комплекты[[#This Row],[Обозначение]],База[Артикул],0),MATCH(I$2,База[#Headers],0))</f>
        <v>Кабель питания ABS, часть 2, 12 м</v>
      </c>
      <c r="J52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52" s="399"/>
      <c r="L5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5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52" s="699" t="str">
        <f>IF(IFERROR(MATCH("нет",Комплекты[[#This Row],[   ]:[АВТОВИК]],0)&gt;0,),"НЕТ","ОК")</f>
        <v>ОК</v>
      </c>
      <c r="O52" s="699"/>
      <c r="P5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5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5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5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5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5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5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5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53" spans="1:23">
      <c r="A53" s="309">
        <f>ROW()-ROW(Комплекты[[#Headers],[№]])</f>
        <v>51</v>
      </c>
      <c r="B53" s="309" t="str">
        <f>Комплекты[[#This Row],[Пр]]&amp;"_"&amp;Комплекты[[#This Row],[Обозначение]]</f>
        <v>2_4493792810</v>
      </c>
      <c r="C53" s="309">
        <f>COUNTIFS($E$3:Комплекты[[#This Row],[Комплект]],Комплекты[[#This Row],[Комплект]])</f>
        <v>5</v>
      </c>
      <c r="D53" s="310">
        <v>46043</v>
      </c>
      <c r="E53" s="311">
        <v>4441000100</v>
      </c>
      <c r="F53" s="302">
        <v>2</v>
      </c>
      <c r="G53" s="313">
        <v>4493792810</v>
      </c>
      <c r="H53" s="302">
        <v>1</v>
      </c>
      <c r="I53" s="399" t="str">
        <f>INDEX(База[],MATCH(Комплекты[[#This Row],[Обозначение]],База[Артикул],0),MATCH(I$2,База[#Headers],0))</f>
        <v>Кабель питания ABS, часть 1</v>
      </c>
      <c r="J53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53" s="399"/>
      <c r="L5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5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53" s="699" t="str">
        <f>IF(IFERROR(MATCH("нет",Комплекты[[#This Row],[   ]:[АВТОВИК]],0)&gt;0,),"НЕТ","ОК")</f>
        <v>ОК</v>
      </c>
      <c r="O53" s="699"/>
      <c r="P5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5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5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5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5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5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5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5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54" spans="1:23">
      <c r="A54" s="309">
        <f>ROW()-ROW(Комплекты[[#Headers],[№]])</f>
        <v>52</v>
      </c>
      <c r="B54" s="309" t="str">
        <f>Комплекты[[#This Row],[Пр]]&amp;"_"&amp;Комплекты[[#This Row],[Обозначение]]</f>
        <v>2_4497490300</v>
      </c>
      <c r="C54" s="309">
        <f>COUNTIFS($E$3:Комплекты[[#This Row],[Комплект]],Комплекты[[#This Row],[Комплект]])</f>
        <v>6</v>
      </c>
      <c r="D54" s="310">
        <v>46043</v>
      </c>
      <c r="E54" s="311">
        <v>4441000100</v>
      </c>
      <c r="F54" s="302">
        <v>2</v>
      </c>
      <c r="G54" s="313">
        <v>4497490300</v>
      </c>
      <c r="H54" s="302">
        <v>4</v>
      </c>
      <c r="I54" s="399" t="str">
        <f>INDEX(База[],MATCH(Комплекты[[#This Row],[Обозначение]],База[Артикул],0),MATCH(I$2,База[#Headers],0))</f>
        <v>Кабель-удлинитель датчика ABS, 3 м</v>
      </c>
      <c r="J54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54" s="399"/>
      <c r="L5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5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54" s="699" t="str">
        <f>IF(IFERROR(MATCH("нет",Комплекты[[#This Row],[   ]:[АВТОВИК]],0)&gt;0,),"НЕТ","ОК")</f>
        <v>ОК</v>
      </c>
      <c r="O54" s="699"/>
      <c r="P5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5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5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5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5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5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5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5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55" spans="1:23">
      <c r="A55" s="309">
        <f>ROW()-ROW(Комплекты[[#Headers],[№]])</f>
        <v>53</v>
      </c>
      <c r="B55" s="309" t="str">
        <f>Комплекты[[#This Row],[Пр]]&amp;"_"&amp;Комплекты[[#This Row],[Обозначение]]</f>
        <v>2_9522010010</v>
      </c>
      <c r="C55" s="309">
        <f>COUNTIFS($E$3:Комплекты[[#This Row],[Комплект]],Комплекты[[#This Row],[Комплект]])</f>
        <v>7</v>
      </c>
      <c r="D55" s="310">
        <v>46043</v>
      </c>
      <c r="E55" s="311">
        <v>4441000100</v>
      </c>
      <c r="F55" s="302">
        <v>2</v>
      </c>
      <c r="G55" s="313">
        <v>9522010010</v>
      </c>
      <c r="H55" s="302">
        <v>1</v>
      </c>
      <c r="I55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55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55" s="399"/>
      <c r="L5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5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55" s="699" t="str">
        <f>IF(IFERROR(MATCH("нет",Комплекты[[#This Row],[   ]:[АВТОВИК]],0)&gt;0,),"НЕТ","ОК")</f>
        <v>ОК</v>
      </c>
      <c r="O55" s="699"/>
      <c r="P5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5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5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5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5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5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5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5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56" spans="1:23">
      <c r="A56" s="309">
        <f>ROW()-ROW(Комплекты[[#Headers],[№]])</f>
        <v>54</v>
      </c>
      <c r="B56" s="309" t="str">
        <f>Комплекты[[#This Row],[Пр]]&amp;"_"&amp;Комплекты[[#This Row],[Обозначение]]</f>
        <v>2_9522010020</v>
      </c>
      <c r="C56" s="309">
        <f>COUNTIFS($E$3:Комплекты[[#This Row],[Комплект]],Комплекты[[#This Row],[Комплект]])</f>
        <v>8</v>
      </c>
      <c r="D56" s="310">
        <v>46043</v>
      </c>
      <c r="E56" s="311">
        <v>4441000100</v>
      </c>
      <c r="F56" s="302">
        <v>2</v>
      </c>
      <c r="G56" s="313">
        <v>9522010020</v>
      </c>
      <c r="H56" s="302">
        <v>1</v>
      </c>
      <c r="I56" s="399" t="str">
        <f>INDEX(База[],MATCH(Комплекты[[#This Row],[Обозначение]],База[Артикул],0),MATCH(I$2,База[#Headers],0))</f>
        <v>Головка соединительная (питающая)</v>
      </c>
      <c r="J56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56" s="399"/>
      <c r="L5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5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56" s="699" t="str">
        <f>IF(IFERROR(MATCH("нет",Комплекты[[#This Row],[   ]:[АВТОВИК]],0)&gt;0,),"НЕТ","ОК")</f>
        <v>ОК</v>
      </c>
      <c r="O56" s="699"/>
      <c r="P5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5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5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5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5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5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5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5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57" spans="1:23">
      <c r="A57" s="309">
        <f>ROW()-ROW(Комплекты[[#Headers],[№]])</f>
        <v>55</v>
      </c>
      <c r="B57" s="309" t="str">
        <f>Комплекты[[#This Row],[Пр]]&amp;"_"&amp;Комплекты[[#This Row],[Обозначение]]</f>
        <v>2_9710020400</v>
      </c>
      <c r="C57" s="309">
        <f>COUNTIFS($E$3:Комплекты[[#This Row],[Комплект]],Комплекты[[#This Row],[Комплект]])</f>
        <v>9</v>
      </c>
      <c r="D57" s="310">
        <v>46043</v>
      </c>
      <c r="E57" s="311">
        <v>4441000100</v>
      </c>
      <c r="F57" s="302">
        <v>2</v>
      </c>
      <c r="G57" s="313">
        <v>9710020400</v>
      </c>
      <c r="H57" s="302">
        <v>1</v>
      </c>
      <c r="I57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57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57" s="399"/>
      <c r="L5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5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57" s="699" t="str">
        <f>IF(IFERROR(MATCH("нет",Комплекты[[#This Row],[   ]:[АВТОВИК]],0)&gt;0,),"НЕТ","ОК")</f>
        <v>ОК</v>
      </c>
      <c r="O57" s="699"/>
      <c r="P5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5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5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5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5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5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5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5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58" spans="1:23">
      <c r="A58" s="309">
        <f>ROW()-ROW(Комплекты[[#Headers],[№]])</f>
        <v>56</v>
      </c>
      <c r="B58" s="309" t="str">
        <f>Комплекты[[#This Row],[Пр]]&amp;"_"&amp;Комплекты[[#This Row],[Обозначение]]</f>
        <v>2_4005000810</v>
      </c>
      <c r="C58" s="309">
        <f>COUNTIFS($E$3:Комплекты[[#This Row],[Комплект]],Комплекты[[#This Row],[Комплект]])</f>
        <v>1</v>
      </c>
      <c r="D58" s="310">
        <v>46043</v>
      </c>
      <c r="E58" s="311">
        <v>4441000120</v>
      </c>
      <c r="F58" s="302">
        <v>2</v>
      </c>
      <c r="G58" s="313">
        <v>4005000810</v>
      </c>
      <c r="H58" s="302">
        <v>1</v>
      </c>
      <c r="I58" s="399" t="str">
        <f>INDEX(База[],MATCH(Комплекты[[#This Row],[Обозначение]],База[Артикул],0),MATCH(I$2,База[#Headers],0))</f>
        <v>Модулятор ABS</v>
      </c>
      <c r="J58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58" s="399"/>
      <c r="L5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5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58" s="699" t="str">
        <f>IF(IFERROR(MATCH("нет",Комплекты[[#This Row],[   ]:[АВТОВИК]],0)&gt;0,),"НЕТ","ОК")</f>
        <v>ОК</v>
      </c>
      <c r="O58" s="699"/>
      <c r="P5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5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5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5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5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5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5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5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59" spans="1:23">
      <c r="A59" s="309">
        <f>ROW()-ROW(Комплекты[[#Headers],[№]])</f>
        <v>57</v>
      </c>
      <c r="B59" s="309" t="str">
        <f>Комплекты[[#This Row],[Пр]]&amp;"_"&amp;Комплекты[[#This Row],[Обозначение]]</f>
        <v>2_4491301500</v>
      </c>
      <c r="C59" s="309">
        <f>COUNTIFS($E$3:Комплекты[[#This Row],[Комплект]],Комплекты[[#This Row],[Комплект]])</f>
        <v>2</v>
      </c>
      <c r="D59" s="310">
        <v>46043</v>
      </c>
      <c r="E59" s="311">
        <v>4441000120</v>
      </c>
      <c r="F59" s="302">
        <v>2</v>
      </c>
      <c r="G59" s="313">
        <v>4491301500</v>
      </c>
      <c r="H59" s="302">
        <v>1</v>
      </c>
      <c r="I59" s="399" t="str">
        <f>INDEX(База[],MATCH(Комплекты[[#This Row],[Обозначение]],База[Артикул],0),MATCH(I$2,База[#Headers],0))</f>
        <v>Кабель питания ABS, часть 2, 15 м</v>
      </c>
      <c r="J59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59" s="399"/>
      <c r="L5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5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59" s="699" t="str">
        <f>IF(IFERROR(MATCH("нет",Комплекты[[#This Row],[   ]:[АВТОВИК]],0)&gt;0,),"НЕТ","ОК")</f>
        <v>ОК</v>
      </c>
      <c r="O59" s="699"/>
      <c r="P5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5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5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5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5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5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5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5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60" spans="1:23">
      <c r="A60" s="309">
        <f>ROW()-ROW(Комплекты[[#Headers],[№]])</f>
        <v>58</v>
      </c>
      <c r="B60" s="309" t="str">
        <f>Комплекты[[#This Row],[Пр]]&amp;"_"&amp;Комплекты[[#This Row],[Обозначение]]</f>
        <v>2_4493792810</v>
      </c>
      <c r="C60" s="309">
        <f>COUNTIFS($E$3:Комплекты[[#This Row],[Комплект]],Комплекты[[#This Row],[Комплект]])</f>
        <v>3</v>
      </c>
      <c r="D60" s="310">
        <v>46043</v>
      </c>
      <c r="E60" s="311">
        <v>4441000120</v>
      </c>
      <c r="F60" s="302">
        <v>2</v>
      </c>
      <c r="G60" s="313">
        <v>4493792810</v>
      </c>
      <c r="H60" s="302">
        <v>1</v>
      </c>
      <c r="I60" s="399" t="str">
        <f>INDEX(База[],MATCH(Комплекты[[#This Row],[Обозначение]],База[Артикул],0),MATCH(I$2,База[#Headers],0))</f>
        <v>Кабель питания ABS, часть 1</v>
      </c>
      <c r="J60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60" s="399"/>
      <c r="L6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6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60" s="699" t="str">
        <f>IF(IFERROR(MATCH("нет",Комплекты[[#This Row],[   ]:[АВТОВИК]],0)&gt;0,),"НЕТ","ОК")</f>
        <v>ОК</v>
      </c>
      <c r="O60" s="699"/>
      <c r="P6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6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6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6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6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6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6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6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61" spans="1:23">
      <c r="A61" s="309">
        <f>ROW()-ROW(Комплекты[[#Headers],[№]])</f>
        <v>59</v>
      </c>
      <c r="B61" s="309" t="str">
        <f>Комплекты[[#This Row],[Пр]]&amp;"_"&amp;Комплекты[[#This Row],[Обозначение]]</f>
        <v>2_4497490300</v>
      </c>
      <c r="C61" s="309">
        <f>COUNTIFS($E$3:Комплекты[[#This Row],[Комплект]],Комплекты[[#This Row],[Комплект]])</f>
        <v>4</v>
      </c>
      <c r="D61" s="310">
        <v>46043</v>
      </c>
      <c r="E61" s="311">
        <v>4441000120</v>
      </c>
      <c r="F61" s="302">
        <v>2</v>
      </c>
      <c r="G61" s="313">
        <v>4497490300</v>
      </c>
      <c r="H61" s="302">
        <v>2</v>
      </c>
      <c r="I61" s="399" t="str">
        <f>INDEX(База[],MATCH(Комплекты[[#This Row],[Обозначение]],База[Артикул],0),MATCH(I$2,База[#Headers],0))</f>
        <v>Кабель-удлинитель датчика ABS, 3 м</v>
      </c>
      <c r="J61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61" s="399"/>
      <c r="L6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6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61" s="699" t="str">
        <f>IF(IFERROR(MATCH("нет",Комплекты[[#This Row],[   ]:[АВТОВИК]],0)&gt;0,),"НЕТ","ОК")</f>
        <v>ОК</v>
      </c>
      <c r="O61" s="699"/>
      <c r="P6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6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6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6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6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6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6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6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62" spans="1:23">
      <c r="A62" s="309">
        <f>ROW()-ROW(Комплекты[[#Headers],[№]])</f>
        <v>60</v>
      </c>
      <c r="B62" s="309" t="str">
        <f>Комплекты[[#This Row],[Пр]]&amp;"_"&amp;Комплекты[[#This Row],[Обозначение]]</f>
        <v>2_9522010010</v>
      </c>
      <c r="C62" s="309">
        <f>COUNTIFS($E$3:Комплекты[[#This Row],[Комплект]],Комплекты[[#This Row],[Комплект]])</f>
        <v>5</v>
      </c>
      <c r="D62" s="310">
        <v>46043</v>
      </c>
      <c r="E62" s="311">
        <v>4441000120</v>
      </c>
      <c r="F62" s="302">
        <v>2</v>
      </c>
      <c r="G62" s="313">
        <v>9522010010</v>
      </c>
      <c r="H62" s="302">
        <v>1</v>
      </c>
      <c r="I62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62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62" s="399"/>
      <c r="L6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6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62" s="699" t="str">
        <f>IF(IFERROR(MATCH("нет",Комплекты[[#This Row],[   ]:[АВТОВИК]],0)&gt;0,),"НЕТ","ОК")</f>
        <v>ОК</v>
      </c>
      <c r="O62" s="699"/>
      <c r="P6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6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6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6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6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6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6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6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63" spans="1:23">
      <c r="A63" s="309">
        <f>ROW()-ROW(Комплекты[[#Headers],[№]])</f>
        <v>61</v>
      </c>
      <c r="B63" s="309" t="str">
        <f>Комплекты[[#This Row],[Пр]]&amp;"_"&amp;Комплекты[[#This Row],[Обозначение]]</f>
        <v>2_9522010020</v>
      </c>
      <c r="C63" s="309">
        <f>COUNTIFS($E$3:Комплекты[[#This Row],[Комплект]],Комплекты[[#This Row],[Комплект]])</f>
        <v>6</v>
      </c>
      <c r="D63" s="310">
        <v>46043</v>
      </c>
      <c r="E63" s="311">
        <v>4441000120</v>
      </c>
      <c r="F63" s="302">
        <v>2</v>
      </c>
      <c r="G63" s="313">
        <v>9522010020</v>
      </c>
      <c r="H63" s="302">
        <v>1</v>
      </c>
      <c r="I63" s="399" t="str">
        <f>INDEX(База[],MATCH(Комплекты[[#This Row],[Обозначение]],База[Артикул],0),MATCH(I$2,База[#Headers],0))</f>
        <v>Головка соединительная (питающая)</v>
      </c>
      <c r="J63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63" s="399"/>
      <c r="L6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6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63" s="699" t="str">
        <f>IF(IFERROR(MATCH("нет",Комплекты[[#This Row],[   ]:[АВТОВИК]],0)&gt;0,),"НЕТ","ОК")</f>
        <v>ОК</v>
      </c>
      <c r="O63" s="699"/>
      <c r="P6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6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6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6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6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6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6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6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64" spans="1:23">
      <c r="A64" s="309">
        <f>ROW()-ROW(Комплекты[[#Headers],[№]])</f>
        <v>62</v>
      </c>
      <c r="B64" s="309" t="str">
        <f>Комплекты[[#This Row],[Пр]]&amp;"_"&amp;Комплекты[[#This Row],[Обозначение]]</f>
        <v>2_9710020400</v>
      </c>
      <c r="C64" s="309">
        <f>COUNTIFS($E$3:Комплекты[[#This Row],[Комплект]],Комплекты[[#This Row],[Комплект]])</f>
        <v>7</v>
      </c>
      <c r="D64" s="310">
        <v>46043</v>
      </c>
      <c r="E64" s="311">
        <v>4441000120</v>
      </c>
      <c r="F64" s="302">
        <v>2</v>
      </c>
      <c r="G64" s="313">
        <v>9710020400</v>
      </c>
      <c r="H64" s="302">
        <v>1</v>
      </c>
      <c r="I64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64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64" s="399"/>
      <c r="L6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6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64" s="699" t="str">
        <f>IF(IFERROR(MATCH("нет",Комплекты[[#This Row],[   ]:[АВТОВИК]],0)&gt;0,),"НЕТ","ОК")</f>
        <v>ОК</v>
      </c>
      <c r="O64" s="699"/>
      <c r="P6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6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6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6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6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6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6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6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65" spans="1:23">
      <c r="A65" s="309">
        <f>ROW()-ROW(Комплекты[[#Headers],[№]])</f>
        <v>63</v>
      </c>
      <c r="B65" s="309" t="str">
        <f>Комплекты[[#This Row],[Пр]]&amp;"_"&amp;Комплекты[[#This Row],[Обозначение]]</f>
        <v>2_4005000810</v>
      </c>
      <c r="C65" s="309">
        <f>COUNTIFS($E$3:Комплекты[[#This Row],[Комплект]],Комплекты[[#This Row],[Комплект]])</f>
        <v>1</v>
      </c>
      <c r="D65" s="310">
        <v>46043</v>
      </c>
      <c r="E65" s="311">
        <v>4441000140</v>
      </c>
      <c r="F65" s="302">
        <v>2</v>
      </c>
      <c r="G65" s="313">
        <v>4005000810</v>
      </c>
      <c r="H65" s="302">
        <v>1</v>
      </c>
      <c r="I65" s="399" t="str">
        <f>INDEX(База[],MATCH(Комплекты[[#This Row],[Обозначение]],База[Артикул],0),MATCH(I$2,База[#Headers],0))</f>
        <v>Модулятор ABS</v>
      </c>
      <c r="J65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65" s="399"/>
      <c r="L6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6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65" s="699" t="str">
        <f>IF(IFERROR(MATCH("нет",Комплекты[[#This Row],[   ]:[АВТОВИК]],0)&gt;0,),"НЕТ","ОК")</f>
        <v>ОК</v>
      </c>
      <c r="O65" s="699"/>
      <c r="P6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6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6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6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6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6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6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6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66" spans="1:23">
      <c r="A66" s="309">
        <f>ROW()-ROW(Комплекты[[#Headers],[№]])</f>
        <v>64</v>
      </c>
      <c r="B66" s="309" t="str">
        <f>Комплекты[[#This Row],[Пр]]&amp;"_"&amp;Комплекты[[#This Row],[Обозначение]]</f>
        <v>2_4491301500</v>
      </c>
      <c r="C66" s="309">
        <f>COUNTIFS($E$3:Комплекты[[#This Row],[Комплект]],Комплекты[[#This Row],[Комплект]])</f>
        <v>2</v>
      </c>
      <c r="D66" s="310">
        <v>46043</v>
      </c>
      <c r="E66" s="311">
        <v>4441000140</v>
      </c>
      <c r="F66" s="302">
        <v>2</v>
      </c>
      <c r="G66" s="313">
        <v>4491301500</v>
      </c>
      <c r="H66" s="302">
        <v>1</v>
      </c>
      <c r="I66" s="399" t="str">
        <f>INDEX(База[],MATCH(Комплекты[[#This Row],[Обозначение]],База[Артикул],0),MATCH(I$2,База[#Headers],0))</f>
        <v>Кабель питания ABS, часть 2, 15 м</v>
      </c>
      <c r="J66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66" s="399"/>
      <c r="L6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6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66" s="699" t="str">
        <f>IF(IFERROR(MATCH("нет",Комплекты[[#This Row],[   ]:[АВТОВИК]],0)&gt;0,),"НЕТ","ОК")</f>
        <v>ОК</v>
      </c>
      <c r="O66" s="699"/>
      <c r="P6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6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6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6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6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6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6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6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67" spans="1:23">
      <c r="A67" s="309">
        <f>ROW()-ROW(Комплекты[[#Headers],[№]])</f>
        <v>65</v>
      </c>
      <c r="B67" s="309" t="str">
        <f>Комплекты[[#This Row],[Пр]]&amp;"_"&amp;Комплекты[[#This Row],[Обозначение]]</f>
        <v>2_4493792810</v>
      </c>
      <c r="C67" s="309">
        <f>COUNTIFS($E$3:Комплекты[[#This Row],[Комплект]],Комплекты[[#This Row],[Комплект]])</f>
        <v>3</v>
      </c>
      <c r="D67" s="310">
        <v>46043</v>
      </c>
      <c r="E67" s="311">
        <v>4441000140</v>
      </c>
      <c r="F67" s="302">
        <v>2</v>
      </c>
      <c r="G67" s="313">
        <v>4493792810</v>
      </c>
      <c r="H67" s="302">
        <v>1</v>
      </c>
      <c r="I67" s="399" t="str">
        <f>INDEX(База[],MATCH(Комплекты[[#This Row],[Обозначение]],База[Артикул],0),MATCH(I$2,База[#Headers],0))</f>
        <v>Кабель питания ABS, часть 1</v>
      </c>
      <c r="J67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67" s="399"/>
      <c r="L6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6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67" s="699" t="str">
        <f>IF(IFERROR(MATCH("нет",Комплекты[[#This Row],[   ]:[АВТОВИК]],0)&gt;0,),"НЕТ","ОК")</f>
        <v>ОК</v>
      </c>
      <c r="O67" s="699"/>
      <c r="P6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6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6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6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6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6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6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6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68" spans="1:23">
      <c r="A68" s="309">
        <f>ROW()-ROW(Комплекты[[#Headers],[№]])</f>
        <v>66</v>
      </c>
      <c r="B68" s="309" t="str">
        <f>Комплекты[[#This Row],[Пр]]&amp;"_"&amp;Комплекты[[#This Row],[Обозначение]]</f>
        <v>2_4497490300</v>
      </c>
      <c r="C68" s="309">
        <f>COUNTIFS($E$3:Комплекты[[#This Row],[Комплект]],Комплекты[[#This Row],[Комплект]])</f>
        <v>4</v>
      </c>
      <c r="D68" s="310">
        <v>46043</v>
      </c>
      <c r="E68" s="311">
        <v>4441000140</v>
      </c>
      <c r="F68" s="302">
        <v>2</v>
      </c>
      <c r="G68" s="313">
        <v>4497490300</v>
      </c>
      <c r="H68" s="302">
        <v>4</v>
      </c>
      <c r="I68" s="399" t="str">
        <f>INDEX(База[],MATCH(Комплекты[[#This Row],[Обозначение]],База[Артикул],0),MATCH(I$2,База[#Headers],0))</f>
        <v>Кабель-удлинитель датчика ABS, 3 м</v>
      </c>
      <c r="J68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68" s="399"/>
      <c r="L6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6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68" s="699" t="str">
        <f>IF(IFERROR(MATCH("нет",Комплекты[[#This Row],[   ]:[АВТОВИК]],0)&gt;0,),"НЕТ","ОК")</f>
        <v>ОК</v>
      </c>
      <c r="O68" s="699"/>
      <c r="P6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6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6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6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6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6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6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6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69" spans="1:23">
      <c r="A69" s="309">
        <f>ROW()-ROW(Комплекты[[#Headers],[№]])</f>
        <v>67</v>
      </c>
      <c r="B69" s="309" t="str">
        <f>Комплекты[[#This Row],[Пр]]&amp;"_"&amp;Комплекты[[#This Row],[Обозначение]]</f>
        <v>2_9522010010</v>
      </c>
      <c r="C69" s="309">
        <f>COUNTIFS($E$3:Комплекты[[#This Row],[Комплект]],Комплекты[[#This Row],[Комплект]])</f>
        <v>5</v>
      </c>
      <c r="D69" s="310">
        <v>46043</v>
      </c>
      <c r="E69" s="311">
        <v>4441000140</v>
      </c>
      <c r="F69" s="302">
        <v>2</v>
      </c>
      <c r="G69" s="313">
        <v>9522010010</v>
      </c>
      <c r="H69" s="302">
        <v>1</v>
      </c>
      <c r="I69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69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69" s="399"/>
      <c r="L6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6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69" s="699" t="str">
        <f>IF(IFERROR(MATCH("нет",Комплекты[[#This Row],[   ]:[АВТОВИК]],0)&gt;0,),"НЕТ","ОК")</f>
        <v>ОК</v>
      </c>
      <c r="O69" s="699"/>
      <c r="P6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6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6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6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6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6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6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6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70" spans="1:23">
      <c r="A70" s="309">
        <f>ROW()-ROW(Комплекты[[#Headers],[№]])</f>
        <v>68</v>
      </c>
      <c r="B70" s="309" t="str">
        <f>Комплекты[[#This Row],[Пр]]&amp;"_"&amp;Комплекты[[#This Row],[Обозначение]]</f>
        <v>2_9522010020</v>
      </c>
      <c r="C70" s="309">
        <f>COUNTIFS($E$3:Комплекты[[#This Row],[Комплект]],Комплекты[[#This Row],[Комплект]])</f>
        <v>6</v>
      </c>
      <c r="D70" s="310">
        <v>46043</v>
      </c>
      <c r="E70" s="311">
        <v>4441000140</v>
      </c>
      <c r="F70" s="302">
        <v>2</v>
      </c>
      <c r="G70" s="313">
        <v>9522010020</v>
      </c>
      <c r="H70" s="302">
        <v>1</v>
      </c>
      <c r="I70" s="399" t="str">
        <f>INDEX(База[],MATCH(Комплекты[[#This Row],[Обозначение]],База[Артикул],0),MATCH(I$2,База[#Headers],0))</f>
        <v>Головка соединительная (питающая)</v>
      </c>
      <c r="J70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70" s="399"/>
      <c r="L7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7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70" s="699" t="str">
        <f>IF(IFERROR(MATCH("нет",Комплекты[[#This Row],[   ]:[АВТОВИК]],0)&gt;0,),"НЕТ","ОК")</f>
        <v>ОК</v>
      </c>
      <c r="O70" s="699"/>
      <c r="P7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7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7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7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7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7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7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7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71" spans="1:23">
      <c r="A71" s="309">
        <f>ROW()-ROW(Комплекты[[#Headers],[№]])</f>
        <v>69</v>
      </c>
      <c r="B71" s="309" t="str">
        <f>Комплекты[[#This Row],[Пр]]&amp;"_"&amp;Комплекты[[#This Row],[Обозначение]]</f>
        <v>2_9710020400</v>
      </c>
      <c r="C71" s="309">
        <f>COUNTIFS($E$3:Комплекты[[#This Row],[Комплект]],Комплекты[[#This Row],[Комплект]])</f>
        <v>7</v>
      </c>
      <c r="D71" s="310">
        <v>46043</v>
      </c>
      <c r="E71" s="311">
        <v>4441000140</v>
      </c>
      <c r="F71" s="302">
        <v>2</v>
      </c>
      <c r="G71" s="313">
        <v>9710020400</v>
      </c>
      <c r="H71" s="302">
        <v>1</v>
      </c>
      <c r="I71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71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71" s="399"/>
      <c r="L7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7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71" s="699" t="str">
        <f>IF(IFERROR(MATCH("нет",Комплекты[[#This Row],[   ]:[АВТОВИК]],0)&gt;0,),"НЕТ","ОК")</f>
        <v>ОК</v>
      </c>
      <c r="O71" s="699"/>
      <c r="P7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7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7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7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7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7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7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7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72" spans="1:23">
      <c r="A72" s="309">
        <f>ROW()-ROW(Комплекты[[#Headers],[№]])</f>
        <v>70</v>
      </c>
      <c r="B72" s="309" t="str">
        <f>Комплекты[[#This Row],[Пр]]&amp;"_"&amp;Комплекты[[#This Row],[Обозначение]]</f>
        <v>1_4496161560</v>
      </c>
      <c r="C72" s="309">
        <f>COUNTIFS($E$3:Комплекты[[#This Row],[Комплект]],Комплекты[[#This Row],[Комплект]])</f>
        <v>1</v>
      </c>
      <c r="D72" s="310">
        <v>46043</v>
      </c>
      <c r="E72" s="311">
        <v>4441000160</v>
      </c>
      <c r="F72" s="302">
        <v>1</v>
      </c>
      <c r="G72" s="313">
        <v>4496161560</v>
      </c>
      <c r="H72" s="302">
        <v>1</v>
      </c>
      <c r="I72" s="399" t="str">
        <f>INDEX(База[],MATCH(Комплекты[[#This Row],[Обозначение]],База[Артикул],0),MATCH(I$2,База[#Headers],0))</f>
        <v>Кабель ускорительного клапана ABS / диа., 10 м / 3 м</v>
      </c>
      <c r="J72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72" s="399"/>
      <c r="L7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7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72" s="699" t="str">
        <f>IF(IFERROR(MATCH("нет",Комплекты[[#This Row],[   ]:[АВТОВИК]],0)&gt;0,),"НЕТ","ОК")</f>
        <v>ОК</v>
      </c>
      <c r="O72" s="699"/>
      <c r="P7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7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7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7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7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7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7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7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73" spans="1:23">
      <c r="A73" s="309">
        <f>ROW()-ROW(Комплекты[[#Headers],[№]])</f>
        <v>71</v>
      </c>
      <c r="B73" s="309" t="str">
        <f>Комплекты[[#This Row],[Пр]]&amp;"_"&amp;Комплекты[[#This Row],[Обозначение]]</f>
        <v>1_4721950310</v>
      </c>
      <c r="C73" s="309">
        <f>COUNTIFS($E$3:Комплекты[[#This Row],[Комплект]],Комплекты[[#This Row],[Комплект]])</f>
        <v>2</v>
      </c>
      <c r="D73" s="310">
        <v>46043</v>
      </c>
      <c r="E73" s="311">
        <v>4441000160</v>
      </c>
      <c r="F73" s="302">
        <v>1</v>
      </c>
      <c r="G73" s="313">
        <v>4721950310</v>
      </c>
      <c r="H73" s="302">
        <v>1</v>
      </c>
      <c r="I73" s="399" t="str">
        <f>INDEX(База[],MATCH(Комплекты[[#This Row],[Обозначение]],База[Артикул],0),MATCH(I$2,База[#Headers],0))</f>
        <v>Ускорительный клапан ABS</v>
      </c>
      <c r="J73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73" s="399"/>
      <c r="L7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7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73" s="699" t="str">
        <f>IF(IFERROR(MATCH("нет",Комплекты[[#This Row],[   ]:[АВТОВИК]],0)&gt;0,),"НЕТ","ОК")</f>
        <v>ОК</v>
      </c>
      <c r="O73" s="699"/>
      <c r="P7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7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7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7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7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7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7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7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74" spans="1:23">
      <c r="A74" s="309">
        <f>ROW()-ROW(Комплекты[[#Headers],[№]])</f>
        <v>72</v>
      </c>
      <c r="B74" s="309" t="str">
        <f>Комплекты[[#This Row],[Пр]]&amp;"_"&amp;Комплекты[[#This Row],[Обозначение]]</f>
        <v>2_4005000810</v>
      </c>
      <c r="C74" s="309">
        <f>COUNTIFS($E$3:Комплекты[[#This Row],[Комплект]],Комплекты[[#This Row],[Комплект]])</f>
        <v>3</v>
      </c>
      <c r="D74" s="310">
        <v>46043</v>
      </c>
      <c r="E74" s="311">
        <v>4441000160</v>
      </c>
      <c r="F74" s="302">
        <v>2</v>
      </c>
      <c r="G74" s="313">
        <v>4005000810</v>
      </c>
      <c r="H74" s="302">
        <v>1</v>
      </c>
      <c r="I74" s="399" t="str">
        <f>INDEX(База[],MATCH(Комплекты[[#This Row],[Обозначение]],База[Артикул],0),MATCH(I$2,База[#Headers],0))</f>
        <v>Модулятор ABS</v>
      </c>
      <c r="J74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74" s="399"/>
      <c r="L7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7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74" s="699" t="str">
        <f>IF(IFERROR(MATCH("нет",Комплекты[[#This Row],[   ]:[АВТОВИК]],0)&gt;0,),"НЕТ","ОК")</f>
        <v>ОК</v>
      </c>
      <c r="O74" s="699"/>
      <c r="P7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7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7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7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7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7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7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7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75" spans="1:23">
      <c r="A75" s="309">
        <f>ROW()-ROW(Комплекты[[#Headers],[№]])</f>
        <v>73</v>
      </c>
      <c r="B75" s="309" t="str">
        <f>Комплекты[[#This Row],[Пр]]&amp;"_"&amp;Комплекты[[#This Row],[Обозначение]]</f>
        <v>2_4491301500</v>
      </c>
      <c r="C75" s="309">
        <f>COUNTIFS($E$3:Комплекты[[#This Row],[Комплект]],Комплекты[[#This Row],[Комплект]])</f>
        <v>4</v>
      </c>
      <c r="D75" s="310">
        <v>46043</v>
      </c>
      <c r="E75" s="311">
        <v>4441000160</v>
      </c>
      <c r="F75" s="302">
        <v>2</v>
      </c>
      <c r="G75" s="313">
        <v>4491301500</v>
      </c>
      <c r="H75" s="302">
        <v>1</v>
      </c>
      <c r="I75" s="399" t="str">
        <f>INDEX(База[],MATCH(Комплекты[[#This Row],[Обозначение]],База[Артикул],0),MATCH(I$2,База[#Headers],0))</f>
        <v>Кабель питания ABS, часть 2, 15 м</v>
      </c>
      <c r="J75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75" s="399"/>
      <c r="L7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7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75" s="699" t="str">
        <f>IF(IFERROR(MATCH("нет",Комплекты[[#This Row],[   ]:[АВТОВИК]],0)&gt;0,),"НЕТ","ОК")</f>
        <v>ОК</v>
      </c>
      <c r="O75" s="699"/>
      <c r="P7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7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7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7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7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7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7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7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76" spans="1:23">
      <c r="A76" s="309">
        <f>ROW()-ROW(Комплекты[[#Headers],[№]])</f>
        <v>74</v>
      </c>
      <c r="B76" s="309" t="str">
        <f>Комплекты[[#This Row],[Пр]]&amp;"_"&amp;Комплекты[[#This Row],[Обозначение]]</f>
        <v>2_4493792810</v>
      </c>
      <c r="C76" s="309">
        <f>COUNTIFS($E$3:Комплекты[[#This Row],[Комплект]],Комплекты[[#This Row],[Комплект]])</f>
        <v>5</v>
      </c>
      <c r="D76" s="310">
        <v>46043</v>
      </c>
      <c r="E76" s="311">
        <v>4441000160</v>
      </c>
      <c r="F76" s="302">
        <v>2</v>
      </c>
      <c r="G76" s="313">
        <v>4493792810</v>
      </c>
      <c r="H76" s="302">
        <v>1</v>
      </c>
      <c r="I76" s="399" t="str">
        <f>INDEX(База[],MATCH(Комплекты[[#This Row],[Обозначение]],База[Артикул],0),MATCH(I$2,База[#Headers],0))</f>
        <v>Кабель питания ABS, часть 1</v>
      </c>
      <c r="J76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76" s="399"/>
      <c r="L7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7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76" s="699" t="str">
        <f>IF(IFERROR(MATCH("нет",Комплекты[[#This Row],[   ]:[АВТОВИК]],0)&gt;0,),"НЕТ","ОК")</f>
        <v>ОК</v>
      </c>
      <c r="O76" s="699"/>
      <c r="P7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7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7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7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7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7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7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7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77" spans="1:23">
      <c r="A77" s="309">
        <f>ROW()-ROW(Комплекты[[#Headers],[№]])</f>
        <v>75</v>
      </c>
      <c r="B77" s="309" t="str">
        <f>Комплекты[[#This Row],[Пр]]&amp;"_"&amp;Комплекты[[#This Row],[Обозначение]]</f>
        <v>2_4497490300</v>
      </c>
      <c r="C77" s="309">
        <f>COUNTIFS($E$3:Комплекты[[#This Row],[Комплект]],Комплекты[[#This Row],[Комплект]])</f>
        <v>6</v>
      </c>
      <c r="D77" s="310">
        <v>46043</v>
      </c>
      <c r="E77" s="311">
        <v>4441000160</v>
      </c>
      <c r="F77" s="302">
        <v>2</v>
      </c>
      <c r="G77" s="313">
        <v>4497490300</v>
      </c>
      <c r="H77" s="302">
        <v>4</v>
      </c>
      <c r="I77" s="399" t="str">
        <f>INDEX(База[],MATCH(Комплекты[[#This Row],[Обозначение]],База[Артикул],0),MATCH(I$2,База[#Headers],0))</f>
        <v>Кабель-удлинитель датчика ABS, 3 м</v>
      </c>
      <c r="J77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77" s="399"/>
      <c r="L7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7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77" s="699" t="str">
        <f>IF(IFERROR(MATCH("нет",Комплекты[[#This Row],[   ]:[АВТОВИК]],0)&gt;0,),"НЕТ","ОК")</f>
        <v>ОК</v>
      </c>
      <c r="O77" s="699"/>
      <c r="P7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7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7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7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7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7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7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7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78" spans="1:23">
      <c r="A78" s="309">
        <f>ROW()-ROW(Комплекты[[#Headers],[№]])</f>
        <v>76</v>
      </c>
      <c r="B78" s="309" t="str">
        <f>Комплекты[[#This Row],[Пр]]&amp;"_"&amp;Комплекты[[#This Row],[Обозначение]]</f>
        <v>2_9522010010</v>
      </c>
      <c r="C78" s="309">
        <f>COUNTIFS($E$3:Комплекты[[#This Row],[Комплект]],Комплекты[[#This Row],[Комплект]])</f>
        <v>7</v>
      </c>
      <c r="D78" s="310">
        <v>46043</v>
      </c>
      <c r="E78" s="311">
        <v>4441000160</v>
      </c>
      <c r="F78" s="302">
        <v>2</v>
      </c>
      <c r="G78" s="313">
        <v>9522010010</v>
      </c>
      <c r="H78" s="302">
        <v>1</v>
      </c>
      <c r="I78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78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78" s="399"/>
      <c r="L7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7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78" s="699" t="str">
        <f>IF(IFERROR(MATCH("нет",Комплекты[[#This Row],[   ]:[АВТОВИК]],0)&gt;0,),"НЕТ","ОК")</f>
        <v>ОК</v>
      </c>
      <c r="O78" s="699"/>
      <c r="P7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7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7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7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7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7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7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7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79" spans="1:23">
      <c r="A79" s="309">
        <f>ROW()-ROW(Комплекты[[#Headers],[№]])</f>
        <v>77</v>
      </c>
      <c r="B79" s="309" t="str">
        <f>Комплекты[[#This Row],[Пр]]&amp;"_"&amp;Комплекты[[#This Row],[Обозначение]]</f>
        <v>2_9522010020</v>
      </c>
      <c r="C79" s="309">
        <f>COUNTIFS($E$3:Комплекты[[#This Row],[Комплект]],Комплекты[[#This Row],[Комплект]])</f>
        <v>8</v>
      </c>
      <c r="D79" s="310">
        <v>46043</v>
      </c>
      <c r="E79" s="311">
        <v>4441000160</v>
      </c>
      <c r="F79" s="302">
        <v>2</v>
      </c>
      <c r="G79" s="313">
        <v>9522010020</v>
      </c>
      <c r="H79" s="302">
        <v>1</v>
      </c>
      <c r="I79" s="399" t="str">
        <f>INDEX(База[],MATCH(Комплекты[[#This Row],[Обозначение]],База[Артикул],0),MATCH(I$2,База[#Headers],0))</f>
        <v>Головка соединительная (питающая)</v>
      </c>
      <c r="J79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79" s="399"/>
      <c r="L7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7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79" s="699" t="str">
        <f>IF(IFERROR(MATCH("нет",Комплекты[[#This Row],[   ]:[АВТОВИК]],0)&gt;0,),"НЕТ","ОК")</f>
        <v>ОК</v>
      </c>
      <c r="O79" s="699"/>
      <c r="P7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7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7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7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7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7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7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7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80" spans="1:23">
      <c r="A80" s="309">
        <f>ROW()-ROW(Комплекты[[#Headers],[№]])</f>
        <v>78</v>
      </c>
      <c r="B80" s="309" t="str">
        <f>Комплекты[[#This Row],[Пр]]&amp;"_"&amp;Комплекты[[#This Row],[Обозначение]]</f>
        <v>2_9710020400</v>
      </c>
      <c r="C80" s="309">
        <f>COUNTIFS($E$3:Комплекты[[#This Row],[Комплект]],Комплекты[[#This Row],[Комплект]])</f>
        <v>9</v>
      </c>
      <c r="D80" s="310">
        <v>46043</v>
      </c>
      <c r="E80" s="311">
        <v>4441000160</v>
      </c>
      <c r="F80" s="302">
        <v>2</v>
      </c>
      <c r="G80" s="313">
        <v>9710020400</v>
      </c>
      <c r="H80" s="302">
        <v>1</v>
      </c>
      <c r="I80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80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80" s="399"/>
      <c r="L8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8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80" s="699" t="str">
        <f>IF(IFERROR(MATCH("нет",Комплекты[[#This Row],[   ]:[АВТОВИК]],0)&gt;0,),"НЕТ","ОК")</f>
        <v>ОК</v>
      </c>
      <c r="O80" s="699"/>
      <c r="P8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8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8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8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8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8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8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8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81" spans="1:23">
      <c r="A81" s="309">
        <f>ROW()-ROW(Комплекты[[#Headers],[№]])</f>
        <v>79</v>
      </c>
      <c r="B81" s="309" t="str">
        <f>Комплекты[[#This Row],[Пр]]&amp;"_"&amp;Комплекты[[#This Row],[Обозначение]]</f>
        <v>2_4491731200</v>
      </c>
      <c r="C81" s="309">
        <f>COUNTIFS($E$3:Комплекты[[#This Row],[Комплект]],Комплекты[[#This Row],[Комплект]])</f>
        <v>1</v>
      </c>
      <c r="D81" s="310">
        <v>45884</v>
      </c>
      <c r="E81" s="311">
        <v>4441000180</v>
      </c>
      <c r="F81" s="302">
        <v>2</v>
      </c>
      <c r="G81" s="313">
        <v>4491731200</v>
      </c>
      <c r="H81" s="302">
        <v>1</v>
      </c>
      <c r="I81" s="399" t="str">
        <f>INDEX(База[],MATCH(Комплекты[[#This Row],[Обозначение]],База[Артикул],0),MATCH(I$2,База[#Headers],0))</f>
        <v>Кабель питания, 12 м</v>
      </c>
      <c r="J81" s="399" t="str">
        <f>INDEX(База[],MATCH(Комплекты[[#This Row],[Комплект]],База[Артикул],0),MATCH("наименование",База[#Headers],0))</f>
        <v>Комплект базовый "TEBS W 4S/2M (12 м)"</v>
      </c>
      <c r="K81" s="399"/>
      <c r="L8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8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81" s="699" t="str">
        <f>IF(IFERROR(MATCH("нет",Комплекты[[#This Row],[   ]:[АВТОВИК]],0)&gt;0,),"НЕТ","ОК")</f>
        <v>ОК</v>
      </c>
      <c r="O81" s="699"/>
      <c r="P8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8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8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8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8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8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8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8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82" spans="1:23">
      <c r="A82" s="314">
        <f>ROW()-ROW(Комплекты[[#Headers],[№]])</f>
        <v>80</v>
      </c>
      <c r="B82" s="314" t="str">
        <f>Комплекты[[#This Row],[Пр]]&amp;"_"&amp;Комплекты[[#This Row],[Обозначение]]</f>
        <v>2_4497230300</v>
      </c>
      <c r="C82" s="314">
        <f>COUNTIFS($E$3:Комплекты[[#This Row],[Комплект]],Комплекты[[#This Row],[Комплект]])</f>
        <v>2</v>
      </c>
      <c r="D82" s="315">
        <v>45884</v>
      </c>
      <c r="E82" s="316">
        <v>4441000180</v>
      </c>
      <c r="F82" s="303">
        <v>2</v>
      </c>
      <c r="G82" s="317">
        <v>4497230300</v>
      </c>
      <c r="H82" s="303">
        <v>4</v>
      </c>
      <c r="I82" s="705" t="str">
        <f>INDEX(База[],MATCH(Комплекты[[#This Row],[Обозначение]],База[Артикул],0),MATCH(I$2,База[#Headers],0))</f>
        <v>Кабель датчика АБС, 3 м</v>
      </c>
      <c r="J82" s="705" t="str">
        <f>INDEX(База[],MATCH(Комплекты[[#This Row],[Комплект]],База[Артикул],0),MATCH("наименование",База[#Headers],0))</f>
        <v>Комплект базовый "TEBS W 4S/2M (12 м)"</v>
      </c>
      <c r="K82" s="705"/>
      <c r="L82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82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82" s="707" t="str">
        <f>IF(IFERROR(MATCH("нет",Комплекты[[#This Row],[   ]:[АВТОВИК]],0)&gt;0,),"НЕТ","ОК")</f>
        <v>ОК</v>
      </c>
      <c r="O82" s="707"/>
      <c r="P82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82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82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82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82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82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82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82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83" spans="1:23">
      <c r="A83" s="314">
        <f>ROW()-ROW(Комплекты[[#Headers],[№]])</f>
        <v>81</v>
      </c>
      <c r="B83" s="314" t="str">
        <f>Комплекты[[#This Row],[Пр]]&amp;"_"&amp;Комплекты[[#This Row],[Обозначение]]</f>
        <v>2_4801020640</v>
      </c>
      <c r="C83" s="314">
        <f>COUNTIFS($E$3:Комплекты[[#This Row],[Комплект]],Комплекты[[#This Row],[Комплект]])</f>
        <v>3</v>
      </c>
      <c r="D83" s="315">
        <v>45884</v>
      </c>
      <c r="E83" s="316">
        <v>4441000180</v>
      </c>
      <c r="F83" s="303">
        <v>2</v>
      </c>
      <c r="G83" s="317">
        <v>4801020640</v>
      </c>
      <c r="H83" s="303">
        <v>1</v>
      </c>
      <c r="I83" s="705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83" s="705" t="str">
        <f>INDEX(База[],MATCH(Комплекты[[#This Row],[Комплект]],База[Артикул],0),MATCH("наименование",База[#Headers],0))</f>
        <v>Комплект базовый "TEBS W 4S/2M (12 м)"</v>
      </c>
      <c r="K83" s="705"/>
      <c r="L83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83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83" s="707" t="str">
        <f>IF(IFERROR(MATCH("нет",Комплекты[[#This Row],[   ]:[АВТОВИК]],0)&gt;0,),"НЕТ","ОК")</f>
        <v>ОК</v>
      </c>
      <c r="O83" s="707"/>
      <c r="P83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83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83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83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83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83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83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83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84" spans="1:23">
      <c r="A84" s="309">
        <f>ROW()-ROW(Комплекты[[#Headers],[№]])</f>
        <v>82</v>
      </c>
      <c r="B84" s="309" t="str">
        <f>Комплекты[[#This Row],[Пр]]&amp;"_"&amp;Комплекты[[#This Row],[Обозначение]]</f>
        <v>2_9522010010</v>
      </c>
      <c r="C84" s="309">
        <f>COUNTIFS($E$3:Комплекты[[#This Row],[Комплект]],Комплекты[[#This Row],[Комплект]])</f>
        <v>4</v>
      </c>
      <c r="D84" s="310">
        <v>45884</v>
      </c>
      <c r="E84" s="311">
        <v>4441000180</v>
      </c>
      <c r="F84" s="302">
        <v>2</v>
      </c>
      <c r="G84" s="313">
        <v>9522010010</v>
      </c>
      <c r="H84" s="302">
        <v>1</v>
      </c>
      <c r="I84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84" s="399" t="str">
        <f>INDEX(База[],MATCH(Комплекты[[#This Row],[Комплект]],База[Артикул],0),MATCH("наименование",База[#Headers],0))</f>
        <v>Комплект базовый "TEBS W 4S/2M (12 м)"</v>
      </c>
      <c r="K84" s="399"/>
      <c r="L8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8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84" s="699" t="str">
        <f>IF(IFERROR(MATCH("нет",Комплекты[[#This Row],[   ]:[АВТОВИК]],0)&gt;0,),"НЕТ","ОК")</f>
        <v>ОК</v>
      </c>
      <c r="O84" s="699"/>
      <c r="P8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8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8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8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8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8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8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8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85" spans="1:23">
      <c r="A85" s="309">
        <f>ROW()-ROW(Комплекты[[#Headers],[№]])</f>
        <v>83</v>
      </c>
      <c r="B85" s="309" t="str">
        <f>Комплекты[[#This Row],[Пр]]&amp;"_"&amp;Комплекты[[#This Row],[Обозначение]]</f>
        <v>2_9522010020</v>
      </c>
      <c r="C85" s="309">
        <f>COUNTIFS($E$3:Комплекты[[#This Row],[Комплект]],Комплекты[[#This Row],[Комплект]])</f>
        <v>5</v>
      </c>
      <c r="D85" s="310">
        <v>45884</v>
      </c>
      <c r="E85" s="311">
        <v>4441000180</v>
      </c>
      <c r="F85" s="302">
        <v>2</v>
      </c>
      <c r="G85" s="313">
        <v>9522010020</v>
      </c>
      <c r="H85" s="302">
        <v>1</v>
      </c>
      <c r="I85" s="399" t="str">
        <f>INDEX(База[],MATCH(Комплекты[[#This Row],[Обозначение]],База[Артикул],0),MATCH(I$2,База[#Headers],0))</f>
        <v>Головка соединительная (питающая)</v>
      </c>
      <c r="J85" s="399" t="str">
        <f>INDEX(База[],MATCH(Комплекты[[#This Row],[Комплект]],База[Артикул],0),MATCH("наименование",База[#Headers],0))</f>
        <v>Комплект базовый "TEBS W 4S/2M (12 м)"</v>
      </c>
      <c r="K85" s="399"/>
      <c r="L8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8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85" s="699" t="str">
        <f>IF(IFERROR(MATCH("нет",Комплекты[[#This Row],[   ]:[АВТОВИК]],0)&gt;0,),"НЕТ","ОК")</f>
        <v>ОК</v>
      </c>
      <c r="O85" s="699"/>
      <c r="P8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8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8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8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8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8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8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8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86" spans="1:23">
      <c r="A86" s="309">
        <f>ROW()-ROW(Комплекты[[#Headers],[№]])</f>
        <v>84</v>
      </c>
      <c r="B86" s="309" t="str">
        <f>Комплекты[[#This Row],[Пр]]&amp;"_"&amp;Комплекты[[#This Row],[Обозначение]]</f>
        <v>2_9630010510</v>
      </c>
      <c r="C86" s="309">
        <f>COUNTIFS($E$3:Комплекты[[#This Row],[Комплект]],Комплекты[[#This Row],[Комплект]])</f>
        <v>6</v>
      </c>
      <c r="D86" s="310">
        <v>45884</v>
      </c>
      <c r="E86" s="311">
        <v>4441000180</v>
      </c>
      <c r="F86" s="302">
        <v>2</v>
      </c>
      <c r="G86" s="313">
        <v>9630010510</v>
      </c>
      <c r="H86" s="302">
        <v>1</v>
      </c>
      <c r="I86" s="399" t="str">
        <f>INDEX(База[],MATCH(Комплекты[[#This Row],[Обозначение]],База[Артикул],0),MATCH(I$2,База[#Headers],0))</f>
        <v>Клапан растормаживания сдвоенный</v>
      </c>
      <c r="J86" s="399" t="str">
        <f>INDEX(База[],MATCH(Комплекты[[#This Row],[Комплект]],База[Артикул],0),MATCH("наименование",База[#Headers],0))</f>
        <v>Комплект базовый "TEBS W 4S/2M (12 м)"</v>
      </c>
      <c r="K86" s="399"/>
      <c r="L8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8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86" s="699" t="str">
        <f>IF(IFERROR(MATCH("нет",Комплекты[[#This Row],[   ]:[АВТОВИК]],0)&gt;0,),"НЕТ","ОК")</f>
        <v>ОК</v>
      </c>
      <c r="O86" s="699"/>
      <c r="P8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8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8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8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8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8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8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8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87" spans="1:23">
      <c r="A87" s="309">
        <f>ROW()-ROW(Комплекты[[#Headers],[№]])</f>
        <v>85</v>
      </c>
      <c r="B87" s="309" t="str">
        <f>Комплекты[[#This Row],[Пр]]&amp;"_"&amp;Комплекты[[#This Row],[Обозначение]]</f>
        <v>2_9710020400</v>
      </c>
      <c r="C87" s="309">
        <f>COUNTIFS($E$3:Комплекты[[#This Row],[Комплект]],Комплекты[[#This Row],[Комплект]])</f>
        <v>7</v>
      </c>
      <c r="D87" s="310">
        <v>45884</v>
      </c>
      <c r="E87" s="311">
        <v>4441000180</v>
      </c>
      <c r="F87" s="302">
        <v>2</v>
      </c>
      <c r="G87" s="313">
        <v>9710020400</v>
      </c>
      <c r="H87" s="302">
        <v>1</v>
      </c>
      <c r="I87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87" s="399" t="str">
        <f>INDEX(База[],MATCH(Комплекты[[#This Row],[Комплект]],База[Артикул],0),MATCH("наименование",База[#Headers],0))</f>
        <v>Комплект базовый "TEBS W 4S/2M (12 м)"</v>
      </c>
      <c r="K87" s="399"/>
      <c r="L8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8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87" s="699" t="str">
        <f>IF(IFERROR(MATCH("нет",Комплекты[[#This Row],[   ]:[АВТОВИК]],0)&gt;0,),"НЕТ","ОК")</f>
        <v>ОК</v>
      </c>
      <c r="O87" s="699"/>
      <c r="P8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8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8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8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8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8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8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8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88" spans="1:23">
      <c r="A88" s="429">
        <f>ROW()-ROW(Комплекты[[#Headers],[№]])</f>
        <v>86</v>
      </c>
      <c r="B88" s="429" t="str">
        <f>Комплекты[[#This Row],[Пр]]&amp;"_"&amp;Комплекты[[#This Row],[Обозначение]]</f>
        <v>2_4410441020</v>
      </c>
      <c r="C88" s="429">
        <f>COUNTIFS($E$3:Комплекты[[#This Row],[Комплект]],Комплекты[[#This Row],[Комплект]])</f>
        <v>1</v>
      </c>
      <c r="D88" s="564">
        <v>45989</v>
      </c>
      <c r="E88" s="424">
        <v>4441000200</v>
      </c>
      <c r="F88" s="430">
        <v>2</v>
      </c>
      <c r="G88" s="431">
        <v>4410441020</v>
      </c>
      <c r="H88" s="430">
        <v>1</v>
      </c>
      <c r="I88" s="704" t="str">
        <f>INDEX(База[],MATCH(Комплекты[[#This Row],[Обозначение]],База[Артикул],0),MATCH(I$2,База[#Headers],0))</f>
        <v>Датчик давления</v>
      </c>
      <c r="J88" s="705" t="str">
        <f>INDEX(База[],MATCH(Комплекты[[#This Row],[Комплект]],База[Артикул],0),MATCH("наименование",База[#Headers],0))</f>
        <v>Комплект "CAN-Репитер W (40 м)"</v>
      </c>
      <c r="K88" s="705"/>
      <c r="L88" s="706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88" s="706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88" s="706" t="str">
        <f>IF(IFERROR(MATCH("нет",Комплекты[[#This Row],[   ]:[АВТОВИК]],0)&gt;0,),"НЕТ","ОК")</f>
        <v>ОК</v>
      </c>
      <c r="O88" s="707"/>
      <c r="P88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88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88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88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88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88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88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88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89" spans="1:23">
      <c r="A89" s="425">
        <f>ROW()-ROW(Комплекты[[#Headers],[№]])</f>
        <v>87</v>
      </c>
      <c r="B89" s="425" t="str">
        <f>Комплекты[[#This Row],[Пр]]&amp;"_"&amp;Комплекты[[#This Row],[Обозначение]]</f>
        <v>2_4461220530</v>
      </c>
      <c r="C89" s="425">
        <f>COUNTIFS($E$3:Комплекты[[#This Row],[Комплект]],Комплекты[[#This Row],[Комплект]])</f>
        <v>2</v>
      </c>
      <c r="D89" s="426">
        <v>45989</v>
      </c>
      <c r="E89" s="423">
        <v>4441000200</v>
      </c>
      <c r="F89" s="427">
        <v>2</v>
      </c>
      <c r="G89" s="428">
        <v>4461220530</v>
      </c>
      <c r="H89" s="427">
        <v>1</v>
      </c>
      <c r="I89" s="600" t="str">
        <f>INDEX(База[],MATCH(Комплекты[[#This Row],[Обозначение]],База[Артикул],0),MATCH(I$2,База[#Headers],0))</f>
        <v>CAN-Repeater</v>
      </c>
      <c r="J89" s="399" t="str">
        <f>INDEX(База[],MATCH(Комплекты[[#This Row],[Комплект]],База[Артикул],0),MATCH("наименование",База[#Headers],0))</f>
        <v>Комплект "CAN-Репитер W (40 м)"</v>
      </c>
      <c r="K89" s="399"/>
      <c r="L89" s="70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89" s="70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89" s="703" t="str">
        <f>IF(IFERROR(MATCH("нет",Комплекты[[#This Row],[   ]:[АВТОВИК]],0)&gt;0,),"НЕТ","ОК")</f>
        <v>ОК</v>
      </c>
      <c r="O89" s="699"/>
      <c r="P8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8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8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8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8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8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8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8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90" spans="1:23">
      <c r="A90" s="425">
        <f>ROW()-ROW(Комплекты[[#Headers],[№]])</f>
        <v>88</v>
      </c>
      <c r="B90" s="425" t="str">
        <f>Комплекты[[#This Row],[Пр]]&amp;"_"&amp;Комплекты[[#This Row],[Обозначение]]</f>
        <v>2_4491350600</v>
      </c>
      <c r="C90" s="425">
        <f>COUNTIFS($E$3:Комплекты[[#This Row],[Комплект]],Комплекты[[#This Row],[Комплект]])</f>
        <v>3</v>
      </c>
      <c r="D90" s="426">
        <v>45989</v>
      </c>
      <c r="E90" s="423">
        <v>4441000200</v>
      </c>
      <c r="F90" s="427">
        <v>2</v>
      </c>
      <c r="G90" s="428">
        <v>4491350600</v>
      </c>
      <c r="H90" s="427">
        <v>1</v>
      </c>
      <c r="I90" s="600" t="str">
        <f>INDEX(База[],MATCH(Комплекты[[#This Row],[Обозначение]],База[Артикул],0),MATCH(I$2,База[#Headers],0))</f>
        <v>Кабель соединительный, 6 м</v>
      </c>
      <c r="J90" s="399" t="str">
        <f>INDEX(База[],MATCH(Комплекты[[#This Row],[Комплект]],База[Артикул],0),MATCH("наименование",База[#Headers],0))</f>
        <v>Комплект "CAN-Репитер W (40 м)"</v>
      </c>
      <c r="K90" s="399"/>
      <c r="L90" s="70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90" s="70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90" s="703" t="str">
        <f>IF(IFERROR(MATCH("нет",Комплекты[[#This Row],[   ]:[АВТОВИК]],0)&gt;0,),"НЕТ","ОК")</f>
        <v>ОК</v>
      </c>
      <c r="O90" s="699"/>
      <c r="P9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9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9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9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9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9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9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9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91" spans="1:23">
      <c r="A91" s="425">
        <f>ROW()-ROW(Комплекты[[#Headers],[№]])</f>
        <v>89</v>
      </c>
      <c r="B91" s="425" t="str">
        <f>Комплекты[[#This Row],[Пр]]&amp;"_"&amp;Комплекты[[#This Row],[Обозначение]]</f>
        <v>2_4493470800</v>
      </c>
      <c r="C91" s="425">
        <f>COUNTIFS($E$3:Комплекты[[#This Row],[Комплект]],Комплекты[[#This Row],[Комплект]])</f>
        <v>4</v>
      </c>
      <c r="D91" s="426">
        <v>45989</v>
      </c>
      <c r="E91" s="423">
        <v>4441000200</v>
      </c>
      <c r="F91" s="427">
        <v>2</v>
      </c>
      <c r="G91" s="428">
        <v>4493470800</v>
      </c>
      <c r="H91" s="427">
        <v>1</v>
      </c>
      <c r="I91" s="600" t="str">
        <f>INDEX(База[],MATCH(Комплекты[[#This Row],[Обозначение]],База[Артикул],0),MATCH(I$2,База[#Headers],0))</f>
        <v>Кабель соединительный, 8 м</v>
      </c>
      <c r="J91" s="399" t="str">
        <f>INDEX(База[],MATCH(Комплекты[[#This Row],[Комплект]],База[Артикул],0),MATCH("наименование",База[#Headers],0))</f>
        <v>Комплект "CAN-Репитер W (40 м)"</v>
      </c>
      <c r="K91" s="399"/>
      <c r="L91" s="70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91" s="70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91" s="703" t="str">
        <f>IF(IFERROR(MATCH("нет",Комплекты[[#This Row],[   ]:[АВТОВИК]],0)&gt;0,),"НЕТ","ОК")</f>
        <v>ОК</v>
      </c>
      <c r="O91" s="699"/>
      <c r="P9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9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9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9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9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9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9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9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92" spans="1:23">
      <c r="A92" s="425">
        <f>ROW()-ROW(Комплекты[[#Headers],[№]])</f>
        <v>90</v>
      </c>
      <c r="B92" s="425" t="str">
        <f>Комплекты[[#This Row],[Пр]]&amp;"_"&amp;Комплекты[[#This Row],[Обозначение]]</f>
        <v>2_4494250600</v>
      </c>
      <c r="C92" s="425">
        <f>COUNTIFS($E$3:Комплекты[[#This Row],[Комплект]],Комплекты[[#This Row],[Комплект]])</f>
        <v>5</v>
      </c>
      <c r="D92" s="426">
        <v>45989</v>
      </c>
      <c r="E92" s="423">
        <v>4441000200</v>
      </c>
      <c r="F92" s="427">
        <v>2</v>
      </c>
      <c r="G92" s="428">
        <v>4494250600</v>
      </c>
      <c r="H92" s="427">
        <v>1</v>
      </c>
      <c r="I92" s="600" t="str">
        <f>INDEX(База[],MATCH(Комплекты[[#This Row],[Обозначение]],База[Артикул],0),MATCH(I$2,База[#Headers],0))</f>
        <v>Кабель датчика давления, 6 м</v>
      </c>
      <c r="J92" s="399" t="str">
        <f>INDEX(База[],MATCH(Комплекты[[#This Row],[Комплект]],База[Артикул],0),MATCH("наименование",База[#Headers],0))</f>
        <v>Комплект "CAN-Репитер W (40 м)"</v>
      </c>
      <c r="K92" s="399"/>
      <c r="L92" s="70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92" s="70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92" s="703" t="str">
        <f>IF(IFERROR(MATCH("нет",Комплекты[[#This Row],[   ]:[АВТОВИК]],0)&gt;0,),"НЕТ","ОК")</f>
        <v>ОК</v>
      </c>
      <c r="O92" s="699"/>
      <c r="P9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9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9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9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9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9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9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9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93" spans="1:23">
      <c r="A93" s="429">
        <f>ROW()-ROW(Комплекты[[#Headers],[№]])</f>
        <v>91</v>
      </c>
      <c r="B93" s="429" t="str">
        <f>Комплекты[[#This Row],[Пр]]&amp;"_"&amp;Комплекты[[#This Row],[Обозначение]]</f>
        <v>2_8946000320</v>
      </c>
      <c r="C93" s="429">
        <f>COUNTIFS($E$3:Комплекты[[#This Row],[Комплект]],Комплекты[[#This Row],[Комплект]])</f>
        <v>6</v>
      </c>
      <c r="D93" s="564">
        <v>45989</v>
      </c>
      <c r="E93" s="424">
        <v>4441000200</v>
      </c>
      <c r="F93" s="430">
        <v>2</v>
      </c>
      <c r="G93" s="431">
        <v>8946000320</v>
      </c>
      <c r="H93" s="430">
        <v>1</v>
      </c>
      <c r="I93" s="704" t="str">
        <f>INDEX(База[],MATCH(Комплекты[[#This Row],[Обозначение]],База[Артикул],0),MATCH(I$2,База[#Headers],0))</f>
        <v>Кабель соединительный, 40 м</v>
      </c>
      <c r="J93" s="705" t="str">
        <f>INDEX(База[],MATCH(Комплекты[[#This Row],[Комплект]],База[Артикул],0),MATCH("наименование",База[#Headers],0))</f>
        <v>Комплект "CAN-Репитер W (40 м)"</v>
      </c>
      <c r="K93" s="705"/>
      <c r="L93" s="706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93" s="706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93" s="706" t="str">
        <f>IF(IFERROR(MATCH("нет",Комплекты[[#This Row],[   ]:[АВТОВИК]],0)&gt;0,),"НЕТ","ОК")</f>
        <v>ОК</v>
      </c>
      <c r="O93" s="707"/>
      <c r="P93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93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93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93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93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93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93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93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94" spans="1:23">
      <c r="A94" s="309">
        <f>ROW()-ROW(Комплекты[[#Headers],[№]])</f>
        <v>92</v>
      </c>
      <c r="B94" s="309" t="str">
        <f>Комплекты[[#This Row],[Пр]]&amp;"_"&amp;Комплекты[[#This Row],[Обозначение]]</f>
        <v>1_4494430600</v>
      </c>
      <c r="C94" s="309">
        <f>COUNTIFS($E$3:Комплекты[[#This Row],[Комплект]],Комплекты[[#This Row],[Комплект]])</f>
        <v>1</v>
      </c>
      <c r="D94" s="310">
        <v>45884</v>
      </c>
      <c r="E94" s="311">
        <v>4441000210</v>
      </c>
      <c r="F94" s="302">
        <v>1</v>
      </c>
      <c r="G94" s="313">
        <v>4494430600</v>
      </c>
      <c r="H94" s="302">
        <v>1</v>
      </c>
      <c r="I94" s="399" t="str">
        <f>INDEX(База[],MATCH(Комплекты[[#This Row],[Обозначение]],База[Артикул],0),MATCH(I$2,База[#Headers],0))</f>
        <v>Кабель клапана управления подъемом оси, 6 м</v>
      </c>
      <c r="J94" s="399" t="str">
        <f>INDEX(База[],MATCH(Комплекты[[#This Row],[Комплект]],База[Артикул],0),MATCH("наименование",База[#Headers],0))</f>
        <v>Комплект клапана подъёма оси LACV (6 м)</v>
      </c>
      <c r="K94" s="399"/>
      <c r="L9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9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94" s="699" t="str">
        <f>IF(IFERROR(MATCH("нет",Комплекты[[#This Row],[   ]:[АВТОВИК]],0)&gt;0,),"НЕТ","ОК")</f>
        <v>ОК</v>
      </c>
      <c r="O94" s="699"/>
      <c r="P9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9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9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9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9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9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9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9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95" spans="1:23">
      <c r="A95" s="309">
        <f>ROW()-ROW(Комплекты[[#Headers],[№]])</f>
        <v>93</v>
      </c>
      <c r="B95" s="309" t="str">
        <f>Комплекты[[#This Row],[Пр]]&amp;"_"&amp;Комплекты[[#This Row],[Обозначение]]</f>
        <v>1_4630840310</v>
      </c>
      <c r="C95" s="309">
        <f>COUNTIFS($E$3:Комплекты[[#This Row],[Комплект]],Комплекты[[#This Row],[Комплект]])</f>
        <v>2</v>
      </c>
      <c r="D95" s="310">
        <v>45884</v>
      </c>
      <c r="E95" s="311">
        <v>4441000210</v>
      </c>
      <c r="F95" s="302">
        <v>1</v>
      </c>
      <c r="G95" s="313">
        <v>4630840310</v>
      </c>
      <c r="H95" s="302">
        <v>1</v>
      </c>
      <c r="I95" s="399" t="str">
        <f>INDEX(База[],MATCH(Комплекты[[#This Row],[Обозначение]],База[Артикул],0),MATCH(I$2,База[#Headers],0))</f>
        <v>Клапан управления подъемом оси (LACV)</v>
      </c>
      <c r="J95" s="399" t="str">
        <f>INDEX(База[],MATCH(Комплекты[[#This Row],[Комплект]],База[Артикул],0),MATCH("наименование",База[#Headers],0))</f>
        <v>Комплект клапана подъёма оси LACV (6 м)</v>
      </c>
      <c r="K95" s="399"/>
      <c r="L9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9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95" s="699" t="str">
        <f>IF(IFERROR(MATCH("нет",Комплекты[[#This Row],[   ]:[АВТОВИК]],0)&gt;0,),"НЕТ","ОК")</f>
        <v>ОК</v>
      </c>
      <c r="O95" s="699"/>
      <c r="P9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9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9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9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9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9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9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9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96" spans="1:23">
      <c r="A96" s="309">
        <f>ROW()-ROW(Комплекты[[#Headers],[№]])</f>
        <v>94</v>
      </c>
      <c r="B96" s="309" t="str">
        <f>Комплекты[[#This Row],[Пр]]&amp;"_"&amp;Комплекты[[#This Row],[Обозначение]]</f>
        <v>1_4494300600</v>
      </c>
      <c r="C96" s="309">
        <f>COUNTIFS($E$3:Комплекты[[#This Row],[Комплект]],Комплекты[[#This Row],[Комплект]])</f>
        <v>1</v>
      </c>
      <c r="D96" s="310">
        <v>45990</v>
      </c>
      <c r="E96" s="311">
        <v>4441000220</v>
      </c>
      <c r="F96" s="302">
        <v>1</v>
      </c>
      <c r="G96" s="313">
        <v>4494300600</v>
      </c>
      <c r="H96" s="302">
        <v>1</v>
      </c>
      <c r="I96" s="399" t="str">
        <f>INDEX(База[],MATCH(Комплекты[[#This Row],[Обозначение]],База[Артикул],0),MATCH(I$2,База[#Headers],0))</f>
        <v>Кабель клапана ускорительного TEBS (6 м)</v>
      </c>
      <c r="J96" s="399" t="str">
        <f>INDEX(База[],MATCH(Комплекты[[#This Row],[Комплект]],База[Артикул],0),MATCH("наименование",База[#Headers],0))</f>
        <v>Комплект расширения "TEBS 3M (6 м)"</v>
      </c>
      <c r="K96" s="399"/>
      <c r="L9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9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96" s="699" t="str">
        <f>IF(IFERROR(MATCH("нет",Комплекты[[#This Row],[   ]:[АВТОВИК]],0)&gt;0,),"НЕТ","ОК")</f>
        <v>ОК</v>
      </c>
      <c r="O96" s="699"/>
      <c r="P9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9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9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9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9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9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9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9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97" spans="1:23">
      <c r="A97" s="314">
        <f>ROW()-ROW(Комплекты[[#Headers],[№]])</f>
        <v>95</v>
      </c>
      <c r="B97" s="314" t="str">
        <f>Комплекты[[#This Row],[Пр]]&amp;"_"&amp;Комплекты[[#This Row],[Обозначение]]</f>
        <v>1_4497230800</v>
      </c>
      <c r="C97" s="314">
        <f>COUNTIFS($E$3:Комплекты[[#This Row],[Комплект]],Комплекты[[#This Row],[Комплект]])</f>
        <v>2</v>
      </c>
      <c r="D97" s="315">
        <v>45990</v>
      </c>
      <c r="E97" s="316">
        <v>4441000220</v>
      </c>
      <c r="F97" s="303">
        <v>1</v>
      </c>
      <c r="G97" s="317">
        <v>4497230800</v>
      </c>
      <c r="H97" s="303">
        <v>2</v>
      </c>
      <c r="I97" s="705" t="str">
        <f>INDEX(База[],MATCH(Комплекты[[#This Row],[Обозначение]],База[Артикул],0),MATCH(I$2,База[#Headers],0))</f>
        <v>Кабель датчика АБС, 8 м</v>
      </c>
      <c r="J97" s="705" t="str">
        <f>INDEX(База[],MATCH(Комплекты[[#This Row],[Комплект]],База[Артикул],0),MATCH("наименование",База[#Headers],0))</f>
        <v>Комплект расширения "TEBS 3M (6 м)"</v>
      </c>
      <c r="K97" s="705"/>
      <c r="L97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97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97" s="707" t="str">
        <f>IF(IFERROR(MATCH("нет",Комплекты[[#This Row],[   ]:[АВТОВИК]],0)&gt;0,),"НЕТ","ОК")</f>
        <v>ОК</v>
      </c>
      <c r="O97" s="707"/>
      <c r="P97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97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97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97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97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97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97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97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98" spans="1:23">
      <c r="A98" s="309">
        <f>ROW()-ROW(Комплекты[[#Headers],[№]])</f>
        <v>96</v>
      </c>
      <c r="B98" s="309" t="str">
        <f>Комплекты[[#This Row],[Пр]]&amp;"_"&amp;Комплекты[[#This Row],[Обозначение]]</f>
        <v>1_4802070600</v>
      </c>
      <c r="C98" s="309">
        <f>COUNTIFS($E$3:Комплекты[[#This Row],[Комплект]],Комплекты[[#This Row],[Комплект]])</f>
        <v>3</v>
      </c>
      <c r="D98" s="310">
        <v>45990</v>
      </c>
      <c r="E98" s="311">
        <v>4441000220</v>
      </c>
      <c r="F98" s="302">
        <v>1</v>
      </c>
      <c r="G98" s="313">
        <v>4802070600</v>
      </c>
      <c r="H98" s="302">
        <v>1</v>
      </c>
      <c r="I98" s="399" t="str">
        <f>INDEX(База[],MATCH(Комплекты[[#This Row],[Обозначение]],База[Артикул],0),MATCH(I$2,База[#Headers],0))</f>
        <v>Клапан ускорительный TEBS</v>
      </c>
      <c r="J98" s="399" t="str">
        <f>INDEX(База[],MATCH(Комплекты[[#This Row],[Комплект]],База[Артикул],0),MATCH("наименование",База[#Headers],0))</f>
        <v>Комплект расширения "TEBS 3M (6 м)"</v>
      </c>
      <c r="K98" s="399"/>
      <c r="L9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9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98" s="699" t="str">
        <f>IF(IFERROR(MATCH("нет",Комплекты[[#This Row],[   ]:[АВТОВИК]],0)&gt;0,),"НЕТ","ОК")</f>
        <v>ОК</v>
      </c>
      <c r="O98" s="699"/>
      <c r="P9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9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9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9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9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9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9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9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99" spans="1:23">
      <c r="A99" s="309">
        <f>ROW()-ROW(Комплекты[[#Headers],[№]])</f>
        <v>97</v>
      </c>
      <c r="B99" s="309" t="str">
        <f>Комплекты[[#This Row],[Пр]]&amp;"_"&amp;Комплекты[[#This Row],[Обозначение]]</f>
        <v>1_4494301200</v>
      </c>
      <c r="C99" s="309">
        <f>COUNTIFS($E$3:Комплекты[[#This Row],[Комплект]],Комплекты[[#This Row],[Комплект]])</f>
        <v>1</v>
      </c>
      <c r="D99" s="310">
        <v>46168</v>
      </c>
      <c r="E99" s="311">
        <v>4441000230</v>
      </c>
      <c r="F99" s="302">
        <v>1</v>
      </c>
      <c r="G99" s="313">
        <v>4494301200</v>
      </c>
      <c r="H99" s="302">
        <v>1</v>
      </c>
      <c r="I99" s="399" t="str">
        <f>INDEX(База[],MATCH(Комплекты[[#This Row],[Обозначение]],База[Артикул],0),MATCH(I$2,База[#Headers],0))</f>
        <v>Кабель клапана ускорительного TEBS (12 м)</v>
      </c>
      <c r="J99" s="399" t="str">
        <f>INDEX(База[],MATCH(Комплекты[[#This Row],[Комплект]],База[Артикул],0),MATCH("наименование",База[#Headers],0))</f>
        <v>Комплект расширения "TEBS 3M (12 м)"</v>
      </c>
      <c r="K99" s="399"/>
      <c r="L9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9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99" s="699" t="str">
        <f>IF(IFERROR(MATCH("нет",Комплекты[[#This Row],[   ]:[АВТОВИК]],0)&gt;0,),"НЕТ","ОК")</f>
        <v>ОК</v>
      </c>
      <c r="O99" s="699"/>
      <c r="P9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9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9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9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9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9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9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9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00" spans="1:23">
      <c r="A100" s="314">
        <f>ROW()-ROW(Комплекты[[#Headers],[№]])</f>
        <v>98</v>
      </c>
      <c r="B100" s="314" t="str">
        <f>Комплекты[[#This Row],[Пр]]&amp;"_"&amp;Комплекты[[#This Row],[Обозначение]]</f>
        <v>1_4497230800</v>
      </c>
      <c r="C100" s="314">
        <f>COUNTIFS($E$3:Комплекты[[#This Row],[Комплект]],Комплекты[[#This Row],[Комплект]])</f>
        <v>2</v>
      </c>
      <c r="D100" s="315">
        <v>46168</v>
      </c>
      <c r="E100" s="316">
        <v>4441000230</v>
      </c>
      <c r="F100" s="303">
        <v>1</v>
      </c>
      <c r="G100" s="317">
        <v>4497230800</v>
      </c>
      <c r="H100" s="303">
        <v>2</v>
      </c>
      <c r="I100" s="705" t="str">
        <f>INDEX(База[],MATCH(Комплекты[[#This Row],[Обозначение]],База[Артикул],0),MATCH(I$2,База[#Headers],0))</f>
        <v>Кабель датчика АБС, 8 м</v>
      </c>
      <c r="J100" s="705" t="str">
        <f>INDEX(База[],MATCH(Комплекты[[#This Row],[Комплект]],База[Артикул],0),MATCH("наименование",База[#Headers],0))</f>
        <v>Комплект расширения "TEBS 3M (12 м)"</v>
      </c>
      <c r="K100" s="705"/>
      <c r="L100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00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00" s="707" t="str">
        <f>IF(IFERROR(MATCH("нет",Комплекты[[#This Row],[   ]:[АВТОВИК]],0)&gt;0,),"НЕТ","ОК")</f>
        <v>ОК</v>
      </c>
      <c r="O100" s="707"/>
      <c r="P100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00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00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00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00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00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00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00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01" spans="1:23">
      <c r="A101" s="309">
        <f>ROW()-ROW(Комплекты[[#Headers],[№]])</f>
        <v>99</v>
      </c>
      <c r="B101" s="309" t="str">
        <f>Комплекты[[#This Row],[Пр]]&amp;"_"&amp;Комплекты[[#This Row],[Обозначение]]</f>
        <v>1_4802070600</v>
      </c>
      <c r="C101" s="309">
        <f>COUNTIFS($E$3:Комплекты[[#This Row],[Комплект]],Комплекты[[#This Row],[Комплект]])</f>
        <v>3</v>
      </c>
      <c r="D101" s="310">
        <v>46168</v>
      </c>
      <c r="E101" s="311">
        <v>4441000230</v>
      </c>
      <c r="F101" s="302">
        <v>1</v>
      </c>
      <c r="G101" s="313">
        <v>4802070600</v>
      </c>
      <c r="H101" s="302">
        <v>1</v>
      </c>
      <c r="I101" s="399" t="str">
        <f>INDEX(База[],MATCH(Комплекты[[#This Row],[Обозначение]],База[Артикул],0),MATCH(I$2,База[#Headers],0))</f>
        <v>Клапан ускорительный TEBS</v>
      </c>
      <c r="J101" s="399" t="str">
        <f>INDEX(База[],MATCH(Комплекты[[#This Row],[Комплект]],База[Артикул],0),MATCH("наименование",База[#Headers],0))</f>
        <v>Комплект расширения "TEBS 3M (12 м)"</v>
      </c>
      <c r="K101" s="399"/>
      <c r="L10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0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01" s="699" t="str">
        <f>IF(IFERROR(MATCH("нет",Комплекты[[#This Row],[   ]:[АВТОВИК]],0)&gt;0,),"НЕТ","ОК")</f>
        <v>ОК</v>
      </c>
      <c r="O101" s="699"/>
      <c r="P10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0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0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0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0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0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0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0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02" spans="1:23">
      <c r="A102" s="314">
        <f>ROW()-ROW(Комплекты[[#Headers],[№]])</f>
        <v>100</v>
      </c>
      <c r="B102" s="314" t="str">
        <f>Комплекты[[#This Row],[Пр]]&amp;"_"&amp;Комплекты[[#This Row],[Обозначение]]</f>
        <v>1_4334010030</v>
      </c>
      <c r="C102" s="314">
        <f>COUNTIFS($E$3:Комплекты[[#This Row],[Комплект]],Комплекты[[#This Row],[Комплект]])</f>
        <v>1</v>
      </c>
      <c r="D102" s="315">
        <v>45884</v>
      </c>
      <c r="E102" s="316">
        <v>4441000260</v>
      </c>
      <c r="F102" s="303">
        <v>1</v>
      </c>
      <c r="G102" s="317">
        <v>4334010030</v>
      </c>
      <c r="H102" s="303">
        <v>1</v>
      </c>
      <c r="I102" s="705" t="str">
        <f>INDEX(База[],MATCH(Комплекты[[#This Row],[Обозначение]],База[Артикул],0),MATCH(I$2,База[#Headers],0))</f>
        <v>Упругий элемент</v>
      </c>
      <c r="J102" s="705" t="str">
        <f>INDEX(База[],MATCH(Комплекты[[#This Row],[Комплект]],База[Артикул],0),MATCH("наименование",База[#Headers],0))</f>
        <v>Комплект базовый "TEBS 2S/2M (12 м)"</v>
      </c>
      <c r="K102" s="705"/>
      <c r="L102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02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02" s="707" t="str">
        <f>IF(IFERROR(MATCH("нет",Комплекты[[#This Row],[   ]:[АВТОВИК]],0)&gt;0,),"НЕТ","ОК")</f>
        <v>ОК</v>
      </c>
      <c r="O102" s="707"/>
      <c r="P102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02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02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02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02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02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02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02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03" spans="1:23">
      <c r="A103" s="309">
        <f>ROW()-ROW(Комплекты[[#Headers],[№]])</f>
        <v>101</v>
      </c>
      <c r="B103" s="309" t="str">
        <f>Комплекты[[#This Row],[Пр]]&amp;"_"&amp;Комплекты[[#This Row],[Обозначение]]</f>
        <v>1_4491731200</v>
      </c>
      <c r="C103" s="309">
        <f>COUNTIFS($E$3:Комплекты[[#This Row],[Комплект]],Комплекты[[#This Row],[Комплект]])</f>
        <v>2</v>
      </c>
      <c r="D103" s="310">
        <v>45884</v>
      </c>
      <c r="E103" s="311">
        <v>4441000260</v>
      </c>
      <c r="F103" s="302">
        <v>1</v>
      </c>
      <c r="G103" s="313">
        <v>4491731200</v>
      </c>
      <c r="H103" s="302">
        <v>1</v>
      </c>
      <c r="I103" s="399" t="str">
        <f>INDEX(База[],MATCH(Комплекты[[#This Row],[Обозначение]],База[Артикул],0),MATCH(I$2,База[#Headers],0))</f>
        <v>Кабель питания, 12 м</v>
      </c>
      <c r="J103" s="399" t="str">
        <f>INDEX(База[],MATCH(Комплекты[[#This Row],[Комплект]],База[Артикул],0),MATCH("наименование",База[#Headers],0))</f>
        <v>Комплект базовый "TEBS 2S/2M (12 м)"</v>
      </c>
      <c r="K103" s="399"/>
      <c r="L10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0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03" s="699" t="str">
        <f>IF(IFERROR(MATCH("нет",Комплекты[[#This Row],[   ]:[АВТОВИК]],0)&gt;0,),"НЕТ","ОК")</f>
        <v>ОК</v>
      </c>
      <c r="O103" s="699"/>
      <c r="P10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0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0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0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0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0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0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0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04" spans="1:23">
      <c r="A104" s="309">
        <f>ROW()-ROW(Комплекты[[#Headers],[№]])</f>
        <v>102</v>
      </c>
      <c r="B104" s="309" t="str">
        <f>Комплекты[[#This Row],[Пр]]&amp;"_"&amp;Комплекты[[#This Row],[Обозначение]]</f>
        <v>1_4497230500</v>
      </c>
      <c r="C104" s="309">
        <f>COUNTIFS($E$3:Комплекты[[#This Row],[Комплект]],Комплекты[[#This Row],[Комплект]])</f>
        <v>3</v>
      </c>
      <c r="D104" s="310">
        <v>45884</v>
      </c>
      <c r="E104" s="311">
        <v>4441000260</v>
      </c>
      <c r="F104" s="302">
        <v>1</v>
      </c>
      <c r="G104" s="313">
        <v>4497230500</v>
      </c>
      <c r="H104" s="302">
        <v>2</v>
      </c>
      <c r="I104" s="399" t="str">
        <f>INDEX(База[],MATCH(Комплекты[[#This Row],[Обозначение]],База[Артикул],0),MATCH(I$2,База[#Headers],0))</f>
        <v>Кабель датчика АБС, 5 м</v>
      </c>
      <c r="J104" s="399" t="str">
        <f>INDEX(База[],MATCH(Комплекты[[#This Row],[Комплект]],База[Артикул],0),MATCH("наименование",База[#Headers],0))</f>
        <v>Комплект базовый "TEBS 2S/2M (12 м)"</v>
      </c>
      <c r="K104" s="399"/>
      <c r="L10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0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04" s="699" t="str">
        <f>IF(IFERROR(MATCH("нет",Комплекты[[#This Row],[   ]:[АВТОВИК]],0)&gt;0,),"НЕТ","ОК")</f>
        <v>ОК</v>
      </c>
      <c r="O104" s="699"/>
      <c r="P10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0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0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0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0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0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0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0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05" spans="1:23">
      <c r="A105" s="309">
        <f>ROW()-ROW(Комплекты[[#Headers],[№]])</f>
        <v>103</v>
      </c>
      <c r="B105" s="309" t="str">
        <f>Комплекты[[#This Row],[Пр]]&amp;"_"&amp;Комплекты[[#This Row],[Обозначение]]</f>
        <v>1_4630320200</v>
      </c>
      <c r="C105" s="309">
        <f>COUNTIFS($E$3:Комплекты[[#This Row],[Комплект]],Комплекты[[#This Row],[Комплект]])</f>
        <v>4</v>
      </c>
      <c r="D105" s="310">
        <v>45884</v>
      </c>
      <c r="E105" s="311">
        <v>4441000260</v>
      </c>
      <c r="F105" s="302">
        <v>1</v>
      </c>
      <c r="G105" s="313">
        <v>4630320200</v>
      </c>
      <c r="H105" s="302">
        <v>1</v>
      </c>
      <c r="I105" s="399" t="str">
        <f>INDEX(База[],MATCH(Комплекты[[#This Row],[Обозначение]],База[Артикул],0),MATCH(I$2,База[#Headers],0))</f>
        <v>Кран ручного управления</v>
      </c>
      <c r="J105" s="399" t="str">
        <f>INDEX(База[],MATCH(Комплекты[[#This Row],[Комплект]],База[Артикул],0),MATCH("наименование",База[#Headers],0))</f>
        <v>Комплект базовый "TEBS 2S/2M (12 м)"</v>
      </c>
      <c r="K105" s="399"/>
      <c r="L10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0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05" s="699" t="str">
        <f>IF(IFERROR(MATCH("нет",Комплекты[[#This Row],[   ]:[АВТОВИК]],0)&gt;0,),"НЕТ","ОК")</f>
        <v>ОК</v>
      </c>
      <c r="O105" s="699"/>
      <c r="P10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0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0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0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0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0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0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0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06" spans="1:23">
      <c r="A106" s="309">
        <f>ROW()-ROW(Комплекты[[#Headers],[№]])</f>
        <v>104</v>
      </c>
      <c r="B106" s="309" t="str">
        <f>Комплекты[[#This Row],[Пр]]&amp;"_"&amp;Комплекты[[#This Row],[Обозначение]]</f>
        <v>1_4640061000</v>
      </c>
      <c r="C106" s="309">
        <f>COUNTIFS($E$3:Комплекты[[#This Row],[Комплект]],Комплекты[[#This Row],[Комплект]])</f>
        <v>5</v>
      </c>
      <c r="D106" s="310">
        <v>45884</v>
      </c>
      <c r="E106" s="311">
        <v>4441000260</v>
      </c>
      <c r="F106" s="302">
        <v>1</v>
      </c>
      <c r="G106" s="313">
        <v>4640061000</v>
      </c>
      <c r="H106" s="302">
        <v>1</v>
      </c>
      <c r="I106" s="399" t="str">
        <f>INDEX(База[],MATCH(Комплекты[[#This Row],[Обозначение]],База[Артикул],0),MATCH(I$2,База[#Headers],0))</f>
        <v>Кран уровня пола</v>
      </c>
      <c r="J106" s="399" t="str">
        <f>INDEX(База[],MATCH(Комплекты[[#This Row],[Комплект]],База[Артикул],0),MATCH("наименование",База[#Headers],0))</f>
        <v>Комплект базовый "TEBS 2S/2M (12 м)"</v>
      </c>
      <c r="K106" s="399"/>
      <c r="L10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0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06" s="699" t="str">
        <f>IF(IFERROR(MATCH("нет",Комплекты[[#This Row],[   ]:[АВТОВИК]],0)&gt;0,),"НЕТ","ОК")</f>
        <v>ОК</v>
      </c>
      <c r="O106" s="699"/>
      <c r="P10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0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0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0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0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0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0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0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07" spans="1:23">
      <c r="A107" s="309">
        <f>ROW()-ROW(Комплекты[[#Headers],[№]])</f>
        <v>105</v>
      </c>
      <c r="B107" s="309" t="str">
        <f>Комплекты[[#This Row],[Пр]]&amp;"_"&amp;Комплекты[[#This Row],[Обозначение]]</f>
        <v>1_4801020640</v>
      </c>
      <c r="C107" s="309">
        <f>COUNTIFS($E$3:Комплекты[[#This Row],[Комплект]],Комплекты[[#This Row],[Комплект]])</f>
        <v>6</v>
      </c>
      <c r="D107" s="310">
        <v>45884</v>
      </c>
      <c r="E107" s="311">
        <v>4441000260</v>
      </c>
      <c r="F107" s="302">
        <v>1</v>
      </c>
      <c r="G107" s="313">
        <v>4801020640</v>
      </c>
      <c r="H107" s="302">
        <v>1</v>
      </c>
      <c r="I107" s="399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107" s="399" t="str">
        <f>INDEX(База[],MATCH(Комплекты[[#This Row],[Комплект]],База[Артикул],0),MATCH("наименование",База[#Headers],0))</f>
        <v>Комплект базовый "TEBS 2S/2M (12 м)"</v>
      </c>
      <c r="K107" s="399"/>
      <c r="L10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0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07" s="699" t="str">
        <f>IF(IFERROR(MATCH("нет",Комплекты[[#This Row],[   ]:[АВТОВИК]],0)&gt;0,),"НЕТ","ОК")</f>
        <v>ОК</v>
      </c>
      <c r="O107" s="699"/>
      <c r="P10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0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0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0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0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0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0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0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08" spans="1:23">
      <c r="A108" s="314">
        <f>ROW()-ROW(Комплекты[[#Headers],[№]])</f>
        <v>106</v>
      </c>
      <c r="B108" s="314" t="str">
        <f>Комплекты[[#This Row],[Пр]]&amp;"_"&amp;Комплекты[[#This Row],[Обозначение]]</f>
        <v>1_9522010010</v>
      </c>
      <c r="C108" s="314">
        <f>COUNTIFS($E$3:Комплекты[[#This Row],[Комплект]],Комплекты[[#This Row],[Комплект]])</f>
        <v>7</v>
      </c>
      <c r="D108" s="310">
        <v>45884</v>
      </c>
      <c r="E108" s="316">
        <v>4441000260</v>
      </c>
      <c r="F108" s="303">
        <v>1</v>
      </c>
      <c r="G108" s="317">
        <v>9522010010</v>
      </c>
      <c r="H108" s="303">
        <v>1</v>
      </c>
      <c r="I108" s="705" t="str">
        <f>INDEX(База[],MATCH(Комплекты[[#This Row],[Обозначение]],База[Артикул],0),MATCH(I$2,База[#Headers],0))</f>
        <v>Головка соединительная (управляющая)</v>
      </c>
      <c r="J108" s="705" t="str">
        <f>INDEX(База[],MATCH(Комплекты[[#This Row],[Комплект]],База[Артикул],0),MATCH("наименование",База[#Headers],0))</f>
        <v>Комплект базовый "TEBS 2S/2M (12 м)"</v>
      </c>
      <c r="K108" s="705"/>
      <c r="L108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08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08" s="707" t="str">
        <f>IF(IFERROR(MATCH("нет",Комплекты[[#This Row],[   ]:[АВТОВИК]],0)&gt;0,),"НЕТ","ОК")</f>
        <v>ОК</v>
      </c>
      <c r="O108" s="707"/>
      <c r="P108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08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08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08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08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08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08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08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09" spans="1:23">
      <c r="A109" s="309">
        <f>ROW()-ROW(Комплекты[[#Headers],[№]])</f>
        <v>107</v>
      </c>
      <c r="B109" s="309" t="str">
        <f>Комплекты[[#This Row],[Пр]]&amp;"_"&amp;Комплекты[[#This Row],[Обозначение]]</f>
        <v>1_9522010020</v>
      </c>
      <c r="C109" s="309">
        <f>COUNTIFS($E$3:Комплекты[[#This Row],[Комплект]],Комплекты[[#This Row],[Комплект]])</f>
        <v>8</v>
      </c>
      <c r="D109" s="310">
        <v>45884</v>
      </c>
      <c r="E109" s="311">
        <v>4441000260</v>
      </c>
      <c r="F109" s="302">
        <v>1</v>
      </c>
      <c r="G109" s="313">
        <v>9522010020</v>
      </c>
      <c r="H109" s="302">
        <v>1</v>
      </c>
      <c r="I109" s="399" t="str">
        <f>INDEX(База[],MATCH(Комплекты[[#This Row],[Обозначение]],База[Артикул],0),MATCH(I$2,База[#Headers],0))</f>
        <v>Головка соединительная (питающая)</v>
      </c>
      <c r="J109" s="399" t="str">
        <f>INDEX(База[],MATCH(Комплекты[[#This Row],[Комплект]],База[Артикул],0),MATCH("наименование",База[#Headers],0))</f>
        <v>Комплект базовый "TEBS 2S/2M (12 м)"</v>
      </c>
      <c r="K109" s="399"/>
      <c r="L10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0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09" s="699" t="str">
        <f>IF(IFERROR(MATCH("нет",Комплекты[[#This Row],[   ]:[АВТОВИК]],0)&gt;0,),"НЕТ","ОК")</f>
        <v>ОК</v>
      </c>
      <c r="O109" s="699"/>
      <c r="P10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0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0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0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0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0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0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0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10" spans="1:23">
      <c r="A110" s="309">
        <f>ROW()-ROW(Комплекты[[#Headers],[№]])</f>
        <v>108</v>
      </c>
      <c r="B110" s="309" t="str">
        <f>Комплекты[[#This Row],[Пр]]&amp;"_"&amp;Комплекты[[#This Row],[Обозначение]]</f>
        <v>1_9710029000</v>
      </c>
      <c r="C110" s="309">
        <f>COUNTIFS($E$3:Комплекты[[#This Row],[Комплект]],Комплекты[[#This Row],[Комплект]])</f>
        <v>9</v>
      </c>
      <c r="D110" s="310">
        <v>45884</v>
      </c>
      <c r="E110" s="311">
        <v>4441000260</v>
      </c>
      <c r="F110" s="302">
        <v>1</v>
      </c>
      <c r="G110" s="313">
        <v>9710029000</v>
      </c>
      <c r="H110" s="302">
        <v>1</v>
      </c>
      <c r="I110" s="399" t="str">
        <f>INDEX(База[],MATCH(Комплекты[[#This Row],[Обозначение]],База[Артикул],0),MATCH(I$2,База[#Headers],0))</f>
        <v>Воздухораспределитель с клапаном растормаживания</v>
      </c>
      <c r="J110" s="399" t="str">
        <f>INDEX(База[],MATCH(Комплекты[[#This Row],[Комплект]],База[Артикул],0),MATCH("наименование",База[#Headers],0))</f>
        <v>Комплект базовый "TEBS 2S/2M (12 м)"</v>
      </c>
      <c r="K110" s="399"/>
      <c r="L11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1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10" s="699" t="str">
        <f>IF(IFERROR(MATCH("нет",Комплекты[[#This Row],[   ]:[АВТОВИК]],0)&gt;0,),"НЕТ","ОК")</f>
        <v>ОК</v>
      </c>
      <c r="O110" s="699"/>
      <c r="P11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1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1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1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1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1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1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1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11" spans="1:23">
      <c r="A111" s="309">
        <f>ROW()-ROW(Комплекты[[#Headers],[№]])</f>
        <v>109</v>
      </c>
      <c r="B111" s="309" t="str">
        <f>Комплекты[[#This Row],[Пр]]&amp;"_"&amp;Комплекты[[#This Row],[Обозначение]]</f>
        <v>1_4334010030</v>
      </c>
      <c r="C111" s="309">
        <f>COUNTIFS($E$3:Комплекты[[#This Row],[Комплект]],Комплекты[[#This Row],[Комплект]])</f>
        <v>1</v>
      </c>
      <c r="D111" s="310">
        <v>45884</v>
      </c>
      <c r="E111" s="311">
        <v>4441000380</v>
      </c>
      <c r="F111" s="302">
        <v>1</v>
      </c>
      <c r="G111" s="313">
        <v>4334010030</v>
      </c>
      <c r="H111" s="302">
        <v>1</v>
      </c>
      <c r="I111" s="399" t="str">
        <f>INDEX(База[],MATCH(Комплекты[[#This Row],[Обозначение]],База[Артикул],0),MATCH(I$2,База[#Headers],0))</f>
        <v>Упругий элемент</v>
      </c>
      <c r="J111" s="399" t="str">
        <f>INDEX(База[],MATCH(Комплекты[[#This Row],[Комплект]],База[Артикул],0),MATCH("наименование",База[#Headers],0))</f>
        <v>Комплект базовый "TEBS 2S/2M (15 м)"</v>
      </c>
      <c r="K111" s="399"/>
      <c r="L11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1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11" s="699" t="str">
        <f>IF(IFERROR(MATCH("нет",Комплекты[[#This Row],[   ]:[АВТОВИК]],0)&gt;0,),"НЕТ","ОК")</f>
        <v>ОК</v>
      </c>
      <c r="O111" s="699"/>
      <c r="P11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1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1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1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1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1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1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1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12" spans="1:23">
      <c r="A112" s="309">
        <f>ROW()-ROW(Комплекты[[#Headers],[№]])</f>
        <v>110</v>
      </c>
      <c r="B112" s="309" t="str">
        <f>Комплекты[[#This Row],[Пр]]&amp;"_"&amp;Комплекты[[#This Row],[Обозначение]]</f>
        <v>1_4491731500</v>
      </c>
      <c r="C112" s="309">
        <f>COUNTIFS($E$3:Комплекты[[#This Row],[Комплект]],Комплекты[[#This Row],[Комплект]])</f>
        <v>2</v>
      </c>
      <c r="D112" s="310">
        <v>45884</v>
      </c>
      <c r="E112" s="311">
        <v>4441000380</v>
      </c>
      <c r="F112" s="302">
        <v>1</v>
      </c>
      <c r="G112" s="313">
        <v>4491731500</v>
      </c>
      <c r="H112" s="302">
        <v>1</v>
      </c>
      <c r="I112" s="399" t="str">
        <f>INDEX(База[],MATCH(Комплекты[[#This Row],[Обозначение]],База[Артикул],0),MATCH(I$2,База[#Headers],0))</f>
        <v>Кабель питания, 15 м</v>
      </c>
      <c r="J112" s="399" t="str">
        <f>INDEX(База[],MATCH(Комплекты[[#This Row],[Комплект]],База[Артикул],0),MATCH("наименование",База[#Headers],0))</f>
        <v>Комплект базовый "TEBS 2S/2M (15 м)"</v>
      </c>
      <c r="K112" s="399"/>
      <c r="L11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1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12" s="699" t="str">
        <f>IF(IFERROR(MATCH("нет",Комплекты[[#This Row],[   ]:[АВТОВИК]],0)&gt;0,),"НЕТ","ОК")</f>
        <v>ОК</v>
      </c>
      <c r="O112" s="699"/>
      <c r="P11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1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1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1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1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1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1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1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13" spans="1:23">
      <c r="A113" s="309">
        <f>ROW()-ROW(Комплекты[[#Headers],[№]])</f>
        <v>111</v>
      </c>
      <c r="B113" s="309" t="str">
        <f>Комплекты[[#This Row],[Пр]]&amp;"_"&amp;Комплекты[[#This Row],[Обозначение]]</f>
        <v>1_4497230500</v>
      </c>
      <c r="C113" s="309">
        <f>COUNTIFS($E$3:Комплекты[[#This Row],[Комплект]],Комплекты[[#This Row],[Комплект]])</f>
        <v>3</v>
      </c>
      <c r="D113" s="310">
        <v>45884</v>
      </c>
      <c r="E113" s="311">
        <v>4441000380</v>
      </c>
      <c r="F113" s="302">
        <v>1</v>
      </c>
      <c r="G113" s="313">
        <v>4497230500</v>
      </c>
      <c r="H113" s="302">
        <v>2</v>
      </c>
      <c r="I113" s="399" t="str">
        <f>INDEX(База[],MATCH(Комплекты[[#This Row],[Обозначение]],База[Артикул],0),MATCH(I$2,База[#Headers],0))</f>
        <v>Кабель датчика АБС, 5 м</v>
      </c>
      <c r="J113" s="399" t="str">
        <f>INDEX(База[],MATCH(Комплекты[[#This Row],[Комплект]],База[Артикул],0),MATCH("наименование",База[#Headers],0))</f>
        <v>Комплект базовый "TEBS 2S/2M (15 м)"</v>
      </c>
      <c r="K113" s="399"/>
      <c r="L11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1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13" s="699" t="str">
        <f>IF(IFERROR(MATCH("нет",Комплекты[[#This Row],[   ]:[АВТОВИК]],0)&gt;0,),"НЕТ","ОК")</f>
        <v>ОК</v>
      </c>
      <c r="O113" s="699"/>
      <c r="P11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1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1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1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1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1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1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1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14" spans="1:23">
      <c r="A114" s="309">
        <f>ROW()-ROW(Комплекты[[#Headers],[№]])</f>
        <v>112</v>
      </c>
      <c r="B114" s="309" t="str">
        <f>Комплекты[[#This Row],[Пр]]&amp;"_"&amp;Комплекты[[#This Row],[Обозначение]]</f>
        <v>1_4630320200</v>
      </c>
      <c r="C114" s="309">
        <f>COUNTIFS($E$3:Комплекты[[#This Row],[Комплект]],Комплекты[[#This Row],[Комплект]])</f>
        <v>4</v>
      </c>
      <c r="D114" s="310">
        <v>45884</v>
      </c>
      <c r="E114" s="311">
        <v>4441000380</v>
      </c>
      <c r="F114" s="302">
        <v>1</v>
      </c>
      <c r="G114" s="313">
        <v>4630320200</v>
      </c>
      <c r="H114" s="302">
        <v>1</v>
      </c>
      <c r="I114" s="399" t="str">
        <f>INDEX(База[],MATCH(Комплекты[[#This Row],[Обозначение]],База[Артикул],0),MATCH(I$2,База[#Headers],0))</f>
        <v>Кран ручного управления</v>
      </c>
      <c r="J114" s="399" t="str">
        <f>INDEX(База[],MATCH(Комплекты[[#This Row],[Комплект]],База[Артикул],0),MATCH("наименование",База[#Headers],0))</f>
        <v>Комплект базовый "TEBS 2S/2M (15 м)"</v>
      </c>
      <c r="K114" s="399"/>
      <c r="L11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1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14" s="699" t="str">
        <f>IF(IFERROR(MATCH("нет",Комплекты[[#This Row],[   ]:[АВТОВИК]],0)&gt;0,),"НЕТ","ОК")</f>
        <v>ОК</v>
      </c>
      <c r="O114" s="699"/>
      <c r="P11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1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1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1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1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1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1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1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15" spans="1:23">
      <c r="A115" s="314">
        <f>ROW()-ROW(Комплекты[[#Headers],[№]])</f>
        <v>113</v>
      </c>
      <c r="B115" s="314" t="str">
        <f>Комплекты[[#This Row],[Пр]]&amp;"_"&amp;Комплекты[[#This Row],[Обозначение]]</f>
        <v>1_4640061000</v>
      </c>
      <c r="C115" s="314">
        <f>COUNTIFS($E$3:Комплекты[[#This Row],[Комплект]],Комплекты[[#This Row],[Комплект]])</f>
        <v>5</v>
      </c>
      <c r="D115" s="310">
        <v>45884</v>
      </c>
      <c r="E115" s="316">
        <v>4441000380</v>
      </c>
      <c r="F115" s="303">
        <v>1</v>
      </c>
      <c r="G115" s="317">
        <v>4640061000</v>
      </c>
      <c r="H115" s="303">
        <v>1</v>
      </c>
      <c r="I115" s="705" t="str">
        <f>INDEX(База[],MATCH(Комплекты[[#This Row],[Обозначение]],База[Артикул],0),MATCH(I$2,База[#Headers],0))</f>
        <v>Кран уровня пола</v>
      </c>
      <c r="J115" s="705" t="str">
        <f>INDEX(База[],MATCH(Комплекты[[#This Row],[Комплект]],База[Артикул],0),MATCH("наименование",База[#Headers],0))</f>
        <v>Комплект базовый "TEBS 2S/2M (15 м)"</v>
      </c>
      <c r="K115" s="705"/>
      <c r="L115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15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15" s="707" t="str">
        <f>IF(IFERROR(MATCH("нет",Комплекты[[#This Row],[   ]:[АВТОВИК]],0)&gt;0,),"НЕТ","ОК")</f>
        <v>ОК</v>
      </c>
      <c r="O115" s="707"/>
      <c r="P115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15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15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15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15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15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15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15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16" spans="1:23">
      <c r="A116" s="309">
        <f>ROW()-ROW(Комплекты[[#Headers],[№]])</f>
        <v>114</v>
      </c>
      <c r="B116" s="309" t="str">
        <f>Комплекты[[#This Row],[Пр]]&amp;"_"&amp;Комплекты[[#This Row],[Обозначение]]</f>
        <v>1_4801020640</v>
      </c>
      <c r="C116" s="309">
        <f>COUNTIFS($E$3:Комплекты[[#This Row],[Комплект]],Комплекты[[#This Row],[Комплект]])</f>
        <v>6</v>
      </c>
      <c r="D116" s="310">
        <v>45884</v>
      </c>
      <c r="E116" s="311">
        <v>4441000380</v>
      </c>
      <c r="F116" s="302">
        <v>1</v>
      </c>
      <c r="G116" s="313">
        <v>4801020640</v>
      </c>
      <c r="H116" s="302">
        <v>1</v>
      </c>
      <c r="I116" s="399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116" s="399" t="str">
        <f>INDEX(База[],MATCH(Комплекты[[#This Row],[Комплект]],База[Артикул],0),MATCH("наименование",База[#Headers],0))</f>
        <v>Комплект базовый "TEBS 2S/2M (15 м)"</v>
      </c>
      <c r="K116" s="399"/>
      <c r="L11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1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16" s="699" t="str">
        <f>IF(IFERROR(MATCH("нет",Комплекты[[#This Row],[   ]:[АВТОВИК]],0)&gt;0,),"НЕТ","ОК")</f>
        <v>ОК</v>
      </c>
      <c r="O116" s="699"/>
      <c r="P11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1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1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1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1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1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1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1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17" spans="1:23">
      <c r="A117" s="309">
        <f>ROW()-ROW(Комплекты[[#Headers],[№]])</f>
        <v>115</v>
      </c>
      <c r="B117" s="309" t="str">
        <f>Комплекты[[#This Row],[Пр]]&amp;"_"&amp;Комплекты[[#This Row],[Обозначение]]</f>
        <v>1_9522010010</v>
      </c>
      <c r="C117" s="309">
        <f>COUNTIFS($E$3:Комплекты[[#This Row],[Комплект]],Комплекты[[#This Row],[Комплект]])</f>
        <v>7</v>
      </c>
      <c r="D117" s="310">
        <v>45884</v>
      </c>
      <c r="E117" s="311">
        <v>4441000380</v>
      </c>
      <c r="F117" s="302">
        <v>1</v>
      </c>
      <c r="G117" s="313">
        <v>9522010010</v>
      </c>
      <c r="H117" s="302">
        <v>1</v>
      </c>
      <c r="I117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117" s="399" t="str">
        <f>INDEX(База[],MATCH(Комплекты[[#This Row],[Комплект]],База[Артикул],0),MATCH("наименование",База[#Headers],0))</f>
        <v>Комплект базовый "TEBS 2S/2M (15 м)"</v>
      </c>
      <c r="K117" s="399"/>
      <c r="L11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1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17" s="699" t="str">
        <f>IF(IFERROR(MATCH("нет",Комплекты[[#This Row],[   ]:[АВТОВИК]],0)&gt;0,),"НЕТ","ОК")</f>
        <v>ОК</v>
      </c>
      <c r="O117" s="699"/>
      <c r="P11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1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1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1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1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1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1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1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18" spans="1:23">
      <c r="A118" s="309">
        <f>ROW()-ROW(Комплекты[[#Headers],[№]])</f>
        <v>116</v>
      </c>
      <c r="B118" s="309" t="str">
        <f>Комплекты[[#This Row],[Пр]]&amp;"_"&amp;Комплекты[[#This Row],[Обозначение]]</f>
        <v>1_9522010020</v>
      </c>
      <c r="C118" s="309">
        <f>COUNTIFS($E$3:Комплекты[[#This Row],[Комплект]],Комплекты[[#This Row],[Комплект]])</f>
        <v>8</v>
      </c>
      <c r="D118" s="310">
        <v>45884</v>
      </c>
      <c r="E118" s="311">
        <v>4441000380</v>
      </c>
      <c r="F118" s="302">
        <v>1</v>
      </c>
      <c r="G118" s="313">
        <v>9522010020</v>
      </c>
      <c r="H118" s="302">
        <v>1</v>
      </c>
      <c r="I118" s="399" t="str">
        <f>INDEX(База[],MATCH(Комплекты[[#This Row],[Обозначение]],База[Артикул],0),MATCH(I$2,База[#Headers],0))</f>
        <v>Головка соединительная (питающая)</v>
      </c>
      <c r="J118" s="399" t="str">
        <f>INDEX(База[],MATCH(Комплекты[[#This Row],[Комплект]],База[Артикул],0),MATCH("наименование",База[#Headers],0))</f>
        <v>Комплект базовый "TEBS 2S/2M (15 м)"</v>
      </c>
      <c r="K118" s="399"/>
      <c r="L11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1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18" s="699" t="str">
        <f>IF(IFERROR(MATCH("нет",Комплекты[[#This Row],[   ]:[АВТОВИК]],0)&gt;0,),"НЕТ","ОК")</f>
        <v>ОК</v>
      </c>
      <c r="O118" s="699"/>
      <c r="P11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1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1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1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1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1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1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1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19" spans="1:23">
      <c r="A119" s="309">
        <f>ROW()-ROW(Комплекты[[#Headers],[№]])</f>
        <v>117</v>
      </c>
      <c r="B119" s="309" t="str">
        <f>Комплекты[[#This Row],[Пр]]&amp;"_"&amp;Комплекты[[#This Row],[Обозначение]]</f>
        <v>1_9710029000</v>
      </c>
      <c r="C119" s="309">
        <f>COUNTIFS($E$3:Комплекты[[#This Row],[Комплект]],Комплекты[[#This Row],[Комплект]])</f>
        <v>9</v>
      </c>
      <c r="D119" s="310">
        <v>45884</v>
      </c>
      <c r="E119" s="311">
        <v>4441000380</v>
      </c>
      <c r="F119" s="302">
        <v>1</v>
      </c>
      <c r="G119" s="313">
        <v>9710029000</v>
      </c>
      <c r="H119" s="302">
        <v>1</v>
      </c>
      <c r="I119" s="399" t="str">
        <f>INDEX(База[],MATCH(Комплекты[[#This Row],[Обозначение]],База[Артикул],0),MATCH(I$2,База[#Headers],0))</f>
        <v>Воздухораспределитель с клапаном растормаживания</v>
      </c>
      <c r="J119" s="399" t="str">
        <f>INDEX(База[],MATCH(Комплекты[[#This Row],[Комплект]],База[Артикул],0),MATCH("наименование",База[#Headers],0))</f>
        <v>Комплект базовый "TEBS 2S/2M (15 м)"</v>
      </c>
      <c r="K119" s="399"/>
      <c r="L11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1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19" s="699" t="str">
        <f>IF(IFERROR(MATCH("нет",Комплекты[[#This Row],[   ]:[АВТОВИК]],0)&gt;0,),"НЕТ","ОК")</f>
        <v>ОК</v>
      </c>
      <c r="O119" s="699"/>
      <c r="P11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1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1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1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1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1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1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1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20" spans="1:23">
      <c r="A120" s="425">
        <f>ROW()-ROW(Комплекты[[#Headers],[№]])</f>
        <v>118</v>
      </c>
      <c r="B120" s="425" t="str">
        <f>Комплекты[[#This Row],[Пр]]&amp;"_"&amp;Комплекты[[#This Row],[Обозначение]]</f>
        <v>1_4491731500</v>
      </c>
      <c r="C120" s="425">
        <f>COUNTIFS($E$3:Комплекты[[#This Row],[Комплект]],Комплекты[[#This Row],[Комплект]])</f>
        <v>1</v>
      </c>
      <c r="D120" s="426">
        <v>45990</v>
      </c>
      <c r="E120" s="423">
        <v>4441000400</v>
      </c>
      <c r="F120" s="427">
        <v>1</v>
      </c>
      <c r="G120" s="428">
        <v>4491731500</v>
      </c>
      <c r="H120" s="427">
        <v>1</v>
      </c>
      <c r="I120" s="600" t="str">
        <f>INDEX(База[],MATCH(Комплекты[[#This Row],[Обозначение]],База[Артикул],0),MATCH(I$2,База[#Headers],0))</f>
        <v>Кабель питания, 15 м</v>
      </c>
      <c r="J120" s="399" t="str">
        <f>INDEX(База[],MATCH(Комплекты[[#This Row],[Комплект]],База[Артикул],0),MATCH("наименование",База[#Headers],0))</f>
        <v>Комплект "TEBS 2S/2M (15 м)" стандарт</v>
      </c>
      <c r="K120" s="399"/>
      <c r="L120" s="70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20" s="70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20" s="703" t="str">
        <f>IF(IFERROR(MATCH("нет",Комплекты[[#This Row],[   ]:[АВТОВИК]],0)&gt;0,),"НЕТ","ОК")</f>
        <v>ОК</v>
      </c>
      <c r="O120" s="699"/>
      <c r="P12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2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2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2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2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2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2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2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21" spans="1:23">
      <c r="A121" s="425">
        <f>ROW()-ROW(Комплекты[[#Headers],[№]])</f>
        <v>119</v>
      </c>
      <c r="B121" s="425" t="str">
        <f>Комплекты[[#This Row],[Пр]]&amp;"_"&amp;Комплекты[[#This Row],[Обозначение]]</f>
        <v>1_4497230500</v>
      </c>
      <c r="C121" s="425">
        <f>COUNTIFS($E$3:Комплекты[[#This Row],[Комплект]],Комплекты[[#This Row],[Комплект]])</f>
        <v>2</v>
      </c>
      <c r="D121" s="426">
        <v>45990</v>
      </c>
      <c r="E121" s="423">
        <v>4441000400</v>
      </c>
      <c r="F121" s="427">
        <v>1</v>
      </c>
      <c r="G121" s="428">
        <v>4497230500</v>
      </c>
      <c r="H121" s="427">
        <v>2</v>
      </c>
      <c r="I121" s="600" t="str">
        <f>INDEX(База[],MATCH(Комплекты[[#This Row],[Обозначение]],База[Артикул],0),MATCH(I$2,База[#Headers],0))</f>
        <v>Кабель датчика АБС, 5 м</v>
      </c>
      <c r="J121" s="399" t="str">
        <f>INDEX(База[],MATCH(Комплекты[[#This Row],[Комплект]],База[Артикул],0),MATCH("наименование",База[#Headers],0))</f>
        <v>Комплект "TEBS 2S/2M (15 м)" стандарт</v>
      </c>
      <c r="K121" s="399"/>
      <c r="L121" s="70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21" s="70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21" s="703" t="str">
        <f>IF(IFERROR(MATCH("нет",Комплекты[[#This Row],[   ]:[АВТОВИК]],0)&gt;0,),"НЕТ","ОК")</f>
        <v>ОК</v>
      </c>
      <c r="O121" s="699"/>
      <c r="P12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2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2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2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2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2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2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2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22" spans="1:23">
      <c r="A122" s="429">
        <f>ROW()-ROW(Комплекты[[#Headers],[№]])</f>
        <v>120</v>
      </c>
      <c r="B122" s="429" t="str">
        <f>Комплекты[[#This Row],[Пр]]&amp;"_"&amp;Комплекты[[#This Row],[Обозначение]]</f>
        <v>1_4801020640</v>
      </c>
      <c r="C122" s="429">
        <f>COUNTIFS($E$3:Комплекты[[#This Row],[Комплект]],Комплекты[[#This Row],[Комплект]])</f>
        <v>3</v>
      </c>
      <c r="D122" s="426">
        <v>45990</v>
      </c>
      <c r="E122" s="424">
        <v>4441000400</v>
      </c>
      <c r="F122" s="430">
        <v>1</v>
      </c>
      <c r="G122" s="431">
        <v>4801020640</v>
      </c>
      <c r="H122" s="430">
        <v>1</v>
      </c>
      <c r="I122" s="704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122" s="705" t="str">
        <f>INDEX(База[],MATCH(Комплекты[[#This Row],[Комплект]],База[Артикул],0),MATCH("наименование",База[#Headers],0))</f>
        <v>Комплект "TEBS 2S/2M (15 м)" стандарт</v>
      </c>
      <c r="K122" s="705"/>
      <c r="L122" s="706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22" s="706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22" s="706" t="str">
        <f>IF(IFERROR(MATCH("нет",Комплекты[[#This Row],[   ]:[АВТОВИК]],0)&gt;0,),"НЕТ","ОК")</f>
        <v>ОК</v>
      </c>
      <c r="O122" s="707"/>
      <c r="P122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22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22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22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22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22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22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22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23" spans="1:23">
      <c r="A123" s="425">
        <f>ROW()-ROW(Комплекты[[#Headers],[№]])</f>
        <v>121</v>
      </c>
      <c r="B123" s="425" t="str">
        <f>Комплекты[[#This Row],[Пр]]&amp;"_"&amp;Комплекты[[#This Row],[Обозначение]]</f>
        <v>1_9522010010</v>
      </c>
      <c r="C123" s="425">
        <f>COUNTIFS($E$3:Комплекты[[#This Row],[Комплект]],Комплекты[[#This Row],[Комплект]])</f>
        <v>4</v>
      </c>
      <c r="D123" s="426">
        <v>45990</v>
      </c>
      <c r="E123" s="423">
        <v>4441000400</v>
      </c>
      <c r="F123" s="427">
        <v>1</v>
      </c>
      <c r="G123" s="428">
        <v>9522010010</v>
      </c>
      <c r="H123" s="427">
        <v>1</v>
      </c>
      <c r="I123" s="600" t="str">
        <f>INDEX(База[],MATCH(Комплекты[[#This Row],[Обозначение]],База[Артикул],0),MATCH(I$2,База[#Headers],0))</f>
        <v>Головка соединительная (управляющая)</v>
      </c>
      <c r="J123" s="399" t="str">
        <f>INDEX(База[],MATCH(Комплекты[[#This Row],[Комплект]],База[Артикул],0),MATCH("наименование",База[#Headers],0))</f>
        <v>Комплект "TEBS 2S/2M (15 м)" стандарт</v>
      </c>
      <c r="K123" s="399"/>
      <c r="L123" s="70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23" s="70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23" s="703" t="str">
        <f>IF(IFERROR(MATCH("нет",Комплекты[[#This Row],[   ]:[АВТОВИК]],0)&gt;0,),"НЕТ","ОК")</f>
        <v>ОК</v>
      </c>
      <c r="O123" s="699"/>
      <c r="P12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2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2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2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2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2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2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2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24" spans="1:23">
      <c r="A124" s="425">
        <f>ROW()-ROW(Комплекты[[#Headers],[№]])</f>
        <v>122</v>
      </c>
      <c r="B124" s="425" t="str">
        <f>Комплекты[[#This Row],[Пр]]&amp;"_"&amp;Комплекты[[#This Row],[Обозначение]]</f>
        <v>1_9522010020</v>
      </c>
      <c r="C124" s="425">
        <f>COUNTIFS($E$3:Комплекты[[#This Row],[Комплект]],Комплекты[[#This Row],[Комплект]])</f>
        <v>5</v>
      </c>
      <c r="D124" s="426">
        <v>45990</v>
      </c>
      <c r="E124" s="423">
        <v>4441000400</v>
      </c>
      <c r="F124" s="427">
        <v>1</v>
      </c>
      <c r="G124" s="428">
        <v>9522010020</v>
      </c>
      <c r="H124" s="427">
        <v>1</v>
      </c>
      <c r="I124" s="600" t="str">
        <f>INDEX(База[],MATCH(Комплекты[[#This Row],[Обозначение]],База[Артикул],0),MATCH(I$2,База[#Headers],0))</f>
        <v>Головка соединительная (питающая)</v>
      </c>
      <c r="J124" s="399" t="str">
        <f>INDEX(База[],MATCH(Комплекты[[#This Row],[Комплект]],База[Артикул],0),MATCH("наименование",База[#Headers],0))</f>
        <v>Комплект "TEBS 2S/2M (15 м)" стандарт</v>
      </c>
      <c r="K124" s="399"/>
      <c r="L124" s="70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24" s="70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24" s="703" t="str">
        <f>IF(IFERROR(MATCH("нет",Комплекты[[#This Row],[   ]:[АВТОВИК]],0)&gt;0,),"НЕТ","ОК")</f>
        <v>ОК</v>
      </c>
      <c r="O124" s="699"/>
      <c r="P12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2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2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2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2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2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2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2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25" spans="1:23">
      <c r="A125" s="425">
        <f>ROW()-ROW(Комплекты[[#Headers],[№]])</f>
        <v>123</v>
      </c>
      <c r="B125" s="425" t="str">
        <f>Комплекты[[#This Row],[Пр]]&amp;"_"&amp;Комплекты[[#This Row],[Обозначение]]</f>
        <v>1_9710029000</v>
      </c>
      <c r="C125" s="425">
        <f>COUNTIFS($E$3:Комплекты[[#This Row],[Комплект]],Комплекты[[#This Row],[Комплект]])</f>
        <v>6</v>
      </c>
      <c r="D125" s="426">
        <v>45990</v>
      </c>
      <c r="E125" s="423">
        <v>4441000400</v>
      </c>
      <c r="F125" s="427">
        <v>1</v>
      </c>
      <c r="G125" s="428">
        <v>9710029000</v>
      </c>
      <c r="H125" s="427">
        <v>1</v>
      </c>
      <c r="I125" s="600" t="str">
        <f>INDEX(База[],MATCH(Комплекты[[#This Row],[Обозначение]],База[Артикул],0),MATCH(I$2,База[#Headers],0))</f>
        <v>Воздухораспределитель с клапаном растормаживания</v>
      </c>
      <c r="J125" s="399" t="str">
        <f>INDEX(База[],MATCH(Комплекты[[#This Row],[Комплект]],База[Артикул],0),MATCH("наименование",База[#Headers],0))</f>
        <v>Комплект "TEBS 2S/2M (15 м)" стандарт</v>
      </c>
      <c r="K125" s="399"/>
      <c r="L125" s="70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25" s="70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25" s="703" t="str">
        <f>IF(IFERROR(MATCH("нет",Комплекты[[#This Row],[   ]:[АВТОВИК]],0)&gt;0,),"НЕТ","ОК")</f>
        <v>ОК</v>
      </c>
      <c r="O125" s="699"/>
      <c r="P12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2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2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2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2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2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2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2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26" spans="1:23">
      <c r="A126" s="309">
        <f>ROW()-ROW(Комплекты[[#Headers],[№]])</f>
        <v>124</v>
      </c>
      <c r="B126" s="309" t="str">
        <f>Комплекты[[#This Row],[Пр]]&amp;"_"&amp;Комплекты[[#This Row],[Обозначение]]</f>
        <v>1_4491731500</v>
      </c>
      <c r="C126" s="309">
        <f>COUNTIFS($E$3:Комплекты[[#This Row],[Комплект]],Комплекты[[#This Row],[Комплект]])</f>
        <v>1</v>
      </c>
      <c r="D126" s="310">
        <v>46120</v>
      </c>
      <c r="E126" s="311">
        <v>4441000410</v>
      </c>
      <c r="F126" s="302">
        <v>1</v>
      </c>
      <c r="G126" s="313">
        <v>4491731500</v>
      </c>
      <c r="H126" s="302">
        <v>1</v>
      </c>
      <c r="I126" s="399" t="str">
        <f>INDEX(База[],MATCH(Комплекты[[#This Row],[Обозначение]],База[Артикул],0),MATCH(I$2,База[#Headers],0))</f>
        <v>Кабель питания, 15 м</v>
      </c>
      <c r="J126" s="399" t="str">
        <f>INDEX(База[],MATCH(Комплекты[[#This Row],[Комплект]],База[Артикул],0),MATCH("наименование",База[#Headers],0))</f>
        <v>Комплект "EBS ПТ"</v>
      </c>
      <c r="K126" s="399"/>
      <c r="L12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2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26" s="699" t="str">
        <f>IF(IFERROR(MATCH("нет",Комплекты[[#This Row],[   ]:[АВТОВИК]],0)&gt;0,),"НЕТ","ОК")</f>
        <v>ОК</v>
      </c>
      <c r="O126" s="699"/>
      <c r="P12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2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2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2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2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2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2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2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27" spans="1:23">
      <c r="A127" s="309">
        <f>ROW()-ROW(Комплекты[[#Headers],[№]])</f>
        <v>125</v>
      </c>
      <c r="B127" s="309" t="str">
        <f>Комплекты[[#This Row],[Пр]]&amp;"_"&amp;Комплекты[[#This Row],[Обозначение]]</f>
        <v>1_4497230500</v>
      </c>
      <c r="C127" s="309">
        <f>COUNTIFS($E$3:Комплекты[[#This Row],[Комплект]],Комплекты[[#This Row],[Комплект]])</f>
        <v>2</v>
      </c>
      <c r="D127" s="310">
        <v>46120</v>
      </c>
      <c r="E127" s="311">
        <v>4441000410</v>
      </c>
      <c r="F127" s="302">
        <v>1</v>
      </c>
      <c r="G127" s="313">
        <v>4497230500</v>
      </c>
      <c r="H127" s="302">
        <v>2</v>
      </c>
      <c r="I127" s="399" t="str">
        <f>INDEX(База[],MATCH(Комплекты[[#This Row],[Обозначение]],База[Артикул],0),MATCH(I$2,База[#Headers],0))</f>
        <v>Кабель датчика АБС, 5 м</v>
      </c>
      <c r="J127" s="399" t="str">
        <f>INDEX(База[],MATCH(Комплекты[[#This Row],[Комплект]],База[Артикул],0),MATCH("наименование",База[#Headers],0))</f>
        <v>Комплект "EBS ПТ"</v>
      </c>
      <c r="K127" s="399"/>
      <c r="L12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2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27" s="699" t="str">
        <f>IF(IFERROR(MATCH("нет",Комплекты[[#This Row],[   ]:[АВТОВИК]],0)&gt;0,),"НЕТ","ОК")</f>
        <v>ОК</v>
      </c>
      <c r="O127" s="699"/>
      <c r="P12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2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2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2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2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2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2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2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28" spans="1:23">
      <c r="A128" s="309">
        <f>ROW()-ROW(Комплекты[[#Headers],[№]])</f>
        <v>126</v>
      </c>
      <c r="B128" s="309" t="str">
        <f>Комплекты[[#This Row],[Пр]]&amp;"_"&amp;Комплекты[[#This Row],[Обозначение]]</f>
        <v>1_4801020640</v>
      </c>
      <c r="C128" s="309">
        <f>COUNTIFS($E$3:Комплекты[[#This Row],[Комплект]],Комплекты[[#This Row],[Комплект]])</f>
        <v>3</v>
      </c>
      <c r="D128" s="310">
        <v>46120</v>
      </c>
      <c r="E128" s="311">
        <v>4441000410</v>
      </c>
      <c r="F128" s="302">
        <v>1</v>
      </c>
      <c r="G128" s="313">
        <v>4801020640</v>
      </c>
      <c r="H128" s="302">
        <v>1</v>
      </c>
      <c r="I128" s="399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128" s="399" t="str">
        <f>INDEX(База[],MATCH(Комплекты[[#This Row],[Комплект]],База[Артикул],0),MATCH("наименование",База[#Headers],0))</f>
        <v>Комплект "EBS ПТ"</v>
      </c>
      <c r="K128" s="399"/>
      <c r="L12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2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28" s="699" t="str">
        <f>IF(IFERROR(MATCH("нет",Комплекты[[#This Row],[   ]:[АВТОВИК]],0)&gt;0,),"НЕТ","ОК")</f>
        <v>ОК</v>
      </c>
      <c r="O128" s="699"/>
      <c r="P12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2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2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2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2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2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2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2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29" spans="1:23">
      <c r="A129" s="309">
        <f>ROW()-ROW(Комплекты[[#Headers],[№]])</f>
        <v>127</v>
      </c>
      <c r="B129" s="309" t="str">
        <f>Комплекты[[#This Row],[Пр]]&amp;"_"&amp;Комплекты[[#This Row],[Обозначение]]</f>
        <v>1_4334010030</v>
      </c>
      <c r="C129" s="309">
        <f>COUNTIFS($E$3:Комплекты[[#This Row],[Комплект]],Комплекты[[#This Row],[Комплект]])</f>
        <v>1</v>
      </c>
      <c r="D129" s="310">
        <v>45884</v>
      </c>
      <c r="E129" s="311">
        <v>4441000440</v>
      </c>
      <c r="F129" s="302">
        <v>1</v>
      </c>
      <c r="G129" s="313">
        <v>4334010030</v>
      </c>
      <c r="H129" s="302">
        <v>1</v>
      </c>
      <c r="I129" s="399" t="str">
        <f>INDEX(База[],MATCH(Комплекты[[#This Row],[Обозначение]],База[Артикул],0),MATCH(I$2,База[#Headers],0))</f>
        <v>Упругий элемент</v>
      </c>
      <c r="J129" s="399" t="str">
        <f>INDEX(База[],MATCH(Комплекты[[#This Row],[Комплект]],База[Артикул],0),MATCH("наименование",База[#Headers],0))</f>
        <v>Комплект базовый "TEBS 2S/2M (18 м W)"</v>
      </c>
      <c r="K129" s="399"/>
      <c r="L12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2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29" s="699" t="str">
        <f>IF(IFERROR(MATCH("нет",Комплекты[[#This Row],[   ]:[АВТОВИК]],0)&gt;0,),"НЕТ","ОК")</f>
        <v>ОК</v>
      </c>
      <c r="O129" s="699"/>
      <c r="P12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2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2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2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2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2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2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2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30" spans="1:23">
      <c r="A130" s="309">
        <f>ROW()-ROW(Комплекты[[#Headers],[№]])</f>
        <v>128</v>
      </c>
      <c r="B130" s="309" t="str">
        <f>Комплекты[[#This Row],[Пр]]&amp;"_"&amp;Комплекты[[#This Row],[Обозначение]]</f>
        <v>1_4497230500</v>
      </c>
      <c r="C130" s="309">
        <f>COUNTIFS($E$3:Комплекты[[#This Row],[Комплект]],Комплекты[[#This Row],[Комплект]])</f>
        <v>2</v>
      </c>
      <c r="D130" s="310">
        <v>45884</v>
      </c>
      <c r="E130" s="311">
        <v>4441000440</v>
      </c>
      <c r="F130" s="302">
        <v>1</v>
      </c>
      <c r="G130" s="313">
        <v>4497230500</v>
      </c>
      <c r="H130" s="302">
        <v>2</v>
      </c>
      <c r="I130" s="399" t="str">
        <f>INDEX(База[],MATCH(Комплекты[[#This Row],[Обозначение]],База[Артикул],0),MATCH(I$2,База[#Headers],0))</f>
        <v>Кабель датчика АБС, 5 м</v>
      </c>
      <c r="J130" s="399" t="str">
        <f>INDEX(База[],MATCH(Комплекты[[#This Row],[Комплект]],База[Артикул],0),MATCH("наименование",База[#Headers],0))</f>
        <v>Комплект базовый "TEBS 2S/2M (18 м W)"</v>
      </c>
      <c r="K130" s="399"/>
      <c r="L13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3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30" s="699" t="str">
        <f>IF(IFERROR(MATCH("нет",Комплекты[[#This Row],[   ]:[АВТОВИК]],0)&gt;0,),"НЕТ","ОК")</f>
        <v>ОК</v>
      </c>
      <c r="O130" s="699"/>
      <c r="P13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3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3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3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3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3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3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3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31" spans="1:23">
      <c r="A131" s="309">
        <f>ROW()-ROW(Комплекты[[#Headers],[№]])</f>
        <v>129</v>
      </c>
      <c r="B131" s="309" t="str">
        <f>Комплекты[[#This Row],[Пр]]&amp;"_"&amp;Комплекты[[#This Row],[Обозначение]]</f>
        <v>1_4630320200</v>
      </c>
      <c r="C131" s="309">
        <f>COUNTIFS($E$3:Комплекты[[#This Row],[Комплект]],Комплекты[[#This Row],[Комплект]])</f>
        <v>3</v>
      </c>
      <c r="D131" s="310">
        <v>45884</v>
      </c>
      <c r="E131" s="311">
        <v>4441000440</v>
      </c>
      <c r="F131" s="302">
        <v>1</v>
      </c>
      <c r="G131" s="313">
        <v>4630320200</v>
      </c>
      <c r="H131" s="302">
        <v>1</v>
      </c>
      <c r="I131" s="399" t="str">
        <f>INDEX(База[],MATCH(Комплекты[[#This Row],[Обозначение]],База[Артикул],0),MATCH(I$2,База[#Headers],0))</f>
        <v>Кран ручного управления</v>
      </c>
      <c r="J131" s="399" t="str">
        <f>INDEX(База[],MATCH(Комплекты[[#This Row],[Комплект]],База[Артикул],0),MATCH("наименование",База[#Headers],0))</f>
        <v>Комплект базовый "TEBS 2S/2M (18 м W)"</v>
      </c>
      <c r="K131" s="399"/>
      <c r="L13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3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31" s="699" t="str">
        <f>IF(IFERROR(MATCH("нет",Комплекты[[#This Row],[   ]:[АВТОВИК]],0)&gt;0,),"НЕТ","ОК")</f>
        <v>ОК</v>
      </c>
      <c r="O131" s="699"/>
      <c r="P13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3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3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3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3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3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3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3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32" spans="1:23">
      <c r="A132" s="309">
        <f>ROW()-ROW(Комплекты[[#Headers],[№]])</f>
        <v>130</v>
      </c>
      <c r="B132" s="309" t="str">
        <f>Комплекты[[#This Row],[Пр]]&amp;"_"&amp;Комплекты[[#This Row],[Обозначение]]</f>
        <v>1_4640061000</v>
      </c>
      <c r="C132" s="309">
        <f>COUNTIFS($E$3:Комплекты[[#This Row],[Комплект]],Комплекты[[#This Row],[Комплект]])</f>
        <v>4</v>
      </c>
      <c r="D132" s="310">
        <v>45884</v>
      </c>
      <c r="E132" s="311">
        <v>4441000440</v>
      </c>
      <c r="F132" s="302">
        <v>1</v>
      </c>
      <c r="G132" s="313">
        <v>4640061000</v>
      </c>
      <c r="H132" s="302">
        <v>1</v>
      </c>
      <c r="I132" s="399" t="str">
        <f>INDEX(База[],MATCH(Комплекты[[#This Row],[Обозначение]],База[Артикул],0),MATCH(I$2,База[#Headers],0))</f>
        <v>Кран уровня пола</v>
      </c>
      <c r="J132" s="399" t="str">
        <f>INDEX(База[],MATCH(Комплекты[[#This Row],[Комплект]],База[Артикул],0),MATCH("наименование",База[#Headers],0))</f>
        <v>Комплект базовый "TEBS 2S/2M (18 м W)"</v>
      </c>
      <c r="K132" s="399"/>
      <c r="L13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3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32" s="699" t="str">
        <f>IF(IFERROR(MATCH("нет",Комплекты[[#This Row],[   ]:[АВТОВИК]],0)&gt;0,),"НЕТ","ОК")</f>
        <v>ОК</v>
      </c>
      <c r="O132" s="699"/>
      <c r="P13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3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3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3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3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3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3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3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33" spans="1:23">
      <c r="A133" s="309">
        <f>ROW()-ROW(Комплекты[[#Headers],[№]])</f>
        <v>131</v>
      </c>
      <c r="B133" s="309" t="str">
        <f>Комплекты[[#This Row],[Пр]]&amp;"_"&amp;Комплекты[[#This Row],[Обозначение]]</f>
        <v>1_4801020640</v>
      </c>
      <c r="C133" s="309">
        <f>COUNTIFS($E$3:Комплекты[[#This Row],[Комплект]],Комплекты[[#This Row],[Комплект]])</f>
        <v>5</v>
      </c>
      <c r="D133" s="310">
        <v>45884</v>
      </c>
      <c r="E133" s="311">
        <v>4441000440</v>
      </c>
      <c r="F133" s="302">
        <v>1</v>
      </c>
      <c r="G133" s="313">
        <v>4801020640</v>
      </c>
      <c r="H133" s="302">
        <v>1</v>
      </c>
      <c r="I133" s="399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133" s="399" t="str">
        <f>INDEX(База[],MATCH(Комплекты[[#This Row],[Комплект]],База[Артикул],0),MATCH("наименование",База[#Headers],0))</f>
        <v>Комплект базовый "TEBS 2S/2M (18 м W)"</v>
      </c>
      <c r="K133" s="399"/>
      <c r="L13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3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33" s="699" t="str">
        <f>IF(IFERROR(MATCH("нет",Комплекты[[#This Row],[   ]:[АВТОВИК]],0)&gt;0,),"НЕТ","ОК")</f>
        <v>ОК</v>
      </c>
      <c r="O133" s="699"/>
      <c r="P13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3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3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3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3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3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3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3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34" spans="1:23">
      <c r="A134" s="309">
        <f>ROW()-ROW(Комплекты[[#Headers],[№]])</f>
        <v>132</v>
      </c>
      <c r="B134" s="309" t="str">
        <f>Комплекты[[#This Row],[Пр]]&amp;"_"&amp;Комплекты[[#This Row],[Обозначение]]</f>
        <v>1_9522010010</v>
      </c>
      <c r="C134" s="309">
        <f>COUNTIFS($E$3:Комплекты[[#This Row],[Комплект]],Комплекты[[#This Row],[Комплект]])</f>
        <v>6</v>
      </c>
      <c r="D134" s="310">
        <v>45884</v>
      </c>
      <c r="E134" s="311">
        <v>4441000440</v>
      </c>
      <c r="F134" s="302">
        <v>1</v>
      </c>
      <c r="G134" s="313">
        <v>9522010010</v>
      </c>
      <c r="H134" s="302">
        <v>1</v>
      </c>
      <c r="I134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134" s="399" t="str">
        <f>INDEX(База[],MATCH(Комплекты[[#This Row],[Комплект]],База[Артикул],0),MATCH("наименование",База[#Headers],0))</f>
        <v>Комплект базовый "TEBS 2S/2M (18 м W)"</v>
      </c>
      <c r="K134" s="399"/>
      <c r="L13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3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34" s="699" t="str">
        <f>IF(IFERROR(MATCH("нет",Комплекты[[#This Row],[   ]:[АВТОВИК]],0)&gt;0,),"НЕТ","ОК")</f>
        <v>ОК</v>
      </c>
      <c r="O134" s="699"/>
      <c r="P13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3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3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3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3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3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3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3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35" spans="1:23">
      <c r="A135" s="309">
        <f>ROW()-ROW(Комплекты[[#Headers],[№]])</f>
        <v>133</v>
      </c>
      <c r="B135" s="309" t="str">
        <f>Комплекты[[#This Row],[Пр]]&amp;"_"&amp;Комплекты[[#This Row],[Обозначение]]</f>
        <v>1_9522010020</v>
      </c>
      <c r="C135" s="309">
        <f>COUNTIFS($E$3:Комплекты[[#This Row],[Комплект]],Комплекты[[#This Row],[Комплект]])</f>
        <v>7</v>
      </c>
      <c r="D135" s="310">
        <v>45884</v>
      </c>
      <c r="E135" s="311">
        <v>4441000440</v>
      </c>
      <c r="F135" s="302">
        <v>1</v>
      </c>
      <c r="G135" s="313">
        <v>9522010020</v>
      </c>
      <c r="H135" s="302">
        <v>1</v>
      </c>
      <c r="I135" s="399" t="str">
        <f>INDEX(База[],MATCH(Комплекты[[#This Row],[Обозначение]],База[Артикул],0),MATCH(I$2,База[#Headers],0))</f>
        <v>Головка соединительная (питающая)</v>
      </c>
      <c r="J135" s="399" t="str">
        <f>INDEX(База[],MATCH(Комплекты[[#This Row],[Комплект]],База[Артикул],0),MATCH("наименование",База[#Headers],0))</f>
        <v>Комплект базовый "TEBS 2S/2M (18 м W)"</v>
      </c>
      <c r="K135" s="399"/>
      <c r="L13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3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35" s="699" t="str">
        <f>IF(IFERROR(MATCH("нет",Комплекты[[#This Row],[   ]:[АВТОВИК]],0)&gt;0,),"НЕТ","ОК")</f>
        <v>ОК</v>
      </c>
      <c r="O135" s="699"/>
      <c r="P13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3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3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3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3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3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3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3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36" spans="1:23">
      <c r="A136" s="309">
        <f>ROW()-ROW(Комплекты[[#Headers],[№]])</f>
        <v>134</v>
      </c>
      <c r="B136" s="309" t="str">
        <f>Комплекты[[#This Row],[Пр]]&amp;"_"&amp;Комплекты[[#This Row],[Обозначение]]</f>
        <v>1_9710029000</v>
      </c>
      <c r="C136" s="309">
        <f>COUNTIFS($E$3:Комплекты[[#This Row],[Комплект]],Комплекты[[#This Row],[Комплект]])</f>
        <v>8</v>
      </c>
      <c r="D136" s="310">
        <v>45884</v>
      </c>
      <c r="E136" s="311">
        <v>4441000440</v>
      </c>
      <c r="F136" s="302">
        <v>1</v>
      </c>
      <c r="G136" s="313">
        <v>9710029000</v>
      </c>
      <c r="H136" s="302">
        <v>1</v>
      </c>
      <c r="I136" s="399" t="str">
        <f>INDEX(База[],MATCH(Комплекты[[#This Row],[Обозначение]],База[Артикул],0),MATCH(I$2,База[#Headers],0))</f>
        <v>Воздухораспределитель с клапаном растормаживания</v>
      </c>
      <c r="J136" s="399" t="str">
        <f>INDEX(База[],MATCH(Комплекты[[#This Row],[Комплект]],База[Артикул],0),MATCH("наименование",База[#Headers],0))</f>
        <v>Комплект базовый "TEBS 2S/2M (18 м W)"</v>
      </c>
      <c r="K136" s="399"/>
      <c r="L13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3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36" s="699" t="str">
        <f>IF(IFERROR(MATCH("нет",Комплекты[[#This Row],[   ]:[АВТОВИК]],0)&gt;0,),"НЕТ","ОК")</f>
        <v>ОК</v>
      </c>
      <c r="O136" s="699"/>
      <c r="P13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3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3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3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3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3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3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3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37" spans="1:23">
      <c r="A137" s="309">
        <f>ROW()-ROW(Комплекты[[#Headers],[№]])</f>
        <v>135</v>
      </c>
      <c r="B137" s="309" t="str">
        <f>Комплекты[[#This Row],[Пр]]&amp;"_"&amp;Комплекты[[#This Row],[Обозначение]]</f>
        <v>2_4460084042</v>
      </c>
      <c r="C137" s="309">
        <f>COUNTIFS($E$3:Комплекты[[#This Row],[Комплект]],Комплекты[[#This Row],[Комплект]])</f>
        <v>9</v>
      </c>
      <c r="D137" s="310">
        <v>45884</v>
      </c>
      <c r="E137" s="311">
        <v>4441000440</v>
      </c>
      <c r="F137" s="302">
        <v>2</v>
      </c>
      <c r="G137" s="313">
        <v>4460084042</v>
      </c>
      <c r="H137" s="302">
        <v>1</v>
      </c>
      <c r="I137" s="399" t="str">
        <f>INDEX(База[],MATCH(Комплекты[[#This Row],[Обозначение]],База[Артикул],0),MATCH(I$2,База[#Headers],0))</f>
        <v>Розетка АБС (7 контактов)</v>
      </c>
      <c r="J137" s="399" t="str">
        <f>INDEX(База[],MATCH(Комплекты[[#This Row],[Комплект]],База[Артикул],0),MATCH("наименование",База[#Headers],0))</f>
        <v>Комплект базовый "TEBS 2S/2M (18 м W)"</v>
      </c>
      <c r="K137" s="399"/>
      <c r="L13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3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37" s="699" t="str">
        <f>IF(IFERROR(MATCH("нет",Комплекты[[#This Row],[   ]:[АВТОВИК]],0)&gt;0,),"НЕТ","ОК")</f>
        <v>ОК</v>
      </c>
      <c r="O137" s="699"/>
      <c r="P13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3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3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3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3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3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3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3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38" spans="1:23">
      <c r="A138" s="309">
        <f>ROW()-ROW(Комплекты[[#Headers],[№]])</f>
        <v>136</v>
      </c>
      <c r="B138" s="309" t="str">
        <f>Комплекты[[#This Row],[Пр]]&amp;"_"&amp;Комплекты[[#This Row],[Обозначение]]</f>
        <v>2_4493711800</v>
      </c>
      <c r="C138" s="309">
        <f>COUNTIFS($E$3:Комплекты[[#This Row],[Комплект]],Комплекты[[#This Row],[Комплект]])</f>
        <v>10</v>
      </c>
      <c r="D138" s="310">
        <v>45884</v>
      </c>
      <c r="E138" s="311">
        <v>4441000440</v>
      </c>
      <c r="F138" s="302">
        <v>2</v>
      </c>
      <c r="G138" s="313">
        <v>4493711800</v>
      </c>
      <c r="H138" s="302">
        <v>1</v>
      </c>
      <c r="I138" s="399" t="str">
        <f>INDEX(База[],MATCH(Комплекты[[#This Row],[Обозначение]],База[Артикул],0),MATCH(I$2,База[#Headers],0))</f>
        <v>Кабель питания, 18 м</v>
      </c>
      <c r="J138" s="399" t="str">
        <f>INDEX(База[],MATCH(Комплекты[[#This Row],[Комплект]],База[Артикул],0),MATCH("наименование",База[#Headers],0))</f>
        <v>Комплект базовый "TEBS 2S/2M (18 м W)"</v>
      </c>
      <c r="K138" s="399"/>
      <c r="L13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3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38" s="699" t="str">
        <f>IF(IFERROR(MATCH("нет",Комплекты[[#This Row],[   ]:[АВТОВИК]],0)&gt;0,),"НЕТ","ОК")</f>
        <v>ОК</v>
      </c>
      <c r="O138" s="699"/>
      <c r="P13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3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3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3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3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3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3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3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39" spans="1:23">
      <c r="A139" s="309">
        <f>ROW()-ROW(Комплекты[[#Headers],[№]])</f>
        <v>137</v>
      </c>
      <c r="B139" s="309" t="str">
        <f>Комплекты[[#This Row],[Пр]]&amp;"_"&amp;Комплекты[[#This Row],[Обозначение]]</f>
        <v>2_4005000880</v>
      </c>
      <c r="C139" s="309">
        <f>COUNTIFS($E$3:Комплекты[[#This Row],[Комплект]],Комплекты[[#This Row],[Комплект]])</f>
        <v>1</v>
      </c>
      <c r="D139" s="310">
        <v>46043</v>
      </c>
      <c r="E139" s="311">
        <v>4441000450</v>
      </c>
      <c r="F139" s="302">
        <v>2</v>
      </c>
      <c r="G139" s="313">
        <v>4005000880</v>
      </c>
      <c r="H139" s="302">
        <v>1</v>
      </c>
      <c r="I139" s="399" t="str">
        <f>INDEX(База[],MATCH(Комплекты[[#This Row],[Обозначение]],База[Артикул],0),MATCH(I$2,База[#Headers],0))</f>
        <v>Модулятор ABS</v>
      </c>
      <c r="J139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39" s="399"/>
      <c r="L13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3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39" s="699" t="str">
        <f>IF(IFERROR(MATCH("нет",Комплекты[[#This Row],[   ]:[АВТОВИК]],0)&gt;0,),"НЕТ","ОК")</f>
        <v>ОК</v>
      </c>
      <c r="O139" s="699"/>
      <c r="P13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3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3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3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3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3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3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3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40" spans="1:23">
      <c r="A140" s="309">
        <f>ROW()-ROW(Комплекты[[#Headers],[№]])</f>
        <v>138</v>
      </c>
      <c r="B140" s="309" t="str">
        <f>Комплекты[[#This Row],[Пр]]&amp;"_"&amp;Комплекты[[#This Row],[Обозначение]]</f>
        <v>2_4491301200</v>
      </c>
      <c r="C140" s="309">
        <f>COUNTIFS($E$3:Комплекты[[#This Row],[Комплект]],Комплекты[[#This Row],[Комплект]])</f>
        <v>2</v>
      </c>
      <c r="D140" s="310">
        <v>46043</v>
      </c>
      <c r="E140" s="311">
        <v>4441000450</v>
      </c>
      <c r="F140" s="302">
        <v>2</v>
      </c>
      <c r="G140" s="313">
        <v>4491301200</v>
      </c>
      <c r="H140" s="302">
        <v>1</v>
      </c>
      <c r="I140" s="399" t="str">
        <f>INDEX(База[],MATCH(Комплекты[[#This Row],[Обозначение]],База[Артикул],0),MATCH(I$2,База[#Headers],0))</f>
        <v>Кабель питания ABS, часть 2, 12 м</v>
      </c>
      <c r="J140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40" s="399"/>
      <c r="L14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4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40" s="699" t="str">
        <f>IF(IFERROR(MATCH("нет",Комплекты[[#This Row],[   ]:[АВТОВИК]],0)&gt;0,),"НЕТ","ОК")</f>
        <v>ОК</v>
      </c>
      <c r="O140" s="699"/>
      <c r="P14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4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4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4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4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4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4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4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41" spans="1:23">
      <c r="A141" s="309">
        <f>ROW()-ROW(Комплекты[[#Headers],[№]])</f>
        <v>139</v>
      </c>
      <c r="B141" s="309" t="str">
        <f>Комплекты[[#This Row],[Пр]]&amp;"_"&amp;Комплекты[[#This Row],[Обозначение]]</f>
        <v>2_4493792810</v>
      </c>
      <c r="C141" s="309">
        <f>COUNTIFS($E$3:Комплекты[[#This Row],[Комплект]],Комплекты[[#This Row],[Комплект]])</f>
        <v>3</v>
      </c>
      <c r="D141" s="310">
        <v>46043</v>
      </c>
      <c r="E141" s="311">
        <v>4441000450</v>
      </c>
      <c r="F141" s="302">
        <v>2</v>
      </c>
      <c r="G141" s="313">
        <v>4493792810</v>
      </c>
      <c r="H141" s="302">
        <v>1</v>
      </c>
      <c r="I141" s="399" t="str">
        <f>INDEX(База[],MATCH(Комплекты[[#This Row],[Обозначение]],База[Артикул],0),MATCH(I$2,База[#Headers],0))</f>
        <v>Кабель питания ABS, часть 1</v>
      </c>
      <c r="J141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41" s="399"/>
      <c r="L14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4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41" s="699" t="str">
        <f>IF(IFERROR(MATCH("нет",Комплекты[[#This Row],[   ]:[АВТОВИК]],0)&gt;0,),"НЕТ","ОК")</f>
        <v>ОК</v>
      </c>
      <c r="O141" s="699"/>
      <c r="P14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4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4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4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4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4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4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4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42" spans="1:23">
      <c r="A142" s="309">
        <f>ROW()-ROW(Комплекты[[#Headers],[№]])</f>
        <v>140</v>
      </c>
      <c r="B142" s="309" t="str">
        <f>Комплекты[[#This Row],[Пр]]&amp;"_"&amp;Комплекты[[#This Row],[Обозначение]]</f>
        <v>2_4497490300</v>
      </c>
      <c r="C142" s="309">
        <f>COUNTIFS($E$3:Комплекты[[#This Row],[Комплект]],Комплекты[[#This Row],[Комплект]])</f>
        <v>4</v>
      </c>
      <c r="D142" s="310">
        <v>46043</v>
      </c>
      <c r="E142" s="311">
        <v>4441000450</v>
      </c>
      <c r="F142" s="302">
        <v>2</v>
      </c>
      <c r="G142" s="313">
        <v>4497490300</v>
      </c>
      <c r="H142" s="302">
        <v>2</v>
      </c>
      <c r="I142" s="399" t="str">
        <f>INDEX(База[],MATCH(Комплекты[[#This Row],[Обозначение]],База[Артикул],0),MATCH(I$2,База[#Headers],0))</f>
        <v>Кабель-удлинитель датчика ABS, 3 м</v>
      </c>
      <c r="J142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42" s="399"/>
      <c r="L14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4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42" s="699" t="str">
        <f>IF(IFERROR(MATCH("нет",Комплекты[[#This Row],[   ]:[АВТОВИК]],0)&gt;0,),"НЕТ","ОК")</f>
        <v>ОК</v>
      </c>
      <c r="O142" s="699"/>
      <c r="P14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4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4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4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4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4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4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4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43" spans="1:23">
      <c r="A143" s="309">
        <f>ROW()-ROW(Комплекты[[#Headers],[№]])</f>
        <v>141</v>
      </c>
      <c r="B143" s="309" t="str">
        <f>Комплекты[[#This Row],[Пр]]&amp;"_"&amp;Комплекты[[#This Row],[Обозначение]]</f>
        <v>2_9522010010</v>
      </c>
      <c r="C143" s="309">
        <f>COUNTIFS($E$3:Комплекты[[#This Row],[Комплект]],Комплекты[[#This Row],[Комплект]])</f>
        <v>5</v>
      </c>
      <c r="D143" s="310">
        <v>46043</v>
      </c>
      <c r="E143" s="311">
        <v>4441000450</v>
      </c>
      <c r="F143" s="302">
        <v>2</v>
      </c>
      <c r="G143" s="313">
        <v>9522010010</v>
      </c>
      <c r="H143" s="302">
        <v>1</v>
      </c>
      <c r="I143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143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43" s="399"/>
      <c r="L14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4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43" s="699" t="str">
        <f>IF(IFERROR(MATCH("нет",Комплекты[[#This Row],[   ]:[АВТОВИК]],0)&gt;0,),"НЕТ","ОК")</f>
        <v>ОК</v>
      </c>
      <c r="O143" s="699"/>
      <c r="P14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4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4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4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4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4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4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4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44" spans="1:23">
      <c r="A144" s="309">
        <f>ROW()-ROW(Комплекты[[#Headers],[№]])</f>
        <v>142</v>
      </c>
      <c r="B144" s="309" t="str">
        <f>Комплекты[[#This Row],[Пр]]&amp;"_"&amp;Комплекты[[#This Row],[Обозначение]]</f>
        <v>2_9522010020</v>
      </c>
      <c r="C144" s="309">
        <f>COUNTIFS($E$3:Комплекты[[#This Row],[Комплект]],Комплекты[[#This Row],[Комплект]])</f>
        <v>6</v>
      </c>
      <c r="D144" s="310">
        <v>46043</v>
      </c>
      <c r="E144" s="311">
        <v>4441000450</v>
      </c>
      <c r="F144" s="302">
        <v>2</v>
      </c>
      <c r="G144" s="313">
        <v>9522010020</v>
      </c>
      <c r="H144" s="302">
        <v>1</v>
      </c>
      <c r="I144" s="399" t="str">
        <f>INDEX(База[],MATCH(Комплекты[[#This Row],[Обозначение]],База[Артикул],0),MATCH(I$2,База[#Headers],0))</f>
        <v>Головка соединительная (питающая)</v>
      </c>
      <c r="J144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44" s="399"/>
      <c r="L14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4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44" s="699" t="str">
        <f>IF(IFERROR(MATCH("нет",Комплекты[[#This Row],[   ]:[АВТОВИК]],0)&gt;0,),"НЕТ","ОК")</f>
        <v>ОК</v>
      </c>
      <c r="O144" s="699"/>
      <c r="P14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4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4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4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4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4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4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4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45" spans="1:23">
      <c r="A145" s="309">
        <f>ROW()-ROW(Комплекты[[#Headers],[№]])</f>
        <v>143</v>
      </c>
      <c r="B145" s="309" t="str">
        <f>Комплекты[[#This Row],[Пр]]&amp;"_"&amp;Комплекты[[#This Row],[Обозначение]]</f>
        <v>2_9710020400</v>
      </c>
      <c r="C145" s="309">
        <f>COUNTIFS($E$3:Комплекты[[#This Row],[Комплект]],Комплекты[[#This Row],[Комплект]])</f>
        <v>7</v>
      </c>
      <c r="D145" s="310">
        <v>46043</v>
      </c>
      <c r="E145" s="311">
        <v>4441000450</v>
      </c>
      <c r="F145" s="302">
        <v>2</v>
      </c>
      <c r="G145" s="313">
        <v>9710020400</v>
      </c>
      <c r="H145" s="302">
        <v>1</v>
      </c>
      <c r="I145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145" s="399" t="str">
        <f>INDEX(База[],MATCH(Комплекты[[#This Row],[Комплект]],База[Артикул],0),MATCH("наименование",База[#Headers],0))</f>
        <v>Комплект базовый "ABS W 2S/2M (12 м)"</v>
      </c>
      <c r="K145" s="399"/>
      <c r="L14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4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45" s="699" t="str">
        <f>IF(IFERROR(MATCH("нет",Комплекты[[#This Row],[   ]:[АВТОВИК]],0)&gt;0,),"НЕТ","ОК")</f>
        <v>ОК</v>
      </c>
      <c r="O145" s="699"/>
      <c r="P14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4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4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4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4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4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4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4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46" spans="1:23">
      <c r="A146" s="309">
        <f>ROW()-ROW(Комплекты[[#Headers],[№]])</f>
        <v>144</v>
      </c>
      <c r="B146" s="309" t="str">
        <f>Комплекты[[#This Row],[Пр]]&amp;"_"&amp;Комплекты[[#This Row],[Обозначение]]</f>
        <v>2_4005000880</v>
      </c>
      <c r="C146" s="309">
        <f>COUNTIFS($E$3:Комплекты[[#This Row],[Комплект]],Комплекты[[#This Row],[Комплект]])</f>
        <v>1</v>
      </c>
      <c r="D146" s="310">
        <v>46043</v>
      </c>
      <c r="E146" s="311">
        <v>4441000460</v>
      </c>
      <c r="F146" s="302">
        <v>2</v>
      </c>
      <c r="G146" s="313">
        <v>4005000880</v>
      </c>
      <c r="H146" s="302">
        <v>1</v>
      </c>
      <c r="I146" s="399" t="str">
        <f>INDEX(База[],MATCH(Комплекты[[#This Row],[Обозначение]],База[Артикул],0),MATCH(I$2,База[#Headers],0))</f>
        <v>Модулятор ABS</v>
      </c>
      <c r="J146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146" s="399"/>
      <c r="L14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4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46" s="699" t="str">
        <f>IF(IFERROR(MATCH("нет",Комплекты[[#This Row],[   ]:[АВТОВИК]],0)&gt;0,),"НЕТ","ОК")</f>
        <v>ОК</v>
      </c>
      <c r="O146" s="699"/>
      <c r="P14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4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4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4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4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4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4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4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47" spans="1:23">
      <c r="A147" s="314">
        <f>ROW()-ROW(Комплекты[[#Headers],[№]])</f>
        <v>145</v>
      </c>
      <c r="B147" s="314" t="str">
        <f>Комплекты[[#This Row],[Пр]]&amp;"_"&amp;Комплекты[[#This Row],[Обозначение]]</f>
        <v>2_4491301200</v>
      </c>
      <c r="C147" s="314">
        <f>COUNTIFS($E$3:Комплекты[[#This Row],[Комплект]],Комплекты[[#This Row],[Комплект]])</f>
        <v>2</v>
      </c>
      <c r="D147" s="315">
        <v>46043</v>
      </c>
      <c r="E147" s="316">
        <v>4441000460</v>
      </c>
      <c r="F147" s="303">
        <v>2</v>
      </c>
      <c r="G147" s="317">
        <v>4491301200</v>
      </c>
      <c r="H147" s="303">
        <v>1</v>
      </c>
      <c r="I147" s="705" t="str">
        <f>INDEX(База[],MATCH(Комплекты[[#This Row],[Обозначение]],База[Артикул],0),MATCH(I$2,База[#Headers],0))</f>
        <v>Кабель питания ABS, часть 2, 12 м</v>
      </c>
      <c r="J147" s="705" t="str">
        <f>INDEX(База[],MATCH(Комплекты[[#This Row],[Комплект]],База[Артикул],0),MATCH("наименование",База[#Headers],0))</f>
        <v>Комплект базовый "ABS W 4S/2M (12 м)"</v>
      </c>
      <c r="K147" s="705"/>
      <c r="L147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47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47" s="707" t="str">
        <f>IF(IFERROR(MATCH("нет",Комплекты[[#This Row],[   ]:[АВТОВИК]],0)&gt;0,),"НЕТ","ОК")</f>
        <v>ОК</v>
      </c>
      <c r="O147" s="707"/>
      <c r="P147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47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47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47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47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47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47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47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48" spans="1:23">
      <c r="A148" s="309">
        <f>ROW()-ROW(Комплекты[[#Headers],[№]])</f>
        <v>146</v>
      </c>
      <c r="B148" s="309" t="str">
        <f>Комплекты[[#This Row],[Пр]]&amp;"_"&amp;Комплекты[[#This Row],[Обозначение]]</f>
        <v>2_4493792810</v>
      </c>
      <c r="C148" s="309">
        <f>COUNTIFS($E$3:Комплекты[[#This Row],[Комплект]],Комплекты[[#This Row],[Комплект]])</f>
        <v>3</v>
      </c>
      <c r="D148" s="310">
        <v>46043</v>
      </c>
      <c r="E148" s="311">
        <v>4441000460</v>
      </c>
      <c r="F148" s="302">
        <v>2</v>
      </c>
      <c r="G148" s="313">
        <v>4493792810</v>
      </c>
      <c r="H148" s="302">
        <v>1</v>
      </c>
      <c r="I148" s="399" t="str">
        <f>INDEX(База[],MATCH(Комплекты[[#This Row],[Обозначение]],База[Артикул],0),MATCH(I$2,База[#Headers],0))</f>
        <v>Кабель питания ABS, часть 1</v>
      </c>
      <c r="J148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148" s="399"/>
      <c r="L14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4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48" s="699" t="str">
        <f>IF(IFERROR(MATCH("нет",Комплекты[[#This Row],[   ]:[АВТОВИК]],0)&gt;0,),"НЕТ","ОК")</f>
        <v>ОК</v>
      </c>
      <c r="O148" s="699"/>
      <c r="P14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4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4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4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4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4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4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4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49" spans="1:23">
      <c r="A149" s="309">
        <f>ROW()-ROW(Комплекты[[#Headers],[№]])</f>
        <v>147</v>
      </c>
      <c r="B149" s="309" t="str">
        <f>Комплекты[[#This Row],[Пр]]&amp;"_"&amp;Комплекты[[#This Row],[Обозначение]]</f>
        <v>2_4497490300</v>
      </c>
      <c r="C149" s="309">
        <f>COUNTIFS($E$3:Комплекты[[#This Row],[Комплект]],Комплекты[[#This Row],[Комплект]])</f>
        <v>4</v>
      </c>
      <c r="D149" s="310">
        <v>46043</v>
      </c>
      <c r="E149" s="311">
        <v>4441000460</v>
      </c>
      <c r="F149" s="302">
        <v>2</v>
      </c>
      <c r="G149" s="313">
        <v>4497490300</v>
      </c>
      <c r="H149" s="302">
        <v>4</v>
      </c>
      <c r="I149" s="399" t="str">
        <f>INDEX(База[],MATCH(Комплекты[[#This Row],[Обозначение]],База[Артикул],0),MATCH(I$2,База[#Headers],0))</f>
        <v>Кабель-удлинитель датчика ABS, 3 м</v>
      </c>
      <c r="J149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149" s="399"/>
      <c r="L14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4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49" s="699" t="str">
        <f>IF(IFERROR(MATCH("нет",Комплекты[[#This Row],[   ]:[АВТОВИК]],0)&gt;0,),"НЕТ","ОК")</f>
        <v>ОК</v>
      </c>
      <c r="O149" s="699"/>
      <c r="P14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4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4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4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4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4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4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4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50" spans="1:23">
      <c r="A150" s="309">
        <f>ROW()-ROW(Комплекты[[#Headers],[№]])</f>
        <v>148</v>
      </c>
      <c r="B150" s="309" t="str">
        <f>Комплекты[[#This Row],[Пр]]&amp;"_"&amp;Комплекты[[#This Row],[Обозначение]]</f>
        <v>2_9522010010</v>
      </c>
      <c r="C150" s="309">
        <f>COUNTIFS($E$3:Комплекты[[#This Row],[Комплект]],Комплекты[[#This Row],[Комплект]])</f>
        <v>5</v>
      </c>
      <c r="D150" s="310">
        <v>46043</v>
      </c>
      <c r="E150" s="311">
        <v>4441000460</v>
      </c>
      <c r="F150" s="302">
        <v>2</v>
      </c>
      <c r="G150" s="313">
        <v>9522010010</v>
      </c>
      <c r="H150" s="302">
        <v>1</v>
      </c>
      <c r="I150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150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150" s="399"/>
      <c r="L15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5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50" s="699" t="str">
        <f>IF(IFERROR(MATCH("нет",Комплекты[[#This Row],[   ]:[АВТОВИК]],0)&gt;0,),"НЕТ","ОК")</f>
        <v>ОК</v>
      </c>
      <c r="O150" s="699"/>
      <c r="P15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5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5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5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5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5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5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5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51" spans="1:23">
      <c r="A151" s="309">
        <f>ROW()-ROW(Комплекты[[#Headers],[№]])</f>
        <v>149</v>
      </c>
      <c r="B151" s="309" t="str">
        <f>Комплекты[[#This Row],[Пр]]&amp;"_"&amp;Комплекты[[#This Row],[Обозначение]]</f>
        <v>2_9522010020</v>
      </c>
      <c r="C151" s="309">
        <f>COUNTIFS($E$3:Комплекты[[#This Row],[Комплект]],Комплекты[[#This Row],[Комплект]])</f>
        <v>6</v>
      </c>
      <c r="D151" s="310">
        <v>46043</v>
      </c>
      <c r="E151" s="311">
        <v>4441000460</v>
      </c>
      <c r="F151" s="302">
        <v>2</v>
      </c>
      <c r="G151" s="313">
        <v>9522010020</v>
      </c>
      <c r="H151" s="302">
        <v>1</v>
      </c>
      <c r="I151" s="399" t="str">
        <f>INDEX(База[],MATCH(Комплекты[[#This Row],[Обозначение]],База[Артикул],0),MATCH(I$2,База[#Headers],0))</f>
        <v>Головка соединительная (питающая)</v>
      </c>
      <c r="J151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151" s="399"/>
      <c r="L15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5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51" s="699" t="str">
        <f>IF(IFERROR(MATCH("нет",Комплекты[[#This Row],[   ]:[АВТОВИК]],0)&gt;0,),"НЕТ","ОК")</f>
        <v>ОК</v>
      </c>
      <c r="O151" s="699"/>
      <c r="P15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5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5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5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5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5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5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5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52" spans="1:23">
      <c r="A152" s="309">
        <f>ROW()-ROW(Комплекты[[#Headers],[№]])</f>
        <v>150</v>
      </c>
      <c r="B152" s="309" t="str">
        <f>Комплекты[[#This Row],[Пр]]&amp;"_"&amp;Комплекты[[#This Row],[Обозначение]]</f>
        <v>2_9710020400</v>
      </c>
      <c r="C152" s="309">
        <f>COUNTIFS($E$3:Комплекты[[#This Row],[Комплект]],Комплекты[[#This Row],[Комплект]])</f>
        <v>7</v>
      </c>
      <c r="D152" s="310">
        <v>46043</v>
      </c>
      <c r="E152" s="311">
        <v>4441000460</v>
      </c>
      <c r="F152" s="302">
        <v>2</v>
      </c>
      <c r="G152" s="313">
        <v>9710020400</v>
      </c>
      <c r="H152" s="302">
        <v>1</v>
      </c>
      <c r="I152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152" s="399" t="str">
        <f>INDEX(База[],MATCH(Комплекты[[#This Row],[Комплект]],База[Артикул],0),MATCH("наименование",База[#Headers],0))</f>
        <v>Комплект базовый "ABS W 4S/2M (12 м)"</v>
      </c>
      <c r="K152" s="399"/>
      <c r="L15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5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52" s="699" t="str">
        <f>IF(IFERROR(MATCH("нет",Комплекты[[#This Row],[   ]:[АВТОВИК]],0)&gt;0,),"НЕТ","ОК")</f>
        <v>ОК</v>
      </c>
      <c r="O152" s="699"/>
      <c r="P15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5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5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5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5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5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5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5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53" spans="1:23">
      <c r="A153" s="309">
        <f>ROW()-ROW(Комплекты[[#Headers],[№]])</f>
        <v>151</v>
      </c>
      <c r="B153" s="309" t="str">
        <f>Комплекты[[#This Row],[Пр]]&amp;"_"&amp;Комплекты[[#This Row],[Обозначение]]</f>
        <v>1_4496161560</v>
      </c>
      <c r="C153" s="309">
        <f>COUNTIFS($E$3:Комплекты[[#This Row],[Комплект]],Комплекты[[#This Row],[Комплект]])</f>
        <v>1</v>
      </c>
      <c r="D153" s="310">
        <v>46043</v>
      </c>
      <c r="E153" s="311">
        <v>4441000470</v>
      </c>
      <c r="F153" s="302">
        <v>1</v>
      </c>
      <c r="G153" s="313">
        <v>4496161560</v>
      </c>
      <c r="H153" s="302">
        <v>1</v>
      </c>
      <c r="I153" s="399" t="str">
        <f>INDEX(База[],MATCH(Комплекты[[#This Row],[Обозначение]],База[Артикул],0),MATCH(I$2,База[#Headers],0))</f>
        <v>Кабель ускорительного клапана ABS / диа., 10 м / 3 м</v>
      </c>
      <c r="J153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153" s="399"/>
      <c r="L15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5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53" s="699" t="str">
        <f>IF(IFERROR(MATCH("нет",Комплекты[[#This Row],[   ]:[АВТОВИК]],0)&gt;0,),"НЕТ","ОК")</f>
        <v>ОК</v>
      </c>
      <c r="O153" s="699"/>
      <c r="P15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5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5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5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5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5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5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5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54" spans="1:23">
      <c r="A154" s="309">
        <f>ROW()-ROW(Комплекты[[#Headers],[№]])</f>
        <v>152</v>
      </c>
      <c r="B154" s="309" t="str">
        <f>Комплекты[[#This Row],[Пр]]&amp;"_"&amp;Комплекты[[#This Row],[Обозначение]]</f>
        <v>1_4721950310</v>
      </c>
      <c r="C154" s="309">
        <f>COUNTIFS($E$3:Комплекты[[#This Row],[Комплект]],Комплекты[[#This Row],[Комплект]])</f>
        <v>2</v>
      </c>
      <c r="D154" s="310">
        <v>46043</v>
      </c>
      <c r="E154" s="311">
        <v>4441000470</v>
      </c>
      <c r="F154" s="302">
        <v>1</v>
      </c>
      <c r="G154" s="313">
        <v>4721950310</v>
      </c>
      <c r="H154" s="302">
        <v>1</v>
      </c>
      <c r="I154" s="399" t="str">
        <f>INDEX(База[],MATCH(Комплекты[[#This Row],[Обозначение]],База[Артикул],0),MATCH(I$2,База[#Headers],0))</f>
        <v>Ускорительный клапан ABS</v>
      </c>
      <c r="J154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154" s="399"/>
      <c r="L15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5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54" s="699" t="str">
        <f>IF(IFERROR(MATCH("нет",Комплекты[[#This Row],[   ]:[АВТОВИК]],0)&gt;0,),"НЕТ","ОК")</f>
        <v>ОК</v>
      </c>
      <c r="O154" s="699"/>
      <c r="P15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5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5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5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5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5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5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5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55" spans="1:23">
      <c r="A155" s="309">
        <f>ROW()-ROW(Комплекты[[#Headers],[№]])</f>
        <v>153</v>
      </c>
      <c r="B155" s="309" t="str">
        <f>Комплекты[[#This Row],[Пр]]&amp;"_"&amp;Комплекты[[#This Row],[Обозначение]]</f>
        <v>2_4005000880</v>
      </c>
      <c r="C155" s="309">
        <f>COUNTIFS($E$3:Комплекты[[#This Row],[Комплект]],Комплекты[[#This Row],[Комплект]])</f>
        <v>3</v>
      </c>
      <c r="D155" s="310">
        <v>46043</v>
      </c>
      <c r="E155" s="311">
        <v>4441000470</v>
      </c>
      <c r="F155" s="302">
        <v>2</v>
      </c>
      <c r="G155" s="313">
        <v>4005000880</v>
      </c>
      <c r="H155" s="302">
        <v>1</v>
      </c>
      <c r="I155" s="399" t="str">
        <f>INDEX(База[],MATCH(Комплекты[[#This Row],[Обозначение]],База[Артикул],0),MATCH(I$2,База[#Headers],0))</f>
        <v>Модулятор ABS</v>
      </c>
      <c r="J155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155" s="399"/>
      <c r="L15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5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55" s="699" t="str">
        <f>IF(IFERROR(MATCH("нет",Комплекты[[#This Row],[   ]:[АВТОВИК]],0)&gt;0,),"НЕТ","ОК")</f>
        <v>ОК</v>
      </c>
      <c r="O155" s="699"/>
      <c r="P15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5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5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5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5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5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5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5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56" spans="1:23">
      <c r="A156" s="309">
        <f>ROW()-ROW(Комплекты[[#Headers],[№]])</f>
        <v>154</v>
      </c>
      <c r="B156" s="309" t="str">
        <f>Комплекты[[#This Row],[Пр]]&amp;"_"&amp;Комплекты[[#This Row],[Обозначение]]</f>
        <v>2_4491301200</v>
      </c>
      <c r="C156" s="309">
        <f>COUNTIFS($E$3:Комплекты[[#This Row],[Комплект]],Комплекты[[#This Row],[Комплект]])</f>
        <v>4</v>
      </c>
      <c r="D156" s="310">
        <v>46043</v>
      </c>
      <c r="E156" s="311">
        <v>4441000470</v>
      </c>
      <c r="F156" s="302">
        <v>2</v>
      </c>
      <c r="G156" s="313">
        <v>4491301200</v>
      </c>
      <c r="H156" s="302">
        <v>1</v>
      </c>
      <c r="I156" s="399" t="str">
        <f>INDEX(База[],MATCH(Комплекты[[#This Row],[Обозначение]],База[Артикул],0),MATCH(I$2,База[#Headers],0))</f>
        <v>Кабель питания ABS, часть 2, 12 м</v>
      </c>
      <c r="J156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156" s="399"/>
      <c r="L15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5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56" s="699" t="str">
        <f>IF(IFERROR(MATCH("нет",Комплекты[[#This Row],[   ]:[АВТОВИК]],0)&gt;0,),"НЕТ","ОК")</f>
        <v>ОК</v>
      </c>
      <c r="O156" s="699"/>
      <c r="P15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5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5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5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5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5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5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5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57" spans="1:23">
      <c r="A157" s="309">
        <f>ROW()-ROW(Комплекты[[#Headers],[№]])</f>
        <v>155</v>
      </c>
      <c r="B157" s="309" t="str">
        <f>Комплекты[[#This Row],[Пр]]&amp;"_"&amp;Комплекты[[#This Row],[Обозначение]]</f>
        <v>2_4493792810</v>
      </c>
      <c r="C157" s="309">
        <f>COUNTIFS($E$3:Комплекты[[#This Row],[Комплект]],Комплекты[[#This Row],[Комплект]])</f>
        <v>5</v>
      </c>
      <c r="D157" s="310">
        <v>46043</v>
      </c>
      <c r="E157" s="311">
        <v>4441000470</v>
      </c>
      <c r="F157" s="302">
        <v>2</v>
      </c>
      <c r="G157" s="313">
        <v>4493792810</v>
      </c>
      <c r="H157" s="302">
        <v>1</v>
      </c>
      <c r="I157" s="399" t="str">
        <f>INDEX(База[],MATCH(Комплекты[[#This Row],[Обозначение]],База[Артикул],0),MATCH(I$2,База[#Headers],0))</f>
        <v>Кабель питания ABS, часть 1</v>
      </c>
      <c r="J157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157" s="399"/>
      <c r="L15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5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57" s="699" t="str">
        <f>IF(IFERROR(MATCH("нет",Комплекты[[#This Row],[   ]:[АВТОВИК]],0)&gt;0,),"НЕТ","ОК")</f>
        <v>ОК</v>
      </c>
      <c r="O157" s="699"/>
      <c r="P15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5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5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5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5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5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5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5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58" spans="1:23">
      <c r="A158" s="309">
        <f>ROW()-ROW(Комплекты[[#Headers],[№]])</f>
        <v>156</v>
      </c>
      <c r="B158" s="309" t="str">
        <f>Комплекты[[#This Row],[Пр]]&amp;"_"&amp;Комплекты[[#This Row],[Обозначение]]</f>
        <v>2_4497490300</v>
      </c>
      <c r="C158" s="309">
        <f>COUNTIFS($E$3:Комплекты[[#This Row],[Комплект]],Комплекты[[#This Row],[Комплект]])</f>
        <v>6</v>
      </c>
      <c r="D158" s="310">
        <v>46043</v>
      </c>
      <c r="E158" s="311">
        <v>4441000470</v>
      </c>
      <c r="F158" s="302">
        <v>2</v>
      </c>
      <c r="G158" s="313">
        <v>4497490300</v>
      </c>
      <c r="H158" s="302">
        <v>4</v>
      </c>
      <c r="I158" s="399" t="str">
        <f>INDEX(База[],MATCH(Комплекты[[#This Row],[Обозначение]],База[Артикул],0),MATCH(I$2,База[#Headers],0))</f>
        <v>Кабель-удлинитель датчика ABS, 3 м</v>
      </c>
      <c r="J158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158" s="399"/>
      <c r="L15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5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58" s="699" t="str">
        <f>IF(IFERROR(MATCH("нет",Комплекты[[#This Row],[   ]:[АВТОВИК]],0)&gt;0,),"НЕТ","ОК")</f>
        <v>ОК</v>
      </c>
      <c r="O158" s="699"/>
      <c r="P15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5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5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5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5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5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5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5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59" spans="1:23">
      <c r="A159" s="309">
        <f>ROW()-ROW(Комплекты[[#Headers],[№]])</f>
        <v>157</v>
      </c>
      <c r="B159" s="309" t="str">
        <f>Комплекты[[#This Row],[Пр]]&amp;"_"&amp;Комплекты[[#This Row],[Обозначение]]</f>
        <v>2_9522010010</v>
      </c>
      <c r="C159" s="309">
        <f>COUNTIFS($E$3:Комплекты[[#This Row],[Комплект]],Комплекты[[#This Row],[Комплект]])</f>
        <v>7</v>
      </c>
      <c r="D159" s="310">
        <v>46043</v>
      </c>
      <c r="E159" s="311">
        <v>4441000470</v>
      </c>
      <c r="F159" s="302">
        <v>2</v>
      </c>
      <c r="G159" s="313">
        <v>9522010010</v>
      </c>
      <c r="H159" s="302">
        <v>1</v>
      </c>
      <c r="I159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159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159" s="399"/>
      <c r="L15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5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59" s="699" t="str">
        <f>IF(IFERROR(MATCH("нет",Комплекты[[#This Row],[   ]:[АВТОВИК]],0)&gt;0,),"НЕТ","ОК")</f>
        <v>ОК</v>
      </c>
      <c r="O159" s="699"/>
      <c r="P15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5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5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5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5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5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5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5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60" spans="1:23">
      <c r="A160" s="309">
        <f>ROW()-ROW(Комплекты[[#Headers],[№]])</f>
        <v>158</v>
      </c>
      <c r="B160" s="309" t="str">
        <f>Комплекты[[#This Row],[Пр]]&amp;"_"&amp;Комплекты[[#This Row],[Обозначение]]</f>
        <v>2_9522010020</v>
      </c>
      <c r="C160" s="309">
        <f>COUNTIFS($E$3:Комплекты[[#This Row],[Комплект]],Комплекты[[#This Row],[Комплект]])</f>
        <v>8</v>
      </c>
      <c r="D160" s="310">
        <v>46043</v>
      </c>
      <c r="E160" s="311">
        <v>4441000470</v>
      </c>
      <c r="F160" s="302">
        <v>2</v>
      </c>
      <c r="G160" s="313">
        <v>9522010020</v>
      </c>
      <c r="H160" s="302">
        <v>1</v>
      </c>
      <c r="I160" s="399" t="str">
        <f>INDEX(База[],MATCH(Комплекты[[#This Row],[Обозначение]],База[Артикул],0),MATCH(I$2,База[#Headers],0))</f>
        <v>Головка соединительная (питающая)</v>
      </c>
      <c r="J160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160" s="399"/>
      <c r="L16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6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60" s="699" t="str">
        <f>IF(IFERROR(MATCH("нет",Комплекты[[#This Row],[   ]:[АВТОВИК]],0)&gt;0,),"НЕТ","ОК")</f>
        <v>ОК</v>
      </c>
      <c r="O160" s="699"/>
      <c r="P16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6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6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6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6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6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6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6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61" spans="1:23">
      <c r="A161" s="309">
        <f>ROW()-ROW(Комплекты[[#Headers],[№]])</f>
        <v>159</v>
      </c>
      <c r="B161" s="309" t="str">
        <f>Комплекты[[#This Row],[Пр]]&amp;"_"&amp;Комплекты[[#This Row],[Обозначение]]</f>
        <v>2_9710020400</v>
      </c>
      <c r="C161" s="309">
        <f>COUNTIFS($E$3:Комплекты[[#This Row],[Комплект]],Комплекты[[#This Row],[Комплект]])</f>
        <v>9</v>
      </c>
      <c r="D161" s="310">
        <v>46043</v>
      </c>
      <c r="E161" s="311">
        <v>4441000470</v>
      </c>
      <c r="F161" s="302">
        <v>2</v>
      </c>
      <c r="G161" s="313">
        <v>9710020400</v>
      </c>
      <c r="H161" s="302">
        <v>1</v>
      </c>
      <c r="I161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161" s="399" t="str">
        <f>INDEX(База[],MATCH(Комплекты[[#This Row],[Комплект]],База[Артикул],0),MATCH("наименование",База[#Headers],0))</f>
        <v>Комплект базовый "ABS W 4S/3M (12 м)"</v>
      </c>
      <c r="K161" s="399"/>
      <c r="L16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6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61" s="699" t="str">
        <f>IF(IFERROR(MATCH("нет",Комплекты[[#This Row],[   ]:[АВТОВИК]],0)&gt;0,),"НЕТ","ОК")</f>
        <v>ОК</v>
      </c>
      <c r="O161" s="699"/>
      <c r="P16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6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6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6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6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6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6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6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62" spans="1:23">
      <c r="A162" s="309">
        <f>ROW()-ROW(Комплекты[[#Headers],[№]])</f>
        <v>160</v>
      </c>
      <c r="B162" s="309" t="str">
        <f>Комплекты[[#This Row],[Пр]]&amp;"_"&amp;Комплекты[[#This Row],[Обозначение]]</f>
        <v>2_4005000880</v>
      </c>
      <c r="C162" s="309">
        <f>COUNTIFS($E$3:Комплекты[[#This Row],[Комплект]],Комплекты[[#This Row],[Комплект]])</f>
        <v>1</v>
      </c>
      <c r="D162" s="310">
        <v>46043</v>
      </c>
      <c r="E162" s="311">
        <v>4441000480</v>
      </c>
      <c r="F162" s="302">
        <v>2</v>
      </c>
      <c r="G162" s="313">
        <v>4005000880</v>
      </c>
      <c r="H162" s="302">
        <v>1</v>
      </c>
      <c r="I162" s="399" t="str">
        <f>INDEX(База[],MATCH(Комплекты[[#This Row],[Обозначение]],База[Артикул],0),MATCH(I$2,База[#Headers],0))</f>
        <v>Модулятор ABS</v>
      </c>
      <c r="J162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162" s="399"/>
      <c r="L16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6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62" s="699" t="str">
        <f>IF(IFERROR(MATCH("нет",Комплекты[[#This Row],[   ]:[АВТОВИК]],0)&gt;0,),"НЕТ","ОК")</f>
        <v>ОК</v>
      </c>
      <c r="O162" s="699"/>
      <c r="P16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6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6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6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6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6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6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6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63" spans="1:23">
      <c r="A163" s="309">
        <f>ROW()-ROW(Комплекты[[#Headers],[№]])</f>
        <v>161</v>
      </c>
      <c r="B163" s="309" t="str">
        <f>Комплекты[[#This Row],[Пр]]&amp;"_"&amp;Комплекты[[#This Row],[Обозначение]]</f>
        <v>2_4491301500</v>
      </c>
      <c r="C163" s="309">
        <f>COUNTIFS($E$3:Комплекты[[#This Row],[Комплект]],Комплекты[[#This Row],[Комплект]])</f>
        <v>2</v>
      </c>
      <c r="D163" s="310">
        <v>46043</v>
      </c>
      <c r="E163" s="311">
        <v>4441000480</v>
      </c>
      <c r="F163" s="302">
        <v>2</v>
      </c>
      <c r="G163" s="313">
        <v>4491301500</v>
      </c>
      <c r="H163" s="302">
        <v>1</v>
      </c>
      <c r="I163" s="399" t="str">
        <f>INDEX(База[],MATCH(Комплекты[[#This Row],[Обозначение]],База[Артикул],0),MATCH(I$2,База[#Headers],0))</f>
        <v>Кабель питания ABS, часть 2, 15 м</v>
      </c>
      <c r="J163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163" s="399"/>
      <c r="L16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6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63" s="699" t="str">
        <f>IF(IFERROR(MATCH("нет",Комплекты[[#This Row],[   ]:[АВТОВИК]],0)&gt;0,),"НЕТ","ОК")</f>
        <v>ОК</v>
      </c>
      <c r="O163" s="699"/>
      <c r="P16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6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6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6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6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6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6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6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64" spans="1:23">
      <c r="A164" s="309">
        <f>ROW()-ROW(Комплекты[[#Headers],[№]])</f>
        <v>162</v>
      </c>
      <c r="B164" s="309" t="str">
        <f>Комплекты[[#This Row],[Пр]]&amp;"_"&amp;Комплекты[[#This Row],[Обозначение]]</f>
        <v>2_4493792810</v>
      </c>
      <c r="C164" s="309">
        <f>COUNTIFS($E$3:Комплекты[[#This Row],[Комплект]],Комплекты[[#This Row],[Комплект]])</f>
        <v>3</v>
      </c>
      <c r="D164" s="310">
        <v>46043</v>
      </c>
      <c r="E164" s="311">
        <v>4441000480</v>
      </c>
      <c r="F164" s="302">
        <v>2</v>
      </c>
      <c r="G164" s="313">
        <v>4493792810</v>
      </c>
      <c r="H164" s="302">
        <v>1</v>
      </c>
      <c r="I164" s="399" t="str">
        <f>INDEX(База[],MATCH(Комплекты[[#This Row],[Обозначение]],База[Артикул],0),MATCH(I$2,База[#Headers],0))</f>
        <v>Кабель питания ABS, часть 1</v>
      </c>
      <c r="J164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164" s="399"/>
      <c r="L16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6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64" s="699" t="str">
        <f>IF(IFERROR(MATCH("нет",Комплекты[[#This Row],[   ]:[АВТОВИК]],0)&gt;0,),"НЕТ","ОК")</f>
        <v>ОК</v>
      </c>
      <c r="O164" s="699"/>
      <c r="P16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6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6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6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6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6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6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6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65" spans="1:23">
      <c r="A165" s="309">
        <f>ROW()-ROW(Комплекты[[#Headers],[№]])</f>
        <v>163</v>
      </c>
      <c r="B165" s="309" t="str">
        <f>Комплекты[[#This Row],[Пр]]&amp;"_"&amp;Комплекты[[#This Row],[Обозначение]]</f>
        <v>2_4497490300</v>
      </c>
      <c r="C165" s="309">
        <f>COUNTIFS($E$3:Комплекты[[#This Row],[Комплект]],Комплекты[[#This Row],[Комплект]])</f>
        <v>4</v>
      </c>
      <c r="D165" s="310">
        <v>46043</v>
      </c>
      <c r="E165" s="311">
        <v>4441000480</v>
      </c>
      <c r="F165" s="302">
        <v>2</v>
      </c>
      <c r="G165" s="313">
        <v>4497490300</v>
      </c>
      <c r="H165" s="302">
        <v>2</v>
      </c>
      <c r="I165" s="399" t="str">
        <f>INDEX(База[],MATCH(Комплекты[[#This Row],[Обозначение]],База[Артикул],0),MATCH(I$2,База[#Headers],0))</f>
        <v>Кабель-удлинитель датчика ABS, 3 м</v>
      </c>
      <c r="J165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165" s="399"/>
      <c r="L16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6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65" s="699" t="str">
        <f>IF(IFERROR(MATCH("нет",Комплекты[[#This Row],[   ]:[АВТОВИК]],0)&gt;0,),"НЕТ","ОК")</f>
        <v>ОК</v>
      </c>
      <c r="O165" s="699"/>
      <c r="P16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6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6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6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6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6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6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6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66" spans="1:23">
      <c r="A166" s="309">
        <f>ROW()-ROW(Комплекты[[#Headers],[№]])</f>
        <v>164</v>
      </c>
      <c r="B166" s="309" t="str">
        <f>Комплекты[[#This Row],[Пр]]&amp;"_"&amp;Комплекты[[#This Row],[Обозначение]]</f>
        <v>2_9522010010</v>
      </c>
      <c r="C166" s="309">
        <f>COUNTIFS($E$3:Комплекты[[#This Row],[Комплект]],Комплекты[[#This Row],[Комплект]])</f>
        <v>5</v>
      </c>
      <c r="D166" s="310">
        <v>46043</v>
      </c>
      <c r="E166" s="311">
        <v>4441000480</v>
      </c>
      <c r="F166" s="302">
        <v>2</v>
      </c>
      <c r="G166" s="313">
        <v>9522010010</v>
      </c>
      <c r="H166" s="302">
        <v>1</v>
      </c>
      <c r="I166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166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166" s="399"/>
      <c r="L16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6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66" s="699" t="str">
        <f>IF(IFERROR(MATCH("нет",Комплекты[[#This Row],[   ]:[АВТОВИК]],0)&gt;0,),"НЕТ","ОК")</f>
        <v>ОК</v>
      </c>
      <c r="O166" s="699"/>
      <c r="P16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6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6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6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6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6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6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6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67" spans="1:23">
      <c r="A167" s="309">
        <f>ROW()-ROW(Комплекты[[#Headers],[№]])</f>
        <v>165</v>
      </c>
      <c r="B167" s="309" t="str">
        <f>Комплекты[[#This Row],[Пр]]&amp;"_"&amp;Комплекты[[#This Row],[Обозначение]]</f>
        <v>2_9522010020</v>
      </c>
      <c r="C167" s="309">
        <f>COUNTIFS($E$3:Комплекты[[#This Row],[Комплект]],Комплекты[[#This Row],[Комплект]])</f>
        <v>6</v>
      </c>
      <c r="D167" s="310">
        <v>46043</v>
      </c>
      <c r="E167" s="311">
        <v>4441000480</v>
      </c>
      <c r="F167" s="302">
        <v>2</v>
      </c>
      <c r="G167" s="313">
        <v>9522010020</v>
      </c>
      <c r="H167" s="302">
        <v>1</v>
      </c>
      <c r="I167" s="399" t="str">
        <f>INDEX(База[],MATCH(Комплекты[[#This Row],[Обозначение]],База[Артикул],0),MATCH(I$2,База[#Headers],0))</f>
        <v>Головка соединительная (питающая)</v>
      </c>
      <c r="J167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167" s="399"/>
      <c r="L16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6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67" s="699" t="str">
        <f>IF(IFERROR(MATCH("нет",Комплекты[[#This Row],[   ]:[АВТОВИК]],0)&gt;0,),"НЕТ","ОК")</f>
        <v>ОК</v>
      </c>
      <c r="O167" s="699"/>
      <c r="P16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6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6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6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6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6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6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6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68" spans="1:23">
      <c r="A168" s="309">
        <f>ROW()-ROW(Комплекты[[#Headers],[№]])</f>
        <v>166</v>
      </c>
      <c r="B168" s="309" t="str">
        <f>Комплекты[[#This Row],[Пр]]&amp;"_"&amp;Комплекты[[#This Row],[Обозначение]]</f>
        <v>2_9710020400</v>
      </c>
      <c r="C168" s="309">
        <f>COUNTIFS($E$3:Комплекты[[#This Row],[Комплект]],Комплекты[[#This Row],[Комплект]])</f>
        <v>7</v>
      </c>
      <c r="D168" s="310">
        <v>46043</v>
      </c>
      <c r="E168" s="311">
        <v>4441000480</v>
      </c>
      <c r="F168" s="302">
        <v>2</v>
      </c>
      <c r="G168" s="313">
        <v>9710020400</v>
      </c>
      <c r="H168" s="302">
        <v>1</v>
      </c>
      <c r="I168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168" s="399" t="str">
        <f>INDEX(База[],MATCH(Комплекты[[#This Row],[Комплект]],База[Артикул],0),MATCH("наименование",База[#Headers],0))</f>
        <v>Комплект базовый "ABS W 2S/2M (15 м)"</v>
      </c>
      <c r="K168" s="399"/>
      <c r="L16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6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68" s="699" t="str">
        <f>IF(IFERROR(MATCH("нет",Комплекты[[#This Row],[   ]:[АВТОВИК]],0)&gt;0,),"НЕТ","ОК")</f>
        <v>ОК</v>
      </c>
      <c r="O168" s="699"/>
      <c r="P16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6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6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6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6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6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6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6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69" spans="1:23">
      <c r="A169" s="309">
        <f>ROW()-ROW(Комплекты[[#Headers],[№]])</f>
        <v>167</v>
      </c>
      <c r="B169" s="309" t="str">
        <f>Комплекты[[#This Row],[Пр]]&amp;"_"&amp;Комплекты[[#This Row],[Обозначение]]</f>
        <v>2_4005000880</v>
      </c>
      <c r="C169" s="309">
        <f>COUNTIFS($E$3:Комплекты[[#This Row],[Комплект]],Комплекты[[#This Row],[Комплект]])</f>
        <v>1</v>
      </c>
      <c r="D169" s="310">
        <v>46043</v>
      </c>
      <c r="E169" s="311">
        <v>4441000490</v>
      </c>
      <c r="F169" s="302">
        <v>2</v>
      </c>
      <c r="G169" s="313">
        <v>4005000880</v>
      </c>
      <c r="H169" s="302">
        <v>1</v>
      </c>
      <c r="I169" s="399" t="str">
        <f>INDEX(База[],MATCH(Комплекты[[#This Row],[Обозначение]],База[Артикул],0),MATCH(I$2,База[#Headers],0))</f>
        <v>Модулятор ABS</v>
      </c>
      <c r="J169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169" s="399"/>
      <c r="L16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6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69" s="699" t="str">
        <f>IF(IFERROR(MATCH("нет",Комплекты[[#This Row],[   ]:[АВТОВИК]],0)&gt;0,),"НЕТ","ОК")</f>
        <v>ОК</v>
      </c>
      <c r="O169" s="699"/>
      <c r="P16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6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6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6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6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6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6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6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70" spans="1:23">
      <c r="A170" s="309">
        <f>ROW()-ROW(Комплекты[[#Headers],[№]])</f>
        <v>168</v>
      </c>
      <c r="B170" s="309" t="str">
        <f>Комплекты[[#This Row],[Пр]]&amp;"_"&amp;Комплекты[[#This Row],[Обозначение]]</f>
        <v>2_4491301500</v>
      </c>
      <c r="C170" s="309">
        <f>COUNTIFS($E$3:Комплекты[[#This Row],[Комплект]],Комплекты[[#This Row],[Комплект]])</f>
        <v>2</v>
      </c>
      <c r="D170" s="310">
        <v>46043</v>
      </c>
      <c r="E170" s="311">
        <v>4441000490</v>
      </c>
      <c r="F170" s="302">
        <v>2</v>
      </c>
      <c r="G170" s="313">
        <v>4491301500</v>
      </c>
      <c r="H170" s="302">
        <v>1</v>
      </c>
      <c r="I170" s="399" t="str">
        <f>INDEX(База[],MATCH(Комплекты[[#This Row],[Обозначение]],База[Артикул],0),MATCH(I$2,База[#Headers],0))</f>
        <v>Кабель питания ABS, часть 2, 15 м</v>
      </c>
      <c r="J170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170" s="399"/>
      <c r="L17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7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70" s="699" t="str">
        <f>IF(IFERROR(MATCH("нет",Комплекты[[#This Row],[   ]:[АВТОВИК]],0)&gt;0,),"НЕТ","ОК")</f>
        <v>ОК</v>
      </c>
      <c r="O170" s="699"/>
      <c r="P17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7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7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7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7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7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7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7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71" spans="1:23">
      <c r="A171" s="309">
        <f>ROW()-ROW(Комплекты[[#Headers],[№]])</f>
        <v>169</v>
      </c>
      <c r="B171" s="309" t="str">
        <f>Комплекты[[#This Row],[Пр]]&amp;"_"&amp;Комплекты[[#This Row],[Обозначение]]</f>
        <v>2_4493792810</v>
      </c>
      <c r="C171" s="309">
        <f>COUNTIFS($E$3:Комплекты[[#This Row],[Комплект]],Комплекты[[#This Row],[Комплект]])</f>
        <v>3</v>
      </c>
      <c r="D171" s="310">
        <v>46043</v>
      </c>
      <c r="E171" s="311">
        <v>4441000490</v>
      </c>
      <c r="F171" s="302">
        <v>2</v>
      </c>
      <c r="G171" s="313">
        <v>4493792810</v>
      </c>
      <c r="H171" s="302">
        <v>1</v>
      </c>
      <c r="I171" s="399" t="str">
        <f>INDEX(База[],MATCH(Комплекты[[#This Row],[Обозначение]],База[Артикул],0),MATCH(I$2,База[#Headers],0))</f>
        <v>Кабель питания ABS, часть 1</v>
      </c>
      <c r="J171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171" s="399"/>
      <c r="L17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7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71" s="699" t="str">
        <f>IF(IFERROR(MATCH("нет",Комплекты[[#This Row],[   ]:[АВТОВИК]],0)&gt;0,),"НЕТ","ОК")</f>
        <v>ОК</v>
      </c>
      <c r="O171" s="699"/>
      <c r="P17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7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7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7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7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7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7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7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72" spans="1:23">
      <c r="A172" s="309">
        <f>ROW()-ROW(Комплекты[[#Headers],[№]])</f>
        <v>170</v>
      </c>
      <c r="B172" s="309" t="str">
        <f>Комплекты[[#This Row],[Пр]]&amp;"_"&amp;Комплекты[[#This Row],[Обозначение]]</f>
        <v>2_4497490300</v>
      </c>
      <c r="C172" s="309">
        <f>COUNTIFS($E$3:Комплекты[[#This Row],[Комплект]],Комплекты[[#This Row],[Комплект]])</f>
        <v>4</v>
      </c>
      <c r="D172" s="310">
        <v>46043</v>
      </c>
      <c r="E172" s="311">
        <v>4441000490</v>
      </c>
      <c r="F172" s="302">
        <v>2</v>
      </c>
      <c r="G172" s="313">
        <v>4497490300</v>
      </c>
      <c r="H172" s="302">
        <v>4</v>
      </c>
      <c r="I172" s="399" t="str">
        <f>INDEX(База[],MATCH(Комплекты[[#This Row],[Обозначение]],База[Артикул],0),MATCH(I$2,База[#Headers],0))</f>
        <v>Кабель-удлинитель датчика ABS, 3 м</v>
      </c>
      <c r="J172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172" s="399"/>
      <c r="L17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7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72" s="699" t="str">
        <f>IF(IFERROR(MATCH("нет",Комплекты[[#This Row],[   ]:[АВТОВИК]],0)&gt;0,),"НЕТ","ОК")</f>
        <v>ОК</v>
      </c>
      <c r="O172" s="699"/>
      <c r="P17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7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7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7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7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7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7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7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73" spans="1:23">
      <c r="A173" s="309">
        <f>ROW()-ROW(Комплекты[[#Headers],[№]])</f>
        <v>171</v>
      </c>
      <c r="B173" s="309" t="str">
        <f>Комплекты[[#This Row],[Пр]]&amp;"_"&amp;Комплекты[[#This Row],[Обозначение]]</f>
        <v>2_9522010010</v>
      </c>
      <c r="C173" s="309">
        <f>COUNTIFS($E$3:Комплекты[[#This Row],[Комплект]],Комплекты[[#This Row],[Комплект]])</f>
        <v>5</v>
      </c>
      <c r="D173" s="310">
        <v>46043</v>
      </c>
      <c r="E173" s="311">
        <v>4441000490</v>
      </c>
      <c r="F173" s="302">
        <v>2</v>
      </c>
      <c r="G173" s="313">
        <v>9522010010</v>
      </c>
      <c r="H173" s="302">
        <v>1</v>
      </c>
      <c r="I173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173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173" s="399"/>
      <c r="L17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7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73" s="699" t="str">
        <f>IF(IFERROR(MATCH("нет",Комплекты[[#This Row],[   ]:[АВТОВИК]],0)&gt;0,),"НЕТ","ОК")</f>
        <v>ОК</v>
      </c>
      <c r="O173" s="699"/>
      <c r="P17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7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7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7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7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7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7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7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74" spans="1:23">
      <c r="A174" s="314">
        <f>ROW()-ROW(Комплекты[[#Headers],[№]])</f>
        <v>172</v>
      </c>
      <c r="B174" s="314" t="str">
        <f>Комплекты[[#This Row],[Пр]]&amp;"_"&amp;Комплекты[[#This Row],[Обозначение]]</f>
        <v>2_9522010020</v>
      </c>
      <c r="C174" s="314">
        <f>COUNTIFS($E$3:Комплекты[[#This Row],[Комплект]],Комплекты[[#This Row],[Комплект]])</f>
        <v>6</v>
      </c>
      <c r="D174" s="315">
        <v>46043</v>
      </c>
      <c r="E174" s="316">
        <v>4441000490</v>
      </c>
      <c r="F174" s="303">
        <v>2</v>
      </c>
      <c r="G174" s="317">
        <v>9522010020</v>
      </c>
      <c r="H174" s="303">
        <v>1</v>
      </c>
      <c r="I174" s="705" t="str">
        <f>INDEX(База[],MATCH(Комплекты[[#This Row],[Обозначение]],База[Артикул],0),MATCH(I$2,База[#Headers],0))</f>
        <v>Головка соединительная (питающая)</v>
      </c>
      <c r="J174" s="705" t="str">
        <f>INDEX(База[],MATCH(Комплекты[[#This Row],[Комплект]],База[Артикул],0),MATCH("наименование",База[#Headers],0))</f>
        <v>Комплект базовый "ABS W 4S/2M (15 м)"</v>
      </c>
      <c r="K174" s="705"/>
      <c r="L174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74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74" s="707" t="str">
        <f>IF(IFERROR(MATCH("нет",Комплекты[[#This Row],[   ]:[АВТОВИК]],0)&gt;0,),"НЕТ","ОК")</f>
        <v>ОК</v>
      </c>
      <c r="O174" s="707"/>
      <c r="P174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74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74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74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74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74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74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74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75" spans="1:23">
      <c r="A175" s="309">
        <f>ROW()-ROW(Комплекты[[#Headers],[№]])</f>
        <v>173</v>
      </c>
      <c r="B175" s="309" t="str">
        <f>Комплекты[[#This Row],[Пр]]&amp;"_"&amp;Комплекты[[#This Row],[Обозначение]]</f>
        <v>2_9710020400</v>
      </c>
      <c r="C175" s="309">
        <f>COUNTIFS($E$3:Комплекты[[#This Row],[Комплект]],Комплекты[[#This Row],[Комплект]])</f>
        <v>7</v>
      </c>
      <c r="D175" s="310">
        <v>46043</v>
      </c>
      <c r="E175" s="311">
        <v>4441000490</v>
      </c>
      <c r="F175" s="302">
        <v>2</v>
      </c>
      <c r="G175" s="313">
        <v>9710020400</v>
      </c>
      <c r="H175" s="302">
        <v>1</v>
      </c>
      <c r="I175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175" s="399" t="str">
        <f>INDEX(База[],MATCH(Комплекты[[#This Row],[Комплект]],База[Артикул],0),MATCH("наименование",База[#Headers],0))</f>
        <v>Комплект базовый "ABS W 4S/2M (15 м)"</v>
      </c>
      <c r="K175" s="399"/>
      <c r="L17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7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75" s="699" t="str">
        <f>IF(IFERROR(MATCH("нет",Комплекты[[#This Row],[   ]:[АВТОВИК]],0)&gt;0,),"НЕТ","ОК")</f>
        <v>ОК</v>
      </c>
      <c r="O175" s="699"/>
      <c r="P17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7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7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7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7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7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7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7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76" spans="1:23">
      <c r="A176" s="309">
        <f>ROW()-ROW(Комплекты[[#Headers],[№]])</f>
        <v>174</v>
      </c>
      <c r="B176" s="309" t="str">
        <f>Комплекты[[#This Row],[Пр]]&amp;"_"&amp;Комплекты[[#This Row],[Обозначение]]</f>
        <v>1_4496161560</v>
      </c>
      <c r="C176" s="309">
        <f>COUNTIFS($E$3:Комплекты[[#This Row],[Комплект]],Комплекты[[#This Row],[Комплект]])</f>
        <v>1</v>
      </c>
      <c r="D176" s="310">
        <v>46043</v>
      </c>
      <c r="E176" s="311">
        <v>4441000500</v>
      </c>
      <c r="F176" s="302">
        <v>1</v>
      </c>
      <c r="G176" s="313">
        <v>4496161560</v>
      </c>
      <c r="H176" s="302">
        <v>1</v>
      </c>
      <c r="I176" s="399" t="str">
        <f>INDEX(База[],MATCH(Комплекты[[#This Row],[Обозначение]],База[Артикул],0),MATCH(I$2,База[#Headers],0))</f>
        <v>Кабель ускорительного клапана ABS / диа., 10 м / 3 м</v>
      </c>
      <c r="J176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176" s="399"/>
      <c r="L17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7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76" s="699" t="str">
        <f>IF(IFERROR(MATCH("нет",Комплекты[[#This Row],[   ]:[АВТОВИК]],0)&gt;0,),"НЕТ","ОК")</f>
        <v>ОК</v>
      </c>
      <c r="O176" s="699"/>
      <c r="P17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7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7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7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7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7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7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7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77" spans="1:23">
      <c r="A177" s="309">
        <f>ROW()-ROW(Комплекты[[#Headers],[№]])</f>
        <v>175</v>
      </c>
      <c r="B177" s="309" t="str">
        <f>Комплекты[[#This Row],[Пр]]&amp;"_"&amp;Комплекты[[#This Row],[Обозначение]]</f>
        <v>1_4721950310</v>
      </c>
      <c r="C177" s="309">
        <f>COUNTIFS($E$3:Комплекты[[#This Row],[Комплект]],Комплекты[[#This Row],[Комплект]])</f>
        <v>2</v>
      </c>
      <c r="D177" s="310">
        <v>46043</v>
      </c>
      <c r="E177" s="311">
        <v>4441000500</v>
      </c>
      <c r="F177" s="302">
        <v>1</v>
      </c>
      <c r="G177" s="313">
        <v>4721950310</v>
      </c>
      <c r="H177" s="302">
        <v>1</v>
      </c>
      <c r="I177" s="399" t="str">
        <f>INDEX(База[],MATCH(Комплекты[[#This Row],[Обозначение]],База[Артикул],0),MATCH(I$2,База[#Headers],0))</f>
        <v>Ускорительный клапан ABS</v>
      </c>
      <c r="J177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177" s="399"/>
      <c r="L17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7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77" s="699" t="str">
        <f>IF(IFERROR(MATCH("нет",Комплекты[[#This Row],[   ]:[АВТОВИК]],0)&gt;0,),"НЕТ","ОК")</f>
        <v>ОК</v>
      </c>
      <c r="O177" s="699"/>
      <c r="P17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7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7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7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7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7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7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7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78" spans="1:23">
      <c r="A178" s="309">
        <f>ROW()-ROW(Комплекты[[#Headers],[№]])</f>
        <v>176</v>
      </c>
      <c r="B178" s="309" t="str">
        <f>Комплекты[[#This Row],[Пр]]&amp;"_"&amp;Комплекты[[#This Row],[Обозначение]]</f>
        <v>2_4005000880</v>
      </c>
      <c r="C178" s="309">
        <f>COUNTIFS($E$3:Комплекты[[#This Row],[Комплект]],Комплекты[[#This Row],[Комплект]])</f>
        <v>3</v>
      </c>
      <c r="D178" s="310">
        <v>46043</v>
      </c>
      <c r="E178" s="311">
        <v>4441000500</v>
      </c>
      <c r="F178" s="302">
        <v>2</v>
      </c>
      <c r="G178" s="313">
        <v>4005000880</v>
      </c>
      <c r="H178" s="302">
        <v>1</v>
      </c>
      <c r="I178" s="399" t="str">
        <f>INDEX(База[],MATCH(Комплекты[[#This Row],[Обозначение]],База[Артикул],0),MATCH(I$2,База[#Headers],0))</f>
        <v>Модулятор ABS</v>
      </c>
      <c r="J178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178" s="399"/>
      <c r="L17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7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78" s="699" t="str">
        <f>IF(IFERROR(MATCH("нет",Комплекты[[#This Row],[   ]:[АВТОВИК]],0)&gt;0,),"НЕТ","ОК")</f>
        <v>ОК</v>
      </c>
      <c r="O178" s="699"/>
      <c r="P17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7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7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7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7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7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7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7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79" spans="1:23">
      <c r="A179" s="309">
        <f>ROW()-ROW(Комплекты[[#Headers],[№]])</f>
        <v>177</v>
      </c>
      <c r="B179" s="309" t="str">
        <f>Комплекты[[#This Row],[Пр]]&amp;"_"&amp;Комплекты[[#This Row],[Обозначение]]</f>
        <v>2_4491301500</v>
      </c>
      <c r="C179" s="309">
        <f>COUNTIFS($E$3:Комплекты[[#This Row],[Комплект]],Комплекты[[#This Row],[Комплект]])</f>
        <v>4</v>
      </c>
      <c r="D179" s="310">
        <v>46043</v>
      </c>
      <c r="E179" s="311">
        <v>4441000500</v>
      </c>
      <c r="F179" s="302">
        <v>2</v>
      </c>
      <c r="G179" s="313">
        <v>4491301500</v>
      </c>
      <c r="H179" s="302">
        <v>1</v>
      </c>
      <c r="I179" s="399" t="str">
        <f>INDEX(База[],MATCH(Комплекты[[#This Row],[Обозначение]],База[Артикул],0),MATCH(I$2,База[#Headers],0))</f>
        <v>Кабель питания ABS, часть 2, 15 м</v>
      </c>
      <c r="J179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179" s="399"/>
      <c r="L17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7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79" s="699" t="str">
        <f>IF(IFERROR(MATCH("нет",Комплекты[[#This Row],[   ]:[АВТОВИК]],0)&gt;0,),"НЕТ","ОК")</f>
        <v>ОК</v>
      </c>
      <c r="O179" s="699"/>
      <c r="P17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7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7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7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7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7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7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7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80" spans="1:23">
      <c r="A180" s="309">
        <f>ROW()-ROW(Комплекты[[#Headers],[№]])</f>
        <v>178</v>
      </c>
      <c r="B180" s="309" t="str">
        <f>Комплекты[[#This Row],[Пр]]&amp;"_"&amp;Комплекты[[#This Row],[Обозначение]]</f>
        <v>2_4493792810</v>
      </c>
      <c r="C180" s="309">
        <f>COUNTIFS($E$3:Комплекты[[#This Row],[Комплект]],Комплекты[[#This Row],[Комплект]])</f>
        <v>5</v>
      </c>
      <c r="D180" s="310">
        <v>46043</v>
      </c>
      <c r="E180" s="311">
        <v>4441000500</v>
      </c>
      <c r="F180" s="302">
        <v>2</v>
      </c>
      <c r="G180" s="313">
        <v>4493792810</v>
      </c>
      <c r="H180" s="302">
        <v>1</v>
      </c>
      <c r="I180" s="399" t="str">
        <f>INDEX(База[],MATCH(Комплекты[[#This Row],[Обозначение]],База[Артикул],0),MATCH(I$2,База[#Headers],0))</f>
        <v>Кабель питания ABS, часть 1</v>
      </c>
      <c r="J180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180" s="399"/>
      <c r="L18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8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80" s="699" t="str">
        <f>IF(IFERROR(MATCH("нет",Комплекты[[#This Row],[   ]:[АВТОВИК]],0)&gt;0,),"НЕТ","ОК")</f>
        <v>ОК</v>
      </c>
      <c r="O180" s="699"/>
      <c r="P18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8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8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8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8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8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8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8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81" spans="1:23">
      <c r="A181" s="309">
        <f>ROW()-ROW(Комплекты[[#Headers],[№]])</f>
        <v>179</v>
      </c>
      <c r="B181" s="309" t="str">
        <f>Комплекты[[#This Row],[Пр]]&amp;"_"&amp;Комплекты[[#This Row],[Обозначение]]</f>
        <v>2_4497490300</v>
      </c>
      <c r="C181" s="309">
        <f>COUNTIFS($E$3:Комплекты[[#This Row],[Комплект]],Комплекты[[#This Row],[Комплект]])</f>
        <v>6</v>
      </c>
      <c r="D181" s="310">
        <v>46043</v>
      </c>
      <c r="E181" s="311">
        <v>4441000500</v>
      </c>
      <c r="F181" s="302">
        <v>2</v>
      </c>
      <c r="G181" s="313">
        <v>4497490300</v>
      </c>
      <c r="H181" s="302">
        <v>4</v>
      </c>
      <c r="I181" s="399" t="str">
        <f>INDEX(База[],MATCH(Комплекты[[#This Row],[Обозначение]],База[Артикул],0),MATCH(I$2,База[#Headers],0))</f>
        <v>Кабель-удлинитель датчика ABS, 3 м</v>
      </c>
      <c r="J181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181" s="399"/>
      <c r="L18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8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81" s="699" t="str">
        <f>IF(IFERROR(MATCH("нет",Комплекты[[#This Row],[   ]:[АВТОВИК]],0)&gt;0,),"НЕТ","ОК")</f>
        <v>ОК</v>
      </c>
      <c r="O181" s="699"/>
      <c r="P18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8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8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8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8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8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8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8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82" spans="1:23">
      <c r="A182" s="309">
        <f>ROW()-ROW(Комплекты[[#Headers],[№]])</f>
        <v>180</v>
      </c>
      <c r="B182" s="309" t="str">
        <f>Комплекты[[#This Row],[Пр]]&amp;"_"&amp;Комплекты[[#This Row],[Обозначение]]</f>
        <v>2_9522010010</v>
      </c>
      <c r="C182" s="309">
        <f>COUNTIFS($E$3:Комплекты[[#This Row],[Комплект]],Комплекты[[#This Row],[Комплект]])</f>
        <v>7</v>
      </c>
      <c r="D182" s="310">
        <v>46043</v>
      </c>
      <c r="E182" s="311">
        <v>4441000500</v>
      </c>
      <c r="F182" s="302">
        <v>2</v>
      </c>
      <c r="G182" s="313">
        <v>9522010010</v>
      </c>
      <c r="H182" s="302">
        <v>1</v>
      </c>
      <c r="I182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182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182" s="399"/>
      <c r="L18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8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82" s="699" t="str">
        <f>IF(IFERROR(MATCH("нет",Комплекты[[#This Row],[   ]:[АВТОВИК]],0)&gt;0,),"НЕТ","ОК")</f>
        <v>ОК</v>
      </c>
      <c r="O182" s="699"/>
      <c r="P18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8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8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8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8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8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8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8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83" spans="1:23">
      <c r="A183" s="309">
        <f>ROW()-ROW(Комплекты[[#Headers],[№]])</f>
        <v>181</v>
      </c>
      <c r="B183" s="309" t="str">
        <f>Комплекты[[#This Row],[Пр]]&amp;"_"&amp;Комплекты[[#This Row],[Обозначение]]</f>
        <v>2_9522010020</v>
      </c>
      <c r="C183" s="309">
        <f>COUNTIFS($E$3:Комплекты[[#This Row],[Комплект]],Комплекты[[#This Row],[Комплект]])</f>
        <v>8</v>
      </c>
      <c r="D183" s="310">
        <v>46043</v>
      </c>
      <c r="E183" s="311">
        <v>4441000500</v>
      </c>
      <c r="F183" s="302">
        <v>2</v>
      </c>
      <c r="G183" s="313">
        <v>9522010020</v>
      </c>
      <c r="H183" s="302">
        <v>1</v>
      </c>
      <c r="I183" s="399" t="str">
        <f>INDEX(База[],MATCH(Комплекты[[#This Row],[Обозначение]],База[Артикул],0),MATCH(I$2,База[#Headers],0))</f>
        <v>Головка соединительная (питающая)</v>
      </c>
      <c r="J183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183" s="399"/>
      <c r="L18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8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83" s="699" t="str">
        <f>IF(IFERROR(MATCH("нет",Комплекты[[#This Row],[   ]:[АВТОВИК]],0)&gt;0,),"НЕТ","ОК")</f>
        <v>ОК</v>
      </c>
      <c r="O183" s="699"/>
      <c r="P18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8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8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8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8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8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8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8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84" spans="1:23">
      <c r="A184" s="309">
        <f>ROW()-ROW(Комплекты[[#Headers],[№]])</f>
        <v>182</v>
      </c>
      <c r="B184" s="309" t="str">
        <f>Комплекты[[#This Row],[Пр]]&amp;"_"&amp;Комплекты[[#This Row],[Обозначение]]</f>
        <v>2_9710020400</v>
      </c>
      <c r="C184" s="309">
        <f>COUNTIFS($E$3:Комплекты[[#This Row],[Комплект]],Комплекты[[#This Row],[Комплект]])</f>
        <v>9</v>
      </c>
      <c r="D184" s="310">
        <v>46043</v>
      </c>
      <c r="E184" s="311">
        <v>4441000500</v>
      </c>
      <c r="F184" s="302">
        <v>2</v>
      </c>
      <c r="G184" s="313">
        <v>9710020400</v>
      </c>
      <c r="H184" s="302">
        <v>1</v>
      </c>
      <c r="I184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184" s="399" t="str">
        <f>INDEX(База[],MATCH(Комплекты[[#This Row],[Комплект]],База[Артикул],0),MATCH("наименование",База[#Headers],0))</f>
        <v>Комплект базовый "ABS W 4S/3M (15 м)"</v>
      </c>
      <c r="K184" s="399"/>
      <c r="L18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8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84" s="699" t="str">
        <f>IF(IFERROR(MATCH("нет",Комплекты[[#This Row],[   ]:[АВТОВИК]],0)&gt;0,),"НЕТ","ОК")</f>
        <v>ОК</v>
      </c>
      <c r="O184" s="699"/>
      <c r="P18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8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8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8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8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8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8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8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85" spans="1:23">
      <c r="A185" s="309">
        <f>ROW()-ROW(Комплекты[[#Headers],[№]])</f>
        <v>183</v>
      </c>
      <c r="B185" s="309" t="str">
        <f>Комплекты[[#This Row],[Пр]]&amp;"_"&amp;Комплекты[[#This Row],[Обозначение]]</f>
        <v>2_4491731200</v>
      </c>
      <c r="C185" s="309">
        <f>COUNTIFS($E$3:Комплекты[[#This Row],[Комплект]],Комплекты[[#This Row],[Комплект]])</f>
        <v>1</v>
      </c>
      <c r="D185" s="310">
        <v>46048</v>
      </c>
      <c r="E185" s="311">
        <v>4441000530</v>
      </c>
      <c r="F185" s="302">
        <v>2</v>
      </c>
      <c r="G185" s="313">
        <v>4491731200</v>
      </c>
      <c r="H185" s="302">
        <v>1</v>
      </c>
      <c r="I185" s="399" t="str">
        <f>INDEX(База[],MATCH(Комплекты[[#This Row],[Обозначение]],База[Артикул],0),MATCH(I$2,База[#Headers],0))</f>
        <v>Кабель питания, 12 м</v>
      </c>
      <c r="J185" s="399" t="str">
        <f>INDEX(База[],MATCH(Комплекты[[#This Row],[Комплект]],База[Артикул],0),MATCH("наименование",База[#Headers],0))</f>
        <v>Комплект "TEBS W 2S/2M (12 м)"</v>
      </c>
      <c r="K185" s="399"/>
      <c r="L18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8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85" s="699" t="str">
        <f>IF(IFERROR(MATCH("нет",Комплекты[[#This Row],[   ]:[АВТОВИК]],0)&gt;0,),"НЕТ","ОК")</f>
        <v>ОК</v>
      </c>
      <c r="O185" s="699"/>
      <c r="P18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8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8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8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8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8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8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8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86" spans="1:23">
      <c r="A186" s="309">
        <f>ROW()-ROW(Комплекты[[#Headers],[№]])</f>
        <v>184</v>
      </c>
      <c r="B186" s="309" t="str">
        <f>Комплекты[[#This Row],[Пр]]&amp;"_"&amp;Комплекты[[#This Row],[Обозначение]]</f>
        <v>2_4497230300</v>
      </c>
      <c r="C186" s="309">
        <f>COUNTIFS($E$3:Комплекты[[#This Row],[Комплект]],Комплекты[[#This Row],[Комплект]])</f>
        <v>2</v>
      </c>
      <c r="D186" s="310">
        <v>46048</v>
      </c>
      <c r="E186" s="311">
        <v>4441000530</v>
      </c>
      <c r="F186" s="302">
        <v>2</v>
      </c>
      <c r="G186" s="313">
        <v>4497230300</v>
      </c>
      <c r="H186" s="302">
        <v>2</v>
      </c>
      <c r="I186" s="399" t="str">
        <f>INDEX(База[],MATCH(Комплекты[[#This Row],[Обозначение]],База[Артикул],0),MATCH(I$2,База[#Headers],0))</f>
        <v>Кабель датчика АБС, 3 м</v>
      </c>
      <c r="J186" s="399" t="str">
        <f>INDEX(База[],MATCH(Комплекты[[#This Row],[Комплект]],База[Артикул],0),MATCH("наименование",База[#Headers],0))</f>
        <v>Комплект "TEBS W 2S/2M (12 м)"</v>
      </c>
      <c r="K186" s="399"/>
      <c r="L18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8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86" s="699" t="str">
        <f>IF(IFERROR(MATCH("нет",Комплекты[[#This Row],[   ]:[АВТОВИК]],0)&gt;0,),"НЕТ","ОК")</f>
        <v>ОК</v>
      </c>
      <c r="O186" s="699"/>
      <c r="P18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8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8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8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8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8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8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8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87" spans="1:23">
      <c r="A187" s="309">
        <f>ROW()-ROW(Комплекты[[#Headers],[№]])</f>
        <v>185</v>
      </c>
      <c r="B187" s="309" t="str">
        <f>Комплекты[[#This Row],[Пр]]&amp;"_"&amp;Комплекты[[#This Row],[Обозначение]]</f>
        <v>2_4801020640</v>
      </c>
      <c r="C187" s="309">
        <f>COUNTIFS($E$3:Комплекты[[#This Row],[Комплект]],Комплекты[[#This Row],[Комплект]])</f>
        <v>3</v>
      </c>
      <c r="D187" s="310">
        <v>46048</v>
      </c>
      <c r="E187" s="311">
        <v>4441000530</v>
      </c>
      <c r="F187" s="302">
        <v>2</v>
      </c>
      <c r="G187" s="313">
        <v>4801020640</v>
      </c>
      <c r="H187" s="302">
        <v>1</v>
      </c>
      <c r="I187" s="399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187" s="399" t="str">
        <f>INDEX(База[],MATCH(Комплекты[[#This Row],[Комплект]],База[Артикул],0),MATCH("наименование",База[#Headers],0))</f>
        <v>Комплект "TEBS W 2S/2M (12 м)"</v>
      </c>
      <c r="K187" s="399"/>
      <c r="L18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8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87" s="699" t="str">
        <f>IF(IFERROR(MATCH("нет",Комплекты[[#This Row],[   ]:[АВТОВИК]],0)&gt;0,),"НЕТ","ОК")</f>
        <v>ОК</v>
      </c>
      <c r="O187" s="699"/>
      <c r="P18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8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8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8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8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8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8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8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88" spans="1:23">
      <c r="A188" s="309">
        <f>ROW()-ROW(Комплекты[[#Headers],[№]])</f>
        <v>186</v>
      </c>
      <c r="B188" s="309" t="str">
        <f>Комплекты[[#This Row],[Пр]]&amp;"_"&amp;Комплекты[[#This Row],[Обозначение]]</f>
        <v>2_9522010010</v>
      </c>
      <c r="C188" s="309">
        <f>COUNTIFS($E$3:Комплекты[[#This Row],[Комплект]],Комплекты[[#This Row],[Комплект]])</f>
        <v>4</v>
      </c>
      <c r="D188" s="310">
        <v>46048</v>
      </c>
      <c r="E188" s="311">
        <v>4441000530</v>
      </c>
      <c r="F188" s="302">
        <v>2</v>
      </c>
      <c r="G188" s="313">
        <v>9522010010</v>
      </c>
      <c r="H188" s="302">
        <v>1</v>
      </c>
      <c r="I188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188" s="399" t="str">
        <f>INDEX(База[],MATCH(Комплекты[[#This Row],[Комплект]],База[Артикул],0),MATCH("наименование",База[#Headers],0))</f>
        <v>Комплект "TEBS W 2S/2M (12 м)"</v>
      </c>
      <c r="K188" s="399"/>
      <c r="L18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8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88" s="699" t="str">
        <f>IF(IFERROR(MATCH("нет",Комплекты[[#This Row],[   ]:[АВТОВИК]],0)&gt;0,),"НЕТ","ОК")</f>
        <v>ОК</v>
      </c>
      <c r="O188" s="699"/>
      <c r="P18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8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8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8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8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8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8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8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89" spans="1:23">
      <c r="A189" s="309">
        <f>ROW()-ROW(Комплекты[[#Headers],[№]])</f>
        <v>187</v>
      </c>
      <c r="B189" s="309" t="str">
        <f>Комплекты[[#This Row],[Пр]]&amp;"_"&amp;Комплекты[[#This Row],[Обозначение]]</f>
        <v>2_9522010020</v>
      </c>
      <c r="C189" s="309">
        <f>COUNTIFS($E$3:Комплекты[[#This Row],[Комплект]],Комплекты[[#This Row],[Комплект]])</f>
        <v>5</v>
      </c>
      <c r="D189" s="310">
        <v>46048</v>
      </c>
      <c r="E189" s="311">
        <v>4441000530</v>
      </c>
      <c r="F189" s="302">
        <v>2</v>
      </c>
      <c r="G189" s="313">
        <v>9522010020</v>
      </c>
      <c r="H189" s="302">
        <v>1</v>
      </c>
      <c r="I189" s="399" t="str">
        <f>INDEX(База[],MATCH(Комплекты[[#This Row],[Обозначение]],База[Артикул],0),MATCH(I$2,База[#Headers],0))</f>
        <v>Головка соединительная (питающая)</v>
      </c>
      <c r="J189" s="399" t="str">
        <f>INDEX(База[],MATCH(Комплекты[[#This Row],[Комплект]],База[Артикул],0),MATCH("наименование",База[#Headers],0))</f>
        <v>Комплект "TEBS W 2S/2M (12 м)"</v>
      </c>
      <c r="K189" s="399"/>
      <c r="L18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8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89" s="699" t="str">
        <f>IF(IFERROR(MATCH("нет",Комплекты[[#This Row],[   ]:[АВТОВИК]],0)&gt;0,),"НЕТ","ОК")</f>
        <v>ОК</v>
      </c>
      <c r="O189" s="699"/>
      <c r="P18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8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8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8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8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8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8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8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90" spans="1:23">
      <c r="A190" s="314">
        <f>ROW()-ROW(Комплекты[[#Headers],[№]])</f>
        <v>188</v>
      </c>
      <c r="B190" s="314" t="str">
        <f>Комплекты[[#This Row],[Пр]]&amp;"_"&amp;Комплекты[[#This Row],[Обозначение]]</f>
        <v>2_9710029000</v>
      </c>
      <c r="C190" s="314">
        <f>COUNTIFS($E$3:Комплекты[[#This Row],[Комплект]],Комплекты[[#This Row],[Комплект]])</f>
        <v>6</v>
      </c>
      <c r="D190" s="315">
        <v>46048</v>
      </c>
      <c r="E190" s="316">
        <v>4441000530</v>
      </c>
      <c r="F190" s="303">
        <v>2</v>
      </c>
      <c r="G190" s="317">
        <v>9710029000</v>
      </c>
      <c r="H190" s="303">
        <v>1</v>
      </c>
      <c r="I190" s="705" t="str">
        <f>INDEX(База[],MATCH(Комплекты[[#This Row],[Обозначение]],База[Артикул],0),MATCH(I$2,База[#Headers],0))</f>
        <v>Воздухораспределитель с клапаном растормаживания</v>
      </c>
      <c r="J190" s="705" t="str">
        <f>INDEX(База[],MATCH(Комплекты[[#This Row],[Комплект]],База[Артикул],0),MATCH("наименование",База[#Headers],0))</f>
        <v>Комплект "TEBS W 2S/2M (12 м)"</v>
      </c>
      <c r="K190" s="705"/>
      <c r="L190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90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90" s="707" t="str">
        <f>IF(IFERROR(MATCH("нет",Комплекты[[#This Row],[   ]:[АВТОВИК]],0)&gt;0,),"НЕТ","ОК")</f>
        <v>ОК</v>
      </c>
      <c r="O190" s="707"/>
      <c r="P190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90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90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90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90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90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90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90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91" spans="1:23">
      <c r="A191" s="309">
        <f>ROW()-ROW(Комплекты[[#Headers],[№]])</f>
        <v>189</v>
      </c>
      <c r="B191" s="309" t="str">
        <f>Комплекты[[#This Row],[Пр]]&amp;"_"&amp;Комплекты[[#This Row],[Обозначение]]</f>
        <v>2_4462907000</v>
      </c>
      <c r="C191" s="309">
        <f>COUNTIFS($E$3:Комплекты[[#This Row],[Комплект]],Комплекты[[#This Row],[Комплект]])</f>
        <v>1</v>
      </c>
      <c r="D191" s="310">
        <v>46052</v>
      </c>
      <c r="E191" s="311">
        <v>4441000550</v>
      </c>
      <c r="F191" s="302">
        <v>2</v>
      </c>
      <c r="G191" s="313">
        <v>4462907000</v>
      </c>
      <c r="H191" s="302">
        <v>1</v>
      </c>
      <c r="I191" s="399" t="str">
        <f>INDEX(База[],MATCH(Комплекты[[#This Row],[Обозначение]],База[Артикул],0),MATCH(I$2,База[#Headers],0))</f>
        <v>Блок OptiLink</v>
      </c>
      <c r="J191" s="399" t="str">
        <f>INDEX(База[],MATCH(Комплекты[[#This Row],[Комплект]],База[Артикул],0),MATCH("наименование",База[#Headers],0))</f>
        <v>Комплект системы контроля "OptiLink W"</v>
      </c>
      <c r="K191" s="399"/>
      <c r="L19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9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91" s="699" t="str">
        <f>IF(IFERROR(MATCH("нет",Комплекты[[#This Row],[   ]:[АВТОВИК]],0)&gt;0,),"НЕТ","ОК")</f>
        <v>ОК</v>
      </c>
      <c r="O191" s="699"/>
      <c r="P19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9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9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9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9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9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9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9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92" spans="1:23">
      <c r="A192" s="309">
        <f>ROW()-ROW(Комплекты[[#Headers],[№]])</f>
        <v>190</v>
      </c>
      <c r="B192" s="309" t="str">
        <f>Комплекты[[#This Row],[Пр]]&amp;"_"&amp;Комплекты[[#This Row],[Обозначение]]</f>
        <v>2_4499271200</v>
      </c>
      <c r="C192" s="309">
        <f>COUNTIFS($E$3:Комплекты[[#This Row],[Комплект]],Комплекты[[#This Row],[Комплект]])</f>
        <v>2</v>
      </c>
      <c r="D192" s="310">
        <v>46052</v>
      </c>
      <c r="E192" s="311">
        <v>4441000550</v>
      </c>
      <c r="F192" s="302">
        <v>2</v>
      </c>
      <c r="G192" s="313">
        <v>4499271200</v>
      </c>
      <c r="H192" s="302">
        <v>1</v>
      </c>
      <c r="I192" s="399" t="str">
        <f>INDEX(База[],MATCH(Комплекты[[#This Row],[Обозначение]],База[Артикул],0),MATCH(I$2,База[#Headers],0))</f>
        <v>Кабель OptiLink/OptiTire (12 м)</v>
      </c>
      <c r="J192" s="399" t="str">
        <f>INDEX(База[],MATCH(Комплекты[[#This Row],[Комплект]],База[Артикул],0),MATCH("наименование",База[#Headers],0))</f>
        <v>Комплект системы контроля "OptiLink W"</v>
      </c>
      <c r="K192" s="399"/>
      <c r="L19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9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92" s="699" t="str">
        <f>IF(IFERROR(MATCH("нет",Комплекты[[#This Row],[   ]:[АВТОВИК]],0)&gt;0,),"НЕТ","ОК")</f>
        <v>ОК</v>
      </c>
      <c r="O192" s="699"/>
      <c r="P19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9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9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9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9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9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9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9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93" spans="1:23">
      <c r="A193" s="425">
        <f>ROW()-ROW(Комплекты[[#Headers],[№]])</f>
        <v>191</v>
      </c>
      <c r="B193" s="309" t="str">
        <f>Комплекты[[#This Row],[Пр]]&amp;"_"&amp;Комплекты[[#This Row],[Обозначение]]</f>
        <v>2_4491731200</v>
      </c>
      <c r="C193" s="309">
        <f>COUNTIFS($E$3:Комплекты[[#This Row],[Комплект]],Комплекты[[#This Row],[Комплект]])</f>
        <v>1</v>
      </c>
      <c r="D193" s="426">
        <v>46059</v>
      </c>
      <c r="E193" s="423">
        <v>4441000590</v>
      </c>
      <c r="F193" s="427">
        <v>2</v>
      </c>
      <c r="G193" s="428">
        <v>4491731200</v>
      </c>
      <c r="H193" s="427">
        <v>1</v>
      </c>
      <c r="I193" s="600" t="str">
        <f>INDEX(База[],MATCH(Комплекты[[#This Row],[Обозначение]],База[Артикул],0),MATCH(I$2,База[#Headers],0))</f>
        <v>Кабель питания, 12 м</v>
      </c>
      <c r="J193" s="399" t="str">
        <f>INDEX(База[],MATCH(Комплекты[[#This Row],[Комплект]],База[Артикул],0),MATCH("наименование",База[#Headers],0))</f>
        <v>Комплект "TEBS W 4S/2M (12 м)"</v>
      </c>
      <c r="K193" s="399"/>
      <c r="L193" s="70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93" s="70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93" s="709" t="str">
        <f>IF(IFERROR(MATCH("нет",Комплекты[[#This Row],[   ]:[АВТОВИК]],0)&gt;0,),"НЕТ","ОК")</f>
        <v>ОК</v>
      </c>
      <c r="O193" s="699"/>
      <c r="P19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9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9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9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9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9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9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9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94" spans="1:23">
      <c r="A194" s="425">
        <f>ROW()-ROW(Комплекты[[#Headers],[№]])</f>
        <v>192</v>
      </c>
      <c r="B194" s="309" t="str">
        <f>Комплекты[[#This Row],[Пр]]&amp;"_"&amp;Комплекты[[#This Row],[Обозначение]]</f>
        <v>2_4497230300</v>
      </c>
      <c r="C194" s="309">
        <f>COUNTIFS($E$3:Комплекты[[#This Row],[Комплект]],Комплекты[[#This Row],[Комплект]])</f>
        <v>2</v>
      </c>
      <c r="D194" s="426">
        <v>46059</v>
      </c>
      <c r="E194" s="423">
        <v>4441000590</v>
      </c>
      <c r="F194" s="427">
        <v>2</v>
      </c>
      <c r="G194" s="428">
        <v>4497230300</v>
      </c>
      <c r="H194" s="427">
        <v>4</v>
      </c>
      <c r="I194" s="600" t="str">
        <f>INDEX(База[],MATCH(Комплекты[[#This Row],[Обозначение]],База[Артикул],0),MATCH(I$2,База[#Headers],0))</f>
        <v>Кабель датчика АБС, 3 м</v>
      </c>
      <c r="J194" s="399" t="str">
        <f>INDEX(База[],MATCH(Комплекты[[#This Row],[Комплект]],База[Артикул],0),MATCH("наименование",База[#Headers],0))</f>
        <v>Комплект "TEBS W 4S/2M (12 м)"</v>
      </c>
      <c r="K194" s="399"/>
      <c r="L194" s="70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94" s="70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94" s="709" t="str">
        <f>IF(IFERROR(MATCH("нет",Комплекты[[#This Row],[   ]:[АВТОВИК]],0)&gt;0,),"НЕТ","ОК")</f>
        <v>ОК</v>
      </c>
      <c r="O194" s="699"/>
      <c r="P19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9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9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9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9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9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9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9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95" spans="1:23">
      <c r="A195" s="425">
        <f>ROW()-ROW(Комплекты[[#Headers],[№]])</f>
        <v>193</v>
      </c>
      <c r="B195" s="309" t="str">
        <f>Комплекты[[#This Row],[Пр]]&amp;"_"&amp;Комплекты[[#This Row],[Обозначение]]</f>
        <v>2_4801020640</v>
      </c>
      <c r="C195" s="309">
        <f>COUNTIFS($E$3:Комплекты[[#This Row],[Комплект]],Комплекты[[#This Row],[Комплект]])</f>
        <v>3</v>
      </c>
      <c r="D195" s="426">
        <v>46059</v>
      </c>
      <c r="E195" s="423">
        <v>4441000590</v>
      </c>
      <c r="F195" s="427">
        <v>2</v>
      </c>
      <c r="G195" s="428">
        <v>4801020640</v>
      </c>
      <c r="H195" s="427">
        <v>1</v>
      </c>
      <c r="I195" s="600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195" s="399" t="str">
        <f>INDEX(База[],MATCH(Комплекты[[#This Row],[Комплект]],База[Артикул],0),MATCH("наименование",База[#Headers],0))</f>
        <v>Комплект "TEBS W 4S/2M (12 м)"</v>
      </c>
      <c r="K195" s="399"/>
      <c r="L195" s="70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95" s="70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95" s="709" t="str">
        <f>IF(IFERROR(MATCH("нет",Комплекты[[#This Row],[   ]:[АВТОВИК]],0)&gt;0,),"НЕТ","ОК")</f>
        <v>ОК</v>
      </c>
      <c r="O195" s="699"/>
      <c r="P19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9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9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9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9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9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9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9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96" spans="1:23">
      <c r="A196" s="425">
        <f>ROW()-ROW(Комплекты[[#Headers],[№]])</f>
        <v>194</v>
      </c>
      <c r="B196" s="309" t="str">
        <f>Комплекты[[#This Row],[Пр]]&amp;"_"&amp;Комплекты[[#This Row],[Обозначение]]</f>
        <v>2_9522010010</v>
      </c>
      <c r="C196" s="309">
        <f>COUNTIFS($E$3:Комплекты[[#This Row],[Комплект]],Комплекты[[#This Row],[Комплект]])</f>
        <v>4</v>
      </c>
      <c r="D196" s="426">
        <v>46059</v>
      </c>
      <c r="E196" s="423">
        <v>4441000590</v>
      </c>
      <c r="F196" s="427">
        <v>2</v>
      </c>
      <c r="G196" s="428">
        <v>9522010010</v>
      </c>
      <c r="H196" s="427">
        <v>1</v>
      </c>
      <c r="I196" s="600" t="str">
        <f>INDEX(База[],MATCH(Комплекты[[#This Row],[Обозначение]],База[Артикул],0),MATCH(I$2,База[#Headers],0))</f>
        <v>Головка соединительная (управляющая)</v>
      </c>
      <c r="J196" s="399" t="str">
        <f>INDEX(База[],MATCH(Комплекты[[#This Row],[Комплект]],База[Артикул],0),MATCH("наименование",База[#Headers],0))</f>
        <v>Комплект "TEBS W 4S/2M (12 м)"</v>
      </c>
      <c r="K196" s="399"/>
      <c r="L196" s="70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96" s="70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96" s="709" t="str">
        <f>IF(IFERROR(MATCH("нет",Комплекты[[#This Row],[   ]:[АВТОВИК]],0)&gt;0,),"НЕТ","ОК")</f>
        <v>ОК</v>
      </c>
      <c r="O196" s="699"/>
      <c r="P19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9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9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9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9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9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9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9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97" spans="1:23">
      <c r="A197" s="425">
        <f>ROW()-ROW(Комплекты[[#Headers],[№]])</f>
        <v>195</v>
      </c>
      <c r="B197" s="309" t="str">
        <f>Комплекты[[#This Row],[Пр]]&amp;"_"&amp;Комплекты[[#This Row],[Обозначение]]</f>
        <v>2_9522010020</v>
      </c>
      <c r="C197" s="309">
        <f>COUNTIFS($E$3:Комплекты[[#This Row],[Комплект]],Комплекты[[#This Row],[Комплект]])</f>
        <v>5</v>
      </c>
      <c r="D197" s="426">
        <v>46059</v>
      </c>
      <c r="E197" s="423">
        <v>4441000590</v>
      </c>
      <c r="F197" s="427">
        <v>2</v>
      </c>
      <c r="G197" s="428">
        <v>9522010020</v>
      </c>
      <c r="H197" s="427">
        <v>1</v>
      </c>
      <c r="I197" s="600" t="str">
        <f>INDEX(База[],MATCH(Комплекты[[#This Row],[Обозначение]],База[Артикул],0),MATCH(I$2,База[#Headers],0))</f>
        <v>Головка соединительная (питающая)</v>
      </c>
      <c r="J197" s="399" t="str">
        <f>INDEX(База[],MATCH(Комплекты[[#This Row],[Комплект]],База[Артикул],0),MATCH("наименование",База[#Headers],0))</f>
        <v>Комплект "TEBS W 4S/2M (12 м)"</v>
      </c>
      <c r="K197" s="399"/>
      <c r="L197" s="70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97" s="70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97" s="709" t="str">
        <f>IF(IFERROR(MATCH("нет",Комплекты[[#This Row],[   ]:[АВТОВИК]],0)&gt;0,),"НЕТ","ОК")</f>
        <v>ОК</v>
      </c>
      <c r="O197" s="699"/>
      <c r="P19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9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9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9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9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9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9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9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98" spans="1:23">
      <c r="A198" s="425">
        <f>ROW()-ROW(Комплекты[[#Headers],[№]])</f>
        <v>196</v>
      </c>
      <c r="B198" s="309" t="str">
        <f>Комплекты[[#This Row],[Пр]]&amp;"_"&amp;Комплекты[[#This Row],[Обозначение]]</f>
        <v>2_9710029000</v>
      </c>
      <c r="C198" s="309">
        <f>COUNTIFS($E$3:Комплекты[[#This Row],[Комплект]],Комплекты[[#This Row],[Комплект]])</f>
        <v>6</v>
      </c>
      <c r="D198" s="426">
        <v>46059</v>
      </c>
      <c r="E198" s="423">
        <v>4441000590</v>
      </c>
      <c r="F198" s="427">
        <v>2</v>
      </c>
      <c r="G198" s="428">
        <v>9710029000</v>
      </c>
      <c r="H198" s="427">
        <v>1</v>
      </c>
      <c r="I198" s="600" t="str">
        <f>INDEX(База[],MATCH(Комплекты[[#This Row],[Обозначение]],База[Артикул],0),MATCH(I$2,База[#Headers],0))</f>
        <v>Воздухораспределитель с клапаном растормаживания</v>
      </c>
      <c r="J198" s="399" t="str">
        <f>INDEX(База[],MATCH(Комплекты[[#This Row],[Комплект]],База[Артикул],0),MATCH("наименование",База[#Headers],0))</f>
        <v>Комплект "TEBS W 4S/2M (12 м)"</v>
      </c>
      <c r="K198" s="399"/>
      <c r="L198" s="70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98" s="70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98" s="709" t="str">
        <f>IF(IFERROR(MATCH("нет",Комплекты[[#This Row],[   ]:[АВТОВИК]],0)&gt;0,),"НЕТ","ОК")</f>
        <v>ОК</v>
      </c>
      <c r="O198" s="699"/>
      <c r="P19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9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9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9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9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9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9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9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199" spans="1:23">
      <c r="A199" s="309">
        <f>ROW()-ROW(Комплекты[[#Headers],[№]])</f>
        <v>197</v>
      </c>
      <c r="B199" s="309" t="str">
        <f>Комплекты[[#This Row],[Пр]]&amp;"_"&amp;Комплекты[[#This Row],[Обозначение]]</f>
        <v>1_4334010030</v>
      </c>
      <c r="C199" s="309">
        <f>COUNTIFS($E$3:Комплекты[[#This Row],[Комплект]],Комплекты[[#This Row],[Комплект]])</f>
        <v>1</v>
      </c>
      <c r="D199" s="310">
        <v>46063</v>
      </c>
      <c r="E199" s="311">
        <v>4441000600</v>
      </c>
      <c r="F199" s="302">
        <v>1</v>
      </c>
      <c r="G199" s="313">
        <v>4334010030</v>
      </c>
      <c r="H199" s="302">
        <v>1</v>
      </c>
      <c r="I199" s="399" t="str">
        <f>INDEX(База[],MATCH(Комплекты[[#This Row],[Обозначение]],База[Артикул],0),MATCH(I$2,База[#Headers],0))</f>
        <v>Упругий элемент</v>
      </c>
      <c r="J199" s="399" t="str">
        <f>INDEX(База[],MATCH(Комплекты[[#This Row],[Комплект]],База[Артикул],0),MATCH("наименование",База[#Headers],0))</f>
        <v>Комплект "TEBS 4S/3M (15 м)" специальный</v>
      </c>
      <c r="K199" s="399"/>
      <c r="L19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19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199" s="699" t="str">
        <f>IF(IFERROR(MATCH("нет",Комплекты[[#This Row],[   ]:[АВТОВИК]],0)&gt;0,),"НЕТ","ОК")</f>
        <v>ОК</v>
      </c>
      <c r="O199" s="699"/>
      <c r="P19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19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19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19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19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19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19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19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00" spans="1:23">
      <c r="A200" s="309">
        <f>ROW()-ROW(Комплекты[[#Headers],[№]])</f>
        <v>198</v>
      </c>
      <c r="B200" s="309" t="str">
        <f>Комплекты[[#This Row],[Пр]]&amp;"_"&amp;Комплекты[[#This Row],[Обозначение]]</f>
        <v>1_4491731500</v>
      </c>
      <c r="C200" s="309">
        <f>COUNTIFS($E$3:Комплекты[[#This Row],[Комплект]],Комплекты[[#This Row],[Комплект]])</f>
        <v>2</v>
      </c>
      <c r="D200" s="310">
        <v>46063</v>
      </c>
      <c r="E200" s="311">
        <v>4441000600</v>
      </c>
      <c r="F200" s="302">
        <v>1</v>
      </c>
      <c r="G200" s="313">
        <v>4491731500</v>
      </c>
      <c r="H200" s="302">
        <v>1</v>
      </c>
      <c r="I200" s="399" t="str">
        <f>INDEX(База[],MATCH(Комплекты[[#This Row],[Обозначение]],База[Артикул],0),MATCH(I$2,База[#Headers],0))</f>
        <v>Кабель питания, 15 м</v>
      </c>
      <c r="J200" s="399" t="str">
        <f>INDEX(База[],MATCH(Комплекты[[#This Row],[Комплект]],База[Артикул],0),MATCH("наименование",База[#Headers],0))</f>
        <v>Комплект "TEBS 4S/3M (15 м)" специальный</v>
      </c>
      <c r="K200" s="399"/>
      <c r="L20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0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00" s="699" t="str">
        <f>IF(IFERROR(MATCH("нет",Комплекты[[#This Row],[   ]:[АВТОВИК]],0)&gt;0,),"НЕТ","ОК")</f>
        <v>ОК</v>
      </c>
      <c r="O200" s="699"/>
      <c r="P20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0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0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0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0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0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0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0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01" spans="1:23">
      <c r="A201" s="309">
        <f>ROW()-ROW(Комплекты[[#Headers],[№]])</f>
        <v>199</v>
      </c>
      <c r="B201" s="309" t="str">
        <f>Комплекты[[#This Row],[Пр]]&amp;"_"&amp;Комплекты[[#This Row],[Обозначение]]</f>
        <v>1_4494300600</v>
      </c>
      <c r="C201" s="309">
        <f>COUNTIFS($E$3:Комплекты[[#This Row],[Комплект]],Комплекты[[#This Row],[Комплект]])</f>
        <v>3</v>
      </c>
      <c r="D201" s="310">
        <v>46063</v>
      </c>
      <c r="E201" s="311">
        <v>4441000600</v>
      </c>
      <c r="F201" s="302">
        <v>1</v>
      </c>
      <c r="G201" s="313">
        <v>4494300600</v>
      </c>
      <c r="H201" s="302">
        <v>1</v>
      </c>
      <c r="I201" s="399" t="str">
        <f>INDEX(База[],MATCH(Комплекты[[#This Row],[Обозначение]],База[Артикул],0),MATCH(I$2,База[#Headers],0))</f>
        <v>Кабель клапана ускорительного TEBS (6 м)</v>
      </c>
      <c r="J201" s="399" t="str">
        <f>INDEX(База[],MATCH(Комплекты[[#This Row],[Комплект]],База[Артикул],0),MATCH("наименование",База[#Headers],0))</f>
        <v>Комплект "TEBS 4S/3M (15 м)" специальный</v>
      </c>
      <c r="K201" s="399"/>
      <c r="L20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0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01" s="699" t="str">
        <f>IF(IFERROR(MATCH("нет",Комплекты[[#This Row],[   ]:[АВТОВИК]],0)&gt;0,),"НЕТ","ОК")</f>
        <v>ОК</v>
      </c>
      <c r="O201" s="699"/>
      <c r="P20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0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0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0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0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0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0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0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02" spans="1:23">
      <c r="A202" s="309">
        <f>ROW()-ROW(Комплекты[[#Headers],[№]])</f>
        <v>200</v>
      </c>
      <c r="B202" s="309" t="str">
        <f>Комплекты[[#This Row],[Пр]]&amp;"_"&amp;Комплекты[[#This Row],[Обозначение]]</f>
        <v>1_4497230500</v>
      </c>
      <c r="C202" s="309">
        <f>COUNTIFS($E$3:Комплекты[[#This Row],[Комплект]],Комплекты[[#This Row],[Комплект]])</f>
        <v>4</v>
      </c>
      <c r="D202" s="310">
        <v>46063</v>
      </c>
      <c r="E202" s="311">
        <v>4441000600</v>
      </c>
      <c r="F202" s="302">
        <v>1</v>
      </c>
      <c r="G202" s="313">
        <v>4497230500</v>
      </c>
      <c r="H202" s="302">
        <v>4</v>
      </c>
      <c r="I202" s="399" t="str">
        <f>INDEX(База[],MATCH(Комплекты[[#This Row],[Обозначение]],База[Артикул],0),MATCH(I$2,База[#Headers],0))</f>
        <v>Кабель датчика АБС, 5 м</v>
      </c>
      <c r="J202" s="399" t="str">
        <f>INDEX(База[],MATCH(Комплекты[[#This Row],[Комплект]],База[Артикул],0),MATCH("наименование",База[#Headers],0))</f>
        <v>Комплект "TEBS 4S/3M (15 м)" специальный</v>
      </c>
      <c r="K202" s="399"/>
      <c r="L20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0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02" s="699" t="str">
        <f>IF(IFERROR(MATCH("нет",Комплекты[[#This Row],[   ]:[АВТОВИК]],0)&gt;0,),"НЕТ","ОК")</f>
        <v>ОК</v>
      </c>
      <c r="O202" s="699"/>
      <c r="P20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0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0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0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0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0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0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0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03" spans="1:23">
      <c r="A203" s="309">
        <f>ROW()-ROW(Комплекты[[#Headers],[№]])</f>
        <v>201</v>
      </c>
      <c r="B203" s="309" t="str">
        <f>Комплекты[[#This Row],[Пр]]&amp;"_"&amp;Комплекты[[#This Row],[Обозначение]]</f>
        <v>1_4630320200</v>
      </c>
      <c r="C203" s="309">
        <f>COUNTIFS($E$3:Комплекты[[#This Row],[Комплект]],Комплекты[[#This Row],[Комплект]])</f>
        <v>5</v>
      </c>
      <c r="D203" s="310">
        <v>46063</v>
      </c>
      <c r="E203" s="311">
        <v>4441000600</v>
      </c>
      <c r="F203" s="302">
        <v>1</v>
      </c>
      <c r="G203" s="313">
        <v>4630320200</v>
      </c>
      <c r="H203" s="302">
        <v>1</v>
      </c>
      <c r="I203" s="399" t="str">
        <f>INDEX(База[],MATCH(Комплекты[[#This Row],[Обозначение]],База[Артикул],0),MATCH(I$2,База[#Headers],0))</f>
        <v>Кран ручного управления</v>
      </c>
      <c r="J203" s="399" t="str">
        <f>INDEX(База[],MATCH(Комплекты[[#This Row],[Комплект]],База[Артикул],0),MATCH("наименование",База[#Headers],0))</f>
        <v>Комплект "TEBS 4S/3M (15 м)" специальный</v>
      </c>
      <c r="K203" s="399"/>
      <c r="L20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0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03" s="699" t="str">
        <f>IF(IFERROR(MATCH("нет",Комплекты[[#This Row],[   ]:[АВТОВИК]],0)&gt;0,),"НЕТ","ОК")</f>
        <v>ОК</v>
      </c>
      <c r="O203" s="699"/>
      <c r="P20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0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0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0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0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0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0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0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04" spans="1:23">
      <c r="A204" s="309">
        <f>ROW()-ROW(Комплекты[[#Headers],[№]])</f>
        <v>202</v>
      </c>
      <c r="B204" s="309" t="str">
        <f>Комплекты[[#This Row],[Пр]]&amp;"_"&amp;Комплекты[[#This Row],[Обозначение]]</f>
        <v>1_4640060020</v>
      </c>
      <c r="C204" s="309">
        <f>COUNTIFS($E$3:Комплекты[[#This Row],[Комплект]],Комплекты[[#This Row],[Комплект]])</f>
        <v>6</v>
      </c>
      <c r="D204" s="310">
        <v>46063</v>
      </c>
      <c r="E204" s="311">
        <v>4441000600</v>
      </c>
      <c r="F204" s="302">
        <v>1</v>
      </c>
      <c r="G204" s="313">
        <v>4640060020</v>
      </c>
      <c r="H204" s="302">
        <v>1</v>
      </c>
      <c r="I204" s="399" t="str">
        <f>INDEX(База[],MATCH(Комплекты[[#This Row],[Обозначение]],База[Артикул],0),MATCH(I$2,База[#Headers],0))</f>
        <v>Кран уровня пола</v>
      </c>
      <c r="J204" s="399" t="str">
        <f>INDEX(База[],MATCH(Комплекты[[#This Row],[Комплект]],База[Артикул],0),MATCH("наименование",База[#Headers],0))</f>
        <v>Комплект "TEBS 4S/3M (15 м)" специальный</v>
      </c>
      <c r="K204" s="399"/>
      <c r="L20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0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04" s="699" t="str">
        <f>IF(IFERROR(MATCH("нет",Комплекты[[#This Row],[   ]:[АВТОВИК]],0)&gt;0,),"НЕТ","ОК")</f>
        <v>ОК</v>
      </c>
      <c r="O204" s="699"/>
      <c r="P20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0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0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0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0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0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0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0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05" spans="1:23">
      <c r="A205" s="309">
        <f>ROW()-ROW(Комплекты[[#Headers],[№]])</f>
        <v>203</v>
      </c>
      <c r="B205" s="309" t="str">
        <f>Комплекты[[#This Row],[Пр]]&amp;"_"&amp;Комплекты[[#This Row],[Обозначение]]</f>
        <v>1_4801020640</v>
      </c>
      <c r="C205" s="309">
        <f>COUNTIFS($E$3:Комплекты[[#This Row],[Комплект]],Комплекты[[#This Row],[Комплект]])</f>
        <v>7</v>
      </c>
      <c r="D205" s="310">
        <v>46063</v>
      </c>
      <c r="E205" s="311">
        <v>4441000600</v>
      </c>
      <c r="F205" s="302">
        <v>1</v>
      </c>
      <c r="G205" s="313">
        <v>4801020640</v>
      </c>
      <c r="H205" s="302">
        <v>1</v>
      </c>
      <c r="I205" s="399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205" s="399" t="str">
        <f>INDEX(База[],MATCH(Комплекты[[#This Row],[Комплект]],База[Артикул],0),MATCH("наименование",База[#Headers],0))</f>
        <v>Комплект "TEBS 4S/3M (15 м)" специальный</v>
      </c>
      <c r="K205" s="399"/>
      <c r="L20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0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05" s="699" t="str">
        <f>IF(IFERROR(MATCH("нет",Комплекты[[#This Row],[   ]:[АВТОВИК]],0)&gt;0,),"НЕТ","ОК")</f>
        <v>ОК</v>
      </c>
      <c r="O205" s="699"/>
      <c r="P20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0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0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0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0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0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0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0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06" spans="1:23">
      <c r="A206" s="309">
        <f>ROW()-ROW(Комплекты[[#Headers],[№]])</f>
        <v>204</v>
      </c>
      <c r="B206" s="309" t="str">
        <f>Комплекты[[#This Row],[Пр]]&amp;"_"&amp;Комплекты[[#This Row],[Обозначение]]</f>
        <v>1_4802070600</v>
      </c>
      <c r="C206" s="309">
        <f>COUNTIFS($E$3:Комплекты[[#This Row],[Комплект]],Комплекты[[#This Row],[Комплект]])</f>
        <v>8</v>
      </c>
      <c r="D206" s="310">
        <v>46063</v>
      </c>
      <c r="E206" s="311">
        <v>4441000600</v>
      </c>
      <c r="F206" s="302">
        <v>1</v>
      </c>
      <c r="G206" s="313">
        <v>4802070600</v>
      </c>
      <c r="H206" s="302">
        <v>1</v>
      </c>
      <c r="I206" s="399" t="str">
        <f>INDEX(База[],MATCH(Комплекты[[#This Row],[Обозначение]],База[Артикул],0),MATCH(I$2,База[#Headers],0))</f>
        <v>Клапан ускорительный TEBS</v>
      </c>
      <c r="J206" s="399" t="str">
        <f>INDEX(База[],MATCH(Комплекты[[#This Row],[Комплект]],База[Артикул],0),MATCH("наименование",База[#Headers],0))</f>
        <v>Комплект "TEBS 4S/3M (15 м)" специальный</v>
      </c>
      <c r="K206" s="399"/>
      <c r="L20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0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06" s="699" t="str">
        <f>IF(IFERROR(MATCH("нет",Комплекты[[#This Row],[   ]:[АВТОВИК]],0)&gt;0,),"НЕТ","ОК")</f>
        <v>ОК</v>
      </c>
      <c r="O206" s="699"/>
      <c r="P20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0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0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0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0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0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0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0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07" spans="1:23">
      <c r="A207" s="309">
        <f>ROW()-ROW(Комплекты[[#Headers],[№]])</f>
        <v>205</v>
      </c>
      <c r="B207" s="309" t="str">
        <f>Комплекты[[#This Row],[Пр]]&amp;"_"&amp;Комплекты[[#This Row],[Обозначение]]</f>
        <v>1_9522010010</v>
      </c>
      <c r="C207" s="309">
        <f>COUNTIFS($E$3:Комплекты[[#This Row],[Комплект]],Комплекты[[#This Row],[Комплект]])</f>
        <v>9</v>
      </c>
      <c r="D207" s="310">
        <v>46063</v>
      </c>
      <c r="E207" s="311">
        <v>4441000600</v>
      </c>
      <c r="F207" s="302">
        <v>1</v>
      </c>
      <c r="G207" s="313">
        <v>9522010010</v>
      </c>
      <c r="H207" s="302">
        <v>1</v>
      </c>
      <c r="I207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207" s="399" t="str">
        <f>INDEX(База[],MATCH(Комплекты[[#This Row],[Комплект]],База[Артикул],0),MATCH("наименование",База[#Headers],0))</f>
        <v>Комплект "TEBS 4S/3M (15 м)" специальный</v>
      </c>
      <c r="K207" s="399"/>
      <c r="L20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0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07" s="699" t="str">
        <f>IF(IFERROR(MATCH("нет",Комплекты[[#This Row],[   ]:[АВТОВИК]],0)&gt;0,),"НЕТ","ОК")</f>
        <v>ОК</v>
      </c>
      <c r="O207" s="699"/>
      <c r="P20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0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0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0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0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0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0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0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08" spans="1:23">
      <c r="A208" s="309">
        <f>ROW()-ROW(Комплекты[[#Headers],[№]])</f>
        <v>206</v>
      </c>
      <c r="B208" s="309" t="str">
        <f>Комплекты[[#This Row],[Пр]]&amp;"_"&amp;Комплекты[[#This Row],[Обозначение]]</f>
        <v>1_9522010020</v>
      </c>
      <c r="C208" s="309">
        <f>COUNTIFS($E$3:Комплекты[[#This Row],[Комплект]],Комплекты[[#This Row],[Комплект]])</f>
        <v>10</v>
      </c>
      <c r="D208" s="310">
        <v>46063</v>
      </c>
      <c r="E208" s="311">
        <v>4441000600</v>
      </c>
      <c r="F208" s="302">
        <v>1</v>
      </c>
      <c r="G208" s="313">
        <v>9522010020</v>
      </c>
      <c r="H208" s="302">
        <v>1</v>
      </c>
      <c r="I208" s="399" t="str">
        <f>INDEX(База[],MATCH(Комплекты[[#This Row],[Обозначение]],База[Артикул],0),MATCH(I$2,База[#Headers],0))</f>
        <v>Головка соединительная (питающая)</v>
      </c>
      <c r="J208" s="399" t="str">
        <f>INDEX(База[],MATCH(Комплекты[[#This Row],[Комплект]],База[Артикул],0),MATCH("наименование",База[#Headers],0))</f>
        <v>Комплект "TEBS 4S/3M (15 м)" специальный</v>
      </c>
      <c r="K208" s="399"/>
      <c r="L20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0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08" s="699" t="str">
        <f>IF(IFERROR(MATCH("нет",Комплекты[[#This Row],[   ]:[АВТОВИК]],0)&gt;0,),"НЕТ","ОК")</f>
        <v>ОК</v>
      </c>
      <c r="O208" s="699"/>
      <c r="P20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0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0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0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0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0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0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0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09" spans="1:23">
      <c r="A209" s="309">
        <f>ROW()-ROW(Комплекты[[#Headers],[№]])</f>
        <v>207</v>
      </c>
      <c r="B209" s="309" t="str">
        <f>Комплекты[[#This Row],[Пр]]&amp;"_"&amp;Комплекты[[#This Row],[Обозначение]]</f>
        <v>1_4491731200</v>
      </c>
      <c r="C209" s="309">
        <f>COUNTIFS($E$3:Комплекты[[#This Row],[Комплект]],Комплекты[[#This Row],[Комплект]])</f>
        <v>1</v>
      </c>
      <c r="D209" s="310">
        <v>46108</v>
      </c>
      <c r="E209" s="311">
        <v>4441000700</v>
      </c>
      <c r="F209" s="302">
        <v>1</v>
      </c>
      <c r="G209" s="313">
        <v>4491731200</v>
      </c>
      <c r="H209" s="302">
        <v>1</v>
      </c>
      <c r="I209" s="399" t="str">
        <f>INDEX(База[],MATCH(Комплекты[[#This Row],[Обозначение]],База[Артикул],0),MATCH(I$2,База[#Headers],0))</f>
        <v>Кабель питания, 12 м</v>
      </c>
      <c r="J209" s="399" t="str">
        <f>INDEX(База[],MATCH(Комплекты[[#This Row],[Комплект]],База[Артикул],0),MATCH("наименование",База[#Headers],0))</f>
        <v>Комплект "TEBS 2S/2M (12 м)" стандарт</v>
      </c>
      <c r="K209" s="399"/>
      <c r="L20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0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09" s="699" t="str">
        <f>IF(IFERROR(MATCH("нет",Комплекты[[#This Row],[   ]:[АВТОВИК]],0)&gt;0,),"НЕТ","ОК")</f>
        <v>ОК</v>
      </c>
      <c r="O209" s="699"/>
      <c r="P20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0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0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0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0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0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0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0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10" spans="1:23">
      <c r="A210" s="309">
        <f>ROW()-ROW(Комплекты[[#Headers],[№]])</f>
        <v>208</v>
      </c>
      <c r="B210" s="309" t="str">
        <f>Комплекты[[#This Row],[Пр]]&amp;"_"&amp;Комплекты[[#This Row],[Обозначение]]</f>
        <v>1_4497230500</v>
      </c>
      <c r="C210" s="309">
        <f>COUNTIFS($E$3:Комплекты[[#This Row],[Комплект]],Комплекты[[#This Row],[Комплект]])</f>
        <v>2</v>
      </c>
      <c r="D210" s="310">
        <v>46108</v>
      </c>
      <c r="E210" s="311">
        <v>4441000700</v>
      </c>
      <c r="F210" s="302">
        <v>1</v>
      </c>
      <c r="G210" s="313">
        <v>4497230500</v>
      </c>
      <c r="H210" s="302">
        <v>2</v>
      </c>
      <c r="I210" s="399" t="str">
        <f>INDEX(База[],MATCH(Комплекты[[#This Row],[Обозначение]],База[Артикул],0),MATCH(I$2,База[#Headers],0))</f>
        <v>Кабель датчика АБС, 5 м</v>
      </c>
      <c r="J210" s="399" t="str">
        <f>INDEX(База[],MATCH(Комплекты[[#This Row],[Комплект]],База[Артикул],0),MATCH("наименование",База[#Headers],0))</f>
        <v>Комплект "TEBS 2S/2M (12 м)" стандарт</v>
      </c>
      <c r="K210" s="399"/>
      <c r="L21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1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10" s="699" t="str">
        <f>IF(IFERROR(MATCH("нет",Комплекты[[#This Row],[   ]:[АВТОВИК]],0)&gt;0,),"НЕТ","ОК")</f>
        <v>ОК</v>
      </c>
      <c r="O210" s="699"/>
      <c r="P21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1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1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1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1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1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1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1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11" spans="1:23">
      <c r="A211" s="309">
        <f>ROW()-ROW(Комплекты[[#Headers],[№]])</f>
        <v>209</v>
      </c>
      <c r="B211" s="309" t="str">
        <f>Комплекты[[#This Row],[Пр]]&amp;"_"&amp;Комплекты[[#This Row],[Обозначение]]</f>
        <v>1_4801020640</v>
      </c>
      <c r="C211" s="309">
        <f>COUNTIFS($E$3:Комплекты[[#This Row],[Комплект]],Комплекты[[#This Row],[Комплект]])</f>
        <v>3</v>
      </c>
      <c r="D211" s="310">
        <v>46108</v>
      </c>
      <c r="E211" s="311">
        <v>4441000700</v>
      </c>
      <c r="F211" s="302">
        <v>1</v>
      </c>
      <c r="G211" s="313">
        <v>4801020640</v>
      </c>
      <c r="H211" s="302">
        <v>1</v>
      </c>
      <c r="I211" s="399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211" s="399" t="str">
        <f>INDEX(База[],MATCH(Комплекты[[#This Row],[Комплект]],База[Артикул],0),MATCH("наименование",База[#Headers],0))</f>
        <v>Комплект "TEBS 2S/2M (12 м)" стандарт</v>
      </c>
      <c r="K211" s="399"/>
      <c r="L21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1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11" s="699" t="str">
        <f>IF(IFERROR(MATCH("нет",Комплекты[[#This Row],[   ]:[АВТОВИК]],0)&gt;0,),"НЕТ","ОК")</f>
        <v>ОК</v>
      </c>
      <c r="O211" s="699"/>
      <c r="P21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1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1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1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1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1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1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1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12" spans="1:23">
      <c r="A212" s="309">
        <f>ROW()-ROW(Комплекты[[#Headers],[№]])</f>
        <v>210</v>
      </c>
      <c r="B212" s="309" t="str">
        <f>Комплекты[[#This Row],[Пр]]&amp;"_"&amp;Комплекты[[#This Row],[Обозначение]]</f>
        <v>1_9522010010</v>
      </c>
      <c r="C212" s="309">
        <f>COUNTIFS($E$3:Комплекты[[#This Row],[Комплект]],Комплекты[[#This Row],[Комплект]])</f>
        <v>4</v>
      </c>
      <c r="D212" s="310">
        <v>46108</v>
      </c>
      <c r="E212" s="311">
        <v>4441000700</v>
      </c>
      <c r="F212" s="302">
        <v>1</v>
      </c>
      <c r="G212" s="313">
        <v>9522010010</v>
      </c>
      <c r="H212" s="302">
        <v>1</v>
      </c>
      <c r="I212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212" s="399" t="str">
        <f>INDEX(База[],MATCH(Комплекты[[#This Row],[Комплект]],База[Артикул],0),MATCH("наименование",База[#Headers],0))</f>
        <v>Комплект "TEBS 2S/2M (12 м)" стандарт</v>
      </c>
      <c r="K212" s="399"/>
      <c r="L21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1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12" s="699" t="str">
        <f>IF(IFERROR(MATCH("нет",Комплекты[[#This Row],[   ]:[АВТОВИК]],0)&gt;0,),"НЕТ","ОК")</f>
        <v>ОК</v>
      </c>
      <c r="O212" s="699"/>
      <c r="P21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1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1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1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1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1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1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1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13" spans="1:23">
      <c r="A213" s="314">
        <f>ROW()-ROW(Комплекты[[#Headers],[№]])</f>
        <v>211</v>
      </c>
      <c r="B213" s="314" t="str">
        <f>Комплекты[[#This Row],[Пр]]&amp;"_"&amp;Комплекты[[#This Row],[Обозначение]]</f>
        <v>1_9522010020</v>
      </c>
      <c r="C213" s="314">
        <f>COUNTIFS($E$3:Комплекты[[#This Row],[Комплект]],Комплекты[[#This Row],[Комплект]])</f>
        <v>5</v>
      </c>
      <c r="D213" s="315">
        <v>46108</v>
      </c>
      <c r="E213" s="316">
        <v>4441000700</v>
      </c>
      <c r="F213" s="303">
        <v>1</v>
      </c>
      <c r="G213" s="317">
        <v>9522010020</v>
      </c>
      <c r="H213" s="303">
        <v>1</v>
      </c>
      <c r="I213" s="705" t="str">
        <f>INDEX(База[],MATCH(Комплекты[[#This Row],[Обозначение]],База[Артикул],0),MATCH(I$2,База[#Headers],0))</f>
        <v>Головка соединительная (питающая)</v>
      </c>
      <c r="J213" s="705" t="str">
        <f>INDEX(База[],MATCH(Комплекты[[#This Row],[Комплект]],База[Артикул],0),MATCH("наименование",База[#Headers],0))</f>
        <v>Комплект "TEBS 2S/2M (12 м)" стандарт</v>
      </c>
      <c r="K213" s="705"/>
      <c r="L213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13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13" s="707" t="str">
        <f>IF(IFERROR(MATCH("нет",Комплекты[[#This Row],[   ]:[АВТОВИК]],0)&gt;0,),"НЕТ","ОК")</f>
        <v>ОК</v>
      </c>
      <c r="O213" s="707"/>
      <c r="P213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13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13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13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13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13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13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13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14" spans="1:23">
      <c r="A214" s="309">
        <f>ROW()-ROW(Комплекты[[#Headers],[№]])</f>
        <v>212</v>
      </c>
      <c r="B214" s="309" t="str">
        <f>Комплекты[[#This Row],[Пр]]&amp;"_"&amp;Комплекты[[#This Row],[Обозначение]]</f>
        <v>1_9710029000</v>
      </c>
      <c r="C214" s="309">
        <f>COUNTIFS($E$3:Комплекты[[#This Row],[Комплект]],Комплекты[[#This Row],[Комплект]])</f>
        <v>6</v>
      </c>
      <c r="D214" s="310">
        <v>46108</v>
      </c>
      <c r="E214" s="311">
        <v>4441000700</v>
      </c>
      <c r="F214" s="302">
        <v>1</v>
      </c>
      <c r="G214" s="313">
        <v>9710029000</v>
      </c>
      <c r="H214" s="302">
        <v>1</v>
      </c>
      <c r="I214" s="399" t="str">
        <f>INDEX(База[],MATCH(Комплекты[[#This Row],[Обозначение]],База[Артикул],0),MATCH(I$2,База[#Headers],0))</f>
        <v>Воздухораспределитель с клапаном растормаживания</v>
      </c>
      <c r="J214" s="399" t="str">
        <f>INDEX(База[],MATCH(Комплекты[[#This Row],[Комплект]],База[Артикул],0),MATCH("наименование",База[#Headers],0))</f>
        <v>Комплект "TEBS 2S/2M (12 м)" стандарт</v>
      </c>
      <c r="K214" s="399"/>
      <c r="L21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1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14" s="699" t="str">
        <f>IF(IFERROR(MATCH("нет",Комплекты[[#This Row],[   ]:[АВТОВИК]],0)&gt;0,),"НЕТ","ОК")</f>
        <v>ОК</v>
      </c>
      <c r="O214" s="699"/>
      <c r="P21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1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1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1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1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1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1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1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15" spans="1:23">
      <c r="A215" s="309">
        <f>ROW()-ROW(Комплекты[[#Headers],[№]])</f>
        <v>213</v>
      </c>
      <c r="B215" s="309" t="str">
        <f>Комплекты[[#This Row],[Пр]]&amp;"_"&amp;Комплекты[[#This Row],[Обозначение]]</f>
        <v>1_4491731800</v>
      </c>
      <c r="C215" s="309">
        <f>COUNTIFS($E$3:Комплекты[[#This Row],[Комплект]],Комплекты[[#This Row],[Комплект]])</f>
        <v>1</v>
      </c>
      <c r="D215" s="310">
        <v>46108</v>
      </c>
      <c r="E215" s="311">
        <v>4441000710</v>
      </c>
      <c r="F215" s="302">
        <v>1</v>
      </c>
      <c r="G215" s="313">
        <v>4491731800</v>
      </c>
      <c r="H215" s="302">
        <v>1</v>
      </c>
      <c r="I215" s="399" t="str">
        <f>INDEX(База[],MATCH(Комплекты[[#This Row],[Обозначение]],База[Артикул],0),MATCH(I$2,База[#Headers],0))</f>
        <v>Кабель питания, 18 м</v>
      </c>
      <c r="J215" s="399" t="str">
        <f>INDEX(База[],MATCH(Комплекты[[#This Row],[Комплект]],База[Артикул],0),MATCH("наименование",База[#Headers],0))</f>
        <v>Комплект "TEBS 2S/2M (18 м)" стандарт</v>
      </c>
      <c r="K215" s="399"/>
      <c r="L21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1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15" s="699" t="str">
        <f>IF(IFERROR(MATCH("нет",Комплекты[[#This Row],[   ]:[АВТОВИК]],0)&gt;0,),"НЕТ","ОК")</f>
        <v>ОК</v>
      </c>
      <c r="O215" s="699"/>
      <c r="P21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1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1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1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1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1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1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1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16" spans="1:23">
      <c r="A216" s="309">
        <f>ROW()-ROW(Комплекты[[#Headers],[№]])</f>
        <v>214</v>
      </c>
      <c r="B216" s="309" t="str">
        <f>Комплекты[[#This Row],[Пр]]&amp;"_"&amp;Комплекты[[#This Row],[Обозначение]]</f>
        <v>1_4497230500</v>
      </c>
      <c r="C216" s="309">
        <f>COUNTIFS($E$3:Комплекты[[#This Row],[Комплект]],Комплекты[[#This Row],[Комплект]])</f>
        <v>2</v>
      </c>
      <c r="D216" s="310">
        <v>46108</v>
      </c>
      <c r="E216" s="311">
        <v>4441000710</v>
      </c>
      <c r="F216" s="302">
        <v>1</v>
      </c>
      <c r="G216" s="313">
        <v>4497230500</v>
      </c>
      <c r="H216" s="302">
        <v>2</v>
      </c>
      <c r="I216" s="399" t="str">
        <f>INDEX(База[],MATCH(Комплекты[[#This Row],[Обозначение]],База[Артикул],0),MATCH(I$2,База[#Headers],0))</f>
        <v>Кабель датчика АБС, 5 м</v>
      </c>
      <c r="J216" s="399" t="str">
        <f>INDEX(База[],MATCH(Комплекты[[#This Row],[Комплект]],База[Артикул],0),MATCH("наименование",База[#Headers],0))</f>
        <v>Комплект "TEBS 2S/2M (18 м)" стандарт</v>
      </c>
      <c r="K216" s="399"/>
      <c r="L21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1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16" s="699" t="str">
        <f>IF(IFERROR(MATCH("нет",Комплекты[[#This Row],[   ]:[АВТОВИК]],0)&gt;0,),"НЕТ","ОК")</f>
        <v>ОК</v>
      </c>
      <c r="O216" s="699"/>
      <c r="P21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1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1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1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1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1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1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1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17" spans="1:23">
      <c r="A217" s="309">
        <f>ROW()-ROW(Комплекты[[#Headers],[№]])</f>
        <v>215</v>
      </c>
      <c r="B217" s="309" t="str">
        <f>Комплекты[[#This Row],[Пр]]&amp;"_"&amp;Комплекты[[#This Row],[Обозначение]]</f>
        <v>1_4801020640</v>
      </c>
      <c r="C217" s="309">
        <f>COUNTIFS($E$3:Комплекты[[#This Row],[Комплект]],Комплекты[[#This Row],[Комплект]])</f>
        <v>3</v>
      </c>
      <c r="D217" s="310">
        <v>46108</v>
      </c>
      <c r="E217" s="311">
        <v>4441000710</v>
      </c>
      <c r="F217" s="302">
        <v>1</v>
      </c>
      <c r="G217" s="313">
        <v>4801020640</v>
      </c>
      <c r="H217" s="302">
        <v>1</v>
      </c>
      <c r="I217" s="399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217" s="399" t="str">
        <f>INDEX(База[],MATCH(Комплекты[[#This Row],[Комплект]],База[Артикул],0),MATCH("наименование",База[#Headers],0))</f>
        <v>Комплект "TEBS 2S/2M (18 м)" стандарт</v>
      </c>
      <c r="K217" s="399"/>
      <c r="L21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1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17" s="699" t="str">
        <f>IF(IFERROR(MATCH("нет",Комплекты[[#This Row],[   ]:[АВТОВИК]],0)&gt;0,),"НЕТ","ОК")</f>
        <v>ОК</v>
      </c>
      <c r="O217" s="699"/>
      <c r="P21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1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1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1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1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1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1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1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18" spans="1:23">
      <c r="A218" s="309">
        <f>ROW()-ROW(Комплекты[[#Headers],[№]])</f>
        <v>216</v>
      </c>
      <c r="B218" s="309" t="str">
        <f>Комплекты[[#This Row],[Пр]]&amp;"_"&amp;Комплекты[[#This Row],[Обозначение]]</f>
        <v>1_9522010010</v>
      </c>
      <c r="C218" s="309">
        <f>COUNTIFS($E$3:Комплекты[[#This Row],[Комплект]],Комплекты[[#This Row],[Комплект]])</f>
        <v>4</v>
      </c>
      <c r="D218" s="310">
        <v>46108</v>
      </c>
      <c r="E218" s="311">
        <v>4441000710</v>
      </c>
      <c r="F218" s="302">
        <v>1</v>
      </c>
      <c r="G218" s="313">
        <v>9522010010</v>
      </c>
      <c r="H218" s="302">
        <v>1</v>
      </c>
      <c r="I218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218" s="399" t="str">
        <f>INDEX(База[],MATCH(Комплекты[[#This Row],[Комплект]],База[Артикул],0),MATCH("наименование",База[#Headers],0))</f>
        <v>Комплект "TEBS 2S/2M (18 м)" стандарт</v>
      </c>
      <c r="K218" s="399"/>
      <c r="L21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1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18" s="699" t="str">
        <f>IF(IFERROR(MATCH("нет",Комплекты[[#This Row],[   ]:[АВТОВИК]],0)&gt;0,),"НЕТ","ОК")</f>
        <v>ОК</v>
      </c>
      <c r="O218" s="699"/>
      <c r="P21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1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1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1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1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1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1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1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19" spans="1:23">
      <c r="A219" s="309">
        <f>ROW()-ROW(Комплекты[[#Headers],[№]])</f>
        <v>217</v>
      </c>
      <c r="B219" s="309" t="str">
        <f>Комплекты[[#This Row],[Пр]]&amp;"_"&amp;Комплекты[[#This Row],[Обозначение]]</f>
        <v>1_9522010020</v>
      </c>
      <c r="C219" s="309">
        <f>COUNTIFS($E$3:Комплекты[[#This Row],[Комплект]],Комплекты[[#This Row],[Комплект]])</f>
        <v>5</v>
      </c>
      <c r="D219" s="310">
        <v>46108</v>
      </c>
      <c r="E219" s="311">
        <v>4441000710</v>
      </c>
      <c r="F219" s="302">
        <v>1</v>
      </c>
      <c r="G219" s="313">
        <v>9522010020</v>
      </c>
      <c r="H219" s="302">
        <v>1</v>
      </c>
      <c r="I219" s="399" t="str">
        <f>INDEX(База[],MATCH(Комплекты[[#This Row],[Обозначение]],База[Артикул],0),MATCH(I$2,База[#Headers],0))</f>
        <v>Головка соединительная (питающая)</v>
      </c>
      <c r="J219" s="399" t="str">
        <f>INDEX(База[],MATCH(Комплекты[[#This Row],[Комплект]],База[Артикул],0),MATCH("наименование",База[#Headers],0))</f>
        <v>Комплект "TEBS 2S/2M (18 м)" стандарт</v>
      </c>
      <c r="K219" s="399"/>
      <c r="L21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1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19" s="699" t="str">
        <f>IF(IFERROR(MATCH("нет",Комплекты[[#This Row],[   ]:[АВТОВИК]],0)&gt;0,),"НЕТ","ОК")</f>
        <v>ОК</v>
      </c>
      <c r="O219" s="699"/>
      <c r="P21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1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1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1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1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1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1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1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20" spans="1:23">
      <c r="A220" s="309">
        <f>ROW()-ROW(Комплекты[[#Headers],[№]])</f>
        <v>218</v>
      </c>
      <c r="B220" s="309" t="str">
        <f>Комплекты[[#This Row],[Пр]]&amp;"_"&amp;Комплекты[[#This Row],[Обозначение]]</f>
        <v>1_9710029000</v>
      </c>
      <c r="C220" s="309">
        <f>COUNTIFS($E$3:Комплекты[[#This Row],[Комплект]],Комплекты[[#This Row],[Комплект]])</f>
        <v>6</v>
      </c>
      <c r="D220" s="310">
        <v>46108</v>
      </c>
      <c r="E220" s="311">
        <v>4441000710</v>
      </c>
      <c r="F220" s="302">
        <v>1</v>
      </c>
      <c r="G220" s="313">
        <v>9710029000</v>
      </c>
      <c r="H220" s="302">
        <v>1</v>
      </c>
      <c r="I220" s="399" t="str">
        <f>INDEX(База[],MATCH(Комплекты[[#This Row],[Обозначение]],База[Артикул],0),MATCH(I$2,База[#Headers],0))</f>
        <v>Воздухораспределитель с клапаном растормаживания</v>
      </c>
      <c r="J220" s="399" t="str">
        <f>INDEX(База[],MATCH(Комплекты[[#This Row],[Комплект]],База[Артикул],0),MATCH("наименование",База[#Headers],0))</f>
        <v>Комплект "TEBS 2S/2M (18 м)" стандарт</v>
      </c>
      <c r="K220" s="399"/>
      <c r="L22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2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20" s="699" t="str">
        <f>IF(IFERROR(MATCH("нет",Комплекты[[#This Row],[   ]:[АВТОВИК]],0)&gt;0,),"НЕТ","ОК")</f>
        <v>ОК</v>
      </c>
      <c r="O220" s="699"/>
      <c r="P22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2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2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2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2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2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2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2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21" spans="1:23">
      <c r="A221" s="309">
        <f>ROW()-ROW(Комплекты[[#Headers],[№]])</f>
        <v>219</v>
      </c>
      <c r="B221" s="309" t="str">
        <f>Комплекты[[#This Row],[Пр]]&amp;"_"&amp;Комплекты[[#This Row],[Обозначение]]</f>
        <v>1_4496161560</v>
      </c>
      <c r="C221" s="309">
        <f>COUNTIFS($E$3:Комплекты[[#This Row],[Комплект]],Комплекты[[#This Row],[Комплект]])</f>
        <v>1</v>
      </c>
      <c r="D221" s="310">
        <v>45974</v>
      </c>
      <c r="E221" s="311" t="s">
        <v>407</v>
      </c>
      <c r="F221" s="302">
        <v>1</v>
      </c>
      <c r="G221" s="313">
        <v>4496161560</v>
      </c>
      <c r="H221" s="302">
        <v>1</v>
      </c>
      <c r="I221" s="399" t="str">
        <f>INDEX(База[],MATCH(Комплекты[[#This Row],[Обозначение]],База[Артикул],0),MATCH(I$2,База[#Headers],0))</f>
        <v>Кабель ускорительного клапана ABS / диа., 10 м / 3 м</v>
      </c>
      <c r="J221" s="399" t="str">
        <f>INDEX(База[],MATCH(Комплекты[[#This Row],[Комплект]],База[Артикул],0),MATCH("наименование",База[#Headers],0))</f>
        <v>Комплект "ABS 2S/2M базовый W" +3-й модулятор</v>
      </c>
      <c r="K221" s="399"/>
      <c r="L22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2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21" s="699" t="str">
        <f>IF(IFERROR(MATCH("нет",Комплекты[[#This Row],[   ]:[АВТОВИК]],0)&gt;0,),"НЕТ","ОК")</f>
        <v>ОК</v>
      </c>
      <c r="O221" s="699"/>
      <c r="P22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2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2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2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2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2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2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2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22" spans="1:23">
      <c r="A222" s="309">
        <f>ROW()-ROW(Комплекты[[#Headers],[№]])</f>
        <v>220</v>
      </c>
      <c r="B222" s="309" t="str">
        <f>Комплекты[[#This Row],[Пр]]&amp;"_"&amp;Комплекты[[#This Row],[Обозначение]]</f>
        <v>1_4721950310</v>
      </c>
      <c r="C222" s="309">
        <f>COUNTIFS($E$3:Комплекты[[#This Row],[Комплект]],Комплекты[[#This Row],[Комплект]])</f>
        <v>2</v>
      </c>
      <c r="D222" s="310">
        <v>45974</v>
      </c>
      <c r="E222" s="311" t="s">
        <v>407</v>
      </c>
      <c r="F222" s="302">
        <v>1</v>
      </c>
      <c r="G222" s="313">
        <v>4721950310</v>
      </c>
      <c r="H222" s="302">
        <v>1</v>
      </c>
      <c r="I222" s="399" t="str">
        <f>INDEX(База[],MATCH(Комплекты[[#This Row],[Обозначение]],База[Артикул],0),MATCH(I$2,База[#Headers],0))</f>
        <v>Ускорительный клапан ABS</v>
      </c>
      <c r="J222" s="399" t="str">
        <f>INDEX(База[],MATCH(Комплекты[[#This Row],[Комплект]],База[Артикул],0),MATCH("наименование",База[#Headers],0))</f>
        <v>Комплект "ABS 2S/2M базовый W" +3-й модулятор</v>
      </c>
      <c r="K222" s="399"/>
      <c r="L22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2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22" s="699" t="str">
        <f>IF(IFERROR(MATCH("нет",Комплекты[[#This Row],[   ]:[АВТОВИК]],0)&gt;0,),"НЕТ","ОК")</f>
        <v>ОК</v>
      </c>
      <c r="O222" s="699"/>
      <c r="P22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2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2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2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2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2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2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2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23" spans="1:23">
      <c r="A223" s="309">
        <f>ROW()-ROW(Комплекты[[#Headers],[№]])</f>
        <v>221</v>
      </c>
      <c r="B223" s="309" t="str">
        <f>Комплекты[[#This Row],[Пр]]&amp;"_"&amp;Комплекты[[#This Row],[Обозначение]]</f>
        <v>2_4005000880</v>
      </c>
      <c r="C223" s="309">
        <f>COUNTIFS($E$3:Комплекты[[#This Row],[Комплект]],Комплекты[[#This Row],[Комплект]])</f>
        <v>3</v>
      </c>
      <c r="D223" s="310">
        <v>45974</v>
      </c>
      <c r="E223" s="311" t="s">
        <v>407</v>
      </c>
      <c r="F223" s="302">
        <v>2</v>
      </c>
      <c r="G223" s="313">
        <v>4005000880</v>
      </c>
      <c r="H223" s="302">
        <v>1</v>
      </c>
      <c r="I223" s="399" t="str">
        <f>INDEX(База[],MATCH(Комплекты[[#This Row],[Обозначение]],База[Артикул],0),MATCH(I$2,База[#Headers],0))</f>
        <v>Модулятор ABS</v>
      </c>
      <c r="J223" s="399" t="str">
        <f>INDEX(База[],MATCH(Комплекты[[#This Row],[Комплект]],База[Артикул],0),MATCH("наименование",База[#Headers],0))</f>
        <v>Комплект "ABS 2S/2M базовый W" +3-й модулятор</v>
      </c>
      <c r="K223" s="399"/>
      <c r="L22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2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23" s="699" t="str">
        <f>IF(IFERROR(MATCH("нет",Комплекты[[#This Row],[   ]:[АВТОВИК]],0)&gt;0,),"НЕТ","ОК")</f>
        <v>ОК</v>
      </c>
      <c r="O223" s="699"/>
      <c r="P22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2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2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2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2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2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2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2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24" spans="1:23">
      <c r="A224" s="309">
        <f>ROW()-ROW(Комплекты[[#Headers],[№]])</f>
        <v>222</v>
      </c>
      <c r="B224" s="309" t="str">
        <f>Комплекты[[#This Row],[Пр]]&amp;"_"&amp;Комплекты[[#This Row],[Обозначение]]</f>
        <v>2_4491301500</v>
      </c>
      <c r="C224" s="309">
        <f>COUNTIFS($E$3:Комплекты[[#This Row],[Комплект]],Комплекты[[#This Row],[Комплект]])</f>
        <v>4</v>
      </c>
      <c r="D224" s="310">
        <v>45974</v>
      </c>
      <c r="E224" s="311" t="s">
        <v>407</v>
      </c>
      <c r="F224" s="302">
        <v>2</v>
      </c>
      <c r="G224" s="313">
        <v>4491301500</v>
      </c>
      <c r="H224" s="302">
        <v>1</v>
      </c>
      <c r="I224" s="399" t="str">
        <f>INDEX(База[],MATCH(Комплекты[[#This Row],[Обозначение]],База[Артикул],0),MATCH(I$2,База[#Headers],0))</f>
        <v>Кабель питания ABS, часть 2, 15 м</v>
      </c>
      <c r="J224" s="399" t="str">
        <f>INDEX(База[],MATCH(Комплекты[[#This Row],[Комплект]],База[Артикул],0),MATCH("наименование",База[#Headers],0))</f>
        <v>Комплект "ABS 2S/2M базовый W" +3-й модулятор</v>
      </c>
      <c r="K224" s="399"/>
      <c r="L224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24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24" s="699" t="str">
        <f>IF(IFERROR(MATCH("нет",Комплекты[[#This Row],[   ]:[АВТОВИК]],0)&gt;0,),"НЕТ","ОК")</f>
        <v>ОК</v>
      </c>
      <c r="O224" s="699"/>
      <c r="P224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24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24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24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24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24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24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24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25" spans="1:23">
      <c r="A225" s="309">
        <f>ROW()-ROW(Комплекты[[#Headers],[№]])</f>
        <v>223</v>
      </c>
      <c r="B225" s="309" t="str">
        <f>Комплекты[[#This Row],[Пр]]&amp;"_"&amp;Комплекты[[#This Row],[Обозначение]]</f>
        <v>2_4493702820</v>
      </c>
      <c r="C225" s="309">
        <f>COUNTIFS($E$3:Комплекты[[#This Row],[Комплект]],Комплекты[[#This Row],[Комплект]])</f>
        <v>5</v>
      </c>
      <c r="D225" s="310">
        <v>45974</v>
      </c>
      <c r="E225" s="311" t="s">
        <v>407</v>
      </c>
      <c r="F225" s="302">
        <v>2</v>
      </c>
      <c r="G225" s="313">
        <v>4493702820</v>
      </c>
      <c r="H225" s="302">
        <v>1</v>
      </c>
      <c r="I225" s="399" t="str">
        <f>INDEX(База[],MATCH(Комплекты[[#This Row],[Обозначение]],База[Артикул],0),MATCH(I$2,База[#Headers],0))</f>
        <v>Кабель питания ABS, часть 1</v>
      </c>
      <c r="J225" s="399" t="str">
        <f>INDEX(База[],MATCH(Комплекты[[#This Row],[Комплект]],База[Артикул],0),MATCH("наименование",База[#Headers],0))</f>
        <v>Комплект "ABS 2S/2M базовый W" +3-й модулятор</v>
      </c>
      <c r="K225" s="399"/>
      <c r="L22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2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25" s="699" t="str">
        <f>IF(IFERROR(MATCH("нет",Комплекты[[#This Row],[   ]:[АВТОВИК]],0)&gt;0,),"НЕТ","ОК")</f>
        <v>ОК</v>
      </c>
      <c r="O225" s="699"/>
      <c r="P22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2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2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2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2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2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2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2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26" spans="1:23">
      <c r="A226" s="309">
        <f>ROW()-ROW(Комплекты[[#Headers],[№]])</f>
        <v>224</v>
      </c>
      <c r="B226" s="309" t="str">
        <f>Комплекты[[#This Row],[Пр]]&amp;"_"&amp;Комплекты[[#This Row],[Обозначение]]</f>
        <v>2_4497490300</v>
      </c>
      <c r="C226" s="309">
        <f>COUNTIFS($E$3:Комплекты[[#This Row],[Комплект]],Комплекты[[#This Row],[Комплект]])</f>
        <v>6</v>
      </c>
      <c r="D226" s="310">
        <v>45974</v>
      </c>
      <c r="E226" s="311" t="s">
        <v>407</v>
      </c>
      <c r="F226" s="302">
        <v>2</v>
      </c>
      <c r="G226" s="313">
        <v>4497490300</v>
      </c>
      <c r="H226" s="302">
        <v>4</v>
      </c>
      <c r="I226" s="399" t="str">
        <f>INDEX(База[],MATCH(Комплекты[[#This Row],[Обозначение]],База[Артикул],0),MATCH(I$2,База[#Headers],0))</f>
        <v>Кабель-удлинитель датчика ABS, 3 м</v>
      </c>
      <c r="J226" s="399" t="str">
        <f>INDEX(База[],MATCH(Комплекты[[#This Row],[Комплект]],База[Артикул],0),MATCH("наименование",База[#Headers],0))</f>
        <v>Комплект "ABS 2S/2M базовый W" +3-й модулятор</v>
      </c>
      <c r="K226" s="399"/>
      <c r="L22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2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26" s="699" t="str">
        <f>IF(IFERROR(MATCH("нет",Комплекты[[#This Row],[   ]:[АВТОВИК]],0)&gt;0,),"НЕТ","ОК")</f>
        <v>ОК</v>
      </c>
      <c r="O226" s="699"/>
      <c r="P22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2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2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2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2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2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2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2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27" spans="1:23">
      <c r="A227" s="314">
        <f>ROW()-ROW(Комплекты[[#Headers],[№]])</f>
        <v>225</v>
      </c>
      <c r="B227" s="314" t="str">
        <f>Комплекты[[#This Row],[Пр]]&amp;"_"&amp;Комплекты[[#This Row],[Обозначение]]</f>
        <v>2_9522010010</v>
      </c>
      <c r="C227" s="314">
        <f>COUNTIFS($E$3:Комплекты[[#This Row],[Комплект]],Комплекты[[#This Row],[Комплект]])</f>
        <v>7</v>
      </c>
      <c r="D227" s="310">
        <v>45974</v>
      </c>
      <c r="E227" s="316" t="s">
        <v>407</v>
      </c>
      <c r="F227" s="303">
        <v>2</v>
      </c>
      <c r="G227" s="317">
        <v>9522010010</v>
      </c>
      <c r="H227" s="303">
        <v>1</v>
      </c>
      <c r="I227" s="705" t="str">
        <f>INDEX(База[],MATCH(Комплекты[[#This Row],[Обозначение]],База[Артикул],0),MATCH(I$2,База[#Headers],0))</f>
        <v>Головка соединительная (управляющая)</v>
      </c>
      <c r="J227" s="705" t="str">
        <f>INDEX(База[],MATCH(Комплекты[[#This Row],[Комплект]],База[Артикул],0),MATCH("наименование",База[#Headers],0))</f>
        <v>Комплект "ABS 2S/2M базовый W" +3-й модулятор</v>
      </c>
      <c r="K227" s="705"/>
      <c r="L227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27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27" s="707" t="str">
        <f>IF(IFERROR(MATCH("нет",Комплекты[[#This Row],[   ]:[АВТОВИК]],0)&gt;0,),"НЕТ","ОК")</f>
        <v>ОК</v>
      </c>
      <c r="O227" s="707"/>
      <c r="P227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27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27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27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27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27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27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27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28" spans="1:23">
      <c r="A228" s="309">
        <f>ROW()-ROW(Комплекты[[#Headers],[№]])</f>
        <v>226</v>
      </c>
      <c r="B228" s="309" t="str">
        <f>Комплекты[[#This Row],[Пр]]&amp;"_"&amp;Комплекты[[#This Row],[Обозначение]]</f>
        <v>2_9522010020</v>
      </c>
      <c r="C228" s="309">
        <f>COUNTIFS($E$3:Комплекты[[#This Row],[Комплект]],Комплекты[[#This Row],[Комплект]])</f>
        <v>8</v>
      </c>
      <c r="D228" s="310">
        <v>45974</v>
      </c>
      <c r="E228" s="311" t="s">
        <v>407</v>
      </c>
      <c r="F228" s="302">
        <v>2</v>
      </c>
      <c r="G228" s="313">
        <v>9522010020</v>
      </c>
      <c r="H228" s="302">
        <v>1</v>
      </c>
      <c r="I228" s="399" t="str">
        <f>INDEX(База[],MATCH(Комплекты[[#This Row],[Обозначение]],База[Артикул],0),MATCH(I$2,База[#Headers],0))</f>
        <v>Головка соединительная (питающая)</v>
      </c>
      <c r="J228" s="399" t="str">
        <f>INDEX(База[],MATCH(Комплекты[[#This Row],[Комплект]],База[Артикул],0),MATCH("наименование",База[#Headers],0))</f>
        <v>Комплект "ABS 2S/2M базовый W" +3-й модулятор</v>
      </c>
      <c r="K228" s="399"/>
      <c r="L22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2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28" s="699" t="str">
        <f>IF(IFERROR(MATCH("нет",Комплекты[[#This Row],[   ]:[АВТОВИК]],0)&gt;0,),"НЕТ","ОК")</f>
        <v>ОК</v>
      </c>
      <c r="O228" s="699"/>
      <c r="P22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2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2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2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2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2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2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2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29" spans="1:23">
      <c r="A229" s="309">
        <f>ROW()-ROW(Комплекты[[#Headers],[№]])</f>
        <v>227</v>
      </c>
      <c r="B229" s="309" t="str">
        <f>Комплекты[[#This Row],[Пр]]&amp;"_"&amp;Комплекты[[#This Row],[Обозначение]]</f>
        <v>2_9710020400</v>
      </c>
      <c r="C229" s="309">
        <f>COUNTIFS($E$3:Комплекты[[#This Row],[Комплект]],Комплекты[[#This Row],[Комплект]])</f>
        <v>9</v>
      </c>
      <c r="D229" s="310">
        <v>45974</v>
      </c>
      <c r="E229" s="311" t="s">
        <v>407</v>
      </c>
      <c r="F229" s="302">
        <v>2</v>
      </c>
      <c r="G229" s="313">
        <v>9710020400</v>
      </c>
      <c r="H229" s="302">
        <v>1</v>
      </c>
      <c r="I229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229" s="399" t="str">
        <f>INDEX(База[],MATCH(Комплекты[[#This Row],[Комплект]],База[Артикул],0),MATCH("наименование",База[#Headers],0))</f>
        <v>Комплект "ABS 2S/2M базовый W" +3-й модулятор</v>
      </c>
      <c r="K229" s="399"/>
      <c r="L22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2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29" s="699" t="str">
        <f>IF(IFERROR(MATCH("нет",Комплекты[[#This Row],[   ]:[АВТОВИК]],0)&gt;0,),"НЕТ","ОК")</f>
        <v>ОК</v>
      </c>
      <c r="O229" s="699"/>
      <c r="P22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2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2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2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2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2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2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2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30" spans="1:23">
      <c r="A230" s="309">
        <f>ROW()-ROW(Комплекты[[#Headers],[№]])</f>
        <v>228</v>
      </c>
      <c r="B230" s="309" t="str">
        <f>Комплекты[[#This Row],[Пр]]&amp;"_"&amp;Комплекты[[#This Row],[Обозначение]]</f>
        <v>2_4005000880</v>
      </c>
      <c r="C230" s="309">
        <f>COUNTIFS($E$3:Комплекты[[#This Row],[Комплект]],Комплекты[[#This Row],[Комплект]])</f>
        <v>1</v>
      </c>
      <c r="D230" s="310">
        <v>45884</v>
      </c>
      <c r="E230" s="311" t="s">
        <v>130</v>
      </c>
      <c r="F230" s="302">
        <v>2</v>
      </c>
      <c r="G230" s="313">
        <v>4005000880</v>
      </c>
      <c r="H230" s="302">
        <v>1</v>
      </c>
      <c r="I230" s="399" t="str">
        <f>INDEX(База[],MATCH(Комплекты[[#This Row],[Обозначение]],База[Артикул],0),MATCH(I$2,База[#Headers],0))</f>
        <v>Модулятор ABS</v>
      </c>
      <c r="J230" s="399" t="str">
        <f>INDEX(База[],MATCH(Комплекты[[#This Row],[Комплект]],База[Артикул],0),MATCH("наименование",База[#Headers],0))</f>
        <v>Комплект "ABS 2S/2M базовый W"</v>
      </c>
      <c r="K230" s="399"/>
      <c r="L23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3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30" s="699" t="str">
        <f>IF(IFERROR(MATCH("нет",Комплекты[[#This Row],[   ]:[АВТОВИК]],0)&gt;0,),"НЕТ","ОК")</f>
        <v>ОК</v>
      </c>
      <c r="O230" s="699"/>
      <c r="P23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3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3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3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3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3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3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3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31" spans="1:23">
      <c r="A231" s="309">
        <f>ROW()-ROW(Комплекты[[#Headers],[№]])</f>
        <v>229</v>
      </c>
      <c r="B231" s="309" t="str">
        <f>Комплекты[[#This Row],[Пр]]&amp;"_"&amp;Комплекты[[#This Row],[Обозначение]]</f>
        <v>2_4491301500</v>
      </c>
      <c r="C231" s="309">
        <f>COUNTIFS($E$3:Комплекты[[#This Row],[Комплект]],Комплекты[[#This Row],[Комплект]])</f>
        <v>2</v>
      </c>
      <c r="D231" s="310">
        <v>45884</v>
      </c>
      <c r="E231" s="311" t="s">
        <v>130</v>
      </c>
      <c r="F231" s="302">
        <v>2</v>
      </c>
      <c r="G231" s="313">
        <v>4491301500</v>
      </c>
      <c r="H231" s="302">
        <v>1</v>
      </c>
      <c r="I231" s="399" t="str">
        <f>INDEX(База[],MATCH(Комплекты[[#This Row],[Обозначение]],База[Артикул],0),MATCH(I$2,База[#Headers],0))</f>
        <v>Кабель питания ABS, часть 2, 15 м</v>
      </c>
      <c r="J231" s="399" t="str">
        <f>INDEX(База[],MATCH(Комплекты[[#This Row],[Комплект]],База[Артикул],0),MATCH("наименование",База[#Headers],0))</f>
        <v>Комплект "ABS 2S/2M базовый W"</v>
      </c>
      <c r="K231" s="399"/>
      <c r="L23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3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31" s="699" t="str">
        <f>IF(IFERROR(MATCH("нет",Комплекты[[#This Row],[   ]:[АВТОВИК]],0)&gt;0,),"НЕТ","ОК")</f>
        <v>ОК</v>
      </c>
      <c r="O231" s="699"/>
      <c r="P23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3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3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3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3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3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3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3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32" spans="1:23">
      <c r="A232" s="309">
        <f>ROW()-ROW(Комплекты[[#Headers],[№]])</f>
        <v>230</v>
      </c>
      <c r="B232" s="309" t="str">
        <f>Комплекты[[#This Row],[Пр]]&amp;"_"&amp;Комплекты[[#This Row],[Обозначение]]</f>
        <v>2_4493702820</v>
      </c>
      <c r="C232" s="309">
        <f>COUNTIFS($E$3:Комплекты[[#This Row],[Комплект]],Комплекты[[#This Row],[Комплект]])</f>
        <v>3</v>
      </c>
      <c r="D232" s="310">
        <v>45884</v>
      </c>
      <c r="E232" s="311" t="s">
        <v>130</v>
      </c>
      <c r="F232" s="302">
        <v>2</v>
      </c>
      <c r="G232" s="313">
        <v>4493702820</v>
      </c>
      <c r="H232" s="302">
        <v>1</v>
      </c>
      <c r="I232" s="399" t="str">
        <f>INDEX(База[],MATCH(Комплекты[[#This Row],[Обозначение]],База[Артикул],0),MATCH(I$2,База[#Headers],0))</f>
        <v>Кабель питания ABS, часть 1</v>
      </c>
      <c r="J232" s="399" t="str">
        <f>INDEX(База[],MATCH(Комплекты[[#This Row],[Комплект]],База[Артикул],0),MATCH("наименование",База[#Headers],0))</f>
        <v>Комплект "ABS 2S/2M базовый W"</v>
      </c>
      <c r="K232" s="399"/>
      <c r="L23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3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32" s="699" t="str">
        <f>IF(IFERROR(MATCH("нет",Комплекты[[#This Row],[   ]:[АВТОВИК]],0)&gt;0,),"НЕТ","ОК")</f>
        <v>ОК</v>
      </c>
      <c r="O232" s="699"/>
      <c r="P23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3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3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3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3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3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3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3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33" spans="1:23">
      <c r="A233" s="309">
        <f>ROW()-ROW(Комплекты[[#Headers],[№]])</f>
        <v>231</v>
      </c>
      <c r="B233" s="309" t="str">
        <f>Комплекты[[#This Row],[Пр]]&amp;"_"&amp;Комплекты[[#This Row],[Обозначение]]</f>
        <v>2_4497490300</v>
      </c>
      <c r="C233" s="309">
        <f>COUNTIFS($E$3:Комплекты[[#This Row],[Комплект]],Комплекты[[#This Row],[Комплект]])</f>
        <v>4</v>
      </c>
      <c r="D233" s="310">
        <v>45884</v>
      </c>
      <c r="E233" s="311" t="s">
        <v>130</v>
      </c>
      <c r="F233" s="302">
        <v>2</v>
      </c>
      <c r="G233" s="313">
        <v>4497490300</v>
      </c>
      <c r="H233" s="302">
        <v>2</v>
      </c>
      <c r="I233" s="399" t="str">
        <f>INDEX(База[],MATCH(Комплекты[[#This Row],[Обозначение]],База[Артикул],0),MATCH(I$2,База[#Headers],0))</f>
        <v>Кабель-удлинитель датчика ABS, 3 м</v>
      </c>
      <c r="J233" s="399" t="str">
        <f>INDEX(База[],MATCH(Комплекты[[#This Row],[Комплект]],База[Артикул],0),MATCH("наименование",База[#Headers],0))</f>
        <v>Комплект "ABS 2S/2M базовый W"</v>
      </c>
      <c r="K233" s="399"/>
      <c r="L23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3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33" s="699" t="str">
        <f>IF(IFERROR(MATCH("нет",Комплекты[[#This Row],[   ]:[АВТОВИК]],0)&gt;0,),"НЕТ","ОК")</f>
        <v>ОК</v>
      </c>
      <c r="O233" s="699"/>
      <c r="P23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3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3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3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3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3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3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3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34" spans="1:23">
      <c r="A234" s="314">
        <f>ROW()-ROW(Комплекты[[#Headers],[№]])</f>
        <v>232</v>
      </c>
      <c r="B234" s="314" t="str">
        <f>Комплекты[[#This Row],[Пр]]&amp;"_"&amp;Комплекты[[#This Row],[Обозначение]]</f>
        <v>2_9522010010</v>
      </c>
      <c r="C234" s="314">
        <f>COUNTIFS($E$3:Комплекты[[#This Row],[Комплект]],Комплекты[[#This Row],[Комплект]])</f>
        <v>5</v>
      </c>
      <c r="D234" s="310">
        <v>45884</v>
      </c>
      <c r="E234" s="316" t="s">
        <v>130</v>
      </c>
      <c r="F234" s="303">
        <v>2</v>
      </c>
      <c r="G234" s="317">
        <v>9522010010</v>
      </c>
      <c r="H234" s="303">
        <v>1</v>
      </c>
      <c r="I234" s="705" t="str">
        <f>INDEX(База[],MATCH(Комплекты[[#This Row],[Обозначение]],База[Артикул],0),MATCH(I$2,База[#Headers],0))</f>
        <v>Головка соединительная (управляющая)</v>
      </c>
      <c r="J234" s="705" t="str">
        <f>INDEX(База[],MATCH(Комплекты[[#This Row],[Комплект]],База[Артикул],0),MATCH("наименование",База[#Headers],0))</f>
        <v>Комплект "ABS 2S/2M базовый W"</v>
      </c>
      <c r="K234" s="705"/>
      <c r="L234" s="707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34" s="707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34" s="707" t="str">
        <f>IF(IFERROR(MATCH("нет",Комплекты[[#This Row],[   ]:[АВТОВИК]],0)&gt;0,),"НЕТ","ОК")</f>
        <v>ОК</v>
      </c>
      <c r="O234" s="707"/>
      <c r="P234" s="707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34" s="707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34" s="707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34" s="707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34" s="707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34" s="707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34" s="707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34" s="708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35" spans="1:23">
      <c r="A235" s="309">
        <f>ROW()-ROW(Комплекты[[#Headers],[№]])</f>
        <v>233</v>
      </c>
      <c r="B235" s="309" t="str">
        <f>Комплекты[[#This Row],[Пр]]&amp;"_"&amp;Комплекты[[#This Row],[Обозначение]]</f>
        <v>2_9522010020</v>
      </c>
      <c r="C235" s="309">
        <f>COUNTIFS($E$3:Комплекты[[#This Row],[Комплект]],Комплекты[[#This Row],[Комплект]])</f>
        <v>6</v>
      </c>
      <c r="D235" s="310">
        <v>45884</v>
      </c>
      <c r="E235" s="311" t="s">
        <v>130</v>
      </c>
      <c r="F235" s="302">
        <v>2</v>
      </c>
      <c r="G235" s="313">
        <v>9522010020</v>
      </c>
      <c r="H235" s="302">
        <v>1</v>
      </c>
      <c r="I235" s="399" t="str">
        <f>INDEX(База[],MATCH(Комплекты[[#This Row],[Обозначение]],База[Артикул],0),MATCH(I$2,База[#Headers],0))</f>
        <v>Головка соединительная (питающая)</v>
      </c>
      <c r="J235" s="399" t="str">
        <f>INDEX(База[],MATCH(Комплекты[[#This Row],[Комплект]],База[Артикул],0),MATCH("наименование",База[#Headers],0))</f>
        <v>Комплект "ABS 2S/2M базовый W"</v>
      </c>
      <c r="K235" s="399"/>
      <c r="L235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35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35" s="699" t="str">
        <f>IF(IFERROR(MATCH("нет",Комплекты[[#This Row],[   ]:[АВТОВИК]],0)&gt;0,),"НЕТ","ОК")</f>
        <v>ОК</v>
      </c>
      <c r="O235" s="699"/>
      <c r="P235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35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35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35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35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35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35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35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36" spans="1:23">
      <c r="A236" s="309">
        <f>ROW()-ROW(Комплекты[[#Headers],[№]])</f>
        <v>234</v>
      </c>
      <c r="B236" s="309" t="str">
        <f>Комплекты[[#This Row],[Пр]]&amp;"_"&amp;Комплекты[[#This Row],[Обозначение]]</f>
        <v>2_9710020400</v>
      </c>
      <c r="C236" s="309">
        <f>COUNTIFS($E$3:Комплекты[[#This Row],[Комплект]],Комплекты[[#This Row],[Комплект]])</f>
        <v>7</v>
      </c>
      <c r="D236" s="310">
        <v>45884</v>
      </c>
      <c r="E236" s="311" t="s">
        <v>130</v>
      </c>
      <c r="F236" s="302">
        <v>2</v>
      </c>
      <c r="G236" s="313">
        <v>9710020400</v>
      </c>
      <c r="H236" s="302">
        <v>1</v>
      </c>
      <c r="I236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236" s="399" t="str">
        <f>INDEX(База[],MATCH(Комплекты[[#This Row],[Комплект]],База[Артикул],0),MATCH("наименование",База[#Headers],0))</f>
        <v>Комплект "ABS 2S/2M базовый W"</v>
      </c>
      <c r="K236" s="399"/>
      <c r="L236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36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36" s="699" t="str">
        <f>IF(IFERROR(MATCH("нет",Комплекты[[#This Row],[   ]:[АВТОВИК]],0)&gt;0,),"НЕТ","ОК")</f>
        <v>ОК</v>
      </c>
      <c r="O236" s="699"/>
      <c r="P236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36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36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36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36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36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36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36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37" spans="1:23">
      <c r="A237" s="684">
        <f>ROW()-ROW(Комплекты[[#Headers],[№]])</f>
        <v>235</v>
      </c>
      <c r="B237" s="684" t="str">
        <f>Комплекты[[#This Row],[Пр]]&amp;"_"&amp;Комплекты[[#This Row],[Обозначение]]</f>
        <v>2_4491731200</v>
      </c>
      <c r="C237" s="684">
        <f>COUNTIFS($E$3:Комплекты[[#This Row],[Комплект]],Комплекты[[#This Row],[Комплект]])</f>
        <v>1</v>
      </c>
      <c r="D237" s="685">
        <v>45884</v>
      </c>
      <c r="E237" s="686" t="s">
        <v>104</v>
      </c>
      <c r="F237" s="687">
        <v>2</v>
      </c>
      <c r="G237" s="688">
        <v>4491731200</v>
      </c>
      <c r="H237" s="687">
        <v>1</v>
      </c>
      <c r="I237" s="399" t="str">
        <f>INDEX(База[],MATCH(Комплекты[[#This Row],[Обозначение]],База[Артикул],0),MATCH(I$2,База[#Headers],0))</f>
        <v>Кабель питания, 12 м</v>
      </c>
      <c r="J237" s="399" t="str">
        <f>INDEX(База[],MATCH(Комплекты[[#This Row],[Комплект]],База[Артикул],0),MATCH("наименование",База[#Headers],0))</f>
        <v>Комплект "TEBS WABCO 2S/2M базовый 12 м" -1 (ВБК РУС)</v>
      </c>
      <c r="K237" s="399"/>
      <c r="L237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37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37" s="699" t="str">
        <f>IF(IFERROR(MATCH("нет",Комплекты[[#This Row],[   ]:[АВТОВИК]],0)&gt;0,),"НЕТ","ОК")</f>
        <v>ОК</v>
      </c>
      <c r="O237" s="699"/>
      <c r="P237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37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37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37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37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37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37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37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38" spans="1:23">
      <c r="A238" s="684">
        <f>ROW()-ROW(Комплекты[[#Headers],[№]])</f>
        <v>236</v>
      </c>
      <c r="B238" s="684" t="str">
        <f>Комплекты[[#This Row],[Пр]]&amp;"_"&amp;Комплекты[[#This Row],[Обозначение]]</f>
        <v>2_4497230300</v>
      </c>
      <c r="C238" s="684">
        <f>COUNTIFS($E$3:Комплекты[[#This Row],[Комплект]],Комплекты[[#This Row],[Комплект]])</f>
        <v>2</v>
      </c>
      <c r="D238" s="685">
        <v>45884</v>
      </c>
      <c r="E238" s="686" t="s">
        <v>104</v>
      </c>
      <c r="F238" s="687">
        <v>2</v>
      </c>
      <c r="G238" s="688">
        <v>4497230300</v>
      </c>
      <c r="H238" s="687">
        <v>2</v>
      </c>
      <c r="I238" s="399" t="str">
        <f>INDEX(База[],MATCH(Комплекты[[#This Row],[Обозначение]],База[Артикул],0),MATCH(I$2,База[#Headers],0))</f>
        <v>Кабель датчика АБС, 3 м</v>
      </c>
      <c r="J238" s="399" t="str">
        <f>INDEX(База[],MATCH(Комплекты[[#This Row],[Комплект]],База[Артикул],0),MATCH("наименование",База[#Headers],0))</f>
        <v>Комплект "TEBS WABCO 2S/2M базовый 12 м" -1 (ВБК РУС)</v>
      </c>
      <c r="K238" s="399"/>
      <c r="L238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38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38" s="699" t="str">
        <f>IF(IFERROR(MATCH("нет",Комплекты[[#This Row],[   ]:[АВТОВИК]],0)&gt;0,),"НЕТ","ОК")</f>
        <v>ОК</v>
      </c>
      <c r="O238" s="699"/>
      <c r="P238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38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38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38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38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38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38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38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39" spans="1:23">
      <c r="A239" s="684">
        <f>ROW()-ROW(Комплекты[[#Headers],[№]])</f>
        <v>237</v>
      </c>
      <c r="B239" s="684" t="str">
        <f>Комплекты[[#This Row],[Пр]]&amp;"_"&amp;Комплекты[[#This Row],[Обозначение]]</f>
        <v>2_4801020640</v>
      </c>
      <c r="C239" s="684">
        <f>COUNTIFS($E$3:Комплекты[[#This Row],[Комплект]],Комплекты[[#This Row],[Комплект]])</f>
        <v>3</v>
      </c>
      <c r="D239" s="685">
        <v>45884</v>
      </c>
      <c r="E239" s="686" t="s">
        <v>104</v>
      </c>
      <c r="F239" s="687">
        <v>2</v>
      </c>
      <c r="G239" s="688">
        <v>4801020640</v>
      </c>
      <c r="H239" s="687">
        <v>1</v>
      </c>
      <c r="I239" s="399" t="str">
        <f>INDEX(База[],MATCH(Комплекты[[#This Row],[Обозначение]],База[Артикул],0),MATCH(I$2,База[#Headers],0))</f>
        <v>Электропневматический блок клапанов TEBS_4801020640</v>
      </c>
      <c r="J239" s="399" t="str">
        <f>INDEX(База[],MATCH(Комплекты[[#This Row],[Комплект]],База[Артикул],0),MATCH("наименование",База[#Headers],0))</f>
        <v>Комплект "TEBS WABCO 2S/2M базовый 12 м" -1 (ВБК РУС)</v>
      </c>
      <c r="K239" s="399"/>
      <c r="L239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39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39" s="699" t="str">
        <f>IF(IFERROR(MATCH("нет",Комплекты[[#This Row],[   ]:[АВТОВИК]],0)&gt;0,),"НЕТ","ОК")</f>
        <v>ОК</v>
      </c>
      <c r="O239" s="699"/>
      <c r="P239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39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39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39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39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39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39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39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40" spans="1:23">
      <c r="A240" s="684">
        <f>ROW()-ROW(Комплекты[[#Headers],[№]])</f>
        <v>238</v>
      </c>
      <c r="B240" s="684" t="str">
        <f>Комплекты[[#This Row],[Пр]]&amp;"_"&amp;Комплекты[[#This Row],[Обозначение]]</f>
        <v>2_9522010010</v>
      </c>
      <c r="C240" s="684">
        <f>COUNTIFS($E$3:Комплекты[[#This Row],[Комплект]],Комплекты[[#This Row],[Комплект]])</f>
        <v>4</v>
      </c>
      <c r="D240" s="685">
        <v>45884</v>
      </c>
      <c r="E240" s="686" t="s">
        <v>104</v>
      </c>
      <c r="F240" s="687">
        <v>2</v>
      </c>
      <c r="G240" s="688">
        <v>9522010010</v>
      </c>
      <c r="H240" s="687">
        <v>1</v>
      </c>
      <c r="I240" s="399" t="str">
        <f>INDEX(База[],MATCH(Комплекты[[#This Row],[Обозначение]],База[Артикул],0),MATCH(I$2,База[#Headers],0))</f>
        <v>Головка соединительная (управляющая)</v>
      </c>
      <c r="J240" s="399" t="str">
        <f>INDEX(База[],MATCH(Комплекты[[#This Row],[Комплект]],База[Артикул],0),MATCH("наименование",База[#Headers],0))</f>
        <v>Комплект "TEBS WABCO 2S/2M базовый 12 м" -1 (ВБК РУС)</v>
      </c>
      <c r="K240" s="399"/>
      <c r="L240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40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40" s="699" t="str">
        <f>IF(IFERROR(MATCH("нет",Комплекты[[#This Row],[   ]:[АВТОВИК]],0)&gt;0,),"НЕТ","ОК")</f>
        <v>ОК</v>
      </c>
      <c r="O240" s="699"/>
      <c r="P240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40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40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40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40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40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40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40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41" spans="1:23">
      <c r="A241" s="684">
        <f>ROW()-ROW(Комплекты[[#Headers],[№]])</f>
        <v>239</v>
      </c>
      <c r="B241" s="684" t="str">
        <f>Комплекты[[#This Row],[Пр]]&amp;"_"&amp;Комплекты[[#This Row],[Обозначение]]</f>
        <v>2_9522010020</v>
      </c>
      <c r="C241" s="684">
        <f>COUNTIFS($E$3:Комплекты[[#This Row],[Комплект]],Комплекты[[#This Row],[Комплект]])</f>
        <v>5</v>
      </c>
      <c r="D241" s="685">
        <v>45884</v>
      </c>
      <c r="E241" s="686" t="s">
        <v>104</v>
      </c>
      <c r="F241" s="687">
        <v>2</v>
      </c>
      <c r="G241" s="688">
        <v>9522010020</v>
      </c>
      <c r="H241" s="687">
        <v>1</v>
      </c>
      <c r="I241" s="399" t="str">
        <f>INDEX(База[],MATCH(Комплекты[[#This Row],[Обозначение]],База[Артикул],0),MATCH(I$2,База[#Headers],0))</f>
        <v>Головка соединительная (питающая)</v>
      </c>
      <c r="J241" s="399" t="str">
        <f>INDEX(База[],MATCH(Комплекты[[#This Row],[Комплект]],База[Артикул],0),MATCH("наименование",База[#Headers],0))</f>
        <v>Комплект "TEBS WABCO 2S/2M базовый 12 м" -1 (ВБК РУС)</v>
      </c>
      <c r="K241" s="399"/>
      <c r="L241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41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41" s="699" t="str">
        <f>IF(IFERROR(MATCH("нет",Комплекты[[#This Row],[   ]:[АВТОВИК]],0)&gt;0,),"НЕТ","ОК")</f>
        <v>ОК</v>
      </c>
      <c r="O241" s="699"/>
      <c r="P241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41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41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41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41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41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41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41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42" spans="1:23">
      <c r="A242" s="684">
        <f>ROW()-ROW(Комплекты[[#Headers],[№]])</f>
        <v>240</v>
      </c>
      <c r="B242" s="684" t="str">
        <f>Комплекты[[#This Row],[Пр]]&amp;"_"&amp;Комплекты[[#This Row],[Обозначение]]</f>
        <v>2_9630010510</v>
      </c>
      <c r="C242" s="684">
        <f>COUNTIFS($E$3:Комплекты[[#This Row],[Комплект]],Комплекты[[#This Row],[Комплект]])</f>
        <v>6</v>
      </c>
      <c r="D242" s="685">
        <v>45884</v>
      </c>
      <c r="E242" s="686" t="s">
        <v>104</v>
      </c>
      <c r="F242" s="687">
        <v>2</v>
      </c>
      <c r="G242" s="688">
        <v>9630010510</v>
      </c>
      <c r="H242" s="687">
        <v>1</v>
      </c>
      <c r="I242" s="399" t="str">
        <f>INDEX(База[],MATCH(Комплекты[[#This Row],[Обозначение]],База[Артикул],0),MATCH(I$2,База[#Headers],0))</f>
        <v>Клапан растормаживания сдвоенный</v>
      </c>
      <c r="J242" s="399" t="str">
        <f>INDEX(База[],MATCH(Комплекты[[#This Row],[Комплект]],База[Артикул],0),MATCH("наименование",База[#Headers],0))</f>
        <v>Комплект "TEBS WABCO 2S/2M базовый 12 м" -1 (ВБК РУС)</v>
      </c>
      <c r="K242" s="399"/>
      <c r="L242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42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42" s="699" t="str">
        <f>IF(IFERROR(MATCH("нет",Комплекты[[#This Row],[   ]:[АВТОВИК]],0)&gt;0,),"НЕТ","ОК")</f>
        <v>ОК</v>
      </c>
      <c r="O242" s="699"/>
      <c r="P242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42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42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42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42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42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42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42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43" spans="1:23">
      <c r="A243" s="684">
        <f>ROW()-ROW(Комплекты[[#Headers],[№]])</f>
        <v>241</v>
      </c>
      <c r="B243" s="684" t="str">
        <f>Комплекты[[#This Row],[Пр]]&amp;"_"&amp;Комплекты[[#This Row],[Обозначение]]</f>
        <v>2_9710020400</v>
      </c>
      <c r="C243" s="684">
        <f>COUNTIFS($E$3:Комплекты[[#This Row],[Комплект]],Комплекты[[#This Row],[Комплект]])</f>
        <v>7</v>
      </c>
      <c r="D243" s="685">
        <v>45884</v>
      </c>
      <c r="E243" s="686" t="s">
        <v>104</v>
      </c>
      <c r="F243" s="687">
        <v>2</v>
      </c>
      <c r="G243" s="688">
        <v>9710020400</v>
      </c>
      <c r="H243" s="687">
        <v>1</v>
      </c>
      <c r="I243" s="399" t="str">
        <f>INDEX(База[],MATCH(Комплекты[[#This Row],[Обозначение]],База[Артикул],0),MATCH(I$2,База[#Headers],0))</f>
        <v>Воздухораспределитель (без кл. растормаживания)</v>
      </c>
      <c r="J243" s="399" t="str">
        <f>INDEX(База[],MATCH(Комплекты[[#This Row],[Комплект]],База[Артикул],0),MATCH("наименование",База[#Headers],0))</f>
        <v>Комплект "TEBS WABCO 2S/2M базовый 12 м" -1 (ВБК РУС)</v>
      </c>
      <c r="K243" s="399"/>
      <c r="L243" s="699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43" s="699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43" s="699" t="str">
        <f>IF(IFERROR(MATCH("нет",Комплекты[[#This Row],[   ]:[АВТОВИК]],0)&gt;0,),"НЕТ","ОК")</f>
        <v>ОК</v>
      </c>
      <c r="O243" s="699"/>
      <c r="P243" s="699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43" s="699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43" s="699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43" s="699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43" s="699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43" s="699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43" s="699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43" s="700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44" spans="1:23">
      <c r="A244" s="391">
        <f>ROW()-ROW(Комплекты[[#Headers],[№]])</f>
        <v>242</v>
      </c>
      <c r="B244" s="391" t="str">
        <f>Комплекты[[#This Row],[Пр]]&amp;"_"&amp;Комплекты[[#This Row],[Обозначение]]</f>
        <v>1_4334010030</v>
      </c>
      <c r="C244" s="391">
        <f>COUNTIFS($E$3:Комплекты[[#This Row],[Комплект]],Комплекты[[#This Row],[Комплект]])</f>
        <v>1</v>
      </c>
      <c r="D244" s="396">
        <v>45974</v>
      </c>
      <c r="E244" s="392" t="s">
        <v>405</v>
      </c>
      <c r="F244" s="397">
        <v>1</v>
      </c>
      <c r="G244" s="398">
        <v>4334010030</v>
      </c>
      <c r="H244" s="397">
        <v>1</v>
      </c>
      <c r="I244" s="393" t="str">
        <f>INDEX(База[],MATCH(Комплекты[[#This Row],[Обозначение]],База[Артикул],0),MATCH(I$2,База[#Headers],0))</f>
        <v>Упругий элемент</v>
      </c>
      <c r="J244" s="399" t="str">
        <f>INDEX(База[],MATCH(Комплекты[[#This Row],[Комплект]],База[Артикул],0),MATCH("наименование",База[#Headers],0))</f>
        <v>Комплект пневматики</v>
      </c>
      <c r="K244" s="399"/>
      <c r="L244" s="710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44" s="710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44" s="710" t="str">
        <f>IF(IFERROR(MATCH("нет",Комплекты[[#This Row],[   ]:[АВТОВИК]],0)&gt;0,),"НЕТ","ОК")</f>
        <v>ОК</v>
      </c>
      <c r="O244" s="710"/>
      <c r="P244" s="710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44" s="710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44" s="710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44" s="710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44" s="710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44" s="710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44" s="710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44" s="711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45" spans="1:23">
      <c r="A245" s="391">
        <f>ROW()-ROW(Комплекты[[#Headers],[№]])</f>
        <v>243</v>
      </c>
      <c r="B245" s="391" t="str">
        <f>Комплекты[[#This Row],[Пр]]&amp;"_"&amp;Комплекты[[#This Row],[Обозначение]]</f>
        <v>1_4341001250</v>
      </c>
      <c r="C245" s="391">
        <f>COUNTIFS($E$3:Комплекты[[#This Row],[Комплект]],Комплекты[[#This Row],[Комплект]])</f>
        <v>2</v>
      </c>
      <c r="D245" s="396">
        <v>45974</v>
      </c>
      <c r="E245" s="392" t="s">
        <v>405</v>
      </c>
      <c r="F245" s="397">
        <v>1</v>
      </c>
      <c r="G245" s="398">
        <v>4341001250</v>
      </c>
      <c r="H245" s="397">
        <v>1</v>
      </c>
      <c r="I245" s="393" t="str">
        <f>INDEX(База[],MATCH(Комплекты[[#This Row],[Обозначение]],База[Артикул],0),MATCH(I$2,База[#Headers],0))</f>
        <v>Клапан перепускной</v>
      </c>
      <c r="J245" s="399" t="str">
        <f>INDEX(База[],MATCH(Комплекты[[#This Row],[Комплект]],База[Артикул],0),MATCH("наименование",База[#Headers],0))</f>
        <v>Комплект пневматики</v>
      </c>
      <c r="K245" s="399"/>
      <c r="L245" s="710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45" s="710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45" s="710" t="str">
        <f>IF(IFERROR(MATCH("нет",Комплекты[[#This Row],[   ]:[АВТОВИК]],0)&gt;0,),"НЕТ","ОК")</f>
        <v>ОК</v>
      </c>
      <c r="O245" s="710"/>
      <c r="P245" s="710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45" s="710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45" s="710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45" s="710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45" s="710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45" s="710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45" s="710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45" s="711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46" spans="1:23">
      <c r="A246" s="646">
        <f>ROW()-ROW(Комплекты[[#Headers],[№]])</f>
        <v>244</v>
      </c>
      <c r="B246" s="646" t="str">
        <f>Комплекты[[#This Row],[Пр]]&amp;"_"&amp;Комплекты[[#This Row],[Обозначение]]</f>
        <v>1_4630320200</v>
      </c>
      <c r="C246" s="646">
        <f>COUNTIFS($E$3:Комплекты[[#This Row],[Комплект]],Комплекты[[#This Row],[Комплект]])</f>
        <v>3</v>
      </c>
      <c r="D246" s="690">
        <v>45974</v>
      </c>
      <c r="E246" s="647" t="s">
        <v>405</v>
      </c>
      <c r="F246" s="648">
        <v>1</v>
      </c>
      <c r="G246" s="649">
        <v>4630320200</v>
      </c>
      <c r="H246" s="648">
        <v>1</v>
      </c>
      <c r="I246" s="712" t="str">
        <f>INDEX(База[],MATCH(Комплекты[[#This Row],[Обозначение]],База[Артикул],0),MATCH(I$2,База[#Headers],0))</f>
        <v>Кран ручного управления</v>
      </c>
      <c r="J246" s="705" t="str">
        <f>INDEX(База[],MATCH(Комплекты[[#This Row],[Комплект]],База[Артикул],0),MATCH("наименование",База[#Headers],0))</f>
        <v>Комплект пневматики</v>
      </c>
      <c r="K246" s="705"/>
      <c r="L246" s="71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46" s="71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46" s="713" t="str">
        <f>IF(IFERROR(MATCH("нет",Комплекты[[#This Row],[   ]:[АВТОВИК]],0)&gt;0,),"НЕТ","ОК")</f>
        <v>ОК</v>
      </c>
      <c r="O246" s="713"/>
      <c r="P246" s="713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46" s="713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46" s="713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46" s="713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46" s="713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46" s="713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46" s="713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46" s="714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47" spans="1:23">
      <c r="A247" s="391">
        <f>ROW()-ROW(Комплекты[[#Headers],[№]])</f>
        <v>245</v>
      </c>
      <c r="B247" s="391" t="str">
        <f>Комплекты[[#This Row],[Пр]]&amp;"_"&amp;Комплекты[[#This Row],[Обозначение]]</f>
        <v>1_4640061000</v>
      </c>
      <c r="C247" s="391">
        <f>COUNTIFS($E$3:Комплекты[[#This Row],[Комплект]],Комплекты[[#This Row],[Комплект]])</f>
        <v>4</v>
      </c>
      <c r="D247" s="396">
        <v>45974</v>
      </c>
      <c r="E247" s="392" t="s">
        <v>405</v>
      </c>
      <c r="F247" s="397">
        <v>1</v>
      </c>
      <c r="G247" s="398">
        <v>4640061000</v>
      </c>
      <c r="H247" s="397">
        <v>1</v>
      </c>
      <c r="I247" s="393" t="str">
        <f>INDEX(База[],MATCH(Комплекты[[#This Row],[Обозначение]],База[Артикул],0),MATCH(I$2,База[#Headers],0))</f>
        <v>Кран уровня пола</v>
      </c>
      <c r="J247" s="399" t="str">
        <f>INDEX(База[],MATCH(Комплекты[[#This Row],[Комплект]],База[Артикул],0),MATCH("наименование",База[#Headers],0))</f>
        <v>Комплект пневматики</v>
      </c>
      <c r="K247" s="399"/>
      <c r="L247" s="710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47" s="710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47" s="710" t="str">
        <f>IF(IFERROR(MATCH("нет",Комплекты[[#This Row],[   ]:[АВТОВИК]],0)&gt;0,),"НЕТ","ОК")</f>
        <v>ОК</v>
      </c>
      <c r="O247" s="710"/>
      <c r="P247" s="710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47" s="710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47" s="710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47" s="710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47" s="710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47" s="710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47" s="710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47" s="711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48" spans="1:23">
      <c r="A248" s="391">
        <f>ROW()-ROW(Комплекты[[#Headers],[№]])</f>
        <v>246</v>
      </c>
      <c r="B248" s="391" t="str">
        <f>Комплекты[[#This Row],[Пр]]&amp;"_"&amp;Комплекты[[#This Row],[Обозначение]]</f>
        <v>1_9630010510</v>
      </c>
      <c r="C248" s="391">
        <f>COUNTIFS($E$3:Комплекты[[#This Row],[Комплект]],Комплекты[[#This Row],[Комплект]])</f>
        <v>5</v>
      </c>
      <c r="D248" s="396">
        <v>45974</v>
      </c>
      <c r="E248" s="392" t="s">
        <v>405</v>
      </c>
      <c r="F248" s="397">
        <v>1</v>
      </c>
      <c r="G248" s="398">
        <v>9630010510</v>
      </c>
      <c r="H248" s="397">
        <v>1</v>
      </c>
      <c r="I248" s="393" t="str">
        <f>INDEX(База[],MATCH(Комплекты[[#This Row],[Обозначение]],База[Артикул],0),MATCH(I$2,База[#Headers],0))</f>
        <v>Клапан растормаживания сдвоенный</v>
      </c>
      <c r="J248" s="399" t="str">
        <f>INDEX(База[],MATCH(Комплекты[[#This Row],[Комплект]],База[Артикул],0),MATCH("наименование",База[#Headers],0))</f>
        <v>Комплект пневматики</v>
      </c>
      <c r="K248" s="399"/>
      <c r="L248" s="710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48" s="710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48" s="710" t="str">
        <f>IF(IFERROR(MATCH("нет",Комплекты[[#This Row],[   ]:[АВТОВИК]],0)&gt;0,),"НЕТ","ОК")</f>
        <v>ОК</v>
      </c>
      <c r="O248" s="710"/>
      <c r="P248" s="710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48" s="710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48" s="710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48" s="710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48" s="710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48" s="710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48" s="710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48" s="711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  <row r="249" spans="1:23">
      <c r="A249" s="646">
        <f>ROW()-ROW(Комплекты[[#Headers],[№]])</f>
        <v>247</v>
      </c>
      <c r="B249" s="646" t="str">
        <f>Комплекты[[#This Row],[Пр]]&amp;"_"&amp;Комплекты[[#This Row],[Обозначение]]</f>
        <v>1_9735000510</v>
      </c>
      <c r="C249" s="646">
        <f>COUNTIFS($E$3:Комплекты[[#This Row],[Комплект]],Комплекты[[#This Row],[Комплект]])</f>
        <v>6</v>
      </c>
      <c r="D249" s="690">
        <v>45974</v>
      </c>
      <c r="E249" s="647" t="s">
        <v>405</v>
      </c>
      <c r="F249" s="648">
        <v>1</v>
      </c>
      <c r="G249" s="649">
        <v>9735000510</v>
      </c>
      <c r="H249" s="648">
        <v>1</v>
      </c>
      <c r="I249" s="712" t="str">
        <f>INDEX(База[],MATCH(Комплекты[[#This Row],[Обозначение]],База[Артикул],0),MATCH(I$2,База[#Headers],0))</f>
        <v>Клапан быстрого растормаживания энергоаккумуляторов</v>
      </c>
      <c r="J249" s="705" t="str">
        <f>INDEX(База[],MATCH(Комплекты[[#This Row],[Комплект]],База[Артикул],0),MATCH("наименование",База[#Headers],0))</f>
        <v>Комплект пневматики</v>
      </c>
      <c r="K249" s="705"/>
      <c r="L249" s="713" t="str">
        <f>IF(SUMPRODUCT((Комплекты[Комплект]=Комплекты[[#This Row],[Комплект]])*(Комплекты[Пр]=Комплекты[[#This Row],[Пр]])*(Комплекты[Обозначение]=Комплекты[[#This Row],[Обозначение]])*1)=1,"ОК","ИЗБЫТОК")</f>
        <v>ОК</v>
      </c>
      <c r="M249" s="713" t="str">
        <f>IF(SUMPRODUCT((Комплекты[Комплект]=Комплекты[[#This Row],[Комплект]])*(Комплекты[Дата]=Комплекты[[#This Row],[Дата]])*1)=SUMPRODUCT((Комплекты[Комплект]=Комплекты[[#This Row],[Комплект]])*1),"ОК","ИЗБЫТОК")</f>
        <v>ОК</v>
      </c>
      <c r="N249" s="713" t="str">
        <f>IF(IFERROR(MATCH("нет",Комплекты[[#This Row],[   ]:[АВТОВИК]],0)&gt;0,),"НЕТ","ОК")</f>
        <v>ОК</v>
      </c>
      <c r="O249" s="713"/>
      <c r="P249" s="713" t="str">
        <f>IF(SUMPRODUCT((Комплекты[[#This Row],[Комплект]]=ПНЕВМАТИКА!$G$6:$G$330)*(P$2=ПНЕВМАТИКА!$A$6:$A$330)*1),IF(SUMPRODUCT((Комплекты[[#This Row],[Пр]]=ПНЕВМАТИКА!$F$6:$F$330)*(Комплекты[[#This Row],[Обозначение]]=ПНЕВМАТИКА!$G$6:$G$330)*(P$2=ПНЕВМАТИКА!$A$6:$A$330)*(ПНЕВМАТИКА!$I$6:$I$330=0)*1)=0,"НЕТ","ОК"),"-")</f>
        <v>-</v>
      </c>
      <c r="Q249" s="713" t="str">
        <f>IF(SUMPRODUCT((Комплекты[[#This Row],[Комплект]]=ПНЕВМАТИКА!$G$6:$G$330)*(Q$2=ПНЕВМАТИКА!$A$6:$A$330)*1),IF(SUMPRODUCT((Комплекты[[#This Row],[Пр]]=ПНЕВМАТИКА!$F$6:$F$330)*(Комплекты[[#This Row],[Обозначение]]=ПНЕВМАТИКА!$G$6:$G$330)*(Q$2=ПНЕВМАТИКА!$A$6:$A$330)*(ПНЕВМАТИКА!$I$6:$I$330=0)*1)=0,"НЕТ","ОК"),"-")</f>
        <v>-</v>
      </c>
      <c r="R249" s="713" t="str">
        <f>IF(SUMPRODUCT((Комплекты[[#This Row],[Комплект]]=ПНЕВМАТИКА!$G$6:$G$330)*(R$2=ПНЕВМАТИКА!$A$6:$A$330)*1),IF(SUMPRODUCT((Комплекты[[#This Row],[Пр]]=ПНЕВМАТИКА!$F$6:$F$330)*(Комплекты[[#This Row],[Обозначение]]=ПНЕВМАТИКА!$G$6:$G$330)*(R$2=ПНЕВМАТИКА!$A$6:$A$330)*(ПНЕВМАТИКА!$I$6:$I$330=0)*1)=0,"НЕТ","ОК"),"-")</f>
        <v>-</v>
      </c>
      <c r="S249" s="713" t="str">
        <f>IF(SUMPRODUCT((Комплекты[[#This Row],[Комплект]]=ПНЕВМАТИКА!$G$6:$G$330)*(S$2=ПНЕВМАТИКА!$A$6:$A$330)*1),IF(SUMPRODUCT((Комплекты[[#This Row],[Пр]]=ПНЕВМАТИКА!$F$6:$F$330)*(Комплекты[[#This Row],[Обозначение]]=ПНЕВМАТИКА!$G$6:$G$330)*(S$2=ПНЕВМАТИКА!$A$6:$A$330)*(ПНЕВМАТИКА!$I$6:$I$330=0)*1)=0,"НЕТ","ОК"),"-")</f>
        <v>-</v>
      </c>
      <c r="T249" s="713" t="str">
        <f>IF(SUMPRODUCT((Комплекты[[#This Row],[Комплект]]=ПНЕВМАТИКА!$G$6:$G$330)*(T$2=ПНЕВМАТИКА!$A$6:$A$330)*1),IF(SUMPRODUCT((Комплекты[[#This Row],[Пр]]=ПНЕВМАТИКА!$F$6:$F$330)*(Комплекты[[#This Row],[Обозначение]]=ПНЕВМАТИКА!$G$6:$G$330)*(T$2=ПНЕВМАТИКА!$A$6:$A$330)*(ПНЕВМАТИКА!$I$6:$I$330=0)*1)=0,"НЕТ","ОК"),"-")</f>
        <v>-</v>
      </c>
      <c r="U249" s="713" t="str">
        <f>IF(SUMPRODUCT((Комплекты[[#This Row],[Комплект]]=ПНЕВМАТИКА!$G$6:$G$330)*(U$2=ПНЕВМАТИКА!$A$6:$A$330)*1),IF(SUMPRODUCT((Комплекты[[#This Row],[Пр]]=ПНЕВМАТИКА!$F$6:$F$330)*(Комплекты[[#This Row],[Обозначение]]=ПНЕВМАТИКА!$G$6:$G$330)*(U$2=ПНЕВМАТИКА!$A$6:$A$330)*(ПНЕВМАТИКА!$I$6:$I$330=0)*1)=0,"НЕТ","ОК"),"-")</f>
        <v>-</v>
      </c>
      <c r="V249" s="713" t="str">
        <f>IF(SUMPRODUCT((Комплекты[[#This Row],[Комплект]]=ПНЕВМАТИКА!$G$6:$G$330)*(V$2=ПНЕВМАТИКА!$A$6:$A$330)*1),IF(SUMPRODUCT((Комплекты[[#This Row],[Пр]]=ПНЕВМАТИКА!$F$6:$F$330)*(Комплекты[[#This Row],[Обозначение]]=ПНЕВМАТИКА!$G$6:$G$330)*(V$2=ПНЕВМАТИКА!$A$6:$A$330)*(ПНЕВМАТИКА!$I$6:$I$330=0)*1)=0,"НЕТ","ОК"),"-")</f>
        <v>-</v>
      </c>
      <c r="W249" s="714" t="str">
        <f>IF(SUMPRODUCT((Комплекты[[#This Row],[Комплект]]=ПНЕВМАТИКА!$G$6:$G$330)*(W$2=ПНЕВМАТИКА!$A$6:$A$330)*1),IF(SUMPRODUCT((Комплекты[[#This Row],[Пр]]=ПНЕВМАТИКА!$F$6:$F$330)*(Комплекты[[#This Row],[Обозначение]]=ПНЕВМАТИКА!$G$6:$G$330)*(W$2=ПНЕВМАТИКА!$A$6:$A$330)*(ПНЕВМАТИКА!$I$6:$I$330=0)*1)=0,"НЕТ","ОК"),"-")</f>
        <v>-</v>
      </c>
    </row>
  </sheetData>
  <sheetProtection formatCells="0" formatColumns="0" formatRows="0" insertColumns="0" insertRows="0" insertHyperlinks="0" deleteColumns="0" deleteRows="0" sort="0" autoFilter="0" pivotTables="0"/>
  <conditionalFormatting sqref="A3:K249">
    <cfRule type="expression" dxfId="24" priority="1535">
      <formula>IF($N3="ОК",0,1)</formula>
    </cfRule>
  </conditionalFormatting>
  <conditionalFormatting sqref="C3:C249">
    <cfRule type="colorScale" priority="28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249">
    <cfRule type="colorScale" priority="28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249">
    <cfRule type="expression" dxfId="23" priority="24">
      <formula>IF($M3="ОК",0,1)</formula>
    </cfRule>
  </conditionalFormatting>
  <conditionalFormatting sqref="F3:F249">
    <cfRule type="cellIs" dxfId="22" priority="29" operator="equal">
      <formula>2</formula>
    </cfRule>
  </conditionalFormatting>
  <conditionalFormatting sqref="F3:G249">
    <cfRule type="expression" dxfId="21" priority="26">
      <formula>IF($L3="ОК",0,1)</formula>
    </cfRule>
  </conditionalFormatting>
  <conditionalFormatting sqref="G3:G249">
    <cfRule type="beginsWith" dxfId="19" priority="2" operator="beginsWith" text="4640061000">
      <formula>LEFT(G3,LEN("4640061000"))="4640061000"</formula>
    </cfRule>
    <cfRule type="beginsWith" dxfId="18" priority="5" operator="beginsWith" text="4640060020">
      <formula>LEFT(G3,LEN("4640060020"))="4640060020"</formula>
    </cfRule>
    <cfRule type="beginsWith" dxfId="17" priority="6" operator="beginsWith" text="449379">
      <formula>LEFT(G3,LEN("449379"))="449379"</formula>
    </cfRule>
    <cfRule type="beginsWith" dxfId="16" priority="7" operator="beginsWith" text="449370">
      <formula>LEFT(G3,LEN("449370"))="449370"</formula>
    </cfRule>
    <cfRule type="beginsWith" dxfId="15" priority="8" operator="beginsWith" text="449130">
      <formula>LEFT(G3,LEN("449130"))="449130"</formula>
    </cfRule>
    <cfRule type="beginsWith" dxfId="14" priority="9" operator="beginsWith" text="449430">
      <formula>LEFT(G3,LEN("449430"))="449430"</formula>
    </cfRule>
    <cfRule type="beginsWith" dxfId="13" priority="10" operator="beginsWith" text="449173">
      <formula>LEFT(G3,LEN("449173"))="449173"</formula>
    </cfRule>
    <cfRule type="beginsWith" dxfId="12" priority="11" operator="beginsWith" text="449712">
      <formula>LEFT(G3,LEN("449712"))="449712"</formula>
    </cfRule>
    <cfRule type="beginsWith" dxfId="11" priority="14" operator="beginsWith" text="449749">
      <formula>LEFT(G3,LEN("449749"))="449749"</formula>
    </cfRule>
    <cfRule type="beginsWith" dxfId="10" priority="15" operator="beginsWith" text="449723">
      <formula>LEFT(G3,LEN("449723"))="449723"</formula>
    </cfRule>
    <cfRule type="beginsWith" dxfId="9" priority="16" operator="beginsWith" text="4802070600">
      <formula>LEFT(G3,LEN("4802070600"))="4802070600"</formula>
    </cfRule>
    <cfRule type="beginsWith" dxfId="8" priority="17" operator="beginsWith" text="4801020640">
      <formula>LEFT(G3,LEN("4801020640"))="4801020640"</formula>
    </cfRule>
  </conditionalFormatting>
  <conditionalFormatting sqref="H3:H249">
    <cfRule type="colorScale" priority="28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:W249">
    <cfRule type="containsText" dxfId="7" priority="21" operator="containsText" text="НЕТ">
      <formula>NOT(ISERROR(SEARCH("НЕТ",N3)))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07614CD-9CE8-48F0-A893-B9B14AC78FF8}">
            <xm:f>NOT(ISERROR(SEARCH($G$1,G1)))</xm:f>
            <xm:f>$G$1</xm:f>
            <x14:dxf>
              <fill>
                <gradientFill degree="225">
                  <stop position="0">
                    <color theme="0"/>
                  </stop>
                  <stop position="1">
                    <color rgb="FF32D925"/>
                  </stop>
                </gradientFill>
              </fill>
            </x14:dxf>
          </x14:cfRule>
          <xm:sqref>G1 G3:G249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50943-5804-4EE3-A2C1-5DC8B3FEAA72}">
  <dimension ref="A1:AH152"/>
  <sheetViews>
    <sheetView workbookViewId="0">
      <pane xSplit="5" ySplit="4" topLeftCell="F128" activePane="bottomRight" state="frozen"/>
      <selection activeCell="N3" sqref="N3"/>
      <selection pane="topRight"/>
      <selection pane="bottomLeft"/>
      <selection pane="bottomRight" activeCell="K148" sqref="K148"/>
    </sheetView>
  </sheetViews>
  <sheetFormatPr defaultColWidth="12.6640625" defaultRowHeight="14.4" outlineLevelRow="1" outlineLevelCol="1"/>
  <cols>
    <col min="1" max="1" width="5.6640625" style="1" customWidth="1"/>
    <col min="2" max="2" width="13.6640625" style="1" customWidth="1"/>
    <col min="3" max="3" width="3.6640625" style="1" customWidth="1" outlineLevel="1"/>
    <col min="4" max="4" width="9.6640625" style="1" customWidth="1" outlineLevel="1"/>
    <col min="5" max="5" width="40.6640625" style="2" customWidth="1"/>
    <col min="6" max="17" width="6.6640625" style="1" customWidth="1" outlineLevel="1"/>
    <col min="18" max="18" width="8.6640625" style="1" customWidth="1"/>
    <col min="19" max="19" width="3.6640625" style="460" customWidth="1"/>
    <col min="20" max="31" width="6.6640625" style="1" customWidth="1" outlineLevel="1"/>
    <col min="32" max="32" width="8.6640625" style="1" customWidth="1"/>
    <col min="33" max="33" width="4.6640625" style="359" customWidth="1"/>
    <col min="34" max="34" width="12.6640625" style="1" customWidth="1" outlineLevel="1"/>
    <col min="35" max="16384" width="12.6640625" style="1"/>
  </cols>
  <sheetData>
    <row r="1" spans="1:34" hidden="1" outlineLevel="1">
      <c r="E1" s="381" t="s">
        <v>397</v>
      </c>
      <c r="F1" s="382" t="s">
        <v>398</v>
      </c>
      <c r="G1" s="382" t="s">
        <v>399</v>
      </c>
      <c r="H1" s="382" t="s">
        <v>400</v>
      </c>
      <c r="I1" s="382" t="s">
        <v>401</v>
      </c>
      <c r="J1" s="383" t="s">
        <v>402</v>
      </c>
      <c r="K1" s="384" t="s">
        <v>403</v>
      </c>
    </row>
    <row r="2" spans="1:34" hidden="1" outlineLevel="1">
      <c r="E2" s="381" t="s">
        <v>404</v>
      </c>
      <c r="F2" s="515">
        <f>ROW(ПНЕВМАТИКА!$A$4)+2</f>
        <v>6</v>
      </c>
      <c r="G2" s="515">
        <f>ROW(ПНЕВМАТИКА!$A$331)-1</f>
        <v>330</v>
      </c>
      <c r="H2" s="515">
        <f>COLUMN(ПНЕВМАТИКА!$O$5)</f>
        <v>15</v>
      </c>
      <c r="I2" s="515">
        <v>4</v>
      </c>
      <c r="J2" s="516">
        <v>1</v>
      </c>
      <c r="K2" s="517">
        <v>2</v>
      </c>
      <c r="L2" s="1" t="s">
        <v>423</v>
      </c>
    </row>
    <row r="3" spans="1:34" ht="18" collapsed="1">
      <c r="A3" s="776" t="s">
        <v>365</v>
      </c>
      <c r="B3" s="776"/>
      <c r="C3" s="776"/>
      <c r="D3" s="776"/>
      <c r="E3" s="279" t="s">
        <v>57</v>
      </c>
      <c r="F3" s="777" t="s">
        <v>498</v>
      </c>
      <c r="G3" s="777"/>
      <c r="H3" s="777"/>
      <c r="I3" s="777"/>
      <c r="J3" s="777"/>
      <c r="K3" s="777"/>
      <c r="L3" s="777"/>
      <c r="M3" s="777"/>
      <c r="N3" s="777"/>
      <c r="O3" s="777"/>
      <c r="P3" s="777"/>
      <c r="Q3" s="777"/>
      <c r="R3" s="777"/>
      <c r="S3" s="379"/>
      <c r="T3" s="778" t="s">
        <v>499</v>
      </c>
      <c r="U3" s="778"/>
      <c r="V3" s="778"/>
      <c r="W3" s="778"/>
      <c r="X3" s="778"/>
      <c r="Y3" s="778"/>
      <c r="Z3" s="778"/>
      <c r="AA3" s="778"/>
      <c r="AB3" s="778"/>
      <c r="AC3" s="778"/>
      <c r="AD3" s="778"/>
      <c r="AE3" s="778"/>
      <c r="AF3" s="778"/>
      <c r="AG3" s="380"/>
    </row>
    <row r="4" spans="1:34" ht="28.8">
      <c r="A4" s="456" t="s">
        <v>366</v>
      </c>
      <c r="B4" s="449" t="s">
        <v>339</v>
      </c>
      <c r="C4" s="449" t="s">
        <v>338</v>
      </c>
      <c r="D4" s="449" t="s">
        <v>345</v>
      </c>
      <c r="E4" s="449" t="s">
        <v>14</v>
      </c>
      <c r="F4" s="449" t="s">
        <v>367</v>
      </c>
      <c r="G4" s="449" t="s">
        <v>368</v>
      </c>
      <c r="H4" s="449" t="s">
        <v>369</v>
      </c>
      <c r="I4" s="449" t="s">
        <v>370</v>
      </c>
      <c r="J4" s="449" t="s">
        <v>371</v>
      </c>
      <c r="K4" s="449" t="s">
        <v>372</v>
      </c>
      <c r="L4" s="449" t="s">
        <v>373</v>
      </c>
      <c r="M4" s="449" t="s">
        <v>374</v>
      </c>
      <c r="N4" s="449" t="s">
        <v>375</v>
      </c>
      <c r="O4" s="449" t="s">
        <v>376</v>
      </c>
      <c r="P4" s="449" t="s">
        <v>377</v>
      </c>
      <c r="Q4" s="449" t="s">
        <v>378</v>
      </c>
      <c r="R4" s="449" t="s">
        <v>425</v>
      </c>
      <c r="S4" s="457" t="s">
        <v>424</v>
      </c>
      <c r="T4" s="458" t="s">
        <v>380</v>
      </c>
      <c r="U4" s="458" t="s">
        <v>381</v>
      </c>
      <c r="V4" s="458" t="s">
        <v>382</v>
      </c>
      <c r="W4" s="458" t="s">
        <v>383</v>
      </c>
      <c r="X4" s="458" t="s">
        <v>384</v>
      </c>
      <c r="Y4" s="458" t="s">
        <v>385</v>
      </c>
      <c r="Z4" s="458" t="s">
        <v>386</v>
      </c>
      <c r="AA4" s="458" t="s">
        <v>387</v>
      </c>
      <c r="AB4" s="458" t="s">
        <v>388</v>
      </c>
      <c r="AC4" s="458" t="s">
        <v>389</v>
      </c>
      <c r="AD4" s="458" t="s">
        <v>390</v>
      </c>
      <c r="AE4" s="458" t="s">
        <v>391</v>
      </c>
      <c r="AF4" s="458" t="s">
        <v>426</v>
      </c>
      <c r="AG4" s="518" t="s">
        <v>403</v>
      </c>
      <c r="AH4" s="459" t="s">
        <v>393</v>
      </c>
    </row>
    <row r="5" spans="1:34">
      <c r="A5" s="273">
        <v>1</v>
      </c>
      <c r="B5" s="277">
        <v>828877016</v>
      </c>
      <c r="C5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5" s="281" t="str">
        <f>INDEX(База[],MATCH(Пневматика_СВОДНАЯ_2026[[#This Row],[Обозначение]],База[Артикул],0),MATCH(D$4,База[#Headers],0))</f>
        <v>Шланг</v>
      </c>
      <c r="E5" s="278" t="str">
        <f>INDEX(База[],MATCH(Пневматика_СВОДНАЯ_2026[[#This Row],[Обозначение]],База[Артикул],0),MATCH(E$4,База[#Headers],0))</f>
        <v>Шланг тормозной (м)</v>
      </c>
      <c r="F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600</v>
      </c>
      <c r="I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1900</v>
      </c>
      <c r="J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2000</v>
      </c>
      <c r="L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5" s="276">
        <f ca="1">SUM(Пневматика_СВОДНАЯ_2026[[#This Row],[П- 
01]:[П- 
12]])</f>
        <v>4500</v>
      </c>
      <c r="S5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600</v>
      </c>
      <c r="W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1900</v>
      </c>
      <c r="X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5" s="276">
        <f ca="1">SUM(Пневматика_СВОДНАЯ_2026[[#This Row],[Ф- 
01]:[Ф- 
12]])</f>
        <v>2500</v>
      </c>
      <c r="AG5" s="519">
        <f ca="1">IF((Пневматика_СВОДНАЯ_2026[[#This Row],[П- 
2026]]+Пневматика_СВОДНАЯ_2026[[#This Row],[Ф- 
2026]])&gt;0,1,0)</f>
        <v>1</v>
      </c>
      <c r="AH5" s="298" t="str">
        <f>Пневматика_СВОДНАЯ_2026[[#This Row],[Прод]]&amp;"_"&amp;Пневматика_СВОДНАЯ_2026[[#This Row],[Обозначение]]</f>
        <v>1_828877016</v>
      </c>
    </row>
    <row r="6" spans="1:34">
      <c r="A6" s="273">
        <v>1</v>
      </c>
      <c r="B6" s="277">
        <v>4231079000</v>
      </c>
      <c r="C6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6" s="281" t="str">
        <f>INDEX(База[],MATCH(Пневматика_СВОДНАЯ_2026[[#This Row],[Обозначение]],База[Артикул],0),MATCH(D$4,База[#Headers],0))</f>
        <v>ТКЭА</v>
      </c>
      <c r="E6" s="278" t="str">
        <f>INDEX(База[],MATCH(Пневматика_СВОДНАЯ_2026[[#This Row],[Обозначение]],База[Артикул],0),MATCH(E$4,База[#Headers],0))</f>
        <v>Камера тормозная тип 30</v>
      </c>
      <c r="F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40</v>
      </c>
      <c r="I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78</v>
      </c>
      <c r="J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202</v>
      </c>
      <c r="L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40</v>
      </c>
      <c r="M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40</v>
      </c>
      <c r="Q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6" s="276">
        <f ca="1">SUM(Пневматика_СВОДНАЯ_2026[[#This Row],[П- 
01]:[П- 
12]])</f>
        <v>400</v>
      </c>
      <c r="S6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40</v>
      </c>
      <c r="W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78</v>
      </c>
      <c r="X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6" s="276">
        <f ca="1">SUM(Пневматика_СВОДНАЯ_2026[[#This Row],[Ф- 
01]:[Ф- 
12]])</f>
        <v>118</v>
      </c>
      <c r="AG6" s="519">
        <f ca="1">IF((Пневматика_СВОДНАЯ_2026[[#This Row],[П- 
2026]]+Пневматика_СВОДНАЯ_2026[[#This Row],[Ф- 
2026]])&gt;0,1,0)</f>
        <v>1</v>
      </c>
      <c r="AH6" s="298" t="str">
        <f>Пневматика_СВОДНАЯ_2026[[#This Row],[Прод]]&amp;"_"&amp;Пневматика_СВОДНАЯ_2026[[#This Row],[Обозначение]]</f>
        <v>1_4231079000</v>
      </c>
    </row>
    <row r="7" spans="1:34">
      <c r="A7" s="539">
        <v>1</v>
      </c>
      <c r="B7" s="540">
        <v>4235041001</v>
      </c>
      <c r="C7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7" s="541" t="str">
        <f>INDEX(База[],MATCH(Пневматика_СВОДНАЯ_2026[[#This Row],[Обозначение]],База[Артикул],0),MATCH(D$4,База[#Headers],0))</f>
        <v>ТКЭА</v>
      </c>
      <c r="E7" s="542" t="str">
        <f>INDEX(База[],MATCH(Пневматика_СВОДНАЯ_2026[[#This Row],[Обозначение]],База[Артикул],0),MATCH(E$4,База[#Headers],0))</f>
        <v>Тормозная камера, тип 20</v>
      </c>
      <c r="F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6</v>
      </c>
      <c r="N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6</v>
      </c>
      <c r="O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6</v>
      </c>
      <c r="P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6</v>
      </c>
      <c r="Q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6</v>
      </c>
      <c r="R7" s="276">
        <f ca="1">SUM(Пневматика_СВОДНАЯ_2026[[#This Row],[П- 
01]:[П- 
12]])</f>
        <v>30</v>
      </c>
      <c r="S7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7" s="276">
        <f ca="1">SUM(Пневматика_СВОДНАЯ_2026[[#This Row],[Ф- 
01]:[Ф- 
12]])</f>
        <v>0</v>
      </c>
      <c r="AG7" s="544">
        <f ca="1">IF((Пневматика_СВОДНАЯ_2026[[#This Row],[П- 
2026]]+Пневматика_СВОДНАЯ_2026[[#This Row],[Ф- 
2026]])&gt;0,1,0)</f>
        <v>1</v>
      </c>
      <c r="AH7" s="545" t="str">
        <f>Пневматика_СВОДНАЯ_2026[[#This Row],[Прод]]&amp;"_"&amp;Пневматика_СВОДНАЯ_2026[[#This Row],[Обозначение]]</f>
        <v>1_4235041001</v>
      </c>
    </row>
    <row r="8" spans="1:34">
      <c r="A8" s="273">
        <v>1</v>
      </c>
      <c r="B8" s="274">
        <v>4334010030</v>
      </c>
      <c r="C8" s="17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8" s="281" t="str">
        <f>INDEX(База[],MATCH(Пневматика_СВОДНАЯ_2026[[#This Row],[Обозначение]],База[Артикул],0),MATCH(D$4,База[#Headers],0))</f>
        <v>Пневмоподвеска</v>
      </c>
      <c r="E8" s="55" t="str">
        <f>INDEX(База[],MATCH(Пневматика_СВОДНАЯ_2026[[#This Row],[Обозначение]],База[Артикул],0),MATCH(E$4,База[#Headers],0))</f>
        <v>Упругий элемент</v>
      </c>
      <c r="F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13</v>
      </c>
      <c r="G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142</v>
      </c>
      <c r="H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60</v>
      </c>
      <c r="I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176</v>
      </c>
      <c r="J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29</v>
      </c>
      <c r="K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235</v>
      </c>
      <c r="L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97</v>
      </c>
      <c r="M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153</v>
      </c>
      <c r="N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138</v>
      </c>
      <c r="O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158</v>
      </c>
      <c r="P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168</v>
      </c>
      <c r="Q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178</v>
      </c>
      <c r="R8" s="276">
        <f ca="1">SUM(Пневматика_СВОДНАЯ_2026[[#This Row],[П- 
01]:[П- 
12]])</f>
        <v>1547</v>
      </c>
      <c r="S8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13</v>
      </c>
      <c r="U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142</v>
      </c>
      <c r="V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60</v>
      </c>
      <c r="W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29</v>
      </c>
      <c r="Y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8" s="276">
        <f ca="1">SUM(Пневматика_СВОДНАЯ_2026[[#This Row],[Ф- 
01]:[Ф- 
12]])</f>
        <v>244</v>
      </c>
      <c r="AG8" s="519">
        <f ca="1">IF((Пневматика_СВОДНАЯ_2026[[#This Row],[П- 
2026]]+Пневматика_СВОДНАЯ_2026[[#This Row],[Ф- 
2026]])&gt;0,1,0)</f>
        <v>1</v>
      </c>
      <c r="AH8" s="280" t="str">
        <f>Пневматика_СВОДНАЯ_2026[[#This Row],[Прод]]&amp;"_"&amp;Пневматика_СВОДНАЯ_2026[[#This Row],[Обозначение]]</f>
        <v>1_4334010030</v>
      </c>
    </row>
    <row r="9" spans="1:34">
      <c r="A9" s="273">
        <v>1</v>
      </c>
      <c r="B9" s="274">
        <v>4341001250</v>
      </c>
      <c r="C9" s="17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9" s="281" t="str">
        <f>INDEX(База[],MATCH(Пневматика_СВОДНАЯ_2026[[#This Row],[Обозначение]],База[Артикул],0),MATCH(D$4,База[#Headers],0))</f>
        <v>Универсальный</v>
      </c>
      <c r="E9" s="55" t="str">
        <f>INDEX(База[],MATCH(Пневматика_СВОДНАЯ_2026[[#This Row],[Обозначение]],База[Артикул],0),MATCH(E$4,База[#Headers],0))</f>
        <v>Клапан перепускной</v>
      </c>
      <c r="F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53</v>
      </c>
      <c r="H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40</v>
      </c>
      <c r="I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60</v>
      </c>
      <c r="J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65</v>
      </c>
      <c r="L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20</v>
      </c>
      <c r="M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20</v>
      </c>
      <c r="N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</v>
      </c>
      <c r="O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20</v>
      </c>
      <c r="P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20</v>
      </c>
      <c r="Q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20</v>
      </c>
      <c r="R9" s="276">
        <f ca="1">SUM(Пневматика_СВОДНАЯ_2026[[#This Row],[П- 
01]:[П- 
12]])</f>
        <v>328</v>
      </c>
      <c r="S9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53</v>
      </c>
      <c r="V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40</v>
      </c>
      <c r="W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60</v>
      </c>
      <c r="X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9" s="276">
        <f ca="1">SUM(Пневматика_СВОДНАЯ_2026[[#This Row],[Ф- 
01]:[Ф- 
12]])</f>
        <v>153</v>
      </c>
      <c r="AG9" s="519">
        <f ca="1">IF((Пневматика_СВОДНАЯ_2026[[#This Row],[П- 
2026]]+Пневматика_СВОДНАЯ_2026[[#This Row],[Ф- 
2026]])&gt;0,1,0)</f>
        <v>1</v>
      </c>
      <c r="AH9" s="280" t="str">
        <f>Пневматика_СВОДНАЯ_2026[[#This Row],[Прод]]&amp;"_"&amp;Пневматика_СВОДНАЯ_2026[[#This Row],[Обозначение]]</f>
        <v>1_4341001250</v>
      </c>
    </row>
    <row r="10" spans="1:34">
      <c r="A10" s="539">
        <v>1</v>
      </c>
      <c r="B10" s="540">
        <v>4410328080</v>
      </c>
      <c r="C10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0" s="541" t="str">
        <f>INDEX(База[],MATCH(Пневматика_СВОДНАЯ_2026[[#This Row],[Обозначение]],База[Артикул],0),MATCH(D$4,База[#Headers],0))</f>
        <v>/АБС/ЕБС</v>
      </c>
      <c r="E10" s="542" t="str">
        <f>INDEX(База[],MATCH(Пневматика_СВОДНАЯ_2026[[#This Row],[Обозначение]],База[Артикул],0),MATCH(E$4,База[#Headers],0))</f>
        <v>Датчик АБС, 0,4 м</v>
      </c>
      <c r="F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6</v>
      </c>
      <c r="N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6</v>
      </c>
      <c r="O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6</v>
      </c>
      <c r="P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6</v>
      </c>
      <c r="Q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6</v>
      </c>
      <c r="R10" s="276">
        <f ca="1">SUM(Пневматика_СВОДНАЯ_2026[[#This Row],[П- 
01]:[П- 
12]])</f>
        <v>30</v>
      </c>
      <c r="S10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0" s="276">
        <f ca="1">SUM(Пневматика_СВОДНАЯ_2026[[#This Row],[Ф- 
01]:[Ф- 
12]])</f>
        <v>0</v>
      </c>
      <c r="AG10" s="544">
        <f ca="1">IF((Пневматика_СВОДНАЯ_2026[[#This Row],[П- 
2026]]+Пневматика_СВОДНАЯ_2026[[#This Row],[Ф- 
2026]])&gt;0,1,0)</f>
        <v>1</v>
      </c>
      <c r="AH10" s="545" t="str">
        <f>Пневматика_СВОДНАЯ_2026[[#This Row],[Прод]]&amp;"_"&amp;Пневматика_СВОДНАЯ_2026[[#This Row],[Обозначение]]</f>
        <v>1_4410328080</v>
      </c>
    </row>
    <row r="11" spans="1:34">
      <c r="A11" s="273">
        <v>1</v>
      </c>
      <c r="B11" s="277">
        <v>4463003700</v>
      </c>
      <c r="C11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1" s="281" t="str">
        <f>INDEX(База[],MATCH(Пневматика_СВОДНАЯ_2026[[#This Row],[Обозначение]],База[Артикул],0),MATCH(D$4,База[#Headers],0))</f>
        <v>Диагностика</v>
      </c>
      <c r="E11" s="278" t="str">
        <f>INDEX(База[],MATCH(Пневматика_СВОДНАЯ_2026[[#This Row],[Обозначение]],База[Артикул],0),MATCH(E$4,База[#Headers],0))</f>
        <v>Кабель диагностический TEBS, 5 м</v>
      </c>
      <c r="F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1" s="276">
        <f ca="1">SUM(Пневматика_СВОДНАЯ_2026[[#This Row],[П- 
01]:[П- 
12]])</f>
        <v>1</v>
      </c>
      <c r="S11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1</v>
      </c>
      <c r="X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1" s="276">
        <f ca="1">SUM(Пневматика_СВОДНАЯ_2026[[#This Row],[Ф- 
01]:[Ф- 
12]])</f>
        <v>1</v>
      </c>
      <c r="AG11" s="519">
        <f ca="1">IF((Пневматика_СВОДНАЯ_2026[[#This Row],[П- 
2026]]+Пневматика_СВОДНАЯ_2026[[#This Row],[Ф- 
2026]])&gt;0,1,0)</f>
        <v>1</v>
      </c>
      <c r="AH11" s="298" t="str">
        <f>Пневматика_СВОДНАЯ_2026[[#This Row],[Прод]]&amp;"_"&amp;Пневматика_СВОДНАЯ_2026[[#This Row],[Обозначение]]</f>
        <v>1_4463003700</v>
      </c>
    </row>
    <row r="12" spans="1:34">
      <c r="A12" s="273">
        <v>1</v>
      </c>
      <c r="B12" s="277">
        <v>4491731200</v>
      </c>
      <c r="C12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2" s="281" t="str">
        <f>INDEX(База[],MATCH(Пневматика_СВОДНАЯ_2026[[#This Row],[Обозначение]],База[Артикул],0),MATCH(D$4,База[#Headers],0))</f>
        <v>ЕБС</v>
      </c>
      <c r="E12" s="278" t="str">
        <f>INDEX(База[],MATCH(Пневматика_СВОДНАЯ_2026[[#This Row],[Обозначение]],База[Артикул],0),MATCH(E$4,База[#Headers],0))</f>
        <v>Кабель питания, 12 м</v>
      </c>
      <c r="F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45</v>
      </c>
      <c r="H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30</v>
      </c>
      <c r="J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50</v>
      </c>
      <c r="L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20</v>
      </c>
      <c r="M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20</v>
      </c>
      <c r="N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20</v>
      </c>
      <c r="O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20</v>
      </c>
      <c r="P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20</v>
      </c>
      <c r="Q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20</v>
      </c>
      <c r="R12" s="276">
        <f ca="1">SUM(Пневматика_СВОДНАЯ_2026[[#This Row],[П- 
01]:[П- 
12]])</f>
        <v>247</v>
      </c>
      <c r="S12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45</v>
      </c>
      <c r="V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2" s="276">
        <f ca="1">SUM(Пневматика_СВОДНАЯ_2026[[#This Row],[Ф- 
01]:[Ф- 
12]])</f>
        <v>47</v>
      </c>
      <c r="AG12" s="519">
        <f ca="1">IF((Пневматика_СВОДНАЯ_2026[[#This Row],[П- 
2026]]+Пневматика_СВОДНАЯ_2026[[#This Row],[Ф- 
2026]])&gt;0,1,0)</f>
        <v>1</v>
      </c>
      <c r="AH12" s="298" t="str">
        <f>Пневматика_СВОДНАЯ_2026[[#This Row],[Прод]]&amp;"_"&amp;Пневматика_СВОДНАЯ_2026[[#This Row],[Обозначение]]</f>
        <v>1_4491731200</v>
      </c>
    </row>
    <row r="13" spans="1:34">
      <c r="A13" s="273">
        <v>1</v>
      </c>
      <c r="B13" s="277">
        <v>4491731500</v>
      </c>
      <c r="C13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3" s="281" t="str">
        <f>INDEX(База[],MATCH(Пневматика_СВОДНАЯ_2026[[#This Row],[Обозначение]],База[Артикул],0),MATCH(D$4,База[#Headers],0))</f>
        <v>ЕБС</v>
      </c>
      <c r="E13" s="278" t="str">
        <f>INDEX(База[],MATCH(Пневматика_СВОДНАЯ_2026[[#This Row],[Обозначение]],База[Артикул],0),MATCH(E$4,База[#Headers],0))</f>
        <v>Кабель питания, 15 м</v>
      </c>
      <c r="F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11</v>
      </c>
      <c r="G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59</v>
      </c>
      <c r="H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54</v>
      </c>
      <c r="I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182</v>
      </c>
      <c r="J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48</v>
      </c>
      <c r="K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213</v>
      </c>
      <c r="L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145</v>
      </c>
      <c r="M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155</v>
      </c>
      <c r="N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165</v>
      </c>
      <c r="O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165</v>
      </c>
      <c r="P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185</v>
      </c>
      <c r="Q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185</v>
      </c>
      <c r="R13" s="276">
        <f ca="1">SUM(Пневматика_СВОДНАЯ_2026[[#This Row],[П- 
01]:[П- 
12]])</f>
        <v>1567</v>
      </c>
      <c r="S13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11</v>
      </c>
      <c r="U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59</v>
      </c>
      <c r="V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54</v>
      </c>
      <c r="W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48</v>
      </c>
      <c r="Y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3" s="276">
        <f ca="1">SUM(Пневматика_СВОДНАЯ_2026[[#This Row],[Ф- 
01]:[Ф- 
12]])</f>
        <v>172</v>
      </c>
      <c r="AG13" s="519">
        <f ca="1">IF((Пневматика_СВОДНАЯ_2026[[#This Row],[П- 
2026]]+Пневматика_СВОДНАЯ_2026[[#This Row],[Ф- 
2026]])&gt;0,1,0)</f>
        <v>1</v>
      </c>
      <c r="AH13" s="280" t="str">
        <f>Пневматика_СВОДНАЯ_2026[[#This Row],[Прод]]&amp;"_"&amp;Пневматика_СВОДНАЯ_2026[[#This Row],[Обозначение]]</f>
        <v>1_4491731500</v>
      </c>
    </row>
    <row r="14" spans="1:34">
      <c r="A14" s="273">
        <v>1</v>
      </c>
      <c r="B14" s="277">
        <v>4494300600</v>
      </c>
      <c r="C14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4" s="281" t="str">
        <f>INDEX(База[],MATCH(Пневматика_СВОДНАЯ_2026[[#This Row],[Обозначение]],База[Артикул],0),MATCH(D$4,База[#Headers],0))</f>
        <v>ЕБС</v>
      </c>
      <c r="E14" s="278" t="str">
        <f>INDEX(База[],MATCH(Пневматика_СВОДНАЯ_2026[[#This Row],[Обозначение]],База[Артикул],0),MATCH(E$4,База[#Headers],0))</f>
        <v>Кабель клапана ускорительного TEBS (6 м)</v>
      </c>
      <c r="F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20</v>
      </c>
      <c r="I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69</v>
      </c>
      <c r="J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29</v>
      </c>
      <c r="K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88</v>
      </c>
      <c r="L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50</v>
      </c>
      <c r="M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70</v>
      </c>
      <c r="N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50</v>
      </c>
      <c r="O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50</v>
      </c>
      <c r="P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50</v>
      </c>
      <c r="Q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50</v>
      </c>
      <c r="R14" s="433">
        <f ca="1">SUM(Пневматика_СВОДНАЯ_2026[[#This Row],[П- 
01]:[П- 
12]])</f>
        <v>526</v>
      </c>
      <c r="S14" s="451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20</v>
      </c>
      <c r="W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29</v>
      </c>
      <c r="Y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4" s="433">
        <f ca="1">SUM(Пневматика_СВОДНАЯ_2026[[#This Row],[Ф- 
01]:[Ф- 
12]])</f>
        <v>49</v>
      </c>
      <c r="AG14" s="519">
        <f ca="1">IF((Пневматика_СВОДНАЯ_2026[[#This Row],[П- 
2026]]+Пневматика_СВОДНАЯ_2026[[#This Row],[Ф- 
2026]])&gt;0,1,0)</f>
        <v>1</v>
      </c>
      <c r="AH14" s="298" t="str">
        <f>Пневматика_СВОДНАЯ_2026[[#This Row],[Прод]]&amp;"_"&amp;Пневматика_СВОДНАЯ_2026[[#This Row],[Обозначение]]</f>
        <v>1_4494300600</v>
      </c>
    </row>
    <row r="15" spans="1:34" s="14" customFormat="1" ht="28.8">
      <c r="A15" s="273">
        <v>1</v>
      </c>
      <c r="B15" s="277">
        <v>4494430400</v>
      </c>
      <c r="C15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5" s="281" t="str">
        <f>INDEX(База[],MATCH(Пневматика_СВОДНАЯ_2026[[#This Row],[Обозначение]],База[Артикул],0),MATCH(D$4,База[#Headers],0))</f>
        <v>ЕБС</v>
      </c>
      <c r="E15" s="278" t="str">
        <f>INDEX(База[],MATCH(Пневматика_СВОДНАЯ_2026[[#This Row],[Обозначение]],База[Артикул],0),MATCH(E$4,База[#Headers],0))</f>
        <v>Кабель клапана управления подъемом оси, 4 м</v>
      </c>
      <c r="F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2</v>
      </c>
      <c r="H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5" s="276">
        <f ca="1">SUM(Пневматика_СВОДНАЯ_2026[[#This Row],[П- 
01]:[П- 
12]])</f>
        <v>2</v>
      </c>
      <c r="S15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2</v>
      </c>
      <c r="V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5" s="276">
        <f ca="1">SUM(Пневматика_СВОДНАЯ_2026[[#This Row],[Ф- 
01]:[Ф- 
12]])</f>
        <v>2</v>
      </c>
      <c r="AG15" s="519">
        <f ca="1">IF((Пневматика_СВОДНАЯ_2026[[#This Row],[П- 
2026]]+Пневматика_СВОДНАЯ_2026[[#This Row],[Ф- 
2026]])&gt;0,1,0)</f>
        <v>1</v>
      </c>
      <c r="AH15" s="298" t="str">
        <f>Пневматика_СВОДНАЯ_2026[[#This Row],[Прод]]&amp;"_"&amp;Пневматика_СВОДНАЯ_2026[[#This Row],[Обозначение]]</f>
        <v>1_4494430400</v>
      </c>
    </row>
    <row r="16" spans="1:34" s="14" customFormat="1" ht="28.8">
      <c r="A16" s="273">
        <v>1</v>
      </c>
      <c r="B16" s="277">
        <v>4494430600</v>
      </c>
      <c r="C16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6" s="281" t="str">
        <f>INDEX(База[],MATCH(Пневматика_СВОДНАЯ_2026[[#This Row],[Обозначение]],База[Артикул],0),MATCH(D$4,База[#Headers],0))</f>
        <v>ЕБС</v>
      </c>
      <c r="E16" s="278" t="str">
        <f>INDEX(База[],MATCH(Пневматика_СВОДНАЯ_2026[[#This Row],[Обозначение]],База[Артикул],0),MATCH(E$4,База[#Headers],0))</f>
        <v>Кабель клапана управления подъемом оси, 6 м</v>
      </c>
      <c r="F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</v>
      </c>
      <c r="H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10</v>
      </c>
      <c r="I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67</v>
      </c>
      <c r="J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20</v>
      </c>
      <c r="O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20</v>
      </c>
      <c r="P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20</v>
      </c>
      <c r="Q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20</v>
      </c>
      <c r="R16" s="276">
        <f ca="1">SUM(Пневматика_СВОДНАЯ_2026[[#This Row],[П- 
01]:[П- 
12]])</f>
        <v>162</v>
      </c>
      <c r="S16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</v>
      </c>
      <c r="V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10</v>
      </c>
      <c r="W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36</v>
      </c>
      <c r="X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6" s="276">
        <f ca="1">SUM(Пневматика_СВОДНАЯ_2026[[#This Row],[Ф- 
01]:[Ф- 
12]])</f>
        <v>51</v>
      </c>
      <c r="AG16" s="519">
        <f ca="1">IF((Пневматика_СВОДНАЯ_2026[[#This Row],[П- 
2026]]+Пневматика_СВОДНАЯ_2026[[#This Row],[Ф- 
2026]])&gt;0,1,0)</f>
        <v>1</v>
      </c>
      <c r="AH16" s="298" t="str">
        <f>Пневматика_СВОДНАЯ_2026[[#This Row],[Прод]]&amp;"_"&amp;Пневматика_СВОДНАЯ_2026[[#This Row],[Обозначение]]</f>
        <v>1_4494430600</v>
      </c>
    </row>
    <row r="17" spans="1:34" s="14" customFormat="1" ht="28.8">
      <c r="A17" s="273">
        <v>1</v>
      </c>
      <c r="B17" s="274">
        <v>4496161560</v>
      </c>
      <c r="C17" s="17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7" s="281" t="str">
        <f>INDEX(База[],MATCH(Пневматика_СВОДНАЯ_2026[[#This Row],[Обозначение]],База[Артикул],0),MATCH(D$4,База[#Headers],0))</f>
        <v>АБС</v>
      </c>
      <c r="E17" s="55" t="str">
        <f>INDEX(База[],MATCH(Пневматика_СВОДНАЯ_2026[[#This Row],[Обозначение]],База[Артикул],0),MATCH(E$4,База[#Headers],0))</f>
        <v>Кабель ускорительного клапана ABS / диа., 10 м / 3 м</v>
      </c>
      <c r="F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8</v>
      </c>
      <c r="G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20</v>
      </c>
      <c r="H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5</v>
      </c>
      <c r="I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10</v>
      </c>
      <c r="L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10</v>
      </c>
      <c r="M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10</v>
      </c>
      <c r="N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</v>
      </c>
      <c r="O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10</v>
      </c>
      <c r="P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10</v>
      </c>
      <c r="Q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10</v>
      </c>
      <c r="R17" s="276">
        <f ca="1">SUM(Пневматика_СВОДНАЯ_2026[[#This Row],[П- 
01]:[П- 
12]])</f>
        <v>103</v>
      </c>
      <c r="S17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8</v>
      </c>
      <c r="U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20</v>
      </c>
      <c r="V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5</v>
      </c>
      <c r="W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7" s="276">
        <f ca="1">SUM(Пневматика_СВОДНАЯ_2026[[#This Row],[Ф- 
01]:[Ф- 
12]])</f>
        <v>33</v>
      </c>
      <c r="AG17" s="519">
        <f ca="1">IF((Пневматика_СВОДНАЯ_2026[[#This Row],[П- 
2026]]+Пневматика_СВОДНАЯ_2026[[#This Row],[Ф- 
2026]])&gt;0,1,0)</f>
        <v>1</v>
      </c>
      <c r="AH17" s="280" t="str">
        <f>Пневматика_СВОДНАЯ_2026[[#This Row],[Прод]]&amp;"_"&amp;Пневматика_СВОДНАЯ_2026[[#This Row],[Обозначение]]</f>
        <v>1_4496161560</v>
      </c>
    </row>
    <row r="18" spans="1:34" s="14" customFormat="1">
      <c r="A18" s="273">
        <v>1</v>
      </c>
      <c r="B18" s="277">
        <v>4497120000</v>
      </c>
      <c r="C18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8" s="281" t="str">
        <f>INDEX(База[],MATCH(Пневматика_СВОДНАЯ_2026[[#This Row],[Обозначение]],База[Артикул],0),MATCH(D$4,База[#Headers],0))</f>
        <v>/АБС/ЕБС</v>
      </c>
      <c r="E18" s="278" t="str">
        <f>INDEX(База[],MATCH(Пневматика_СВОДНАЯ_2026[[#This Row],[Обозначение]],База[Артикул],0),MATCH(E$4,База[#Headers],0))</f>
        <v>Кабель-удлинитель датчика ABS, 3 м</v>
      </c>
      <c r="F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8</v>
      </c>
      <c r="H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8" s="276">
        <f ca="1">SUM(Пневматика_СВОДНАЯ_2026[[#This Row],[П- 
01]:[П- 
12]])</f>
        <v>8</v>
      </c>
      <c r="S18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8</v>
      </c>
      <c r="V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8" s="276">
        <f ca="1">SUM(Пневматика_СВОДНАЯ_2026[[#This Row],[Ф- 
01]:[Ф- 
12]])</f>
        <v>8</v>
      </c>
      <c r="AG18" s="519">
        <f ca="1">IF((Пневматика_СВОДНАЯ_2026[[#This Row],[П- 
2026]]+Пневматика_СВОДНАЯ_2026[[#This Row],[Ф- 
2026]])&gt;0,1,0)</f>
        <v>1</v>
      </c>
      <c r="AH18" s="298" t="str">
        <f>Пневматика_СВОДНАЯ_2026[[#This Row],[Прод]]&amp;"_"&amp;Пневматика_СВОДНАЯ_2026[[#This Row],[Обозначение]]</f>
        <v>1_4497120000</v>
      </c>
    </row>
    <row r="19" spans="1:34" s="14" customFormat="1">
      <c r="A19" s="282">
        <v>1</v>
      </c>
      <c r="B19" s="283">
        <v>4497230500</v>
      </c>
      <c r="C1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9" s="285" t="str">
        <f>INDEX(База[],MATCH(Пневматика_СВОДНАЯ_2026[[#This Row],[Обозначение]],База[Артикул],0),MATCH(D$4,База[#Headers],0))</f>
        <v>ЕБС</v>
      </c>
      <c r="E19" s="286" t="str">
        <f>INDEX(База[],MATCH(Пневматика_СВОДНАЯ_2026[[#This Row],[Обозначение]],База[Артикул],0),MATCH(E$4,База[#Headers],0))</f>
        <v>Кабель датчика АБС, 5 м</v>
      </c>
      <c r="F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30</v>
      </c>
      <c r="G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178</v>
      </c>
      <c r="H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166</v>
      </c>
      <c r="I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548</v>
      </c>
      <c r="J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96</v>
      </c>
      <c r="K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654</v>
      </c>
      <c r="L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274</v>
      </c>
      <c r="M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296</v>
      </c>
      <c r="N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316</v>
      </c>
      <c r="O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316</v>
      </c>
      <c r="P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356</v>
      </c>
      <c r="Q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356</v>
      </c>
      <c r="R19" s="288">
        <f ca="1">SUM(Пневматика_СВОДНАЯ_2026[[#This Row],[П- 
01]:[П- 
12]])</f>
        <v>3586</v>
      </c>
      <c r="S19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30</v>
      </c>
      <c r="U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178</v>
      </c>
      <c r="V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166</v>
      </c>
      <c r="W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96</v>
      </c>
      <c r="Y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9" s="288">
        <f ca="1">SUM(Пневматика_СВОДНАЯ_2026[[#This Row],[Ф- 
01]:[Ф- 
12]])</f>
        <v>470</v>
      </c>
      <c r="AG19" s="520">
        <f ca="1">IF((Пневматика_СВОДНАЯ_2026[[#This Row],[П- 
2026]]+Пневматика_СВОДНАЯ_2026[[#This Row],[Ф- 
2026]])&gt;0,1,0)</f>
        <v>1</v>
      </c>
      <c r="AH19" s="300" t="str">
        <f>Пневматика_СВОДНАЯ_2026[[#This Row],[Прод]]&amp;"_"&amp;Пневматика_СВОДНАЯ_2026[[#This Row],[Обозначение]]</f>
        <v>1_4497230500</v>
      </c>
    </row>
    <row r="20" spans="1:34" s="14" customFormat="1">
      <c r="A20" s="282">
        <v>1</v>
      </c>
      <c r="B20" s="301">
        <v>4497230800</v>
      </c>
      <c r="C20" s="30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20" s="285" t="str">
        <f>INDEX(База[],MATCH(Пневматика_СВОДНАЯ_2026[[#This Row],[Обозначение]],База[Артикул],0),MATCH(D$4,База[#Headers],0))</f>
        <v>ЕБС</v>
      </c>
      <c r="E20" s="304" t="str">
        <f>INDEX(База[],MATCH(Пневматика_СВОДНАЯ_2026[[#This Row],[Обозначение]],База[Артикул],0),MATCH(E$4,База[#Headers],0))</f>
        <v>Кабель датчика АБС, 8 м</v>
      </c>
      <c r="F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2</v>
      </c>
      <c r="H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18</v>
      </c>
      <c r="J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58</v>
      </c>
      <c r="K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56</v>
      </c>
      <c r="L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100</v>
      </c>
      <c r="M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140</v>
      </c>
      <c r="N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100</v>
      </c>
      <c r="O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100</v>
      </c>
      <c r="P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100</v>
      </c>
      <c r="Q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100</v>
      </c>
      <c r="R20" s="288">
        <f ca="1">SUM(Пневматика_СВОДНАЯ_2026[[#This Row],[П- 
01]:[П- 
12]])</f>
        <v>774</v>
      </c>
      <c r="S20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2</v>
      </c>
      <c r="V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58</v>
      </c>
      <c r="Y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20" s="288">
        <f ca="1">SUM(Пневматика_СВОДНАЯ_2026[[#This Row],[Ф- 
01]:[Ф- 
12]])</f>
        <v>60</v>
      </c>
      <c r="AG20" s="520">
        <f ca="1">IF((Пневматика_СВОДНАЯ_2026[[#This Row],[П- 
2026]]+Пневматика_СВОДНАЯ_2026[[#This Row],[Ф- 
2026]])&gt;0,1,0)</f>
        <v>1</v>
      </c>
      <c r="AH20" s="300" t="str">
        <f>Пневматика_СВОДНАЯ_2026[[#This Row],[Прод]]&amp;"_"&amp;Пневматика_СВОДНАЯ_2026[[#This Row],[Обозначение]]</f>
        <v>1_4497230800</v>
      </c>
    </row>
    <row r="21" spans="1:34" s="14" customFormat="1">
      <c r="A21" s="282">
        <v>1</v>
      </c>
      <c r="B21" s="283">
        <v>4630320200</v>
      </c>
      <c r="C21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21" s="285" t="str">
        <f>INDEX(База[],MATCH(Пневматика_СВОДНАЯ_2026[[#This Row],[Обозначение]],База[Артикул],0),MATCH(D$4,База[#Headers],0))</f>
        <v>Пневмоподвеска</v>
      </c>
      <c r="E21" s="286" t="str">
        <f>INDEX(База[],MATCH(Пневматика_СВОДНАЯ_2026[[#This Row],[Обозначение]],База[Артикул],0),MATCH(E$4,База[#Headers],0))</f>
        <v>Кран ручного управления</v>
      </c>
      <c r="F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13</v>
      </c>
      <c r="G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142</v>
      </c>
      <c r="H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60</v>
      </c>
      <c r="I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176</v>
      </c>
      <c r="J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29</v>
      </c>
      <c r="K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255</v>
      </c>
      <c r="L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97</v>
      </c>
      <c r="M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163</v>
      </c>
      <c r="N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138</v>
      </c>
      <c r="O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168</v>
      </c>
      <c r="P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168</v>
      </c>
      <c r="Q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188</v>
      </c>
      <c r="R21" s="288">
        <f ca="1">SUM(Пневматика_СВОДНАЯ_2026[[#This Row],[П- 
01]:[П- 
12]])</f>
        <v>1597</v>
      </c>
      <c r="S21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13</v>
      </c>
      <c r="U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142</v>
      </c>
      <c r="V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60</v>
      </c>
      <c r="W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29</v>
      </c>
      <c r="Y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21" s="288">
        <f ca="1">SUM(Пневматика_СВОДНАЯ_2026[[#This Row],[Ф- 
01]:[Ф- 
12]])</f>
        <v>244</v>
      </c>
      <c r="AG21" s="520">
        <f ca="1">IF((Пневматика_СВОДНАЯ_2026[[#This Row],[П- 
2026]]+Пневматика_СВОДНАЯ_2026[[#This Row],[Ф- 
2026]])&gt;0,1,0)</f>
        <v>1</v>
      </c>
      <c r="AH21" s="300" t="str">
        <f>Пневматика_СВОДНАЯ_2026[[#This Row],[Прод]]&amp;"_"&amp;Пневматика_СВОДНАЯ_2026[[#This Row],[Обозначение]]</f>
        <v>1_4630320200</v>
      </c>
    </row>
    <row r="22" spans="1:34" s="14" customFormat="1">
      <c r="A22" s="282">
        <v>1</v>
      </c>
      <c r="B22" s="283">
        <v>4630840310</v>
      </c>
      <c r="C22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22" s="285" t="str">
        <f>INDEX(База[],MATCH(Пневматика_СВОДНАЯ_2026[[#This Row],[Обозначение]],База[Артикул],0),MATCH(D$4,База[#Headers],0))</f>
        <v>ЕБС</v>
      </c>
      <c r="E22" s="286" t="str">
        <f>INDEX(База[],MATCH(Пневматика_СВОДНАЯ_2026[[#This Row],[Обозначение]],База[Артикул],0),MATCH(E$4,База[#Headers],0))</f>
        <v>Клапан управления подъемом оси (LACV)</v>
      </c>
      <c r="F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</v>
      </c>
      <c r="H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10</v>
      </c>
      <c r="I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31</v>
      </c>
      <c r="J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10</v>
      </c>
      <c r="L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20</v>
      </c>
      <c r="O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20</v>
      </c>
      <c r="P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20</v>
      </c>
      <c r="Q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20</v>
      </c>
      <c r="R22" s="288">
        <f ca="1">SUM(Пневматика_СВОДНАЯ_2026[[#This Row],[П- 
01]:[П- 
12]])</f>
        <v>136</v>
      </c>
      <c r="S22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</v>
      </c>
      <c r="V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10</v>
      </c>
      <c r="W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22" s="288">
        <f ca="1">SUM(Пневматика_СВОДНАЯ_2026[[#This Row],[Ф- 
01]:[Ф- 
12]])</f>
        <v>15</v>
      </c>
      <c r="AG22" s="520">
        <f ca="1">IF((Пневматика_СВОДНАЯ_2026[[#This Row],[П- 
2026]]+Пневматика_СВОДНАЯ_2026[[#This Row],[Ф- 
2026]])&gt;0,1,0)</f>
        <v>1</v>
      </c>
      <c r="AH22" s="289" t="str">
        <f>Пневматика_СВОДНАЯ_2026[[#This Row],[Прод]]&amp;"_"&amp;Пневматика_СВОДНАЯ_2026[[#This Row],[Обозначение]]</f>
        <v>1_4630840310</v>
      </c>
    </row>
    <row r="23" spans="1:34" s="14" customFormat="1">
      <c r="A23" s="282">
        <v>1</v>
      </c>
      <c r="B23" s="283">
        <v>4640060020</v>
      </c>
      <c r="C23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23" s="285" t="str">
        <f>INDEX(База[],MATCH(Пневматика_СВОДНАЯ_2026[[#This Row],[Обозначение]],База[Артикул],0),MATCH(D$4,База[#Headers],0))</f>
        <v>Пневмоподвеска</v>
      </c>
      <c r="E23" s="286" t="str">
        <f>INDEX(База[],MATCH(Пневматика_СВОДНАЯ_2026[[#This Row],[Обозначение]],База[Артикул],0),MATCH(E$4,База[#Headers],0))</f>
        <v>Кран уровня пола</v>
      </c>
      <c r="F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20</v>
      </c>
      <c r="I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75</v>
      </c>
      <c r="J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60</v>
      </c>
      <c r="L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23" s="288">
        <f ca="1">SUM(Пневматика_СВОДНАЯ_2026[[#This Row],[П- 
01]:[П- 
12]])</f>
        <v>155</v>
      </c>
      <c r="S23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20</v>
      </c>
      <c r="W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15</v>
      </c>
      <c r="X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2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23" s="288">
        <f ca="1">SUM(Пневматика_СВОДНАЯ_2026[[#This Row],[Ф- 
01]:[Ф- 
12]])</f>
        <v>35</v>
      </c>
      <c r="AG23" s="520">
        <f ca="1">IF((Пневматика_СВОДНАЯ_2026[[#This Row],[П- 
2026]]+Пневматика_СВОДНАЯ_2026[[#This Row],[Ф- 
2026]])&gt;0,1,0)</f>
        <v>1</v>
      </c>
      <c r="AH23" s="289" t="str">
        <f>Пневматика_СВОДНАЯ_2026[[#This Row],[Прод]]&amp;"_"&amp;Пневматика_СВОДНАЯ_2026[[#This Row],[Обозначение]]</f>
        <v>1_4640060020</v>
      </c>
    </row>
    <row r="24" spans="1:34" s="14" customFormat="1">
      <c r="A24" s="282">
        <v>1</v>
      </c>
      <c r="B24" s="283">
        <v>4640061000</v>
      </c>
      <c r="C2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24" s="285" t="str">
        <f>INDEX(База[],MATCH(Пневматика_СВОДНАЯ_2026[[#This Row],[Обозначение]],База[Артикул],0),MATCH(D$4,База[#Headers],0))</f>
        <v>Пневмоподвеска</v>
      </c>
      <c r="E24" s="286" t="str">
        <f>INDEX(База[],MATCH(Пневматика_СВОДНАЯ_2026[[#This Row],[Обозначение]],База[Артикул],0),MATCH(E$4,База[#Headers],0))</f>
        <v>Кран уровня пола</v>
      </c>
      <c r="F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13</v>
      </c>
      <c r="G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142</v>
      </c>
      <c r="H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40</v>
      </c>
      <c r="I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116</v>
      </c>
      <c r="J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29</v>
      </c>
      <c r="K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195</v>
      </c>
      <c r="L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97</v>
      </c>
      <c r="M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163</v>
      </c>
      <c r="N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138</v>
      </c>
      <c r="O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168</v>
      </c>
      <c r="P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168</v>
      </c>
      <c r="Q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188</v>
      </c>
      <c r="R24" s="288">
        <f ca="1">SUM(Пневматика_СВОДНАЯ_2026[[#This Row],[П- 
01]:[П- 
12]])</f>
        <v>1457</v>
      </c>
      <c r="S24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13</v>
      </c>
      <c r="U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142</v>
      </c>
      <c r="V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40</v>
      </c>
      <c r="W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29</v>
      </c>
      <c r="Y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2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24" s="288">
        <f ca="1">SUM(Пневматика_СВОДНАЯ_2026[[#This Row],[Ф- 
01]:[Ф- 
12]])</f>
        <v>224</v>
      </c>
      <c r="AG24" s="520">
        <f ca="1">IF((Пневматика_СВОДНАЯ_2026[[#This Row],[П- 
2026]]+Пневматика_СВОДНАЯ_2026[[#This Row],[Ф- 
2026]])&gt;0,1,0)</f>
        <v>1</v>
      </c>
      <c r="AH24" s="300" t="str">
        <f>Пневматика_СВОДНАЯ_2026[[#This Row],[Прод]]&amp;"_"&amp;Пневматика_СВОДНАЯ_2026[[#This Row],[Обозначение]]</f>
        <v>1_4640061000</v>
      </c>
    </row>
    <row r="25" spans="1:34" s="14" customFormat="1">
      <c r="A25" s="282">
        <v>1</v>
      </c>
      <c r="B25" s="301">
        <v>4721950310</v>
      </c>
      <c r="C25" s="30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25" s="285" t="str">
        <f>INDEX(База[],MATCH(Пневматика_СВОДНАЯ_2026[[#This Row],[Обозначение]],База[Артикул],0),MATCH(D$4,База[#Headers],0))</f>
        <v>АБС</v>
      </c>
      <c r="E25" s="304" t="str">
        <f>INDEX(База[],MATCH(Пневматика_СВОДНАЯ_2026[[#This Row],[Обозначение]],База[Артикул],0),MATCH(E$4,База[#Headers],0))</f>
        <v>Ускорительный клапан ABS</v>
      </c>
      <c r="F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8</v>
      </c>
      <c r="G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20</v>
      </c>
      <c r="H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5</v>
      </c>
      <c r="I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10</v>
      </c>
      <c r="L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10</v>
      </c>
      <c r="M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10</v>
      </c>
      <c r="N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</v>
      </c>
      <c r="O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10</v>
      </c>
      <c r="P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10</v>
      </c>
      <c r="Q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10</v>
      </c>
      <c r="R25" s="288">
        <f ca="1">SUM(Пневматика_СВОДНАЯ_2026[[#This Row],[П- 
01]:[П- 
12]])</f>
        <v>103</v>
      </c>
      <c r="S25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8</v>
      </c>
      <c r="U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20</v>
      </c>
      <c r="V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5</v>
      </c>
      <c r="W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2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25" s="288">
        <f ca="1">SUM(Пневматика_СВОДНАЯ_2026[[#This Row],[Ф- 
01]:[Ф- 
12]])</f>
        <v>33</v>
      </c>
      <c r="AG25" s="520">
        <f ca="1">IF((Пневматика_СВОДНАЯ_2026[[#This Row],[П- 
2026]]+Пневматика_СВОДНАЯ_2026[[#This Row],[Ф- 
2026]])&gt;0,1,0)</f>
        <v>1</v>
      </c>
      <c r="AH25" s="300" t="str">
        <f>Пневматика_СВОДНАЯ_2026[[#This Row],[Прод]]&amp;"_"&amp;Пневматика_СВОДНАЯ_2026[[#This Row],[Обозначение]]</f>
        <v>1_4721950310</v>
      </c>
    </row>
    <row r="26" spans="1:34" s="14" customFormat="1">
      <c r="A26" s="282">
        <v>1</v>
      </c>
      <c r="B26" s="283">
        <v>4750103050</v>
      </c>
      <c r="C2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26" s="285" t="str">
        <f>INDEX(База[],MATCH(Пневматика_СВОДНАЯ_2026[[#This Row],[Обозначение]],База[Артикул],0),MATCH(D$4,База[#Headers],0))</f>
        <v>Универсальный</v>
      </c>
      <c r="E26" s="286" t="str">
        <f>INDEX(База[],MATCH(Пневматика_СВОДНАЯ_2026[[#This Row],[Обозначение]],База[Артикул],0),MATCH(E$4,База[#Headers],0))</f>
        <v>Клапан ограничения давления</v>
      </c>
      <c r="F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3</v>
      </c>
      <c r="J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20</v>
      </c>
      <c r="L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20</v>
      </c>
      <c r="N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3</v>
      </c>
      <c r="O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23</v>
      </c>
      <c r="P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</v>
      </c>
      <c r="Q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23</v>
      </c>
      <c r="R26" s="288">
        <f ca="1">SUM(Пневматика_СВОДНАЯ_2026[[#This Row],[П- 
01]:[П- 
12]])</f>
        <v>95</v>
      </c>
      <c r="S26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3</v>
      </c>
      <c r="X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2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26" s="288">
        <f ca="1">SUM(Пневматика_СВОДНАЯ_2026[[#This Row],[Ф- 
01]:[Ф- 
12]])</f>
        <v>3</v>
      </c>
      <c r="AG26" s="520">
        <f ca="1">IF((Пневматика_СВОДНАЯ_2026[[#This Row],[П- 
2026]]+Пневматика_СВОДНАЯ_2026[[#This Row],[Ф- 
2026]])&gt;0,1,0)</f>
        <v>1</v>
      </c>
      <c r="AH26" s="289" t="str">
        <f>Пневматика_СВОДНАЯ_2026[[#This Row],[Прод]]&amp;"_"&amp;Пневматика_СВОДНАЯ_2026[[#This Row],[Обозначение]]</f>
        <v>1_4750103050</v>
      </c>
    </row>
    <row r="27" spans="1:34" s="14" customFormat="1">
      <c r="A27" s="282">
        <v>1</v>
      </c>
      <c r="B27" s="301">
        <v>4757145000</v>
      </c>
      <c r="C27" s="30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27" s="285" t="str">
        <f>INDEX(База[],MATCH(Пневматика_СВОДНАЯ_2026[[#This Row],[Обозначение]],База[Артикул],0),MATCH(D$4,База[#Headers],0))</f>
        <v>АБС</v>
      </c>
      <c r="E27" s="304" t="str">
        <f>INDEX(База[],MATCH(Пневматика_СВОДНАЯ_2026[[#This Row],[Обозначение]],База[Артикул],0),MATCH(E$4,База[#Headers],0))</f>
        <v>Регулятор тормозных сил</v>
      </c>
      <c r="F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53</v>
      </c>
      <c r="H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20</v>
      </c>
      <c r="I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45</v>
      </c>
      <c r="L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20</v>
      </c>
      <c r="M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60</v>
      </c>
      <c r="N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</v>
      </c>
      <c r="O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60</v>
      </c>
      <c r="P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20</v>
      </c>
      <c r="Q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60</v>
      </c>
      <c r="R27" s="288">
        <f ca="1">SUM(Пневматика_СВОДНАЯ_2026[[#This Row],[П- 
01]:[П- 
12]])</f>
        <v>348</v>
      </c>
      <c r="S27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53</v>
      </c>
      <c r="V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20</v>
      </c>
      <c r="W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27" s="288">
        <f ca="1">SUM(Пневматика_СВОДНАЯ_2026[[#This Row],[Ф- 
01]:[Ф- 
12]])</f>
        <v>73</v>
      </c>
      <c r="AG27" s="520">
        <f ca="1">IF((Пневматика_СВОДНАЯ_2026[[#This Row],[П- 
2026]]+Пневматика_СВОДНАЯ_2026[[#This Row],[Ф- 
2026]])&gt;0,1,0)</f>
        <v>1</v>
      </c>
      <c r="AH27" s="300" t="str">
        <f>Пневматика_СВОДНАЯ_2026[[#This Row],[Прод]]&amp;"_"&amp;Пневматика_СВОДНАЯ_2026[[#This Row],[Обозначение]]</f>
        <v>1_4757145000</v>
      </c>
    </row>
    <row r="28" spans="1:34" s="14" customFormat="1" ht="28.8">
      <c r="A28" s="282">
        <v>1</v>
      </c>
      <c r="B28" s="283">
        <v>4801020640</v>
      </c>
      <c r="C2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28" s="285" t="str">
        <f>INDEX(База[],MATCH(Пневматика_СВОДНАЯ_2026[[#This Row],[Обозначение]],База[Артикул],0),MATCH(D$4,База[#Headers],0))</f>
        <v>ЕБС</v>
      </c>
      <c r="E28" s="286" t="str">
        <f>INDEX(База[],MATCH(Пневматика_СВОДНАЯ_2026[[#This Row],[Обозначение]],База[Артикул],0),MATCH(E$4,База[#Headers],0))</f>
        <v>Электропневматический блок клапанов TEBS_4801020640</v>
      </c>
      <c r="F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13</v>
      </c>
      <c r="G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89</v>
      </c>
      <c r="H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56</v>
      </c>
      <c r="I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214</v>
      </c>
      <c r="J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48</v>
      </c>
      <c r="K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267</v>
      </c>
      <c r="L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137</v>
      </c>
      <c r="M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148</v>
      </c>
      <c r="N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158</v>
      </c>
      <c r="O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158</v>
      </c>
      <c r="P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178</v>
      </c>
      <c r="Q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178</v>
      </c>
      <c r="R28" s="288">
        <f ca="1">SUM(Пневматика_СВОДНАЯ_2026[[#This Row],[П- 
01]:[П- 
12]])</f>
        <v>1644</v>
      </c>
      <c r="S28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13</v>
      </c>
      <c r="U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89</v>
      </c>
      <c r="V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56</v>
      </c>
      <c r="W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48</v>
      </c>
      <c r="Y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28" s="288">
        <f ca="1">SUM(Пневматика_СВОДНАЯ_2026[[#This Row],[Ф- 
01]:[Ф- 
12]])</f>
        <v>206</v>
      </c>
      <c r="AG28" s="520">
        <f ca="1">IF((Пневматика_СВОДНАЯ_2026[[#This Row],[П- 
2026]]+Пневматика_СВОДНАЯ_2026[[#This Row],[Ф- 
2026]])&gt;0,1,0)</f>
        <v>1</v>
      </c>
      <c r="AH28" s="300" t="str">
        <f>Пневматика_СВОДНАЯ_2026[[#This Row],[Прод]]&amp;"_"&amp;Пневматика_СВОДНАЯ_2026[[#This Row],[Обозначение]]</f>
        <v>1_4801020640</v>
      </c>
    </row>
    <row r="29" spans="1:34" s="14" customFormat="1">
      <c r="A29" s="273">
        <v>1</v>
      </c>
      <c r="B29" s="277">
        <v>4802070600</v>
      </c>
      <c r="C29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29" s="281" t="str">
        <f>INDEX(База[],MATCH(Пневматика_СВОДНАЯ_2026[[#This Row],[Обозначение]],База[Артикул],0),MATCH(D$4,База[#Headers],0))</f>
        <v>ЕБС</v>
      </c>
      <c r="E29" s="278" t="str">
        <f>INDEX(База[],MATCH(Пневматика_СВОДНАЯ_2026[[#This Row],[Обозначение]],База[Артикул],0),MATCH(E$4,База[#Headers],0))</f>
        <v>Клапан ускорительный TEBS</v>
      </c>
      <c r="F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20</v>
      </c>
      <c r="I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69</v>
      </c>
      <c r="J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29</v>
      </c>
      <c r="K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88</v>
      </c>
      <c r="L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50</v>
      </c>
      <c r="M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70</v>
      </c>
      <c r="N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50</v>
      </c>
      <c r="O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50</v>
      </c>
      <c r="P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50</v>
      </c>
      <c r="Q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50</v>
      </c>
      <c r="R29" s="433">
        <f ca="1">SUM(Пневматика_СВОДНАЯ_2026[[#This Row],[П- 
01]:[П- 
12]])</f>
        <v>526</v>
      </c>
      <c r="S29" s="451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20</v>
      </c>
      <c r="W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29</v>
      </c>
      <c r="Y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2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29" s="433">
        <f ca="1">SUM(Пневматика_СВОДНАЯ_2026[[#This Row],[Ф- 
01]:[Ф- 
12]])</f>
        <v>49</v>
      </c>
      <c r="AG29" s="519">
        <f ca="1">IF((Пневматика_СВОДНАЯ_2026[[#This Row],[П- 
2026]]+Пневматика_СВОДНАЯ_2026[[#This Row],[Ф- 
2026]])&gt;0,1,0)</f>
        <v>1</v>
      </c>
      <c r="AH29" s="298" t="str">
        <f>Пневматика_СВОДНАЯ_2026[[#This Row],[Прод]]&amp;"_"&amp;Пневматика_СВОДНАЯ_2026[[#This Row],[Обозначение]]</f>
        <v>1_4802070600</v>
      </c>
    </row>
    <row r="30" spans="1:34" s="14" customFormat="1">
      <c r="A30" s="539">
        <v>1</v>
      </c>
      <c r="B30" s="540">
        <v>6402250560</v>
      </c>
      <c r="C30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30" s="541" t="str">
        <f>INDEX(База[],MATCH(Пневматика_СВОДНАЯ_2026[[#This Row],[Обозначение]],База[Артикул],0),MATCH(D$4,База[#Headers],0))</f>
        <v>_Тормоз</v>
      </c>
      <c r="E30" s="542" t="str">
        <f>INDEX(База[],MATCH(Пневматика_СВОДНАЯ_2026[[#This Row],[Обозначение]],База[Артикул],0),MATCH(E$4,База[#Headers],0))</f>
        <v>Дисковый тормозной механизм (левый)</v>
      </c>
      <c r="F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3</v>
      </c>
      <c r="L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9</v>
      </c>
      <c r="N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9</v>
      </c>
      <c r="O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9</v>
      </c>
      <c r="P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9</v>
      </c>
      <c r="Q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9</v>
      </c>
      <c r="R30" s="276">
        <f ca="1">SUM(Пневматика_СВОДНАЯ_2026[[#This Row],[П- 
01]:[П- 
12]])</f>
        <v>48</v>
      </c>
      <c r="S30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3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30" s="276">
        <f ca="1">SUM(Пневматика_СВОДНАЯ_2026[[#This Row],[Ф- 
01]:[Ф- 
12]])</f>
        <v>0</v>
      </c>
      <c r="AG30" s="544">
        <f ca="1">IF((Пневматика_СВОДНАЯ_2026[[#This Row],[П- 
2026]]+Пневматика_СВОДНАЯ_2026[[#This Row],[Ф- 
2026]])&gt;0,1,0)</f>
        <v>1</v>
      </c>
      <c r="AH30" s="545" t="str">
        <f>Пневматика_СВОДНАЯ_2026[[#This Row],[Прод]]&amp;"_"&amp;Пневматика_СВОДНАЯ_2026[[#This Row],[Обозначение]]</f>
        <v>1_6402250560</v>
      </c>
    </row>
    <row r="31" spans="1:34">
      <c r="A31" s="539">
        <v>1</v>
      </c>
      <c r="B31" s="540">
        <v>6402250570</v>
      </c>
      <c r="C31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31" s="541" t="str">
        <f>INDEX(База[],MATCH(Пневматика_СВОДНАЯ_2026[[#This Row],[Обозначение]],База[Артикул],0),MATCH(D$4,База[#Headers],0))</f>
        <v>_Тормоз</v>
      </c>
      <c r="E31" s="542" t="str">
        <f>INDEX(База[],MATCH(Пневматика_СВОДНАЯ_2026[[#This Row],[Обозначение]],База[Артикул],0),MATCH(E$4,База[#Headers],0))</f>
        <v>Дисковый тормозной механизм (правый)</v>
      </c>
      <c r="F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3</v>
      </c>
      <c r="L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9</v>
      </c>
      <c r="N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9</v>
      </c>
      <c r="O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9</v>
      </c>
      <c r="P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9</v>
      </c>
      <c r="Q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9</v>
      </c>
      <c r="R31" s="276">
        <f ca="1">SUM(Пневматика_СВОДНАЯ_2026[[#This Row],[П- 
01]:[П- 
12]])</f>
        <v>48</v>
      </c>
      <c r="S31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31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31" s="276">
        <f ca="1">SUM(Пневматика_СВОДНАЯ_2026[[#This Row],[Ф- 
01]:[Ф- 
12]])</f>
        <v>0</v>
      </c>
      <c r="AG31" s="544">
        <f ca="1">IF((Пневматика_СВОДНАЯ_2026[[#This Row],[П- 
2026]]+Пневматика_СВОДНАЯ_2026[[#This Row],[Ф- 
2026]])&gt;0,1,0)</f>
        <v>1</v>
      </c>
      <c r="AH31" s="545" t="str">
        <f>Пневматика_СВОДНАЯ_2026[[#This Row],[Прод]]&amp;"_"&amp;Пневматика_СВОДНАЯ_2026[[#This Row],[Обозначение]]</f>
        <v>1_6402250570</v>
      </c>
    </row>
    <row r="32" spans="1:34">
      <c r="A32" s="273">
        <v>1</v>
      </c>
      <c r="B32" s="277">
        <v>8282510086</v>
      </c>
      <c r="C32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32" s="281" t="str">
        <f>INDEX(База[],MATCH(Пневматика_СВОДНАЯ_2026[[#This Row],[Обозначение]],База[Артикул],0),MATCH(D$4,База[#Headers],0))</f>
        <v>Трубка</v>
      </c>
      <c r="E32" s="278" t="str">
        <f>INDEX(База[],MATCH(Пневматика_СВОДНАЯ_2026[[#This Row],[Обозначение]],База[Артикул],0),MATCH(E$4,База[#Headers],0))</f>
        <v>Трубка пластиковая 8x1, бухта 100м (м)</v>
      </c>
      <c r="F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10400</v>
      </c>
      <c r="J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8000</v>
      </c>
      <c r="Q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32" s="276">
        <f ca="1">SUM(Пневматика_СВОДНАЯ_2026[[#This Row],[П- 
01]:[П- 
12]])</f>
        <v>18400</v>
      </c>
      <c r="S32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10400</v>
      </c>
      <c r="X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3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32" s="276">
        <f ca="1">SUM(Пневматика_СВОДНАЯ_2026[[#This Row],[Ф- 
01]:[Ф- 
12]])</f>
        <v>10400</v>
      </c>
      <c r="AG32" s="519">
        <f ca="1">IF((Пневматика_СВОДНАЯ_2026[[#This Row],[П- 
2026]]+Пневматика_СВОДНАЯ_2026[[#This Row],[Ф- 
2026]])&gt;0,1,0)</f>
        <v>1</v>
      </c>
      <c r="AH32" s="298" t="str">
        <f>Пневматика_СВОДНАЯ_2026[[#This Row],[Прод]]&amp;"_"&amp;Пневматика_СВОДНАЯ_2026[[#This Row],[Обозначение]]</f>
        <v>1_8282510086</v>
      </c>
    </row>
    <row r="33" spans="1:34">
      <c r="A33" s="273">
        <v>1</v>
      </c>
      <c r="B33" s="277">
        <v>8282510106</v>
      </c>
      <c r="C33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33" s="281" t="str">
        <f>INDEX(База[],MATCH(Пневматика_СВОДНАЯ_2026[[#This Row],[Обозначение]],База[Артикул],0),MATCH(D$4,База[#Headers],0))</f>
        <v>Трубка</v>
      </c>
      <c r="E33" s="278" t="str">
        <f>INDEX(База[],MATCH(Пневматика_СВОДНАЯ_2026[[#This Row],[Обозначение]],База[Артикул],0),MATCH(E$4,База[#Headers],0))</f>
        <v>Трубка пластиковая 10x1, бухта 100м (м)</v>
      </c>
      <c r="F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10000</v>
      </c>
      <c r="O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16000</v>
      </c>
      <c r="Q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33" s="276">
        <f ca="1">SUM(Пневматика_СВОДНАЯ_2026[[#This Row],[П- 
01]:[П- 
12]])</f>
        <v>26000</v>
      </c>
      <c r="S33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3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33" s="276">
        <f ca="1">SUM(Пневматика_СВОДНАЯ_2026[[#This Row],[Ф- 
01]:[Ф- 
12]])</f>
        <v>0</v>
      </c>
      <c r="AG33" s="519">
        <f ca="1">IF((Пневматика_СВОДНАЯ_2026[[#This Row],[П- 
2026]]+Пневматика_СВОДНАЯ_2026[[#This Row],[Ф- 
2026]])&gt;0,1,0)</f>
        <v>1</v>
      </c>
      <c r="AH33" s="298" t="str">
        <f>Пневматика_СВОДНАЯ_2026[[#This Row],[Прод]]&amp;"_"&amp;Пневматика_СВОДНАЯ_2026[[#This Row],[Обозначение]]</f>
        <v>1_8282510106</v>
      </c>
    </row>
    <row r="34" spans="1:34">
      <c r="A34" s="273">
        <v>1</v>
      </c>
      <c r="B34" s="277">
        <v>8282510126</v>
      </c>
      <c r="C34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34" s="281" t="str">
        <f>INDEX(База[],MATCH(Пневматика_СВОДНАЯ_2026[[#This Row],[Обозначение]],База[Артикул],0),MATCH(D$4,База[#Headers],0))</f>
        <v>Трубка</v>
      </c>
      <c r="E34" s="278" t="str">
        <f>INDEX(База[],MATCH(Пневматика_СВОДНАЯ_2026[[#This Row],[Обозначение]],База[Артикул],0),MATCH(E$4,База[#Headers],0))</f>
        <v>Трубка пластиковая 12x1,5, бухта 100м (м)</v>
      </c>
      <c r="F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10000</v>
      </c>
      <c r="O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10000</v>
      </c>
      <c r="Q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34" s="276">
        <f ca="1">SUM(Пневматика_СВОДНАЯ_2026[[#This Row],[П- 
01]:[П- 
12]])</f>
        <v>20000</v>
      </c>
      <c r="S34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3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34" s="276">
        <f ca="1">SUM(Пневматика_СВОДНАЯ_2026[[#This Row],[Ф- 
01]:[Ф- 
12]])</f>
        <v>0</v>
      </c>
      <c r="AG34" s="519">
        <f ca="1">IF((Пневматика_СВОДНАЯ_2026[[#This Row],[П- 
2026]]+Пневматика_СВОДНАЯ_2026[[#This Row],[Ф- 
2026]])&gt;0,1,0)</f>
        <v>1</v>
      </c>
      <c r="AH34" s="298" t="str">
        <f>Пневматика_СВОДНАЯ_2026[[#This Row],[Прод]]&amp;"_"&amp;Пневматика_СВОДНАЯ_2026[[#This Row],[Обозначение]]</f>
        <v>1_8282510126</v>
      </c>
    </row>
    <row r="35" spans="1:34">
      <c r="A35" s="273">
        <v>1</v>
      </c>
      <c r="B35" s="277">
        <v>8282519676</v>
      </c>
      <c r="C35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35" s="281" t="str">
        <f>INDEX(База[],MATCH(Пневматика_СВОДНАЯ_2026[[#This Row],[Обозначение]],База[Артикул],0),MATCH(D$4,База[#Headers],0))</f>
        <v>Трубка</v>
      </c>
      <c r="E35" s="278" t="str">
        <f>INDEX(База[],MATCH(Пневматика_СВОДНАЯ_2026[[#This Row],[Обозначение]],База[Артикул],0),MATCH(E$4,База[#Headers],0))</f>
        <v>Трубка пластиковая 6x1, бухта 100м (м)</v>
      </c>
      <c r="F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6000</v>
      </c>
      <c r="J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3000</v>
      </c>
      <c r="Q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35" s="276">
        <f ca="1">SUM(Пневматика_СВОДНАЯ_2026[[#This Row],[П- 
01]:[П- 
12]])</f>
        <v>9000</v>
      </c>
      <c r="S35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6000</v>
      </c>
      <c r="X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3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35" s="276">
        <f ca="1">SUM(Пневматика_СВОДНАЯ_2026[[#This Row],[Ф- 
01]:[Ф- 
12]])</f>
        <v>6000</v>
      </c>
      <c r="AG35" s="519">
        <f ca="1">IF((Пневматика_СВОДНАЯ_2026[[#This Row],[П- 
2026]]+Пневматика_СВОДНАЯ_2026[[#This Row],[Ф- 
2026]])&gt;0,1,0)</f>
        <v>1</v>
      </c>
      <c r="AH35" s="298" t="str">
        <f>Пневматика_СВОДНАЯ_2026[[#This Row],[Прод]]&amp;"_"&amp;Пневматика_СВОДНАЯ_2026[[#This Row],[Обозначение]]</f>
        <v>1_8282519676</v>
      </c>
    </row>
    <row r="36" spans="1:34">
      <c r="A36" s="273">
        <v>1</v>
      </c>
      <c r="B36" s="277">
        <v>8282519726</v>
      </c>
      <c r="C36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36" s="281" t="str">
        <f>INDEX(База[],MATCH(Пневматика_СВОДНАЯ_2026[[#This Row],[Обозначение]],База[Артикул],0),MATCH(D$4,База[#Headers],0))</f>
        <v>Трубка</v>
      </c>
      <c r="E36" s="278" t="str">
        <f>INDEX(База[],MATCH(Пневматика_СВОДНАЯ_2026[[#This Row],[Обозначение]],База[Артикул],0),MATCH(E$4,База[#Headers],0))</f>
        <v>Трубка пластиковая 15x1,5, бухта 50м (м)</v>
      </c>
      <c r="F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5000</v>
      </c>
      <c r="O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5000</v>
      </c>
      <c r="Q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36" s="276">
        <f ca="1">SUM(Пневматика_СВОДНАЯ_2026[[#This Row],[П- 
01]:[П- 
12]])</f>
        <v>10000</v>
      </c>
      <c r="S36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3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36" s="276">
        <f ca="1">SUM(Пневматика_СВОДНАЯ_2026[[#This Row],[Ф- 
01]:[Ф- 
12]])</f>
        <v>0</v>
      </c>
      <c r="AG36" s="519">
        <f ca="1">IF((Пневматика_СВОДНАЯ_2026[[#This Row],[П- 
2026]]+Пневматика_СВОДНАЯ_2026[[#This Row],[Ф- 
2026]])&gt;0,1,0)</f>
        <v>1</v>
      </c>
      <c r="AH36" s="298" t="str">
        <f>Пневматика_СВОДНАЯ_2026[[#This Row],[Прод]]&amp;"_"&amp;Пневматика_СВОДНАЯ_2026[[#This Row],[Обозначение]]</f>
        <v>1_8282519726</v>
      </c>
    </row>
    <row r="37" spans="1:34">
      <c r="A37" s="539">
        <v>1</v>
      </c>
      <c r="B37" s="540">
        <v>8997598154</v>
      </c>
      <c r="C37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37" s="541" t="str">
        <f>INDEX(База[],MATCH(Пневматика_СВОДНАЯ_2026[[#This Row],[Обозначение]],База[Артикул],0),MATCH(D$4,База[#Headers],0))</f>
        <v>/АБС/ЕБС</v>
      </c>
      <c r="E37" s="542" t="str">
        <f>INDEX(База[],MATCH(Пневматика_СВОДНАЯ_2026[[#This Row],[Обозначение]],База[Артикул],0),MATCH(E$4,База[#Headers],0))</f>
        <v>Втулка датчика АБС</v>
      </c>
      <c r="F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6</v>
      </c>
      <c r="N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6</v>
      </c>
      <c r="O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6</v>
      </c>
      <c r="P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6</v>
      </c>
      <c r="Q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6</v>
      </c>
      <c r="R37" s="276">
        <f ca="1">SUM(Пневматика_СВОДНАЯ_2026[[#This Row],[П- 
01]:[П- 
12]])</f>
        <v>30</v>
      </c>
      <c r="S37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37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37" s="276">
        <f ca="1">SUM(Пневматика_СВОДНАЯ_2026[[#This Row],[Ф- 
01]:[Ф- 
12]])</f>
        <v>0</v>
      </c>
      <c r="AG37" s="544">
        <f ca="1">IF((Пневматика_СВОДНАЯ_2026[[#This Row],[П- 
2026]]+Пневматика_СВОДНАЯ_2026[[#This Row],[Ф- 
2026]])&gt;0,1,0)</f>
        <v>1</v>
      </c>
      <c r="AH37" s="545" t="str">
        <f>Пневматика_СВОДНАЯ_2026[[#This Row],[Прод]]&amp;"_"&amp;Пневматика_СВОДНАЯ_2026[[#This Row],[Обозначение]]</f>
        <v>1_8997598154</v>
      </c>
    </row>
    <row r="38" spans="1:34">
      <c r="A38" s="273">
        <v>1</v>
      </c>
      <c r="B38" s="274">
        <v>9253761210</v>
      </c>
      <c r="C38" s="17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38" s="281" t="str">
        <f>INDEX(База[],MATCH(Пневматика_СВОДНАЯ_2026[[#This Row],[Обозначение]],База[Артикул],0),MATCH(D$4,База[#Headers],0))</f>
        <v>ТКЭА</v>
      </c>
      <c r="E38" s="55" t="str">
        <f>INDEX(База[],MATCH(Пневматика_СВОДНАЯ_2026[[#This Row],[Обозначение]],База[Артикул],0),MATCH(E$4,База[#Headers],0))</f>
        <v>Энергоаккумулятор тип 24/30</v>
      </c>
      <c r="F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80</v>
      </c>
      <c r="H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88</v>
      </c>
      <c r="I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488</v>
      </c>
      <c r="J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416</v>
      </c>
      <c r="L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48</v>
      </c>
      <c r="M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212</v>
      </c>
      <c r="N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52</v>
      </c>
      <c r="O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212</v>
      </c>
      <c r="P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52</v>
      </c>
      <c r="Q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252</v>
      </c>
      <c r="R38" s="276">
        <f ca="1">SUM(Пневматика_СВОДНАЯ_2026[[#This Row],[П- 
01]:[П- 
12]])</f>
        <v>1900</v>
      </c>
      <c r="S38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80</v>
      </c>
      <c r="V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88</v>
      </c>
      <c r="W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488</v>
      </c>
      <c r="X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3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38" s="276">
        <f ca="1">SUM(Пневматика_СВОДНАЯ_2026[[#This Row],[Ф- 
01]:[Ф- 
12]])</f>
        <v>656</v>
      </c>
      <c r="AG38" s="519">
        <f ca="1">IF((Пневматика_СВОДНАЯ_2026[[#This Row],[П- 
2026]]+Пневматика_СВОДНАЯ_2026[[#This Row],[Ф- 
2026]])&gt;0,1,0)</f>
        <v>1</v>
      </c>
      <c r="AH38" s="280" t="str">
        <f>Пневматика_СВОДНАЯ_2026[[#This Row],[Прод]]&amp;"_"&amp;Пневматика_СВОДНАЯ_2026[[#This Row],[Обозначение]]</f>
        <v>1_9253761210</v>
      </c>
    </row>
    <row r="39" spans="1:34">
      <c r="A39" s="273">
        <v>1</v>
      </c>
      <c r="B39" s="277">
        <v>9253771100</v>
      </c>
      <c r="C39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39" s="281" t="str">
        <f>INDEX(База[],MATCH(Пневматика_СВОДНАЯ_2026[[#This Row],[Обозначение]],База[Артикул],0),MATCH(D$4,База[#Headers],0))</f>
        <v>ТКЭА</v>
      </c>
      <c r="E39" s="278" t="str">
        <f>INDEX(База[],MATCH(Пневматика_СВОДНАЯ_2026[[#This Row],[Обозначение]],База[Артикул],0),MATCH(E$4,База[#Headers],0))</f>
        <v>Энергоаккумулятор тип 30/30</v>
      </c>
      <c r="F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240</v>
      </c>
      <c r="H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80</v>
      </c>
      <c r="I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520</v>
      </c>
      <c r="J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560</v>
      </c>
      <c r="L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80</v>
      </c>
      <c r="M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160</v>
      </c>
      <c r="N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120</v>
      </c>
      <c r="O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160</v>
      </c>
      <c r="P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120</v>
      </c>
      <c r="Q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200</v>
      </c>
      <c r="R39" s="276">
        <f ca="1">SUM(Пневматика_СВОДНАЯ_2026[[#This Row],[П- 
01]:[П- 
12]])</f>
        <v>2240</v>
      </c>
      <c r="S39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240</v>
      </c>
      <c r="V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80</v>
      </c>
      <c r="W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520</v>
      </c>
      <c r="X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39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39" s="276">
        <f ca="1">SUM(Пневматика_СВОДНАЯ_2026[[#This Row],[Ф- 
01]:[Ф- 
12]])</f>
        <v>840</v>
      </c>
      <c r="AG39" s="519">
        <f ca="1">IF((Пневматика_СВОДНАЯ_2026[[#This Row],[П- 
2026]]+Пневматика_СВОДНАЯ_2026[[#This Row],[Ф- 
2026]])&gt;0,1,0)</f>
        <v>1</v>
      </c>
      <c r="AH39" s="280" t="str">
        <f>Пневматика_СВОДНАЯ_2026[[#This Row],[Прод]]&amp;"_"&amp;Пневматика_СВОДНАЯ_2026[[#This Row],[Обозначение]]</f>
        <v>1_9253771100</v>
      </c>
    </row>
    <row r="40" spans="1:34">
      <c r="A40" s="539">
        <v>1</v>
      </c>
      <c r="B40" s="540">
        <v>9254800504</v>
      </c>
      <c r="C40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40" s="541" t="str">
        <f>INDEX(База[],MATCH(Пневматика_СВОДНАЯ_2026[[#This Row],[Обозначение]],База[Артикул],0),MATCH(D$4,База[#Headers],0))</f>
        <v>ТКЭА</v>
      </c>
      <c r="E40" s="542" t="str">
        <f>INDEX(База[],MATCH(Пневматика_СВОДНАЯ_2026[[#This Row],[Обозначение]],База[Артикул],0),MATCH(E$4,База[#Headers],0))</f>
        <v>Энергоаккумулятор, тип 20/24</v>
      </c>
      <c r="F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12</v>
      </c>
      <c r="N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12</v>
      </c>
      <c r="O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12</v>
      </c>
      <c r="P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12</v>
      </c>
      <c r="Q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12</v>
      </c>
      <c r="R40" s="276">
        <f ca="1">SUM(Пневматика_СВОДНАЯ_2026[[#This Row],[П- 
01]:[П- 
12]])</f>
        <v>60</v>
      </c>
      <c r="S40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40" s="543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40" s="276">
        <f ca="1">SUM(Пневматика_СВОДНАЯ_2026[[#This Row],[Ф- 
01]:[Ф- 
12]])</f>
        <v>0</v>
      </c>
      <c r="AG40" s="544">
        <f ca="1">IF((Пневматика_СВОДНАЯ_2026[[#This Row],[П- 
2026]]+Пневматика_СВОДНАЯ_2026[[#This Row],[Ф- 
2026]])&gt;0,1,0)</f>
        <v>1</v>
      </c>
      <c r="AH40" s="545" t="str">
        <f>Пневматика_СВОДНАЯ_2026[[#This Row],[Прод]]&amp;"_"&amp;Пневматика_СВОДНАЯ_2026[[#This Row],[Обозначение]]</f>
        <v>1_9254800504</v>
      </c>
    </row>
    <row r="41" spans="1:34">
      <c r="A41" s="273">
        <v>1</v>
      </c>
      <c r="B41" s="277">
        <v>9522010010</v>
      </c>
      <c r="C41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41" s="281" t="str">
        <f>INDEX(База[],MATCH(Пневматика_СВОДНАЯ_2026[[#This Row],[Обозначение]],База[Артикул],0),MATCH(D$4,База[#Headers],0))</f>
        <v>ОТС</v>
      </c>
      <c r="E41" s="278" t="str">
        <f>INDEX(База[],MATCH(Пневматика_СВОДНАЯ_2026[[#This Row],[Обозначение]],База[Артикул],0),MATCH(E$4,База[#Headers],0))</f>
        <v>Головка соединительная (управляющая)</v>
      </c>
      <c r="F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13</v>
      </c>
      <c r="G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89</v>
      </c>
      <c r="H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56</v>
      </c>
      <c r="I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184</v>
      </c>
      <c r="J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48</v>
      </c>
      <c r="K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257</v>
      </c>
      <c r="L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107</v>
      </c>
      <c r="M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148</v>
      </c>
      <c r="N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158</v>
      </c>
      <c r="O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158</v>
      </c>
      <c r="P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178</v>
      </c>
      <c r="Q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178</v>
      </c>
      <c r="R41" s="276">
        <f ca="1">SUM(Пневматика_СВОДНАЯ_2026[[#This Row],[П- 
01]:[П- 
12]])</f>
        <v>1574</v>
      </c>
      <c r="S41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13</v>
      </c>
      <c r="U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89</v>
      </c>
      <c r="V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56</v>
      </c>
      <c r="W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48</v>
      </c>
      <c r="Y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4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41" s="276">
        <f ca="1">SUM(Пневматика_СВОДНАЯ_2026[[#This Row],[Ф- 
01]:[Ф- 
12]])</f>
        <v>206</v>
      </c>
      <c r="AG41" s="519">
        <f ca="1">IF((Пневматика_СВОДНАЯ_2026[[#This Row],[П- 
2026]]+Пневматика_СВОДНАЯ_2026[[#This Row],[Ф- 
2026]])&gt;0,1,0)</f>
        <v>1</v>
      </c>
      <c r="AH41" s="280" t="str">
        <f>Пневматика_СВОДНАЯ_2026[[#This Row],[Прод]]&amp;"_"&amp;Пневматика_СВОДНАЯ_2026[[#This Row],[Обозначение]]</f>
        <v>1_9522010010</v>
      </c>
    </row>
    <row r="42" spans="1:34">
      <c r="A42" s="273">
        <v>1</v>
      </c>
      <c r="B42" s="277">
        <v>9522010020</v>
      </c>
      <c r="C42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42" s="281" t="str">
        <f>INDEX(База[],MATCH(Пневматика_СВОДНАЯ_2026[[#This Row],[Обозначение]],База[Артикул],0),MATCH(D$4,База[#Headers],0))</f>
        <v>ОТС</v>
      </c>
      <c r="E42" s="278" t="str">
        <f>INDEX(База[],MATCH(Пневматика_СВОДНАЯ_2026[[#This Row],[Обозначение]],База[Артикул],0),MATCH(E$4,База[#Headers],0))</f>
        <v>Головка соединительная (питающая)</v>
      </c>
      <c r="F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13</v>
      </c>
      <c r="G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89</v>
      </c>
      <c r="H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56</v>
      </c>
      <c r="I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184</v>
      </c>
      <c r="J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48</v>
      </c>
      <c r="K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257</v>
      </c>
      <c r="L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107</v>
      </c>
      <c r="M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148</v>
      </c>
      <c r="N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158</v>
      </c>
      <c r="O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158</v>
      </c>
      <c r="P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178</v>
      </c>
      <c r="Q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178</v>
      </c>
      <c r="R42" s="276">
        <f ca="1">SUM(Пневматика_СВОДНАЯ_2026[[#This Row],[П- 
01]:[П- 
12]])</f>
        <v>1574</v>
      </c>
      <c r="S42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13</v>
      </c>
      <c r="U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89</v>
      </c>
      <c r="V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56</v>
      </c>
      <c r="W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48</v>
      </c>
      <c r="Y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42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42" s="276">
        <f ca="1">SUM(Пневматика_СВОДНАЯ_2026[[#This Row],[Ф- 
01]:[Ф- 
12]])</f>
        <v>206</v>
      </c>
      <c r="AG42" s="519">
        <f ca="1">IF((Пневматика_СВОДНАЯ_2026[[#This Row],[П- 
2026]]+Пневматика_СВОДНАЯ_2026[[#This Row],[Ф- 
2026]])&gt;0,1,0)</f>
        <v>1</v>
      </c>
      <c r="AH42" s="280" t="str">
        <f>Пневматика_СВОДНАЯ_2026[[#This Row],[Прод]]&amp;"_"&amp;Пневматика_СВОДНАЯ_2026[[#This Row],[Обозначение]]</f>
        <v>1_9522010020</v>
      </c>
    </row>
    <row r="43" spans="1:34">
      <c r="A43" s="273">
        <v>1</v>
      </c>
      <c r="B43" s="274">
        <v>9630010510</v>
      </c>
      <c r="C43" s="17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43" s="281" t="str">
        <f>INDEX(База[],MATCH(Пневматика_СВОДНАЯ_2026[[#This Row],[Обозначение]],База[Артикул],0),MATCH(D$4,База[#Headers],0))</f>
        <v>ОТС</v>
      </c>
      <c r="E43" s="55" t="str">
        <f>INDEX(База[],MATCH(Пневматика_СВОДНАЯ_2026[[#This Row],[Обозначение]],База[Артикул],0),MATCH(E$4,База[#Headers],0))</f>
        <v>Клапан растормаживания сдвоенный</v>
      </c>
      <c r="F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53</v>
      </c>
      <c r="H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76</v>
      </c>
      <c r="I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60</v>
      </c>
      <c r="J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65</v>
      </c>
      <c r="L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20</v>
      </c>
      <c r="M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20</v>
      </c>
      <c r="N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</v>
      </c>
      <c r="O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20</v>
      </c>
      <c r="P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20</v>
      </c>
      <c r="Q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20</v>
      </c>
      <c r="R43" s="276">
        <f ca="1">SUM(Пневматика_СВОДНАЯ_2026[[#This Row],[П- 
01]:[П- 
12]])</f>
        <v>364</v>
      </c>
      <c r="S43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53</v>
      </c>
      <c r="V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76</v>
      </c>
      <c r="W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60</v>
      </c>
      <c r="X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43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43" s="276">
        <f ca="1">SUM(Пневматика_СВОДНАЯ_2026[[#This Row],[Ф- 
01]:[Ф- 
12]])</f>
        <v>189</v>
      </c>
      <c r="AG43" s="519">
        <f ca="1">IF((Пневматика_СВОДНАЯ_2026[[#This Row],[П- 
2026]]+Пневматика_СВОДНАЯ_2026[[#This Row],[Ф- 
2026]])&gt;0,1,0)</f>
        <v>1</v>
      </c>
      <c r="AH43" s="280" t="str">
        <f>Пневматика_СВОДНАЯ_2026[[#This Row],[Прод]]&amp;"_"&amp;Пневматика_СВОДНАЯ_2026[[#This Row],[Обозначение]]</f>
        <v>1_9630010510</v>
      </c>
    </row>
    <row r="44" spans="1:34" ht="28.8">
      <c r="A44" s="273">
        <v>1</v>
      </c>
      <c r="B44" s="277">
        <v>9710029000</v>
      </c>
      <c r="C44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44" s="281" t="str">
        <f>INDEX(База[],MATCH(Пневматика_СВОДНАЯ_2026[[#This Row],[Обозначение]],База[Артикул],0),MATCH(D$4,База[#Headers],0))</f>
        <v>ЕБС</v>
      </c>
      <c r="E44" s="278" t="str">
        <f>INDEX(База[],MATCH(Пневматика_СВОДНАЯ_2026[[#This Row],[Обозначение]],База[Артикул],0),MATCH(E$4,База[#Headers],0))</f>
        <v>Воздухораспределитель с клапаном растормаживания</v>
      </c>
      <c r="F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13</v>
      </c>
      <c r="G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89</v>
      </c>
      <c r="H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36</v>
      </c>
      <c r="I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124</v>
      </c>
      <c r="J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48</v>
      </c>
      <c r="K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167</v>
      </c>
      <c r="L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107</v>
      </c>
      <c r="M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148</v>
      </c>
      <c r="N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158</v>
      </c>
      <c r="O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158</v>
      </c>
      <c r="P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178</v>
      </c>
      <c r="Q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178</v>
      </c>
      <c r="R44" s="276">
        <f ca="1">SUM(Пневматика_СВОДНАЯ_2026[[#This Row],[П- 
01]:[П- 
12]])</f>
        <v>1404</v>
      </c>
      <c r="S44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13</v>
      </c>
      <c r="U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89</v>
      </c>
      <c r="V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36</v>
      </c>
      <c r="W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48</v>
      </c>
      <c r="Y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44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44" s="276">
        <f ca="1">SUM(Пневматика_СВОДНАЯ_2026[[#This Row],[Ф- 
01]:[Ф- 
12]])</f>
        <v>186</v>
      </c>
      <c r="AG44" s="519">
        <f ca="1">IF((Пневматика_СВОДНАЯ_2026[[#This Row],[П- 
2026]]+Пневматика_СВОДНАЯ_2026[[#This Row],[Ф- 
2026]])&gt;0,1,0)</f>
        <v>1</v>
      </c>
      <c r="AH44" s="280" t="str">
        <f>Пневматика_СВОДНАЯ_2026[[#This Row],[Прод]]&amp;"_"&amp;Пневматика_СВОДНАЯ_2026[[#This Row],[Обозначение]]</f>
        <v>1_9710029000</v>
      </c>
    </row>
    <row r="45" spans="1:34">
      <c r="A45" s="273">
        <v>1</v>
      </c>
      <c r="B45" s="274">
        <v>9730010100</v>
      </c>
      <c r="C45" s="17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45" s="281" t="str">
        <f>INDEX(База[],MATCH(Пневматика_СВОДНАЯ_2026[[#This Row],[Обозначение]],База[Артикул],0),MATCH(D$4,База[#Headers],0))</f>
        <v>ОТС</v>
      </c>
      <c r="E45" s="55" t="str">
        <f>INDEX(База[],MATCH(Пневматика_СВОДНАЯ_2026[[#This Row],[Обозначение]],База[Артикул],0),MATCH(E$4,База[#Headers],0))</f>
        <v>Клапан ускорительный</v>
      </c>
      <c r="F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30</v>
      </c>
      <c r="H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20</v>
      </c>
      <c r="I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25</v>
      </c>
      <c r="J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40</v>
      </c>
      <c r="L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40</v>
      </c>
      <c r="N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40</v>
      </c>
      <c r="P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40</v>
      </c>
      <c r="R45" s="276">
        <f ca="1">SUM(Пневматика_СВОДНАЯ_2026[[#This Row],[П- 
01]:[П- 
12]])</f>
        <v>235</v>
      </c>
      <c r="S45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30</v>
      </c>
      <c r="V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20</v>
      </c>
      <c r="W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25</v>
      </c>
      <c r="X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45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45" s="276">
        <f ca="1">SUM(Пневматика_СВОДНАЯ_2026[[#This Row],[Ф- 
01]:[Ф- 
12]])</f>
        <v>75</v>
      </c>
      <c r="AG45" s="519">
        <f ca="1">IF((Пневматика_СВОДНАЯ_2026[[#This Row],[П- 
2026]]+Пневматика_СВОДНАЯ_2026[[#This Row],[Ф- 
2026]])&gt;0,1,0)</f>
        <v>1</v>
      </c>
      <c r="AH45" s="280" t="str">
        <f>Пневматика_СВОДНАЯ_2026[[#This Row],[Прод]]&amp;"_"&amp;Пневматика_СВОДНАЯ_2026[[#This Row],[Обозначение]]</f>
        <v>1_9730010100</v>
      </c>
    </row>
    <row r="46" spans="1:34">
      <c r="A46" s="273">
        <v>1</v>
      </c>
      <c r="B46" s="277">
        <v>9730110000</v>
      </c>
      <c r="C46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46" s="281" t="str">
        <f>INDEX(База[],MATCH(Пневматика_СВОДНАЯ_2026[[#This Row],[Обозначение]],База[Артикул],0),MATCH(D$4,База[#Headers],0))</f>
        <v>ОТС</v>
      </c>
      <c r="E46" s="278" t="str">
        <f>INDEX(База[],MATCH(Пневматика_СВОДНАЯ_2026[[#This Row],[Обозначение]],База[Артикул],0),MATCH(E$4,База[#Headers],0))</f>
        <v>Клапан ускорительный</v>
      </c>
      <c r="F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4</v>
      </c>
      <c r="H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20</v>
      </c>
      <c r="I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60</v>
      </c>
      <c r="J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14</v>
      </c>
      <c r="K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60</v>
      </c>
      <c r="L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46" s="276">
        <f ca="1">SUM(Пневматика_СВОДНАЯ_2026[[#This Row],[П- 
01]:[П- 
12]])</f>
        <v>158</v>
      </c>
      <c r="S46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4</v>
      </c>
      <c r="V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20</v>
      </c>
      <c r="W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60</v>
      </c>
      <c r="X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14</v>
      </c>
      <c r="Y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46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46" s="276">
        <f ca="1">SUM(Пневматика_СВОДНАЯ_2026[[#This Row],[Ф- 
01]:[Ф- 
12]])</f>
        <v>98</v>
      </c>
      <c r="AG46" s="519">
        <f ca="1">IF((Пневматика_СВОДНАЯ_2026[[#This Row],[П- 
2026]]+Пневматика_СВОДНАЯ_2026[[#This Row],[Ф- 
2026]])&gt;0,1,0)</f>
        <v>1</v>
      </c>
      <c r="AH46" s="298" t="str">
        <f>Пневматика_СВОДНАЯ_2026[[#This Row],[Прод]]&amp;"_"&amp;Пневматика_СВОДНАЯ_2026[[#This Row],[Обозначение]]</f>
        <v>1_9730110000</v>
      </c>
    </row>
    <row r="47" spans="1:34" ht="28.8">
      <c r="A47" s="273">
        <v>1</v>
      </c>
      <c r="B47" s="274">
        <v>9735000510</v>
      </c>
      <c r="C47" s="17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47" s="281" t="str">
        <f>INDEX(База[],MATCH(Пневматика_СВОДНАЯ_2026[[#This Row],[Обозначение]],База[Артикул],0),MATCH(D$4,База[#Headers],0))</f>
        <v>ОТС</v>
      </c>
      <c r="E47" s="55" t="str">
        <f>INDEX(База[],MATCH(Пневматика_СВОДНАЯ_2026[[#This Row],[Обозначение]],База[Артикул],0),MATCH(E$4,База[#Headers],0))</f>
        <v>Клапан быстрого растормаживания энергоаккумуляторов</v>
      </c>
      <c r="F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53</v>
      </c>
      <c r="H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56</v>
      </c>
      <c r="I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20</v>
      </c>
      <c r="L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20</v>
      </c>
      <c r="M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35</v>
      </c>
      <c r="N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13</v>
      </c>
      <c r="O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38</v>
      </c>
      <c r="P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23</v>
      </c>
      <c r="Q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38</v>
      </c>
      <c r="R47" s="276">
        <f ca="1">SUM(Пневматика_СВОДНАЯ_2026[[#This Row],[П- 
01]:[П- 
12]])</f>
        <v>296</v>
      </c>
      <c r="S47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53</v>
      </c>
      <c r="V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56</v>
      </c>
      <c r="W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47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47" s="276">
        <f ca="1">SUM(Пневматика_СВОДНАЯ_2026[[#This Row],[Ф- 
01]:[Ф- 
12]])</f>
        <v>109</v>
      </c>
      <c r="AG47" s="519">
        <f ca="1">IF((Пневматика_СВОДНАЯ_2026[[#This Row],[П- 
2026]]+Пневматика_СВОДНАЯ_2026[[#This Row],[Ф- 
2026]])&gt;0,1,0)</f>
        <v>1</v>
      </c>
      <c r="AH47" s="280" t="str">
        <f>Пневматика_СВОДНАЯ_2026[[#This Row],[Прод]]&amp;"_"&amp;Пневматика_СВОДНАЯ_2026[[#This Row],[Обозначение]]</f>
        <v>1_9735000510</v>
      </c>
    </row>
    <row r="48" spans="1:34">
      <c r="A48" s="273">
        <v>1</v>
      </c>
      <c r="B48" s="277" t="s">
        <v>160</v>
      </c>
      <c r="C48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48" s="281" t="str">
        <f>INDEX(База[],MATCH(Пневматика_СВОДНАЯ_2026[[#This Row],[Обозначение]],База[Артикул],0),MATCH(D$4,База[#Headers],0))</f>
        <v>Диагностика</v>
      </c>
      <c r="E48" s="278" t="str">
        <f>INDEX(База[],MATCH(Пневматика_СВОДНАЯ_2026[[#This Row],[Обозначение]],База[Артикул],0),MATCH(E$4,База[#Headers],0))</f>
        <v>Комплект диагностики TEBS</v>
      </c>
      <c r="F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48" s="276">
        <f ca="1">SUM(Пневматика_СВОДНАЯ_2026[[#This Row],[П- 
01]:[П- 
12]])</f>
        <v>1</v>
      </c>
      <c r="S48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1</v>
      </c>
      <c r="X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48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48" s="276">
        <f ca="1">SUM(Пневматика_СВОДНАЯ_2026[[#This Row],[Ф- 
01]:[Ф- 
12]])</f>
        <v>1</v>
      </c>
      <c r="AG48" s="519">
        <f ca="1">IF((Пневматика_СВОДНАЯ_2026[[#This Row],[П- 
2026]]+Пневматика_СВОДНАЯ_2026[[#This Row],[Ф- 
2026]])&gt;0,1,0)</f>
        <v>1</v>
      </c>
      <c r="AH48" s="298" t="str">
        <f>Пневматика_СВОДНАЯ_2026[[#This Row],[Прод]]&amp;"_"&amp;Пневматика_СВОДНАЯ_2026[[#This Row],[Обозначение]]</f>
        <v>1_WA-3601400</v>
      </c>
    </row>
    <row r="49" spans="1:34" ht="28.8">
      <c r="A49" s="282">
        <v>1</v>
      </c>
      <c r="B49" s="283">
        <v>4006043270</v>
      </c>
      <c r="C4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49" s="285" t="str">
        <f>INDEX(База[],MATCH(Пневматика_СВОДНАЯ_2026[[#This Row],[Обозначение]],База[Артикул],0),MATCH(D$4,База[#Headers],0))</f>
        <v>ОТС</v>
      </c>
      <c r="E49" s="286" t="str">
        <f>INDEX(База[],MATCH(Пневматика_СВОДНАЯ_2026[[#This Row],[Обозначение]],База[Артикул],0),MATCH(E$4,База[#Headers],0))</f>
        <v>Комплект головок соединительных (4522000110+4522002110, красные, М22х1,5)</v>
      </c>
      <c r="F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4</v>
      </c>
      <c r="L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49" s="288">
        <f ca="1">SUM(Пневматика_СВОДНАЯ_2026[[#This Row],[П- 
01]:[П- 
12]])</f>
        <v>4</v>
      </c>
      <c r="S49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4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49" s="288">
        <f ca="1">SUM(Пневматика_СВОДНАЯ_2026[[#This Row],[Ф- 
01]:[Ф- 
12]])</f>
        <v>0</v>
      </c>
      <c r="AG49" s="520">
        <f ca="1">IF((Пневматика_СВОДНАЯ_2026[[#This Row],[П- 
2026]]+Пневматика_СВОДНАЯ_2026[[#This Row],[Ф- 
2026]])&gt;0,1,0)</f>
        <v>1</v>
      </c>
      <c r="AH49" s="289" t="str">
        <f>Пневматика_СВОДНАЯ_2026[[#This Row],[Прод]]&amp;"_"&amp;Пневматика_СВОДНАЯ_2026[[#This Row],[Обозначение]]</f>
        <v>1_4006043270</v>
      </c>
    </row>
    <row r="50" spans="1:34" ht="28.8">
      <c r="A50" s="282">
        <v>1</v>
      </c>
      <c r="B50" s="283">
        <v>4006043280</v>
      </c>
      <c r="C5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50" s="285" t="str">
        <f>INDEX(База[],MATCH(Пневматика_СВОДНАЯ_2026[[#This Row],[Обозначение]],База[Артикул],0),MATCH(D$4,База[#Headers],0))</f>
        <v>ОТС</v>
      </c>
      <c r="E50" s="286" t="str">
        <f>INDEX(База[],MATCH(Пневматика_СВОДНАЯ_2026[[#This Row],[Обозначение]],База[Артикул],0),MATCH(E$4,База[#Headers],0))</f>
        <v>Комплект головок соединительных (4522000120+4522002120, желтые, М22х1,5)</v>
      </c>
      <c r="F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4</v>
      </c>
      <c r="L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50" s="288">
        <f ca="1">SUM(Пневматика_СВОДНАЯ_2026[[#This Row],[П- 
01]:[П- 
12]])</f>
        <v>4</v>
      </c>
      <c r="S50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5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50" s="288">
        <f ca="1">SUM(Пневматика_СВОДНАЯ_2026[[#This Row],[Ф- 
01]:[Ф- 
12]])</f>
        <v>0</v>
      </c>
      <c r="AG50" s="520">
        <f ca="1">IF((Пневматика_СВОДНАЯ_2026[[#This Row],[П- 
2026]]+Пневматика_СВОДНАЯ_2026[[#This Row],[Ф- 
2026]])&gt;0,1,0)</f>
        <v>1</v>
      </c>
      <c r="AH50" s="289" t="str">
        <f>Пневматика_СВОДНАЯ_2026[[#This Row],[Прод]]&amp;"_"&amp;Пневматика_СВОДНАЯ_2026[[#This Row],[Обозначение]]</f>
        <v>1_4006043280</v>
      </c>
    </row>
    <row r="51" spans="1:34">
      <c r="A51" s="273">
        <v>2</v>
      </c>
      <c r="B51" s="277">
        <v>4005000810</v>
      </c>
      <c r="C51" s="10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51" s="281" t="str">
        <f>INDEX(База[],MATCH(Пневматика_СВОДНАЯ_2026[[#This Row],[Обозначение]],База[Артикул],0),MATCH(D$4,База[#Headers],0))</f>
        <v>АБС</v>
      </c>
      <c r="E51" s="278" t="str">
        <f>INDEX(База[],MATCH(Пневматика_СВОДНАЯ_2026[[#This Row],[Обозначение]],База[Артикул],0),MATCH(E$4,База[#Headers],0))</f>
        <v>Модулятор ABS</v>
      </c>
      <c r="F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</v>
      </c>
      <c r="H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16</v>
      </c>
      <c r="I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15</v>
      </c>
      <c r="L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15</v>
      </c>
      <c r="M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15</v>
      </c>
      <c r="N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</v>
      </c>
      <c r="O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51" s="276">
        <f ca="1">SUM(Пневматика_СВОДНАЯ_2026[[#This Row],[П- 
01]:[П- 
12]])</f>
        <v>71</v>
      </c>
      <c r="S51" s="450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</v>
      </c>
      <c r="V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16</v>
      </c>
      <c r="W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51" s="27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51" s="276">
        <f ca="1">SUM(Пневматика_СВОДНАЯ_2026[[#This Row],[Ф- 
01]:[Ф- 
12]])</f>
        <v>21</v>
      </c>
      <c r="AG51" s="519">
        <f ca="1">IF((Пневматика_СВОДНАЯ_2026[[#This Row],[П- 
2026]]+Пневматика_СВОДНАЯ_2026[[#This Row],[Ф- 
2026]])&gt;0,1,0)</f>
        <v>1</v>
      </c>
      <c r="AH51" s="298" t="str">
        <f>Пневматика_СВОДНАЯ_2026[[#This Row],[Прод]]&amp;"_"&amp;Пневматика_СВОДНАЯ_2026[[#This Row],[Обозначение]]</f>
        <v>2_4005000810</v>
      </c>
    </row>
    <row r="52" spans="1:34">
      <c r="A52" s="290">
        <v>2</v>
      </c>
      <c r="B52" s="291">
        <v>4005000880</v>
      </c>
      <c r="C52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52" s="293" t="str">
        <f>INDEX(База[],MATCH(Пневматика_СВОДНАЯ_2026[[#This Row],[Обозначение]],База[Артикул],0),MATCH(D$4,База[#Headers],0))</f>
        <v>АБС</v>
      </c>
      <c r="E52" s="294" t="str">
        <f>INDEX(База[],MATCH(Пневматика_СВОДНАЯ_2026[[#This Row],[Обозначение]],База[Артикул],0),MATCH(E$4,База[#Headers],0))</f>
        <v>Модулятор ABS</v>
      </c>
      <c r="F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28</v>
      </c>
      <c r="G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40</v>
      </c>
      <c r="H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20</v>
      </c>
      <c r="I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</v>
      </c>
      <c r="O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35</v>
      </c>
      <c r="P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35</v>
      </c>
      <c r="Q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35</v>
      </c>
      <c r="R52" s="296">
        <f ca="1">SUM(Пневматика_СВОДНАЯ_2026[[#This Row],[П- 
01]:[П- 
12]])</f>
        <v>203</v>
      </c>
      <c r="S52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28</v>
      </c>
      <c r="U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40</v>
      </c>
      <c r="V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20</v>
      </c>
      <c r="W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5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52" s="296">
        <f ca="1">SUM(Пневматика_СВОДНАЯ_2026[[#This Row],[Ф- 
01]:[Ф- 
12]])</f>
        <v>88</v>
      </c>
      <c r="AG52" s="521">
        <f ca="1">IF((Пневматика_СВОДНАЯ_2026[[#This Row],[П- 
2026]]+Пневматика_СВОДНАЯ_2026[[#This Row],[Ф- 
2026]])&gt;0,1,0)</f>
        <v>1</v>
      </c>
      <c r="AH52" s="299" t="str">
        <f>Пневматика_СВОДНАЯ_2026[[#This Row],[Прод]]&amp;"_"&amp;Пневматика_СВОДНАЯ_2026[[#This Row],[Обозначение]]</f>
        <v>2_4005000880</v>
      </c>
    </row>
    <row r="53" spans="1:34">
      <c r="A53" s="290">
        <v>2</v>
      </c>
      <c r="B53" s="291">
        <v>4334010030</v>
      </c>
      <c r="C53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53" s="293" t="str">
        <f>INDEX(База[],MATCH(Пневматика_СВОДНАЯ_2026[[#This Row],[Обозначение]],База[Артикул],0),MATCH(D$4,База[#Headers],0))</f>
        <v>Пневмоподвеска</v>
      </c>
      <c r="E53" s="294" t="str">
        <f>INDEX(База[],MATCH(Пневматика_СВОДНАЯ_2026[[#This Row],[Обозначение]],База[Артикул],0),MATCH(E$4,База[#Headers],0))</f>
        <v>Упругий элемент</v>
      </c>
      <c r="F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</v>
      </c>
      <c r="H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</v>
      </c>
      <c r="K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53" s="296">
        <f ca="1">SUM(Пневматика_СВОДНАЯ_2026[[#This Row],[П- 
01]:[П- 
12]])</f>
        <v>9</v>
      </c>
      <c r="S53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</v>
      </c>
      <c r="V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1</v>
      </c>
      <c r="X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</v>
      </c>
      <c r="Y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5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53" s="296">
        <f ca="1">SUM(Пневматика_СВОДНАЯ_2026[[#This Row],[Ф- 
01]:[Ф- 
12]])</f>
        <v>9</v>
      </c>
      <c r="AG53" s="521">
        <f ca="1">IF((Пневматика_СВОДНАЯ_2026[[#This Row],[П- 
2026]]+Пневматика_СВОДНАЯ_2026[[#This Row],[Ф- 
2026]])&gt;0,1,0)</f>
        <v>1</v>
      </c>
      <c r="AH53" s="297" t="str">
        <f>Пневматика_СВОДНАЯ_2026[[#This Row],[Прод]]&amp;"_"&amp;Пневматика_СВОДНАЯ_2026[[#This Row],[Обозначение]]</f>
        <v>2_4334010030</v>
      </c>
    </row>
    <row r="54" spans="1:34">
      <c r="A54" s="282">
        <v>2</v>
      </c>
      <c r="B54" s="283">
        <v>4341001250</v>
      </c>
      <c r="C5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54" s="285" t="str">
        <f>INDEX(База[],MATCH(Пневматика_СВОДНАЯ_2026[[#This Row],[Обозначение]],База[Артикул],0),MATCH(D$4,База[#Headers],0))</f>
        <v>Универсальный</v>
      </c>
      <c r="E54" s="286" t="str">
        <f>INDEX(База[],MATCH(Пневматика_СВОДНАЯ_2026[[#This Row],[Обозначение]],База[Артикул],0),MATCH(E$4,База[#Headers],0))</f>
        <v>Клапан перепускной</v>
      </c>
      <c r="F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3</v>
      </c>
      <c r="H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</v>
      </c>
      <c r="L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54" s="288">
        <f ca="1">SUM(Пневматика_СВОДНАЯ_2026[[#This Row],[П- 
01]:[П- 
12]])</f>
        <v>5</v>
      </c>
      <c r="S54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3</v>
      </c>
      <c r="V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5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54" s="288">
        <f ca="1">SUM(Пневматика_СВОДНАЯ_2026[[#This Row],[Ф- 
01]:[Ф- 
12]])</f>
        <v>3</v>
      </c>
      <c r="AG54" s="520">
        <f ca="1">IF((Пневматика_СВОДНАЯ_2026[[#This Row],[П- 
2026]]+Пневматика_СВОДНАЯ_2026[[#This Row],[Ф- 
2026]])&gt;0,1,0)</f>
        <v>1</v>
      </c>
      <c r="AH54" s="289" t="str">
        <f>Пневматика_СВОДНАЯ_2026[[#This Row],[Прод]]&amp;"_"&amp;Пневматика_СВОДНАЯ_2026[[#This Row],[Обозначение]]</f>
        <v>2_4341001250</v>
      </c>
    </row>
    <row r="55" spans="1:34">
      <c r="A55" s="290">
        <v>2</v>
      </c>
      <c r="B55" s="291">
        <v>4410441020</v>
      </c>
      <c r="C55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55" s="293" t="str">
        <f>INDEX(База[],MATCH(Пневматика_СВОДНАЯ_2026[[#This Row],[Обозначение]],База[Артикул],0),MATCH(D$4,База[#Headers],0))</f>
        <v>ЕБС</v>
      </c>
      <c r="E55" s="294" t="str">
        <f>INDEX(База[],MATCH(Пневматика_СВОДНАЯ_2026[[#This Row],[Обозначение]],База[Артикул],0),MATCH(E$4,База[#Headers],0))</f>
        <v>Датчик давления</v>
      </c>
      <c r="F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</v>
      </c>
      <c r="H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55" s="296">
        <f ca="1">SUM(Пневматика_СВОДНАЯ_2026[[#This Row],[П- 
01]:[П- 
12]])</f>
        <v>4</v>
      </c>
      <c r="S55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</v>
      </c>
      <c r="V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5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55" s="296">
        <f ca="1">SUM(Пневматика_СВОДНАЯ_2026[[#This Row],[Ф- 
01]:[Ф- 
12]])</f>
        <v>3</v>
      </c>
      <c r="AG55" s="521">
        <f ca="1">IF((Пневматика_СВОДНАЯ_2026[[#This Row],[П- 
2026]]+Пневматика_СВОДНАЯ_2026[[#This Row],[Ф- 
2026]])&gt;0,1,0)</f>
        <v>1</v>
      </c>
      <c r="AH55" s="297" t="str">
        <f>Пневматика_СВОДНАЯ_2026[[#This Row],[Прод]]&amp;"_"&amp;Пневматика_СВОДНАЯ_2026[[#This Row],[Обозначение]]</f>
        <v>2_4410441020</v>
      </c>
    </row>
    <row r="56" spans="1:34">
      <c r="A56" s="290">
        <v>2</v>
      </c>
      <c r="B56" s="291">
        <v>4460084042</v>
      </c>
      <c r="C56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56" s="293" t="str">
        <f>INDEX(База[],MATCH(Пневматика_СВОДНАЯ_2026[[#This Row],[Обозначение]],База[Артикул],0),MATCH(D$4,База[#Headers],0))</f>
        <v>ЕБС</v>
      </c>
      <c r="E56" s="294" t="str">
        <f>INDEX(База[],MATCH(Пневматика_СВОДНАЯ_2026[[#This Row],[Обозначение]],База[Артикул],0),MATCH(E$4,База[#Headers],0))</f>
        <v>Розетка АБС (7 контактов)</v>
      </c>
      <c r="F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</v>
      </c>
      <c r="I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2</v>
      </c>
      <c r="J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6</v>
      </c>
      <c r="L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2</v>
      </c>
      <c r="M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3</v>
      </c>
      <c r="N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3</v>
      </c>
      <c r="O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3</v>
      </c>
      <c r="P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</v>
      </c>
      <c r="Q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3</v>
      </c>
      <c r="R56" s="296">
        <f ca="1">SUM(Пневматика_СВОДНАЯ_2026[[#This Row],[П- 
01]:[П- 
12]])</f>
        <v>27</v>
      </c>
      <c r="S56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</v>
      </c>
      <c r="W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5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56" s="296">
        <f ca="1">SUM(Пневматика_СВОДНАЯ_2026[[#This Row],[Ф- 
01]:[Ф- 
12]])</f>
        <v>2</v>
      </c>
      <c r="AG56" s="521">
        <f ca="1">IF((Пневматика_СВОДНАЯ_2026[[#This Row],[П- 
2026]]+Пневматика_СВОДНАЯ_2026[[#This Row],[Ф- 
2026]])&gt;0,1,0)</f>
        <v>1</v>
      </c>
      <c r="AH56" s="297" t="str">
        <f>Пневматика_СВОДНАЯ_2026[[#This Row],[Прод]]&amp;"_"&amp;Пневматика_СВОДНАЯ_2026[[#This Row],[Обозначение]]</f>
        <v>2_4460084042</v>
      </c>
    </row>
    <row r="57" spans="1:34">
      <c r="A57" s="290">
        <v>2</v>
      </c>
      <c r="B57" s="291">
        <v>4461220530</v>
      </c>
      <c r="C57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57" s="293" t="str">
        <f>INDEX(База[],MATCH(Пневматика_СВОДНАЯ_2026[[#This Row],[Обозначение]],База[Артикул],0),MATCH(D$4,База[#Headers],0))</f>
        <v>ЕБС</v>
      </c>
      <c r="E57" s="294" t="str">
        <f>INDEX(База[],MATCH(Пневматика_СВОДНАЯ_2026[[#This Row],[Обозначение]],База[Артикул],0),MATCH(E$4,База[#Headers],0))</f>
        <v>CAN-Repeater</v>
      </c>
      <c r="F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</v>
      </c>
      <c r="H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57" s="296">
        <f ca="1">SUM(Пневматика_СВОДНАЯ_2026[[#This Row],[П- 
01]:[П- 
12]])</f>
        <v>4</v>
      </c>
      <c r="S57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</v>
      </c>
      <c r="V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5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57" s="296">
        <f ca="1">SUM(Пневматика_СВОДНАЯ_2026[[#This Row],[Ф- 
01]:[Ф- 
12]])</f>
        <v>3</v>
      </c>
      <c r="AG57" s="521">
        <f ca="1">IF((Пневматика_СВОДНАЯ_2026[[#This Row],[П- 
2026]]+Пневматика_СВОДНАЯ_2026[[#This Row],[Ф- 
2026]])&gt;0,1,0)</f>
        <v>1</v>
      </c>
      <c r="AH57" s="297" t="str">
        <f>Пневматика_СВОДНАЯ_2026[[#This Row],[Прод]]&amp;"_"&amp;Пневматика_СВОДНАЯ_2026[[#This Row],[Обозначение]]</f>
        <v>2_4461220530</v>
      </c>
    </row>
    <row r="58" spans="1:34">
      <c r="A58" s="282">
        <v>2</v>
      </c>
      <c r="B58" s="283">
        <v>4491301200</v>
      </c>
      <c r="C5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58" s="285" t="str">
        <f>INDEX(База[],MATCH(Пневматика_СВОДНАЯ_2026[[#This Row],[Обозначение]],База[Артикул],0),MATCH(D$4,База[#Headers],0))</f>
        <v>АБС</v>
      </c>
      <c r="E58" s="286" t="str">
        <f>INDEX(База[],MATCH(Пневматика_СВОДНАЯ_2026[[#This Row],[Обозначение]],База[Артикул],0),MATCH(E$4,База[#Headers],0))</f>
        <v>Кабель питания ABS, часть 2, 12 м</v>
      </c>
      <c r="F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20</v>
      </c>
      <c r="G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30</v>
      </c>
      <c r="H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15</v>
      </c>
      <c r="I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5</v>
      </c>
      <c r="L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5</v>
      </c>
      <c r="M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5</v>
      </c>
      <c r="N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</v>
      </c>
      <c r="O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15</v>
      </c>
      <c r="P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15</v>
      </c>
      <c r="Q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15</v>
      </c>
      <c r="R58" s="288">
        <f ca="1">SUM(Пневматика_СВОДНАЯ_2026[[#This Row],[П- 
01]:[П- 
12]])</f>
        <v>130</v>
      </c>
      <c r="S58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20</v>
      </c>
      <c r="U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30</v>
      </c>
      <c r="V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15</v>
      </c>
      <c r="W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5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58" s="288">
        <f ca="1">SUM(Пневматика_СВОДНАЯ_2026[[#This Row],[Ф- 
01]:[Ф- 
12]])</f>
        <v>65</v>
      </c>
      <c r="AG58" s="520">
        <f ca="1">IF((Пневматика_СВОДНАЯ_2026[[#This Row],[П- 
2026]]+Пневматика_СВОДНАЯ_2026[[#This Row],[Ф- 
2026]])&gt;0,1,0)</f>
        <v>1</v>
      </c>
      <c r="AH58" s="289" t="str">
        <f>Пневматика_СВОДНАЯ_2026[[#This Row],[Прод]]&amp;"_"&amp;Пневматика_СВОДНАЯ_2026[[#This Row],[Обозначение]]</f>
        <v>2_4491301200</v>
      </c>
    </row>
    <row r="59" spans="1:34">
      <c r="A59" s="282">
        <v>2</v>
      </c>
      <c r="B59" s="283">
        <v>4491301500</v>
      </c>
      <c r="C5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59" s="285" t="str">
        <f>INDEX(База[],MATCH(Пневматика_СВОДНАЯ_2026[[#This Row],[Обозначение]],База[Артикул],0),MATCH(D$4,База[#Headers],0))</f>
        <v>АБС</v>
      </c>
      <c r="E59" s="286" t="str">
        <f>INDEX(База[],MATCH(Пневматика_СВОДНАЯ_2026[[#This Row],[Обозначение]],База[Артикул],0),MATCH(E$4,База[#Headers],0))</f>
        <v>Кабель питания ABS, часть 2, 15 м</v>
      </c>
      <c r="F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8</v>
      </c>
      <c r="G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15</v>
      </c>
      <c r="H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21</v>
      </c>
      <c r="I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10</v>
      </c>
      <c r="L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10</v>
      </c>
      <c r="M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10</v>
      </c>
      <c r="N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</v>
      </c>
      <c r="O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20</v>
      </c>
      <c r="P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20</v>
      </c>
      <c r="Q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20</v>
      </c>
      <c r="R59" s="288">
        <f ca="1">SUM(Пневматика_СВОДНАЯ_2026[[#This Row],[П- 
01]:[П- 
12]])</f>
        <v>144</v>
      </c>
      <c r="S59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8</v>
      </c>
      <c r="U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15</v>
      </c>
      <c r="V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21</v>
      </c>
      <c r="W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5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59" s="288">
        <f ca="1">SUM(Пневматика_СВОДНАЯ_2026[[#This Row],[Ф- 
01]:[Ф- 
12]])</f>
        <v>44</v>
      </c>
      <c r="AG59" s="520">
        <f ca="1">IF((Пневматика_СВОДНАЯ_2026[[#This Row],[П- 
2026]]+Пневматика_СВОДНАЯ_2026[[#This Row],[Ф- 
2026]])&gt;0,1,0)</f>
        <v>1</v>
      </c>
      <c r="AH59" s="300" t="str">
        <f>Пневматика_СВОДНАЯ_2026[[#This Row],[Прод]]&amp;"_"&amp;Пневматика_СВОДНАЯ_2026[[#This Row],[Обозначение]]</f>
        <v>2_4491301500</v>
      </c>
    </row>
    <row r="60" spans="1:34">
      <c r="A60" s="282">
        <v>2</v>
      </c>
      <c r="B60" s="283">
        <v>4491350600</v>
      </c>
      <c r="C6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60" s="285" t="str">
        <f>INDEX(База[],MATCH(Пневматика_СВОДНАЯ_2026[[#This Row],[Обозначение]],База[Артикул],0),MATCH(D$4,База[#Headers],0))</f>
        <v>ЕБС</v>
      </c>
      <c r="E60" s="286" t="str">
        <f>INDEX(База[],MATCH(Пневматика_СВОДНАЯ_2026[[#This Row],[Обозначение]],База[Артикул],0),MATCH(E$4,База[#Headers],0))</f>
        <v>Кабель соединительный, 6 м</v>
      </c>
      <c r="F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</v>
      </c>
      <c r="H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60" s="288">
        <f ca="1">SUM(Пневматика_СВОДНАЯ_2026[[#This Row],[П- 
01]:[П- 
12]])</f>
        <v>4</v>
      </c>
      <c r="S60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</v>
      </c>
      <c r="V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6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60" s="288">
        <f ca="1">SUM(Пневматика_СВОДНАЯ_2026[[#This Row],[Ф- 
01]:[Ф- 
12]])</f>
        <v>3</v>
      </c>
      <c r="AG60" s="520">
        <f ca="1">IF((Пневматика_СВОДНАЯ_2026[[#This Row],[П- 
2026]]+Пневматика_СВОДНАЯ_2026[[#This Row],[Ф- 
2026]])&gt;0,1,0)</f>
        <v>1</v>
      </c>
      <c r="AH60" s="289" t="str">
        <f>Пневматика_СВОДНАЯ_2026[[#This Row],[Прод]]&amp;"_"&amp;Пневматика_СВОДНАЯ_2026[[#This Row],[Обозначение]]</f>
        <v>2_4491350600</v>
      </c>
    </row>
    <row r="61" spans="1:34">
      <c r="A61" s="282">
        <v>2</v>
      </c>
      <c r="B61" s="283">
        <v>4491731200</v>
      </c>
      <c r="C61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61" s="285" t="str">
        <f>INDEX(База[],MATCH(Пневматика_СВОДНАЯ_2026[[#This Row],[Обозначение]],База[Артикул],0),MATCH(D$4,База[#Headers],0))</f>
        <v>ЕБС</v>
      </c>
      <c r="E61" s="286" t="str">
        <f>INDEX(База[],MATCH(Пневматика_СВОДНАЯ_2026[[#This Row],[Обозначение]],База[Артикул],0),MATCH(E$4,База[#Headers],0))</f>
        <v>Кабель питания, 12 м</v>
      </c>
      <c r="F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6</v>
      </c>
      <c r="H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</v>
      </c>
      <c r="K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61" s="288">
        <f ca="1">SUM(Пневматика_СВОДНАЯ_2026[[#This Row],[П- 
01]:[П- 
12]])</f>
        <v>10</v>
      </c>
      <c r="S61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6</v>
      </c>
      <c r="V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</v>
      </c>
      <c r="Y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6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61" s="288">
        <f ca="1">SUM(Пневматика_СВОДНАЯ_2026[[#This Row],[Ф- 
01]:[Ф- 
12]])</f>
        <v>9</v>
      </c>
      <c r="AG61" s="520">
        <f ca="1">IF((Пневматика_СВОДНАЯ_2026[[#This Row],[П- 
2026]]+Пневматика_СВОДНАЯ_2026[[#This Row],[Ф- 
2026]])&gt;0,1,0)</f>
        <v>1</v>
      </c>
      <c r="AH61" s="289" t="str">
        <f>Пневматика_СВОДНАЯ_2026[[#This Row],[Прод]]&amp;"_"&amp;Пневматика_СВОДНАЯ_2026[[#This Row],[Обозначение]]</f>
        <v>2_4491731200</v>
      </c>
    </row>
    <row r="62" spans="1:34">
      <c r="A62" s="282">
        <v>2</v>
      </c>
      <c r="B62" s="283">
        <v>4493470800</v>
      </c>
      <c r="C62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62" s="285" t="str">
        <f>INDEX(База[],MATCH(Пневматика_СВОДНАЯ_2026[[#This Row],[Обозначение]],База[Артикул],0),MATCH(D$4,База[#Headers],0))</f>
        <v>ЕБС</v>
      </c>
      <c r="E62" s="286" t="str">
        <f>INDEX(База[],MATCH(Пневматика_СВОДНАЯ_2026[[#This Row],[Обозначение]],База[Артикул],0),MATCH(E$4,База[#Headers],0))</f>
        <v>Кабель соединительный, 8 м</v>
      </c>
      <c r="F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</v>
      </c>
      <c r="H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62" s="288">
        <f ca="1">SUM(Пневматика_СВОДНАЯ_2026[[#This Row],[П- 
01]:[П- 
12]])</f>
        <v>4</v>
      </c>
      <c r="S62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</v>
      </c>
      <c r="V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6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62" s="288">
        <f ca="1">SUM(Пневматика_СВОДНАЯ_2026[[#This Row],[Ф- 
01]:[Ф- 
12]])</f>
        <v>3</v>
      </c>
      <c r="AG62" s="520">
        <f ca="1">IF((Пневматика_СВОДНАЯ_2026[[#This Row],[П- 
2026]]+Пневматика_СВОДНАЯ_2026[[#This Row],[Ф- 
2026]])&gt;0,1,0)</f>
        <v>1</v>
      </c>
      <c r="AH62" s="289" t="str">
        <f>Пневматика_СВОДНАЯ_2026[[#This Row],[Прод]]&amp;"_"&amp;Пневматика_СВОДНАЯ_2026[[#This Row],[Обозначение]]</f>
        <v>2_4493470800</v>
      </c>
    </row>
    <row r="63" spans="1:34">
      <c r="A63" s="282">
        <v>2</v>
      </c>
      <c r="B63" s="283">
        <v>4493702820</v>
      </c>
      <c r="C63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63" s="285" t="str">
        <f>INDEX(База[],MATCH(Пневматика_СВОДНАЯ_2026[[#This Row],[Обозначение]],База[Артикул],0),MATCH(D$4,База[#Headers],0))</f>
        <v>АБС</v>
      </c>
      <c r="E63" s="286" t="str">
        <f>INDEX(База[],MATCH(Пневматика_СВОДНАЯ_2026[[#This Row],[Обозначение]],База[Артикул],0),MATCH(E$4,База[#Headers],0))</f>
        <v>Кабель питания ABS, часть 1</v>
      </c>
      <c r="F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</v>
      </c>
      <c r="O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35</v>
      </c>
      <c r="P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35</v>
      </c>
      <c r="Q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35</v>
      </c>
      <c r="R63" s="288">
        <f ca="1">SUM(Пневматика_СВОДНАЯ_2026[[#This Row],[П- 
01]:[П- 
12]])</f>
        <v>115</v>
      </c>
      <c r="S63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6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63" s="288">
        <f ca="1">SUM(Пневматика_СВОДНАЯ_2026[[#This Row],[Ф- 
01]:[Ф- 
12]])</f>
        <v>0</v>
      </c>
      <c r="AG63" s="520">
        <f ca="1">IF((Пневматика_СВОДНАЯ_2026[[#This Row],[П- 
2026]]+Пневматика_СВОДНАЯ_2026[[#This Row],[Ф- 
2026]])&gt;0,1,0)</f>
        <v>1</v>
      </c>
      <c r="AH63" s="300" t="str">
        <f>Пневматика_СВОДНАЯ_2026[[#This Row],[Прод]]&amp;"_"&amp;Пневматика_СВОДНАЯ_2026[[#This Row],[Обозначение]]</f>
        <v>2_4493702820</v>
      </c>
    </row>
    <row r="64" spans="1:34">
      <c r="A64" s="282">
        <v>2</v>
      </c>
      <c r="B64" s="283">
        <v>4493711800</v>
      </c>
      <c r="C6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64" s="285" t="str">
        <f>INDEX(База[],MATCH(Пневматика_СВОДНАЯ_2026[[#This Row],[Обозначение]],База[Артикул],0),MATCH(D$4,База[#Headers],0))</f>
        <v>ЕБС</v>
      </c>
      <c r="E64" s="286" t="str">
        <f>INDEX(База[],MATCH(Пневматика_СВОДНАЯ_2026[[#This Row],[Обозначение]],База[Артикул],0),MATCH(E$4,База[#Headers],0))</f>
        <v>Кабель питания, 18 м</v>
      </c>
      <c r="F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</v>
      </c>
      <c r="I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2</v>
      </c>
      <c r="J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6</v>
      </c>
      <c r="L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2</v>
      </c>
      <c r="M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3</v>
      </c>
      <c r="N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3</v>
      </c>
      <c r="O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3</v>
      </c>
      <c r="P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</v>
      </c>
      <c r="Q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3</v>
      </c>
      <c r="R64" s="288">
        <f ca="1">SUM(Пневматика_СВОДНАЯ_2026[[#This Row],[П- 
01]:[П- 
12]])</f>
        <v>27</v>
      </c>
      <c r="S64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</v>
      </c>
      <c r="W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6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64" s="288">
        <f ca="1">SUM(Пневматика_СВОДНАЯ_2026[[#This Row],[Ф- 
01]:[Ф- 
12]])</f>
        <v>2</v>
      </c>
      <c r="AG64" s="520">
        <f ca="1">IF((Пневматика_СВОДНАЯ_2026[[#This Row],[П- 
2026]]+Пневматика_СВОДНАЯ_2026[[#This Row],[Ф- 
2026]])&gt;0,1,0)</f>
        <v>1</v>
      </c>
      <c r="AH64" s="289" t="str">
        <f>Пневматика_СВОДНАЯ_2026[[#This Row],[Прод]]&amp;"_"&amp;Пневматика_СВОДНАЯ_2026[[#This Row],[Обозначение]]</f>
        <v>2_4493711800</v>
      </c>
    </row>
    <row r="65" spans="1:34">
      <c r="A65" s="290">
        <v>2</v>
      </c>
      <c r="B65" s="291">
        <v>4493792810</v>
      </c>
      <c r="C65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65" s="293" t="str">
        <f>INDEX(База[],MATCH(Пневматика_СВОДНАЯ_2026[[#This Row],[Обозначение]],База[Артикул],0),MATCH(D$4,База[#Headers],0))</f>
        <v>АБС</v>
      </c>
      <c r="E65" s="294" t="str">
        <f>INDEX(База[],MATCH(Пневматика_СВОДНАЯ_2026[[#This Row],[Обозначение]],База[Артикул],0),MATCH(E$4,База[#Headers],0))</f>
        <v>Кабель питания ABS, часть 1</v>
      </c>
      <c r="F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28</v>
      </c>
      <c r="G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45</v>
      </c>
      <c r="H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36</v>
      </c>
      <c r="I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15</v>
      </c>
      <c r="L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15</v>
      </c>
      <c r="M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15</v>
      </c>
      <c r="N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</v>
      </c>
      <c r="O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65" s="296">
        <f ca="1">SUM(Пневматика_СВОДНАЯ_2026[[#This Row],[П- 
01]:[П- 
12]])</f>
        <v>159</v>
      </c>
      <c r="S65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28</v>
      </c>
      <c r="U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45</v>
      </c>
      <c r="V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36</v>
      </c>
      <c r="W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6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65" s="296">
        <f ca="1">SUM(Пневматика_СВОДНАЯ_2026[[#This Row],[Ф- 
01]:[Ф- 
12]])</f>
        <v>109</v>
      </c>
      <c r="AG65" s="521">
        <f ca="1">IF((Пневматика_СВОДНАЯ_2026[[#This Row],[П- 
2026]]+Пневматика_СВОДНАЯ_2026[[#This Row],[Ф- 
2026]])&gt;0,1,0)</f>
        <v>1</v>
      </c>
      <c r="AH65" s="297" t="str">
        <f>Пневматика_СВОДНАЯ_2026[[#This Row],[Прод]]&amp;"_"&amp;Пневматика_СВОДНАЯ_2026[[#This Row],[Обозначение]]</f>
        <v>2_4493792810</v>
      </c>
    </row>
    <row r="66" spans="1:34">
      <c r="A66" s="282">
        <v>2</v>
      </c>
      <c r="B66" s="283">
        <v>4494250600</v>
      </c>
      <c r="C6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66" s="285" t="str">
        <f>INDEX(База[],MATCH(Пневматика_СВОДНАЯ_2026[[#This Row],[Обозначение]],База[Артикул],0),MATCH(D$4,База[#Headers],0))</f>
        <v>ЕБС</v>
      </c>
      <c r="E66" s="286" t="str">
        <f>INDEX(База[],MATCH(Пневматика_СВОДНАЯ_2026[[#This Row],[Обозначение]],База[Артикул],0),MATCH(E$4,База[#Headers],0))</f>
        <v>Кабель датчика давления, 6 м</v>
      </c>
      <c r="F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</v>
      </c>
      <c r="H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66" s="288">
        <f ca="1">SUM(Пневматика_СВОДНАЯ_2026[[#This Row],[П- 
01]:[П- 
12]])</f>
        <v>4</v>
      </c>
      <c r="S66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</v>
      </c>
      <c r="V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6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66" s="288">
        <f ca="1">SUM(Пневматика_СВОДНАЯ_2026[[#This Row],[Ф- 
01]:[Ф- 
12]])</f>
        <v>3</v>
      </c>
      <c r="AG66" s="520">
        <f ca="1">IF((Пневматика_СВОДНАЯ_2026[[#This Row],[П- 
2026]]+Пневматика_СВОДНАЯ_2026[[#This Row],[Ф- 
2026]])&gt;0,1,0)</f>
        <v>1</v>
      </c>
      <c r="AH66" s="289" t="str">
        <f>Пневматика_СВОДНАЯ_2026[[#This Row],[Прод]]&amp;"_"&amp;Пневматика_СВОДНАЯ_2026[[#This Row],[Обозначение]]</f>
        <v>2_4494250600</v>
      </c>
    </row>
    <row r="67" spans="1:34">
      <c r="A67" s="290">
        <v>2</v>
      </c>
      <c r="B67" s="291">
        <v>4497120300</v>
      </c>
      <c r="C67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67" s="293" t="str">
        <f>INDEX(База[],MATCH(Пневматика_СВОДНАЯ_2026[[#This Row],[Обозначение]],База[Артикул],0),MATCH(D$4,База[#Headers],0))</f>
        <v>/АБС/ЕБС</v>
      </c>
      <c r="E67" s="294" t="str">
        <f>INDEX(База[],MATCH(Пневматика_СВОДНАЯ_2026[[#This Row],[Обозначение]],База[Артикул],0),MATCH(E$4,База[#Headers],0))</f>
        <v>Кабель-удлинитель датчика ABS, 3 м</v>
      </c>
      <c r="F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4</v>
      </c>
      <c r="K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67" s="296">
        <f ca="1">SUM(Пневматика_СВОДНАЯ_2026[[#This Row],[П- 
01]:[П- 
12]])</f>
        <v>4</v>
      </c>
      <c r="S67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4</v>
      </c>
      <c r="Y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67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67" s="296">
        <f ca="1">SUM(Пневматика_СВОДНАЯ_2026[[#This Row],[Ф- 
01]:[Ф- 
12]])</f>
        <v>4</v>
      </c>
      <c r="AG67" s="521">
        <f ca="1">IF((Пневматика_СВОДНАЯ_2026[[#This Row],[П- 
2026]]+Пневматика_СВОДНАЯ_2026[[#This Row],[Ф- 
2026]])&gt;0,1,0)</f>
        <v>1</v>
      </c>
      <c r="AH67" s="299" t="str">
        <f>Пневматика_СВОДНАЯ_2026[[#This Row],[Прод]]&amp;"_"&amp;Пневматика_СВОДНАЯ_2026[[#This Row],[Обозначение]]</f>
        <v>2_4497120300</v>
      </c>
    </row>
    <row r="68" spans="1:34">
      <c r="A68" s="282">
        <v>2</v>
      </c>
      <c r="B68" s="283">
        <v>4497230300</v>
      </c>
      <c r="C6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68" s="285" t="str">
        <f>INDEX(База[],MATCH(Пневматика_СВОДНАЯ_2026[[#This Row],[Обозначение]],База[Артикул],0),MATCH(D$4,База[#Headers],0))</f>
        <v>ЕБС</v>
      </c>
      <c r="E68" s="286" t="str">
        <f>INDEX(База[],MATCH(Пневматика_СВОДНАЯ_2026[[#This Row],[Обозначение]],База[Артикул],0),MATCH(E$4,База[#Headers],0))</f>
        <v>Кабель датчика АБС, 3 м</v>
      </c>
      <c r="F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8</v>
      </c>
      <c r="G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22</v>
      </c>
      <c r="H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4</v>
      </c>
      <c r="J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4</v>
      </c>
      <c r="K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4</v>
      </c>
      <c r="L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68" s="288">
        <f ca="1">SUM(Пневматика_СВОДНАЯ_2026[[#This Row],[П- 
01]:[П- 
12]])</f>
        <v>42</v>
      </c>
      <c r="S68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8</v>
      </c>
      <c r="U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22</v>
      </c>
      <c r="V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4</v>
      </c>
      <c r="Y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6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68" s="288">
        <f ca="1">SUM(Пневматика_СВОДНАЯ_2026[[#This Row],[Ф- 
01]:[Ф- 
12]])</f>
        <v>34</v>
      </c>
      <c r="AG68" s="520">
        <f ca="1">IF((Пневматика_СВОДНАЯ_2026[[#This Row],[П- 
2026]]+Пневматика_СВОДНАЯ_2026[[#This Row],[Ф- 
2026]])&gt;0,1,0)</f>
        <v>1</v>
      </c>
      <c r="AH68" s="289" t="str">
        <f>Пневматика_СВОДНАЯ_2026[[#This Row],[Прод]]&amp;"_"&amp;Пневматика_СВОДНАЯ_2026[[#This Row],[Обозначение]]</f>
        <v>2_4497230300</v>
      </c>
    </row>
    <row r="69" spans="1:34">
      <c r="A69" s="282">
        <v>2</v>
      </c>
      <c r="B69" s="283">
        <v>4497490300</v>
      </c>
      <c r="C6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69" s="285" t="str">
        <f>INDEX(База[],MATCH(Пневматика_СВОДНАЯ_2026[[#This Row],[Обозначение]],База[Артикул],0),MATCH(D$4,База[#Headers],0))</f>
        <v>/АБС/ЕБС</v>
      </c>
      <c r="E69" s="286" t="str">
        <f>INDEX(База[],MATCH(Пневматика_СВОДНАЯ_2026[[#This Row],[Обозначение]],База[Артикул],0),MATCH(E$4,База[#Headers],0))</f>
        <v>Кабель-удлинитель датчика ABS, 3 м</v>
      </c>
      <c r="F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76</v>
      </c>
      <c r="G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112</v>
      </c>
      <c r="H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82</v>
      </c>
      <c r="I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2</v>
      </c>
      <c r="J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50</v>
      </c>
      <c r="L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50</v>
      </c>
      <c r="M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50</v>
      </c>
      <c r="N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50</v>
      </c>
      <c r="O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90</v>
      </c>
      <c r="P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90</v>
      </c>
      <c r="Q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90</v>
      </c>
      <c r="R69" s="288">
        <f ca="1">SUM(Пневматика_СВОДНАЯ_2026[[#This Row],[П- 
01]:[П- 
12]])</f>
        <v>742</v>
      </c>
      <c r="S69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76</v>
      </c>
      <c r="U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112</v>
      </c>
      <c r="V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82</v>
      </c>
      <c r="W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2</v>
      </c>
      <c r="X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6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69" s="288">
        <f ca="1">SUM(Пневматика_СВОДНАЯ_2026[[#This Row],[Ф- 
01]:[Ф- 
12]])</f>
        <v>272</v>
      </c>
      <c r="AG69" s="520">
        <f ca="1">IF((Пневматика_СВОДНАЯ_2026[[#This Row],[П- 
2026]]+Пневматика_СВОДНАЯ_2026[[#This Row],[Ф- 
2026]])&gt;0,1,0)</f>
        <v>1</v>
      </c>
      <c r="AH69" s="300" t="str">
        <f>Пневматика_СВОДНАЯ_2026[[#This Row],[Прод]]&amp;"_"&amp;Пневматика_СВОДНАЯ_2026[[#This Row],[Обозначение]]</f>
        <v>2_4497490300</v>
      </c>
    </row>
    <row r="70" spans="1:34">
      <c r="A70" s="282">
        <v>2</v>
      </c>
      <c r="B70" s="283">
        <v>4630320200</v>
      </c>
      <c r="C7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70" s="285" t="str">
        <f>INDEX(База[],MATCH(Пневматика_СВОДНАЯ_2026[[#This Row],[Обозначение]],База[Артикул],0),MATCH(D$4,База[#Headers],0))</f>
        <v>Пневмоподвеска</v>
      </c>
      <c r="E70" s="286" t="str">
        <f>INDEX(База[],MATCH(Пневматика_СВОДНАЯ_2026[[#This Row],[Обозначение]],База[Артикул],0),MATCH(E$4,База[#Headers],0))</f>
        <v>Кран ручного управления</v>
      </c>
      <c r="F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</v>
      </c>
      <c r="H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</v>
      </c>
      <c r="K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</v>
      </c>
      <c r="L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70" s="288">
        <f ca="1">SUM(Пневматика_СВОДНАЯ_2026[[#This Row],[П- 
01]:[П- 
12]])</f>
        <v>11</v>
      </c>
      <c r="S70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</v>
      </c>
      <c r="V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1</v>
      </c>
      <c r="X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</v>
      </c>
      <c r="Y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7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70" s="288">
        <f ca="1">SUM(Пневматика_СВОДНАЯ_2026[[#This Row],[Ф- 
01]:[Ф- 
12]])</f>
        <v>9</v>
      </c>
      <c r="AG70" s="520">
        <f ca="1">IF((Пневматика_СВОДНАЯ_2026[[#This Row],[П- 
2026]]+Пневматика_СВОДНАЯ_2026[[#This Row],[Ф- 
2026]])&gt;0,1,0)</f>
        <v>1</v>
      </c>
      <c r="AH70" s="289" t="str">
        <f>Пневматика_СВОДНАЯ_2026[[#This Row],[Прод]]&amp;"_"&amp;Пневматика_СВОДНАЯ_2026[[#This Row],[Обозначение]]</f>
        <v>2_4630320200</v>
      </c>
    </row>
    <row r="71" spans="1:34">
      <c r="A71" s="290">
        <v>2</v>
      </c>
      <c r="B71" s="291">
        <v>4640061000</v>
      </c>
      <c r="C71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71" s="293" t="str">
        <f>INDEX(База[],MATCH(Пневматика_СВОДНАЯ_2026[[#This Row],[Обозначение]],База[Артикул],0),MATCH(D$4,База[#Headers],0))</f>
        <v>Пневмоподвеска</v>
      </c>
      <c r="E71" s="294" t="str">
        <f>INDEX(База[],MATCH(Пневматика_СВОДНАЯ_2026[[#This Row],[Обозначение]],База[Артикул],0),MATCH(E$4,База[#Headers],0))</f>
        <v>Кран уровня пола</v>
      </c>
      <c r="F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</v>
      </c>
      <c r="H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</v>
      </c>
      <c r="K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</v>
      </c>
      <c r="L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71" s="296">
        <f ca="1">SUM(Пневматика_СВОДНАЯ_2026[[#This Row],[П- 
01]:[П- 
12]])</f>
        <v>11</v>
      </c>
      <c r="S71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</v>
      </c>
      <c r="V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1</v>
      </c>
      <c r="X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</v>
      </c>
      <c r="Y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7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71" s="296">
        <f ca="1">SUM(Пневматика_СВОДНАЯ_2026[[#This Row],[Ф- 
01]:[Ф- 
12]])</f>
        <v>9</v>
      </c>
      <c r="AG71" s="521">
        <f ca="1">IF((Пневматика_СВОДНАЯ_2026[[#This Row],[П- 
2026]]+Пневматика_СВОДНАЯ_2026[[#This Row],[Ф- 
2026]])&gt;0,1,0)</f>
        <v>1</v>
      </c>
      <c r="AH71" s="297" t="str">
        <f>Пневматика_СВОДНАЯ_2026[[#This Row],[Прод]]&amp;"_"&amp;Пневматика_СВОДНАЯ_2026[[#This Row],[Обозначение]]</f>
        <v>2_4640061000</v>
      </c>
    </row>
    <row r="72" spans="1:34" ht="28.8">
      <c r="A72" s="290">
        <v>2</v>
      </c>
      <c r="B72" s="291">
        <v>4801020640</v>
      </c>
      <c r="C72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72" s="293" t="str">
        <f>INDEX(База[],MATCH(Пневматика_СВОДНАЯ_2026[[#This Row],[Обозначение]],База[Артикул],0),MATCH(D$4,База[#Headers],0))</f>
        <v>ЕБС</v>
      </c>
      <c r="E72" s="294" t="str">
        <f>INDEX(База[],MATCH(Пневматика_СВОДНАЯ_2026[[#This Row],[Обозначение]],База[Артикул],0),MATCH(E$4,База[#Headers],0))</f>
        <v>Электропневматический блок клапанов TEBS_4801020640</v>
      </c>
      <c r="F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6</v>
      </c>
      <c r="H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</v>
      </c>
      <c r="K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</v>
      </c>
      <c r="L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72" s="296">
        <f ca="1">SUM(Пневматика_СВОДНАЯ_2026[[#This Row],[П- 
01]:[П- 
12]])</f>
        <v>12</v>
      </c>
      <c r="S72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6</v>
      </c>
      <c r="V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</v>
      </c>
      <c r="Y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7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72" s="296">
        <f ca="1">SUM(Пневматика_СВОДНАЯ_2026[[#This Row],[Ф- 
01]:[Ф- 
12]])</f>
        <v>9</v>
      </c>
      <c r="AG72" s="521">
        <f ca="1">IF((Пневматика_СВОДНАЯ_2026[[#This Row],[П- 
2026]]+Пневматика_СВОДНАЯ_2026[[#This Row],[Ф- 
2026]])&gt;0,1,0)</f>
        <v>1</v>
      </c>
      <c r="AH72" s="297" t="str">
        <f>Пневматика_СВОДНАЯ_2026[[#This Row],[Прод]]&amp;"_"&amp;Пневматика_СВОДНАЯ_2026[[#This Row],[Обозначение]]</f>
        <v>2_4801020640</v>
      </c>
    </row>
    <row r="73" spans="1:34">
      <c r="A73" s="290">
        <v>2</v>
      </c>
      <c r="B73" s="291">
        <v>8946000320</v>
      </c>
      <c r="C73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73" s="293" t="str">
        <f>INDEX(База[],MATCH(Пневматика_СВОДНАЯ_2026[[#This Row],[Обозначение]],База[Артикул],0),MATCH(D$4,База[#Headers],0))</f>
        <v>ЕБС</v>
      </c>
      <c r="E73" s="294" t="str">
        <f>INDEX(База[],MATCH(Пневматика_СВОДНАЯ_2026[[#This Row],[Обозначение]],База[Артикул],0),MATCH(E$4,База[#Headers],0))</f>
        <v>Кабель соединительный, 40 м</v>
      </c>
      <c r="F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</v>
      </c>
      <c r="H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73" s="296">
        <f ca="1">SUM(Пневматика_СВОДНАЯ_2026[[#This Row],[П- 
01]:[П- 
12]])</f>
        <v>4</v>
      </c>
      <c r="S73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</v>
      </c>
      <c r="V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7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73" s="296">
        <f ca="1">SUM(Пневматика_СВОДНАЯ_2026[[#This Row],[Ф- 
01]:[Ф- 
12]])</f>
        <v>3</v>
      </c>
      <c r="AG73" s="521">
        <f ca="1">IF((Пневматика_СВОДНАЯ_2026[[#This Row],[П- 
2026]]+Пневматика_СВОДНАЯ_2026[[#This Row],[Ф- 
2026]])&gt;0,1,0)</f>
        <v>1</v>
      </c>
      <c r="AH73" s="297" t="str">
        <f>Пневматика_СВОДНАЯ_2026[[#This Row],[Прод]]&amp;"_"&amp;Пневматика_СВОДНАЯ_2026[[#This Row],[Обозначение]]</f>
        <v>2_8946000320</v>
      </c>
    </row>
    <row r="74" spans="1:34">
      <c r="A74" s="282">
        <v>2</v>
      </c>
      <c r="B74" s="283">
        <v>9522010010</v>
      </c>
      <c r="C7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74" s="285" t="str">
        <f>INDEX(База[],MATCH(Пневматика_СВОДНАЯ_2026[[#This Row],[Обозначение]],База[Артикул],0),MATCH(D$4,База[#Headers],0))</f>
        <v>ОТС</v>
      </c>
      <c r="E74" s="286" t="str">
        <f>INDEX(База[],MATCH(Пневматика_СВОДНАЯ_2026[[#This Row],[Обозначение]],База[Артикул],0),MATCH(E$4,База[#Headers],0))</f>
        <v>Головка соединительная (управляющая)</v>
      </c>
      <c r="F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30</v>
      </c>
      <c r="G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51</v>
      </c>
      <c r="H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36</v>
      </c>
      <c r="I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</v>
      </c>
      <c r="K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17</v>
      </c>
      <c r="L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15</v>
      </c>
      <c r="M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15</v>
      </c>
      <c r="N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15</v>
      </c>
      <c r="O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35</v>
      </c>
      <c r="P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35</v>
      </c>
      <c r="Q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35</v>
      </c>
      <c r="R74" s="288">
        <f ca="1">SUM(Пневматика_СВОДНАЯ_2026[[#This Row],[П- 
01]:[П- 
12]])</f>
        <v>286</v>
      </c>
      <c r="S74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30</v>
      </c>
      <c r="U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51</v>
      </c>
      <c r="V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36</v>
      </c>
      <c r="W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</v>
      </c>
      <c r="Y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7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74" s="288">
        <f ca="1">SUM(Пневматика_СВОДНАЯ_2026[[#This Row],[Ф- 
01]:[Ф- 
12]])</f>
        <v>118</v>
      </c>
      <c r="AG74" s="520">
        <f ca="1">IF((Пневматика_СВОДНАЯ_2026[[#This Row],[П- 
2026]]+Пневматика_СВОДНАЯ_2026[[#This Row],[Ф- 
2026]])&gt;0,1,0)</f>
        <v>1</v>
      </c>
      <c r="AH74" s="300" t="str">
        <f>Пневматика_СВОДНАЯ_2026[[#This Row],[Прод]]&amp;"_"&amp;Пневматика_СВОДНАЯ_2026[[#This Row],[Обозначение]]</f>
        <v>2_9522010010</v>
      </c>
    </row>
    <row r="75" spans="1:34">
      <c r="A75" s="282">
        <v>2</v>
      </c>
      <c r="B75" s="283">
        <v>9522010020</v>
      </c>
      <c r="C75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75" s="285" t="str">
        <f>INDEX(База[],MATCH(Пневматика_СВОДНАЯ_2026[[#This Row],[Обозначение]],База[Артикул],0),MATCH(D$4,База[#Headers],0))</f>
        <v>ОТС</v>
      </c>
      <c r="E75" s="286" t="str">
        <f>INDEX(База[],MATCH(Пневматика_СВОДНАЯ_2026[[#This Row],[Обозначение]],База[Артикул],0),MATCH(E$4,База[#Headers],0))</f>
        <v>Головка соединительная (питающая)</v>
      </c>
      <c r="F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30</v>
      </c>
      <c r="G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51</v>
      </c>
      <c r="H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36</v>
      </c>
      <c r="I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</v>
      </c>
      <c r="K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17</v>
      </c>
      <c r="L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15</v>
      </c>
      <c r="M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15</v>
      </c>
      <c r="N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15</v>
      </c>
      <c r="O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35</v>
      </c>
      <c r="P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35</v>
      </c>
      <c r="Q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35</v>
      </c>
      <c r="R75" s="288">
        <f ca="1">SUM(Пневматика_СВОДНАЯ_2026[[#This Row],[П- 
01]:[П- 
12]])</f>
        <v>286</v>
      </c>
      <c r="S75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30</v>
      </c>
      <c r="U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51</v>
      </c>
      <c r="V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36</v>
      </c>
      <c r="W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</v>
      </c>
      <c r="Y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7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75" s="288">
        <f ca="1">SUM(Пневматика_СВОДНАЯ_2026[[#This Row],[Ф- 
01]:[Ф- 
12]])</f>
        <v>118</v>
      </c>
      <c r="AG75" s="520">
        <f ca="1">IF((Пневматика_СВОДНАЯ_2026[[#This Row],[П- 
2026]]+Пневматика_СВОДНАЯ_2026[[#This Row],[Ф- 
2026]])&gt;0,1,0)</f>
        <v>1</v>
      </c>
      <c r="AH75" s="300" t="str">
        <f>Пневматика_СВОДНАЯ_2026[[#This Row],[Прод]]&amp;"_"&amp;Пневматика_СВОДНАЯ_2026[[#This Row],[Обозначение]]</f>
        <v>2_9522010020</v>
      </c>
    </row>
    <row r="76" spans="1:34">
      <c r="A76" s="282">
        <v>2</v>
      </c>
      <c r="B76" s="283">
        <v>9630010510</v>
      </c>
      <c r="C7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76" s="285" t="str">
        <f>INDEX(База[],MATCH(Пневматика_СВОДНАЯ_2026[[#This Row],[Обозначение]],База[Артикул],0),MATCH(D$4,База[#Headers],0))</f>
        <v>ОТС</v>
      </c>
      <c r="E76" s="286" t="str">
        <f>INDEX(База[],MATCH(Пневматика_СВОДНАЯ_2026[[#This Row],[Обозначение]],База[Артикул],0),MATCH(E$4,База[#Headers],0))</f>
        <v>Клапан растормаживания сдвоенный</v>
      </c>
      <c r="F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</v>
      </c>
      <c r="K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</v>
      </c>
      <c r="L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76" s="288">
        <f ca="1">SUM(Пневматика_СВОДНАЯ_2026[[#This Row],[П- 
01]:[П- 
12]])</f>
        <v>6</v>
      </c>
      <c r="S76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</v>
      </c>
      <c r="Y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7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76" s="288">
        <f ca="1">SUM(Пневматика_СВОДНАЯ_2026[[#This Row],[Ф- 
01]:[Ф- 
12]])</f>
        <v>3</v>
      </c>
      <c r="AG76" s="520">
        <f ca="1">IF((Пневматика_СВОДНАЯ_2026[[#This Row],[П- 
2026]]+Пневматика_СВОДНАЯ_2026[[#This Row],[Ф- 
2026]])&gt;0,1,0)</f>
        <v>1</v>
      </c>
      <c r="AH76" s="289" t="str">
        <f>Пневматика_СВОДНАЯ_2026[[#This Row],[Прод]]&amp;"_"&amp;Пневматика_СВОДНАЯ_2026[[#This Row],[Обозначение]]</f>
        <v>2_9630010510</v>
      </c>
    </row>
    <row r="77" spans="1:34" ht="28.8">
      <c r="A77" s="282">
        <v>2</v>
      </c>
      <c r="B77" s="283">
        <v>9710020400</v>
      </c>
      <c r="C77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77" s="285" t="str">
        <f>INDEX(База[],MATCH(Пневматика_СВОДНАЯ_2026[[#This Row],[Обозначение]],База[Артикул],0),MATCH(D$4,База[#Headers],0))</f>
        <v>ОТС</v>
      </c>
      <c r="E77" s="286" t="str">
        <f>INDEX(База[],MATCH(Пневматика_СВОДНАЯ_2026[[#This Row],[Обозначение]],База[Артикул],0),MATCH(E$4,База[#Headers],0))</f>
        <v>Воздухораспределитель (без кл. растормаживания)</v>
      </c>
      <c r="F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30</v>
      </c>
      <c r="G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45</v>
      </c>
      <c r="H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58</v>
      </c>
      <c r="I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41</v>
      </c>
      <c r="J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2</v>
      </c>
      <c r="K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117</v>
      </c>
      <c r="L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45</v>
      </c>
      <c r="M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55</v>
      </c>
      <c r="N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15</v>
      </c>
      <c r="O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75</v>
      </c>
      <c r="P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35</v>
      </c>
      <c r="Q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75</v>
      </c>
      <c r="R77" s="288">
        <f ca="1">SUM(Пневматика_СВОДНАЯ_2026[[#This Row],[П- 
01]:[П- 
12]])</f>
        <v>593</v>
      </c>
      <c r="S77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30</v>
      </c>
      <c r="U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45</v>
      </c>
      <c r="V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58</v>
      </c>
      <c r="W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40</v>
      </c>
      <c r="X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2</v>
      </c>
      <c r="Y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7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77" s="288">
        <f ca="1">SUM(Пневматика_СВОДНАЯ_2026[[#This Row],[Ф- 
01]:[Ф- 
12]])</f>
        <v>175</v>
      </c>
      <c r="AG77" s="520">
        <f ca="1">IF((Пневматика_СВОДНАЯ_2026[[#This Row],[П- 
2026]]+Пневматика_СВОДНАЯ_2026[[#This Row],[Ф- 
2026]])&gt;0,1,0)</f>
        <v>1</v>
      </c>
      <c r="AH77" s="300" t="str">
        <f>Пневматика_СВОДНАЯ_2026[[#This Row],[Прод]]&amp;"_"&amp;Пневматика_СВОДНАЯ_2026[[#This Row],[Обозначение]]</f>
        <v>2_9710020400</v>
      </c>
    </row>
    <row r="78" spans="1:34" ht="28.8">
      <c r="A78" s="282">
        <v>2</v>
      </c>
      <c r="B78" s="283">
        <v>9710029000</v>
      </c>
      <c r="C7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78" s="285" t="str">
        <f>INDEX(База[],MATCH(Пневматика_СВОДНАЯ_2026[[#This Row],[Обозначение]],База[Артикул],0),MATCH(D$4,База[#Headers],0))</f>
        <v>ЕБС</v>
      </c>
      <c r="E78" s="286" t="str">
        <f>INDEX(База[],MATCH(Пневматика_СВОДНАЯ_2026[[#This Row],[Обозначение]],База[Артикул],0),MATCH(E$4,База[#Headers],0))</f>
        <v>Воздухораспределитель с клапаном растормаживания</v>
      </c>
      <c r="F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6</v>
      </c>
      <c r="H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78" s="288">
        <f ca="1">SUM(Пневматика_СВОДНАЯ_2026[[#This Row],[П- 
01]:[П- 
12]])</f>
        <v>6</v>
      </c>
      <c r="S78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6</v>
      </c>
      <c r="V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7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78" s="288">
        <f ca="1">SUM(Пневматика_СВОДНАЯ_2026[[#This Row],[Ф- 
01]:[Ф- 
12]])</f>
        <v>6</v>
      </c>
      <c r="AG78" s="520">
        <f ca="1">IF((Пневматика_СВОДНАЯ_2026[[#This Row],[П- 
2026]]+Пневматика_СВОДНАЯ_2026[[#This Row],[Ф- 
2026]])&gt;0,1,0)</f>
        <v>1</v>
      </c>
      <c r="AH78" s="289" t="str">
        <f>Пневматика_СВОДНАЯ_2026[[#This Row],[Прод]]&amp;"_"&amp;Пневматика_СВОДНАЯ_2026[[#This Row],[Обозначение]]</f>
        <v>2_9710029000</v>
      </c>
    </row>
    <row r="79" spans="1:34">
      <c r="A79" s="282" t="s">
        <v>89</v>
      </c>
      <c r="B79" s="283">
        <v>4441000020</v>
      </c>
      <c r="C7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79" s="285">
        <f>INDEX(База[],MATCH(Пневматика_СВОДНАЯ_2026[[#This Row],[Обозначение]],База[Артикул],0),MATCH(D$4,База[#Headers],0))</f>
        <v>0</v>
      </c>
      <c r="E79" s="286" t="str">
        <f>INDEX(База[],MATCH(Пневматика_СВОДНАЯ_2026[[#This Row],[Обозначение]],База[Артикул],0),MATCH(E$4,База[#Headers],0))</f>
        <v>Комплект "Пневматическая подвеска с АРТС"</v>
      </c>
      <c r="F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53</v>
      </c>
      <c r="H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20</v>
      </c>
      <c r="I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5</v>
      </c>
      <c r="L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10</v>
      </c>
      <c r="M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10</v>
      </c>
      <c r="N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10</v>
      </c>
      <c r="P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10</v>
      </c>
      <c r="Q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10</v>
      </c>
      <c r="R79" s="288">
        <f ca="1">SUM(Пневматика_СВОДНАЯ_2026[[#This Row],[П- 
01]:[П- 
12]])</f>
        <v>128</v>
      </c>
      <c r="S79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53</v>
      </c>
      <c r="V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20</v>
      </c>
      <c r="W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7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79" s="288">
        <f ca="1">SUM(Пневматика_СВОДНАЯ_2026[[#This Row],[Ф- 
01]:[Ф- 
12]])</f>
        <v>73</v>
      </c>
      <c r="AG79" s="520">
        <f ca="1">IF((Пневматика_СВОДНАЯ_2026[[#This Row],[П- 
2026]]+Пневматика_СВОДНАЯ_2026[[#This Row],[Ф- 
2026]])&gt;0,1,0)</f>
        <v>1</v>
      </c>
      <c r="AH79" s="289" t="str">
        <f>Пневматика_СВОДНАЯ_2026[[#This Row],[Прод]]&amp;"_"&amp;Пневматика_СВОДНАЯ_2026[[#This Row],[Обозначение]]</f>
        <v>S_4441000020</v>
      </c>
    </row>
    <row r="80" spans="1:34">
      <c r="A80" s="282" t="s">
        <v>89</v>
      </c>
      <c r="B80" s="283">
        <v>4441000040</v>
      </c>
      <c r="C8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80" s="285">
        <f>INDEX(База[],MATCH(Пневматика_СВОДНАЯ_2026[[#This Row],[Обозначение]],База[Артикул],0),MATCH(D$4,База[#Headers],0))</f>
        <v>0</v>
      </c>
      <c r="E80" s="286" t="str">
        <f>INDEX(База[],MATCH(Пневматика_СВОДНАЯ_2026[[#This Row],[Обозначение]],База[Артикул],0),MATCH(E$4,База[#Headers],0))</f>
        <v>Комплект расширения "ABS 3M (10 / 3 м)"</v>
      </c>
      <c r="F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10</v>
      </c>
      <c r="H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80" s="437">
        <f ca="1">SUM(Пневматика_СВОДНАЯ_2026[[#This Row],[П- 
01]:[П- 
12]])</f>
        <v>10</v>
      </c>
      <c r="S80" s="455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10</v>
      </c>
      <c r="V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8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80" s="437">
        <f ca="1">SUM(Пневматика_СВОДНАЯ_2026[[#This Row],[Ф- 
01]:[Ф- 
12]])</f>
        <v>10</v>
      </c>
      <c r="AG80" s="520">
        <f ca="1">IF((Пневматика_СВОДНАЯ_2026[[#This Row],[П- 
2026]]+Пневматика_СВОДНАЯ_2026[[#This Row],[Ф- 
2026]])&gt;0,1,0)</f>
        <v>1</v>
      </c>
      <c r="AH80" s="289" t="str">
        <f>Пневматика_СВОДНАЯ_2026[[#This Row],[Прод]]&amp;"_"&amp;Пневматика_СВОДНАЯ_2026[[#This Row],[Обозначение]]</f>
        <v>S_4441000040</v>
      </c>
    </row>
    <row r="81" spans="1:34">
      <c r="A81" s="282" t="s">
        <v>89</v>
      </c>
      <c r="B81" s="283">
        <v>4441000050</v>
      </c>
      <c r="C81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81" s="285">
        <f>INDEX(База[],MATCH(Пневматика_СВОДНАЯ_2026[[#This Row],[Обозначение]],База[Артикул],0),MATCH(D$4,База[#Headers],0))</f>
        <v>0</v>
      </c>
      <c r="E81" s="286" t="str">
        <f>INDEX(База[],MATCH(Пневматика_СВОДНАЯ_2026[[#This Row],[Обозначение]],База[Артикул],0),MATCH(E$4,База[#Headers],0))</f>
        <v>Комплект базовый "ABS W 2S/2M (12 м)"</v>
      </c>
      <c r="F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</v>
      </c>
      <c r="O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15</v>
      </c>
      <c r="P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15</v>
      </c>
      <c r="Q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15</v>
      </c>
      <c r="R81" s="288">
        <f ca="1">SUM(Пневматика_СВОДНАЯ_2026[[#This Row],[П- 
01]:[П- 
12]])</f>
        <v>50</v>
      </c>
      <c r="S81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8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81" s="288">
        <f ca="1">SUM(Пневматика_СВОДНАЯ_2026[[#This Row],[Ф- 
01]:[Ф- 
12]])</f>
        <v>0</v>
      </c>
      <c r="AG81" s="520">
        <f ca="1">IF((Пневматика_СВОДНАЯ_2026[[#This Row],[П- 
2026]]+Пневматика_СВОДНАЯ_2026[[#This Row],[Ф- 
2026]])&gt;0,1,0)</f>
        <v>1</v>
      </c>
      <c r="AH81" s="289" t="str">
        <f>Пневматика_СВОДНАЯ_2026[[#This Row],[Прод]]&amp;"_"&amp;Пневматика_СВОДНАЯ_2026[[#This Row],[Обозначение]]</f>
        <v>S_4441000050</v>
      </c>
    </row>
    <row r="82" spans="1:34">
      <c r="A82" s="290" t="s">
        <v>89</v>
      </c>
      <c r="B82" s="291">
        <v>4441000060</v>
      </c>
      <c r="C82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82" s="293">
        <f>INDEX(База[],MATCH(Пневматика_СВОДНАЯ_2026[[#This Row],[Обозначение]],База[Артикул],0),MATCH(D$4,База[#Headers],0))</f>
        <v>0</v>
      </c>
      <c r="E82" s="294" t="str">
        <f>INDEX(База[],MATCH(Пневматика_СВОДНАЯ_2026[[#This Row],[Обозначение]],База[Артикул],0),MATCH(E$4,База[#Headers],0))</f>
        <v>Комплект базовый "ABS W 2S/2M (12 м)"</v>
      </c>
      <c r="F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5</v>
      </c>
      <c r="L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5</v>
      </c>
      <c r="M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5</v>
      </c>
      <c r="N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82" s="296">
        <f ca="1">SUM(Пневматика_СВОДНАЯ_2026[[#This Row],[П- 
01]:[П- 
12]])</f>
        <v>15</v>
      </c>
      <c r="S82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82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82" s="296">
        <f ca="1">SUM(Пневматика_СВОДНАЯ_2026[[#This Row],[Ф- 
01]:[Ф- 
12]])</f>
        <v>0</v>
      </c>
      <c r="AG82" s="521">
        <f ca="1">IF((Пневматика_СВОДНАЯ_2026[[#This Row],[П- 
2026]]+Пневматика_СВОДНАЯ_2026[[#This Row],[Ф- 
2026]])&gt;0,1,0)</f>
        <v>1</v>
      </c>
      <c r="AH82" s="297" t="str">
        <f>Пневматика_СВОДНАЯ_2026[[#This Row],[Прод]]&amp;"_"&amp;Пневматика_СВОДНАЯ_2026[[#This Row],[Обозначение]]</f>
        <v>S_4441000060</v>
      </c>
    </row>
    <row r="83" spans="1:34">
      <c r="A83" s="282" t="s">
        <v>89</v>
      </c>
      <c r="B83" s="283">
        <v>4441000120</v>
      </c>
      <c r="C83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83" s="285">
        <f>INDEX(База[],MATCH(Пневматика_СВОДНАЯ_2026[[#This Row],[Обозначение]],База[Артикул],0),MATCH(D$4,База[#Headers],0))</f>
        <v>0</v>
      </c>
      <c r="E83" s="286" t="str">
        <f>INDEX(База[],MATCH(Пневматика_СВОДНАЯ_2026[[#This Row],[Обозначение]],База[Артикул],0),MATCH(E$4,База[#Headers],0))</f>
        <v>Комплект базовый "ABS W 2S/2M (15 м)"</v>
      </c>
      <c r="F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</v>
      </c>
      <c r="H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16</v>
      </c>
      <c r="I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83" s="288">
        <f ca="1">SUM(Пневматика_СВОДНАЯ_2026[[#This Row],[П- 
01]:[П- 
12]])</f>
        <v>21</v>
      </c>
      <c r="S83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</v>
      </c>
      <c r="V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16</v>
      </c>
      <c r="W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8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83" s="288">
        <f ca="1">SUM(Пневматика_СВОДНАЯ_2026[[#This Row],[Ф- 
01]:[Ф- 
12]])</f>
        <v>21</v>
      </c>
      <c r="AG83" s="520">
        <f ca="1">IF((Пневматика_СВОДНАЯ_2026[[#This Row],[П- 
2026]]+Пневматика_СВОДНАЯ_2026[[#This Row],[Ф- 
2026]])&gt;0,1,0)</f>
        <v>1</v>
      </c>
      <c r="AH83" s="289" t="str">
        <f>Пневматика_СВОДНАЯ_2026[[#This Row],[Прод]]&amp;"_"&amp;Пневматика_СВОДНАЯ_2026[[#This Row],[Обозначение]]</f>
        <v>S_4441000120</v>
      </c>
    </row>
    <row r="84" spans="1:34">
      <c r="A84" s="290" t="s">
        <v>89</v>
      </c>
      <c r="B84" s="291">
        <v>4441000160</v>
      </c>
      <c r="C84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84" s="293">
        <f>INDEX(База[],MATCH(Пневматика_СВОДНАЯ_2026[[#This Row],[Обозначение]],База[Артикул],0),MATCH(D$4,База[#Headers],0))</f>
        <v>0</v>
      </c>
      <c r="E84" s="294" t="str">
        <f>INDEX(База[],MATCH(Пневматика_СВОДНАЯ_2026[[#This Row],[Обозначение]],База[Артикул],0),MATCH(E$4,База[#Headers],0))</f>
        <v>Комплект базовый "ABS W 4S/3M (15 м)"</v>
      </c>
      <c r="F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10</v>
      </c>
      <c r="L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10</v>
      </c>
      <c r="M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10</v>
      </c>
      <c r="N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</v>
      </c>
      <c r="O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84" s="296">
        <f ca="1">SUM(Пневматика_СВОДНАЯ_2026[[#This Row],[П- 
01]:[П- 
12]])</f>
        <v>35</v>
      </c>
      <c r="S84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8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84" s="296">
        <f ca="1">SUM(Пневматика_СВОДНАЯ_2026[[#This Row],[Ф- 
01]:[Ф- 
12]])</f>
        <v>0</v>
      </c>
      <c r="AG84" s="521">
        <f ca="1">IF((Пневматика_СВОДНАЯ_2026[[#This Row],[П- 
2026]]+Пневматика_СВОДНАЯ_2026[[#This Row],[Ф- 
2026]])&gt;0,1,0)</f>
        <v>1</v>
      </c>
      <c r="AH84" s="297" t="str">
        <f>Пневматика_СВОДНАЯ_2026[[#This Row],[Прод]]&amp;"_"&amp;Пневматика_СВОДНАЯ_2026[[#This Row],[Обозначение]]</f>
        <v>S_4441000160</v>
      </c>
    </row>
    <row r="85" spans="1:34">
      <c r="A85" s="290" t="s">
        <v>89</v>
      </c>
      <c r="B85" s="291">
        <v>4441000180</v>
      </c>
      <c r="C85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85" s="293">
        <f>INDEX(База[],MATCH(Пневматика_СВОДНАЯ_2026[[#This Row],[Обозначение]],База[Артикул],0),MATCH(D$4,База[#Headers],0))</f>
        <v>0</v>
      </c>
      <c r="E85" s="294" t="str">
        <f>INDEX(База[],MATCH(Пневматика_СВОДНАЯ_2026[[#This Row],[Обозначение]],База[Артикул],0),MATCH(E$4,База[#Headers],0))</f>
        <v>Комплект базовый "TEBS W 4S/2M (12 м)"</v>
      </c>
      <c r="F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</v>
      </c>
      <c r="K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85" s="296">
        <f ca="1">SUM(Пневматика_СВОДНАЯ_2026[[#This Row],[П- 
01]:[П- 
12]])</f>
        <v>4</v>
      </c>
      <c r="S85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1</v>
      </c>
      <c r="X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</v>
      </c>
      <c r="Y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8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85" s="296">
        <f ca="1">SUM(Пневматика_СВОДНАЯ_2026[[#This Row],[Ф- 
01]:[Ф- 
12]])</f>
        <v>4</v>
      </c>
      <c r="AG85" s="521">
        <f ca="1">IF((Пневматика_СВОДНАЯ_2026[[#This Row],[П- 
2026]]+Пневматика_СВОДНАЯ_2026[[#This Row],[Ф- 
2026]])&gt;0,1,0)</f>
        <v>1</v>
      </c>
      <c r="AH85" s="297" t="str">
        <f>Пневматика_СВОДНАЯ_2026[[#This Row],[Прод]]&amp;"_"&amp;Пневматика_СВОДНАЯ_2026[[#This Row],[Обозначение]]</f>
        <v>S_4441000180</v>
      </c>
    </row>
    <row r="86" spans="1:34">
      <c r="A86" s="553" t="s">
        <v>89</v>
      </c>
      <c r="B86" s="554">
        <v>4441000200</v>
      </c>
      <c r="C8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86" s="432">
        <f>INDEX(База[],MATCH(Пневматика_СВОДНАЯ_2026[[#This Row],[Обозначение]],База[Артикул],0),MATCH(D$4,База[#Headers],0))</f>
        <v>0</v>
      </c>
      <c r="E86" s="555" t="str">
        <f>INDEX(База[],MATCH(Пневматика_СВОДНАЯ_2026[[#This Row],[Обозначение]],База[Артикул],0),MATCH(E$4,База[#Headers],0))</f>
        <v>Комплект "CAN-Репитер W (40 м)"</v>
      </c>
      <c r="F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</v>
      </c>
      <c r="H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1</v>
      </c>
      <c r="J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86" s="288">
        <f ca="1">SUM(Пневматика_СВОДНАЯ_2026[[#This Row],[П- 
01]:[П- 
12]])</f>
        <v>4</v>
      </c>
      <c r="S86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</v>
      </c>
      <c r="V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1</v>
      </c>
      <c r="X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86" s="556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86" s="288">
        <f ca="1">SUM(Пневматика_СВОДНАЯ_2026[[#This Row],[Ф- 
01]:[Ф- 
12]])</f>
        <v>4</v>
      </c>
      <c r="AG86" s="557">
        <f ca="1">IF((Пневматика_СВОДНАЯ_2026[[#This Row],[П- 
2026]]+Пневматика_СВОДНАЯ_2026[[#This Row],[Ф- 
2026]])&gt;0,1,0)</f>
        <v>1</v>
      </c>
      <c r="AH86" s="558" t="str">
        <f>Пневматика_СВОДНАЯ_2026[[#This Row],[Прод]]&amp;"_"&amp;Пневматика_СВОДНАЯ_2026[[#This Row],[Обозначение]]</f>
        <v>S_4441000200</v>
      </c>
    </row>
    <row r="87" spans="1:34">
      <c r="A87" s="282" t="s">
        <v>89</v>
      </c>
      <c r="B87" s="283">
        <v>4441000210</v>
      </c>
      <c r="C87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87" s="285">
        <f>INDEX(База[],MATCH(Пневматика_СВОДНАЯ_2026[[#This Row],[Обозначение]],База[Артикул],0),MATCH(D$4,База[#Headers],0))</f>
        <v>0</v>
      </c>
      <c r="E87" s="286" t="str">
        <f>INDEX(База[],MATCH(Пневматика_СВОДНАЯ_2026[[#This Row],[Обозначение]],База[Артикул],0),MATCH(E$4,База[#Headers],0))</f>
        <v>Комплект клапана подъёма оси LACV (6 м)</v>
      </c>
      <c r="F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</v>
      </c>
      <c r="H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10</v>
      </c>
      <c r="I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31</v>
      </c>
      <c r="J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20</v>
      </c>
      <c r="O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20</v>
      </c>
      <c r="P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20</v>
      </c>
      <c r="Q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20</v>
      </c>
      <c r="R87" s="288">
        <f ca="1">SUM(Пневматика_СВОДНАЯ_2026[[#This Row],[П- 
01]:[П- 
12]])</f>
        <v>126</v>
      </c>
      <c r="S87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</v>
      </c>
      <c r="V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10</v>
      </c>
      <c r="W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31</v>
      </c>
      <c r="X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8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87" s="288">
        <f ca="1">SUM(Пневматика_СВОДНАЯ_2026[[#This Row],[Ф- 
01]:[Ф- 
12]])</f>
        <v>46</v>
      </c>
      <c r="AG87" s="520">
        <f ca="1">IF((Пневматика_СВОДНАЯ_2026[[#This Row],[П- 
2026]]+Пневматика_СВОДНАЯ_2026[[#This Row],[Ф- 
2026]])&gt;0,1,0)</f>
        <v>1</v>
      </c>
      <c r="AH87" s="289" t="str">
        <f>Пневматика_СВОДНАЯ_2026[[#This Row],[Прод]]&amp;"_"&amp;Пневматика_СВОДНАЯ_2026[[#This Row],[Обозначение]]</f>
        <v>S_4441000210</v>
      </c>
    </row>
    <row r="88" spans="1:34">
      <c r="A88" s="282" t="s">
        <v>89</v>
      </c>
      <c r="B88" s="283">
        <v>4441000220</v>
      </c>
      <c r="C8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88" s="285">
        <f>INDEX(База[],MATCH(Пневматика_СВОДНАЯ_2026[[#This Row],[Обозначение]],База[Артикул],0),MATCH(D$4,База[#Headers],0))</f>
        <v>0</v>
      </c>
      <c r="E88" s="286" t="str">
        <f>INDEX(База[],MATCH(Пневматика_СВОДНАЯ_2026[[#This Row],[Обозначение]],База[Артикул],0),MATCH(E$4,База[#Headers],0))</f>
        <v>Комплект расширения "TEBS 3M (6 м)"</v>
      </c>
      <c r="F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9</v>
      </c>
      <c r="J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29</v>
      </c>
      <c r="K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25</v>
      </c>
      <c r="L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50</v>
      </c>
      <c r="M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70</v>
      </c>
      <c r="N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50</v>
      </c>
      <c r="O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50</v>
      </c>
      <c r="P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50</v>
      </c>
      <c r="Q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50</v>
      </c>
      <c r="R88" s="437">
        <f ca="1">SUM(Пневматика_СВОДНАЯ_2026[[#This Row],[П- 
01]:[П- 
12]])</f>
        <v>383</v>
      </c>
      <c r="S88" s="455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9</v>
      </c>
      <c r="X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29</v>
      </c>
      <c r="Y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8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88" s="437">
        <f ca="1">SUM(Пневматика_СВОДНАЯ_2026[[#This Row],[Ф- 
01]:[Ф- 
12]])</f>
        <v>38</v>
      </c>
      <c r="AG88" s="520">
        <f ca="1">IF((Пневматика_СВОДНАЯ_2026[[#This Row],[П- 
2026]]+Пневматика_СВОДНАЯ_2026[[#This Row],[Ф- 
2026]])&gt;0,1,0)</f>
        <v>1</v>
      </c>
      <c r="AH88" s="289" t="str">
        <f>Пневматика_СВОДНАЯ_2026[[#This Row],[Прод]]&amp;"_"&amp;Пневматика_СВОДНАЯ_2026[[#This Row],[Обозначение]]</f>
        <v>S_4441000220</v>
      </c>
    </row>
    <row r="89" spans="1:34">
      <c r="A89" s="282" t="s">
        <v>89</v>
      </c>
      <c r="B89" s="283">
        <v>4441000230</v>
      </c>
      <c r="C8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89" s="285">
        <f>INDEX(База[],MATCH(Пневматика_СВОДНАЯ_2026[[#This Row],[Обозначение]],База[Артикул],0),MATCH(D$4,База[#Headers],0))</f>
        <v>0</v>
      </c>
      <c r="E89" s="286" t="str">
        <f>INDEX(База[],MATCH(Пневматика_СВОДНАЯ_2026[[#This Row],[Обозначение]],База[Артикул],0),MATCH(E$4,База[#Headers],0))</f>
        <v>Комплект расширения "TEBS 3M (12 м)"</v>
      </c>
      <c r="F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</v>
      </c>
      <c r="K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89" s="437">
        <f ca="1">SUM(Пневматика_СВОДНАЯ_2026[[#This Row],[П- 
01]:[П- 
12]])</f>
        <v>1</v>
      </c>
      <c r="S89" s="455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</v>
      </c>
      <c r="Y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8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89" s="437">
        <f ca="1">SUM(Пневматика_СВОДНАЯ_2026[[#This Row],[Ф- 
01]:[Ф- 
12]])</f>
        <v>1</v>
      </c>
      <c r="AG89" s="520">
        <f ca="1">IF((Пневматика_СВОДНАЯ_2026[[#This Row],[П- 
2026]]+Пневматика_СВОДНАЯ_2026[[#This Row],[Ф- 
2026]])&gt;0,1,0)</f>
        <v>1</v>
      </c>
      <c r="AH89" s="289" t="str">
        <f>Пневматика_СВОДНАЯ_2026[[#This Row],[Прод]]&amp;"_"&amp;Пневматика_СВОДНАЯ_2026[[#This Row],[Обозначение]]</f>
        <v>S_4441000230</v>
      </c>
    </row>
    <row r="90" spans="1:34">
      <c r="A90" s="282" t="s">
        <v>89</v>
      </c>
      <c r="B90" s="283">
        <v>4441000260</v>
      </c>
      <c r="C9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90" s="285">
        <f>INDEX(База[],MATCH(Пневматика_СВОДНАЯ_2026[[#This Row],[Обозначение]],База[Артикул],0),MATCH(D$4,База[#Headers],0))</f>
        <v>0</v>
      </c>
      <c r="E90" s="286" t="str">
        <f>INDEX(База[],MATCH(Пневматика_СВОДНАЯ_2026[[#This Row],[Обозначение]],База[Артикул],0),MATCH(E$4,База[#Headers],0))</f>
        <v>Комплект базовый "TEBS 2S/2M (12 м)"</v>
      </c>
      <c r="F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</v>
      </c>
      <c r="G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30</v>
      </c>
      <c r="H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30</v>
      </c>
      <c r="J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50</v>
      </c>
      <c r="L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20</v>
      </c>
      <c r="M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20</v>
      </c>
      <c r="N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20</v>
      </c>
      <c r="O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20</v>
      </c>
      <c r="P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20</v>
      </c>
      <c r="Q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20</v>
      </c>
      <c r="R90" s="288">
        <f ca="1">SUM(Пневматика_СВОДНАЯ_2026[[#This Row],[П- 
01]:[П- 
12]])</f>
        <v>232</v>
      </c>
      <c r="S90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</v>
      </c>
      <c r="U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30</v>
      </c>
      <c r="V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30</v>
      </c>
      <c r="X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9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90" s="288">
        <f ca="1">SUM(Пневматика_СВОДНАЯ_2026[[#This Row],[Ф- 
01]:[Ф- 
12]])</f>
        <v>62</v>
      </c>
      <c r="AG90" s="520">
        <f ca="1">IF((Пневматика_СВОДНАЯ_2026[[#This Row],[П- 
2026]]+Пневматика_СВОДНАЯ_2026[[#This Row],[Ф- 
2026]])&gt;0,1,0)</f>
        <v>1</v>
      </c>
      <c r="AH90" s="289" t="str">
        <f>Пневматика_СВОДНАЯ_2026[[#This Row],[Прод]]&amp;"_"&amp;Пневматика_СВОДНАЯ_2026[[#This Row],[Обозначение]]</f>
        <v>S_4441000260</v>
      </c>
    </row>
    <row r="91" spans="1:34">
      <c r="A91" s="282" t="s">
        <v>89</v>
      </c>
      <c r="B91" s="283">
        <v>4441000380</v>
      </c>
      <c r="C91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91" s="285">
        <f>INDEX(База[],MATCH(Пневматика_СВОДНАЯ_2026[[#This Row],[Обозначение]],База[Артикул],0),MATCH(D$4,База[#Headers],0))</f>
        <v>0</v>
      </c>
      <c r="E91" s="286" t="str">
        <f>INDEX(База[],MATCH(Пневматика_СВОДНАЯ_2026[[#This Row],[Обозначение]],База[Артикул],0),MATCH(E$4,База[#Headers],0))</f>
        <v>Комплект базовый "TEBS 2S/2M (15 м)"</v>
      </c>
      <c r="F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11</v>
      </c>
      <c r="G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59</v>
      </c>
      <c r="H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18</v>
      </c>
      <c r="I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84</v>
      </c>
      <c r="J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29</v>
      </c>
      <c r="K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76</v>
      </c>
      <c r="L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55</v>
      </c>
      <c r="M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100</v>
      </c>
      <c r="N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105</v>
      </c>
      <c r="O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105</v>
      </c>
      <c r="P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125</v>
      </c>
      <c r="Q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125</v>
      </c>
      <c r="R91" s="288">
        <f ca="1">SUM(Пневматика_СВОДНАЯ_2026[[#This Row],[П- 
01]:[П- 
12]])</f>
        <v>892</v>
      </c>
      <c r="S91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11</v>
      </c>
      <c r="U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59</v>
      </c>
      <c r="V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18</v>
      </c>
      <c r="W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84</v>
      </c>
      <c r="X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29</v>
      </c>
      <c r="Y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9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91" s="288">
        <f ca="1">SUM(Пневматика_СВОДНАЯ_2026[[#This Row],[Ф- 
01]:[Ф- 
12]])</f>
        <v>201</v>
      </c>
      <c r="AG91" s="520">
        <f ca="1">IF((Пневматика_СВОДНАЯ_2026[[#This Row],[П- 
2026]]+Пневматика_СВОДНАЯ_2026[[#This Row],[Ф- 
2026]])&gt;0,1,0)</f>
        <v>1</v>
      </c>
      <c r="AH91" s="289" t="str">
        <f>Пневматика_СВОДНАЯ_2026[[#This Row],[Прод]]&amp;"_"&amp;Пневматика_СВОДНАЯ_2026[[#This Row],[Обозначение]]</f>
        <v>S_4441000380</v>
      </c>
    </row>
    <row r="92" spans="1:34">
      <c r="A92" s="282" t="s">
        <v>89</v>
      </c>
      <c r="B92" s="283">
        <v>4441000400</v>
      </c>
      <c r="C92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92" s="285">
        <f>INDEX(База[],MATCH(Пневматика_СВОДНАЯ_2026[[#This Row],[Обозначение]],База[Артикул],0),MATCH(D$4,База[#Headers],0))</f>
        <v>0</v>
      </c>
      <c r="E92" s="286" t="str">
        <f>INDEX(База[],MATCH(Пневматика_СВОДНАЯ_2026[[#This Row],[Обозначение]],База[Артикул],0),MATCH(E$4,База[#Headers],0))</f>
        <v>Комплект "TEBS 2S/2M (15 м)" стандарт</v>
      </c>
      <c r="F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16</v>
      </c>
      <c r="I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8</v>
      </c>
      <c r="J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19</v>
      </c>
      <c r="K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37</v>
      </c>
      <c r="L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30</v>
      </c>
      <c r="M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25</v>
      </c>
      <c r="N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30</v>
      </c>
      <c r="O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30</v>
      </c>
      <c r="P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30</v>
      </c>
      <c r="Q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30</v>
      </c>
      <c r="R92" s="437">
        <f ca="1">SUM(Пневматика_СВОДНАЯ_2026[[#This Row],[П- 
01]:[П- 
12]])</f>
        <v>255</v>
      </c>
      <c r="S92" s="455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16</v>
      </c>
      <c r="W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8</v>
      </c>
      <c r="X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19</v>
      </c>
      <c r="Y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9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92" s="437">
        <f ca="1">SUM(Пневматика_СВОДНАЯ_2026[[#This Row],[Ф- 
01]:[Ф- 
12]])</f>
        <v>43</v>
      </c>
      <c r="AG92" s="520">
        <f ca="1">IF((Пневматика_СВОДНАЯ_2026[[#This Row],[П- 
2026]]+Пневматика_СВОДНАЯ_2026[[#This Row],[Ф- 
2026]])&gt;0,1,0)</f>
        <v>1</v>
      </c>
      <c r="AH92" s="289" t="str">
        <f>Пневматика_СВОДНАЯ_2026[[#This Row],[Прод]]&amp;"_"&amp;Пневматика_СВОДНАЯ_2026[[#This Row],[Обозначение]]</f>
        <v>S_4441000400</v>
      </c>
    </row>
    <row r="93" spans="1:34">
      <c r="A93" s="282" t="s">
        <v>89</v>
      </c>
      <c r="B93" s="283">
        <v>4441000410</v>
      </c>
      <c r="C93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93" s="285">
        <f>INDEX(База[],MATCH(Пневматика_СВОДНАЯ_2026[[#This Row],[Обозначение]],База[Артикул],0),MATCH(D$4,База[#Headers],0))</f>
        <v>0</v>
      </c>
      <c r="E93" s="286" t="str">
        <f>INDEX(База[],MATCH(Пневматика_СВОДНАЯ_2026[[#This Row],[Обозначение]],База[Артикул],0),MATCH(E$4,База[#Headers],0))</f>
        <v>Комплект "EBS ПТ"</v>
      </c>
      <c r="F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30</v>
      </c>
      <c r="J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40</v>
      </c>
      <c r="L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30</v>
      </c>
      <c r="M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93" s="288">
        <f ca="1">SUM(Пневматика_СВОДНАЯ_2026[[#This Row],[П- 
01]:[П- 
12]])</f>
        <v>100</v>
      </c>
      <c r="S93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30</v>
      </c>
      <c r="X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9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93" s="288">
        <f ca="1">SUM(Пневматика_СВОДНАЯ_2026[[#This Row],[Ф- 
01]:[Ф- 
12]])</f>
        <v>30</v>
      </c>
      <c r="AG93" s="520">
        <f ca="1">IF((Пневматика_СВОДНАЯ_2026[[#This Row],[П- 
2026]]+Пневматика_СВОДНАЯ_2026[[#This Row],[Ф- 
2026]])&gt;0,1,0)</f>
        <v>1</v>
      </c>
      <c r="AH93" s="289" t="str">
        <f>Пневматика_СВОДНАЯ_2026[[#This Row],[Прод]]&amp;"_"&amp;Пневматика_СВОДНАЯ_2026[[#This Row],[Обозначение]]</f>
        <v>S_4441000410</v>
      </c>
    </row>
    <row r="94" spans="1:34">
      <c r="A94" s="282" t="s">
        <v>89</v>
      </c>
      <c r="B94" s="283">
        <v>4441000440</v>
      </c>
      <c r="C9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94" s="285">
        <f>INDEX(База[],MATCH(Пневматика_СВОДНАЯ_2026[[#This Row],[Обозначение]],База[Артикул],0),MATCH(D$4,База[#Headers],0))</f>
        <v>0</v>
      </c>
      <c r="E94" s="286" t="str">
        <f>INDEX(База[],MATCH(Пневматика_СВОДНАЯ_2026[[#This Row],[Обозначение]],База[Артикул],0),MATCH(E$4,База[#Headers],0))</f>
        <v>Комплект базовый "TEBS 2S/2M (18 м W)"</v>
      </c>
      <c r="F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</v>
      </c>
      <c r="I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2</v>
      </c>
      <c r="J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4</v>
      </c>
      <c r="L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2</v>
      </c>
      <c r="M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3</v>
      </c>
      <c r="N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3</v>
      </c>
      <c r="O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3</v>
      </c>
      <c r="P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3</v>
      </c>
      <c r="Q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3</v>
      </c>
      <c r="R94" s="288">
        <f ca="1">SUM(Пневматика_СВОДНАЯ_2026[[#This Row],[П- 
01]:[П- 
12]])</f>
        <v>25</v>
      </c>
      <c r="S94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</v>
      </c>
      <c r="W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2</v>
      </c>
      <c r="X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9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94" s="288">
        <f ca="1">SUM(Пневматика_СВОДНАЯ_2026[[#This Row],[Ф- 
01]:[Ф- 
12]])</f>
        <v>4</v>
      </c>
      <c r="AG94" s="520">
        <f ca="1">IF((Пневматика_СВОДНАЯ_2026[[#This Row],[П- 
2026]]+Пневматика_СВОДНАЯ_2026[[#This Row],[Ф- 
2026]])&gt;0,1,0)</f>
        <v>1</v>
      </c>
      <c r="AH94" s="289" t="str">
        <f>Пневматика_СВОДНАЯ_2026[[#This Row],[Прод]]&amp;"_"&amp;Пневматика_СВОДНАЯ_2026[[#This Row],[Обозначение]]</f>
        <v>S_4441000440</v>
      </c>
    </row>
    <row r="95" spans="1:34" ht="30" customHeight="1">
      <c r="A95" s="282" t="s">
        <v>89</v>
      </c>
      <c r="B95" s="283">
        <v>4441000450</v>
      </c>
      <c r="C95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95" s="285">
        <f>INDEX(База[],MATCH(Пневматика_СВОДНАЯ_2026[[#This Row],[Обозначение]],База[Артикул],0),MATCH(D$4,База[#Headers],0))</f>
        <v>0</v>
      </c>
      <c r="E95" s="286" t="str">
        <f>INDEX(База[],MATCH(Пневматика_СВОДНАЯ_2026[[#This Row],[Обозначение]],База[Артикул],0),MATCH(E$4,База[#Headers],0))</f>
        <v>Комплект базовый "ABS W 2S/2M (12 м)"</v>
      </c>
      <c r="F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20</v>
      </c>
      <c r="G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30</v>
      </c>
      <c r="H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15</v>
      </c>
      <c r="I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95" s="288">
        <f ca="1">SUM(Пневматика_СВОДНАЯ_2026[[#This Row],[П- 
01]:[П- 
12]])</f>
        <v>65</v>
      </c>
      <c r="S95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20</v>
      </c>
      <c r="U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30</v>
      </c>
      <c r="V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15</v>
      </c>
      <c r="W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9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95" s="288">
        <f ca="1">SUM(Пневматика_СВОДНАЯ_2026[[#This Row],[Ф- 
01]:[Ф- 
12]])</f>
        <v>65</v>
      </c>
      <c r="AG95" s="520">
        <f ca="1">IF((Пневматика_СВОДНАЯ_2026[[#This Row],[П- 
2026]]+Пневматика_СВОДНАЯ_2026[[#This Row],[Ф- 
2026]])&gt;0,1,0)</f>
        <v>1</v>
      </c>
      <c r="AH95" s="289" t="str">
        <f>Пневматика_СВОДНАЯ_2026[[#This Row],[Прод]]&amp;"_"&amp;Пневматика_СВОДНАЯ_2026[[#This Row],[Обозначение]]</f>
        <v>S_4441000450</v>
      </c>
    </row>
    <row r="96" spans="1:34">
      <c r="A96" s="282" t="s">
        <v>89</v>
      </c>
      <c r="B96" s="283">
        <v>4441000500</v>
      </c>
      <c r="C9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96" s="285">
        <f>INDEX(База[],MATCH(Пневматика_СВОДНАЯ_2026[[#This Row],[Обозначение]],База[Артикул],0),MATCH(D$4,База[#Headers],0))</f>
        <v>0</v>
      </c>
      <c r="E96" s="286" t="str">
        <f>INDEX(База[],MATCH(Пневматика_СВОДНАЯ_2026[[#This Row],[Обозначение]],База[Артикул],0),MATCH(E$4,База[#Headers],0))</f>
        <v>Комплект базовый "ABS W 4S/3M (15 м)"</v>
      </c>
      <c r="F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8</v>
      </c>
      <c r="G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10</v>
      </c>
      <c r="H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5</v>
      </c>
      <c r="I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96" s="288">
        <f ca="1">SUM(Пневматика_СВОДНАЯ_2026[[#This Row],[П- 
01]:[П- 
12]])</f>
        <v>23</v>
      </c>
      <c r="S96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8</v>
      </c>
      <c r="U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10</v>
      </c>
      <c r="V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5</v>
      </c>
      <c r="W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9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96" s="288">
        <f ca="1">SUM(Пневматика_СВОДНАЯ_2026[[#This Row],[Ф- 
01]:[Ф- 
12]])</f>
        <v>23</v>
      </c>
      <c r="AG96" s="520">
        <f ca="1">IF((Пневматика_СВОДНАЯ_2026[[#This Row],[П- 
2026]]+Пневматика_СВОДНАЯ_2026[[#This Row],[Ф- 
2026]])&gt;0,1,0)</f>
        <v>1</v>
      </c>
      <c r="AH96" s="289" t="str">
        <f>Пневматика_СВОДНАЯ_2026[[#This Row],[Прод]]&amp;"_"&amp;Пневматика_СВОДНАЯ_2026[[#This Row],[Обозначение]]</f>
        <v>S_4441000500</v>
      </c>
    </row>
    <row r="97" spans="1:34">
      <c r="A97" s="282" t="s">
        <v>89</v>
      </c>
      <c r="B97" s="283">
        <v>4441000530</v>
      </c>
      <c r="C97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97" s="285">
        <f>INDEX(База[],MATCH(Пневматика_СВОДНАЯ_2026[[#This Row],[Обозначение]],База[Артикул],0),MATCH(D$4,База[#Headers],0))</f>
        <v>0</v>
      </c>
      <c r="E97" s="286" t="str">
        <f>INDEX(База[],MATCH(Пневматика_СВОДНАЯ_2026[[#This Row],[Обозначение]],База[Артикул],0),MATCH(E$4,База[#Headers],0))</f>
        <v>Комплект "TEBS W 2S/2M (12 м)"</v>
      </c>
      <c r="F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1</v>
      </c>
      <c r="H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97" s="288">
        <f ca="1">SUM(Пневматика_СВОДНАЯ_2026[[#This Row],[П- 
01]:[П- 
12]])</f>
        <v>1</v>
      </c>
      <c r="S97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1</v>
      </c>
      <c r="V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9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97" s="288">
        <f ca="1">SUM(Пневматика_СВОДНАЯ_2026[[#This Row],[Ф- 
01]:[Ф- 
12]])</f>
        <v>1</v>
      </c>
      <c r="AG97" s="520">
        <f ca="1">IF((Пневматика_СВОДНАЯ_2026[[#This Row],[П- 
2026]]+Пневматика_СВОДНАЯ_2026[[#This Row],[Ф- 
2026]])&gt;0,1,0)</f>
        <v>1</v>
      </c>
      <c r="AH97" s="289" t="str">
        <f>Пневматика_СВОДНАЯ_2026[[#This Row],[Прод]]&amp;"_"&amp;Пневматика_СВОДНАЯ_2026[[#This Row],[Обозначение]]</f>
        <v>S_4441000530</v>
      </c>
    </row>
    <row r="98" spans="1:34">
      <c r="A98" s="282" t="s">
        <v>89</v>
      </c>
      <c r="B98" s="283">
        <v>4441000590</v>
      </c>
      <c r="C9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98" s="285">
        <f>INDEX(База[],MATCH(Пневматика_СВОДНАЯ_2026[[#This Row],[Обозначение]],База[Артикул],0),MATCH(D$4,База[#Headers],0))</f>
        <v>0</v>
      </c>
      <c r="E98" s="286" t="str">
        <f>INDEX(База[],MATCH(Пневматика_СВОДНАЯ_2026[[#This Row],[Обозначение]],База[Артикул],0),MATCH(E$4,База[#Headers],0))</f>
        <v>Комплект "TEBS W 4S/2M (12 м)"</v>
      </c>
      <c r="F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5</v>
      </c>
      <c r="H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98" s="288">
        <f ca="1">SUM(Пневматика_СВОДНАЯ_2026[[#This Row],[П- 
01]:[П- 
12]])</f>
        <v>5</v>
      </c>
      <c r="S98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5</v>
      </c>
      <c r="V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9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98" s="288">
        <f ca="1">SUM(Пневматика_СВОДНАЯ_2026[[#This Row],[Ф- 
01]:[Ф- 
12]])</f>
        <v>5</v>
      </c>
      <c r="AG98" s="520">
        <f ca="1">IF((Пневматика_СВОДНАЯ_2026[[#This Row],[П- 
2026]]+Пневматика_СВОДНАЯ_2026[[#This Row],[Ф- 
2026]])&gt;0,1,0)</f>
        <v>1</v>
      </c>
      <c r="AH98" s="289" t="str">
        <f>Пневматика_СВОДНАЯ_2026[[#This Row],[Прод]]&amp;"_"&amp;Пневматика_СВОДНАЯ_2026[[#This Row],[Обозначение]]</f>
        <v>S_4441000590</v>
      </c>
    </row>
    <row r="99" spans="1:34">
      <c r="A99" s="282" t="s">
        <v>89</v>
      </c>
      <c r="B99" s="283">
        <v>4441000600</v>
      </c>
      <c r="C9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99" s="285">
        <f>INDEX(База[],MATCH(Пневматика_СВОДНАЯ_2026[[#This Row],[Обозначение]],База[Артикул],0),MATCH(D$4,База[#Headers],0))</f>
        <v>0</v>
      </c>
      <c r="E99" s="286" t="str">
        <f>INDEX(База[],MATCH(Пневматика_СВОДНАЯ_2026[[#This Row],[Обозначение]],База[Артикул],0),MATCH(E$4,База[#Headers],0))</f>
        <v>Комплект "TEBS 4S/3M (15 м)" специальный</v>
      </c>
      <c r="F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20</v>
      </c>
      <c r="I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60</v>
      </c>
      <c r="J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60</v>
      </c>
      <c r="L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99" s="288">
        <f ca="1">SUM(Пневматика_СВОДНАЯ_2026[[#This Row],[П- 
01]:[П- 
12]])</f>
        <v>140</v>
      </c>
      <c r="S99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20</v>
      </c>
      <c r="W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60</v>
      </c>
      <c r="X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9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99" s="288">
        <f ca="1">SUM(Пневматика_СВОДНАЯ_2026[[#This Row],[Ф- 
01]:[Ф- 
12]])</f>
        <v>80</v>
      </c>
      <c r="AG99" s="520">
        <f ca="1">IF((Пневматика_СВОДНАЯ_2026[[#This Row],[П- 
2026]]+Пневматика_СВОДНАЯ_2026[[#This Row],[Ф- 
2026]])&gt;0,1,0)</f>
        <v>1</v>
      </c>
      <c r="AH99" s="289" t="str">
        <f>Пневматика_СВОДНАЯ_2026[[#This Row],[Прод]]&amp;"_"&amp;Пневматика_СВОДНАЯ_2026[[#This Row],[Обозначение]]</f>
        <v>S_4441000600</v>
      </c>
    </row>
    <row r="100" spans="1:34" ht="28.8">
      <c r="A100" s="282" t="s">
        <v>89</v>
      </c>
      <c r="B100" s="283" t="s">
        <v>407</v>
      </c>
      <c r="C10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00" s="285">
        <f>INDEX(База[],MATCH(Пневматика_СВОДНАЯ_2026[[#This Row],[Обозначение]],База[Артикул],0),MATCH(D$4,База[#Headers],0))</f>
        <v>0</v>
      </c>
      <c r="E100" s="286" t="str">
        <f>INDEX(База[],MATCH(Пневматика_СВОДНАЯ_2026[[#This Row],[Обозначение]],База[Артикул],0),MATCH(E$4,База[#Headers],0))</f>
        <v>Комплект "ABS 2S/2M базовый W" +3-й модулятор</v>
      </c>
      <c r="F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5</v>
      </c>
      <c r="O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10</v>
      </c>
      <c r="P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10</v>
      </c>
      <c r="Q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10</v>
      </c>
      <c r="R100" s="288">
        <f ca="1">SUM(Пневматика_СВОДНАЯ_2026[[#This Row],[П- 
01]:[П- 
12]])</f>
        <v>35</v>
      </c>
      <c r="S100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0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00" s="288">
        <f ca="1">SUM(Пневматика_СВОДНАЯ_2026[[#This Row],[Ф- 
01]:[Ф- 
12]])</f>
        <v>0</v>
      </c>
      <c r="AG100" s="520">
        <f ca="1">IF((Пневматика_СВОДНАЯ_2026[[#This Row],[П- 
2026]]+Пневматика_СВОДНАЯ_2026[[#This Row],[Ф- 
2026]])&gt;0,1,0)</f>
        <v>1</v>
      </c>
      <c r="AH100" s="289" t="str">
        <f>Пневматика_СВОДНАЯ_2026[[#This Row],[Прод]]&amp;"_"&amp;Пневматика_СВОДНАЯ_2026[[#This Row],[Обозначение]]</f>
        <v>S_4006061140К1.</v>
      </c>
    </row>
    <row r="101" spans="1:34">
      <c r="A101" s="282" t="s">
        <v>89</v>
      </c>
      <c r="B101" s="283" t="s">
        <v>130</v>
      </c>
      <c r="C101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01" s="285">
        <f>INDEX(База[],MATCH(Пневматика_СВОДНАЯ_2026[[#This Row],[Обозначение]],База[Артикул],0),MATCH(D$4,База[#Headers],0))</f>
        <v>0</v>
      </c>
      <c r="E101" s="286" t="str">
        <f>INDEX(База[],MATCH(Пневматика_СВОДНАЯ_2026[[#This Row],[Обозначение]],База[Артикул],0),MATCH(E$4,База[#Headers],0))</f>
        <v>Комплект "ABS 2S/2M базовый W"</v>
      </c>
      <c r="F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10</v>
      </c>
      <c r="P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10</v>
      </c>
      <c r="Q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10</v>
      </c>
      <c r="R101" s="288">
        <f ca="1">SUM(Пневматика_СВОДНАЯ_2026[[#This Row],[П- 
01]:[П- 
12]])</f>
        <v>30</v>
      </c>
      <c r="S101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0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01" s="288">
        <f ca="1">SUM(Пневматика_СВОДНАЯ_2026[[#This Row],[Ф- 
01]:[Ф- 
12]])</f>
        <v>0</v>
      </c>
      <c r="AG101" s="520">
        <f ca="1">IF((Пневматика_СВОДНАЯ_2026[[#This Row],[П- 
2026]]+Пневматика_СВОДНАЯ_2026[[#This Row],[Ф- 
2026]])&gt;0,1,0)</f>
        <v>1</v>
      </c>
      <c r="AH101" s="289" t="str">
        <f>Пневматика_СВОДНАЯ_2026[[#This Row],[Прод]]&amp;"_"&amp;Пневматика_СВОДНАЯ_2026[[#This Row],[Обозначение]]</f>
        <v>S_4006061140К3</v>
      </c>
    </row>
    <row r="102" spans="1:34" ht="43.2">
      <c r="A102" s="282">
        <v>1</v>
      </c>
      <c r="B102" s="301">
        <v>4006043290</v>
      </c>
      <c r="C102" s="30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02" s="285" t="str">
        <f>INDEX(База[],MATCH(Пневматика_СВОДНАЯ_2026[[#This Row],[Обозначение]],База[Артикул],0),MATCH(D$4,База[#Headers],0))</f>
        <v>ОТС</v>
      </c>
      <c r="E102" s="304" t="str">
        <f>INDEX(База[],MATCH(Пневматика_СВОДНАЯ_2026[[#This Row],[Обозначение]],База[Артикул],0),MATCH(E$4,База[#Headers],0))</f>
        <v>Комплект головок соединительных (9522000210+95220022100, красные, М16х1,5)</v>
      </c>
      <c r="F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02" s="288">
        <f ca="1">SUM(Пневматика_СВОДНАЯ_2026[[#This Row],[П- 
01]:[П- 
12]])</f>
        <v>0</v>
      </c>
      <c r="S102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0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02" s="288">
        <f ca="1">SUM(Пневматика_СВОДНАЯ_2026[[#This Row],[Ф- 
01]:[Ф- 
12]])</f>
        <v>0</v>
      </c>
      <c r="AG102" s="520">
        <f ca="1">IF((Пневматика_СВОДНАЯ_2026[[#This Row],[П- 
2026]]+Пневматика_СВОДНАЯ_2026[[#This Row],[Ф- 
2026]])&gt;0,1,0)</f>
        <v>0</v>
      </c>
      <c r="AH102" s="300" t="str">
        <f>Пневматика_СВОДНАЯ_2026[[#This Row],[Прод]]&amp;"_"&amp;Пневматика_СВОДНАЯ_2026[[#This Row],[Обозначение]]</f>
        <v>1_4006043290</v>
      </c>
    </row>
    <row r="103" spans="1:34" ht="28.8">
      <c r="A103" s="282">
        <v>1</v>
      </c>
      <c r="B103" s="283">
        <v>4006043300</v>
      </c>
      <c r="C103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03" s="285" t="str">
        <f>INDEX(База[],MATCH(Пневматика_СВОДНАЯ_2026[[#This Row],[Обозначение]],База[Артикул],0),MATCH(D$4,База[#Headers],0))</f>
        <v>ОТС</v>
      </c>
      <c r="E103" s="286" t="str">
        <f>INDEX(База[],MATCH(Пневматика_СВОДНАЯ_2026[[#This Row],[Обозначение]],База[Артикул],0),MATCH(E$4,База[#Headers],0))</f>
        <v>Комплект головок соединительных (9522000220+95220022200, желтые, М16х1,5)</v>
      </c>
      <c r="F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03" s="288">
        <f ca="1">SUM(Пневматика_СВОДНАЯ_2026[[#This Row],[П- 
01]:[П- 
12]])</f>
        <v>0</v>
      </c>
      <c r="S103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0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03" s="288">
        <f ca="1">SUM(Пневматика_СВОДНАЯ_2026[[#This Row],[Ф- 
01]:[Ф- 
12]])</f>
        <v>0</v>
      </c>
      <c r="AG103" s="520">
        <f ca="1">IF((Пневматика_СВОДНАЯ_2026[[#This Row],[П- 
2026]]+Пневматика_СВОДНАЯ_2026[[#This Row],[Ф- 
2026]])&gt;0,1,0)</f>
        <v>0</v>
      </c>
      <c r="AH103" s="300" t="str">
        <f>Пневматика_СВОДНАЯ_2026[[#This Row],[Прод]]&amp;"_"&amp;Пневматика_СВОДНАЯ_2026[[#This Row],[Обозначение]]</f>
        <v>1_4006043300</v>
      </c>
    </row>
    <row r="104" spans="1:34">
      <c r="A104" s="282">
        <v>1</v>
      </c>
      <c r="B104" s="283">
        <v>4231069000</v>
      </c>
      <c r="C10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04" s="285" t="str">
        <f>INDEX(База[],MATCH(Пневматика_СВОДНАЯ_2026[[#This Row],[Обозначение]],База[Артикул],0),MATCH(D$4,База[#Headers],0))</f>
        <v>ТКЭА</v>
      </c>
      <c r="E104" s="286" t="str">
        <f>INDEX(База[],MATCH(Пневматика_СВОДНАЯ_2026[[#This Row],[Обозначение]],База[Артикул],0),MATCH(E$4,База[#Headers],0))</f>
        <v>Камера тормозная тип 24</v>
      </c>
      <c r="F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04" s="288">
        <f ca="1">SUM(Пневматика_СВОДНАЯ_2026[[#This Row],[П- 
01]:[П- 
12]])</f>
        <v>0</v>
      </c>
      <c r="S104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0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04" s="288">
        <f ca="1">SUM(Пневматика_СВОДНАЯ_2026[[#This Row],[Ф- 
01]:[Ф- 
12]])</f>
        <v>0</v>
      </c>
      <c r="AG104" s="520">
        <f ca="1">IF((Пневматика_СВОДНАЯ_2026[[#This Row],[П- 
2026]]+Пневматика_СВОДНАЯ_2026[[#This Row],[Ф- 
2026]])&gt;0,1,0)</f>
        <v>0</v>
      </c>
      <c r="AH104" s="289" t="str">
        <f>Пневматика_СВОДНАЯ_2026[[#This Row],[Прод]]&amp;"_"&amp;Пневматика_СВОДНАЯ_2026[[#This Row],[Обозначение]]</f>
        <v>1_4231069000</v>
      </c>
    </row>
    <row r="105" spans="1:34">
      <c r="A105" s="282">
        <v>1</v>
      </c>
      <c r="B105" s="301">
        <v>4460087000</v>
      </c>
      <c r="C105" s="30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05" s="285" t="str">
        <f>INDEX(База[],MATCH(Пневматика_СВОДНАЯ_2026[[#This Row],[Обозначение]],База[Артикул],0),MATCH(D$4,База[#Headers],0))</f>
        <v>/АБС/ЕБС</v>
      </c>
      <c r="E105" s="304" t="str">
        <f>INDEX(База[],MATCH(Пневматика_СВОДНАЯ_2026[[#This Row],[Обозначение]],База[Артикул],0),MATCH(E$4,База[#Headers],0))</f>
        <v>Кабель питания спиральный, 7-пин, ISO 7638</v>
      </c>
      <c r="F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05" s="288">
        <f ca="1">SUM(Пневматика_СВОДНАЯ_2026[[#This Row],[П- 
01]:[П- 
12]])</f>
        <v>0</v>
      </c>
      <c r="S105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0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05" s="288">
        <f ca="1">SUM(Пневматика_СВОДНАЯ_2026[[#This Row],[Ф- 
01]:[Ф- 
12]])</f>
        <v>0</v>
      </c>
      <c r="AG105" s="520">
        <f ca="1">IF((Пневматика_СВОДНАЯ_2026[[#This Row],[П- 
2026]]+Пневматика_СВОДНАЯ_2026[[#This Row],[Ф- 
2026]])&gt;0,1,0)</f>
        <v>0</v>
      </c>
      <c r="AH105" s="300" t="str">
        <f>Пневматика_СВОДНАЯ_2026[[#This Row],[Прод]]&amp;"_"&amp;Пневматика_СВОДНАЯ_2026[[#This Row],[Обозначение]]</f>
        <v>1_4460087000</v>
      </c>
    </row>
    <row r="106" spans="1:34">
      <c r="A106" s="282">
        <v>1</v>
      </c>
      <c r="B106" s="283">
        <v>4491731800</v>
      </c>
      <c r="C10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06" s="285" t="str">
        <f>INDEX(База[],MATCH(Пневматика_СВОДНАЯ_2026[[#This Row],[Обозначение]],База[Артикул],0),MATCH(D$4,База[#Headers],0))</f>
        <v>ЕБС</v>
      </c>
      <c r="E106" s="286" t="str">
        <f>INDEX(База[],MATCH(Пневматика_СВОДНАЯ_2026[[#This Row],[Обозначение]],База[Артикул],0),MATCH(E$4,База[#Headers],0))</f>
        <v>Кабель питания, 18 м</v>
      </c>
      <c r="F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06" s="288">
        <f ca="1">SUM(Пневматика_СВОДНАЯ_2026[[#This Row],[П- 
01]:[П- 
12]])</f>
        <v>0</v>
      </c>
      <c r="S106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0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06" s="288">
        <f ca="1">SUM(Пневматика_СВОДНАЯ_2026[[#This Row],[Ф- 
01]:[Ф- 
12]])</f>
        <v>0</v>
      </c>
      <c r="AG106" s="520">
        <f ca="1">IF((Пневматика_СВОДНАЯ_2026[[#This Row],[П- 
2026]]+Пневматика_СВОДНАЯ_2026[[#This Row],[Ф- 
2026]])&gt;0,1,0)</f>
        <v>0</v>
      </c>
      <c r="AH106" s="289" t="str">
        <f>Пневматика_СВОДНАЯ_2026[[#This Row],[Прод]]&amp;"_"&amp;Пневматика_СВОДНАЯ_2026[[#This Row],[Обозначение]]</f>
        <v>1_4491731800</v>
      </c>
    </row>
    <row r="107" spans="1:34">
      <c r="A107" s="282">
        <v>1</v>
      </c>
      <c r="B107" s="283">
        <v>4494301200</v>
      </c>
      <c r="C107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07" s="285" t="str">
        <f>INDEX(База[],MATCH(Пневматика_СВОДНАЯ_2026[[#This Row],[Обозначение]],База[Артикул],0),MATCH(D$4,База[#Headers],0))</f>
        <v>ЕБС</v>
      </c>
      <c r="E107" s="286" t="str">
        <f>INDEX(База[],MATCH(Пневматика_СВОДНАЯ_2026[[#This Row],[Обозначение]],База[Артикул],0),MATCH(E$4,База[#Headers],0))</f>
        <v>Кабель клапана ускорительного TEBS (12 м)</v>
      </c>
      <c r="F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07" s="437">
        <f ca="1">SUM(Пневматика_СВОДНАЯ_2026[[#This Row],[П- 
01]:[П- 
12]])</f>
        <v>0</v>
      </c>
      <c r="S107" s="455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0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07" s="437">
        <f ca="1">SUM(Пневматика_СВОДНАЯ_2026[[#This Row],[Ф- 
01]:[Ф- 
12]])</f>
        <v>0</v>
      </c>
      <c r="AG107" s="520">
        <f ca="1">IF((Пневматика_СВОДНАЯ_2026[[#This Row],[П- 
2026]]+Пневматика_СВОДНАЯ_2026[[#This Row],[Ф- 
2026]])&gt;0,1,0)</f>
        <v>0</v>
      </c>
      <c r="AH107" s="289" t="str">
        <f>Пневматика_СВОДНАЯ_2026[[#This Row],[Прод]]&amp;"_"&amp;Пневматика_СВОДНАЯ_2026[[#This Row],[Обозначение]]</f>
        <v>1_4494301200</v>
      </c>
    </row>
    <row r="108" spans="1:34">
      <c r="A108" s="282">
        <v>1</v>
      </c>
      <c r="B108" s="283">
        <v>4497230300</v>
      </c>
      <c r="C10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08" s="285" t="str">
        <f>INDEX(База[],MATCH(Пневматика_СВОДНАЯ_2026[[#This Row],[Обозначение]],База[Артикул],0),MATCH(D$4,База[#Headers],0))</f>
        <v>ЕБС</v>
      </c>
      <c r="E108" s="286" t="str">
        <f>INDEX(База[],MATCH(Пневматика_СВОДНАЯ_2026[[#This Row],[Обозначение]],База[Артикул],0),MATCH(E$4,База[#Headers],0))</f>
        <v>Кабель датчика АБС, 3 м</v>
      </c>
      <c r="F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08" s="437">
        <f ca="1">SUM(Пневматика_СВОДНАЯ_2026[[#This Row],[П- 
01]:[П- 
12]])</f>
        <v>0</v>
      </c>
      <c r="S108" s="455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0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08" s="437">
        <f ca="1">SUM(Пневматика_СВОДНАЯ_2026[[#This Row],[Ф- 
01]:[Ф- 
12]])</f>
        <v>0</v>
      </c>
      <c r="AG108" s="520">
        <f ca="1">IF((Пневматика_СВОДНАЯ_2026[[#This Row],[П- 
2026]]+Пневматика_СВОДНАЯ_2026[[#This Row],[Ф- 
2026]])&gt;0,1,0)</f>
        <v>0</v>
      </c>
      <c r="AH108" s="289" t="str">
        <f>Пневматика_СВОДНАЯ_2026[[#This Row],[Прод]]&amp;"_"&amp;Пневматика_СВОДНАЯ_2026[[#This Row],[Обозначение]]</f>
        <v>1_4497230300</v>
      </c>
    </row>
    <row r="109" spans="1:34">
      <c r="A109" s="282">
        <v>1</v>
      </c>
      <c r="B109" s="283">
        <v>4497230400</v>
      </c>
      <c r="C10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09" s="285" t="str">
        <f>INDEX(База[],MATCH(Пневматика_СВОДНАЯ_2026[[#This Row],[Обозначение]],База[Артикул],0),MATCH(D$4,База[#Headers],0))</f>
        <v>ЕБС</v>
      </c>
      <c r="E109" s="286" t="str">
        <f>INDEX(База[],MATCH(Пневматика_СВОДНАЯ_2026[[#This Row],[Обозначение]],База[Артикул],0),MATCH(E$4,База[#Headers],0))</f>
        <v>Кабель датчика АБС, 4 м</v>
      </c>
      <c r="F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09" s="288">
        <f ca="1">SUM(Пневматика_СВОДНАЯ_2026[[#This Row],[П- 
01]:[П- 
12]])</f>
        <v>0</v>
      </c>
      <c r="S109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0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09" s="288">
        <f ca="1">SUM(Пневматика_СВОДНАЯ_2026[[#This Row],[Ф- 
01]:[Ф- 
12]])</f>
        <v>0</v>
      </c>
      <c r="AG109" s="520">
        <f ca="1">IF((Пневматика_СВОДНАЯ_2026[[#This Row],[П- 
2026]]+Пневматика_СВОДНАЯ_2026[[#This Row],[Ф- 
2026]])&gt;0,1,0)</f>
        <v>0</v>
      </c>
      <c r="AH109" s="289" t="str">
        <f>Пневматика_СВОДНАЯ_2026[[#This Row],[Прод]]&amp;"_"&amp;Пневматика_СВОДНАЯ_2026[[#This Row],[Обозначение]]</f>
        <v>1_4497230400</v>
      </c>
    </row>
    <row r="110" spans="1:34">
      <c r="A110" s="282">
        <v>1</v>
      </c>
      <c r="B110" s="301">
        <v>4527110560</v>
      </c>
      <c r="C110" s="30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10" s="285" t="str">
        <f>INDEX(База[],MATCH(Пневматика_СВОДНАЯ_2026[[#This Row],[Обозначение]],База[Артикул],0),MATCH(D$4,База[#Headers],0))</f>
        <v>ОТС</v>
      </c>
      <c r="E110" s="304" t="str">
        <f>INDEX(База[],MATCH(Пневматика_СВОДНАЯ_2026[[#This Row],[Обозначение]],База[Артикул],0),MATCH(E$4,База[#Headers],0))</f>
        <v>Трубка спиральная (красная), М16х1,5</v>
      </c>
      <c r="F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10" s="288">
        <f ca="1">SUM(Пневматика_СВОДНАЯ_2026[[#This Row],[П- 
01]:[П- 
12]])</f>
        <v>0</v>
      </c>
      <c r="S110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1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10" s="288">
        <f ca="1">SUM(Пневматика_СВОДНАЯ_2026[[#This Row],[Ф- 
01]:[Ф- 
12]])</f>
        <v>0</v>
      </c>
      <c r="AG110" s="520">
        <f ca="1">IF((Пневматика_СВОДНАЯ_2026[[#This Row],[П- 
2026]]+Пневматика_СВОДНАЯ_2026[[#This Row],[Ф- 
2026]])&gt;0,1,0)</f>
        <v>0</v>
      </c>
      <c r="AH110" s="300" t="str">
        <f>Пневматика_СВОДНАЯ_2026[[#This Row],[Прод]]&amp;"_"&amp;Пневматика_СВОДНАЯ_2026[[#This Row],[Обозначение]]</f>
        <v>1_4527110560</v>
      </c>
    </row>
    <row r="111" spans="1:34">
      <c r="A111" s="282">
        <v>1</v>
      </c>
      <c r="B111" s="301">
        <v>4527110570</v>
      </c>
      <c r="C111" s="30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11" s="285" t="str">
        <f>INDEX(База[],MATCH(Пневматика_СВОДНАЯ_2026[[#This Row],[Обозначение]],База[Артикул],0),MATCH(D$4,База[#Headers],0))</f>
        <v>ОТС</v>
      </c>
      <c r="E111" s="304" t="str">
        <f>INDEX(База[],MATCH(Пневматика_СВОДНАЯ_2026[[#This Row],[Обозначение]],База[Артикул],0),MATCH(E$4,База[#Headers],0))</f>
        <v>Трубка спиральная (желтая), М16х1,5</v>
      </c>
      <c r="F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11" s="288">
        <f ca="1">SUM(Пневматика_СВОДНАЯ_2026[[#This Row],[П- 
01]:[П- 
12]])</f>
        <v>0</v>
      </c>
      <c r="S111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1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11" s="288">
        <f ca="1">SUM(Пневматика_СВОДНАЯ_2026[[#This Row],[Ф- 
01]:[Ф- 
12]])</f>
        <v>0</v>
      </c>
      <c r="AG111" s="520">
        <f ca="1">IF((Пневматика_СВОДНАЯ_2026[[#This Row],[П- 
2026]]+Пневматика_СВОДНАЯ_2026[[#This Row],[Ф- 
2026]])&gt;0,1,0)</f>
        <v>0</v>
      </c>
      <c r="AH111" s="300" t="str">
        <f>Пневматика_СВОДНАЯ_2026[[#This Row],[Прод]]&amp;"_"&amp;Пневматика_СВОДНАЯ_2026[[#This Row],[Обозначение]]</f>
        <v>1_4527110570</v>
      </c>
    </row>
    <row r="112" spans="1:34">
      <c r="A112" s="282">
        <v>1</v>
      </c>
      <c r="B112" s="283">
        <v>4802070010</v>
      </c>
      <c r="C112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12" s="285" t="str">
        <f>INDEX(База[],MATCH(Пневматика_СВОДНАЯ_2026[[#This Row],[Обозначение]],База[Артикул],0),MATCH(D$4,База[#Headers],0))</f>
        <v>ЕБС</v>
      </c>
      <c r="E112" s="286" t="str">
        <f>INDEX(База[],MATCH(Пневматика_СВОДНАЯ_2026[[#This Row],[Обозначение]],База[Артикул],0),MATCH(E$4,База[#Headers],0))</f>
        <v>Модулятор EBS</v>
      </c>
      <c r="F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12" s="288">
        <f ca="1">SUM(Пневматика_СВОДНАЯ_2026[[#This Row],[П- 
01]:[П- 
12]])</f>
        <v>0</v>
      </c>
      <c r="S112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1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12" s="288">
        <f ca="1">SUM(Пневматика_СВОДНАЯ_2026[[#This Row],[Ф- 
01]:[Ф- 
12]])</f>
        <v>0</v>
      </c>
      <c r="AG112" s="520">
        <f ca="1">IF((Пневматика_СВОДНАЯ_2026[[#This Row],[П- 
2026]]+Пневматика_СВОДНАЯ_2026[[#This Row],[Ф- 
2026]])&gt;0,1,0)</f>
        <v>0</v>
      </c>
      <c r="AH112" s="300" t="str">
        <f>Пневматика_СВОДНАЯ_2026[[#This Row],[Прод]]&amp;"_"&amp;Пневматика_СВОДНАЯ_2026[[#This Row],[Обозначение]]</f>
        <v>1_4802070010</v>
      </c>
    </row>
    <row r="113" spans="1:34">
      <c r="A113" s="282">
        <v>1</v>
      </c>
      <c r="B113" s="283" t="s">
        <v>149</v>
      </c>
      <c r="C113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13" s="285" t="str">
        <f>INDEX(База[],MATCH(Пневматика_СВОДНАЯ_2026[[#This Row],[Обозначение]],База[Артикул],0),MATCH(D$4,База[#Headers],0))</f>
        <v>Пневмоподвеска</v>
      </c>
      <c r="E113" s="286" t="str">
        <f>INDEX(База[],MATCH(Пневматика_СВОДНАЯ_2026[[#This Row],[Обозначение]],База[Артикул],0),MATCH(E$4,База[#Headers],0))</f>
        <v>Кран ручного управления</v>
      </c>
      <c r="F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13" s="288">
        <f ca="1">SUM(Пневматика_СВОДНАЯ_2026[[#This Row],[П- 
01]:[П- 
12]])</f>
        <v>0</v>
      </c>
      <c r="S113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1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13" s="288">
        <f ca="1">SUM(Пневматика_СВОДНАЯ_2026[[#This Row],[Ф- 
01]:[Ф- 
12]])</f>
        <v>0</v>
      </c>
      <c r="AG113" s="520">
        <f ca="1">IF((Пневматика_СВОДНАЯ_2026[[#This Row],[П- 
2026]]+Пневматика_СВОДНАЯ_2026[[#This Row],[Ф- 
2026]])&gt;0,1,0)</f>
        <v>0</v>
      </c>
      <c r="AH113" s="289" t="str">
        <f>Пневматика_СВОДНАЯ_2026[[#This Row],[Прод]]&amp;"_"&amp;Пневматика_СВОДНАЯ_2026[[#This Row],[Обозначение]]</f>
        <v>1_PRO0320200</v>
      </c>
    </row>
    <row r="114" spans="1:34">
      <c r="A114" s="282">
        <v>2</v>
      </c>
      <c r="B114" s="283">
        <v>4341000270</v>
      </c>
      <c r="C11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14" s="285" t="str">
        <f>INDEX(База[],MATCH(Пневматика_СВОДНАЯ_2026[[#This Row],[Обозначение]],База[Артикул],0),MATCH(D$4,База[#Headers],0))</f>
        <v>Универсальный</v>
      </c>
      <c r="E114" s="286" t="str">
        <f>INDEX(База[],MATCH(Пневматика_СВОДНАЯ_2026[[#This Row],[Обозначение]],База[Артикул],0),MATCH(E$4,База[#Headers],0))</f>
        <v>Клапан перепускной</v>
      </c>
      <c r="F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14" s="288">
        <f ca="1">SUM(Пневматика_СВОДНАЯ_2026[[#This Row],[П- 
01]:[П- 
12]])</f>
        <v>0</v>
      </c>
      <c r="S114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1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14" s="288">
        <f ca="1">SUM(Пневматика_СВОДНАЯ_2026[[#This Row],[Ф- 
01]:[Ф- 
12]])</f>
        <v>0</v>
      </c>
      <c r="AG114" s="520">
        <f ca="1">IF((Пневматика_СВОДНАЯ_2026[[#This Row],[П- 
2026]]+Пневматика_СВОДНАЯ_2026[[#This Row],[Ф- 
2026]])&gt;0,1,0)</f>
        <v>0</v>
      </c>
      <c r="AH114" s="289" t="str">
        <f>Пневматика_СВОДНАЯ_2026[[#This Row],[Прод]]&amp;"_"&amp;Пневматика_СВОДНАЯ_2026[[#This Row],[Обозначение]]</f>
        <v>2_4341000270</v>
      </c>
    </row>
    <row r="115" spans="1:34">
      <c r="A115" s="282">
        <v>2</v>
      </c>
      <c r="B115" s="283">
        <v>4462907000</v>
      </c>
      <c r="C115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15" s="285" t="str">
        <f>INDEX(База[],MATCH(Пневматика_СВОДНАЯ_2026[[#This Row],[Обозначение]],База[Артикул],0),MATCH(D$4,База[#Headers],0))</f>
        <v>ЕБС</v>
      </c>
      <c r="E115" s="286" t="str">
        <f>INDEX(База[],MATCH(Пневматика_СВОДНАЯ_2026[[#This Row],[Обозначение]],База[Артикул],0),MATCH(E$4,База[#Headers],0))</f>
        <v>Блок OptiLink</v>
      </c>
      <c r="F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15" s="288">
        <f ca="1">SUM(Пневматика_СВОДНАЯ_2026[[#This Row],[П- 
01]:[П- 
12]])</f>
        <v>0</v>
      </c>
      <c r="S115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1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15" s="288">
        <f ca="1">SUM(Пневматика_СВОДНАЯ_2026[[#This Row],[Ф- 
01]:[Ф- 
12]])</f>
        <v>0</v>
      </c>
      <c r="AG115" s="520">
        <f ca="1">IF((Пневматика_СВОДНАЯ_2026[[#This Row],[П- 
2026]]+Пневматика_СВОДНАЯ_2026[[#This Row],[Ф- 
2026]])&gt;0,1,0)</f>
        <v>0</v>
      </c>
      <c r="AH115" s="289" t="str">
        <f>Пневматика_СВОДНАЯ_2026[[#This Row],[Прод]]&amp;"_"&amp;Пневматика_СВОДНАЯ_2026[[#This Row],[Обозначение]]</f>
        <v>2_4462907000</v>
      </c>
    </row>
    <row r="116" spans="1:34">
      <c r="A116" s="282">
        <v>2</v>
      </c>
      <c r="B116" s="283">
        <v>4491350250</v>
      </c>
      <c r="C11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16" s="285" t="str">
        <f>INDEX(База[],MATCH(Пневматика_СВОДНАЯ_2026[[#This Row],[Обозначение]],База[Артикул],0),MATCH(D$4,База[#Headers],0))</f>
        <v>ЕБС</v>
      </c>
      <c r="E116" s="286" t="str">
        <f>INDEX(База[],MATCH(Пневматика_СВОДНАЯ_2026[[#This Row],[Обозначение]],База[Артикул],0),MATCH(E$4,База[#Headers],0))</f>
        <v>Кабель соединительный, 2,5 м</v>
      </c>
      <c r="F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16" s="288">
        <f ca="1">SUM(Пневматика_СВОДНАЯ_2026[[#This Row],[П- 
01]:[П- 
12]])</f>
        <v>0</v>
      </c>
      <c r="S116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1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16" s="288">
        <f ca="1">SUM(Пневматика_СВОДНАЯ_2026[[#This Row],[Ф- 
01]:[Ф- 
12]])</f>
        <v>0</v>
      </c>
      <c r="AG116" s="520">
        <f ca="1">IF((Пневматика_СВОДНАЯ_2026[[#This Row],[П- 
2026]]+Пневматика_СВОДНАЯ_2026[[#This Row],[Ф- 
2026]])&gt;0,1,0)</f>
        <v>0</v>
      </c>
      <c r="AH116" s="289" t="str">
        <f>Пневматика_СВОДНАЯ_2026[[#This Row],[Прод]]&amp;"_"&amp;Пневматика_СВОДНАЯ_2026[[#This Row],[Обозначение]]</f>
        <v>2_4491350250</v>
      </c>
    </row>
    <row r="117" spans="1:34">
      <c r="A117" s="282">
        <v>2</v>
      </c>
      <c r="B117" s="283">
        <v>4491351400</v>
      </c>
      <c r="C117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17" s="285" t="str">
        <f>INDEX(База[],MATCH(Пневматика_СВОДНАЯ_2026[[#This Row],[Обозначение]],База[Артикул],0),MATCH(D$4,База[#Headers],0))</f>
        <v>ЕБС</v>
      </c>
      <c r="E117" s="286" t="str">
        <f>INDEX(База[],MATCH(Пневматика_СВОДНАЯ_2026[[#This Row],[Обозначение]],База[Артикул],0),MATCH(E$4,База[#Headers],0))</f>
        <v>Кабель соединительный, 14 м</v>
      </c>
      <c r="F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17" s="288">
        <f ca="1">SUM(Пневматика_СВОДНАЯ_2026[[#This Row],[П- 
01]:[П- 
12]])</f>
        <v>0</v>
      </c>
      <c r="S117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1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17" s="288">
        <f ca="1">SUM(Пневматика_СВОДНАЯ_2026[[#This Row],[Ф- 
01]:[Ф- 
12]])</f>
        <v>0</v>
      </c>
      <c r="AG117" s="520">
        <f ca="1">IF((Пневматика_СВОДНАЯ_2026[[#This Row],[П- 
2026]]+Пневматика_СВОДНАЯ_2026[[#This Row],[Ф- 
2026]])&gt;0,1,0)</f>
        <v>0</v>
      </c>
      <c r="AH117" s="289" t="str">
        <f>Пневматика_СВОДНАЯ_2026[[#This Row],[Прод]]&amp;"_"&amp;Пневматика_СВОДНАЯ_2026[[#This Row],[Обозначение]]</f>
        <v>2_4491351400</v>
      </c>
    </row>
    <row r="118" spans="1:34">
      <c r="A118" s="282">
        <v>2</v>
      </c>
      <c r="B118" s="283">
        <v>4492251200</v>
      </c>
      <c r="C11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18" s="285" t="str">
        <f>INDEX(База[],MATCH(Пневматика_СВОДНАЯ_2026[[#This Row],[Обозначение]],База[Артикул],0),MATCH(D$4,База[#Headers],0))</f>
        <v>АБС</v>
      </c>
      <c r="E118" s="286" t="str">
        <f>INDEX(База[],MATCH(Пневматика_СВОДНАЯ_2026[[#This Row],[Обозначение]],База[Артикул],0),MATCH(E$4,База[#Headers],0))</f>
        <v>Кабель питания для прицепа, 12 м</v>
      </c>
      <c r="F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18" s="288">
        <f ca="1">SUM(Пневматика_СВОДНАЯ_2026[[#This Row],[П- 
01]:[П- 
12]])</f>
        <v>0</v>
      </c>
      <c r="S118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1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18" s="288">
        <f ca="1">SUM(Пневматика_СВОДНАЯ_2026[[#This Row],[Ф- 
01]:[Ф- 
12]])</f>
        <v>0</v>
      </c>
      <c r="AG118" s="520">
        <f ca="1">IF((Пневматика_СВОДНАЯ_2026[[#This Row],[П- 
2026]]+Пневматика_СВОДНАЯ_2026[[#This Row],[Ф- 
2026]])&gt;0,1,0)</f>
        <v>0</v>
      </c>
      <c r="AH118" s="289" t="str">
        <f>Пневматика_СВОДНАЯ_2026[[#This Row],[Прод]]&amp;"_"&amp;Пневматика_СВОДНАЯ_2026[[#This Row],[Обозначение]]</f>
        <v>2_4492251200</v>
      </c>
    </row>
    <row r="119" spans="1:34">
      <c r="A119" s="282">
        <v>2</v>
      </c>
      <c r="B119" s="283">
        <v>4492331400</v>
      </c>
      <c r="C11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19" s="285" t="str">
        <f>INDEX(База[],MATCH(Пневматика_СВОДНАЯ_2026[[#This Row],[Обозначение]],База[Артикул],0),MATCH(D$4,База[#Headers],0))</f>
        <v>ЕБС</v>
      </c>
      <c r="E119" s="286" t="str">
        <f>INDEX(База[],MATCH(Пневматика_СВОДНАЯ_2026[[#This Row],[Обозначение]],База[Артикул],0),MATCH(E$4,База[#Headers],0))</f>
        <v>Кабель соединительный, 14 м</v>
      </c>
      <c r="F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19" s="288">
        <f ca="1">SUM(Пневматика_СВОДНАЯ_2026[[#This Row],[П- 
01]:[П- 
12]])</f>
        <v>0</v>
      </c>
      <c r="S119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1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19" s="288">
        <f ca="1">SUM(Пневматика_СВОДНАЯ_2026[[#This Row],[Ф- 
01]:[Ф- 
12]])</f>
        <v>0</v>
      </c>
      <c r="AG119" s="520">
        <f ca="1">IF((Пневматика_СВОДНАЯ_2026[[#This Row],[П- 
2026]]+Пневматика_СВОДНАЯ_2026[[#This Row],[Ф- 
2026]])&gt;0,1,0)</f>
        <v>0</v>
      </c>
      <c r="AH119" s="289" t="str">
        <f>Пневматика_СВОДНАЯ_2026[[#This Row],[Прод]]&amp;"_"&amp;Пневматика_СВОДНАЯ_2026[[#This Row],[Обозначение]]</f>
        <v>2_4492331400</v>
      </c>
    </row>
    <row r="120" spans="1:34">
      <c r="A120" s="282">
        <v>2</v>
      </c>
      <c r="B120" s="283">
        <v>4492331800</v>
      </c>
      <c r="C12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20" s="285" t="str">
        <f>INDEX(База[],MATCH(Пневматика_СВОДНАЯ_2026[[#This Row],[Обозначение]],База[Артикул],0),MATCH(D$4,База[#Headers],0))</f>
        <v>ЕБС</v>
      </c>
      <c r="E120" s="286" t="str">
        <f>INDEX(База[],MATCH(Пневматика_СВОДНАЯ_2026[[#This Row],[Обозначение]],База[Артикул],0),MATCH(E$4,База[#Headers],0))</f>
        <v>Кабель соединительный, 18 м</v>
      </c>
      <c r="F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20" s="288">
        <f ca="1">SUM(Пневматика_СВОДНАЯ_2026[[#This Row],[П- 
01]:[П- 
12]])</f>
        <v>0</v>
      </c>
      <c r="S120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2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20" s="288">
        <f ca="1">SUM(Пневматика_СВОДНАЯ_2026[[#This Row],[Ф- 
01]:[Ф- 
12]])</f>
        <v>0</v>
      </c>
      <c r="AG120" s="520">
        <f ca="1">IF((Пневматика_СВОДНАЯ_2026[[#This Row],[П- 
2026]]+Пневматика_СВОДНАЯ_2026[[#This Row],[Ф- 
2026]])&gt;0,1,0)</f>
        <v>0</v>
      </c>
      <c r="AH120" s="289" t="str">
        <f>Пневматика_СВОДНАЯ_2026[[#This Row],[Прод]]&amp;"_"&amp;Пневматика_СВОДНАЯ_2026[[#This Row],[Обозначение]]</f>
        <v>2_4492331800</v>
      </c>
    </row>
    <row r="121" spans="1:34">
      <c r="A121" s="282">
        <v>2</v>
      </c>
      <c r="B121" s="283">
        <v>4492731200</v>
      </c>
      <c r="C121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21" s="285" t="str">
        <f>INDEX(База[],MATCH(Пневматика_СВОДНАЯ_2026[[#This Row],[Обозначение]],База[Артикул],0),MATCH(D$4,База[#Headers],0))</f>
        <v>ЕБС</v>
      </c>
      <c r="E121" s="286" t="str">
        <f>INDEX(База[],MATCH(Пневматика_СВОДНАЯ_2026[[#This Row],[Обозначение]],База[Артикул],0),MATCH(E$4,База[#Headers],0))</f>
        <v>Кабель питания для прицепа, 12 м</v>
      </c>
      <c r="F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21" s="288">
        <f ca="1">SUM(Пневматика_СВОДНАЯ_2026[[#This Row],[П- 
01]:[П- 
12]])</f>
        <v>0</v>
      </c>
      <c r="S121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2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21" s="288">
        <f ca="1">SUM(Пневматика_СВОДНАЯ_2026[[#This Row],[Ф- 
01]:[Ф- 
12]])</f>
        <v>0</v>
      </c>
      <c r="AG121" s="520">
        <f ca="1">IF((Пневматика_СВОДНАЯ_2026[[#This Row],[П- 
2026]]+Пневматика_СВОДНАЯ_2026[[#This Row],[Ф- 
2026]])&gt;0,1,0)</f>
        <v>0</v>
      </c>
      <c r="AH121" s="289" t="str">
        <f>Пневматика_СВОДНАЯ_2026[[#This Row],[Прод]]&amp;"_"&amp;Пневматика_СВОДНАЯ_2026[[#This Row],[Обозначение]]</f>
        <v>2_4492731200</v>
      </c>
    </row>
    <row r="122" spans="1:34">
      <c r="A122" s="282">
        <v>2</v>
      </c>
      <c r="B122" s="283">
        <v>4494250300</v>
      </c>
      <c r="C122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22" s="285" t="str">
        <f>INDEX(База[],MATCH(Пневматика_СВОДНАЯ_2026[[#This Row],[Обозначение]],База[Артикул],0),MATCH(D$4,База[#Headers],0))</f>
        <v>ЕБС</v>
      </c>
      <c r="E122" s="286" t="str">
        <f>INDEX(База[],MATCH(Пневматика_СВОДНАЯ_2026[[#This Row],[Обозначение]],База[Артикул],0),MATCH(E$4,База[#Headers],0))</f>
        <v>Кабель датчика давления, 3 м</v>
      </c>
      <c r="F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22" s="288">
        <f ca="1">SUM(Пневматика_СВОДНАЯ_2026[[#This Row],[П- 
01]:[П- 
12]])</f>
        <v>0</v>
      </c>
      <c r="S122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2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22" s="288">
        <f ca="1">SUM(Пневматика_СВОДНАЯ_2026[[#This Row],[Ф- 
01]:[Ф- 
12]])</f>
        <v>0</v>
      </c>
      <c r="AG122" s="520">
        <f ca="1">IF((Пневматика_СВОДНАЯ_2026[[#This Row],[П- 
2026]]+Пневматика_СВОДНАЯ_2026[[#This Row],[Ф- 
2026]])&gt;0,1,0)</f>
        <v>0</v>
      </c>
      <c r="AH122" s="289" t="str">
        <f>Пневматика_СВОДНАЯ_2026[[#This Row],[Прод]]&amp;"_"&amp;Пневматика_СВОДНАЯ_2026[[#This Row],[Обозначение]]</f>
        <v>2_4494250300</v>
      </c>
    </row>
    <row r="123" spans="1:34">
      <c r="A123" s="290">
        <v>2</v>
      </c>
      <c r="B123" s="291">
        <v>4494290100</v>
      </c>
      <c r="C123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23" s="293" t="str">
        <f>INDEX(База[],MATCH(Пневматика_СВОДНАЯ_2026[[#This Row],[Обозначение]],База[Артикул],0),MATCH(D$4,База[#Headers],0))</f>
        <v>ЕБС</v>
      </c>
      <c r="E123" s="294" t="str">
        <f>INDEX(База[],MATCH(Пневматика_СВОДНАЯ_2026[[#This Row],[Обозначение]],База[Артикул],0),MATCH(E$4,База[#Headers],0))</f>
        <v>Кабель модулятора EBS, 1 м</v>
      </c>
      <c r="F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23" s="296">
        <f ca="1">SUM(Пневматика_СВОДНАЯ_2026[[#This Row],[П- 
01]:[П- 
12]])</f>
        <v>0</v>
      </c>
      <c r="S123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23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23" s="296">
        <f ca="1">SUM(Пневматика_СВОДНАЯ_2026[[#This Row],[Ф- 
01]:[Ф- 
12]])</f>
        <v>0</v>
      </c>
      <c r="AG123" s="521">
        <f ca="1">IF((Пневматика_СВОДНАЯ_2026[[#This Row],[П- 
2026]]+Пневматика_СВОДНАЯ_2026[[#This Row],[Ф- 
2026]])&gt;0,1,0)</f>
        <v>0</v>
      </c>
      <c r="AH123" s="299" t="str">
        <f>Пневматика_СВОДНАЯ_2026[[#This Row],[Прод]]&amp;"_"&amp;Пневматика_СВОДНАЯ_2026[[#This Row],[Обозначение]]</f>
        <v>2_4494290100</v>
      </c>
    </row>
    <row r="124" spans="1:34">
      <c r="A124" s="290">
        <v>2</v>
      </c>
      <c r="B124" s="291">
        <v>4494290800</v>
      </c>
      <c r="C124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24" s="293" t="str">
        <f>INDEX(База[],MATCH(Пневматика_СВОДНАЯ_2026[[#This Row],[Обозначение]],База[Артикул],0),MATCH(D$4,База[#Headers],0))</f>
        <v>ЕБС</v>
      </c>
      <c r="E124" s="294" t="str">
        <f>INDEX(База[],MATCH(Пневматика_СВОДНАЯ_2026[[#This Row],[Обозначение]],База[Артикул],0),MATCH(E$4,База[#Headers],0))</f>
        <v>Кабель модулятора EBS, 8 м</v>
      </c>
      <c r="F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24" s="296">
        <f ca="1">SUM(Пневматика_СВОДНАЯ_2026[[#This Row],[П- 
01]:[П- 
12]])</f>
        <v>0</v>
      </c>
      <c r="S124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24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24" s="296">
        <f ca="1">SUM(Пневматика_СВОДНАЯ_2026[[#This Row],[Ф- 
01]:[Ф- 
12]])</f>
        <v>0</v>
      </c>
      <c r="AG124" s="521">
        <f ca="1">IF((Пневматика_СВОДНАЯ_2026[[#This Row],[П- 
2026]]+Пневматика_СВОДНАЯ_2026[[#This Row],[Ф- 
2026]])&gt;0,1,0)</f>
        <v>0</v>
      </c>
      <c r="AH124" s="297" t="str">
        <f>Пневматика_СВОДНАЯ_2026[[#This Row],[Прод]]&amp;"_"&amp;Пневматика_СВОДНАЯ_2026[[#This Row],[Обозначение]]</f>
        <v>2_4494290800</v>
      </c>
    </row>
    <row r="125" spans="1:34">
      <c r="A125" s="290">
        <v>2</v>
      </c>
      <c r="B125" s="291">
        <v>4494291300</v>
      </c>
      <c r="C125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25" s="293" t="str">
        <f>INDEX(База[],MATCH(Пневматика_СВОДНАЯ_2026[[#This Row],[Обозначение]],База[Артикул],0),MATCH(D$4,База[#Headers],0))</f>
        <v>ЕБС</v>
      </c>
      <c r="E125" s="294" t="str">
        <f>INDEX(База[],MATCH(Пневматика_СВОДНАЯ_2026[[#This Row],[Обозначение]],База[Артикул],0),MATCH(E$4,База[#Headers],0))</f>
        <v>Кабель модулятора EBS, 13 м</v>
      </c>
      <c r="F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25" s="296">
        <f ca="1">SUM(Пневматика_СВОДНАЯ_2026[[#This Row],[П- 
01]:[П- 
12]])</f>
        <v>0</v>
      </c>
      <c r="S125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25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25" s="296">
        <f ca="1">SUM(Пневматика_СВОДНАЯ_2026[[#This Row],[Ф- 
01]:[Ф- 
12]])</f>
        <v>0</v>
      </c>
      <c r="AG125" s="521">
        <f ca="1">IF((Пневматика_СВОДНАЯ_2026[[#This Row],[П- 
2026]]+Пневматика_СВОДНАЯ_2026[[#This Row],[Ф- 
2026]])&gt;0,1,0)</f>
        <v>0</v>
      </c>
      <c r="AH125" s="297" t="str">
        <f>Пневматика_СВОДНАЯ_2026[[#This Row],[Прод]]&amp;"_"&amp;Пневматика_СВОДНАЯ_2026[[#This Row],[Обозначение]]</f>
        <v>2_4494291300</v>
      </c>
    </row>
    <row r="126" spans="1:34">
      <c r="A126" s="290">
        <v>2</v>
      </c>
      <c r="B126" s="291">
        <v>4495351500</v>
      </c>
      <c r="C126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26" s="293" t="str">
        <f>INDEX(База[],MATCH(Пневматика_СВОДНАЯ_2026[[#This Row],[Обозначение]],База[Артикул],0),MATCH(D$4,База[#Headers],0))</f>
        <v>ЕБС</v>
      </c>
      <c r="E126" s="294" t="str">
        <f>INDEX(База[],MATCH(Пневматика_СВОДНАЯ_2026[[#This Row],[Обозначение]],База[Артикул],0),MATCH(E$4,База[#Headers],0))</f>
        <v>Кабель универсальный, 15 м</v>
      </c>
      <c r="F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26" s="296">
        <f ca="1">SUM(Пневматика_СВОДНАЯ_2026[[#This Row],[П- 
01]:[П- 
12]])</f>
        <v>0</v>
      </c>
      <c r="S126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26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26" s="296">
        <f ca="1">SUM(Пневматика_СВОДНАЯ_2026[[#This Row],[Ф- 
01]:[Ф- 
12]])</f>
        <v>0</v>
      </c>
      <c r="AG126" s="521">
        <f ca="1">IF((Пневматика_СВОДНАЯ_2026[[#This Row],[П- 
2026]]+Пневматика_СВОДНАЯ_2026[[#This Row],[Ф- 
2026]])&gt;0,1,0)</f>
        <v>0</v>
      </c>
      <c r="AH126" s="297" t="str">
        <f>Пневматика_СВОДНАЯ_2026[[#This Row],[Прод]]&amp;"_"&amp;Пневматика_СВОДНАЯ_2026[[#This Row],[Обозначение]]</f>
        <v>2_4495351500</v>
      </c>
    </row>
    <row r="127" spans="1:34">
      <c r="A127" s="282">
        <v>2</v>
      </c>
      <c r="B127" s="283">
        <v>4498121800</v>
      </c>
      <c r="C127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27" s="285" t="str">
        <f>INDEX(База[],MATCH(Пневматика_СВОДНАЯ_2026[[#This Row],[Обозначение]],База[Артикул],0),MATCH(D$4,База[#Headers],0))</f>
        <v>ЕБС</v>
      </c>
      <c r="E127" s="286" t="str">
        <f>INDEX(База[],MATCH(Пневматика_СВОДНАЯ_2026[[#This Row],[Обозначение]],База[Артикул],0),MATCH(E$4,База[#Headers],0))</f>
        <v>Кабель датчика давления, 18 м</v>
      </c>
      <c r="F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27" s="288">
        <f ca="1">SUM(Пневматика_СВОДНАЯ_2026[[#This Row],[П- 
01]:[П- 
12]])</f>
        <v>0</v>
      </c>
      <c r="S127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2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27" s="288">
        <f ca="1">SUM(Пневматика_СВОДНАЯ_2026[[#This Row],[Ф- 
01]:[Ф- 
12]])</f>
        <v>0</v>
      </c>
      <c r="AG127" s="520">
        <f ca="1">IF((Пневматика_СВОДНАЯ_2026[[#This Row],[П- 
2026]]+Пневматика_СВОДНАЯ_2026[[#This Row],[Ф- 
2026]])&gt;0,1,0)</f>
        <v>0</v>
      </c>
      <c r="AH127" s="289" t="str">
        <f>Пневматика_СВОДНАЯ_2026[[#This Row],[Прод]]&amp;"_"&amp;Пневматика_СВОДНАЯ_2026[[#This Row],[Обозначение]]</f>
        <v>2_4498121800</v>
      </c>
    </row>
    <row r="128" spans="1:34">
      <c r="A128" s="282">
        <v>2</v>
      </c>
      <c r="B128" s="283">
        <v>4499271200</v>
      </c>
      <c r="C128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28" s="285" t="str">
        <f>INDEX(База[],MATCH(Пневматика_СВОДНАЯ_2026[[#This Row],[Обозначение]],База[Артикул],0),MATCH(D$4,База[#Headers],0))</f>
        <v>ЕБС</v>
      </c>
      <c r="E128" s="286" t="str">
        <f>INDEX(База[],MATCH(Пневматика_СВОДНАЯ_2026[[#This Row],[Обозначение]],База[Артикул],0),MATCH(E$4,База[#Headers],0))</f>
        <v>Кабель OptiLink/OptiTire (12 м)</v>
      </c>
      <c r="F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28" s="288">
        <f ca="1">SUM(Пневматика_СВОДНАЯ_2026[[#This Row],[П- 
01]:[П- 
12]])</f>
        <v>0</v>
      </c>
      <c r="S128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28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28" s="288">
        <f ca="1">SUM(Пневматика_СВОДНАЯ_2026[[#This Row],[Ф- 
01]:[Ф- 
12]])</f>
        <v>0</v>
      </c>
      <c r="AG128" s="520">
        <f ca="1">IF((Пневматика_СВОДНАЯ_2026[[#This Row],[П- 
2026]]+Пневматика_СВОДНАЯ_2026[[#This Row],[Ф- 
2026]])&gt;0,1,0)</f>
        <v>0</v>
      </c>
      <c r="AH128" s="289" t="str">
        <f>Пневматика_СВОДНАЯ_2026[[#This Row],[Прод]]&amp;"_"&amp;Пневматика_СВОДНАЯ_2026[[#This Row],[Обозначение]]</f>
        <v>2_4499271200</v>
      </c>
    </row>
    <row r="129" spans="1:34">
      <c r="A129" s="282">
        <v>2</v>
      </c>
      <c r="B129" s="283">
        <v>4615130020</v>
      </c>
      <c r="C12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29" s="285" t="str">
        <f>INDEX(База[],MATCH(Пневматика_СВОДНАЯ_2026[[#This Row],[Обозначение]],База[Артикул],0),MATCH(D$4,База[#Headers],0))</f>
        <v>ЕБС</v>
      </c>
      <c r="E129" s="286" t="str">
        <f>INDEX(База[],MATCH(Пневматика_СВОДНАЯ_2026[[#This Row],[Обозначение]],База[Артикул],0),MATCH(E$4,База[#Headers],0))</f>
        <v>Пневматический расширительный модуль</v>
      </c>
      <c r="F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29" s="288">
        <f ca="1">SUM(Пневматика_СВОДНАЯ_2026[[#This Row],[П- 
01]:[П- 
12]])</f>
        <v>0</v>
      </c>
      <c r="S129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2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29" s="288">
        <f ca="1">SUM(Пневматика_СВОДНАЯ_2026[[#This Row],[Ф- 
01]:[Ф- 
12]])</f>
        <v>0</v>
      </c>
      <c r="AG129" s="520">
        <f ca="1">IF((Пневматика_СВОДНАЯ_2026[[#This Row],[П- 
2026]]+Пневматика_СВОДНАЯ_2026[[#This Row],[Ф- 
2026]])&gt;0,1,0)</f>
        <v>0</v>
      </c>
      <c r="AH129" s="289" t="str">
        <f>Пневматика_СВОДНАЯ_2026[[#This Row],[Прод]]&amp;"_"&amp;Пневматика_СВОДНАЯ_2026[[#This Row],[Обозначение]]</f>
        <v>2_4615130020</v>
      </c>
    </row>
    <row r="130" spans="1:34">
      <c r="A130" s="282">
        <v>2</v>
      </c>
      <c r="B130" s="283">
        <v>4757145000</v>
      </c>
      <c r="C130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30" s="285" t="str">
        <f>INDEX(База[],MATCH(Пневматика_СВОДНАЯ_2026[[#This Row],[Обозначение]],База[Артикул],0),MATCH(D$4,База[#Headers],0))</f>
        <v>АБС</v>
      </c>
      <c r="E130" s="286" t="str">
        <f>INDEX(База[],MATCH(Пневматика_СВОДНАЯ_2026[[#This Row],[Обозначение]],База[Артикул],0),MATCH(E$4,База[#Headers],0))</f>
        <v>Регулятор тормозных сил</v>
      </c>
      <c r="F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30" s="288">
        <f ca="1">SUM(Пневматика_СВОДНАЯ_2026[[#This Row],[П- 
01]:[П- 
12]])</f>
        <v>0</v>
      </c>
      <c r="S130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30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30" s="288">
        <f ca="1">SUM(Пневматика_СВОДНАЯ_2026[[#This Row],[Ф- 
01]:[Ф- 
12]])</f>
        <v>0</v>
      </c>
      <c r="AG130" s="520">
        <f ca="1">IF((Пневматика_СВОДНАЯ_2026[[#This Row],[П- 
2026]]+Пневматика_СВОДНАЯ_2026[[#This Row],[Ф- 
2026]])&gt;0,1,0)</f>
        <v>0</v>
      </c>
      <c r="AH130" s="289" t="str">
        <f>Пневматика_СВОДНАЯ_2026[[#This Row],[Прод]]&amp;"_"&amp;Пневматика_СВОДНАЯ_2026[[#This Row],[Обозначение]]</f>
        <v>2_4757145000</v>
      </c>
    </row>
    <row r="131" spans="1:34">
      <c r="A131" s="282">
        <v>2</v>
      </c>
      <c r="B131" s="283">
        <v>4802070010</v>
      </c>
      <c r="C131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31" s="285" t="str">
        <f>INDEX(База[],MATCH(Пневматика_СВОДНАЯ_2026[[#This Row],[Обозначение]],База[Артикул],0),MATCH(D$4,База[#Headers],0))</f>
        <v>ЕБС</v>
      </c>
      <c r="E131" s="286" t="str">
        <f>INDEX(База[],MATCH(Пневматика_СВОДНАЯ_2026[[#This Row],[Обозначение]],База[Артикул],0),MATCH(E$4,База[#Headers],0))</f>
        <v>Модулятор EBS</v>
      </c>
      <c r="F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31" s="288">
        <f ca="1">SUM(Пневматика_СВОДНАЯ_2026[[#This Row],[П- 
01]:[П- 
12]])</f>
        <v>0</v>
      </c>
      <c r="S131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31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31" s="288">
        <f ca="1">SUM(Пневматика_СВОДНАЯ_2026[[#This Row],[Ф- 
01]:[Ф- 
12]])</f>
        <v>0</v>
      </c>
      <c r="AG131" s="520">
        <f ca="1">IF((Пневматика_СВОДНАЯ_2026[[#This Row],[П- 
2026]]+Пневматика_СВОДНАЯ_2026[[#This Row],[Ф- 
2026]])&gt;0,1,0)</f>
        <v>0</v>
      </c>
      <c r="AH131" s="289" t="str">
        <f>Пневматика_СВОДНАЯ_2026[[#This Row],[Прод]]&amp;"_"&amp;Пневматика_СВОДНАЯ_2026[[#This Row],[Обозначение]]</f>
        <v>2_4802070010</v>
      </c>
    </row>
    <row r="132" spans="1:34">
      <c r="A132" s="282">
        <v>2</v>
      </c>
      <c r="B132" s="283">
        <v>8282520016</v>
      </c>
      <c r="C132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32" s="285" t="str">
        <f>INDEX(База[],MATCH(Пневматика_СВОДНАЯ_2026[[#This Row],[Обозначение]],База[Артикул],0),MATCH(D$4,База[#Headers],0))</f>
        <v>Трубка</v>
      </c>
      <c r="E132" s="286" t="str">
        <f>INDEX(База[],MATCH(Пневматика_СВОДНАЯ_2026[[#This Row],[Обозначение]],База[Артикул],0),MATCH(E$4,База[#Headers],0))</f>
        <v>Трубка пластиковая 12x1,5, бухта 500м</v>
      </c>
      <c r="F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32" s="288">
        <f ca="1">SUM(Пневматика_СВОДНАЯ_2026[[#This Row],[П- 
01]:[П- 
12]])</f>
        <v>0</v>
      </c>
      <c r="S132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32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32" s="288">
        <f ca="1">SUM(Пневматика_СВОДНАЯ_2026[[#This Row],[Ф- 
01]:[Ф- 
12]])</f>
        <v>0</v>
      </c>
      <c r="AG132" s="520">
        <f ca="1">IF((Пневматика_СВОДНАЯ_2026[[#This Row],[П- 
2026]]+Пневматика_СВОДНАЯ_2026[[#This Row],[Ф- 
2026]])&gt;0,1,0)</f>
        <v>0</v>
      </c>
      <c r="AH132" s="289" t="str">
        <f>Пневматика_СВОДНАЯ_2026[[#This Row],[Прод]]&amp;"_"&amp;Пневматика_СВОДНАЯ_2026[[#This Row],[Обозначение]]</f>
        <v>2_8282520016</v>
      </c>
    </row>
    <row r="133" spans="1:34" ht="28.8">
      <c r="A133" s="282">
        <v>2</v>
      </c>
      <c r="B133" s="283">
        <v>9735000510</v>
      </c>
      <c r="C133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33" s="285" t="str">
        <f>INDEX(База[],MATCH(Пневматика_СВОДНАЯ_2026[[#This Row],[Обозначение]],База[Артикул],0),MATCH(D$4,База[#Headers],0))</f>
        <v>ОТС</v>
      </c>
      <c r="E133" s="286" t="str">
        <f>INDEX(База[],MATCH(Пневматика_СВОДНАЯ_2026[[#This Row],[Обозначение]],База[Артикул],0),MATCH(E$4,База[#Headers],0))</f>
        <v>Клапан быстрого растормаживания энергоаккумуляторов</v>
      </c>
      <c r="F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2</v>
      </c>
      <c r="L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33" s="288">
        <f ca="1">SUM(Пневматика_СВОДНАЯ_2026[[#This Row],[П- 
01]:[П- 
12]])</f>
        <v>2</v>
      </c>
      <c r="S133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&gt;</v>
      </c>
      <c r="T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33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33" s="288">
        <f ca="1">SUM(Пневматика_СВОДНАЯ_2026[[#This Row],[Ф- 
01]:[Ф- 
12]])</f>
        <v>0</v>
      </c>
      <c r="AG133" s="520">
        <f ca="1">IF((Пневматика_СВОДНАЯ_2026[[#This Row],[П- 
2026]]+Пневматика_СВОДНАЯ_2026[[#This Row],[Ф- 
2026]])&gt;0,1,0)</f>
        <v>1</v>
      </c>
      <c r="AH133" s="289" t="str">
        <f>Пневматика_СВОДНАЯ_2026[[#This Row],[Прод]]&amp;"_"&amp;Пневматика_СВОДНАЯ_2026[[#This Row],[Обозначение]]</f>
        <v>2_9735000510</v>
      </c>
    </row>
    <row r="134" spans="1:34">
      <c r="A134" s="282" t="s">
        <v>89</v>
      </c>
      <c r="B134" s="283">
        <v>4441000090</v>
      </c>
      <c r="C134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34" s="285">
        <f>INDEX(База[],MATCH(Пневматика_СВОДНАЯ_2026[[#This Row],[Обозначение]],База[Артикул],0),MATCH(D$4,База[#Headers],0))</f>
        <v>0</v>
      </c>
      <c r="E134" s="286" t="str">
        <f>INDEX(База[],MATCH(Пневматика_СВОДНАЯ_2026[[#This Row],[Обозначение]],База[Артикул],0),MATCH(E$4,База[#Headers],0))</f>
        <v>Комплект базовый "ABS W 4S/3M (12 м)"</v>
      </c>
      <c r="F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34" s="288">
        <f ca="1">SUM(Пневматика_СВОДНАЯ_2026[[#This Row],[П- 
01]:[П- 
12]])</f>
        <v>0</v>
      </c>
      <c r="S134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34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34" s="288">
        <f ca="1">SUM(Пневматика_СВОДНАЯ_2026[[#This Row],[Ф- 
01]:[Ф- 
12]])</f>
        <v>0</v>
      </c>
      <c r="AG134" s="520">
        <f ca="1">IF((Пневматика_СВОДНАЯ_2026[[#This Row],[П- 
2026]]+Пневматика_СВОДНАЯ_2026[[#This Row],[Ф- 
2026]])&gt;0,1,0)</f>
        <v>0</v>
      </c>
      <c r="AH134" s="289" t="str">
        <f>Пневматика_СВОДНАЯ_2026[[#This Row],[Прод]]&amp;"_"&amp;Пневматика_СВОДНАЯ_2026[[#This Row],[Обозначение]]</f>
        <v>S_4441000090</v>
      </c>
    </row>
    <row r="135" spans="1:34">
      <c r="A135" s="282" t="s">
        <v>89</v>
      </c>
      <c r="B135" s="283">
        <v>4441000100</v>
      </c>
      <c r="C135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35" s="285">
        <f>INDEX(База[],MATCH(Пневматика_СВОДНАЯ_2026[[#This Row],[Обозначение]],База[Артикул],0),MATCH(D$4,База[#Headers],0))</f>
        <v>0</v>
      </c>
      <c r="E135" s="286" t="str">
        <f>INDEX(База[],MATCH(Пневматика_СВОДНАЯ_2026[[#This Row],[Обозначение]],База[Артикул],0),MATCH(E$4,База[#Headers],0))</f>
        <v>Комплект базовый "ABS W 4S/3M (12 м)"</v>
      </c>
      <c r="F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35" s="288">
        <f ca="1">SUM(Пневматика_СВОДНАЯ_2026[[#This Row],[П- 
01]:[П- 
12]])</f>
        <v>0</v>
      </c>
      <c r="S135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35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35" s="288">
        <f ca="1">SUM(Пневматика_СВОДНАЯ_2026[[#This Row],[Ф- 
01]:[Ф- 
12]])</f>
        <v>0</v>
      </c>
      <c r="AG135" s="520">
        <f ca="1">IF((Пневматика_СВОДНАЯ_2026[[#This Row],[П- 
2026]]+Пневматика_СВОДНАЯ_2026[[#This Row],[Ф- 
2026]])&gt;0,1,0)</f>
        <v>0</v>
      </c>
      <c r="AH135" s="289" t="str">
        <f>Пневматика_СВОДНАЯ_2026[[#This Row],[Прод]]&amp;"_"&amp;Пневматика_СВОДНАЯ_2026[[#This Row],[Обозначение]]</f>
        <v>S_4441000100</v>
      </c>
    </row>
    <row r="136" spans="1:34">
      <c r="A136" s="282" t="s">
        <v>89</v>
      </c>
      <c r="B136" s="283">
        <v>4441000470</v>
      </c>
      <c r="C136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36" s="285">
        <f>INDEX(База[],MATCH(Пневматика_СВОДНАЯ_2026[[#This Row],[Обозначение]],База[Артикул],0),MATCH(D$4,База[#Headers],0))</f>
        <v>0</v>
      </c>
      <c r="E136" s="286" t="str">
        <f>INDEX(База[],MATCH(Пневматика_СВОДНАЯ_2026[[#This Row],[Обозначение]],База[Артикул],0),MATCH(E$4,База[#Headers],0))</f>
        <v>Комплект базовый "ABS W 4S/3M (12 м)"</v>
      </c>
      <c r="F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36" s="288">
        <f ca="1">SUM(Пневматика_СВОДНАЯ_2026[[#This Row],[П- 
01]:[П- 
12]])</f>
        <v>0</v>
      </c>
      <c r="S136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36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36" s="288">
        <f ca="1">SUM(Пневматика_СВОДНАЯ_2026[[#This Row],[Ф- 
01]:[Ф- 
12]])</f>
        <v>0</v>
      </c>
      <c r="AG136" s="520">
        <f ca="1">IF((Пневматика_СВОДНАЯ_2026[[#This Row],[П- 
2026]]+Пневматика_СВОДНАЯ_2026[[#This Row],[Ф- 
2026]])&gt;0,1,0)</f>
        <v>0</v>
      </c>
      <c r="AH136" s="289" t="str">
        <f>Пневматика_СВОДНАЯ_2026[[#This Row],[Прод]]&amp;"_"&amp;Пневматика_СВОДНАЯ_2026[[#This Row],[Обозначение]]</f>
        <v>S_4441000470</v>
      </c>
    </row>
    <row r="137" spans="1:34">
      <c r="A137" s="282" t="s">
        <v>89</v>
      </c>
      <c r="B137" s="283">
        <v>4441000480</v>
      </c>
      <c r="C137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37" s="285">
        <f>INDEX(База[],MATCH(Пневматика_СВОДНАЯ_2026[[#This Row],[Обозначение]],База[Артикул],0),MATCH(D$4,База[#Headers],0))</f>
        <v>0</v>
      </c>
      <c r="E137" s="286" t="str">
        <f>INDEX(База[],MATCH(Пневматика_СВОДНАЯ_2026[[#This Row],[Обозначение]],База[Артикул],0),MATCH(E$4,База[#Headers],0))</f>
        <v>Комплект базовый "ABS W 2S/2M (15 м)"</v>
      </c>
      <c r="F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37" s="288">
        <f ca="1">SUM(Пневматика_СВОДНАЯ_2026[[#This Row],[П- 
01]:[П- 
12]])</f>
        <v>0</v>
      </c>
      <c r="S137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37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37" s="288">
        <f ca="1">SUM(Пневматика_СВОДНАЯ_2026[[#This Row],[Ф- 
01]:[Ф- 
12]])</f>
        <v>0</v>
      </c>
      <c r="AG137" s="520">
        <f ca="1">IF((Пневматика_СВОДНАЯ_2026[[#This Row],[П- 
2026]]+Пневматика_СВОДНАЯ_2026[[#This Row],[Ф- 
2026]])&gt;0,1,0)</f>
        <v>0</v>
      </c>
      <c r="AH137" s="289" t="str">
        <f>Пневматика_СВОДНАЯ_2026[[#This Row],[Прод]]&amp;"_"&amp;Пневматика_СВОДНАЯ_2026[[#This Row],[Обозначение]]</f>
        <v>S_4441000480</v>
      </c>
    </row>
    <row r="138" spans="1:34">
      <c r="A138" s="290" t="s">
        <v>89</v>
      </c>
      <c r="B138" s="291">
        <v>4441000550</v>
      </c>
      <c r="C138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38" s="293">
        <f>INDEX(База[],MATCH(Пневматика_СВОДНАЯ_2026[[#This Row],[Обозначение]],База[Артикул],0),MATCH(D$4,База[#Headers],0))</f>
        <v>0</v>
      </c>
      <c r="E138" s="294" t="str">
        <f>INDEX(База[],MATCH(Пневматика_СВОДНАЯ_2026[[#This Row],[Обозначение]],База[Артикул],0),MATCH(E$4,База[#Headers],0))</f>
        <v>Комплект системы контроля "OptiLink W"</v>
      </c>
      <c r="F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38" s="296">
        <f ca="1">SUM(Пневматика_СВОДНАЯ_2026[[#This Row],[П- 
01]:[П- 
12]])</f>
        <v>0</v>
      </c>
      <c r="S138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38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38" s="296">
        <f ca="1">SUM(Пневматика_СВОДНАЯ_2026[[#This Row],[Ф- 
01]:[Ф- 
12]])</f>
        <v>0</v>
      </c>
      <c r="AG138" s="521">
        <f ca="1">IF((Пневматика_СВОДНАЯ_2026[[#This Row],[П- 
2026]]+Пневматика_СВОДНАЯ_2026[[#This Row],[Ф- 
2026]])&gt;0,1,0)</f>
        <v>0</v>
      </c>
      <c r="AH138" s="297" t="str">
        <f>Пневматика_СВОДНАЯ_2026[[#This Row],[Прод]]&amp;"_"&amp;Пневматика_СВОДНАЯ_2026[[#This Row],[Обозначение]]</f>
        <v>S_4441000550</v>
      </c>
    </row>
    <row r="139" spans="1:34">
      <c r="A139" s="282" t="s">
        <v>89</v>
      </c>
      <c r="B139" s="283">
        <v>4441000700</v>
      </c>
      <c r="C139" s="284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39" s="285">
        <f>INDEX(База[],MATCH(Пневматика_СВОДНАЯ_2026[[#This Row],[Обозначение]],База[Артикул],0),MATCH(D$4,База[#Headers],0))</f>
        <v>0</v>
      </c>
      <c r="E139" s="286" t="str">
        <f>INDEX(База[],MATCH(Пневматика_СВОДНАЯ_2026[[#This Row],[Обозначение]],База[Артикул],0),MATCH(E$4,База[#Headers],0))</f>
        <v>Комплект "TEBS 2S/2M (12 м)" стандарт</v>
      </c>
      <c r="F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39" s="288">
        <f ca="1">SUM(Пневматика_СВОДНАЯ_2026[[#This Row],[П- 
01]:[П- 
12]])</f>
        <v>0</v>
      </c>
      <c r="S139" s="453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39" s="287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39" s="288">
        <f ca="1">SUM(Пневматика_СВОДНАЯ_2026[[#This Row],[Ф- 
01]:[Ф- 
12]])</f>
        <v>0</v>
      </c>
      <c r="AG139" s="520">
        <f ca="1">IF((Пневматика_СВОДНАЯ_2026[[#This Row],[П- 
2026]]+Пневматика_СВОДНАЯ_2026[[#This Row],[Ф- 
2026]])&gt;0,1,0)</f>
        <v>0</v>
      </c>
      <c r="AH139" s="289" t="str">
        <f>Пневматика_СВОДНАЯ_2026[[#This Row],[Прод]]&amp;"_"&amp;Пневматика_СВОДНАЯ_2026[[#This Row],[Обозначение]]</f>
        <v>S_4441000700</v>
      </c>
    </row>
    <row r="140" spans="1:34">
      <c r="A140" s="290" t="s">
        <v>89</v>
      </c>
      <c r="B140" s="291">
        <v>4441000710</v>
      </c>
      <c r="C140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40" s="293">
        <f>INDEX(База[],MATCH(Пневматика_СВОДНАЯ_2026[[#This Row],[Обозначение]],База[Артикул],0),MATCH(D$4,База[#Headers],0))</f>
        <v>0</v>
      </c>
      <c r="E140" s="294" t="str">
        <f>INDEX(База[],MATCH(Пневматика_СВОДНАЯ_2026[[#This Row],[Обозначение]],База[Артикул],0),MATCH(E$4,База[#Headers],0))</f>
        <v>Комплект "TEBS 2S/2M (18 м)" стандарт</v>
      </c>
      <c r="F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40" s="296">
        <f ca="1">SUM(Пневматика_СВОДНАЯ_2026[[#This Row],[П- 
01]:[П- 
12]])</f>
        <v>0</v>
      </c>
      <c r="S140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40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40" s="296">
        <f ca="1">SUM(Пневматика_СВОДНАЯ_2026[[#This Row],[Ф- 
01]:[Ф- 
12]])</f>
        <v>0</v>
      </c>
      <c r="AG140" s="521">
        <f ca="1">IF((Пневматика_СВОДНАЯ_2026[[#This Row],[П- 
2026]]+Пневматика_СВОДНАЯ_2026[[#This Row],[Ф- 
2026]])&gt;0,1,0)</f>
        <v>0</v>
      </c>
      <c r="AH140" s="297" t="str">
        <f>Пневматика_СВОДНАЯ_2026[[#This Row],[Прод]]&amp;"_"&amp;Пневматика_СВОДНАЯ_2026[[#This Row],[Обозначение]]</f>
        <v>S_4441000710</v>
      </c>
    </row>
    <row r="141" spans="1:34" ht="28.8">
      <c r="A141" s="290" t="s">
        <v>89</v>
      </c>
      <c r="B141" s="291" t="s">
        <v>104</v>
      </c>
      <c r="C141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41" s="293">
        <f>INDEX(База[],MATCH(Пневматика_СВОДНАЯ_2026[[#This Row],[Обозначение]],База[Артикул],0),MATCH(D$4,База[#Headers],0))</f>
        <v>0</v>
      </c>
      <c r="E141" s="294" t="str">
        <f>INDEX(База[],MATCH(Пневматика_СВОДНАЯ_2026[[#This Row],[Обозначение]],База[Артикул],0),MATCH(E$4,База[#Headers],0))</f>
        <v>Комплект "TEBS WABCO 2S/2M базовый 12 м" -1 (ВБК РУС)</v>
      </c>
      <c r="F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41" s="296">
        <f ca="1">SUM(Пневматика_СВОДНАЯ_2026[[#This Row],[П- 
01]:[П- 
12]])</f>
        <v>0</v>
      </c>
      <c r="S141" s="452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41" s="295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41" s="296">
        <f ca="1">SUM(Пневматика_СВОДНАЯ_2026[[#This Row],[Ф- 
01]:[Ф- 
12]])</f>
        <v>0</v>
      </c>
      <c r="AG141" s="521">
        <f ca="1">IF((Пневматика_СВОДНАЯ_2026[[#This Row],[П- 
2026]]+Пневматика_СВОДНАЯ_2026[[#This Row],[Ф- 
2026]])&gt;0,1,0)</f>
        <v>0</v>
      </c>
      <c r="AH141" s="297" t="str">
        <f>Пневматика_СВОДНАЯ_2026[[#This Row],[Прод]]&amp;"_"&amp;Пневматика_СВОДНАЯ_2026[[#This Row],[Обозначение]]</f>
        <v>S_Арт_TEBS_2-2_12_W_-1</v>
      </c>
    </row>
    <row r="142" spans="1:34">
      <c r="A142" s="438" t="s">
        <v>89</v>
      </c>
      <c r="B142" s="439" t="s">
        <v>405</v>
      </c>
      <c r="C142" s="292">
        <f>SUMPRODUCT((Пневматика_СВОДНАЯ_2026[Прод]=Пневматика_СВОДНАЯ_2026[[#This Row],[Прод]])*(Пневматика_СВОДНАЯ_2026[Обозначение]=Пневматика_СВОДНАЯ_2026[[#This Row],[Обозначение]])*1)</f>
        <v>1</v>
      </c>
      <c r="D142" s="440">
        <f>INDEX(База[],MATCH(Пневматика_СВОДНАЯ_2026[[#This Row],[Обозначение]],База[Артикул],0),MATCH(D$4,База[#Headers],0))</f>
        <v>0</v>
      </c>
      <c r="E142" s="441" t="str">
        <f>INDEX(База[],MATCH(Пневматика_СВОДНАЯ_2026[[#This Row],[Обозначение]],База[Артикул],0),MATCH(E$4,База[#Headers],0))</f>
        <v>Комплект пневматики</v>
      </c>
      <c r="F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INDIRECT("Пневматика!"&amp;ADDRESS($F$2,$H$2+$J$2+(RIGHT(F$4,2)-1)*$I$2)&amp;":"&amp;ADDRESS($G$2,$H$2+$J$2+(RIGHT(F$4,2)-1)*$I$2))*
($E$3=ПНЕВМАТИКА!$A$6:$A$330)))</f>
        <v>0</v>
      </c>
      <c r="G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INDIRECT("Пневматика!"&amp;ADDRESS($F$2,$H$2+$J$2+(RIGHT(G$4,2)-1)*$I$2)&amp;":"&amp;ADDRESS($G$2,$H$2+$J$2+(RIGHT(G$4,2)-1)*$I$2))*
($E$3=ПНЕВМАТИКА!$A$6:$A$330)))</f>
        <v>0</v>
      </c>
      <c r="H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INDIRECT("Пневматика!"&amp;ADDRESS($F$2,$H$2+$J$2+(RIGHT(H$4,2)-1)*$I$2)&amp;":"&amp;ADDRESS($G$2,$H$2+$J$2+(RIGHT(H$4,2)-1)*$I$2))*
($E$3=ПНЕВМАТИКА!$A$6:$A$330)))</f>
        <v>0</v>
      </c>
      <c r="I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INDIRECT("Пневматика!"&amp;ADDRESS($F$2,$H$2+$J$2+(RIGHT(I$4,2)-1)*$I$2)&amp;":"&amp;ADDRESS($G$2,$H$2+$J$2+(RIGHT(I$4,2)-1)*$I$2))*
($E$3=ПНЕВМАТИКА!$A$6:$A$330)))</f>
        <v>0</v>
      </c>
      <c r="J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INDIRECT("Пневматика!"&amp;ADDRESS($F$2,$H$2+$J$2+(RIGHT(J$4,2)-1)*$I$2)&amp;":"&amp;ADDRESS($G$2,$H$2+$J$2+(RIGHT(J$4,2)-1)*$I$2))*
($E$3=ПНЕВМАТИКА!$A$6:$A$330)))</f>
        <v>0</v>
      </c>
      <c r="K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INDIRECT("Пневматика!"&amp;ADDRESS($F$2,$H$2+$J$2+(RIGHT(K$4,2)-1)*$I$2)&amp;":"&amp;ADDRESS($G$2,$H$2+$J$2+(RIGHT(K$4,2)-1)*$I$2))*
($E$3=ПНЕВМАТИКА!$A$6:$A$330)))</f>
        <v>0</v>
      </c>
      <c r="L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INDIRECT("Пневматика!"&amp;ADDRESS($F$2,$H$2+$J$2+(RIGHT(L$4,2)-1)*$I$2)&amp;":"&amp;ADDRESS($G$2,$H$2+$J$2+(RIGHT(L$4,2)-1)*$I$2))*
($E$3=ПНЕВМАТИКА!$A$6:$A$330)))</f>
        <v>0</v>
      </c>
      <c r="M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INDIRECT("Пневматика!"&amp;ADDRESS($F$2,$H$2+$J$2+(RIGHT(M$4,2)-1)*$I$2)&amp;":"&amp;ADDRESS($G$2,$H$2+$J$2+(RIGHT(M$4,2)-1)*$I$2))*
($E$3=ПНЕВМАТИКА!$A$6:$A$330)))</f>
        <v>0</v>
      </c>
      <c r="N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INDIRECT("Пневматика!"&amp;ADDRESS($F$2,$H$2+$J$2+(RIGHT(N$4,2)-1)*$I$2)&amp;":"&amp;ADDRESS($G$2,$H$2+$J$2+(RIGHT(N$4,2)-1)*$I$2))*
($E$3=ПНЕВМАТИКА!$A$6:$A$330)))</f>
        <v>0</v>
      </c>
      <c r="O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INDIRECT("Пневматика!"&amp;ADDRESS($F$2,$H$2+$J$2+(RIGHT(O$4,2)-1)*$I$2)&amp;":"&amp;ADDRESS($G$2,$H$2+$J$2+(RIGHT(O$4,2)-1)*$I$2))*
($E$3=ПНЕВМАТИКА!$A$6:$A$330)))</f>
        <v>0</v>
      </c>
      <c r="P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INDIRECT("Пневматика!"&amp;ADDRESS($F$2,$H$2+$J$2+(RIGHT(P$4,2)-1)*$I$2)&amp;":"&amp;ADDRESS($G$2,$H$2+$J$2+(RIGHT(P$4,2)-1)*$I$2))*
($E$3=ПНЕВМАТИКА!$A$6:$A$330)))</f>
        <v>0</v>
      </c>
      <c r="Q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INDIRECT("Пневматика!"&amp;ADDRESS($F$2,$H$2+$J$2+(RIGHT(Q$4,2)-1)*$I$2)&amp;":"&amp;ADDRESS($G$2,$H$2+$J$2+(RIGHT(Q$4,2)-1)*$I$2))*
($E$3=ПНЕВМАТИКА!$A$6:$A$330)))</f>
        <v>0</v>
      </c>
      <c r="R142" s="443">
        <f ca="1">SUM(Пневматика_СВОДНАЯ_2026[[#This Row],[П- 
01]:[П- 
12]])</f>
        <v>0</v>
      </c>
      <c r="S142" s="454" t="str">
        <f ca="1">IF(Пневматика_СВОДНАЯ_2026[[#This Row],[П- 
2026]]=Пневматика_СВОДНАЯ_2026[[#This Row],[Ф- 
2026]],"=",IF(Пневматика_СВОДНАЯ_2026[[#This Row],[П- 
2026]]&gt;Пневматика_СВОДНАЯ_2026[[#This Row],[Ф- 
2026]],"&gt;","&lt;"))</f>
        <v>=</v>
      </c>
      <c r="T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INDIRECT("Пневматика!"&amp;ADDRESS($F$2,$H$2+$K$2+(RIGHT(T$4,2)-1)*$I$2)&amp;":"&amp;ADDRESS($G$2,$H$2+$K$2+(RIGHT(T$4,2)-1)*$I$2))*
($E$3=ПНЕВМАТИКА!$A$6:$A$330)))</f>
        <v>0</v>
      </c>
      <c r="U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INDIRECT("Пневматика!"&amp;ADDRESS($F$2,$H$2+$K$2+(RIGHT(U$4,2)-1)*$I$2)&amp;":"&amp;ADDRESS($G$2,$H$2+$K$2+(RIGHT(U$4,2)-1)*$I$2))*
($E$3=ПНЕВМАТИКА!$A$6:$A$330)))</f>
        <v>0</v>
      </c>
      <c r="V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INDIRECT("Пневматика!"&amp;ADDRESS($F$2,$H$2+$K$2+(RIGHT(V$4,2)-1)*$I$2)&amp;":"&amp;ADDRESS($G$2,$H$2+$K$2+(RIGHT(V$4,2)-1)*$I$2))*
($E$3=ПНЕВМАТИКА!$A$6:$A$330)))</f>
        <v>0</v>
      </c>
      <c r="W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INDIRECT("Пневматика!"&amp;ADDRESS($F$2,$H$2+$K$2+(RIGHT(W$4,2)-1)*$I$2)&amp;":"&amp;ADDRESS($G$2,$H$2+$K$2+(RIGHT(W$4,2)-1)*$I$2))*
($E$3=ПНЕВМАТИКА!$A$6:$A$330)))</f>
        <v>0</v>
      </c>
      <c r="X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INDIRECT("Пневматика!"&amp;ADDRESS($F$2,$H$2+$K$2+(RIGHT(X$4,2)-1)*$I$2)&amp;":"&amp;ADDRESS($G$2,$H$2+$K$2+(RIGHT(X$4,2)-1)*$I$2))*
($E$3=ПНЕВМАТИКА!$A$6:$A$330)))</f>
        <v>0</v>
      </c>
      <c r="Y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INDIRECT("Пневматика!"&amp;ADDRESS($F$2,$H$2+$K$2+(RIGHT(Y$4,2)-1)*$I$2)&amp;":"&amp;ADDRESS($G$2,$H$2+$K$2+(RIGHT(Y$4,2)-1)*$I$2))*
($E$3=ПНЕВМАТИКА!$A$6:$A$330)))</f>
        <v>0</v>
      </c>
      <c r="Z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INDIRECT("Пневматика!"&amp;ADDRESS($F$2,$H$2+$K$2+(RIGHT(Z$4,2)-1)*$I$2)&amp;":"&amp;ADDRESS($G$2,$H$2+$K$2+(RIGHT(Z$4,2)-1)*$I$2))*
($E$3=ПНЕВМАТИКА!$A$6:$A$330)))</f>
        <v>0</v>
      </c>
      <c r="AA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INDIRECT("Пневматика!"&amp;ADDRESS($F$2,$H$2+$K$2+(RIGHT(AA$4,2)-1)*$I$2)&amp;":"&amp;ADDRESS($G$2,$H$2+$K$2+(RIGHT(AA$4,2)-1)*$I$2))*
($E$3=ПНЕВМАТИКА!$A$6:$A$330)))</f>
        <v>0</v>
      </c>
      <c r="AB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INDIRECT("Пневматика!"&amp;ADDRESS($F$2,$H$2+$K$2+(RIGHT(AB$4,2)-1)*$I$2)&amp;":"&amp;ADDRESS($G$2,$H$2+$K$2+(RIGHT(AB$4,2)-1)*$I$2))*
($E$3=ПНЕВМАТИКА!$A$6:$A$330)))</f>
        <v>0</v>
      </c>
      <c r="AC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INDIRECT("Пневматика!"&amp;ADDRESS($F$2,$H$2+$K$2+(RIGHT(AC$4,2)-1)*$I$2)&amp;":"&amp;ADDRESS($G$2,$H$2+$K$2+(RIGHT(AC$4,2)-1)*$I$2))*
($E$3=ПНЕВМАТИКА!$A$6:$A$330)))</f>
        <v>0</v>
      </c>
      <c r="AD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INDIRECT("Пневматика!"&amp;ADDRESS($F$2,$H$2+$K$2+(RIGHT(AD$4,2)-1)*$I$2)&amp;":"&amp;ADDRESS($G$2,$H$2+$K$2+(RIGHT(AD$4,2)-1)*$I$2))*
($E$3=ПНЕВМАТИКА!$A$6:$A$330)))</f>
        <v>0</v>
      </c>
      <c r="AE142" s="442">
        <f ca="1">IF($E$3=ПНЕВМАТИКА!$A$340,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INDIRECT("Пневматика!"&amp;ADDRESS($F$2,$H$2+$K$2+(RIGHT(AE$4,2)-1)*$I$2)&amp;":"&amp;ADDRESS($G$2,$H$2+$K$2+(RIGHT(AE$4,2)-1)*$I$2))),
SUMPRODUCT((Пневматика_СВОДНАЯ_2026[[#This Row],[Прод]]=ПНЕВМАТИКА!$F$6:$F$330)*(Пневматика_СВОДНАЯ_2026[[#This Row],[Обозначение]]=ПНЕВМАТИКА!$G$6:$G$330)*
INDIRECT("Пневматика!"&amp;ADDRESS($F$2,$H$2+$K$2+(RIGHT(AE$4,2)-1)*$I$2)&amp;":"&amp;ADDRESS($G$2,$H$2+$K$2+(RIGHT(AE$4,2)-1)*$I$2))*
($E$3=ПНЕВМАТИКА!$A$6:$A$330)))</f>
        <v>0</v>
      </c>
      <c r="AF142" s="443">
        <f ca="1">SUM(Пневматика_СВОДНАЯ_2026[[#This Row],[Ф- 
01]:[Ф- 
12]])</f>
        <v>0</v>
      </c>
      <c r="AG142" s="522">
        <f ca="1">IF((Пневматика_СВОДНАЯ_2026[[#This Row],[П- 
2026]]+Пневматика_СВОДНАЯ_2026[[#This Row],[Ф- 
2026]])&gt;0,1,0)</f>
        <v>0</v>
      </c>
      <c r="AH142" s="299" t="str">
        <f>Пневматика_СВОДНАЯ_2026[[#This Row],[Прод]]&amp;"_"&amp;Пневматика_СВОДНАЯ_2026[[#This Row],[Обозначение]]</f>
        <v>S_Арт_Пнев_Под_2</v>
      </c>
    </row>
    <row r="143" spans="1:34" s="552" customFormat="1" ht="9.9" customHeight="1">
      <c r="A143" s="549"/>
      <c r="B143" s="549"/>
      <c r="C143" s="549"/>
      <c r="D143" s="549"/>
      <c r="E143" s="550"/>
      <c r="F143" s="549"/>
      <c r="G143" s="549"/>
      <c r="H143" s="549"/>
      <c r="I143" s="549"/>
      <c r="J143" s="549"/>
      <c r="K143" s="549"/>
      <c r="L143" s="549"/>
      <c r="M143" s="549"/>
      <c r="N143" s="549"/>
      <c r="O143" s="549"/>
      <c r="P143" s="549"/>
      <c r="Q143" s="549"/>
      <c r="R143" s="549"/>
      <c r="S143" s="551"/>
      <c r="T143" s="549"/>
      <c r="U143" s="549"/>
      <c r="V143" s="549"/>
      <c r="W143" s="549"/>
      <c r="X143" s="549"/>
      <c r="Y143" s="549"/>
      <c r="Z143" s="549"/>
      <c r="AA143" s="549"/>
      <c r="AB143" s="549"/>
      <c r="AC143" s="549"/>
      <c r="AD143" s="549"/>
      <c r="AE143" s="549"/>
      <c r="AF143" s="549"/>
    </row>
    <row r="144" spans="1:34" s="552" customFormat="1" ht="9.9" customHeight="1">
      <c r="A144" s="549"/>
      <c r="B144" s="549"/>
      <c r="C144" s="549"/>
      <c r="D144" s="549"/>
      <c r="E144" s="550"/>
      <c r="F144" s="549"/>
      <c r="G144" s="549"/>
      <c r="H144" s="549"/>
      <c r="I144" s="549"/>
      <c r="J144" s="549"/>
      <c r="K144" s="549"/>
      <c r="L144" s="549"/>
      <c r="M144" s="549"/>
      <c r="N144" s="549"/>
      <c r="O144" s="549"/>
      <c r="P144" s="549"/>
      <c r="Q144" s="549"/>
      <c r="R144" s="549"/>
      <c r="S144" s="551"/>
      <c r="T144" s="549"/>
      <c r="U144" s="549"/>
      <c r="V144" s="549"/>
      <c r="W144" s="549"/>
      <c r="X144" s="549"/>
      <c r="Y144" s="549"/>
      <c r="Z144" s="549"/>
      <c r="AA144" s="549"/>
      <c r="AB144" s="549"/>
      <c r="AC144" s="549"/>
      <c r="AD144" s="549"/>
      <c r="AE144" s="549"/>
      <c r="AF144" s="549"/>
    </row>
    <row r="145" spans="1:33" s="552" customFormat="1" ht="9.9" customHeight="1">
      <c r="A145" s="549"/>
      <c r="B145" s="549"/>
      <c r="C145" s="549"/>
      <c r="D145" s="549"/>
      <c r="E145" s="550"/>
      <c r="F145" s="677" t="s">
        <v>403</v>
      </c>
      <c r="G145" s="677" t="s">
        <v>403</v>
      </c>
      <c r="H145" s="677" t="s">
        <v>403</v>
      </c>
      <c r="I145" s="677" t="s">
        <v>403</v>
      </c>
      <c r="J145" s="677" t="s">
        <v>403</v>
      </c>
      <c r="K145" s="284"/>
      <c r="L145" s="284"/>
      <c r="M145" s="284"/>
      <c r="N145" s="284"/>
      <c r="O145" s="284"/>
      <c r="P145" s="284"/>
      <c r="Q145" s="284"/>
      <c r="R145" s="549"/>
      <c r="S145" s="551"/>
      <c r="T145" s="549"/>
      <c r="U145" s="549"/>
      <c r="V145" s="549"/>
      <c r="W145" s="549"/>
      <c r="X145" s="549"/>
      <c r="Y145" s="549"/>
      <c r="Z145" s="549"/>
      <c r="AA145" s="549"/>
      <c r="AB145" s="549"/>
      <c r="AC145" s="549"/>
      <c r="AD145" s="549"/>
      <c r="AE145" s="549"/>
      <c r="AF145" s="549"/>
    </row>
    <row r="146" spans="1:33">
      <c r="A146" s="548">
        <v>2</v>
      </c>
      <c r="B146" s="548">
        <v>4005000810</v>
      </c>
      <c r="C146" s="285"/>
      <c r="D146" s="285"/>
      <c r="E146" s="547" t="str">
        <f>INDEX(База[],MATCH($B146,База[Артикул],0),MATCH(E$4,База[#Headers],0))</f>
        <v>Модулятор ABS</v>
      </c>
      <c r="F146" s="285">
        <f ca="1">SUMPRODUCT(($A146&amp;"_"&amp;$B146=Пневматика_СВОДНАЯ_2026[Ключ])*T$5:T$142)</f>
        <v>0</v>
      </c>
      <c r="G146" s="285">
        <f ca="1">SUMPRODUCT(($A146&amp;"_"&amp;$B146=Пневматика_СВОДНАЯ_2026[Ключ])*U$5:U$142)+F146</f>
        <v>5</v>
      </c>
      <c r="H146" s="285">
        <f ca="1">SUMPRODUCT(($A146&amp;"_"&amp;$B146=Пневматика_СВОДНАЯ_2026[Ключ])*V$5:V$142)+G146</f>
        <v>21</v>
      </c>
      <c r="I146" s="285">
        <f ca="1">SUMPRODUCT(($A146&amp;"_"&amp;$B146=Пневматика_СВОДНАЯ_2026[Ключ])*W$5:W$142)+H146</f>
        <v>21</v>
      </c>
      <c r="J146" s="285">
        <f ca="1">SUMPRODUCT(($A146&amp;"_"&amp;$B146=Пневматика_СВОДНАЯ_2026[Ключ])*X$5:X$142)+I146</f>
        <v>21</v>
      </c>
      <c r="K146" s="285">
        <f ca="1">SUMPRODUCT(($A146&amp;"_"&amp;$B146=Пневматика_СВОДНАЯ_2026[Ключ])*K$5:K$142)+J146</f>
        <v>36</v>
      </c>
      <c r="L146" s="285">
        <f ca="1">SUMPRODUCT(($A146&amp;"_"&amp;$B146=Пневматика_СВОДНАЯ_2026[Ключ])*L$5:L$142)+K146</f>
        <v>51</v>
      </c>
      <c r="M146" s="285">
        <f ca="1">SUMPRODUCT(($A146&amp;"_"&amp;$B146=Пневматика_СВОДНАЯ_2026[Ключ])*M$5:M$142)+L146</f>
        <v>66</v>
      </c>
      <c r="N146" s="285">
        <f ca="1">SUMPRODUCT(($A146&amp;"_"&amp;$B146=Пневматика_СВОДНАЯ_2026[Ключ])*N$5:N$142)+M146</f>
        <v>71</v>
      </c>
      <c r="O146" s="285">
        <f ca="1">SUMPRODUCT(($A146&amp;"_"&amp;$B146=Пневматика_СВОДНАЯ_2026[Ключ])*O$5:O$142)+N146</f>
        <v>71</v>
      </c>
      <c r="P146" s="285">
        <f ca="1">SUMPRODUCT(($A146&amp;"_"&amp;$B146=Пневматика_СВОДНАЯ_2026[Ключ])*P$5:P$142)+O146</f>
        <v>71</v>
      </c>
      <c r="Q146" s="285">
        <f ca="1">SUMPRODUCT(($A146&amp;"_"&amp;$B146=Пневматика_СВОДНАЯ_2026[Ключ])*Q$5:Q$142)+P146</f>
        <v>71</v>
      </c>
      <c r="R146" s="376">
        <f ca="1">SUMPRODUCT(($A146&amp;"_"&amp;$B146=Пневматика_СВОДНАЯ_2026[Ключ])*R$5:R$142)</f>
        <v>71</v>
      </c>
      <c r="S146" s="463">
        <v>70</v>
      </c>
      <c r="T146" s="285"/>
      <c r="U146" s="285"/>
      <c r="V146" s="285"/>
      <c r="W146" s="285"/>
      <c r="X146" s="285"/>
      <c r="Y146" s="285"/>
      <c r="Z146" s="285"/>
      <c r="AA146" s="285"/>
      <c r="AB146" s="285"/>
      <c r="AC146" s="285"/>
      <c r="AD146" s="285"/>
      <c r="AE146" s="285"/>
      <c r="AF146" s="376"/>
      <c r="AG146" s="463"/>
    </row>
    <row r="147" spans="1:33">
      <c r="A147" s="548">
        <v>2</v>
      </c>
      <c r="B147" s="548">
        <v>4005000880</v>
      </c>
      <c r="C147" s="285"/>
      <c r="D147" s="285"/>
      <c r="E147" s="547" t="str">
        <f>INDEX(База[],MATCH($B147,База[Артикул],0),MATCH(E$4,База[#Headers],0))</f>
        <v>Модулятор ABS</v>
      </c>
      <c r="F147" s="285">
        <f ca="1">SUMPRODUCT(($A147&amp;"_"&amp;$B147=Пневматика_СВОДНАЯ_2026[Ключ])*T$5:T$142)</f>
        <v>28</v>
      </c>
      <c r="G147" s="285">
        <f ca="1">SUMPRODUCT(($A147&amp;"_"&amp;$B147=Пневматика_СВОДНАЯ_2026[Ключ])*U$5:U$142)+F147</f>
        <v>68</v>
      </c>
      <c r="H147" s="285">
        <f ca="1">SUMPRODUCT(($A147&amp;"_"&amp;$B147=Пневматика_СВОДНАЯ_2026[Ключ])*V$5:V$142)+G147</f>
        <v>88</v>
      </c>
      <c r="I147" s="285">
        <f ca="1">SUMPRODUCT(($A147&amp;"_"&amp;$B147=Пневматика_СВОДНАЯ_2026[Ключ])*W$5:W$142)+H147</f>
        <v>88</v>
      </c>
      <c r="J147" s="285">
        <f ca="1">SUMPRODUCT(($A147&amp;"_"&amp;$B147=Пневматика_СВОДНАЯ_2026[Ключ])*X$5:X$142)+I147</f>
        <v>88</v>
      </c>
      <c r="K147" s="285">
        <f ca="1">SUMPRODUCT(($A147&amp;"_"&amp;$B147=Пневматика_СВОДНАЯ_2026[Ключ])*K$5:K$142)+J147</f>
        <v>88</v>
      </c>
      <c r="L147" s="285">
        <f ca="1">SUMPRODUCT(($A147&amp;"_"&amp;$B147=Пневматика_СВОДНАЯ_2026[Ключ])*L$5:L$142)+K147</f>
        <v>88</v>
      </c>
      <c r="M147" s="285">
        <f ca="1">SUMPRODUCT(($A147&amp;"_"&amp;$B147=Пневматика_СВОДНАЯ_2026[Ключ])*M$5:M$142)+L147</f>
        <v>88</v>
      </c>
      <c r="N147" s="285">
        <f ca="1">SUMPRODUCT(($A147&amp;"_"&amp;$B147=Пневматика_СВОДНАЯ_2026[Ключ])*N$5:N$142)+M147</f>
        <v>98</v>
      </c>
      <c r="O147" s="285">
        <f ca="1">SUMPRODUCT(($A147&amp;"_"&amp;$B147=Пневматика_СВОДНАЯ_2026[Ключ])*O$5:O$142)+N147</f>
        <v>133</v>
      </c>
      <c r="P147" s="285">
        <f ca="1">SUMPRODUCT(($A147&amp;"_"&amp;$B147=Пневматика_СВОДНАЯ_2026[Ключ])*P$5:P$142)+O147</f>
        <v>168</v>
      </c>
      <c r="Q147" s="285">
        <f ca="1">SUMPRODUCT(($A147&amp;"_"&amp;$B147=Пневматика_СВОДНАЯ_2026[Ключ])*Q$5:Q$142)+P147</f>
        <v>203</v>
      </c>
      <c r="R147" s="376">
        <f ca="1">SUMPRODUCT(($A147&amp;"_"&amp;$B147=Пневматика_СВОДНАЯ_2026[Ключ])*R$5:R$142)</f>
        <v>203</v>
      </c>
      <c r="S147" s="463">
        <v>118</v>
      </c>
      <c r="T147" s="285"/>
      <c r="U147" s="285"/>
      <c r="V147" s="285"/>
      <c r="W147" s="285"/>
      <c r="X147" s="285"/>
      <c r="Y147" s="285"/>
      <c r="Z147" s="285"/>
      <c r="AA147" s="285"/>
      <c r="AB147" s="285"/>
      <c r="AC147" s="285"/>
      <c r="AD147" s="285"/>
      <c r="AE147" s="285"/>
      <c r="AF147" s="376"/>
      <c r="AG147" s="463"/>
    </row>
    <row r="148" spans="1:33">
      <c r="A148" s="548">
        <v>2</v>
      </c>
      <c r="B148" s="548">
        <v>4491301200</v>
      </c>
      <c r="C148" s="285"/>
      <c r="D148" s="285"/>
      <c r="E148" s="547" t="str">
        <f>INDEX(База[],MATCH($B148,База[Артикул],0),MATCH(E$4,База[#Headers],0))</f>
        <v>Кабель питания ABS, часть 2, 12 м</v>
      </c>
      <c r="F148" s="285">
        <f ca="1">SUMPRODUCT(($A148&amp;"_"&amp;$B148=Пневматика_СВОДНАЯ_2026[Ключ])*T$5:T$142)</f>
        <v>20</v>
      </c>
      <c r="G148" s="285">
        <f ca="1">SUMPRODUCT(($A148&amp;"_"&amp;$B148=Пневматика_СВОДНАЯ_2026[Ключ])*U$5:U$142)+F148</f>
        <v>50</v>
      </c>
      <c r="H148" s="285">
        <f ca="1">SUMPRODUCT(($A148&amp;"_"&amp;$B148=Пневматика_СВОДНАЯ_2026[Ключ])*V$5:V$142)+G148</f>
        <v>65</v>
      </c>
      <c r="I148" s="285">
        <f ca="1">SUMPRODUCT(($A148&amp;"_"&amp;$B148=Пневматика_СВОДНАЯ_2026[Ключ])*W$5:W$142)+H148</f>
        <v>65</v>
      </c>
      <c r="J148" s="285">
        <f ca="1">SUMPRODUCT(($A148&amp;"_"&amp;$B148=Пневматика_СВОДНАЯ_2026[Ключ])*X$5:X$142)+I148</f>
        <v>65</v>
      </c>
      <c r="K148" s="285">
        <f ca="1">SUMPRODUCT(($A148&amp;"_"&amp;$B148=Пневматика_СВОДНАЯ_2026[Ключ])*K$5:K$142)+J148</f>
        <v>70</v>
      </c>
      <c r="L148" s="285">
        <f ca="1">SUMPRODUCT(($A148&amp;"_"&amp;$B148=Пневматика_СВОДНАЯ_2026[Ключ])*L$5:L$142)+K148</f>
        <v>75</v>
      </c>
      <c r="M148" s="285">
        <f ca="1">SUMPRODUCT(($A148&amp;"_"&amp;$B148=Пневматика_СВОДНАЯ_2026[Ключ])*M$5:M$142)+L148</f>
        <v>80</v>
      </c>
      <c r="N148" s="285">
        <f ca="1">SUMPRODUCT(($A148&amp;"_"&amp;$B148=Пневматика_СВОДНАЯ_2026[Ключ])*N$5:N$142)+M148</f>
        <v>85</v>
      </c>
      <c r="O148" s="285">
        <f ca="1">SUMPRODUCT(($A148&amp;"_"&amp;$B148=Пневматика_СВОДНАЯ_2026[Ключ])*O$5:O$142)+N148</f>
        <v>100</v>
      </c>
      <c r="P148" s="285">
        <f ca="1">SUMPRODUCT(($A148&amp;"_"&amp;$B148=Пневматика_СВОДНАЯ_2026[Ключ])*P$5:P$142)+O148</f>
        <v>115</v>
      </c>
      <c r="Q148" s="285">
        <f ca="1">SUMPRODUCT(($A148&amp;"_"&amp;$B148=Пневматика_СВОДНАЯ_2026[Ключ])*Q$5:Q$142)+P148</f>
        <v>130</v>
      </c>
      <c r="R148" s="376">
        <f ca="1">SUMPRODUCT(($A148&amp;"_"&amp;$B148=Пневматика_СВОДНАЯ_2026[Ключ])*R$5:R$142)</f>
        <v>130</v>
      </c>
      <c r="S148" s="463">
        <v>123</v>
      </c>
      <c r="T148" s="285"/>
      <c r="U148" s="285"/>
      <c r="V148" s="285"/>
      <c r="W148" s="285"/>
      <c r="X148" s="285"/>
      <c r="Y148" s="285"/>
      <c r="Z148" s="285"/>
      <c r="AA148" s="285"/>
      <c r="AB148" s="285"/>
      <c r="AC148" s="285"/>
      <c r="AD148" s="285"/>
      <c r="AE148" s="285"/>
      <c r="AF148" s="376"/>
      <c r="AG148" s="463"/>
    </row>
    <row r="149" spans="1:33">
      <c r="A149" s="548">
        <v>2</v>
      </c>
      <c r="B149" s="548">
        <v>4491301500</v>
      </c>
      <c r="C149" s="285"/>
      <c r="D149" s="285"/>
      <c r="E149" s="547" t="str">
        <f>INDEX(База[],MATCH($B149,База[Артикул],0),MATCH(E$4,База[#Headers],0))</f>
        <v>Кабель питания ABS, часть 2, 15 м</v>
      </c>
      <c r="F149" s="285">
        <f ca="1">SUMPRODUCT(($A149&amp;"_"&amp;$B149=Пневматика_СВОДНАЯ_2026[Ключ])*T$5:T$142)</f>
        <v>8</v>
      </c>
      <c r="G149" s="285">
        <f ca="1">SUMPRODUCT(($A149&amp;"_"&amp;$B149=Пневматика_СВОДНАЯ_2026[Ключ])*U$5:U$142)+F149</f>
        <v>23</v>
      </c>
      <c r="H149" s="285">
        <f ca="1">SUMPRODUCT(($A149&amp;"_"&amp;$B149=Пневматика_СВОДНАЯ_2026[Ключ])*V$5:V$142)+G149</f>
        <v>44</v>
      </c>
      <c r="I149" s="285">
        <f ca="1">SUMPRODUCT(($A149&amp;"_"&amp;$B149=Пневматика_СВОДНАЯ_2026[Ключ])*W$5:W$142)+H149</f>
        <v>44</v>
      </c>
      <c r="J149" s="285">
        <f ca="1">SUMPRODUCT(($A149&amp;"_"&amp;$B149=Пневматика_СВОДНАЯ_2026[Ключ])*X$5:X$142)+I149</f>
        <v>44</v>
      </c>
      <c r="K149" s="285">
        <f ca="1">SUMPRODUCT(($A149&amp;"_"&amp;$B149=Пневматика_СВОДНАЯ_2026[Ключ])*K$5:K$142)+J149</f>
        <v>54</v>
      </c>
      <c r="L149" s="285">
        <f ca="1">SUMPRODUCT(($A149&amp;"_"&amp;$B149=Пневматика_СВОДНАЯ_2026[Ключ])*L$5:L$142)+K149</f>
        <v>64</v>
      </c>
      <c r="M149" s="285">
        <f ca="1">SUMPRODUCT(($A149&amp;"_"&amp;$B149=Пневматика_СВОДНАЯ_2026[Ключ])*M$5:M$142)+L149</f>
        <v>74</v>
      </c>
      <c r="N149" s="285">
        <f ca="1">SUMPRODUCT(($A149&amp;"_"&amp;$B149=Пневматика_СВОДНАЯ_2026[Ключ])*N$5:N$142)+M149</f>
        <v>84</v>
      </c>
      <c r="O149" s="285">
        <f ca="1">SUMPRODUCT(($A149&amp;"_"&amp;$B149=Пневматика_СВОДНАЯ_2026[Ключ])*O$5:O$142)+N149</f>
        <v>104</v>
      </c>
      <c r="P149" s="285">
        <f ca="1">SUMPRODUCT(($A149&amp;"_"&amp;$B149=Пневматика_СВОДНАЯ_2026[Ключ])*P$5:P$142)+O149</f>
        <v>124</v>
      </c>
      <c r="Q149" s="285">
        <f ca="1">SUMPRODUCT(($A149&amp;"_"&amp;$B149=Пневматика_СВОДНАЯ_2026[Ключ])*Q$5:Q$142)+P149</f>
        <v>144</v>
      </c>
      <c r="R149" s="376">
        <f ca="1">SUMPRODUCT(($A149&amp;"_"&amp;$B149=Пневматика_СВОДНАЯ_2026[Ключ])*R$5:R$142)</f>
        <v>144</v>
      </c>
      <c r="S149" s="463">
        <f>85+33</f>
        <v>118</v>
      </c>
      <c r="T149" s="285"/>
      <c r="U149" s="285"/>
      <c r="V149" s="285"/>
      <c r="W149" s="285"/>
      <c r="X149" s="285"/>
      <c r="Y149" s="285"/>
      <c r="Z149" s="285"/>
      <c r="AA149" s="285"/>
      <c r="AB149" s="285"/>
      <c r="AC149" s="285"/>
      <c r="AD149" s="285"/>
      <c r="AE149" s="285"/>
      <c r="AF149" s="376"/>
      <c r="AG149" s="463"/>
    </row>
    <row r="150" spans="1:33">
      <c r="A150" s="548">
        <v>2</v>
      </c>
      <c r="B150" s="548">
        <v>4493702820</v>
      </c>
      <c r="C150" s="285"/>
      <c r="D150" s="285"/>
      <c r="E150" s="547" t="str">
        <f>INDEX(База[],MATCH($B150,База[Артикул],0),MATCH(E$4,База[#Headers],0))</f>
        <v>Кабель питания ABS, часть 1</v>
      </c>
      <c r="F150" s="285">
        <f ca="1">SUMPRODUCT(($A150&amp;"_"&amp;$B150=Пневматика_СВОДНАЯ_2026[Ключ])*T$5:T$142)</f>
        <v>0</v>
      </c>
      <c r="G150" s="285">
        <f ca="1">SUMPRODUCT(($A150&amp;"_"&amp;$B150=Пневматика_СВОДНАЯ_2026[Ключ])*U$5:U$142)+F150</f>
        <v>0</v>
      </c>
      <c r="H150" s="285">
        <f ca="1">SUMPRODUCT(($A150&amp;"_"&amp;$B150=Пневматика_СВОДНАЯ_2026[Ключ])*V$5:V$142)+G150</f>
        <v>0</v>
      </c>
      <c r="I150" s="285">
        <f ca="1">SUMPRODUCT(($A150&amp;"_"&amp;$B150=Пневматика_СВОДНАЯ_2026[Ключ])*W$5:W$142)+H150</f>
        <v>0</v>
      </c>
      <c r="J150" s="285">
        <f ca="1">SUMPRODUCT(($A150&amp;"_"&amp;$B150=Пневматика_СВОДНАЯ_2026[Ключ])*X$5:X$142)+I150</f>
        <v>0</v>
      </c>
      <c r="K150" s="285">
        <f ca="1">SUMPRODUCT(($A150&amp;"_"&amp;$B150=Пневматика_СВОДНАЯ_2026[Ключ])*K$5:K$142)+J150</f>
        <v>0</v>
      </c>
      <c r="L150" s="285">
        <f ca="1">SUMPRODUCT(($A150&amp;"_"&amp;$B150=Пневматика_СВОДНАЯ_2026[Ключ])*L$5:L$142)+K150</f>
        <v>0</v>
      </c>
      <c r="M150" s="285">
        <f ca="1">SUMPRODUCT(($A150&amp;"_"&amp;$B150=Пневматика_СВОДНАЯ_2026[Ключ])*M$5:M$142)+L150</f>
        <v>0</v>
      </c>
      <c r="N150" s="285">
        <f ca="1">SUMPRODUCT(($A150&amp;"_"&amp;$B150=Пневматика_СВОДНАЯ_2026[Ключ])*N$5:N$142)+M150</f>
        <v>10</v>
      </c>
      <c r="O150" s="285">
        <f ca="1">SUMPRODUCT(($A150&amp;"_"&amp;$B150=Пневматика_СВОДНАЯ_2026[Ключ])*O$5:O$142)+N150</f>
        <v>45</v>
      </c>
      <c r="P150" s="285">
        <f ca="1">SUMPRODUCT(($A150&amp;"_"&amp;$B150=Пневматика_СВОДНАЯ_2026[Ключ])*P$5:P$142)+O150</f>
        <v>80</v>
      </c>
      <c r="Q150" s="285">
        <f ca="1">SUMPRODUCT(($A150&amp;"_"&amp;$B150=Пневматика_СВОДНАЯ_2026[Ключ])*Q$5:Q$142)+P150</f>
        <v>115</v>
      </c>
      <c r="R150" s="376">
        <f ca="1">SUMPRODUCT(($A150&amp;"_"&amp;$B150=Пневматика_СВОДНАЯ_2026[Ключ])*R$5:R$142)</f>
        <v>115</v>
      </c>
      <c r="S150" s="463">
        <v>0</v>
      </c>
      <c r="T150" s="285"/>
      <c r="U150" s="285"/>
      <c r="V150" s="285"/>
      <c r="W150" s="285"/>
      <c r="X150" s="285"/>
      <c r="Y150" s="285"/>
      <c r="Z150" s="285"/>
      <c r="AA150" s="285"/>
      <c r="AB150" s="285"/>
      <c r="AC150" s="285"/>
      <c r="AD150" s="285"/>
      <c r="AE150" s="285"/>
      <c r="AF150" s="376"/>
      <c r="AG150" s="463"/>
    </row>
    <row r="151" spans="1:33">
      <c r="A151" s="548">
        <v>2</v>
      </c>
      <c r="B151" s="548">
        <v>4493792810</v>
      </c>
      <c r="C151" s="285"/>
      <c r="D151" s="285"/>
      <c r="E151" s="547" t="str">
        <f>INDEX(База[],MATCH($B151,База[Артикул],0),MATCH(E$4,База[#Headers],0))</f>
        <v>Кабель питания ABS, часть 1</v>
      </c>
      <c r="F151" s="285">
        <f ca="1">SUMPRODUCT(($A151&amp;"_"&amp;$B151=Пневматика_СВОДНАЯ_2026[Ключ])*T$5:T$142)</f>
        <v>28</v>
      </c>
      <c r="G151" s="285">
        <f ca="1">SUMPRODUCT(($A151&amp;"_"&amp;$B151=Пневматика_СВОДНАЯ_2026[Ключ])*U$5:U$142)+F151</f>
        <v>73</v>
      </c>
      <c r="H151" s="285">
        <f ca="1">SUMPRODUCT(($A151&amp;"_"&amp;$B151=Пневматика_СВОДНАЯ_2026[Ключ])*V$5:V$142)+G151</f>
        <v>109</v>
      </c>
      <c r="I151" s="285">
        <f ca="1">SUMPRODUCT(($A151&amp;"_"&amp;$B151=Пневматика_СВОДНАЯ_2026[Ключ])*W$5:W$142)+H151</f>
        <v>109</v>
      </c>
      <c r="J151" s="285">
        <f ca="1">SUMPRODUCT(($A151&amp;"_"&amp;$B151=Пневматика_СВОДНАЯ_2026[Ключ])*X$5:X$142)+I151</f>
        <v>109</v>
      </c>
      <c r="K151" s="285">
        <f ca="1">SUMPRODUCT(($A151&amp;"_"&amp;$B151=Пневматика_СВОДНАЯ_2026[Ключ])*K$5:K$142)+J151</f>
        <v>124</v>
      </c>
      <c r="L151" s="285">
        <f ca="1">SUMPRODUCT(($A151&amp;"_"&amp;$B151=Пневматика_СВОДНАЯ_2026[Ключ])*L$5:L$142)+K151</f>
        <v>139</v>
      </c>
      <c r="M151" s="285">
        <f ca="1">SUMPRODUCT(($A151&amp;"_"&amp;$B151=Пневматика_СВОДНАЯ_2026[Ключ])*M$5:M$142)+L151</f>
        <v>154</v>
      </c>
      <c r="N151" s="285">
        <f ca="1">SUMPRODUCT(($A151&amp;"_"&amp;$B151=Пневматика_СВОДНАЯ_2026[Ключ])*N$5:N$142)+M151</f>
        <v>159</v>
      </c>
      <c r="O151" s="285">
        <f ca="1">SUMPRODUCT(($A151&amp;"_"&amp;$B151=Пневматика_СВОДНАЯ_2026[Ключ])*O$5:O$142)+N151</f>
        <v>159</v>
      </c>
      <c r="P151" s="285">
        <f ca="1">SUMPRODUCT(($A151&amp;"_"&amp;$B151=Пневматика_СВОДНАЯ_2026[Ключ])*P$5:P$142)+O151</f>
        <v>159</v>
      </c>
      <c r="Q151" s="285">
        <f ca="1">SUMPRODUCT(($A151&amp;"_"&amp;$B151=Пневматика_СВОДНАЯ_2026[Ключ])*Q$5:Q$142)+P151</f>
        <v>159</v>
      </c>
      <c r="R151" s="376">
        <f ca="1">SUMPRODUCT(($A151&amp;"_"&amp;$B151=Пневматика_СВОДНАЯ_2026[Ключ])*R$5:R$142)</f>
        <v>159</v>
      </c>
      <c r="S151" s="463">
        <v>192</v>
      </c>
      <c r="T151" s="285"/>
      <c r="U151" s="285"/>
      <c r="V151" s="285"/>
      <c r="W151" s="285"/>
      <c r="X151" s="285"/>
      <c r="Y151" s="285"/>
      <c r="Z151" s="285"/>
      <c r="AA151" s="285"/>
      <c r="AB151" s="285"/>
      <c r="AC151" s="285"/>
      <c r="AD151" s="285"/>
      <c r="AE151" s="285"/>
      <c r="AF151" s="376"/>
      <c r="AG151" s="463"/>
    </row>
    <row r="152" spans="1:33">
      <c r="F152" s="779" t="s">
        <v>463</v>
      </c>
      <c r="G152" s="779"/>
      <c r="H152" s="779"/>
      <c r="I152" s="779"/>
      <c r="J152" s="779"/>
      <c r="K152" s="779"/>
      <c r="L152" s="779"/>
      <c r="M152" s="779"/>
      <c r="N152" s="779"/>
      <c r="O152" s="779"/>
      <c r="P152" s="779"/>
      <c r="Q152" s="779"/>
      <c r="R152" s="779"/>
      <c r="AG152" s="1"/>
    </row>
  </sheetData>
  <sheetProtection formatCells="0" formatColumns="0" formatRows="0" insertColumns="0" insertRows="0" insertHyperlinks="0" deleteColumns="0" deleteRows="0" sort="0" autoFilter="0" pivotTables="0"/>
  <mergeCells count="4">
    <mergeCell ref="A3:D3"/>
    <mergeCell ref="F3:R3"/>
    <mergeCell ref="T3:AF3"/>
    <mergeCell ref="F152:R152"/>
  </mergeCells>
  <conditionalFormatting sqref="A5:A142">
    <cfRule type="containsText" dxfId="6" priority="5" operator="containsText" text="S">
      <formula>NOT(ISERROR(SEARCH("S",A5)))</formula>
    </cfRule>
    <cfRule type="containsText" dxfId="5" priority="6" operator="containsText" text="2">
      <formula>NOT(ISERROR(SEARCH("2",A5)))</formula>
    </cfRule>
  </conditionalFormatting>
  <conditionalFormatting sqref="C5:C142">
    <cfRule type="dataBar" priority="26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{4610C989-709E-48F9-8EA1-F18E0B42917C}</x14:id>
        </ext>
      </extLst>
    </cfRule>
  </conditionalFormatting>
  <conditionalFormatting sqref="E3">
    <cfRule type="beginsWith" dxfId="4" priority="7" operator="beginsWith" text="ВСЕ">
      <formula>LEFT(E3,LEN("ВСЕ"))="ВСЕ"</formula>
    </cfRule>
  </conditionalFormatting>
  <conditionalFormatting sqref="F5:Q142">
    <cfRule type="colorScale" priority="2681">
      <colorScale>
        <cfvo type="min"/>
        <cfvo type="percentile" val="50"/>
        <cfvo type="num" val="500"/>
        <color rgb="FFF8696B"/>
        <color rgb="FFFFEB84"/>
        <color rgb="FF63BE7B"/>
      </colorScale>
    </cfRule>
  </conditionalFormatting>
  <conditionalFormatting sqref="F146:R151">
    <cfRule type="cellIs" dxfId="3" priority="3" operator="greaterThan">
      <formula>$S146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5:R142">
    <cfRule type="colorScale" priority="2683">
      <colorScale>
        <cfvo type="min"/>
        <cfvo type="percentile" val="50"/>
        <cfvo type="num" val="3000"/>
        <color rgb="FFF8696B"/>
        <color rgb="FFFFEB84"/>
        <color rgb="FF63BE7B"/>
      </colorScale>
    </cfRule>
  </conditionalFormatting>
  <conditionalFormatting sqref="T5:AE142">
    <cfRule type="colorScale" priority="2685">
      <colorScale>
        <cfvo type="min"/>
        <cfvo type="percentile" val="50"/>
        <cfvo type="num" val="500"/>
        <color rgb="FFF8696B"/>
        <color rgb="FFFFEB84"/>
        <color rgb="FF63BE7B"/>
      </colorScale>
    </cfRule>
  </conditionalFormatting>
  <conditionalFormatting sqref="T146:AF15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5:AF142">
    <cfRule type="colorScale" priority="2687">
      <colorScale>
        <cfvo type="min"/>
        <cfvo type="percentile" val="50"/>
        <cfvo type="num" val="3000"/>
        <color rgb="FFF8696B"/>
        <color rgb="FFFFEB84"/>
        <color rgb="FF63BE7B"/>
      </colorScale>
    </cfRule>
  </conditionalFormatting>
  <conditionalFormatting sqref="AG5:AG142">
    <cfRule type="iconSet" priority="2689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10C989-709E-48F9-8EA1-F18E0B42917C}">
            <x14:dataBar minLength="0" maxLength="100" gradient="0">
              <x14:cfvo type="autoMin"/>
              <x14:cfvo type="autoMax"/>
              <x14:negativeFillColor indexed="2"/>
              <x14:axisColor indexed="64"/>
            </x14:dataBar>
          </x14:cfRule>
          <xm:sqref>C5:C142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0527885-9899-4783-B74F-F36CB0139F50}">
          <x14:formula1>
            <xm:f>ПНЕВМАТИКА!$A$332:$A$340</xm:f>
          </x14:formula1>
          <xm:sqref>E3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7241-C69C-4773-9302-8D45156BDDD1}">
  <sheetPr>
    <tabColor theme="0" tint="-0.249977111117893"/>
  </sheetPr>
  <dimension ref="A1:AH27"/>
  <sheetViews>
    <sheetView workbookViewId="0">
      <pane xSplit="5" ySplit="4" topLeftCell="F5" activePane="bottomRight" state="frozen"/>
      <selection activeCell="G1" sqref="G1"/>
      <selection pane="topRight" activeCell="G1" sqref="G1"/>
      <selection pane="bottomLeft" activeCell="G1" sqref="G1"/>
      <selection pane="bottomRight" activeCell="T3" sqref="T3:AF3"/>
    </sheetView>
  </sheetViews>
  <sheetFormatPr defaultColWidth="12.6640625" defaultRowHeight="14.4" outlineLevelRow="1" outlineLevelCol="1"/>
  <cols>
    <col min="1" max="1" width="5.6640625" style="1" customWidth="1"/>
    <col min="2" max="2" width="13.6640625" style="1" customWidth="1"/>
    <col min="3" max="3" width="3.6640625" style="1" customWidth="1" outlineLevel="1"/>
    <col min="4" max="4" width="9.5546875" style="1" bestFit="1" customWidth="1" outlineLevel="1"/>
    <col min="5" max="5" width="40.6640625" style="2" customWidth="1"/>
    <col min="6" max="17" width="6.6640625" style="1" customWidth="1" outlineLevel="1"/>
    <col min="18" max="18" width="8.6640625" style="1" customWidth="1"/>
    <col min="19" max="19" width="3.6640625" style="460" customWidth="1"/>
    <col min="20" max="31" width="6.6640625" style="1" customWidth="1" outlineLevel="1"/>
    <col min="32" max="32" width="8.6640625" style="1" customWidth="1"/>
    <col min="33" max="33" width="4.6640625" style="359" customWidth="1"/>
    <col min="34" max="34" width="12.6640625" style="1" customWidth="1" outlineLevel="1"/>
    <col min="35" max="16384" width="12.6640625" style="1"/>
  </cols>
  <sheetData>
    <row r="1" spans="1:34" hidden="1" outlineLevel="1">
      <c r="E1" s="381" t="s">
        <v>397</v>
      </c>
      <c r="F1" s="382" t="s">
        <v>398</v>
      </c>
      <c r="G1" s="382" t="s">
        <v>399</v>
      </c>
      <c r="H1" s="382" t="s">
        <v>400</v>
      </c>
      <c r="I1" s="382" t="s">
        <v>401</v>
      </c>
      <c r="J1" s="383" t="s">
        <v>402</v>
      </c>
      <c r="K1" s="384" t="s">
        <v>403</v>
      </c>
    </row>
    <row r="2" spans="1:34" hidden="1" outlineLevel="1">
      <c r="E2" s="381" t="s">
        <v>404</v>
      </c>
      <c r="F2" s="515">
        <f>ROW(ТОРМОЗ!$A$4)+2</f>
        <v>6</v>
      </c>
      <c r="G2" s="515">
        <f>ROW(ТОРМОЗ!$A$65)-1</f>
        <v>64</v>
      </c>
      <c r="H2" s="515">
        <f>COLUMN(ТОРМОЗ!$O$5)</f>
        <v>15</v>
      </c>
      <c r="I2" s="515">
        <v>4</v>
      </c>
      <c r="J2" s="516">
        <v>1</v>
      </c>
      <c r="K2" s="517">
        <v>2</v>
      </c>
      <c r="L2" s="1" t="s">
        <v>423</v>
      </c>
    </row>
    <row r="3" spans="1:34" ht="18" collapsed="1">
      <c r="A3" s="776" t="s">
        <v>365</v>
      </c>
      <c r="B3" s="776"/>
      <c r="C3" s="776"/>
      <c r="D3" s="776"/>
      <c r="E3" s="279" t="s">
        <v>57</v>
      </c>
      <c r="F3" s="777" t="s">
        <v>496</v>
      </c>
      <c r="G3" s="777"/>
      <c r="H3" s="777"/>
      <c r="I3" s="777"/>
      <c r="J3" s="777"/>
      <c r="K3" s="777"/>
      <c r="L3" s="777"/>
      <c r="M3" s="777"/>
      <c r="N3" s="777"/>
      <c r="O3" s="777"/>
      <c r="P3" s="777"/>
      <c r="Q3" s="777"/>
      <c r="R3" s="777"/>
      <c r="S3" s="379"/>
      <c r="T3" s="778" t="s">
        <v>497</v>
      </c>
      <c r="U3" s="778"/>
      <c r="V3" s="778"/>
      <c r="W3" s="778"/>
      <c r="X3" s="778"/>
      <c r="Y3" s="778"/>
      <c r="Z3" s="778"/>
      <c r="AA3" s="778"/>
      <c r="AB3" s="778"/>
      <c r="AC3" s="778"/>
      <c r="AD3" s="778"/>
      <c r="AE3" s="778"/>
      <c r="AF3" s="778"/>
      <c r="AG3" s="380"/>
    </row>
    <row r="4" spans="1:34" ht="28.8">
      <c r="A4" s="456" t="s">
        <v>366</v>
      </c>
      <c r="B4" s="449" t="s">
        <v>339</v>
      </c>
      <c r="C4" s="449" t="s">
        <v>338</v>
      </c>
      <c r="D4" s="449" t="s">
        <v>345</v>
      </c>
      <c r="E4" s="449" t="s">
        <v>14</v>
      </c>
      <c r="F4" s="449" t="s">
        <v>367</v>
      </c>
      <c r="G4" s="449" t="s">
        <v>368</v>
      </c>
      <c r="H4" s="449" t="s">
        <v>369</v>
      </c>
      <c r="I4" s="449" t="s">
        <v>370</v>
      </c>
      <c r="J4" s="449" t="s">
        <v>371</v>
      </c>
      <c r="K4" s="449" t="s">
        <v>372</v>
      </c>
      <c r="L4" s="449" t="s">
        <v>373</v>
      </c>
      <c r="M4" s="449" t="s">
        <v>374</v>
      </c>
      <c r="N4" s="449" t="s">
        <v>375</v>
      </c>
      <c r="O4" s="449" t="s">
        <v>376</v>
      </c>
      <c r="P4" s="449" t="s">
        <v>377</v>
      </c>
      <c r="Q4" s="449" t="s">
        <v>378</v>
      </c>
      <c r="R4" s="449" t="s">
        <v>379</v>
      </c>
      <c r="S4" s="457" t="s">
        <v>424</v>
      </c>
      <c r="T4" s="458" t="s">
        <v>380</v>
      </c>
      <c r="U4" s="458" t="s">
        <v>381</v>
      </c>
      <c r="V4" s="458" t="s">
        <v>382</v>
      </c>
      <c r="W4" s="458" t="s">
        <v>383</v>
      </c>
      <c r="X4" s="458" t="s">
        <v>384</v>
      </c>
      <c r="Y4" s="458" t="s">
        <v>385</v>
      </c>
      <c r="Z4" s="458" t="s">
        <v>386</v>
      </c>
      <c r="AA4" s="458" t="s">
        <v>387</v>
      </c>
      <c r="AB4" s="458" t="s">
        <v>388</v>
      </c>
      <c r="AC4" s="458" t="s">
        <v>389</v>
      </c>
      <c r="AD4" s="458" t="s">
        <v>390</v>
      </c>
      <c r="AE4" s="458" t="s">
        <v>391</v>
      </c>
      <c r="AF4" s="458" t="s">
        <v>392</v>
      </c>
      <c r="AG4" s="518" t="s">
        <v>403</v>
      </c>
      <c r="AH4" s="459" t="s">
        <v>393</v>
      </c>
    </row>
    <row r="5" spans="1:34">
      <c r="A5" s="273">
        <v>1</v>
      </c>
      <c r="B5" s="277">
        <v>4235041001</v>
      </c>
      <c r="C5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5" s="281" t="str">
        <f>INDEX(База[],MATCH(Тормоз_СВОДНАЯ_2026[[#This Row],[Обозначение]],База[Артикул],0),MATCH(D$4,База[#Headers],0))</f>
        <v>ТКЭА</v>
      </c>
      <c r="E5" s="278" t="str">
        <f>INDEX(База[],MATCH(Тормоз_СВОДНАЯ_2026[[#This Row],[Обозначение]],База[Артикул],0),MATCH(E$4,База[#Headers],0))</f>
        <v>Тормозная камера, тип 20</v>
      </c>
      <c r="F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20</v>
      </c>
      <c r="I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2</v>
      </c>
      <c r="K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600</v>
      </c>
      <c r="N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28</v>
      </c>
      <c r="O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56</v>
      </c>
      <c r="P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56</v>
      </c>
      <c r="Q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56</v>
      </c>
      <c r="R5" s="276">
        <f ca="1">SUM(Тормоз_СВОДНАЯ_2026[[#This Row],[П- 
01]:[П- 
12]])</f>
        <v>818</v>
      </c>
      <c r="S5" s="461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&gt;</v>
      </c>
      <c r="T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20</v>
      </c>
      <c r="W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2</v>
      </c>
      <c r="Y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5" s="276">
        <f ca="1">SUM(Тормоз_СВОДНАЯ_2026[[#This Row],[Ф- 
01]:[Ф- 
12]])</f>
        <v>22</v>
      </c>
      <c r="AG5" s="519">
        <f ca="1">IF((Тормоз_СВОДНАЯ_2026[[#This Row],[П- 
2025]]+Тормоз_СВОДНАЯ_2026[[#This Row],[Ф- 
2025]])&gt;0,1,0)</f>
        <v>1</v>
      </c>
      <c r="AH5" s="280" t="str">
        <f>Тормоз_СВОДНАЯ_2026[[#This Row],[Прод]]&amp;"_"&amp;Тормоз_СВОДНАЯ_2026[[#This Row],[Обозначение]]</f>
        <v>1_4235041001</v>
      </c>
    </row>
    <row r="6" spans="1:34">
      <c r="A6" s="273">
        <v>1</v>
      </c>
      <c r="B6" s="277">
        <v>4410328080</v>
      </c>
      <c r="C6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6" s="281" t="str">
        <f>INDEX(База[],MATCH(Тормоз_СВОДНАЯ_2026[[#This Row],[Обозначение]],База[Артикул],0),MATCH(D$4,База[#Headers],0))</f>
        <v>/АБС/ЕБС</v>
      </c>
      <c r="E6" s="278" t="str">
        <f>INDEX(База[],MATCH(Тормоз_СВОДНАЯ_2026[[#This Row],[Обозначение]],База[Артикул],0),MATCH(E$4,База[#Headers],0))</f>
        <v>Датчик АБС, 0,4 м</v>
      </c>
      <c r="F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28</v>
      </c>
      <c r="O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56</v>
      </c>
      <c r="P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56</v>
      </c>
      <c r="Q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56</v>
      </c>
      <c r="R6" s="276">
        <f ca="1">SUM(Тормоз_СВОДНАЯ_2026[[#This Row],[П- 
01]:[П- 
12]])</f>
        <v>196</v>
      </c>
      <c r="S6" s="461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&gt;</v>
      </c>
      <c r="T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6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6" s="276">
        <f ca="1">SUM(Тормоз_СВОДНАЯ_2026[[#This Row],[Ф- 
01]:[Ф- 
12]])</f>
        <v>0</v>
      </c>
      <c r="AG6" s="519">
        <f ca="1">IF((Тормоз_СВОДНАЯ_2026[[#This Row],[П- 
2025]]+Тормоз_СВОДНАЯ_2026[[#This Row],[Ф- 
2025]])&gt;0,1,0)</f>
        <v>1</v>
      </c>
      <c r="AH6" s="298" t="str">
        <f>Тормоз_СВОДНАЯ_2026[[#This Row],[Прод]]&amp;"_"&amp;Тормоз_СВОДНАЯ_2026[[#This Row],[Обозначение]]</f>
        <v>1_4410328080</v>
      </c>
    </row>
    <row r="7" spans="1:34">
      <c r="A7" s="273">
        <v>1</v>
      </c>
      <c r="B7" s="277">
        <v>4410328790</v>
      </c>
      <c r="C7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7" s="281" t="str">
        <f>INDEX(База[],MATCH(Тормоз_СВОДНАЯ_2026[[#This Row],[Обозначение]],База[Артикул],0),MATCH(D$4,База[#Headers],0))</f>
        <v>/АБС/ЕБС</v>
      </c>
      <c r="E7" s="278" t="str">
        <f>INDEX(База[],MATCH(Тормоз_СВОДНАЯ_2026[[#This Row],[Обозначение]],База[Артикул],0),MATCH(E$4,База[#Headers],0))</f>
        <v>Датчик АБС, 1 м</v>
      </c>
      <c r="F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1000</v>
      </c>
      <c r="J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40</v>
      </c>
      <c r="O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40</v>
      </c>
      <c r="P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80</v>
      </c>
      <c r="Q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160</v>
      </c>
      <c r="R7" s="276">
        <f ca="1">SUM(Тормоз_СВОДНАЯ_2026[[#This Row],[П- 
01]:[П- 
12]])</f>
        <v>1320</v>
      </c>
      <c r="S7" s="461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&gt;</v>
      </c>
      <c r="T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1000</v>
      </c>
      <c r="X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7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7" s="276">
        <f ca="1">SUM(Тормоз_СВОДНАЯ_2026[[#This Row],[Ф- 
01]:[Ф- 
12]])</f>
        <v>1000</v>
      </c>
      <c r="AG7" s="519">
        <f ca="1">IF((Тормоз_СВОДНАЯ_2026[[#This Row],[П- 
2025]]+Тормоз_СВОДНАЯ_2026[[#This Row],[Ф- 
2025]])&gt;0,1,0)</f>
        <v>1</v>
      </c>
      <c r="AH7" s="280" t="str">
        <f>Тормоз_СВОДНАЯ_2026[[#This Row],[Прод]]&amp;"_"&amp;Тормоз_СВОДНАЯ_2026[[#This Row],[Обозначение]]</f>
        <v>1_4410328790</v>
      </c>
    </row>
    <row r="8" spans="1:34">
      <c r="A8" s="273">
        <v>1</v>
      </c>
      <c r="B8" s="277">
        <v>6402250560</v>
      </c>
      <c r="C8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8" s="281" t="str">
        <f>INDEX(База[],MATCH(Тормоз_СВОДНАЯ_2026[[#This Row],[Обозначение]],База[Артикул],0),MATCH(D$4,База[#Headers],0))</f>
        <v>_Тормоз</v>
      </c>
      <c r="E8" s="278" t="str">
        <f>INDEX(База[],MATCH(Тормоз_СВОДНАЯ_2026[[#This Row],[Обозначение]],База[Артикул],0),MATCH(E$4,База[#Headers],0))</f>
        <v>Дисковый тормозной механизм (левый)</v>
      </c>
      <c r="F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51</v>
      </c>
      <c r="I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74</v>
      </c>
      <c r="J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28</v>
      </c>
      <c r="K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67</v>
      </c>
      <c r="L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62</v>
      </c>
      <c r="M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30</v>
      </c>
      <c r="N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102</v>
      </c>
      <c r="O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144</v>
      </c>
      <c r="P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204</v>
      </c>
      <c r="Q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324</v>
      </c>
      <c r="R8" s="276">
        <f ca="1">SUM(Тормоз_СВОДНАЯ_2026[[#This Row],[П- 
01]:[П- 
12]])</f>
        <v>1086</v>
      </c>
      <c r="S8" s="461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&gt;</v>
      </c>
      <c r="T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51</v>
      </c>
      <c r="W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74</v>
      </c>
      <c r="X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28</v>
      </c>
      <c r="Y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8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8" s="276">
        <f ca="1">SUM(Тормоз_СВОДНАЯ_2026[[#This Row],[Ф- 
01]:[Ф- 
12]])</f>
        <v>153</v>
      </c>
      <c r="AG8" s="519">
        <f ca="1">IF((Тормоз_СВОДНАЯ_2026[[#This Row],[П- 
2025]]+Тормоз_СВОДНАЯ_2026[[#This Row],[Ф- 
2025]])&gt;0,1,0)</f>
        <v>1</v>
      </c>
      <c r="AH8" s="280" t="str">
        <f>Тормоз_СВОДНАЯ_2026[[#This Row],[Прод]]&amp;"_"&amp;Тормоз_СВОДНАЯ_2026[[#This Row],[Обозначение]]</f>
        <v>1_6402250560</v>
      </c>
    </row>
    <row r="9" spans="1:34">
      <c r="A9" s="273">
        <v>1</v>
      </c>
      <c r="B9" s="274">
        <v>6402250570</v>
      </c>
      <c r="C9" s="174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9" s="281" t="str">
        <f>INDEX(База[],MATCH(Тормоз_СВОДНАЯ_2026[[#This Row],[Обозначение]],База[Артикул],0),MATCH(D$4,База[#Headers],0))</f>
        <v>_Тормоз</v>
      </c>
      <c r="E9" s="55" t="str">
        <f>INDEX(База[],MATCH(Тормоз_СВОДНАЯ_2026[[#This Row],[Обозначение]],База[Артикул],0),MATCH(E$4,База[#Headers],0))</f>
        <v>Дисковый тормозной механизм (правый)</v>
      </c>
      <c r="F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51</v>
      </c>
      <c r="I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74</v>
      </c>
      <c r="J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28</v>
      </c>
      <c r="K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67</v>
      </c>
      <c r="L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62</v>
      </c>
      <c r="M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30</v>
      </c>
      <c r="N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102</v>
      </c>
      <c r="O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144</v>
      </c>
      <c r="P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204</v>
      </c>
      <c r="Q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324</v>
      </c>
      <c r="R9" s="276">
        <f ca="1">SUM(Тормоз_СВОДНАЯ_2026[[#This Row],[П- 
01]:[П- 
12]])</f>
        <v>1086</v>
      </c>
      <c r="S9" s="461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&gt;</v>
      </c>
      <c r="T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51</v>
      </c>
      <c r="W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74</v>
      </c>
      <c r="X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28</v>
      </c>
      <c r="Y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9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9" s="276">
        <f ca="1">SUM(Тормоз_СВОДНАЯ_2026[[#This Row],[Ф- 
01]:[Ф- 
12]])</f>
        <v>153</v>
      </c>
      <c r="AG9" s="519">
        <f ca="1">IF((Тормоз_СВОДНАЯ_2026[[#This Row],[П- 
2025]]+Тормоз_СВОДНАЯ_2026[[#This Row],[Ф- 
2025]])&gt;0,1,0)</f>
        <v>1</v>
      </c>
      <c r="AH9" s="280" t="str">
        <f>Тормоз_СВОДНАЯ_2026[[#This Row],[Прод]]&amp;"_"&amp;Тормоз_СВОДНАЯ_2026[[#This Row],[Обозначение]]</f>
        <v>1_6402250570</v>
      </c>
    </row>
    <row r="10" spans="1:34">
      <c r="A10" s="273">
        <v>1</v>
      </c>
      <c r="B10" s="277">
        <v>8997598154</v>
      </c>
      <c r="C10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10" s="281" t="str">
        <f>INDEX(База[],MATCH(Тормоз_СВОДНАЯ_2026[[#This Row],[Обозначение]],База[Артикул],0),MATCH(D$4,База[#Headers],0))</f>
        <v>/АБС/ЕБС</v>
      </c>
      <c r="E10" s="278" t="str">
        <f>INDEX(База[],MATCH(Тормоз_СВОДНАЯ_2026[[#This Row],[Обозначение]],База[Артикул],0),MATCH(E$4,База[#Headers],0))</f>
        <v>Втулка датчика АБС</v>
      </c>
      <c r="F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28</v>
      </c>
      <c r="O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56</v>
      </c>
      <c r="P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56</v>
      </c>
      <c r="Q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56</v>
      </c>
      <c r="R10" s="276">
        <f ca="1">SUM(Тормоз_СВОДНАЯ_2026[[#This Row],[П- 
01]:[П- 
12]])</f>
        <v>196</v>
      </c>
      <c r="S10" s="461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&gt;</v>
      </c>
      <c r="T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10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10" s="276">
        <f ca="1">SUM(Тормоз_СВОДНАЯ_2026[[#This Row],[Ф- 
01]:[Ф- 
12]])</f>
        <v>0</v>
      </c>
      <c r="AG10" s="519">
        <f ca="1">IF((Тормоз_СВОДНАЯ_2026[[#This Row],[П- 
2025]]+Тормоз_СВОДНАЯ_2026[[#This Row],[Ф- 
2025]])&gt;0,1,0)</f>
        <v>1</v>
      </c>
      <c r="AH10" s="298" t="str">
        <f>Тормоз_СВОДНАЯ_2026[[#This Row],[Прод]]&amp;"_"&amp;Тормоз_СВОДНАЯ_2026[[#This Row],[Обозначение]]</f>
        <v>1_8997598154</v>
      </c>
    </row>
    <row r="11" spans="1:34">
      <c r="A11" s="273">
        <v>1</v>
      </c>
      <c r="B11" s="277">
        <v>8997605104</v>
      </c>
      <c r="C11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11" s="281" t="str">
        <f>INDEX(База[],MATCH(Тормоз_СВОДНАЯ_2026[[#This Row],[Обозначение]],База[Артикул],0),MATCH(D$4,База[#Headers],0))</f>
        <v>/АБС/ЕБС</v>
      </c>
      <c r="E11" s="278" t="str">
        <f>INDEX(База[],MATCH(Тормоз_СВОДНАЯ_2026[[#This Row],[Обозначение]],База[Артикул],0),MATCH(E$4,База[#Headers],0))</f>
        <v>Втулка датчика АБС (медь)</v>
      </c>
      <c r="F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1000</v>
      </c>
      <c r="J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40</v>
      </c>
      <c r="O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40</v>
      </c>
      <c r="P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80</v>
      </c>
      <c r="Q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160</v>
      </c>
      <c r="R11" s="276">
        <f ca="1">SUM(Тормоз_СВОДНАЯ_2026[[#This Row],[П- 
01]:[П- 
12]])</f>
        <v>1320</v>
      </c>
      <c r="S11" s="461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&gt;</v>
      </c>
      <c r="T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1000</v>
      </c>
      <c r="X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11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11" s="276">
        <f ca="1">SUM(Тормоз_СВОДНАЯ_2026[[#This Row],[Ф- 
01]:[Ф- 
12]])</f>
        <v>1000</v>
      </c>
      <c r="AG11" s="519">
        <f ca="1">IF((Тормоз_СВОДНАЯ_2026[[#This Row],[П- 
2025]]+Тормоз_СВОДНАЯ_2026[[#This Row],[Ф- 
2025]])&gt;0,1,0)</f>
        <v>1</v>
      </c>
      <c r="AH11" s="280" t="str">
        <f>Тормоз_СВОДНАЯ_2026[[#This Row],[Прод]]&amp;"_"&amp;Тормоз_СВОДНАЯ_2026[[#This Row],[Обозначение]]</f>
        <v>1_8997605104</v>
      </c>
    </row>
    <row r="12" spans="1:34">
      <c r="A12" s="273">
        <v>1</v>
      </c>
      <c r="B12" s="277">
        <v>9254800504</v>
      </c>
      <c r="C12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12" s="281" t="str">
        <f>INDEX(База[],MATCH(Тормоз_СВОДНАЯ_2026[[#This Row],[Обозначение]],База[Артикул],0),MATCH(D$4,База[#Headers],0))</f>
        <v>ТКЭА</v>
      </c>
      <c r="E12" s="278" t="str">
        <f>INDEX(База[],MATCH(Тормоз_СВОДНАЯ_2026[[#This Row],[Обозначение]],База[Артикул],0),MATCH(E$4,База[#Headers],0))</f>
        <v>Энергоаккумулятор, тип 20/24</v>
      </c>
      <c r="F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20</v>
      </c>
      <c r="I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4</v>
      </c>
      <c r="K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1000</v>
      </c>
      <c r="N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56</v>
      </c>
      <c r="O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112</v>
      </c>
      <c r="P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112</v>
      </c>
      <c r="Q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112</v>
      </c>
      <c r="R12" s="276">
        <f ca="1">SUM(Тормоз_СВОДНАЯ_2026[[#This Row],[П- 
01]:[П- 
12]])</f>
        <v>1416</v>
      </c>
      <c r="S12" s="461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&gt;</v>
      </c>
      <c r="T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20</v>
      </c>
      <c r="W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4</v>
      </c>
      <c r="Y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12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12" s="276">
        <f ca="1">SUM(Тормоз_СВОДНАЯ_2026[[#This Row],[Ф- 
01]:[Ф- 
12]])</f>
        <v>24</v>
      </c>
      <c r="AG12" s="519">
        <f ca="1">IF((Тормоз_СВОДНАЯ_2026[[#This Row],[П- 
2025]]+Тормоз_СВОДНАЯ_2026[[#This Row],[Ф- 
2025]])&gt;0,1,0)</f>
        <v>1</v>
      </c>
      <c r="AH12" s="280" t="str">
        <f>Тормоз_СВОДНАЯ_2026[[#This Row],[Прод]]&amp;"_"&amp;Тормоз_СВОДНАЯ_2026[[#This Row],[Обозначение]]</f>
        <v>1_9254800504</v>
      </c>
    </row>
    <row r="13" spans="1:34">
      <c r="A13" s="273">
        <v>1</v>
      </c>
      <c r="B13" s="277">
        <v>4231069000</v>
      </c>
      <c r="C13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13" s="281" t="str">
        <f>INDEX(База[],MATCH(Тормоз_СВОДНАЯ_2026[[#This Row],[Обозначение]],База[Артикул],0),MATCH(D$4,База[#Headers],0))</f>
        <v>ТКЭА</v>
      </c>
      <c r="E13" s="278" t="str">
        <f>INDEX(База[],MATCH(Тормоз_СВОДНАЯ_2026[[#This Row],[Обозначение]],База[Артикул],0),MATCH(E$4,База[#Headers],0))</f>
        <v>Камера тормозная тип 24</v>
      </c>
      <c r="F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20</v>
      </c>
      <c r="I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6</v>
      </c>
      <c r="K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13" s="276">
        <f ca="1">SUM(Тормоз_СВОДНАЯ_2026[[#This Row],[П- 
01]:[П- 
12]])</f>
        <v>26</v>
      </c>
      <c r="S13" s="461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20</v>
      </c>
      <c r="W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6</v>
      </c>
      <c r="Y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13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13" s="276">
        <f ca="1">SUM(Тормоз_СВОДНАЯ_2026[[#This Row],[Ф- 
01]:[Ф- 
12]])</f>
        <v>26</v>
      </c>
      <c r="AG13" s="519">
        <f ca="1">IF((Тормоз_СВОДНАЯ_2026[[#This Row],[П- 
2025]]+Тормоз_СВОДНАЯ_2026[[#This Row],[Ф- 
2025]])&gt;0,1,0)</f>
        <v>1</v>
      </c>
      <c r="AH13" s="280" t="str">
        <f>Тормоз_СВОДНАЯ_2026[[#This Row],[Прод]]&amp;"_"&amp;Тормоз_СВОДНАЯ_2026[[#This Row],[Обозначение]]</f>
        <v>1_4231069000</v>
      </c>
    </row>
    <row r="14" spans="1:34">
      <c r="A14" s="273">
        <v>1</v>
      </c>
      <c r="B14" s="274">
        <v>4231079000</v>
      </c>
      <c r="C14" s="174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14" s="281" t="str">
        <f>INDEX(База[],MATCH(Тормоз_СВОДНАЯ_2026[[#This Row],[Обозначение]],База[Артикул],0),MATCH(D$4,База[#Headers],0))</f>
        <v>ТКЭА</v>
      </c>
      <c r="E14" s="55" t="str">
        <f>INDEX(База[],MATCH(Тормоз_СВОДНАЯ_2026[[#This Row],[Обозначение]],База[Артикул],0),MATCH(E$4,База[#Headers],0))</f>
        <v>Камера тормозная тип 30</v>
      </c>
      <c r="F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14" s="276">
        <f ca="1">SUM(Тормоз_СВОДНАЯ_2026[[#This Row],[П- 
01]:[П- 
12]])</f>
        <v>0</v>
      </c>
      <c r="S14" s="461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14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14" s="276">
        <f ca="1">SUM(Тормоз_СВОДНАЯ_2026[[#This Row],[Ф- 
01]:[Ф- 
12]])</f>
        <v>0</v>
      </c>
      <c r="AG14" s="519">
        <f ca="1">IF((Тормоз_СВОДНАЯ_2026[[#This Row],[П- 
2025]]+Тормоз_СВОДНАЯ_2026[[#This Row],[Ф- 
2025]])&gt;0,1,0)</f>
        <v>0</v>
      </c>
      <c r="AH14" s="280" t="str">
        <f>Тормоз_СВОДНАЯ_2026[[#This Row],[Прод]]&amp;"_"&amp;Тормоз_СВОДНАЯ_2026[[#This Row],[Обозначение]]</f>
        <v>1_4231079000</v>
      </c>
    </row>
    <row r="15" spans="1:34" s="14" customFormat="1">
      <c r="A15" s="273">
        <v>1</v>
      </c>
      <c r="B15" s="277">
        <v>4235041050</v>
      </c>
      <c r="C15" s="10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15" s="281" t="str">
        <f>INDEX(База[],MATCH(Тормоз_СВОДНАЯ_2026[[#This Row],[Обозначение]],База[Артикул],0),MATCH(D$4,База[#Headers],0))</f>
        <v>ТКЭА</v>
      </c>
      <c r="E15" s="278" t="str">
        <f>INDEX(База[],MATCH(Тормоз_СВОДНАЯ_2026[[#This Row],[Обозначение]],База[Артикул],0),MATCH(E$4,База[#Headers],0))</f>
        <v>Тормозная камера, тип 16</v>
      </c>
      <c r="F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15" s="276">
        <f ca="1">SUM(Тормоз_СВОДНАЯ_2026[[#This Row],[П- 
01]:[П- 
12]])</f>
        <v>0</v>
      </c>
      <c r="S15" s="461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15" s="27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15" s="276">
        <f ca="1">SUM(Тормоз_СВОДНАЯ_2026[[#This Row],[Ф- 
01]:[Ф- 
12]])</f>
        <v>0</v>
      </c>
      <c r="AG15" s="519">
        <f ca="1">IF((Тормоз_СВОДНАЯ_2026[[#This Row],[П- 
2025]]+Тормоз_СВОДНАЯ_2026[[#This Row],[Ф- 
2025]])&gt;0,1,0)</f>
        <v>0</v>
      </c>
      <c r="AH15" s="298" t="str">
        <f>Тормоз_СВОДНАЯ_2026[[#This Row],[Прод]]&amp;"_"&amp;Тормоз_СВОДНАЯ_2026[[#This Row],[Обозначение]]</f>
        <v>1_4235041050</v>
      </c>
    </row>
    <row r="16" spans="1:34">
      <c r="A16" s="282">
        <v>1</v>
      </c>
      <c r="B16" s="283">
        <v>4235041060</v>
      </c>
      <c r="C16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16" s="285" t="str">
        <f>INDEX(База[],MATCH(Тормоз_СВОДНАЯ_2026[[#This Row],[Обозначение]],База[Артикул],0),MATCH(D$4,База[#Headers],0))</f>
        <v>ТКЭА</v>
      </c>
      <c r="E16" s="286" t="str">
        <f>INDEX(База[],MATCH(Тормоз_СВОДНАЯ_2026[[#This Row],[Обозначение]],База[Артикул],0),MATCH(E$4,База[#Headers],0))</f>
        <v>Тормозная камера, тип 44</v>
      </c>
      <c r="F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16" s="288">
        <f ca="1">SUM(Тормоз_СВОДНАЯ_2026[[#This Row],[П- 
01]:[П- 
12]])</f>
        <v>0</v>
      </c>
      <c r="S16" s="463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1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16" s="288">
        <f ca="1">SUM(Тормоз_СВОДНАЯ_2026[[#This Row],[Ф- 
01]:[Ф- 
12]])</f>
        <v>0</v>
      </c>
      <c r="AG16" s="520">
        <f ca="1">IF((Тормоз_СВОДНАЯ_2026[[#This Row],[П- 
2025]]+Тормоз_СВОДНАЯ_2026[[#This Row],[Ф- 
2025]])&gt;0,1,0)</f>
        <v>0</v>
      </c>
      <c r="AH16" s="289" t="str">
        <f>Тормоз_СВОДНАЯ_2026[[#This Row],[Прод]]&amp;"_"&amp;Тормоз_СВОДНАЯ_2026[[#This Row],[Обозначение]]</f>
        <v>1_4235041060</v>
      </c>
    </row>
    <row r="17" spans="1:34">
      <c r="A17" s="290">
        <v>1</v>
      </c>
      <c r="B17" s="291">
        <v>4235050030</v>
      </c>
      <c r="C17" s="292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17" s="293" t="str">
        <f>INDEX(База[],MATCH(Тормоз_СВОДНАЯ_2026[[#This Row],[Обозначение]],База[Артикул],0),MATCH(D$4,База[#Headers],0))</f>
        <v>ТКЭА</v>
      </c>
      <c r="E17" s="294" t="str">
        <f>INDEX(База[],MATCH(Тормоз_СВОДНАЯ_2026[[#This Row],[Обозначение]],База[Артикул],0),MATCH(E$4,База[#Headers],0))</f>
        <v>Тормозная камера, тип 20</v>
      </c>
      <c r="F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17" s="296">
        <f ca="1">SUM(Тормоз_СВОДНАЯ_2026[[#This Row],[П- 
01]:[П- 
12]])</f>
        <v>0</v>
      </c>
      <c r="S17" s="462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1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17" s="296">
        <f ca="1">SUM(Тормоз_СВОДНАЯ_2026[[#This Row],[Ф- 
01]:[Ф- 
12]])</f>
        <v>0</v>
      </c>
      <c r="AG17" s="521">
        <f ca="1">IF((Тормоз_СВОДНАЯ_2026[[#This Row],[П- 
2025]]+Тормоз_СВОДНАЯ_2026[[#This Row],[Ф- 
2025]])&gt;0,1,0)</f>
        <v>0</v>
      </c>
      <c r="AH17" s="297" t="str">
        <f>Тормоз_СВОДНАЯ_2026[[#This Row],[Прод]]&amp;"_"&amp;Тормоз_СВОДНАЯ_2026[[#This Row],[Обозначение]]</f>
        <v>1_4235050030</v>
      </c>
    </row>
    <row r="18" spans="1:34">
      <c r="A18" s="282">
        <v>1</v>
      </c>
      <c r="B18" s="283">
        <v>6402250340</v>
      </c>
      <c r="C18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18" s="285" t="str">
        <f>INDEX(База[],MATCH(Тормоз_СВОДНАЯ_2026[[#This Row],[Обозначение]],База[Артикул],0),MATCH(D$4,База[#Headers],0))</f>
        <v>_Тормоз</v>
      </c>
      <c r="E18" s="286" t="str">
        <f>INDEX(База[],MATCH(Тормоз_СВОДНАЯ_2026[[#This Row],[Обозначение]],База[Артикул],0),MATCH(E$4,База[#Headers],0))</f>
        <v>Дисковый тормозной механизм (левый)</v>
      </c>
      <c r="F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18" s="288">
        <f ca="1">SUM(Тормоз_СВОДНАЯ_2026[[#This Row],[П- 
01]:[П- 
12]])</f>
        <v>0</v>
      </c>
      <c r="S18" s="463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18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18" s="288">
        <f ca="1">SUM(Тормоз_СВОДНАЯ_2026[[#This Row],[Ф- 
01]:[Ф- 
12]])</f>
        <v>0</v>
      </c>
      <c r="AG18" s="520">
        <f ca="1">IF((Тормоз_СВОДНАЯ_2026[[#This Row],[П- 
2025]]+Тормоз_СВОДНАЯ_2026[[#This Row],[Ф- 
2025]])&gt;0,1,0)</f>
        <v>0</v>
      </c>
      <c r="AH18" s="289" t="str">
        <f>Тормоз_СВОДНАЯ_2026[[#This Row],[Прод]]&amp;"_"&amp;Тормоз_СВОДНАЯ_2026[[#This Row],[Обозначение]]</f>
        <v>1_6402250340</v>
      </c>
    </row>
    <row r="19" spans="1:34">
      <c r="A19" s="282">
        <v>1</v>
      </c>
      <c r="B19" s="283">
        <v>6402250350</v>
      </c>
      <c r="C19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19" s="285" t="str">
        <f>INDEX(База[],MATCH(Тормоз_СВОДНАЯ_2026[[#This Row],[Обозначение]],База[Артикул],0),MATCH(D$4,База[#Headers],0))</f>
        <v>_Тормоз</v>
      </c>
      <c r="E19" s="286" t="str">
        <f>INDEX(База[],MATCH(Тормоз_СВОДНАЯ_2026[[#This Row],[Обозначение]],База[Артикул],0),MATCH(E$4,База[#Headers],0))</f>
        <v>Дисковый тормозной механизм (правый)</v>
      </c>
      <c r="F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19" s="288">
        <f ca="1">SUM(Тормоз_СВОДНАЯ_2026[[#This Row],[П- 
01]:[П- 
12]])</f>
        <v>0</v>
      </c>
      <c r="S19" s="463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19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19" s="288">
        <f ca="1">SUM(Тормоз_СВОДНАЯ_2026[[#This Row],[Ф- 
01]:[Ф- 
12]])</f>
        <v>0</v>
      </c>
      <c r="AG19" s="520">
        <f ca="1">IF((Тормоз_СВОДНАЯ_2026[[#This Row],[П- 
2025]]+Тормоз_СВОДНАЯ_2026[[#This Row],[Ф- 
2025]])&gt;0,1,0)</f>
        <v>0</v>
      </c>
      <c r="AH19" s="289" t="str">
        <f>Тормоз_СВОДНАЯ_2026[[#This Row],[Прод]]&amp;"_"&amp;Тормоз_СВОДНАЯ_2026[[#This Row],[Обозначение]]</f>
        <v>1_6402250350</v>
      </c>
    </row>
    <row r="20" spans="1:34">
      <c r="A20" s="282">
        <v>1</v>
      </c>
      <c r="B20" s="283">
        <v>9253761210</v>
      </c>
      <c r="C20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20" s="285" t="str">
        <f>INDEX(База[],MATCH(Тормоз_СВОДНАЯ_2026[[#This Row],[Обозначение]],База[Артикул],0),MATCH(D$4,База[#Headers],0))</f>
        <v>ТКЭА</v>
      </c>
      <c r="E20" s="286" t="str">
        <f>INDEX(База[],MATCH(Тормоз_СВОДНАЯ_2026[[#This Row],[Обозначение]],База[Артикул],0),MATCH(E$4,База[#Headers],0))</f>
        <v>Энергоаккумулятор тип 24/30</v>
      </c>
      <c r="F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20</v>
      </c>
      <c r="I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12</v>
      </c>
      <c r="K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20" s="288">
        <f ca="1">SUM(Тормоз_СВОДНАЯ_2026[[#This Row],[П- 
01]:[П- 
12]])</f>
        <v>32</v>
      </c>
      <c r="S20" s="463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20</v>
      </c>
      <c r="W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12</v>
      </c>
      <c r="Y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20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20" s="288">
        <f ca="1">SUM(Тормоз_СВОДНАЯ_2026[[#This Row],[Ф- 
01]:[Ф- 
12]])</f>
        <v>32</v>
      </c>
      <c r="AG20" s="520">
        <f ca="1">IF((Тормоз_СВОДНАЯ_2026[[#This Row],[П- 
2025]]+Тормоз_СВОДНАЯ_2026[[#This Row],[Ф- 
2025]])&gt;0,1,0)</f>
        <v>1</v>
      </c>
      <c r="AH20" s="300" t="str">
        <f>Тормоз_СВОДНАЯ_2026[[#This Row],[Прод]]&amp;"_"&amp;Тормоз_СВОДНАЯ_2026[[#This Row],[Обозначение]]</f>
        <v>1_9253761210</v>
      </c>
    </row>
    <row r="21" spans="1:34">
      <c r="A21" s="282">
        <v>1</v>
      </c>
      <c r="B21" s="301">
        <v>9253771100</v>
      </c>
      <c r="C21" s="302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21" s="285" t="str">
        <f>INDEX(База[],MATCH(Тормоз_СВОДНАЯ_2026[[#This Row],[Обозначение]],База[Артикул],0),MATCH(D$4,База[#Headers],0))</f>
        <v>ТКЭА</v>
      </c>
      <c r="E21" s="304" t="str">
        <f>INDEX(База[],MATCH(Тормоз_СВОДНАЯ_2026[[#This Row],[Обозначение]],База[Артикул],0),MATCH(E$4,База[#Headers],0))</f>
        <v>Энергоаккумулятор тип 30/30</v>
      </c>
      <c r="F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21" s="288">
        <f ca="1">SUM(Тормоз_СВОДНАЯ_2026[[#This Row],[П- 
01]:[П- 
12]])</f>
        <v>0</v>
      </c>
      <c r="S21" s="463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21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21" s="288">
        <f ca="1">SUM(Тормоз_СВОДНАЯ_2026[[#This Row],[Ф- 
01]:[Ф- 
12]])</f>
        <v>0</v>
      </c>
      <c r="AG21" s="520">
        <f ca="1">IF((Тормоз_СВОДНАЯ_2026[[#This Row],[П- 
2025]]+Тормоз_СВОДНАЯ_2026[[#This Row],[Ф- 
2025]])&gt;0,1,0)</f>
        <v>0</v>
      </c>
      <c r="AH21" s="300" t="str">
        <f>Тормоз_СВОДНАЯ_2026[[#This Row],[Прод]]&amp;"_"&amp;Тормоз_СВОДНАЯ_2026[[#This Row],[Обозначение]]</f>
        <v>1_9253771100</v>
      </c>
    </row>
    <row r="22" spans="1:34">
      <c r="A22" s="282">
        <v>1</v>
      </c>
      <c r="B22" s="283">
        <v>9254800506</v>
      </c>
      <c r="C22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22" s="285" t="str">
        <f>INDEX(База[],MATCH(Тормоз_СВОДНАЯ_2026[[#This Row],[Обозначение]],База[Артикул],0),MATCH(D$4,База[#Headers],0))</f>
        <v>ТКЭА</v>
      </c>
      <c r="E22" s="286" t="str">
        <f>INDEX(База[],MATCH(Тормоз_СВОДНАЯ_2026[[#This Row],[Обозначение]],База[Артикул],0),MATCH(E$4,База[#Headers],0))</f>
        <v>Энергоаккумулятор, тип 20/24</v>
      </c>
      <c r="F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22" s="288">
        <f ca="1">SUM(Тормоз_СВОДНАЯ_2026[[#This Row],[П- 
01]:[П- 
12]])</f>
        <v>0</v>
      </c>
      <c r="S22" s="463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22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22" s="288">
        <f ca="1">SUM(Тормоз_СВОДНАЯ_2026[[#This Row],[Ф- 
01]:[Ф- 
12]])</f>
        <v>0</v>
      </c>
      <c r="AG22" s="520">
        <f ca="1">IF((Тормоз_СВОДНАЯ_2026[[#This Row],[П- 
2025]]+Тормоз_СВОДНАЯ_2026[[#This Row],[Ф- 
2025]])&gt;0,1,0)</f>
        <v>0</v>
      </c>
      <c r="AH22" s="289" t="str">
        <f>Тормоз_СВОДНАЯ_2026[[#This Row],[Прод]]&amp;"_"&amp;Тормоз_СВОДНАЯ_2026[[#This Row],[Обозначение]]</f>
        <v>1_9254800506</v>
      </c>
    </row>
    <row r="23" spans="1:34">
      <c r="A23" s="282">
        <v>1</v>
      </c>
      <c r="B23" s="283">
        <v>9254800620</v>
      </c>
      <c r="C23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23" s="285" t="str">
        <f>INDEX(База[],MATCH(Тормоз_СВОДНАЯ_2026[[#This Row],[Обозначение]],База[Артикул],0),MATCH(D$4,База[#Headers],0))</f>
        <v>ТКЭА</v>
      </c>
      <c r="E23" s="286" t="str">
        <f>INDEX(База[],MATCH(Тормоз_СВОДНАЯ_2026[[#This Row],[Обозначение]],База[Артикул],0),MATCH(E$4,База[#Headers],0))</f>
        <v>Энергоаккумулятор, тип 16/24</v>
      </c>
      <c r="F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23" s="288">
        <f ca="1">SUM(Тормоз_СВОДНАЯ_2026[[#This Row],[П- 
01]:[П- 
12]])</f>
        <v>0</v>
      </c>
      <c r="S23" s="463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23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23" s="288">
        <f ca="1">SUM(Тормоз_СВОДНАЯ_2026[[#This Row],[Ф- 
01]:[Ф- 
12]])</f>
        <v>0</v>
      </c>
      <c r="AG23" s="520">
        <f ca="1">IF((Тормоз_СВОДНАЯ_2026[[#This Row],[П- 
2025]]+Тормоз_СВОДНАЯ_2026[[#This Row],[Ф- 
2025]])&gt;0,1,0)</f>
        <v>0</v>
      </c>
      <c r="AH23" s="289" t="str">
        <f>Тормоз_СВОДНАЯ_2026[[#This Row],[Прод]]&amp;"_"&amp;Тормоз_СВОДНАЯ_2026[[#This Row],[Обозначение]]</f>
        <v>1_9254800620</v>
      </c>
    </row>
    <row r="24" spans="1:34">
      <c r="A24" s="282">
        <v>1</v>
      </c>
      <c r="B24" s="283">
        <v>9254849611</v>
      </c>
      <c r="C24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24" s="285" t="str">
        <f>INDEX(База[],MATCH(Тормоз_СВОДНАЯ_2026[[#This Row],[Обозначение]],База[Артикул],0),MATCH(D$4,База[#Headers],0))</f>
        <v>ТКЭА</v>
      </c>
      <c r="E24" s="286" t="str">
        <f>INDEX(База[],MATCH(Тормоз_СВОДНАЯ_2026[[#This Row],[Обозначение]],База[Артикул],0),MATCH(E$4,База[#Headers],0))</f>
        <v>Энергоаккумулятор, тип 16/24</v>
      </c>
      <c r="F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24" s="288">
        <f ca="1">SUM(Тормоз_СВОДНАЯ_2026[[#This Row],[П- 
01]:[П- 
12]])</f>
        <v>0</v>
      </c>
      <c r="S24" s="463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24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24" s="288">
        <f ca="1">SUM(Тормоз_СВОДНАЯ_2026[[#This Row],[Ф- 
01]:[Ф- 
12]])</f>
        <v>0</v>
      </c>
      <c r="AG24" s="520">
        <f ca="1">IF((Тормоз_СВОДНАЯ_2026[[#This Row],[П- 
2025]]+Тормоз_СВОДНАЯ_2026[[#This Row],[Ф- 
2025]])&gt;0,1,0)</f>
        <v>0</v>
      </c>
      <c r="AH24" s="289" t="str">
        <f>Тормоз_СВОДНАЯ_2026[[#This Row],[Прод]]&amp;"_"&amp;Тормоз_СВОДНАЯ_2026[[#This Row],[Обозначение]]</f>
        <v>1_9254849611</v>
      </c>
    </row>
    <row r="25" spans="1:34">
      <c r="A25" s="282">
        <v>1</v>
      </c>
      <c r="B25" s="283" t="s">
        <v>33</v>
      </c>
      <c r="C25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25" s="285" t="str">
        <f>INDEX(База[],MATCH(Тормоз_СВОДНАЯ_2026[[#This Row],[Обозначение]],База[Артикул],0),MATCH(D$4,База[#Headers],0))</f>
        <v>_Тормоз</v>
      </c>
      <c r="E25" s="286" t="str">
        <f>INDEX(База[],MATCH(Тормоз_СВОДНАЯ_2026[[#This Row],[Обозначение]],База[Артикул],0),MATCH(E$4,База[#Headers],0))</f>
        <v>Дисковый тормозной механизм (левый)</v>
      </c>
      <c r="F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25" s="288">
        <f ca="1">SUM(Тормоз_СВОДНАЯ_2026[[#This Row],[П- 
01]:[П- 
12]])</f>
        <v>0</v>
      </c>
      <c r="S25" s="463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25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25" s="288">
        <f ca="1">SUM(Тормоз_СВОДНАЯ_2026[[#This Row],[Ф- 
01]:[Ф- 
12]])</f>
        <v>0</v>
      </c>
      <c r="AG25" s="520">
        <f ca="1">IF((Тормоз_СВОДНАЯ_2026[[#This Row],[П- 
2025]]+Тормоз_СВОДНАЯ_2026[[#This Row],[Ф- 
2025]])&gt;0,1,0)</f>
        <v>0</v>
      </c>
      <c r="AH25" s="289" t="str">
        <f>Тормоз_СВОДНАЯ_2026[[#This Row],[Прод]]&amp;"_"&amp;Тормоз_СВОДНАЯ_2026[[#This Row],[Обозначение]]</f>
        <v>1_640225ххл0</v>
      </c>
    </row>
    <row r="26" spans="1:34">
      <c r="A26" s="282">
        <v>1</v>
      </c>
      <c r="B26" s="283" t="s">
        <v>35</v>
      </c>
      <c r="C26" s="284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26" s="285" t="str">
        <f>INDEX(База[],MATCH(Тормоз_СВОДНАЯ_2026[[#This Row],[Обозначение]],База[Артикул],0),MATCH(D$4,База[#Headers],0))</f>
        <v>_Тормоз</v>
      </c>
      <c r="E26" s="286" t="str">
        <f>INDEX(База[],MATCH(Тормоз_СВОДНАЯ_2026[[#This Row],[Обозначение]],База[Артикул],0),MATCH(E$4,База[#Headers],0))</f>
        <v>Дисковый тормозной механизм (правый)</v>
      </c>
      <c r="F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26" s="288">
        <f ca="1">SUM(Тормоз_СВОДНАЯ_2026[[#This Row],[П- 
01]:[П- 
12]])</f>
        <v>0</v>
      </c>
      <c r="S26" s="463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26" s="287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26" s="288">
        <f ca="1">SUM(Тормоз_СВОДНАЯ_2026[[#This Row],[Ф- 
01]:[Ф- 
12]])</f>
        <v>0</v>
      </c>
      <c r="AG26" s="520">
        <f ca="1">IF((Тормоз_СВОДНАЯ_2026[[#This Row],[П- 
2025]]+Тормоз_СВОДНАЯ_2026[[#This Row],[Ф- 
2025]])&gt;0,1,0)</f>
        <v>0</v>
      </c>
      <c r="AH26" s="289" t="str">
        <f>Тормоз_СВОДНАЯ_2026[[#This Row],[Прод]]&amp;"_"&amp;Тормоз_СВОДНАЯ_2026[[#This Row],[Обозначение]]</f>
        <v>1_640225ххп0</v>
      </c>
    </row>
    <row r="27" spans="1:34">
      <c r="A27" s="290">
        <v>1</v>
      </c>
      <c r="B27" s="291" t="s">
        <v>41</v>
      </c>
      <c r="C27" s="292">
        <f>SUMPRODUCT((Тормоз_СВОДНАЯ_2026[Прод]=Тормоз_СВОДНАЯ_2026[[#This Row],[Прод]])*(Тормоз_СВОДНАЯ_2026[Обозначение]=Тормоз_СВОДНАЯ_2026[[#This Row],[Обозначение]])*1)</f>
        <v>1</v>
      </c>
      <c r="D27" s="293" t="str">
        <f>INDEX(База[],MATCH(Тормоз_СВОДНАЯ_2026[[#This Row],[Обозначение]],База[Артикул],0),MATCH(D$4,База[#Headers],0))</f>
        <v>ТКЭА</v>
      </c>
      <c r="E27" s="294" t="str">
        <f>INDEX(База[],MATCH(Тормоз_СВОДНАЯ_2026[[#This Row],[Обозначение]],База[Артикул],0),MATCH(E$4,База[#Headers],0))</f>
        <v>Комплект удлинения</v>
      </c>
      <c r="F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INDIRECT("Тормоз!"&amp;ADDRESS($F$2,$H$2+$J$2+(RIGHT(F$4,2)-1)*$I$2)&amp;":"&amp;ADDRESS($G$2,$H$2+$J$2+(RIGHT(F$4,2)-1)*$I$2))),
SUMPRODUCT((Тормоз_СВОДНАЯ_2026[[#This Row],[Прод]]=ТОРМОЗ!$F$6:$F$64)*(Тормоз_СВОДНАЯ_2026[[#This Row],[Обозначение]]=ТОРМОЗ!$G$6:$G$64)*
INDIRECT("Тормоз!"&amp;ADDRESS($F$2,$H$2+$J$2+(RIGHT(F$4,2)-1)*$I$2)&amp;":"&amp;ADDRESS($G$2,$H$2+$J$2+(RIGHT(F$4,2)-1)*$I$2))*
($E$3=ТОРМОЗ!$A$6:$A$64)))</f>
        <v>0</v>
      </c>
      <c r="G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INDIRECT("Тормоз!"&amp;ADDRESS($F$2,$H$2+$J$2+(RIGHT(G$4,2)-1)*$I$2)&amp;":"&amp;ADDRESS($G$2,$H$2+$J$2+(RIGHT(G$4,2)-1)*$I$2))),
SUMPRODUCT((Тормоз_СВОДНАЯ_2026[[#This Row],[Прод]]=ТОРМОЗ!$F$6:$F$64)*(Тормоз_СВОДНАЯ_2026[[#This Row],[Обозначение]]=ТОРМОЗ!$G$6:$G$64)*
INDIRECT("Тормоз!"&amp;ADDRESS($F$2,$H$2+$J$2+(RIGHT(G$4,2)-1)*$I$2)&amp;":"&amp;ADDRESS($G$2,$H$2+$J$2+(RIGHT(G$4,2)-1)*$I$2))*
($E$3=ТОРМОЗ!$A$6:$A$64)))</f>
        <v>0</v>
      </c>
      <c r="H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INDIRECT("Тормоз!"&amp;ADDRESS($F$2,$H$2+$J$2+(RIGHT(H$4,2)-1)*$I$2)&amp;":"&amp;ADDRESS($G$2,$H$2+$J$2+(RIGHT(H$4,2)-1)*$I$2))),
SUMPRODUCT((Тормоз_СВОДНАЯ_2026[[#This Row],[Прод]]=ТОРМОЗ!$F$6:$F$64)*(Тормоз_СВОДНАЯ_2026[[#This Row],[Обозначение]]=ТОРМОЗ!$G$6:$G$64)*
INDIRECT("Тормоз!"&amp;ADDRESS($F$2,$H$2+$J$2+(RIGHT(H$4,2)-1)*$I$2)&amp;":"&amp;ADDRESS($G$2,$H$2+$J$2+(RIGHT(H$4,2)-1)*$I$2))*
($E$3=ТОРМОЗ!$A$6:$A$64)))</f>
        <v>0</v>
      </c>
      <c r="I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INDIRECT("Тормоз!"&amp;ADDRESS($F$2,$H$2+$J$2+(RIGHT(I$4,2)-1)*$I$2)&amp;":"&amp;ADDRESS($G$2,$H$2+$J$2+(RIGHT(I$4,2)-1)*$I$2))),
SUMPRODUCT((Тормоз_СВОДНАЯ_2026[[#This Row],[Прод]]=ТОРМОЗ!$F$6:$F$64)*(Тормоз_СВОДНАЯ_2026[[#This Row],[Обозначение]]=ТОРМОЗ!$G$6:$G$64)*
INDIRECT("Тормоз!"&amp;ADDRESS($F$2,$H$2+$J$2+(RIGHT(I$4,2)-1)*$I$2)&amp;":"&amp;ADDRESS($G$2,$H$2+$J$2+(RIGHT(I$4,2)-1)*$I$2))*
($E$3=ТОРМОЗ!$A$6:$A$64)))</f>
        <v>0</v>
      </c>
      <c r="J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INDIRECT("Тормоз!"&amp;ADDRESS($F$2,$H$2+$J$2+(RIGHT(J$4,2)-1)*$I$2)&amp;":"&amp;ADDRESS($G$2,$H$2+$J$2+(RIGHT(J$4,2)-1)*$I$2))),
SUMPRODUCT((Тормоз_СВОДНАЯ_2026[[#This Row],[Прод]]=ТОРМОЗ!$F$6:$F$64)*(Тормоз_СВОДНАЯ_2026[[#This Row],[Обозначение]]=ТОРМОЗ!$G$6:$G$64)*
INDIRECT("Тормоз!"&amp;ADDRESS($F$2,$H$2+$J$2+(RIGHT(J$4,2)-1)*$I$2)&amp;":"&amp;ADDRESS($G$2,$H$2+$J$2+(RIGHT(J$4,2)-1)*$I$2))*
($E$3=ТОРМОЗ!$A$6:$A$64)))</f>
        <v>0</v>
      </c>
      <c r="K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INDIRECT("Тормоз!"&amp;ADDRESS($F$2,$H$2+$J$2+(RIGHT(K$4,2)-1)*$I$2)&amp;":"&amp;ADDRESS($G$2,$H$2+$J$2+(RIGHT(K$4,2)-1)*$I$2))),
SUMPRODUCT((Тормоз_СВОДНАЯ_2026[[#This Row],[Прод]]=ТОРМОЗ!$F$6:$F$64)*(Тормоз_СВОДНАЯ_2026[[#This Row],[Обозначение]]=ТОРМОЗ!$G$6:$G$64)*
INDIRECT("Тормоз!"&amp;ADDRESS($F$2,$H$2+$J$2+(RIGHT(K$4,2)-1)*$I$2)&amp;":"&amp;ADDRESS($G$2,$H$2+$J$2+(RIGHT(K$4,2)-1)*$I$2))*
($E$3=ТОРМОЗ!$A$6:$A$64)))</f>
        <v>0</v>
      </c>
      <c r="L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INDIRECT("Тормоз!"&amp;ADDRESS($F$2,$H$2+$J$2+(RIGHT(L$4,2)-1)*$I$2)&amp;":"&amp;ADDRESS($G$2,$H$2+$J$2+(RIGHT(L$4,2)-1)*$I$2))),
SUMPRODUCT((Тормоз_СВОДНАЯ_2026[[#This Row],[Прод]]=ТОРМОЗ!$F$6:$F$64)*(Тормоз_СВОДНАЯ_2026[[#This Row],[Обозначение]]=ТОРМОЗ!$G$6:$G$64)*
INDIRECT("Тормоз!"&amp;ADDRESS($F$2,$H$2+$J$2+(RIGHT(L$4,2)-1)*$I$2)&amp;":"&amp;ADDRESS($G$2,$H$2+$J$2+(RIGHT(L$4,2)-1)*$I$2))*
($E$3=ТОРМОЗ!$A$6:$A$64)))</f>
        <v>0</v>
      </c>
      <c r="M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INDIRECT("Тормоз!"&amp;ADDRESS($F$2,$H$2+$J$2+(RIGHT(M$4,2)-1)*$I$2)&amp;":"&amp;ADDRESS($G$2,$H$2+$J$2+(RIGHT(M$4,2)-1)*$I$2))),
SUMPRODUCT((Тормоз_СВОДНАЯ_2026[[#This Row],[Прод]]=ТОРМОЗ!$F$6:$F$64)*(Тормоз_СВОДНАЯ_2026[[#This Row],[Обозначение]]=ТОРМОЗ!$G$6:$G$64)*
INDIRECT("Тормоз!"&amp;ADDRESS($F$2,$H$2+$J$2+(RIGHT(M$4,2)-1)*$I$2)&amp;":"&amp;ADDRESS($G$2,$H$2+$J$2+(RIGHT(M$4,2)-1)*$I$2))*
($E$3=ТОРМОЗ!$A$6:$A$64)))</f>
        <v>0</v>
      </c>
      <c r="N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INDIRECT("Тормоз!"&amp;ADDRESS($F$2,$H$2+$J$2+(RIGHT(N$4,2)-1)*$I$2)&amp;":"&amp;ADDRESS($G$2,$H$2+$J$2+(RIGHT(N$4,2)-1)*$I$2))),
SUMPRODUCT((Тормоз_СВОДНАЯ_2026[[#This Row],[Прод]]=ТОРМОЗ!$F$6:$F$64)*(Тормоз_СВОДНАЯ_2026[[#This Row],[Обозначение]]=ТОРМОЗ!$G$6:$G$64)*
INDIRECT("Тормоз!"&amp;ADDRESS($F$2,$H$2+$J$2+(RIGHT(N$4,2)-1)*$I$2)&amp;":"&amp;ADDRESS($G$2,$H$2+$J$2+(RIGHT(N$4,2)-1)*$I$2))*
($E$3=ТОРМОЗ!$A$6:$A$64)))</f>
        <v>0</v>
      </c>
      <c r="O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INDIRECT("Тормоз!"&amp;ADDRESS($F$2,$H$2+$J$2+(RIGHT(O$4,2)-1)*$I$2)&amp;":"&amp;ADDRESS($G$2,$H$2+$J$2+(RIGHT(O$4,2)-1)*$I$2))),
SUMPRODUCT((Тормоз_СВОДНАЯ_2026[[#This Row],[Прод]]=ТОРМОЗ!$F$6:$F$64)*(Тормоз_СВОДНАЯ_2026[[#This Row],[Обозначение]]=ТОРМОЗ!$G$6:$G$64)*
INDIRECT("Тормоз!"&amp;ADDRESS($F$2,$H$2+$J$2+(RIGHT(O$4,2)-1)*$I$2)&amp;":"&amp;ADDRESS($G$2,$H$2+$J$2+(RIGHT(O$4,2)-1)*$I$2))*
($E$3=ТОРМОЗ!$A$6:$A$64)))</f>
        <v>0</v>
      </c>
      <c r="P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INDIRECT("Тормоз!"&amp;ADDRESS($F$2,$H$2+$J$2+(RIGHT(P$4,2)-1)*$I$2)&amp;":"&amp;ADDRESS($G$2,$H$2+$J$2+(RIGHT(P$4,2)-1)*$I$2))),
SUMPRODUCT((Тормоз_СВОДНАЯ_2026[[#This Row],[Прод]]=ТОРМОЗ!$F$6:$F$64)*(Тормоз_СВОДНАЯ_2026[[#This Row],[Обозначение]]=ТОРМОЗ!$G$6:$G$64)*
INDIRECT("Тормоз!"&amp;ADDRESS($F$2,$H$2+$J$2+(RIGHT(P$4,2)-1)*$I$2)&amp;":"&amp;ADDRESS($G$2,$H$2+$J$2+(RIGHT(P$4,2)-1)*$I$2))*
($E$3=ТОРМОЗ!$A$6:$A$64)))</f>
        <v>0</v>
      </c>
      <c r="Q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INDIRECT("Тормоз!"&amp;ADDRESS($F$2,$H$2+$J$2+(RIGHT(Q$4,2)-1)*$I$2)&amp;":"&amp;ADDRESS($G$2,$H$2+$J$2+(RIGHT(Q$4,2)-1)*$I$2))),
SUMPRODUCT((Тормоз_СВОДНАЯ_2026[[#This Row],[Прод]]=ТОРМОЗ!$F$6:$F$64)*(Тормоз_СВОДНАЯ_2026[[#This Row],[Обозначение]]=ТОРМОЗ!$G$6:$G$64)*
INDIRECT("Тормоз!"&amp;ADDRESS($F$2,$H$2+$J$2+(RIGHT(Q$4,2)-1)*$I$2)&amp;":"&amp;ADDRESS($G$2,$H$2+$J$2+(RIGHT(Q$4,2)-1)*$I$2))*
($E$3=ТОРМОЗ!$A$6:$A$64)))</f>
        <v>0</v>
      </c>
      <c r="R27" s="296">
        <f ca="1">SUM(Тормоз_СВОДНАЯ_2026[[#This Row],[П- 
01]:[П- 
12]])</f>
        <v>0</v>
      </c>
      <c r="S27" s="462" t="str">
        <f ca="1">IF(Тормоз_СВОДНАЯ_2026[[#This Row],[П- 
2025]]=Тормоз_СВОДНАЯ_2026[[#This Row],[Ф- 
2025]],"=",IF(Тормоз_СВОДНАЯ_2026[[#This Row],[П- 
2025]]&gt;Тормоз_СВОДНАЯ_2026[[#This Row],[Ф- 
2025]],"&gt;","&lt;"))</f>
        <v>=</v>
      </c>
      <c r="T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INDIRECT("Тормоз!"&amp;ADDRESS($F$2,$H$2+$K$2+(RIGHT(T$4,2)-1)*$I$2)&amp;":"&amp;ADDRESS($G$2,$H$2+$K$2+(RIGHT(T$4,2)-1)*$I$2))),
SUMPRODUCT((Тормоз_СВОДНАЯ_2026[[#This Row],[Прод]]=ТОРМОЗ!$F$6:$F$64)*(Тормоз_СВОДНАЯ_2026[[#This Row],[Обозначение]]=ТОРМОЗ!$G$6:$G$64)*
INDIRECT("Тормоз!"&amp;ADDRESS($F$2,$H$2+$K$2+(RIGHT(T$4,2)-1)*$I$2)&amp;":"&amp;ADDRESS($G$2,$H$2+$K$2+(RIGHT(T$4,2)-1)*$I$2))*
($E$3=ТОРМОЗ!$A$6:$A$64)))</f>
        <v>0</v>
      </c>
      <c r="U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INDIRECT("Тормоз!"&amp;ADDRESS($F$2,$H$2+$K$2+(RIGHT(U$4,2)-1)*$I$2)&amp;":"&amp;ADDRESS($G$2,$H$2+$K$2+(RIGHT(U$4,2)-1)*$I$2))),
SUMPRODUCT((Тормоз_СВОДНАЯ_2026[[#This Row],[Прод]]=ТОРМОЗ!$F$6:$F$64)*(Тормоз_СВОДНАЯ_2026[[#This Row],[Обозначение]]=ТОРМОЗ!$G$6:$G$64)*
INDIRECT("Тормоз!"&amp;ADDRESS($F$2,$H$2+$K$2+(RIGHT(U$4,2)-1)*$I$2)&amp;":"&amp;ADDRESS($G$2,$H$2+$K$2+(RIGHT(U$4,2)-1)*$I$2))*
($E$3=ТОРМОЗ!$A$6:$A$64)))</f>
        <v>0</v>
      </c>
      <c r="V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INDIRECT("Тормоз!"&amp;ADDRESS($F$2,$H$2+$K$2+(RIGHT(V$4,2)-1)*$I$2)&amp;":"&amp;ADDRESS($G$2,$H$2+$K$2+(RIGHT(V$4,2)-1)*$I$2))),
SUMPRODUCT((Тормоз_СВОДНАЯ_2026[[#This Row],[Прод]]=ТОРМОЗ!$F$6:$F$64)*(Тормоз_СВОДНАЯ_2026[[#This Row],[Обозначение]]=ТОРМОЗ!$G$6:$G$64)*
INDIRECT("Тормоз!"&amp;ADDRESS($F$2,$H$2+$K$2+(RIGHT(V$4,2)-1)*$I$2)&amp;":"&amp;ADDRESS($G$2,$H$2+$K$2+(RIGHT(V$4,2)-1)*$I$2))*
($E$3=ТОРМОЗ!$A$6:$A$64)))</f>
        <v>0</v>
      </c>
      <c r="W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INDIRECT("Тормоз!"&amp;ADDRESS($F$2,$H$2+$K$2+(RIGHT(W$4,2)-1)*$I$2)&amp;":"&amp;ADDRESS($G$2,$H$2+$K$2+(RIGHT(W$4,2)-1)*$I$2))),
SUMPRODUCT((Тормоз_СВОДНАЯ_2026[[#This Row],[Прод]]=ТОРМОЗ!$F$6:$F$64)*(Тормоз_СВОДНАЯ_2026[[#This Row],[Обозначение]]=ТОРМОЗ!$G$6:$G$64)*
INDIRECT("Тормоз!"&amp;ADDRESS($F$2,$H$2+$K$2+(RIGHT(W$4,2)-1)*$I$2)&amp;":"&amp;ADDRESS($G$2,$H$2+$K$2+(RIGHT(W$4,2)-1)*$I$2))*
($E$3=ТОРМОЗ!$A$6:$A$64)))</f>
        <v>0</v>
      </c>
      <c r="X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INDIRECT("Тормоз!"&amp;ADDRESS($F$2,$H$2+$K$2+(RIGHT(X$4,2)-1)*$I$2)&amp;":"&amp;ADDRESS($G$2,$H$2+$K$2+(RIGHT(X$4,2)-1)*$I$2))),
SUMPRODUCT((Тормоз_СВОДНАЯ_2026[[#This Row],[Прод]]=ТОРМОЗ!$F$6:$F$64)*(Тормоз_СВОДНАЯ_2026[[#This Row],[Обозначение]]=ТОРМОЗ!$G$6:$G$64)*
INDIRECT("Тормоз!"&amp;ADDRESS($F$2,$H$2+$K$2+(RIGHT(X$4,2)-1)*$I$2)&amp;":"&amp;ADDRESS($G$2,$H$2+$K$2+(RIGHT(X$4,2)-1)*$I$2))*
($E$3=ТОРМОЗ!$A$6:$A$64)))</f>
        <v>0</v>
      </c>
      <c r="Y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INDIRECT("Тормоз!"&amp;ADDRESS($F$2,$H$2+$K$2+(RIGHT(Y$4,2)-1)*$I$2)&amp;":"&amp;ADDRESS($G$2,$H$2+$K$2+(RIGHT(Y$4,2)-1)*$I$2))),
SUMPRODUCT((Тормоз_СВОДНАЯ_2026[[#This Row],[Прод]]=ТОРМОЗ!$F$6:$F$64)*(Тормоз_СВОДНАЯ_2026[[#This Row],[Обозначение]]=ТОРМОЗ!$G$6:$G$64)*
INDIRECT("Тормоз!"&amp;ADDRESS($F$2,$H$2+$K$2+(RIGHT(Y$4,2)-1)*$I$2)&amp;":"&amp;ADDRESS($G$2,$H$2+$K$2+(RIGHT(Y$4,2)-1)*$I$2))*
($E$3=ТОРМОЗ!$A$6:$A$64)))</f>
        <v>0</v>
      </c>
      <c r="Z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INDIRECT("Тормоз!"&amp;ADDRESS($F$2,$H$2+$K$2+(RIGHT(Z$4,2)-1)*$I$2)&amp;":"&amp;ADDRESS($G$2,$H$2+$K$2+(RIGHT(Z$4,2)-1)*$I$2))),
SUMPRODUCT((Тормоз_СВОДНАЯ_2026[[#This Row],[Прод]]=ТОРМОЗ!$F$6:$F$64)*(Тормоз_СВОДНАЯ_2026[[#This Row],[Обозначение]]=ТОРМОЗ!$G$6:$G$64)*
INDIRECT("Тормоз!"&amp;ADDRESS($F$2,$H$2+$K$2+(RIGHT(Z$4,2)-1)*$I$2)&amp;":"&amp;ADDRESS($G$2,$H$2+$K$2+(RIGHT(Z$4,2)-1)*$I$2))*
($E$3=ТОРМОЗ!$A$6:$A$64)))</f>
        <v>0</v>
      </c>
      <c r="AA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INDIRECT("Тормоз!"&amp;ADDRESS($F$2,$H$2+$K$2+(RIGHT(AA$4,2)-1)*$I$2)&amp;":"&amp;ADDRESS($G$2,$H$2+$K$2+(RIGHT(AA$4,2)-1)*$I$2))),
SUMPRODUCT((Тормоз_СВОДНАЯ_2026[[#This Row],[Прод]]=ТОРМОЗ!$F$6:$F$64)*(Тормоз_СВОДНАЯ_2026[[#This Row],[Обозначение]]=ТОРМОЗ!$G$6:$G$64)*
INDIRECT("Тормоз!"&amp;ADDRESS($F$2,$H$2+$K$2+(RIGHT(AA$4,2)-1)*$I$2)&amp;":"&amp;ADDRESS($G$2,$H$2+$K$2+(RIGHT(AA$4,2)-1)*$I$2))*
($E$3=ТОРМОЗ!$A$6:$A$64)))</f>
        <v>0</v>
      </c>
      <c r="AB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INDIRECT("Тормоз!"&amp;ADDRESS($F$2,$H$2+$K$2+(RIGHT(AB$4,2)-1)*$I$2)&amp;":"&amp;ADDRESS($G$2,$H$2+$K$2+(RIGHT(AB$4,2)-1)*$I$2))),
SUMPRODUCT((Тормоз_СВОДНАЯ_2026[[#This Row],[Прод]]=ТОРМОЗ!$F$6:$F$64)*(Тормоз_СВОДНАЯ_2026[[#This Row],[Обозначение]]=ТОРМОЗ!$G$6:$G$64)*
INDIRECT("Тормоз!"&amp;ADDRESS($F$2,$H$2+$K$2+(RIGHT(AB$4,2)-1)*$I$2)&amp;":"&amp;ADDRESS($G$2,$H$2+$K$2+(RIGHT(AB$4,2)-1)*$I$2))*
($E$3=ТОРМОЗ!$A$6:$A$64)))</f>
        <v>0</v>
      </c>
      <c r="AC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INDIRECT("Тормоз!"&amp;ADDRESS($F$2,$H$2+$K$2+(RIGHT(AC$4,2)-1)*$I$2)&amp;":"&amp;ADDRESS($G$2,$H$2+$K$2+(RIGHT(AC$4,2)-1)*$I$2))),
SUMPRODUCT((Тормоз_СВОДНАЯ_2026[[#This Row],[Прод]]=ТОРМОЗ!$F$6:$F$64)*(Тормоз_СВОДНАЯ_2026[[#This Row],[Обозначение]]=ТОРМОЗ!$G$6:$G$64)*
INDIRECT("Тормоз!"&amp;ADDRESS($F$2,$H$2+$K$2+(RIGHT(AC$4,2)-1)*$I$2)&amp;":"&amp;ADDRESS($G$2,$H$2+$K$2+(RIGHT(AC$4,2)-1)*$I$2))*
($E$3=ТОРМОЗ!$A$6:$A$64)))</f>
        <v>0</v>
      </c>
      <c r="AD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INDIRECT("Тормоз!"&amp;ADDRESS($F$2,$H$2+$K$2+(RIGHT(AD$4,2)-1)*$I$2)&amp;":"&amp;ADDRESS($G$2,$H$2+$K$2+(RIGHT(AD$4,2)-1)*$I$2))),
SUMPRODUCT((Тормоз_СВОДНАЯ_2026[[#This Row],[Прод]]=ТОРМОЗ!$F$6:$F$64)*(Тормоз_СВОДНАЯ_2026[[#This Row],[Обозначение]]=ТОРМОЗ!$G$6:$G$64)*
INDIRECT("Тормоз!"&amp;ADDRESS($F$2,$H$2+$K$2+(RIGHT(AD$4,2)-1)*$I$2)&amp;":"&amp;ADDRESS($G$2,$H$2+$K$2+(RIGHT(AD$4,2)-1)*$I$2))*
($E$3=ТОРМОЗ!$A$6:$A$64)))</f>
        <v>0</v>
      </c>
      <c r="AE27" s="295">
        <f ca="1">IF($E$3=ТОРМОЗ!$A$72,SUMPRODUCT((Тормоз_СВОДНАЯ_2026[[#This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INDIRECT("Тормоз!"&amp;ADDRESS($F$2,$H$2+$K$2+(RIGHT(AE$4,2)-1)*$I$2)&amp;":"&amp;ADDRESS($G$2,$H$2+$K$2+(RIGHT(AE$4,2)-1)*$I$2))),
SUMPRODUCT((Тормоз_СВОДНАЯ_2026[[#This Row],[Прод]]=ТОРМОЗ!$F$6:$F$64)*(Тормоз_СВОДНАЯ_2026[[#This Row],[Обозначение]]=ТОРМОЗ!$G$6:$G$64)*
INDIRECT("Тормоз!"&amp;ADDRESS($F$2,$H$2+$K$2+(RIGHT(AE$4,2)-1)*$I$2)&amp;":"&amp;ADDRESS($G$2,$H$2+$K$2+(RIGHT(AE$4,2)-1)*$I$2))*
($E$3=ТОРМОЗ!$A$6:$A$64)))</f>
        <v>0</v>
      </c>
      <c r="AF27" s="296">
        <f ca="1">SUM(Тормоз_СВОДНАЯ_2026[[#This Row],[Ф- 
01]:[Ф- 
12]])</f>
        <v>0</v>
      </c>
      <c r="AG27" s="521">
        <f ca="1">IF((Тормоз_СВОДНАЯ_2026[[#This Row],[П- 
2025]]+Тормоз_СВОДНАЯ_2026[[#This Row],[Ф- 
2025]])&gt;0,1,0)</f>
        <v>0</v>
      </c>
      <c r="AH27" s="299" t="str">
        <f>Тормоз_СВОДНАЯ_2026[[#This Row],[Прод]]&amp;"_"&amp;Тормоз_СВОДНАЯ_2026[[#This Row],[Обозначение]]</f>
        <v>1_S4240002000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3:D3"/>
    <mergeCell ref="F3:R3"/>
    <mergeCell ref="T3:AF3"/>
  </mergeCells>
  <conditionalFormatting sqref="A5:A27">
    <cfRule type="containsText" dxfId="2" priority="1" operator="containsText" text="2">
      <formula>NOT(ISERROR(SEARCH("2",A5)))</formula>
    </cfRule>
  </conditionalFormatting>
  <conditionalFormatting sqref="B5:B27">
    <cfRule type="duplicateValues" dxfId="1" priority="8"/>
  </conditionalFormatting>
  <conditionalFormatting sqref="C5:C27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{7381FE10-2F52-4C53-9565-9456D1830AE1}</x14:id>
        </ext>
      </extLst>
    </cfRule>
  </conditionalFormatting>
  <conditionalFormatting sqref="E3">
    <cfRule type="beginsWith" dxfId="0" priority="2" operator="beginsWith" text="ВСЕ">
      <formula>LEFT(E3,LEN("ВСЕ"))="ВСЕ"</formula>
    </cfRule>
  </conditionalFormatting>
  <conditionalFormatting sqref="F5:Q27">
    <cfRule type="colorScale" priority="7">
      <colorScale>
        <cfvo type="min"/>
        <cfvo type="percentile" val="50"/>
        <cfvo type="num" val="500"/>
        <color rgb="FFF8696B"/>
        <color rgb="FFFFEB84"/>
        <color rgb="FF63BE7B"/>
      </colorScale>
    </cfRule>
  </conditionalFormatting>
  <conditionalFormatting sqref="R5:R27">
    <cfRule type="colorScale" priority="6">
      <colorScale>
        <cfvo type="min"/>
        <cfvo type="percentile" val="50"/>
        <cfvo type="num" val="3000"/>
        <color rgb="FFF8696B"/>
        <color rgb="FFFFEB84"/>
        <color rgb="FF63BE7B"/>
      </colorScale>
    </cfRule>
  </conditionalFormatting>
  <conditionalFormatting sqref="T5:AE27">
    <cfRule type="colorScale" priority="5">
      <colorScale>
        <cfvo type="min"/>
        <cfvo type="percentile" val="50"/>
        <cfvo type="num" val="500"/>
        <color rgb="FFF8696B"/>
        <color rgb="FFFFEB84"/>
        <color rgb="FF63BE7B"/>
      </colorScale>
    </cfRule>
  </conditionalFormatting>
  <conditionalFormatting sqref="AF5:AF27">
    <cfRule type="colorScale" priority="4">
      <colorScale>
        <cfvo type="min"/>
        <cfvo type="percentile" val="50"/>
        <cfvo type="num" val="3000"/>
        <color rgb="FFF8696B"/>
        <color rgb="FFFFEB84"/>
        <color rgb="FF63BE7B"/>
      </colorScale>
    </cfRule>
  </conditionalFormatting>
  <conditionalFormatting sqref="AG5:AG27">
    <cfRule type="iconSet" priority="3">
      <iconSet iconSet="3Symbols2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1FE10-2F52-4C53-9565-9456D1830AE1}">
            <x14:dataBar minLength="0" maxLength="100" gradient="0">
              <x14:cfvo type="autoMin"/>
              <x14:cfvo type="autoMax"/>
              <x14:negativeFillColor indexed="2"/>
              <x14:axisColor indexed="64"/>
            </x14:dataBar>
          </x14:cfRule>
          <xm:sqref>C5:C27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883E59-8951-4DE9-97DE-3C2FEDD2442D}">
          <x14:formula1>
            <xm:f>ТОРМОЗ!$A$66:$A$72</xm:f>
          </x14:formula1>
          <xm:sqref>E3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6</vt:i4>
      </vt:variant>
    </vt:vector>
  </HeadingPairs>
  <TitlesOfParts>
    <vt:vector size="14" baseType="lpstr">
      <vt:lpstr>ТОРМОЗ</vt:lpstr>
      <vt:lpstr>ПНЕВМАТИКА</vt:lpstr>
      <vt:lpstr>АВТОВИК</vt:lpstr>
      <vt:lpstr>АВТОВИК_разбивка</vt:lpstr>
      <vt:lpstr>БАЗА</vt:lpstr>
      <vt:lpstr>S_ВСЕ</vt:lpstr>
      <vt:lpstr>#ПНЕВМАТИКА_2026</vt:lpstr>
      <vt:lpstr>#ТОРМОЗ_2026</vt:lpstr>
      <vt:lpstr>ЕВРО</vt:lpstr>
      <vt:lpstr>Список_артикулов</vt:lpstr>
      <vt:lpstr>Список_комплектов</vt:lpstr>
      <vt:lpstr>Список_Сводная_Пневматика_2026</vt:lpstr>
      <vt:lpstr>Список_Сводная_Тормоз_2026</vt:lpstr>
      <vt:lpstr>ЮАНЬ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Кривенков</dc:creator>
  <cp:lastModifiedBy>License Wabco</cp:lastModifiedBy>
  <cp:revision>49</cp:revision>
  <dcterms:created xsi:type="dcterms:W3CDTF">2015-06-05T18:19:34Z</dcterms:created>
  <dcterms:modified xsi:type="dcterms:W3CDTF">2026-06-08T09:34:47Z</dcterms:modified>
</cp:coreProperties>
</file>